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tables/table1.xml" ContentType="application/vnd.openxmlformats-officedocument.spreadsheetml.table+xml"/>
  <Override PartName="/xl/pivotTables/pivotTable3.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pivotTables/pivotTable4.xml" ContentType="application/vnd.openxmlformats-officedocument.spreadsheetml.pivot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pivotTables/pivotTable5.xml" ContentType="application/vnd.openxmlformats-officedocument.spreadsheetml.pivotTable+xml"/>
  <Override PartName="/xl/tables/table12.xml" ContentType="application/vnd.openxmlformats-officedocument.spreadsheetml.table+xml"/>
  <Override PartName="/xl/pivotTables/pivotTable6.xml" ContentType="application/vnd.openxmlformats-officedocument.spreadsheetml.pivot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comments2.xml" ContentType="application/vnd.openxmlformats-officedocument.spreadsheetml.comments+xml"/>
  <Override PartName="/xl/pivotTables/pivotTable7.xml" ContentType="application/vnd.openxmlformats-officedocument.spreadsheetml.pivotTable+xml"/>
  <Override PartName="/xl/tables/table27.xml" ContentType="application/vnd.openxmlformats-officedocument.spreadsheetml.table+xml"/>
  <Override PartName="/xl/comments3.xml" ContentType="application/vnd.openxmlformats-officedocument.spreadsheetml.comments+xml"/>
  <Override PartName="/xl/pivotTables/pivotTable8.xml" ContentType="application/vnd.openxmlformats-officedocument.spreadsheetml.pivotTable+xml"/>
  <Override PartName="/xl/tables/table28.xml" ContentType="application/vnd.openxmlformats-officedocument.spreadsheetml.table+xml"/>
  <Override PartName="/xl/pivotTables/pivotTable9.xml" ContentType="application/vnd.openxmlformats-officedocument.spreadsheetml.pivot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pivotTables/pivotTable10.xml" ContentType="application/vnd.openxmlformats-officedocument.spreadsheetml.pivotTable+xml"/>
  <Override PartName="/xl/tables/table3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autoCompressPictures="0"/>
  <mc:AlternateContent xmlns:mc="http://schemas.openxmlformats.org/markup-compatibility/2006">
    <mc:Choice Requires="x15">
      <x15ac:absPath xmlns:x15ac="http://schemas.microsoft.com/office/spreadsheetml/2010/11/ac" url="C:\Users\mralph\OneDrive\Documentos\SGCM\ESTADISTICAS\PASAJEROS METROPOLITANOS\WEB CNRT\2024\"/>
    </mc:Choice>
  </mc:AlternateContent>
  <bookViews>
    <workbookView xWindow="-120" yWindow="-120" windowWidth="29040" windowHeight="15840" tabRatio="715" activeTab="1"/>
  </bookViews>
  <sheets>
    <sheet name="OBSERVACIONES" sheetId="100" r:id="rId1"/>
    <sheet name="Resumen" sheetId="98" r:id="rId2"/>
    <sheet name="TOTAL TAB" sheetId="87" r:id="rId3"/>
    <sheet name="MIT TAB" sheetId="16" r:id="rId4"/>
    <sheet name="SAR TAB" sheetId="17" r:id="rId5"/>
    <sheet name="URQ TAB" sheetId="1" r:id="rId6"/>
    <sheet name="ROC TAB" sheetId="15" r:id="rId7"/>
    <sheet name="SM TAB" sheetId="12" r:id="rId8"/>
    <sheet name="BN TAB" sheetId="13" r:id="rId9"/>
    <sheet name="BS TAB" sheetId="14" r:id="rId10"/>
    <sheet name="TDC TAB" sheetId="96" r:id="rId11"/>
  </sheets>
  <definedNames>
    <definedName name="_xlnm.Print_Area" localSheetId="7">'SM TAB'!$B$1:$L$161</definedName>
    <definedName name="_xlnm.Print_Area" localSheetId="10">'TDC TAB'!$A$1:$K$2</definedName>
    <definedName name="_xlnm.Print_Area" localSheetId="5">'URQ TAB'!$A$1:$K$2</definedName>
    <definedName name="SegmentaciónDeDatos_Año">#N/A</definedName>
    <definedName name="SegmentaciónDeDatos_Mes">#N/A</definedName>
  </definedNames>
  <calcPr calcId="162913"/>
  <pivotCaches>
    <pivotCache cacheId="104" r:id="rId12"/>
    <pivotCache cacheId="105" r:id="rId13"/>
    <pivotCache cacheId="106" r:id="rId14"/>
    <pivotCache cacheId="107" r:id="rId15"/>
    <pivotCache cacheId="108" r:id="rId16"/>
    <pivotCache cacheId="109" r:id="rId17"/>
    <pivotCache cacheId="110" r:id="rId18"/>
    <pivotCache cacheId="111" r:id="rId19"/>
    <pivotCache cacheId="112" r:id="rId20"/>
  </pivotCaches>
  <extLst>
    <ext xmlns:x14="http://schemas.microsoft.com/office/spreadsheetml/2009/9/main" uri="{BBE1A952-AA13-448e-AADC-164F8A28A991}">
      <x14:slicerCaches>
        <x14:slicerCache r:id="rId21"/>
        <x14:slicerCache r:id="rId22"/>
      </x14:slicerCaches>
    </ext>
    <ext xmlns:x14="http://schemas.microsoft.com/office/spreadsheetml/2009/9/main" uri="{79F54976-1DA5-4618-B147-4CDE4B953A38}">
      <x14:workbookPr/>
    </ext>
  </extLst>
</workbook>
</file>

<file path=xl/calcChain.xml><?xml version="1.0" encoding="utf-8"?>
<calcChain xmlns="http://schemas.openxmlformats.org/spreadsheetml/2006/main">
  <c r="G386" i="87" l="1"/>
  <c r="F386" i="87"/>
  <c r="H386" i="87"/>
  <c r="J386" i="87"/>
  <c r="I386" i="87" s="1"/>
  <c r="K386" i="87"/>
  <c r="C386" i="87" s="1"/>
  <c r="L386" i="87"/>
  <c r="I386" i="96"/>
  <c r="C386" i="96"/>
  <c r="D386" i="96"/>
  <c r="E386" i="96"/>
  <c r="L386" i="96"/>
  <c r="K386" i="14"/>
  <c r="J386" i="14"/>
  <c r="L386" i="14" s="1"/>
  <c r="I386" i="14"/>
  <c r="H386" i="14"/>
  <c r="G386" i="14"/>
  <c r="F386" i="14"/>
  <c r="C386" i="14"/>
  <c r="CA386" i="14"/>
  <c r="AK386" i="14"/>
  <c r="W386" i="14"/>
  <c r="BU386" i="14"/>
  <c r="BV386" i="14"/>
  <c r="BW386" i="14"/>
  <c r="CD386" i="14"/>
  <c r="AE386" i="14"/>
  <c r="AF386" i="14"/>
  <c r="AG386" i="14"/>
  <c r="AN386" i="14"/>
  <c r="Q386" i="14"/>
  <c r="R386" i="14"/>
  <c r="S386" i="14"/>
  <c r="Z386" i="14"/>
  <c r="I386" i="13"/>
  <c r="C386" i="13"/>
  <c r="D386" i="13"/>
  <c r="E386" i="13"/>
  <c r="L386" i="13"/>
  <c r="E386" i="87" l="1"/>
  <c r="D386" i="87"/>
  <c r="D386" i="14"/>
  <c r="E386" i="14"/>
  <c r="C386" i="12"/>
  <c r="D386" i="12"/>
  <c r="E386" i="12"/>
  <c r="L386" i="12"/>
  <c r="K386" i="15"/>
  <c r="J386" i="15"/>
  <c r="L386" i="15" s="1"/>
  <c r="I386" i="15"/>
  <c r="H386" i="15"/>
  <c r="G386" i="15"/>
  <c r="F386" i="15"/>
  <c r="E386" i="15"/>
  <c r="D386" i="15"/>
  <c r="C386" i="15"/>
  <c r="GI386" i="15"/>
  <c r="FU386" i="15"/>
  <c r="FG386" i="15"/>
  <c r="ES386" i="15"/>
  <c r="EE386" i="15"/>
  <c r="DQ386" i="15"/>
  <c r="DC386" i="15"/>
  <c r="CO386" i="15"/>
  <c r="CA386" i="15"/>
  <c r="BM386" i="15"/>
  <c r="AY386" i="15"/>
  <c r="W386" i="15"/>
  <c r="GC386" i="15"/>
  <c r="GD386" i="15"/>
  <c r="GE386" i="15"/>
  <c r="GL386" i="15"/>
  <c r="FO386" i="15"/>
  <c r="FP386" i="15"/>
  <c r="FQ386" i="15"/>
  <c r="FX386" i="15"/>
  <c r="FA386" i="15"/>
  <c r="FB386" i="15"/>
  <c r="FC386" i="15"/>
  <c r="FJ386" i="15"/>
  <c r="EM386" i="15"/>
  <c r="EN386" i="15"/>
  <c r="EO386" i="15"/>
  <c r="EV386" i="15"/>
  <c r="DY386" i="15"/>
  <c r="DZ386" i="15"/>
  <c r="EA386" i="15"/>
  <c r="EH386" i="15"/>
  <c r="DK386" i="15"/>
  <c r="DL386" i="15"/>
  <c r="DM386" i="15"/>
  <c r="DT386" i="15"/>
  <c r="CW386" i="15"/>
  <c r="CX386" i="15"/>
  <c r="CY386" i="15"/>
  <c r="DF386" i="15"/>
  <c r="CI386" i="15"/>
  <c r="CJ386" i="15"/>
  <c r="CK386" i="15"/>
  <c r="CR386" i="15"/>
  <c r="BU386" i="15"/>
  <c r="BV386" i="15"/>
  <c r="BW386" i="15"/>
  <c r="CD386" i="15"/>
  <c r="BG386" i="15"/>
  <c r="BH386" i="15"/>
  <c r="BI386" i="15"/>
  <c r="BP386" i="15"/>
  <c r="AS386" i="15"/>
  <c r="AT386" i="15"/>
  <c r="AU386" i="15"/>
  <c r="BB386" i="15"/>
  <c r="Q386" i="15"/>
  <c r="R386" i="15"/>
  <c r="S386" i="15"/>
  <c r="Z386" i="15"/>
  <c r="I386" i="1"/>
  <c r="C386" i="1"/>
  <c r="D386" i="1"/>
  <c r="E386" i="1"/>
  <c r="L386" i="1"/>
  <c r="K386" i="17"/>
  <c r="J386" i="17"/>
  <c r="L386" i="17" s="1"/>
  <c r="I386" i="17"/>
  <c r="H386" i="17"/>
  <c r="G386" i="17"/>
  <c r="F386" i="17"/>
  <c r="E386" i="17"/>
  <c r="D386" i="17"/>
  <c r="C386" i="17"/>
  <c r="AY386" i="17"/>
  <c r="AK386" i="17"/>
  <c r="W386" i="17"/>
  <c r="AS386" i="17"/>
  <c r="AT386" i="17"/>
  <c r="AU386" i="17"/>
  <c r="BB386" i="17"/>
  <c r="AE386" i="17"/>
  <c r="AF386" i="17"/>
  <c r="AG386" i="17"/>
  <c r="AN386" i="17"/>
  <c r="Q386" i="17"/>
  <c r="R386" i="17"/>
  <c r="S386" i="17"/>
  <c r="Z386" i="17"/>
  <c r="C386" i="16"/>
  <c r="D386" i="16"/>
  <c r="F386" i="16"/>
  <c r="G386" i="16"/>
  <c r="H386" i="16"/>
  <c r="I386" i="16" s="1"/>
  <c r="J386" i="16"/>
  <c r="E386" i="16" s="1"/>
  <c r="K386" i="16"/>
  <c r="L386" i="16" s="1"/>
  <c r="CA386" i="16"/>
  <c r="BP386" i="16"/>
  <c r="BM386" i="16"/>
  <c r="AY386" i="16"/>
  <c r="AK386" i="16"/>
  <c r="W386" i="16"/>
  <c r="BU386" i="16"/>
  <c r="BV386" i="16"/>
  <c r="BW386" i="16"/>
  <c r="CD386" i="16"/>
  <c r="BG386" i="16"/>
  <c r="BH386" i="16"/>
  <c r="BI386" i="16"/>
  <c r="AS386" i="16"/>
  <c r="AT386" i="16"/>
  <c r="AU386" i="16"/>
  <c r="BB386" i="16"/>
  <c r="AE386" i="16"/>
  <c r="AF386" i="16"/>
  <c r="AG386" i="16"/>
  <c r="AN386" i="16"/>
  <c r="Q386" i="16"/>
  <c r="R386" i="16"/>
  <c r="S386" i="16"/>
  <c r="Z386" i="16"/>
  <c r="I385" i="96" l="1"/>
  <c r="C385" i="96"/>
  <c r="D385" i="96"/>
  <c r="E385" i="96"/>
  <c r="L385" i="96"/>
  <c r="K385" i="14"/>
  <c r="J385" i="14"/>
  <c r="H385" i="14"/>
  <c r="I385" i="14" s="1"/>
  <c r="F385" i="14"/>
  <c r="CA385" i="14"/>
  <c r="AK385" i="14"/>
  <c r="W385" i="14"/>
  <c r="BU385" i="14"/>
  <c r="BV385" i="14"/>
  <c r="BW385" i="14"/>
  <c r="CD385" i="14"/>
  <c r="AE385" i="14"/>
  <c r="AF385" i="14"/>
  <c r="AG385" i="14"/>
  <c r="AN385" i="14"/>
  <c r="Q385" i="14"/>
  <c r="R385" i="14"/>
  <c r="S385" i="14"/>
  <c r="Z385" i="14"/>
  <c r="I385" i="13"/>
  <c r="C385" i="13"/>
  <c r="D385" i="13"/>
  <c r="E385" i="13"/>
  <c r="L385" i="13"/>
  <c r="I385" i="12"/>
  <c r="C385" i="12"/>
  <c r="D385" i="12"/>
  <c r="E385" i="12"/>
  <c r="L385" i="12"/>
  <c r="K385" i="15"/>
  <c r="J385" i="15"/>
  <c r="H385" i="15"/>
  <c r="F385" i="15"/>
  <c r="GI385" i="15"/>
  <c r="FU385" i="15"/>
  <c r="FG385" i="15"/>
  <c r="ES385" i="15"/>
  <c r="EE385" i="15"/>
  <c r="DQ385" i="15"/>
  <c r="DC385" i="15"/>
  <c r="CO385" i="15"/>
  <c r="CA385" i="15"/>
  <c r="BM385" i="15"/>
  <c r="AY385" i="15"/>
  <c r="W385" i="15"/>
  <c r="GC385" i="15"/>
  <c r="GD385" i="15"/>
  <c r="GE385" i="15"/>
  <c r="GL385" i="15"/>
  <c r="FO385" i="15"/>
  <c r="FP385" i="15"/>
  <c r="FQ385" i="15"/>
  <c r="FX385" i="15"/>
  <c r="FA385" i="15"/>
  <c r="FB385" i="15"/>
  <c r="FC385" i="15"/>
  <c r="FJ385" i="15"/>
  <c r="EM385" i="15"/>
  <c r="EN385" i="15"/>
  <c r="EO385" i="15"/>
  <c r="EV385" i="15"/>
  <c r="DY385" i="15"/>
  <c r="DZ385" i="15"/>
  <c r="EA385" i="15"/>
  <c r="EH385" i="15"/>
  <c r="DK385" i="15"/>
  <c r="DL385" i="15"/>
  <c r="DM385" i="15"/>
  <c r="DT385" i="15"/>
  <c r="CW385" i="15"/>
  <c r="CX385" i="15"/>
  <c r="CY385" i="15"/>
  <c r="DF385" i="15"/>
  <c r="CI385" i="15"/>
  <c r="CJ385" i="15"/>
  <c r="CK385" i="15"/>
  <c r="CR385" i="15"/>
  <c r="BU385" i="15"/>
  <c r="BV385" i="15"/>
  <c r="BW385" i="15"/>
  <c r="CD385" i="15"/>
  <c r="BG385" i="15"/>
  <c r="BH385" i="15"/>
  <c r="BI385" i="15"/>
  <c r="BP385" i="15"/>
  <c r="AS385" i="15"/>
  <c r="AT385" i="15"/>
  <c r="AU385" i="15"/>
  <c r="BB385" i="15"/>
  <c r="Q385" i="15"/>
  <c r="R385" i="15"/>
  <c r="S385" i="15"/>
  <c r="Z385" i="15"/>
  <c r="I385" i="1"/>
  <c r="C385" i="1"/>
  <c r="D385" i="1"/>
  <c r="E385" i="1"/>
  <c r="L385" i="1"/>
  <c r="K385" i="17"/>
  <c r="J385" i="17"/>
  <c r="H385" i="17"/>
  <c r="G385" i="17"/>
  <c r="F385" i="17"/>
  <c r="AY385" i="17"/>
  <c r="AK385" i="17"/>
  <c r="W385" i="17"/>
  <c r="AU385" i="17"/>
  <c r="AT385" i="17"/>
  <c r="AS385" i="17"/>
  <c r="AG385" i="17"/>
  <c r="AF385" i="17"/>
  <c r="AE385" i="17"/>
  <c r="S385" i="17"/>
  <c r="R385" i="17"/>
  <c r="Q385" i="17"/>
  <c r="BB385" i="17"/>
  <c r="AN385" i="17"/>
  <c r="Z385" i="17"/>
  <c r="CA385" i="16"/>
  <c r="BP385" i="16"/>
  <c r="BM385" i="16"/>
  <c r="AY385" i="16"/>
  <c r="AU385" i="16"/>
  <c r="AT385" i="16"/>
  <c r="AS385" i="16"/>
  <c r="AN385" i="16"/>
  <c r="AK385" i="16"/>
  <c r="AG385" i="16"/>
  <c r="AF385" i="16"/>
  <c r="AE385" i="16"/>
  <c r="W385" i="16"/>
  <c r="S385" i="16"/>
  <c r="R385" i="16"/>
  <c r="Q385" i="16"/>
  <c r="K385" i="16"/>
  <c r="J385" i="16"/>
  <c r="H385" i="16"/>
  <c r="F385" i="16"/>
  <c r="BU385" i="16"/>
  <c r="BV385" i="16"/>
  <c r="BW385" i="16"/>
  <c r="CD385" i="16"/>
  <c r="BG385" i="16"/>
  <c r="BH385" i="16"/>
  <c r="BI385" i="16"/>
  <c r="BB385" i="16"/>
  <c r="Z385" i="16"/>
  <c r="D385" i="14" l="1"/>
  <c r="L385" i="14"/>
  <c r="H385" i="87"/>
  <c r="L385" i="15"/>
  <c r="I385" i="15"/>
  <c r="I385" i="17"/>
  <c r="L385" i="17"/>
  <c r="F385" i="87"/>
  <c r="E385" i="16"/>
  <c r="J385" i="87"/>
  <c r="D385" i="16"/>
  <c r="K385" i="87"/>
  <c r="C385" i="14"/>
  <c r="E385" i="14"/>
  <c r="G385" i="14"/>
  <c r="G385" i="15"/>
  <c r="C385" i="15"/>
  <c r="D385" i="15"/>
  <c r="E385" i="15"/>
  <c r="L385" i="16"/>
  <c r="C385" i="16"/>
  <c r="G385" i="16"/>
  <c r="I385" i="16"/>
  <c r="S393" i="13"/>
  <c r="V393" i="13"/>
  <c r="W393" i="13"/>
  <c r="X393" i="13"/>
  <c r="Y393" i="13"/>
  <c r="R393" i="13" s="1"/>
  <c r="Z393" i="13"/>
  <c r="Q393" i="13" l="1"/>
  <c r="I385" i="87"/>
  <c r="D385" i="87"/>
  <c r="E385" i="87"/>
  <c r="G385" i="87"/>
  <c r="L385" i="87"/>
  <c r="C385" i="87"/>
  <c r="E384" i="96"/>
  <c r="D384" i="96"/>
  <c r="C384" i="96"/>
  <c r="I384" i="96"/>
  <c r="L384" i="96"/>
  <c r="K384" i="14"/>
  <c r="J384" i="14"/>
  <c r="L384" i="14" s="1"/>
  <c r="H384" i="14"/>
  <c r="F384" i="14"/>
  <c r="AK384" i="14"/>
  <c r="CA384" i="14"/>
  <c r="W384" i="14"/>
  <c r="BU384" i="14"/>
  <c r="BV384" i="14"/>
  <c r="BW384" i="14"/>
  <c r="CD384" i="14"/>
  <c r="AE384" i="14"/>
  <c r="AF384" i="14"/>
  <c r="AG384" i="14"/>
  <c r="AN384" i="14"/>
  <c r="Q384" i="14"/>
  <c r="R384" i="14"/>
  <c r="S384" i="14"/>
  <c r="Z384" i="14"/>
  <c r="I384" i="13"/>
  <c r="C384" i="13"/>
  <c r="D384" i="13"/>
  <c r="E384" i="13"/>
  <c r="L384" i="13"/>
  <c r="I384" i="12"/>
  <c r="C384" i="12"/>
  <c r="D384" i="12"/>
  <c r="E384" i="12"/>
  <c r="L384" i="12"/>
  <c r="K384" i="15"/>
  <c r="J384" i="15"/>
  <c r="H384" i="15"/>
  <c r="F384" i="15"/>
  <c r="W384" i="15"/>
  <c r="AY384" i="15"/>
  <c r="BM384" i="15"/>
  <c r="CA384" i="15"/>
  <c r="CO384" i="15"/>
  <c r="DC384" i="15"/>
  <c r="DQ384" i="15"/>
  <c r="EE384" i="15"/>
  <c r="ES384" i="15"/>
  <c r="FG384" i="15"/>
  <c r="FU384" i="15"/>
  <c r="GI384" i="15"/>
  <c r="GC384" i="15"/>
  <c r="GD384" i="15"/>
  <c r="GE384" i="15"/>
  <c r="GL384" i="15"/>
  <c r="FO384" i="15"/>
  <c r="FP384" i="15"/>
  <c r="FQ384" i="15"/>
  <c r="FX384" i="15"/>
  <c r="FA384" i="15"/>
  <c r="FB384" i="15"/>
  <c r="FC384" i="15"/>
  <c r="FJ384" i="15"/>
  <c r="EM384" i="15"/>
  <c r="EN384" i="15"/>
  <c r="EO384" i="15"/>
  <c r="EV384" i="15"/>
  <c r="DY384" i="15"/>
  <c r="DZ384" i="15"/>
  <c r="EA384" i="15"/>
  <c r="EH384" i="15"/>
  <c r="DK384" i="15"/>
  <c r="DL384" i="15"/>
  <c r="DM384" i="15"/>
  <c r="DT384" i="15"/>
  <c r="CW384" i="15"/>
  <c r="CX384" i="15"/>
  <c r="CY384" i="15"/>
  <c r="DF384" i="15"/>
  <c r="CI384" i="15"/>
  <c r="CJ384" i="15"/>
  <c r="CK384" i="15"/>
  <c r="CR384" i="15"/>
  <c r="BU384" i="15"/>
  <c r="BV384" i="15"/>
  <c r="BW384" i="15"/>
  <c r="CD384" i="15"/>
  <c r="BG384" i="15"/>
  <c r="BH384" i="15"/>
  <c r="BI384" i="15"/>
  <c r="BP384" i="15"/>
  <c r="AS384" i="15"/>
  <c r="AT384" i="15"/>
  <c r="AU384" i="15"/>
  <c r="BB384" i="15"/>
  <c r="Q384" i="15"/>
  <c r="R384" i="15"/>
  <c r="S384" i="15"/>
  <c r="Z384" i="15"/>
  <c r="I384" i="1"/>
  <c r="C384" i="1"/>
  <c r="D384" i="1"/>
  <c r="E384" i="1"/>
  <c r="L384" i="1"/>
  <c r="K384" i="17"/>
  <c r="J384" i="17"/>
  <c r="H384" i="17"/>
  <c r="G384" i="17"/>
  <c r="F384" i="17"/>
  <c r="I384" i="14" l="1"/>
  <c r="E384" i="17"/>
  <c r="D384" i="17"/>
  <c r="C384" i="17"/>
  <c r="L384" i="17"/>
  <c r="C384" i="14"/>
  <c r="D384" i="14"/>
  <c r="E384" i="14"/>
  <c r="G384" i="14"/>
  <c r="I384" i="15"/>
  <c r="L384" i="15"/>
  <c r="D384" i="15"/>
  <c r="I384" i="17"/>
  <c r="C384" i="15"/>
  <c r="E384" i="15"/>
  <c r="G384" i="15"/>
  <c r="AY384" i="17"/>
  <c r="AK384" i="17"/>
  <c r="W384" i="17"/>
  <c r="AS384" i="17"/>
  <c r="AT384" i="17"/>
  <c r="AU384" i="17"/>
  <c r="BB384" i="17"/>
  <c r="AE384" i="17"/>
  <c r="AF384" i="17"/>
  <c r="AG384" i="17"/>
  <c r="AN384" i="17"/>
  <c r="K384" i="16"/>
  <c r="K384" i="87" s="1"/>
  <c r="J384" i="16"/>
  <c r="H384" i="16"/>
  <c r="F384" i="16"/>
  <c r="F384" i="87" s="1"/>
  <c r="Q384" i="17"/>
  <c r="R384" i="17"/>
  <c r="S384" i="17"/>
  <c r="Z384" i="17"/>
  <c r="CA384" i="16"/>
  <c r="BP384" i="16"/>
  <c r="BM384" i="16"/>
  <c r="AY384" i="16"/>
  <c r="AK384" i="16"/>
  <c r="W384" i="16"/>
  <c r="BU384" i="16"/>
  <c r="BV384" i="16"/>
  <c r="BW384" i="16"/>
  <c r="CD384" i="16"/>
  <c r="BG384" i="16"/>
  <c r="BH384" i="16"/>
  <c r="BI384" i="16"/>
  <c r="AS384" i="16"/>
  <c r="AT384" i="16"/>
  <c r="AU384" i="16"/>
  <c r="BB384" i="16"/>
  <c r="AE384" i="16"/>
  <c r="AF384" i="16"/>
  <c r="AG384" i="16"/>
  <c r="AN384" i="16"/>
  <c r="Q384" i="16"/>
  <c r="R384" i="16"/>
  <c r="S384" i="16"/>
  <c r="Z384" i="16"/>
  <c r="E384" i="16" l="1"/>
  <c r="G384" i="16"/>
  <c r="I384" i="16"/>
  <c r="H384" i="87"/>
  <c r="C384" i="87" s="1"/>
  <c r="L384" i="16"/>
  <c r="J384" i="87"/>
  <c r="D384" i="87" s="1"/>
  <c r="C384" i="16"/>
  <c r="D384" i="16"/>
  <c r="I383" i="96"/>
  <c r="C383" i="96"/>
  <c r="D383" i="96"/>
  <c r="E383" i="96"/>
  <c r="L383" i="96"/>
  <c r="K383" i="14"/>
  <c r="J383" i="14"/>
  <c r="H383" i="14"/>
  <c r="F383" i="14"/>
  <c r="AK383" i="14"/>
  <c r="CA383" i="14"/>
  <c r="CO383" i="14"/>
  <c r="W383" i="14"/>
  <c r="CI383" i="14"/>
  <c r="CJ383" i="14"/>
  <c r="CK383" i="14"/>
  <c r="CR383" i="14"/>
  <c r="BU383" i="14"/>
  <c r="BV383" i="14"/>
  <c r="BW383" i="14"/>
  <c r="CD383" i="14"/>
  <c r="AE383" i="14"/>
  <c r="AF383" i="14"/>
  <c r="AG383" i="14"/>
  <c r="AN383" i="14"/>
  <c r="Q383" i="14"/>
  <c r="R383" i="14"/>
  <c r="S383" i="14"/>
  <c r="Z383" i="14"/>
  <c r="I383" i="13"/>
  <c r="C383" i="13"/>
  <c r="D383" i="13"/>
  <c r="E383" i="13"/>
  <c r="L383" i="13"/>
  <c r="I383" i="12"/>
  <c r="G383" i="12"/>
  <c r="F383" i="12"/>
  <c r="C383" i="12"/>
  <c r="D383" i="12"/>
  <c r="E383" i="12"/>
  <c r="L383" i="12"/>
  <c r="K383" i="15"/>
  <c r="J383" i="15"/>
  <c r="G383" i="15" s="1"/>
  <c r="H383" i="15"/>
  <c r="F383" i="15"/>
  <c r="W383" i="15"/>
  <c r="AY383" i="15"/>
  <c r="BM383" i="15"/>
  <c r="CA383" i="15"/>
  <c r="CO383" i="15"/>
  <c r="DC383" i="15"/>
  <c r="DQ383" i="15"/>
  <c r="EE383" i="15"/>
  <c r="ES383" i="15"/>
  <c r="FG383" i="15"/>
  <c r="FU383" i="15"/>
  <c r="GI383" i="15"/>
  <c r="GC383" i="15"/>
  <c r="GD383" i="15"/>
  <c r="GE383" i="15"/>
  <c r="GL383" i="15"/>
  <c r="FO383" i="15"/>
  <c r="FP383" i="15"/>
  <c r="FQ383" i="15"/>
  <c r="FX383" i="15"/>
  <c r="FA383" i="15"/>
  <c r="FB383" i="15"/>
  <c r="FC383" i="15"/>
  <c r="FJ383" i="15"/>
  <c r="EM383" i="15"/>
  <c r="EN383" i="15"/>
  <c r="EO383" i="15"/>
  <c r="EV383" i="15"/>
  <c r="DY383" i="15"/>
  <c r="DZ383" i="15"/>
  <c r="EA383" i="15"/>
  <c r="EH383" i="15"/>
  <c r="DK383" i="15"/>
  <c r="DL383" i="15"/>
  <c r="DM383" i="15"/>
  <c r="DT383" i="15"/>
  <c r="CW383" i="15"/>
  <c r="CX383" i="15"/>
  <c r="CY383" i="15"/>
  <c r="DF383" i="15"/>
  <c r="CI383" i="15"/>
  <c r="CJ383" i="15"/>
  <c r="CK383" i="15"/>
  <c r="CR383" i="15"/>
  <c r="BU383" i="15"/>
  <c r="BV383" i="15"/>
  <c r="BW383" i="15"/>
  <c r="CD383" i="15"/>
  <c r="BG383" i="15"/>
  <c r="BH383" i="15"/>
  <c r="BI383" i="15"/>
  <c r="BP383" i="15"/>
  <c r="AS383" i="15"/>
  <c r="AT383" i="15"/>
  <c r="AU383" i="15"/>
  <c r="BB383" i="15"/>
  <c r="Q383" i="15"/>
  <c r="R383" i="15"/>
  <c r="S383" i="15"/>
  <c r="Z383" i="15"/>
  <c r="I383" i="1"/>
  <c r="C383" i="1"/>
  <c r="D383" i="1"/>
  <c r="E383" i="1"/>
  <c r="L383" i="1"/>
  <c r="K383" i="17"/>
  <c r="J383" i="17"/>
  <c r="G383" i="17" s="1"/>
  <c r="H383" i="17"/>
  <c r="F383" i="17"/>
  <c r="W383" i="17"/>
  <c r="AK383" i="17"/>
  <c r="AY383" i="17"/>
  <c r="AS383" i="17"/>
  <c r="AT383" i="17"/>
  <c r="AU383" i="17"/>
  <c r="BB383" i="17"/>
  <c r="AE383" i="17"/>
  <c r="AF383" i="17"/>
  <c r="AG383" i="17"/>
  <c r="AN383" i="17"/>
  <c r="Q383" i="17"/>
  <c r="R383" i="17"/>
  <c r="S383" i="17"/>
  <c r="Z383" i="17"/>
  <c r="K383" i="16"/>
  <c r="J383" i="16"/>
  <c r="G383" i="16" s="1"/>
  <c r="H383" i="16"/>
  <c r="F383" i="16"/>
  <c r="W383" i="16"/>
  <c r="AK383" i="16"/>
  <c r="AY383" i="16"/>
  <c r="BM383" i="16"/>
  <c r="BP383" i="16"/>
  <c r="CA383" i="16"/>
  <c r="BU383" i="16"/>
  <c r="BV383" i="16"/>
  <c r="BW383" i="16"/>
  <c r="CD383" i="16"/>
  <c r="BG383" i="16"/>
  <c r="BH383" i="16"/>
  <c r="BI383" i="16"/>
  <c r="AS383" i="16"/>
  <c r="AT383" i="16"/>
  <c r="AU383" i="16"/>
  <c r="BB383" i="16"/>
  <c r="AE383" i="16"/>
  <c r="AF383" i="16"/>
  <c r="AG383" i="16"/>
  <c r="AN383" i="16"/>
  <c r="Q383" i="16"/>
  <c r="R383" i="16"/>
  <c r="S383" i="16"/>
  <c r="Z383" i="16"/>
  <c r="I383" i="14" l="1"/>
  <c r="C383" i="17"/>
  <c r="L383" i="17"/>
  <c r="L384" i="87"/>
  <c r="E384" i="87"/>
  <c r="I384" i="87"/>
  <c r="G384" i="87"/>
  <c r="L383" i="14"/>
  <c r="D383" i="15"/>
  <c r="I383" i="15"/>
  <c r="E383" i="15"/>
  <c r="D383" i="17"/>
  <c r="F383" i="87"/>
  <c r="I383" i="17"/>
  <c r="E383" i="17"/>
  <c r="E383" i="16"/>
  <c r="I383" i="16"/>
  <c r="D383" i="16"/>
  <c r="K383" i="87"/>
  <c r="H383" i="87"/>
  <c r="L383" i="16"/>
  <c r="C383" i="16"/>
  <c r="J383" i="87"/>
  <c r="C383" i="14"/>
  <c r="D383" i="14"/>
  <c r="E383" i="14"/>
  <c r="G383" i="14"/>
  <c r="L383" i="15"/>
  <c r="C383" i="15"/>
  <c r="I382" i="96"/>
  <c r="C382" i="96"/>
  <c r="D382" i="96"/>
  <c r="E382" i="96"/>
  <c r="L382" i="96"/>
  <c r="CA382" i="14"/>
  <c r="AK382" i="14"/>
  <c r="W382" i="14"/>
  <c r="K382" i="14"/>
  <c r="J382" i="14"/>
  <c r="H382" i="14"/>
  <c r="F382" i="14"/>
  <c r="CO382" i="14"/>
  <c r="CI382" i="14"/>
  <c r="CJ382" i="14"/>
  <c r="CK382" i="14"/>
  <c r="CR382" i="14"/>
  <c r="BU382" i="14"/>
  <c r="BV382" i="14"/>
  <c r="BW382" i="14"/>
  <c r="CD382" i="14"/>
  <c r="AE382" i="14"/>
  <c r="AF382" i="14"/>
  <c r="AG382" i="14"/>
  <c r="AN382" i="14"/>
  <c r="Q382" i="14"/>
  <c r="R382" i="14"/>
  <c r="S382" i="14"/>
  <c r="Z382" i="14"/>
  <c r="I382" i="13"/>
  <c r="C382" i="13"/>
  <c r="D382" i="13"/>
  <c r="E382" i="13"/>
  <c r="L382" i="13"/>
  <c r="F382" i="12"/>
  <c r="G382" i="12"/>
  <c r="I382" i="12"/>
  <c r="C382" i="12"/>
  <c r="D382" i="12"/>
  <c r="E382" i="12"/>
  <c r="L382" i="12"/>
  <c r="K382" i="15"/>
  <c r="J382" i="15"/>
  <c r="H382" i="15"/>
  <c r="F382" i="15"/>
  <c r="W382" i="15"/>
  <c r="AY382" i="15"/>
  <c r="BM382" i="15"/>
  <c r="CA382" i="15"/>
  <c r="CO382" i="15"/>
  <c r="DC382" i="15"/>
  <c r="DQ382" i="15"/>
  <c r="EE382" i="15"/>
  <c r="ES382" i="15"/>
  <c r="FG382" i="15"/>
  <c r="FU382" i="15"/>
  <c r="GI382" i="15"/>
  <c r="GC382" i="15"/>
  <c r="GD382" i="15"/>
  <c r="GE382" i="15"/>
  <c r="GL382" i="15"/>
  <c r="FO382" i="15"/>
  <c r="FP382" i="15"/>
  <c r="FQ382" i="15"/>
  <c r="FX382" i="15"/>
  <c r="FA382" i="15"/>
  <c r="FB382" i="15"/>
  <c r="FC382" i="15"/>
  <c r="FJ382" i="15"/>
  <c r="EM382" i="15"/>
  <c r="EN382" i="15"/>
  <c r="EO382" i="15"/>
  <c r="EV382" i="15"/>
  <c r="DY382" i="15"/>
  <c r="DZ382" i="15"/>
  <c r="EA382" i="15"/>
  <c r="EH382" i="15"/>
  <c r="DK382" i="15"/>
  <c r="DL382" i="15"/>
  <c r="DM382" i="15"/>
  <c r="DT382" i="15"/>
  <c r="CW382" i="15"/>
  <c r="CX382" i="15"/>
  <c r="CY382" i="15"/>
  <c r="DF382" i="15"/>
  <c r="CI382" i="15"/>
  <c r="CJ382" i="15"/>
  <c r="CK382" i="15"/>
  <c r="CR382" i="15"/>
  <c r="BU382" i="15"/>
  <c r="BV382" i="15"/>
  <c r="BW382" i="15"/>
  <c r="CD382" i="15"/>
  <c r="BG382" i="15"/>
  <c r="BH382" i="15"/>
  <c r="BI382" i="15"/>
  <c r="BP382" i="15"/>
  <c r="AS382" i="15"/>
  <c r="AT382" i="15"/>
  <c r="AU382" i="15"/>
  <c r="BB382" i="15"/>
  <c r="Q382" i="15"/>
  <c r="R382" i="15"/>
  <c r="S382" i="15"/>
  <c r="Z382" i="15"/>
  <c r="I382" i="1"/>
  <c r="C382" i="1"/>
  <c r="D382" i="1"/>
  <c r="E382" i="1"/>
  <c r="L382" i="1"/>
  <c r="F382" i="17"/>
  <c r="H382" i="17"/>
  <c r="J382" i="17"/>
  <c r="K382" i="17"/>
  <c r="W382" i="17"/>
  <c r="AK382" i="17"/>
  <c r="AY382" i="17"/>
  <c r="AS382" i="17"/>
  <c r="AT382" i="17"/>
  <c r="AU382" i="17"/>
  <c r="BB382" i="17"/>
  <c r="AE382" i="17"/>
  <c r="AF382" i="17"/>
  <c r="AG382" i="17"/>
  <c r="AN382" i="17"/>
  <c r="Q382" i="17"/>
  <c r="R382" i="17"/>
  <c r="S382" i="17"/>
  <c r="Z382" i="17"/>
  <c r="CA382" i="16"/>
  <c r="CA381" i="16"/>
  <c r="BP382" i="16"/>
  <c r="BP381" i="16"/>
  <c r="BM382" i="16"/>
  <c r="BM381" i="16"/>
  <c r="AY382" i="16"/>
  <c r="AY381" i="16"/>
  <c r="AK382" i="16"/>
  <c r="AK381" i="16"/>
  <c r="W382" i="16"/>
  <c r="K382" i="16"/>
  <c r="J382" i="16"/>
  <c r="G382" i="16" s="1"/>
  <c r="H382" i="16"/>
  <c r="F382" i="16"/>
  <c r="BU382" i="16"/>
  <c r="BV382" i="16"/>
  <c r="BW382" i="16"/>
  <c r="CD382" i="16"/>
  <c r="BG382" i="16"/>
  <c r="BH382" i="16"/>
  <c r="BI382" i="16"/>
  <c r="AS382" i="16"/>
  <c r="AT382" i="16"/>
  <c r="AU382" i="16"/>
  <c r="BB382" i="16"/>
  <c r="AE382" i="16"/>
  <c r="AF382" i="16"/>
  <c r="AG382" i="16"/>
  <c r="AN382" i="16"/>
  <c r="Q382" i="16"/>
  <c r="R382" i="16"/>
  <c r="S382" i="16"/>
  <c r="Z382" i="16"/>
  <c r="C382" i="17" l="1"/>
  <c r="D383" i="87"/>
  <c r="E383" i="87"/>
  <c r="G383" i="87"/>
  <c r="C383" i="87"/>
  <c r="I382" i="16"/>
  <c r="D382" i="16"/>
  <c r="I383" i="87"/>
  <c r="L383" i="87"/>
  <c r="L382" i="17"/>
  <c r="I382" i="17"/>
  <c r="G382" i="17"/>
  <c r="D382" i="17"/>
  <c r="E382" i="17"/>
  <c r="J382" i="87"/>
  <c r="H382" i="87"/>
  <c r="L382" i="16"/>
  <c r="K382" i="87"/>
  <c r="L382" i="14"/>
  <c r="G382" i="15"/>
  <c r="F382" i="87"/>
  <c r="E382" i="15"/>
  <c r="D382" i="14"/>
  <c r="C382" i="15"/>
  <c r="D382" i="15"/>
  <c r="C382" i="14"/>
  <c r="I382" i="15"/>
  <c r="L382" i="15"/>
  <c r="I382" i="14"/>
  <c r="G382" i="14"/>
  <c r="E382" i="14"/>
  <c r="C382" i="16"/>
  <c r="E382" i="16"/>
  <c r="I381" i="96"/>
  <c r="C381" i="96"/>
  <c r="D381" i="96"/>
  <c r="E381" i="96"/>
  <c r="L381" i="96"/>
  <c r="K381" i="14"/>
  <c r="J381" i="14"/>
  <c r="G381" i="14" s="1"/>
  <c r="H381" i="14"/>
  <c r="F381" i="14"/>
  <c r="W381" i="14"/>
  <c r="AK381" i="14"/>
  <c r="CA381" i="14"/>
  <c r="CO381" i="14"/>
  <c r="CI381" i="14"/>
  <c r="CJ381" i="14"/>
  <c r="CK381" i="14"/>
  <c r="CR381" i="14"/>
  <c r="BU381" i="14"/>
  <c r="BV381" i="14"/>
  <c r="BW381" i="14"/>
  <c r="CD381" i="14"/>
  <c r="AE381" i="14"/>
  <c r="AF381" i="14"/>
  <c r="AG381" i="14"/>
  <c r="AN381" i="14"/>
  <c r="Q381" i="14"/>
  <c r="R381" i="14"/>
  <c r="S381" i="14"/>
  <c r="Z381" i="14"/>
  <c r="I381" i="13"/>
  <c r="C381" i="13"/>
  <c r="D381" i="13"/>
  <c r="E381" i="13"/>
  <c r="L381" i="13"/>
  <c r="I381" i="12"/>
  <c r="G381" i="12"/>
  <c r="F381" i="12"/>
  <c r="C381" i="12"/>
  <c r="D381" i="12"/>
  <c r="E381" i="12"/>
  <c r="L381" i="12"/>
  <c r="F381" i="15"/>
  <c r="K381" i="15"/>
  <c r="J381" i="15"/>
  <c r="G381" i="15" s="1"/>
  <c r="H381" i="15"/>
  <c r="W381" i="15"/>
  <c r="AY381" i="15"/>
  <c r="BM381" i="15"/>
  <c r="CA381" i="15"/>
  <c r="CO381" i="15"/>
  <c r="DC381" i="15"/>
  <c r="DQ381" i="15"/>
  <c r="EE381" i="15"/>
  <c r="ES381" i="15"/>
  <c r="FG381" i="15"/>
  <c r="FU381" i="15"/>
  <c r="GI381" i="15"/>
  <c r="GC381" i="15"/>
  <c r="GD381" i="15"/>
  <c r="GE381" i="15"/>
  <c r="GL381" i="15"/>
  <c r="FO381" i="15"/>
  <c r="FP381" i="15"/>
  <c r="FQ381" i="15"/>
  <c r="FX381" i="15"/>
  <c r="FA381" i="15"/>
  <c r="FB381" i="15"/>
  <c r="FC381" i="15"/>
  <c r="FJ381" i="15"/>
  <c r="EM381" i="15"/>
  <c r="EN381" i="15"/>
  <c r="EO381" i="15"/>
  <c r="EV381" i="15"/>
  <c r="DY381" i="15"/>
  <c r="DZ381" i="15"/>
  <c r="EA381" i="15"/>
  <c r="EH381" i="15"/>
  <c r="DK381" i="15"/>
  <c r="DL381" i="15"/>
  <c r="DM381" i="15"/>
  <c r="DT381" i="15"/>
  <c r="CW381" i="15"/>
  <c r="CX381" i="15"/>
  <c r="CY381" i="15"/>
  <c r="DF381" i="15"/>
  <c r="CI381" i="15"/>
  <c r="CJ381" i="15"/>
  <c r="CK381" i="15"/>
  <c r="CR381" i="15"/>
  <c r="BU381" i="15"/>
  <c r="BV381" i="15"/>
  <c r="BW381" i="15"/>
  <c r="CD381" i="15"/>
  <c r="BG381" i="15"/>
  <c r="BH381" i="15"/>
  <c r="BI381" i="15"/>
  <c r="BP381" i="15"/>
  <c r="AS381" i="15"/>
  <c r="AT381" i="15"/>
  <c r="AU381" i="15"/>
  <c r="BB381" i="15"/>
  <c r="Q381" i="15"/>
  <c r="R381" i="15"/>
  <c r="S381" i="15"/>
  <c r="Z381" i="15"/>
  <c r="I381" i="1"/>
  <c r="C381" i="1"/>
  <c r="D381" i="1"/>
  <c r="E381" i="1"/>
  <c r="L381" i="1"/>
  <c r="K381" i="17"/>
  <c r="J381" i="17"/>
  <c r="G381" i="17" s="1"/>
  <c r="H381" i="17"/>
  <c r="F381" i="17"/>
  <c r="AY381" i="17"/>
  <c r="AK381" i="17"/>
  <c r="W381" i="17"/>
  <c r="AS381" i="17"/>
  <c r="AT381" i="17"/>
  <c r="AU381" i="17"/>
  <c r="BB381" i="17"/>
  <c r="AE381" i="17"/>
  <c r="AF381" i="17"/>
  <c r="AG381" i="17"/>
  <c r="AN381" i="17"/>
  <c r="Q381" i="17"/>
  <c r="R381" i="17"/>
  <c r="S381" i="17"/>
  <c r="Z381" i="17"/>
  <c r="K381" i="16"/>
  <c r="J381" i="16"/>
  <c r="H381" i="16"/>
  <c r="F381" i="16"/>
  <c r="W381" i="16"/>
  <c r="BU381" i="16"/>
  <c r="BV381" i="16"/>
  <c r="BW381" i="16"/>
  <c r="CD381" i="16"/>
  <c r="BG381" i="16"/>
  <c r="BH381" i="16"/>
  <c r="BI381" i="16"/>
  <c r="AS381" i="16"/>
  <c r="AT381" i="16"/>
  <c r="AU381" i="16"/>
  <c r="BB381" i="16"/>
  <c r="AE381" i="16"/>
  <c r="AF381" i="16"/>
  <c r="AG381" i="16"/>
  <c r="AN381" i="16"/>
  <c r="Q381" i="16"/>
  <c r="R381" i="16"/>
  <c r="S381" i="16"/>
  <c r="Z381" i="16"/>
  <c r="I381" i="17" l="1"/>
  <c r="I382" i="87"/>
  <c r="E382" i="87"/>
  <c r="C382" i="87"/>
  <c r="L382" i="87"/>
  <c r="D382" i="87"/>
  <c r="G382" i="87"/>
  <c r="L381" i="14"/>
  <c r="I381" i="14"/>
  <c r="E381" i="15"/>
  <c r="C381" i="15"/>
  <c r="J381" i="87"/>
  <c r="K381" i="87"/>
  <c r="D381" i="15"/>
  <c r="L381" i="17"/>
  <c r="F381" i="87"/>
  <c r="I381" i="16"/>
  <c r="H381" i="87"/>
  <c r="C381" i="14"/>
  <c r="D381" i="14"/>
  <c r="E381" i="14"/>
  <c r="I381" i="15"/>
  <c r="L381" i="15"/>
  <c r="D381" i="17"/>
  <c r="C381" i="17"/>
  <c r="E381" i="17"/>
  <c r="D381" i="16"/>
  <c r="E381" i="16"/>
  <c r="L381" i="16"/>
  <c r="C381" i="16"/>
  <c r="G381" i="16"/>
  <c r="G381" i="87" l="1"/>
  <c r="D381" i="87"/>
  <c r="C381" i="87"/>
  <c r="L381" i="87"/>
  <c r="I381" i="87"/>
  <c r="E381" i="87"/>
  <c r="I380" i="96" l="1"/>
  <c r="C380" i="96"/>
  <c r="D380" i="96"/>
  <c r="E380" i="96"/>
  <c r="L380" i="96"/>
  <c r="CA380" i="14"/>
  <c r="AK380" i="14"/>
  <c r="W380" i="14"/>
  <c r="CO380" i="14"/>
  <c r="K380" i="14"/>
  <c r="J380" i="14"/>
  <c r="G380" i="14" s="1"/>
  <c r="H380" i="14"/>
  <c r="F380" i="14"/>
  <c r="CI380" i="14"/>
  <c r="CJ380" i="14"/>
  <c r="CK380" i="14"/>
  <c r="CR380" i="14"/>
  <c r="BU380" i="14"/>
  <c r="BV380" i="14"/>
  <c r="BW380" i="14"/>
  <c r="CD380" i="14"/>
  <c r="AE380" i="14"/>
  <c r="AF380" i="14"/>
  <c r="AG380" i="14"/>
  <c r="AN380" i="14"/>
  <c r="Q380" i="14"/>
  <c r="R380" i="14"/>
  <c r="S380" i="14"/>
  <c r="Z380" i="14"/>
  <c r="I380" i="14" l="1"/>
  <c r="D380" i="14"/>
  <c r="L380" i="14"/>
  <c r="C380" i="14"/>
  <c r="E380" i="14"/>
  <c r="I380" i="13"/>
  <c r="C380" i="13"/>
  <c r="D380" i="13"/>
  <c r="E380" i="13"/>
  <c r="L380" i="13"/>
  <c r="I380" i="12"/>
  <c r="G380" i="12"/>
  <c r="F380" i="12"/>
  <c r="C380" i="12"/>
  <c r="D380" i="12"/>
  <c r="E380" i="12"/>
  <c r="L380" i="12"/>
  <c r="W380" i="15"/>
  <c r="AY380" i="15"/>
  <c r="BM380" i="15"/>
  <c r="CA380" i="15"/>
  <c r="CO380" i="15"/>
  <c r="DC380" i="15"/>
  <c r="DQ380" i="15"/>
  <c r="EE380" i="15"/>
  <c r="ES380" i="15"/>
  <c r="FG380" i="15"/>
  <c r="FU380" i="15"/>
  <c r="GI380" i="15"/>
  <c r="K380" i="15"/>
  <c r="J380" i="15"/>
  <c r="G380" i="15" s="1"/>
  <c r="H380" i="15"/>
  <c r="F380" i="15"/>
  <c r="GC380" i="15"/>
  <c r="GD380" i="15"/>
  <c r="GE380" i="15"/>
  <c r="GL380" i="15"/>
  <c r="FO380" i="15"/>
  <c r="FP380" i="15"/>
  <c r="FQ380" i="15"/>
  <c r="FX380" i="15"/>
  <c r="FA380" i="15"/>
  <c r="FB380" i="15"/>
  <c r="FC380" i="15"/>
  <c r="FJ380" i="15"/>
  <c r="EM380" i="15"/>
  <c r="EN380" i="15"/>
  <c r="EO380" i="15"/>
  <c r="EV380" i="15"/>
  <c r="DY380" i="15"/>
  <c r="DZ380" i="15"/>
  <c r="EA380" i="15"/>
  <c r="EH380" i="15"/>
  <c r="DK380" i="15"/>
  <c r="DL380" i="15"/>
  <c r="DM380" i="15"/>
  <c r="DT380" i="15"/>
  <c r="CW380" i="15"/>
  <c r="CX380" i="15"/>
  <c r="CY380" i="15"/>
  <c r="DF380" i="15"/>
  <c r="CI380" i="15"/>
  <c r="CJ380" i="15"/>
  <c r="CK380" i="15"/>
  <c r="CR380" i="15"/>
  <c r="BU380" i="15"/>
  <c r="BV380" i="15"/>
  <c r="BW380" i="15"/>
  <c r="CD380" i="15"/>
  <c r="BG380" i="15"/>
  <c r="BH380" i="15"/>
  <c r="BI380" i="15"/>
  <c r="BP380" i="15"/>
  <c r="AS380" i="15"/>
  <c r="AT380" i="15"/>
  <c r="AU380" i="15"/>
  <c r="BB380" i="15"/>
  <c r="Q380" i="15"/>
  <c r="R380" i="15"/>
  <c r="S380" i="15"/>
  <c r="Z380" i="15"/>
  <c r="I380" i="1"/>
  <c r="C380" i="1"/>
  <c r="D380" i="1"/>
  <c r="E380" i="1"/>
  <c r="L380" i="1"/>
  <c r="K380" i="17"/>
  <c r="J380" i="17"/>
  <c r="H380" i="17"/>
  <c r="F380" i="17"/>
  <c r="W380" i="17"/>
  <c r="AK380" i="17"/>
  <c r="AY380" i="17"/>
  <c r="AS380" i="17"/>
  <c r="AT380" i="17"/>
  <c r="AU380" i="17"/>
  <c r="BB380" i="17"/>
  <c r="Q380" i="17"/>
  <c r="R380" i="17"/>
  <c r="S380" i="17"/>
  <c r="Z380" i="17"/>
  <c r="AE380" i="17"/>
  <c r="AF380" i="17"/>
  <c r="AG380" i="17"/>
  <c r="AN380" i="17"/>
  <c r="BP380" i="16"/>
  <c r="CA380" i="16"/>
  <c r="BM380" i="16"/>
  <c r="AY380" i="16"/>
  <c r="AK380" i="16"/>
  <c r="W380" i="16"/>
  <c r="K380" i="16"/>
  <c r="J380" i="16"/>
  <c r="H380" i="16"/>
  <c r="G380" i="16"/>
  <c r="F380" i="16"/>
  <c r="BU380" i="16"/>
  <c r="BV380" i="16"/>
  <c r="BW380" i="16"/>
  <c r="CD380" i="16"/>
  <c r="BG380" i="16"/>
  <c r="BH380" i="16"/>
  <c r="BI380" i="16"/>
  <c r="AS380" i="16"/>
  <c r="AT380" i="16"/>
  <c r="AU380" i="16"/>
  <c r="BB380" i="16"/>
  <c r="AE380" i="16"/>
  <c r="AF380" i="16"/>
  <c r="AG380" i="16"/>
  <c r="AN380" i="16"/>
  <c r="Q380" i="16"/>
  <c r="R380" i="16"/>
  <c r="S380" i="16"/>
  <c r="Z380" i="16"/>
  <c r="L380" i="17" l="1"/>
  <c r="G380" i="17"/>
  <c r="E380" i="17"/>
  <c r="K380" i="87"/>
  <c r="F380" i="87"/>
  <c r="C380" i="17"/>
  <c r="I380" i="16"/>
  <c r="H380" i="87"/>
  <c r="E380" i="16"/>
  <c r="J380" i="87"/>
  <c r="E380" i="15"/>
  <c r="D380" i="15"/>
  <c r="L380" i="15"/>
  <c r="I380" i="15"/>
  <c r="C380" i="15"/>
  <c r="D380" i="17"/>
  <c r="I380" i="17"/>
  <c r="C380" i="16"/>
  <c r="L380" i="16"/>
  <c r="D380" i="16"/>
  <c r="E379" i="13"/>
  <c r="D379" i="13"/>
  <c r="C379" i="13"/>
  <c r="L379" i="13"/>
  <c r="I379" i="13"/>
  <c r="C380" i="87" l="1"/>
  <c r="G380" i="87"/>
  <c r="E380" i="87"/>
  <c r="D380" i="87"/>
  <c r="L380" i="87"/>
  <c r="I380" i="87"/>
  <c r="I379" i="96"/>
  <c r="C379" i="96"/>
  <c r="D379" i="96"/>
  <c r="E379" i="96"/>
  <c r="L379" i="96"/>
  <c r="K379" i="14"/>
  <c r="J379" i="14"/>
  <c r="H379" i="14"/>
  <c r="F379" i="14"/>
  <c r="W379" i="14"/>
  <c r="AK379" i="14"/>
  <c r="CA379" i="14"/>
  <c r="CO379" i="14"/>
  <c r="CI379" i="14"/>
  <c r="CJ379" i="14"/>
  <c r="CK379" i="14"/>
  <c r="CR379" i="14"/>
  <c r="BU379" i="14"/>
  <c r="BV379" i="14"/>
  <c r="BW379" i="14"/>
  <c r="CD379" i="14"/>
  <c r="AE379" i="14"/>
  <c r="AF379" i="14"/>
  <c r="AG379" i="14"/>
  <c r="AN379" i="14"/>
  <c r="Q379" i="14"/>
  <c r="R379" i="14"/>
  <c r="S379" i="14"/>
  <c r="Z379" i="14"/>
  <c r="I379" i="12"/>
  <c r="G379" i="12"/>
  <c r="F379" i="12"/>
  <c r="C379" i="12"/>
  <c r="D379" i="12"/>
  <c r="E379" i="12"/>
  <c r="L379" i="12"/>
  <c r="K379" i="15"/>
  <c r="J379" i="15"/>
  <c r="G379" i="15" s="1"/>
  <c r="H379" i="15"/>
  <c r="F379" i="15"/>
  <c r="W379" i="15"/>
  <c r="AY379" i="15"/>
  <c r="BM379" i="15"/>
  <c r="CA379" i="15"/>
  <c r="CO379" i="15"/>
  <c r="DC379" i="15"/>
  <c r="DQ379" i="15"/>
  <c r="EE379" i="15"/>
  <c r="ES379" i="15"/>
  <c r="FG379" i="15"/>
  <c r="FU379" i="15"/>
  <c r="GI379" i="15"/>
  <c r="GC379" i="15"/>
  <c r="GD379" i="15"/>
  <c r="GE379" i="15"/>
  <c r="GL379" i="15"/>
  <c r="FO379" i="15"/>
  <c r="FP379" i="15"/>
  <c r="FQ379" i="15"/>
  <c r="FX379" i="15"/>
  <c r="FA379" i="15"/>
  <c r="FB379" i="15"/>
  <c r="FC379" i="15"/>
  <c r="FJ379" i="15"/>
  <c r="EM379" i="15"/>
  <c r="EN379" i="15"/>
  <c r="EO379" i="15"/>
  <c r="EV379" i="15"/>
  <c r="DY379" i="15"/>
  <c r="DZ379" i="15"/>
  <c r="EA379" i="15"/>
  <c r="EH379" i="15"/>
  <c r="DK379" i="15"/>
  <c r="DL379" i="15"/>
  <c r="DM379" i="15"/>
  <c r="DT379" i="15"/>
  <c r="CW379" i="15"/>
  <c r="CX379" i="15"/>
  <c r="CY379" i="15"/>
  <c r="DF379" i="15"/>
  <c r="CI379" i="15"/>
  <c r="CJ379" i="15"/>
  <c r="CK379" i="15"/>
  <c r="CR379" i="15"/>
  <c r="BU379" i="15"/>
  <c r="BV379" i="15"/>
  <c r="BW379" i="15"/>
  <c r="CD379" i="15"/>
  <c r="BG379" i="15"/>
  <c r="BH379" i="15"/>
  <c r="BI379" i="15"/>
  <c r="BP379" i="15"/>
  <c r="AS379" i="15"/>
  <c r="AT379" i="15"/>
  <c r="AU379" i="15"/>
  <c r="BB379" i="15"/>
  <c r="Q379" i="15"/>
  <c r="R379" i="15"/>
  <c r="S379" i="15"/>
  <c r="Z379" i="15"/>
  <c r="I379" i="1"/>
  <c r="C379" i="1"/>
  <c r="D379" i="1"/>
  <c r="E379" i="1"/>
  <c r="L379" i="1"/>
  <c r="K379" i="17"/>
  <c r="J379" i="17"/>
  <c r="G379" i="17" s="1"/>
  <c r="H379" i="17"/>
  <c r="F379" i="17"/>
  <c r="W379" i="17"/>
  <c r="AK379" i="17"/>
  <c r="AY379" i="17"/>
  <c r="AS379" i="17"/>
  <c r="AT379" i="17"/>
  <c r="AU379" i="17"/>
  <c r="BB379" i="17"/>
  <c r="AE379" i="17"/>
  <c r="AF379" i="17"/>
  <c r="AG379" i="17"/>
  <c r="AN379" i="17"/>
  <c r="Q379" i="17"/>
  <c r="R379" i="17"/>
  <c r="S379" i="17"/>
  <c r="Z379" i="17"/>
  <c r="F379" i="16"/>
  <c r="H379" i="16"/>
  <c r="J379" i="16"/>
  <c r="K379" i="16"/>
  <c r="W379" i="16"/>
  <c r="AK379" i="16"/>
  <c r="AY379" i="16"/>
  <c r="BP379" i="16"/>
  <c r="BM379" i="16"/>
  <c r="CA379" i="16"/>
  <c r="BU379" i="16"/>
  <c r="BV379" i="16"/>
  <c r="BW379" i="16"/>
  <c r="CD379" i="16"/>
  <c r="BG379" i="16"/>
  <c r="BH379" i="16"/>
  <c r="BI379" i="16"/>
  <c r="AS379" i="16"/>
  <c r="AT379" i="16"/>
  <c r="AU379" i="16"/>
  <c r="BB379" i="16"/>
  <c r="AE379" i="16"/>
  <c r="AF379" i="16"/>
  <c r="AG379" i="16"/>
  <c r="AN379" i="16"/>
  <c r="Q379" i="16"/>
  <c r="R379" i="16"/>
  <c r="S379" i="16"/>
  <c r="Z379" i="16"/>
  <c r="I379" i="14" l="1"/>
  <c r="C379" i="17"/>
  <c r="L379" i="17"/>
  <c r="L379" i="14"/>
  <c r="D379" i="14"/>
  <c r="E379" i="14"/>
  <c r="H379" i="87"/>
  <c r="I379" i="15"/>
  <c r="L379" i="15"/>
  <c r="D379" i="17"/>
  <c r="E379" i="17"/>
  <c r="I379" i="17"/>
  <c r="F379" i="87"/>
  <c r="L379" i="16"/>
  <c r="C379" i="16"/>
  <c r="J379" i="87"/>
  <c r="K379" i="87"/>
  <c r="C379" i="14"/>
  <c r="G379" i="14"/>
  <c r="E379" i="15"/>
  <c r="C379" i="15"/>
  <c r="D379" i="15"/>
  <c r="I379" i="16"/>
  <c r="G379" i="16"/>
  <c r="E379" i="16"/>
  <c r="D379" i="16"/>
  <c r="C379" i="87" l="1"/>
  <c r="L379" i="87"/>
  <c r="E379" i="87"/>
  <c r="D379" i="87"/>
  <c r="G379" i="87"/>
  <c r="I379" i="87"/>
  <c r="K378" i="15"/>
  <c r="J378" i="15"/>
  <c r="H378" i="15"/>
  <c r="F378" i="15"/>
  <c r="GI378" i="15"/>
  <c r="FG378" i="15"/>
  <c r="FU378" i="15"/>
  <c r="EE378" i="15"/>
  <c r="DQ378" i="15"/>
  <c r="DC378" i="15"/>
  <c r="ES378" i="15"/>
  <c r="EV378" i="15"/>
  <c r="CA378" i="15"/>
  <c r="CO378" i="15"/>
  <c r="BM378" i="15"/>
  <c r="AY378" i="15"/>
  <c r="W378" i="15"/>
  <c r="Z378" i="15"/>
  <c r="E378" i="13"/>
  <c r="D378" i="13"/>
  <c r="C378" i="13"/>
  <c r="L378" i="13"/>
  <c r="I378" i="13"/>
  <c r="I378" i="96"/>
  <c r="C378" i="96"/>
  <c r="D378" i="96"/>
  <c r="E378" i="96"/>
  <c r="L378" i="96"/>
  <c r="K378" i="14"/>
  <c r="J378" i="14"/>
  <c r="G378" i="14" s="1"/>
  <c r="H378" i="14"/>
  <c r="F378" i="14"/>
  <c r="W378" i="14"/>
  <c r="AK378" i="14"/>
  <c r="CA378" i="14"/>
  <c r="CO378" i="14"/>
  <c r="CI378" i="14"/>
  <c r="CJ378" i="14"/>
  <c r="CK378" i="14"/>
  <c r="CR378" i="14"/>
  <c r="BU378" i="14"/>
  <c r="BV378" i="14"/>
  <c r="BW378" i="14"/>
  <c r="CD378" i="14"/>
  <c r="AE378" i="14"/>
  <c r="AF378" i="14"/>
  <c r="AG378" i="14"/>
  <c r="AN378" i="14"/>
  <c r="Q378" i="14"/>
  <c r="R378" i="14"/>
  <c r="S378" i="14"/>
  <c r="Z378" i="14"/>
  <c r="I378" i="12"/>
  <c r="F378" i="12"/>
  <c r="C378" i="12"/>
  <c r="D378" i="12"/>
  <c r="E378" i="12"/>
  <c r="L378" i="12"/>
  <c r="GC378" i="15"/>
  <c r="GD378" i="15"/>
  <c r="GE378" i="15"/>
  <c r="GL378" i="15"/>
  <c r="FO378" i="15"/>
  <c r="FP378" i="15"/>
  <c r="FQ378" i="15"/>
  <c r="FX378" i="15"/>
  <c r="FA378" i="15"/>
  <c r="FB378" i="15"/>
  <c r="FC378" i="15"/>
  <c r="FJ378" i="15"/>
  <c r="EM378" i="15"/>
  <c r="EN378" i="15"/>
  <c r="EO378" i="15"/>
  <c r="DY378" i="15"/>
  <c r="DZ378" i="15"/>
  <c r="EA378" i="15"/>
  <c r="EH378" i="15"/>
  <c r="DK378" i="15"/>
  <c r="DL378" i="15"/>
  <c r="DM378" i="15"/>
  <c r="DT378" i="15"/>
  <c r="CW378" i="15"/>
  <c r="CX378" i="15"/>
  <c r="CY378" i="15"/>
  <c r="DF378" i="15"/>
  <c r="CI378" i="15"/>
  <c r="CJ378" i="15"/>
  <c r="CK378" i="15"/>
  <c r="CR378" i="15"/>
  <c r="BU378" i="15"/>
  <c r="BV378" i="15"/>
  <c r="BW378" i="15"/>
  <c r="CD378" i="15"/>
  <c r="BG378" i="15"/>
  <c r="BH378" i="15"/>
  <c r="BI378" i="15"/>
  <c r="BP378" i="15"/>
  <c r="AS378" i="15"/>
  <c r="AT378" i="15"/>
  <c r="AU378" i="15"/>
  <c r="BB378" i="15"/>
  <c r="Q378" i="15"/>
  <c r="R378" i="15"/>
  <c r="S378" i="15"/>
  <c r="I378" i="1"/>
  <c r="C378" i="1"/>
  <c r="D378" i="1"/>
  <c r="E378" i="1"/>
  <c r="L378" i="1"/>
  <c r="W378" i="17"/>
  <c r="AK378" i="17"/>
  <c r="AY378" i="17"/>
  <c r="F378" i="17"/>
  <c r="G378" i="17"/>
  <c r="H378" i="17"/>
  <c r="J378" i="17"/>
  <c r="K378" i="17"/>
  <c r="AS378" i="17"/>
  <c r="AT378" i="17"/>
  <c r="AU378" i="17"/>
  <c r="BB378" i="17"/>
  <c r="AE378" i="17"/>
  <c r="AF378" i="17"/>
  <c r="AG378" i="17"/>
  <c r="AN378" i="17"/>
  <c r="Q378" i="17"/>
  <c r="R378" i="17"/>
  <c r="S378" i="17"/>
  <c r="Z378" i="17"/>
  <c r="F378" i="16"/>
  <c r="H378" i="16"/>
  <c r="J378" i="16"/>
  <c r="G378" i="16" s="1"/>
  <c r="K378" i="16"/>
  <c r="AK378" i="16"/>
  <c r="AY378" i="16"/>
  <c r="BP378" i="16"/>
  <c r="BM378" i="16"/>
  <c r="CA378" i="16"/>
  <c r="BU378" i="16"/>
  <c r="BV378" i="16"/>
  <c r="BW378" i="16"/>
  <c r="CD378" i="16"/>
  <c r="BG378" i="16"/>
  <c r="BH378" i="16"/>
  <c r="BI378" i="16"/>
  <c r="AS378" i="16"/>
  <c r="AT378" i="16"/>
  <c r="AU378" i="16"/>
  <c r="BB378" i="16"/>
  <c r="AE378" i="16"/>
  <c r="AF378" i="16"/>
  <c r="AG378" i="16"/>
  <c r="AN378" i="16"/>
  <c r="W378" i="16"/>
  <c r="Q378" i="16"/>
  <c r="R378" i="16"/>
  <c r="S378" i="16"/>
  <c r="Z378" i="16"/>
  <c r="I377" i="13"/>
  <c r="D378" i="17" l="1"/>
  <c r="I378" i="17"/>
  <c r="C378" i="14"/>
  <c r="L378" i="14"/>
  <c r="I378" i="14"/>
  <c r="D378" i="14"/>
  <c r="E378" i="14"/>
  <c r="L378" i="15"/>
  <c r="I378" i="15"/>
  <c r="G378" i="15"/>
  <c r="C378" i="16"/>
  <c r="K378" i="87"/>
  <c r="I378" i="16"/>
  <c r="F378" i="87"/>
  <c r="J378" i="87"/>
  <c r="C378" i="15"/>
  <c r="H378" i="87"/>
  <c r="E378" i="15"/>
  <c r="D378" i="15"/>
  <c r="C378" i="17"/>
  <c r="L378" i="17"/>
  <c r="E378" i="17"/>
  <c r="E378" i="16"/>
  <c r="L378" i="16"/>
  <c r="D378" i="16"/>
  <c r="I377" i="1"/>
  <c r="G378" i="87" l="1"/>
  <c r="E378" i="87"/>
  <c r="L378" i="87"/>
  <c r="D378" i="87"/>
  <c r="C378" i="87"/>
  <c r="I378" i="87"/>
  <c r="C377" i="13"/>
  <c r="D377" i="13"/>
  <c r="E377" i="13"/>
  <c r="L377" i="13"/>
  <c r="C377" i="1"/>
  <c r="D377" i="1"/>
  <c r="E377" i="1"/>
  <c r="L377" i="1"/>
  <c r="I377" i="96"/>
  <c r="C377" i="96"/>
  <c r="D377" i="96"/>
  <c r="E377" i="96"/>
  <c r="L377" i="96"/>
  <c r="CO377" i="14"/>
  <c r="CA377" i="14"/>
  <c r="AK377" i="14"/>
  <c r="W377" i="14"/>
  <c r="K377" i="14"/>
  <c r="J377" i="14"/>
  <c r="G377" i="14" s="1"/>
  <c r="H377" i="14"/>
  <c r="F377" i="14"/>
  <c r="CI377" i="14"/>
  <c r="CJ377" i="14"/>
  <c r="CK377" i="14"/>
  <c r="CR377" i="14"/>
  <c r="BU377" i="14"/>
  <c r="BV377" i="14"/>
  <c r="BW377" i="14"/>
  <c r="CD377" i="14"/>
  <c r="AE377" i="14"/>
  <c r="AF377" i="14"/>
  <c r="AG377" i="14"/>
  <c r="AN377" i="14"/>
  <c r="Q377" i="14"/>
  <c r="R377" i="14"/>
  <c r="S377" i="14"/>
  <c r="Z377" i="14"/>
  <c r="I377" i="12"/>
  <c r="F377" i="12"/>
  <c r="C377" i="12"/>
  <c r="D377" i="12"/>
  <c r="E377" i="12"/>
  <c r="L377" i="12"/>
  <c r="K377" i="15"/>
  <c r="J377" i="15"/>
  <c r="H377" i="15"/>
  <c r="F377" i="15"/>
  <c r="W377" i="15"/>
  <c r="AY377" i="15"/>
  <c r="BM377" i="15"/>
  <c r="CA377" i="15"/>
  <c r="CO377" i="15"/>
  <c r="DC377" i="15"/>
  <c r="DQ377" i="15"/>
  <c r="EE377" i="15"/>
  <c r="ES377" i="15"/>
  <c r="FG377" i="15"/>
  <c r="FU377" i="15"/>
  <c r="GI377" i="15"/>
  <c r="GC377" i="15"/>
  <c r="GD377" i="15"/>
  <c r="GE377" i="15"/>
  <c r="GL377" i="15"/>
  <c r="FO377" i="15"/>
  <c r="FP377" i="15"/>
  <c r="FQ377" i="15"/>
  <c r="FX377" i="15"/>
  <c r="FA377" i="15"/>
  <c r="FB377" i="15"/>
  <c r="FC377" i="15"/>
  <c r="FJ377" i="15"/>
  <c r="EM377" i="15"/>
  <c r="EN377" i="15"/>
  <c r="EO377" i="15"/>
  <c r="EV377" i="15"/>
  <c r="DY377" i="15"/>
  <c r="DZ377" i="15"/>
  <c r="EA377" i="15"/>
  <c r="EH377" i="15"/>
  <c r="DK377" i="15"/>
  <c r="DL377" i="15"/>
  <c r="DM377" i="15"/>
  <c r="DT377" i="15"/>
  <c r="CW377" i="15"/>
  <c r="CX377" i="15"/>
  <c r="CY377" i="15"/>
  <c r="DF377" i="15"/>
  <c r="CI377" i="15"/>
  <c r="CJ377" i="15"/>
  <c r="CK377" i="15"/>
  <c r="CR377" i="15"/>
  <c r="BU377" i="15"/>
  <c r="BV377" i="15"/>
  <c r="BW377" i="15"/>
  <c r="CD377" i="15"/>
  <c r="BG377" i="15"/>
  <c r="BH377" i="15"/>
  <c r="BI377" i="15"/>
  <c r="BP377" i="15"/>
  <c r="AS377" i="15"/>
  <c r="AT377" i="15"/>
  <c r="AU377" i="15"/>
  <c r="BB377" i="15"/>
  <c r="Q377" i="15"/>
  <c r="R377" i="15"/>
  <c r="S377" i="15"/>
  <c r="Z377" i="15"/>
  <c r="F377" i="17"/>
  <c r="H377" i="17"/>
  <c r="J377" i="17"/>
  <c r="G377" i="17" s="1"/>
  <c r="K377" i="17"/>
  <c r="AY377" i="17"/>
  <c r="AK377" i="17"/>
  <c r="W377" i="17"/>
  <c r="AS377" i="17"/>
  <c r="AT377" i="17"/>
  <c r="AU377" i="17"/>
  <c r="BB377" i="17"/>
  <c r="AE377" i="17"/>
  <c r="AF377" i="17"/>
  <c r="AG377" i="17"/>
  <c r="AN377" i="17"/>
  <c r="Q377" i="17"/>
  <c r="R377" i="17"/>
  <c r="S377" i="17"/>
  <c r="Z377" i="17"/>
  <c r="F377" i="16"/>
  <c r="H377" i="16"/>
  <c r="J377" i="16"/>
  <c r="K377" i="16"/>
  <c r="CA377" i="16"/>
  <c r="BP377" i="16"/>
  <c r="BM377" i="16"/>
  <c r="AY377" i="16"/>
  <c r="AK377" i="16"/>
  <c r="W377" i="16"/>
  <c r="BU377" i="16"/>
  <c r="BV377" i="16"/>
  <c r="BW377" i="16"/>
  <c r="CD377" i="16"/>
  <c r="BG377" i="16"/>
  <c r="BH377" i="16"/>
  <c r="BI377" i="16"/>
  <c r="AS377" i="16"/>
  <c r="AT377" i="16"/>
  <c r="AU377" i="16"/>
  <c r="BB377" i="16"/>
  <c r="AE377" i="16"/>
  <c r="AF377" i="16"/>
  <c r="AG377" i="16"/>
  <c r="AN377" i="16"/>
  <c r="Q377" i="16"/>
  <c r="R377" i="16"/>
  <c r="S377" i="16"/>
  <c r="Z377" i="16"/>
  <c r="D377" i="17" l="1"/>
  <c r="L377" i="15"/>
  <c r="I377" i="14"/>
  <c r="I377" i="15"/>
  <c r="D377" i="15"/>
  <c r="C377" i="15"/>
  <c r="I377" i="17"/>
  <c r="J377" i="87"/>
  <c r="K377" i="87"/>
  <c r="I377" i="16"/>
  <c r="G377" i="16"/>
  <c r="G377" i="15"/>
  <c r="F377" i="87"/>
  <c r="L377" i="16"/>
  <c r="C377" i="17"/>
  <c r="E377" i="15"/>
  <c r="H377" i="87"/>
  <c r="E377" i="17"/>
  <c r="L377" i="14"/>
  <c r="C377" i="14"/>
  <c r="D377" i="14"/>
  <c r="E377" i="14"/>
  <c r="L377" i="17"/>
  <c r="E377" i="16"/>
  <c r="C377" i="16"/>
  <c r="D377" i="16"/>
  <c r="I376" i="13"/>
  <c r="I376" i="1"/>
  <c r="D377" i="87" l="1"/>
  <c r="L377" i="87"/>
  <c r="E377" i="87"/>
  <c r="G377" i="87"/>
  <c r="I377" i="87"/>
  <c r="C377" i="87"/>
  <c r="I376" i="96"/>
  <c r="C376" i="96"/>
  <c r="D376" i="96"/>
  <c r="E376" i="96"/>
  <c r="L376" i="96"/>
  <c r="K376" i="14"/>
  <c r="J376" i="14"/>
  <c r="G376" i="14" s="1"/>
  <c r="H376" i="14"/>
  <c r="F376" i="14"/>
  <c r="CO376" i="14"/>
  <c r="CI376" i="14"/>
  <c r="CJ376" i="14"/>
  <c r="CK376" i="14"/>
  <c r="CR376" i="14"/>
  <c r="CA376" i="14"/>
  <c r="BU376" i="14"/>
  <c r="BV376" i="14"/>
  <c r="BW376" i="14"/>
  <c r="CD376" i="14"/>
  <c r="AK376" i="14"/>
  <c r="AE376" i="14"/>
  <c r="AF376" i="14"/>
  <c r="AG376" i="14"/>
  <c r="AN376" i="14"/>
  <c r="W376" i="14"/>
  <c r="Q376" i="14"/>
  <c r="R376" i="14"/>
  <c r="S376" i="14"/>
  <c r="Z376" i="14"/>
  <c r="C376" i="13"/>
  <c r="D376" i="13"/>
  <c r="E376" i="13"/>
  <c r="L376" i="13"/>
  <c r="I376" i="12"/>
  <c r="C376" i="12"/>
  <c r="D376" i="12"/>
  <c r="E376" i="12"/>
  <c r="L376" i="12"/>
  <c r="K376" i="15"/>
  <c r="J376" i="15"/>
  <c r="H376" i="15"/>
  <c r="F376" i="15"/>
  <c r="GI376" i="15"/>
  <c r="GC376" i="15"/>
  <c r="GD376" i="15"/>
  <c r="GE376" i="15"/>
  <c r="GL376" i="15"/>
  <c r="FU376" i="15"/>
  <c r="FO376" i="15"/>
  <c r="FP376" i="15"/>
  <c r="FQ376" i="15"/>
  <c r="FX376" i="15"/>
  <c r="FG376" i="15"/>
  <c r="FA376" i="15"/>
  <c r="FB376" i="15"/>
  <c r="FC376" i="15"/>
  <c r="FJ376" i="15"/>
  <c r="ES376" i="15"/>
  <c r="EM376" i="15"/>
  <c r="EN376" i="15"/>
  <c r="EO376" i="15"/>
  <c r="EV376" i="15"/>
  <c r="EE376" i="15"/>
  <c r="DY376" i="15"/>
  <c r="DZ376" i="15"/>
  <c r="EA376" i="15"/>
  <c r="EH376" i="15"/>
  <c r="DQ376" i="15"/>
  <c r="DK376" i="15"/>
  <c r="DL376" i="15"/>
  <c r="DM376" i="15"/>
  <c r="DT376" i="15"/>
  <c r="DC376" i="15"/>
  <c r="CW376" i="15"/>
  <c r="CX376" i="15"/>
  <c r="CY376" i="15"/>
  <c r="DF376" i="15"/>
  <c r="CO376" i="15"/>
  <c r="CI376" i="15"/>
  <c r="CJ376" i="15"/>
  <c r="CK376" i="15"/>
  <c r="CR376" i="15"/>
  <c r="CA376" i="15"/>
  <c r="BU376" i="15"/>
  <c r="BV376" i="15"/>
  <c r="BW376" i="15"/>
  <c r="CD376" i="15"/>
  <c r="BM376" i="15"/>
  <c r="BG376" i="15"/>
  <c r="BH376" i="15"/>
  <c r="BI376" i="15"/>
  <c r="BP376" i="15"/>
  <c r="AY376" i="15"/>
  <c r="AS376" i="15"/>
  <c r="AT376" i="15"/>
  <c r="AU376" i="15"/>
  <c r="BB376" i="15"/>
  <c r="W376" i="15"/>
  <c r="Q376" i="15"/>
  <c r="R376" i="15"/>
  <c r="S376" i="15"/>
  <c r="Z376" i="15"/>
  <c r="C376" i="1"/>
  <c r="D376" i="1"/>
  <c r="E376" i="1"/>
  <c r="L376" i="1"/>
  <c r="K376" i="17"/>
  <c r="J376" i="17"/>
  <c r="H376" i="17"/>
  <c r="F376" i="17"/>
  <c r="AY376" i="17"/>
  <c r="AS376" i="17"/>
  <c r="AT376" i="17"/>
  <c r="AU376" i="17"/>
  <c r="BB376" i="17"/>
  <c r="AK376" i="17"/>
  <c r="AE376" i="17"/>
  <c r="AF376" i="17"/>
  <c r="AG376" i="17"/>
  <c r="AN376" i="17"/>
  <c r="W376" i="17"/>
  <c r="Q376" i="17"/>
  <c r="R376" i="17"/>
  <c r="S376" i="17"/>
  <c r="Z376" i="17"/>
  <c r="K376" i="16"/>
  <c r="J376" i="16"/>
  <c r="G376" i="16" s="1"/>
  <c r="H376" i="16"/>
  <c r="F376" i="16"/>
  <c r="AK376" i="16"/>
  <c r="CA376" i="16"/>
  <c r="BU376" i="16"/>
  <c r="BV376" i="16"/>
  <c r="BW376" i="16"/>
  <c r="CD376" i="16"/>
  <c r="BI376" i="16"/>
  <c r="BH376" i="16"/>
  <c r="BG376" i="16"/>
  <c r="BP376" i="16"/>
  <c r="BM376" i="16"/>
  <c r="AY376" i="16"/>
  <c r="AS376" i="16"/>
  <c r="AT376" i="16"/>
  <c r="AU376" i="16"/>
  <c r="BB376" i="16"/>
  <c r="AE376" i="16"/>
  <c r="AF376" i="16"/>
  <c r="AG376" i="16"/>
  <c r="AN376" i="16"/>
  <c r="W376" i="16"/>
  <c r="Q376" i="16"/>
  <c r="R376" i="16"/>
  <c r="S376" i="16"/>
  <c r="Z376" i="16"/>
  <c r="L376" i="17" l="1"/>
  <c r="G376" i="17"/>
  <c r="I376" i="17"/>
  <c r="I376" i="14"/>
  <c r="E376" i="14"/>
  <c r="D376" i="14"/>
  <c r="L376" i="15"/>
  <c r="G376" i="15"/>
  <c r="I376" i="15"/>
  <c r="D376" i="17"/>
  <c r="F376" i="87"/>
  <c r="C376" i="17"/>
  <c r="E376" i="17"/>
  <c r="E376" i="16"/>
  <c r="C376" i="16"/>
  <c r="I376" i="16"/>
  <c r="K376" i="87"/>
  <c r="H376" i="87"/>
  <c r="J376" i="87"/>
  <c r="L376" i="14"/>
  <c r="C376" i="14"/>
  <c r="D376" i="15"/>
  <c r="C376" i="15"/>
  <c r="E376" i="15"/>
  <c r="D376" i="16"/>
  <c r="L376" i="16"/>
  <c r="AY375" i="16"/>
  <c r="W375" i="16"/>
  <c r="L376" i="87" l="1"/>
  <c r="C376" i="87"/>
  <c r="I376" i="87"/>
  <c r="E376" i="87"/>
  <c r="G376" i="87"/>
  <c r="D376" i="87"/>
  <c r="L375" i="13"/>
  <c r="I375" i="13"/>
  <c r="E375" i="13"/>
  <c r="D375" i="13"/>
  <c r="C375" i="13"/>
  <c r="L375" i="1"/>
  <c r="I375" i="1"/>
  <c r="E375" i="1"/>
  <c r="D375" i="1"/>
  <c r="C375" i="1"/>
  <c r="EV374" i="15"/>
  <c r="ES374" i="15"/>
  <c r="EO374" i="15"/>
  <c r="EN374" i="15"/>
  <c r="EM374" i="15"/>
  <c r="I375" i="96" l="1"/>
  <c r="C375" i="96"/>
  <c r="D375" i="96"/>
  <c r="E375" i="96"/>
  <c r="L375" i="96"/>
  <c r="W375" i="14"/>
  <c r="AK375" i="14"/>
  <c r="CA375" i="14"/>
  <c r="CO375" i="14"/>
  <c r="K375" i="14"/>
  <c r="J375" i="14"/>
  <c r="H375" i="14"/>
  <c r="F375" i="14"/>
  <c r="CI375" i="14"/>
  <c r="CJ375" i="14"/>
  <c r="CK375" i="14"/>
  <c r="CR375" i="14"/>
  <c r="BU375" i="14"/>
  <c r="BV375" i="14"/>
  <c r="BW375" i="14"/>
  <c r="CD375" i="14"/>
  <c r="AE375" i="14"/>
  <c r="AF375" i="14"/>
  <c r="AG375" i="14"/>
  <c r="AN375" i="14"/>
  <c r="Q375" i="14"/>
  <c r="R375" i="14"/>
  <c r="S375" i="14"/>
  <c r="Z375" i="14"/>
  <c r="I375" i="12"/>
  <c r="C375" i="12"/>
  <c r="D375" i="12"/>
  <c r="E375" i="12"/>
  <c r="L375" i="12"/>
  <c r="W375" i="15"/>
  <c r="AY375" i="15"/>
  <c r="BM375" i="15"/>
  <c r="CA375" i="15"/>
  <c r="CO375" i="15"/>
  <c r="DC375" i="15"/>
  <c r="DQ375" i="15"/>
  <c r="EE375" i="15"/>
  <c r="ES375" i="15"/>
  <c r="FG375" i="15"/>
  <c r="FU375" i="15"/>
  <c r="GI375" i="15"/>
  <c r="K375" i="15"/>
  <c r="J375" i="15"/>
  <c r="G375" i="15" s="1"/>
  <c r="H375" i="15"/>
  <c r="F375" i="15"/>
  <c r="GC375" i="15"/>
  <c r="GD375" i="15"/>
  <c r="GE375" i="15"/>
  <c r="GL375" i="15"/>
  <c r="FO375" i="15"/>
  <c r="FP375" i="15"/>
  <c r="FQ375" i="15"/>
  <c r="FX375" i="15"/>
  <c r="FA375" i="15"/>
  <c r="FB375" i="15"/>
  <c r="FC375" i="15"/>
  <c r="FJ375" i="15"/>
  <c r="EM375" i="15"/>
  <c r="EN375" i="15"/>
  <c r="EO375" i="15"/>
  <c r="EV375" i="15"/>
  <c r="DY375" i="15"/>
  <c r="DZ375" i="15"/>
  <c r="EA375" i="15"/>
  <c r="EH375" i="15"/>
  <c r="DK375" i="15"/>
  <c r="DL375" i="15"/>
  <c r="DM375" i="15"/>
  <c r="DT375" i="15"/>
  <c r="CW375" i="15"/>
  <c r="CX375" i="15"/>
  <c r="CY375" i="15"/>
  <c r="DF375" i="15"/>
  <c r="CI375" i="15"/>
  <c r="CJ375" i="15"/>
  <c r="CK375" i="15"/>
  <c r="CR375" i="15"/>
  <c r="BU375" i="15"/>
  <c r="BV375" i="15"/>
  <c r="BW375" i="15"/>
  <c r="CD375" i="15"/>
  <c r="BG375" i="15"/>
  <c r="BH375" i="15"/>
  <c r="BI375" i="15"/>
  <c r="BP375" i="15"/>
  <c r="AS375" i="15"/>
  <c r="AT375" i="15"/>
  <c r="AU375" i="15"/>
  <c r="BB375" i="15"/>
  <c r="Q375" i="15"/>
  <c r="R375" i="15"/>
  <c r="S375" i="15"/>
  <c r="Z375" i="15"/>
  <c r="W375" i="17"/>
  <c r="AK375" i="17"/>
  <c r="AY375" i="17"/>
  <c r="K375" i="17"/>
  <c r="J375" i="17"/>
  <c r="G375" i="17" s="1"/>
  <c r="H375" i="17"/>
  <c r="F375" i="17"/>
  <c r="AS375" i="17"/>
  <c r="AT375" i="17"/>
  <c r="AU375" i="17"/>
  <c r="BB375" i="17"/>
  <c r="AE375" i="17"/>
  <c r="AF375" i="17"/>
  <c r="AG375" i="17"/>
  <c r="AN375" i="17"/>
  <c r="Q375" i="17"/>
  <c r="R375" i="17"/>
  <c r="S375" i="17"/>
  <c r="Z375" i="17"/>
  <c r="K375" i="16"/>
  <c r="J375" i="16"/>
  <c r="H375" i="16"/>
  <c r="F375" i="16"/>
  <c r="AK375" i="16"/>
  <c r="CA375" i="16"/>
  <c r="BU375" i="16"/>
  <c r="BV375" i="16"/>
  <c r="BW375" i="16"/>
  <c r="CD375" i="16"/>
  <c r="AS375" i="16"/>
  <c r="AT375" i="16"/>
  <c r="AU375" i="16"/>
  <c r="BB375" i="16"/>
  <c r="AE375" i="16"/>
  <c r="AF375" i="16"/>
  <c r="AG375" i="16"/>
  <c r="AN375" i="16"/>
  <c r="Q375" i="16"/>
  <c r="R375" i="16"/>
  <c r="S375" i="16"/>
  <c r="Z375" i="16"/>
  <c r="I375" i="14" l="1"/>
  <c r="L375" i="14"/>
  <c r="D375" i="14"/>
  <c r="C375" i="14"/>
  <c r="E375" i="14"/>
  <c r="G375" i="14"/>
  <c r="I375" i="15"/>
  <c r="C375" i="17"/>
  <c r="F375" i="87"/>
  <c r="L375" i="17"/>
  <c r="D375" i="17"/>
  <c r="E375" i="17"/>
  <c r="I375" i="17"/>
  <c r="D375" i="16"/>
  <c r="K375" i="87"/>
  <c r="I375" i="16"/>
  <c r="H375" i="87"/>
  <c r="E375" i="16"/>
  <c r="J375" i="87"/>
  <c r="L375" i="15"/>
  <c r="C375" i="15"/>
  <c r="D375" i="15"/>
  <c r="E375" i="15"/>
  <c r="L375" i="16"/>
  <c r="C375" i="16"/>
  <c r="G375" i="16"/>
  <c r="I374" i="96"/>
  <c r="C374" i="96"/>
  <c r="D374" i="96"/>
  <c r="E374" i="96"/>
  <c r="L374" i="96"/>
  <c r="K374" i="14"/>
  <c r="J374" i="14"/>
  <c r="G374" i="14" s="1"/>
  <c r="H374" i="14"/>
  <c r="F374" i="14"/>
  <c r="W374" i="14"/>
  <c r="AK374" i="14"/>
  <c r="CA374" i="14"/>
  <c r="CO374" i="14"/>
  <c r="CI374" i="14"/>
  <c r="CJ374" i="14"/>
  <c r="CK374" i="14"/>
  <c r="CR374" i="14"/>
  <c r="BU374" i="14"/>
  <c r="BV374" i="14"/>
  <c r="BW374" i="14"/>
  <c r="CD374" i="14"/>
  <c r="AE374" i="14"/>
  <c r="AF374" i="14"/>
  <c r="AG374" i="14"/>
  <c r="AN374" i="14"/>
  <c r="Q374" i="14"/>
  <c r="R374" i="14"/>
  <c r="S374" i="14"/>
  <c r="Z374" i="14"/>
  <c r="I374" i="13"/>
  <c r="C374" i="13"/>
  <c r="D374" i="13"/>
  <c r="E374" i="13"/>
  <c r="L374" i="13"/>
  <c r="I374" i="12"/>
  <c r="C374" i="12"/>
  <c r="D374" i="12"/>
  <c r="E374" i="12"/>
  <c r="L374" i="12"/>
  <c r="GI374" i="15"/>
  <c r="FU374" i="15"/>
  <c r="FG374" i="15"/>
  <c r="EE374" i="15"/>
  <c r="DQ374" i="15"/>
  <c r="DC374" i="15"/>
  <c r="CO374" i="15"/>
  <c r="CA374" i="15"/>
  <c r="BM374" i="15"/>
  <c r="AY374" i="15"/>
  <c r="W374" i="15"/>
  <c r="K374" i="15"/>
  <c r="J374" i="15"/>
  <c r="G374" i="15" s="1"/>
  <c r="H374" i="15"/>
  <c r="F374" i="15"/>
  <c r="GC374" i="15"/>
  <c r="GD374" i="15"/>
  <c r="GE374" i="15"/>
  <c r="GL374" i="15"/>
  <c r="FO374" i="15"/>
  <c r="FP374" i="15"/>
  <c r="FQ374" i="15"/>
  <c r="FX374" i="15"/>
  <c r="FA374" i="15"/>
  <c r="FB374" i="15"/>
  <c r="FC374" i="15"/>
  <c r="FJ374" i="15"/>
  <c r="DY374" i="15"/>
  <c r="DZ374" i="15"/>
  <c r="EA374" i="15"/>
  <c r="EH374" i="15"/>
  <c r="DK374" i="15"/>
  <c r="DL374" i="15"/>
  <c r="DM374" i="15"/>
  <c r="DT374" i="15"/>
  <c r="CW374" i="15"/>
  <c r="CX374" i="15"/>
  <c r="CY374" i="15"/>
  <c r="DF374" i="15"/>
  <c r="CI374" i="15"/>
  <c r="CJ374" i="15"/>
  <c r="CK374" i="15"/>
  <c r="CR374" i="15"/>
  <c r="BU374" i="15"/>
  <c r="BV374" i="15"/>
  <c r="BW374" i="15"/>
  <c r="CD374" i="15"/>
  <c r="BG374" i="15"/>
  <c r="BH374" i="15"/>
  <c r="BI374" i="15"/>
  <c r="BP374" i="15"/>
  <c r="AS374" i="15"/>
  <c r="AT374" i="15"/>
  <c r="AU374" i="15"/>
  <c r="BB374" i="15"/>
  <c r="Q374" i="15"/>
  <c r="R374" i="15"/>
  <c r="S374" i="15"/>
  <c r="Z374" i="15"/>
  <c r="I374" i="1"/>
  <c r="C374" i="1"/>
  <c r="D374" i="1"/>
  <c r="E374" i="1"/>
  <c r="L374" i="1"/>
  <c r="AY374" i="17"/>
  <c r="AK374" i="17"/>
  <c r="W374" i="17"/>
  <c r="K374" i="17"/>
  <c r="J374" i="17"/>
  <c r="G374" i="17" s="1"/>
  <c r="H374" i="17"/>
  <c r="F374" i="17"/>
  <c r="AS374" i="17"/>
  <c r="AT374" i="17"/>
  <c r="AU374" i="17"/>
  <c r="BB374" i="17"/>
  <c r="AE374" i="17"/>
  <c r="AF374" i="17"/>
  <c r="AG374" i="17"/>
  <c r="AN374" i="17"/>
  <c r="Q374" i="17"/>
  <c r="R374" i="17"/>
  <c r="S374" i="17"/>
  <c r="Z374" i="17"/>
  <c r="CA374" i="16"/>
  <c r="AY374" i="16"/>
  <c r="AK374" i="16"/>
  <c r="W374" i="16"/>
  <c r="F374" i="16"/>
  <c r="H374" i="16"/>
  <c r="J374" i="16"/>
  <c r="K374" i="16"/>
  <c r="BU374" i="16"/>
  <c r="BV374" i="16"/>
  <c r="BW374" i="16"/>
  <c r="CD374" i="16"/>
  <c r="AS374" i="16"/>
  <c r="AT374" i="16"/>
  <c r="AU374" i="16"/>
  <c r="BB374" i="16"/>
  <c r="AE374" i="16"/>
  <c r="AF374" i="16"/>
  <c r="AG374" i="16"/>
  <c r="AN374" i="16"/>
  <c r="Q374" i="16"/>
  <c r="R374" i="16"/>
  <c r="S374" i="16"/>
  <c r="Z374" i="16"/>
  <c r="I374" i="14" l="1"/>
  <c r="L375" i="87"/>
  <c r="K374" i="87"/>
  <c r="F374" i="87"/>
  <c r="H374" i="87"/>
  <c r="I375" i="87"/>
  <c r="G375" i="87"/>
  <c r="G374" i="16"/>
  <c r="J374" i="87"/>
  <c r="D375" i="87"/>
  <c r="E375" i="87"/>
  <c r="C375" i="87"/>
  <c r="C374" i="14"/>
  <c r="E374" i="14"/>
  <c r="D374" i="17"/>
  <c r="I374" i="17"/>
  <c r="E374" i="17"/>
  <c r="C374" i="16"/>
  <c r="E374" i="16"/>
  <c r="I374" i="16"/>
  <c r="D374" i="16"/>
  <c r="L374" i="16"/>
  <c r="L374" i="14"/>
  <c r="D374" i="14"/>
  <c r="D374" i="15"/>
  <c r="I374" i="15"/>
  <c r="E374" i="15"/>
  <c r="L374" i="15"/>
  <c r="C374" i="15"/>
  <c r="L374" i="17"/>
  <c r="C374" i="17"/>
  <c r="I373" i="13"/>
  <c r="L374" i="87" l="1"/>
  <c r="G374" i="87"/>
  <c r="I374" i="87"/>
  <c r="I373" i="96"/>
  <c r="C373" i="96"/>
  <c r="D373" i="96"/>
  <c r="E373" i="96"/>
  <c r="L373" i="96"/>
  <c r="W373" i="14"/>
  <c r="AK373" i="14"/>
  <c r="CA373" i="14"/>
  <c r="CO373" i="14"/>
  <c r="K373" i="14"/>
  <c r="J373" i="14"/>
  <c r="H373" i="14"/>
  <c r="F373" i="14"/>
  <c r="CI373" i="14"/>
  <c r="CJ373" i="14"/>
  <c r="CK373" i="14"/>
  <c r="CR373" i="14"/>
  <c r="BU373" i="14"/>
  <c r="BV373" i="14"/>
  <c r="BW373" i="14"/>
  <c r="CD373" i="14"/>
  <c r="AE373" i="14"/>
  <c r="AF373" i="14"/>
  <c r="AG373" i="14"/>
  <c r="AN373" i="14"/>
  <c r="Q373" i="14"/>
  <c r="R373" i="14"/>
  <c r="S373" i="14"/>
  <c r="Z373" i="14"/>
  <c r="C373" i="13"/>
  <c r="D373" i="13"/>
  <c r="E373" i="13"/>
  <c r="L373" i="13"/>
  <c r="I373" i="12"/>
  <c r="C373" i="12"/>
  <c r="D373" i="12"/>
  <c r="E373" i="12"/>
  <c r="L373" i="12"/>
  <c r="W373" i="15"/>
  <c r="AY373" i="15"/>
  <c r="BM373" i="15"/>
  <c r="CA373" i="15"/>
  <c r="CO373" i="15"/>
  <c r="DC373" i="15"/>
  <c r="DQ373" i="15"/>
  <c r="EE373" i="15"/>
  <c r="ES373" i="15"/>
  <c r="FG373" i="15"/>
  <c r="FU373" i="15"/>
  <c r="GI373" i="15"/>
  <c r="K373" i="15"/>
  <c r="J373" i="15"/>
  <c r="G373" i="15" s="1"/>
  <c r="H373" i="15"/>
  <c r="F373" i="15"/>
  <c r="GC373" i="15"/>
  <c r="GD373" i="15"/>
  <c r="GE373" i="15"/>
  <c r="GL373" i="15"/>
  <c r="FO373" i="15"/>
  <c r="FP373" i="15"/>
  <c r="FQ373" i="15"/>
  <c r="FX373" i="15"/>
  <c r="FA373" i="15"/>
  <c r="FB373" i="15"/>
  <c r="FC373" i="15"/>
  <c r="FJ373" i="15"/>
  <c r="EM373" i="15"/>
  <c r="EN373" i="15"/>
  <c r="EO373" i="15"/>
  <c r="EV373" i="15"/>
  <c r="DY373" i="15"/>
  <c r="DZ373" i="15"/>
  <c r="EA373" i="15"/>
  <c r="EH373" i="15"/>
  <c r="DK373" i="15"/>
  <c r="DL373" i="15"/>
  <c r="DM373" i="15"/>
  <c r="DT373" i="15"/>
  <c r="CW373" i="15"/>
  <c r="CX373" i="15"/>
  <c r="CY373" i="15"/>
  <c r="DF373" i="15"/>
  <c r="CI373" i="15"/>
  <c r="CJ373" i="15"/>
  <c r="CK373" i="15"/>
  <c r="CR373" i="15"/>
  <c r="BU373" i="15"/>
  <c r="BV373" i="15"/>
  <c r="BW373" i="15"/>
  <c r="CD373" i="15"/>
  <c r="BG373" i="15"/>
  <c r="BH373" i="15"/>
  <c r="BI373" i="15"/>
  <c r="BP373" i="15"/>
  <c r="AS373" i="15"/>
  <c r="AT373" i="15"/>
  <c r="AU373" i="15"/>
  <c r="BB373" i="15"/>
  <c r="Q373" i="15"/>
  <c r="R373" i="15"/>
  <c r="S373" i="15"/>
  <c r="Z373" i="15"/>
  <c r="I373" i="1"/>
  <c r="C373" i="1"/>
  <c r="D373" i="1"/>
  <c r="E373" i="1"/>
  <c r="L373" i="1"/>
  <c r="K373" i="17"/>
  <c r="J373" i="17"/>
  <c r="G373" i="17" s="1"/>
  <c r="H373" i="17"/>
  <c r="F373" i="17"/>
  <c r="W373" i="17"/>
  <c r="AK373" i="17"/>
  <c r="AY373" i="17"/>
  <c r="AS373" i="17"/>
  <c r="AT373" i="17"/>
  <c r="AU373" i="17"/>
  <c r="BB373" i="17"/>
  <c r="AE373" i="17"/>
  <c r="AF373" i="17"/>
  <c r="AG373" i="17"/>
  <c r="AN373" i="17"/>
  <c r="Q373" i="17"/>
  <c r="R373" i="17"/>
  <c r="S373" i="17"/>
  <c r="Z373" i="17"/>
  <c r="K373" i="16"/>
  <c r="J373" i="16"/>
  <c r="H373" i="16"/>
  <c r="W373" i="16"/>
  <c r="AK373" i="16"/>
  <c r="AY373" i="16"/>
  <c r="CA373" i="16"/>
  <c r="BU373" i="16"/>
  <c r="BV373" i="16"/>
  <c r="BW373" i="16"/>
  <c r="CD373" i="16"/>
  <c r="AS373" i="16"/>
  <c r="AT373" i="16"/>
  <c r="AU373" i="16"/>
  <c r="BB373" i="16"/>
  <c r="AE373" i="16"/>
  <c r="AF373" i="16"/>
  <c r="AG373" i="16"/>
  <c r="AN373" i="16"/>
  <c r="Q373" i="16"/>
  <c r="R373" i="16"/>
  <c r="S373" i="16"/>
  <c r="Z373" i="16"/>
  <c r="F373" i="16"/>
  <c r="H373" i="87" l="1"/>
  <c r="J373" i="87"/>
  <c r="D373" i="17"/>
  <c r="I373" i="17"/>
  <c r="L373" i="14"/>
  <c r="K373" i="87"/>
  <c r="L373" i="17"/>
  <c r="F373" i="87"/>
  <c r="C373" i="17"/>
  <c r="E373" i="17"/>
  <c r="L373" i="16"/>
  <c r="I373" i="16"/>
  <c r="G373" i="14"/>
  <c r="I373" i="14"/>
  <c r="C373" i="14"/>
  <c r="D373" i="14"/>
  <c r="E373" i="14"/>
  <c r="C373" i="15"/>
  <c r="I373" i="15"/>
  <c r="L373" i="15"/>
  <c r="D373" i="15"/>
  <c r="E373" i="15"/>
  <c r="E373" i="87" l="1"/>
  <c r="D373" i="87"/>
  <c r="I373" i="87"/>
  <c r="L373" i="87"/>
  <c r="C373" i="87"/>
  <c r="CO372" i="14"/>
  <c r="CS387" i="14" l="1"/>
  <c r="CQ387" i="14"/>
  <c r="CP387" i="14"/>
  <c r="CO387" i="14"/>
  <c r="CN387" i="14"/>
  <c r="CR372" i="14"/>
  <c r="CR387" i="14" s="1"/>
  <c r="CK372" i="14"/>
  <c r="CJ372" i="14"/>
  <c r="CI372" i="14"/>
  <c r="CK387" i="14" l="1"/>
  <c r="CJ387" i="14"/>
  <c r="CI387" i="14"/>
  <c r="M387" i="87"/>
  <c r="I372" i="96"/>
  <c r="C372" i="96"/>
  <c r="D372" i="96"/>
  <c r="E372" i="96"/>
  <c r="L372" i="96"/>
  <c r="H387" i="96"/>
  <c r="J387" i="96"/>
  <c r="K387" i="96"/>
  <c r="M387" i="96"/>
  <c r="BZ387" i="14"/>
  <c r="CB387" i="14"/>
  <c r="CC387" i="14"/>
  <c r="CE387" i="14"/>
  <c r="BL387" i="14"/>
  <c r="BN387" i="14"/>
  <c r="BO387" i="14"/>
  <c r="BQ387" i="14"/>
  <c r="AX387" i="14"/>
  <c r="BA387" i="14"/>
  <c r="BC387" i="14"/>
  <c r="AJ387" i="14"/>
  <c r="AM387" i="14"/>
  <c r="AO387" i="14"/>
  <c r="V387" i="14"/>
  <c r="Y387" i="14"/>
  <c r="AA387" i="14"/>
  <c r="M387" i="14"/>
  <c r="BH387" i="14" l="1"/>
  <c r="BI387" i="14"/>
  <c r="BW387" i="14"/>
  <c r="BU387" i="14"/>
  <c r="BV387" i="14"/>
  <c r="BG387" i="14"/>
  <c r="AS387" i="14"/>
  <c r="AE387" i="14"/>
  <c r="Q387" i="14"/>
  <c r="BU372" i="14"/>
  <c r="BV372" i="14"/>
  <c r="BW372" i="14"/>
  <c r="CA372" i="14"/>
  <c r="CD372" i="14"/>
  <c r="AE372" i="14"/>
  <c r="AF372" i="14"/>
  <c r="AG372" i="14"/>
  <c r="AK372" i="14"/>
  <c r="AN372" i="14"/>
  <c r="Q372" i="14"/>
  <c r="R372" i="14"/>
  <c r="S372" i="14"/>
  <c r="W372" i="14"/>
  <c r="Z372" i="14"/>
  <c r="K372" i="14"/>
  <c r="J372" i="14"/>
  <c r="H372" i="14"/>
  <c r="F372" i="14"/>
  <c r="J387" i="13"/>
  <c r="K387" i="13"/>
  <c r="M387" i="13"/>
  <c r="C372" i="13"/>
  <c r="D372" i="13"/>
  <c r="E372" i="13"/>
  <c r="I372" i="13"/>
  <c r="L372" i="13"/>
  <c r="H387" i="12"/>
  <c r="J387" i="12"/>
  <c r="E387" i="12" s="1"/>
  <c r="K387" i="12"/>
  <c r="C387" i="12" s="1"/>
  <c r="M387" i="12"/>
  <c r="C372" i="12"/>
  <c r="D372" i="12"/>
  <c r="E372" i="12"/>
  <c r="I372" i="12"/>
  <c r="L372" i="12"/>
  <c r="AJ387" i="15"/>
  <c r="AL387" i="15"/>
  <c r="AM387" i="15"/>
  <c r="AO387" i="15"/>
  <c r="GH387" i="15"/>
  <c r="GJ387" i="15"/>
  <c r="GK387" i="15"/>
  <c r="GM387" i="15"/>
  <c r="FT387" i="15"/>
  <c r="FV387" i="15"/>
  <c r="FW387" i="15"/>
  <c r="FY387" i="15"/>
  <c r="FF387" i="15"/>
  <c r="FH387" i="15"/>
  <c r="FI387" i="15"/>
  <c r="FK387" i="15"/>
  <c r="ES371" i="15"/>
  <c r="ER387" i="15"/>
  <c r="ET387" i="15"/>
  <c r="EU387" i="15"/>
  <c r="EW387" i="15"/>
  <c r="EI387" i="15"/>
  <c r="DP387" i="15"/>
  <c r="DR387" i="15"/>
  <c r="DS387" i="15"/>
  <c r="DU387" i="15"/>
  <c r="DB387" i="15"/>
  <c r="DD387" i="15"/>
  <c r="DE387" i="15"/>
  <c r="DG387" i="15"/>
  <c r="CN387" i="15"/>
  <c r="CP387" i="15"/>
  <c r="CQ387" i="15"/>
  <c r="CS387" i="15"/>
  <c r="CK387" i="15" l="1"/>
  <c r="EN387" i="15"/>
  <c r="D387" i="13"/>
  <c r="GD387" i="15"/>
  <c r="GE387" i="15"/>
  <c r="D387" i="12"/>
  <c r="AE387" i="15"/>
  <c r="AG387" i="15"/>
  <c r="FQ387" i="15"/>
  <c r="CJ387" i="15"/>
  <c r="AF387" i="15"/>
  <c r="DL387" i="15"/>
  <c r="D372" i="14"/>
  <c r="E372" i="14"/>
  <c r="I372" i="14"/>
  <c r="L372" i="14"/>
  <c r="G372" i="14"/>
  <c r="C372" i="14"/>
  <c r="FC387" i="15"/>
  <c r="GC387" i="15"/>
  <c r="FP387" i="15"/>
  <c r="FO387" i="15"/>
  <c r="FB387" i="15"/>
  <c r="CX387" i="15"/>
  <c r="CY387" i="15"/>
  <c r="FA387" i="15"/>
  <c r="EO387" i="15"/>
  <c r="EM387" i="15"/>
  <c r="DM387" i="15"/>
  <c r="DK387" i="15"/>
  <c r="CW387" i="15"/>
  <c r="CI387" i="15"/>
  <c r="BZ387" i="15"/>
  <c r="CB387" i="15"/>
  <c r="CC387" i="15"/>
  <c r="CE387" i="15"/>
  <c r="BL387" i="15"/>
  <c r="BN387" i="15"/>
  <c r="BO387" i="15"/>
  <c r="BQ387" i="15"/>
  <c r="AX387" i="15"/>
  <c r="AZ387" i="15"/>
  <c r="BA387" i="15"/>
  <c r="BC387" i="15"/>
  <c r="V387" i="15"/>
  <c r="X387" i="15"/>
  <c r="Y387" i="15"/>
  <c r="AA387" i="15"/>
  <c r="M387" i="15"/>
  <c r="K372" i="15"/>
  <c r="J372" i="15"/>
  <c r="H372" i="15"/>
  <c r="F372" i="15"/>
  <c r="GC372" i="15"/>
  <c r="GD372" i="15"/>
  <c r="GE372" i="15"/>
  <c r="GI372" i="15"/>
  <c r="GL372" i="15"/>
  <c r="FO372" i="15"/>
  <c r="FP372" i="15"/>
  <c r="FQ372" i="15"/>
  <c r="FU372" i="15"/>
  <c r="FX372" i="15"/>
  <c r="FA372" i="15"/>
  <c r="FB372" i="15"/>
  <c r="FC372" i="15"/>
  <c r="FG372" i="15"/>
  <c r="FJ372" i="15"/>
  <c r="EM372" i="15"/>
  <c r="EN372" i="15"/>
  <c r="EO372" i="15"/>
  <c r="ES372" i="15"/>
  <c r="EV372" i="15"/>
  <c r="DY372" i="15"/>
  <c r="DZ372" i="15"/>
  <c r="EA372" i="15"/>
  <c r="EE372" i="15"/>
  <c r="EH372" i="15"/>
  <c r="DK372" i="15"/>
  <c r="DL372" i="15"/>
  <c r="DM372" i="15"/>
  <c r="DQ372" i="15"/>
  <c r="DT372" i="15"/>
  <c r="CW372" i="15"/>
  <c r="CX372" i="15"/>
  <c r="CY372" i="15"/>
  <c r="DC372" i="15"/>
  <c r="DF372" i="15"/>
  <c r="BU372" i="15"/>
  <c r="BV372" i="15"/>
  <c r="BW372" i="15"/>
  <c r="CA372" i="15"/>
  <c r="CD372" i="15"/>
  <c r="CI372" i="15"/>
  <c r="CJ372" i="15"/>
  <c r="CK372" i="15"/>
  <c r="CO372" i="15"/>
  <c r="CR372" i="15"/>
  <c r="BG372" i="15"/>
  <c r="BH372" i="15"/>
  <c r="BI372" i="15"/>
  <c r="BM372" i="15"/>
  <c r="BP372" i="15"/>
  <c r="AS372" i="15"/>
  <c r="AT372" i="15"/>
  <c r="AU372" i="15"/>
  <c r="AY372" i="15"/>
  <c r="BB372" i="15"/>
  <c r="Q372" i="15"/>
  <c r="R372" i="15"/>
  <c r="S372" i="15"/>
  <c r="W372" i="15"/>
  <c r="Z372" i="15"/>
  <c r="H387" i="1"/>
  <c r="J387" i="1"/>
  <c r="K387" i="1"/>
  <c r="M387" i="1"/>
  <c r="AX387" i="17"/>
  <c r="BA387" i="17"/>
  <c r="BC387" i="17"/>
  <c r="AJ387" i="17"/>
  <c r="AM387" i="17"/>
  <c r="AO387" i="17"/>
  <c r="Y387" i="17"/>
  <c r="AA387" i="17"/>
  <c r="M387" i="17"/>
  <c r="CC387" i="16"/>
  <c r="BZ387" i="16"/>
  <c r="CE387" i="16"/>
  <c r="BL387" i="16"/>
  <c r="BO387" i="16"/>
  <c r="BQ387" i="16"/>
  <c r="BA387" i="16"/>
  <c r="AX387" i="16"/>
  <c r="BC387" i="16"/>
  <c r="AM387" i="16"/>
  <c r="AJ387" i="16"/>
  <c r="AO387" i="16"/>
  <c r="Y387" i="16"/>
  <c r="V387" i="16"/>
  <c r="AA387" i="16"/>
  <c r="M387" i="16"/>
  <c r="C372" i="1"/>
  <c r="D372" i="1"/>
  <c r="E372" i="1"/>
  <c r="I372" i="1"/>
  <c r="L372" i="1"/>
  <c r="AY372" i="17"/>
  <c r="AE372" i="17"/>
  <c r="AF372" i="17"/>
  <c r="AG372" i="17"/>
  <c r="AK372" i="17"/>
  <c r="AN372" i="17"/>
  <c r="Q372" i="17"/>
  <c r="R372" i="17"/>
  <c r="S372" i="17"/>
  <c r="W372" i="17"/>
  <c r="Z372" i="17"/>
  <c r="F372" i="17"/>
  <c r="H372" i="17"/>
  <c r="J372" i="17"/>
  <c r="G372" i="17" s="1"/>
  <c r="K372" i="17"/>
  <c r="H372" i="16"/>
  <c r="J372" i="16"/>
  <c r="K372" i="16"/>
  <c r="BU372" i="16"/>
  <c r="BV372" i="16"/>
  <c r="BW372" i="16"/>
  <c r="CA372" i="16"/>
  <c r="CD372" i="16"/>
  <c r="AS372" i="16"/>
  <c r="AT372" i="16"/>
  <c r="AU372" i="16"/>
  <c r="AY372" i="16"/>
  <c r="BB372" i="16"/>
  <c r="AE372" i="16"/>
  <c r="AF372" i="16"/>
  <c r="AG372" i="16"/>
  <c r="AK372" i="16"/>
  <c r="AN372" i="16"/>
  <c r="Q372" i="16"/>
  <c r="R372" i="16"/>
  <c r="S372" i="16"/>
  <c r="W372" i="16"/>
  <c r="Z372" i="16"/>
  <c r="E387" i="1" l="1"/>
  <c r="D387" i="1"/>
  <c r="BH387" i="15"/>
  <c r="R387" i="15"/>
  <c r="C373" i="16"/>
  <c r="C387" i="1"/>
  <c r="K372" i="87"/>
  <c r="H372" i="87"/>
  <c r="AS387" i="17"/>
  <c r="BU387" i="16"/>
  <c r="G372" i="16"/>
  <c r="J372" i="87"/>
  <c r="BW387" i="15"/>
  <c r="BV387" i="15"/>
  <c r="AU387" i="15"/>
  <c r="BI387" i="15"/>
  <c r="S387" i="15"/>
  <c r="BU387" i="15"/>
  <c r="BG387" i="15"/>
  <c r="AT387" i="15"/>
  <c r="AS387" i="15"/>
  <c r="Q387" i="15"/>
  <c r="C372" i="15"/>
  <c r="L372" i="15"/>
  <c r="E372" i="15"/>
  <c r="G372" i="15"/>
  <c r="D372" i="15"/>
  <c r="I372" i="15"/>
  <c r="D372" i="17"/>
  <c r="AE387" i="17"/>
  <c r="C372" i="17"/>
  <c r="E372" i="17"/>
  <c r="BG387" i="16"/>
  <c r="AS387" i="16"/>
  <c r="AE387" i="16"/>
  <c r="Q387" i="16"/>
  <c r="C372" i="16"/>
  <c r="E372" i="16"/>
  <c r="I372" i="16"/>
  <c r="D372" i="16"/>
  <c r="F372" i="16"/>
  <c r="F372" i="87" s="1"/>
  <c r="L372" i="17"/>
  <c r="I372" i="17"/>
  <c r="L372" i="16"/>
  <c r="C371" i="96"/>
  <c r="D371" i="96"/>
  <c r="E371" i="96"/>
  <c r="I371" i="96"/>
  <c r="L371" i="96"/>
  <c r="K371" i="15"/>
  <c r="J371" i="15"/>
  <c r="G371" i="15" s="1"/>
  <c r="H371" i="15"/>
  <c r="F371" i="15"/>
  <c r="K371" i="14"/>
  <c r="J371" i="14"/>
  <c r="G371" i="14" s="1"/>
  <c r="H371" i="14"/>
  <c r="BU371" i="14"/>
  <c r="BV371" i="14"/>
  <c r="BW371" i="14"/>
  <c r="CA371" i="14"/>
  <c r="CD371" i="14"/>
  <c r="AE371" i="14"/>
  <c r="AF371" i="14"/>
  <c r="AG371" i="14"/>
  <c r="AK371" i="14"/>
  <c r="AN371" i="14"/>
  <c r="Q371" i="14"/>
  <c r="R371" i="14"/>
  <c r="S371" i="14"/>
  <c r="W371" i="14"/>
  <c r="Z371" i="14"/>
  <c r="F371" i="14"/>
  <c r="C371" i="13"/>
  <c r="D371" i="13"/>
  <c r="E371" i="13"/>
  <c r="I371" i="13"/>
  <c r="L371" i="13"/>
  <c r="C371" i="12"/>
  <c r="D371" i="12"/>
  <c r="E371" i="12"/>
  <c r="I371" i="12"/>
  <c r="L371" i="12"/>
  <c r="GI371" i="15"/>
  <c r="FU371" i="15"/>
  <c r="FG371" i="15"/>
  <c r="EE371" i="15"/>
  <c r="DQ371" i="15"/>
  <c r="DC371" i="15"/>
  <c r="CO371" i="15"/>
  <c r="CA371" i="15"/>
  <c r="BM371" i="15"/>
  <c r="AY371" i="15"/>
  <c r="W371" i="15"/>
  <c r="GC371" i="15"/>
  <c r="GD371" i="15"/>
  <c r="GE371" i="15"/>
  <c r="GL371" i="15"/>
  <c r="FO371" i="15"/>
  <c r="FP371" i="15"/>
  <c r="FQ371" i="15"/>
  <c r="FX371" i="15"/>
  <c r="FA371" i="15"/>
  <c r="FB371" i="15"/>
  <c r="FC371" i="15"/>
  <c r="FJ371" i="15"/>
  <c r="EM371" i="15"/>
  <c r="EN371" i="15"/>
  <c r="EO371" i="15"/>
  <c r="EV371" i="15"/>
  <c r="DY371" i="15"/>
  <c r="DZ371" i="15"/>
  <c r="EA371" i="15"/>
  <c r="EH371" i="15"/>
  <c r="DK371" i="15"/>
  <c r="DL371" i="15"/>
  <c r="DM371" i="15"/>
  <c r="DT371" i="15"/>
  <c r="CW371" i="15"/>
  <c r="CX371" i="15"/>
  <c r="CY371" i="15"/>
  <c r="DF371" i="15"/>
  <c r="CI371" i="15"/>
  <c r="CJ371" i="15"/>
  <c r="CK371" i="15"/>
  <c r="CR371" i="15"/>
  <c r="BU371" i="15"/>
  <c r="BV371" i="15"/>
  <c r="BW371" i="15"/>
  <c r="CD371" i="15"/>
  <c r="BG371" i="15"/>
  <c r="BH371" i="15"/>
  <c r="BI371" i="15"/>
  <c r="BP371" i="15"/>
  <c r="AS371" i="15"/>
  <c r="AT371" i="15"/>
  <c r="AU371" i="15"/>
  <c r="BB371" i="15"/>
  <c r="Q371" i="15"/>
  <c r="R371" i="15"/>
  <c r="S371" i="15"/>
  <c r="Z371" i="15"/>
  <c r="C371" i="1"/>
  <c r="D371" i="1"/>
  <c r="E371" i="1"/>
  <c r="I371" i="1"/>
  <c r="L371" i="1"/>
  <c r="AS372" i="17"/>
  <c r="AT372" i="17"/>
  <c r="AU372" i="17"/>
  <c r="BB372" i="17"/>
  <c r="AY371" i="17"/>
  <c r="AK371" i="17"/>
  <c r="W371" i="17"/>
  <c r="AS371" i="17"/>
  <c r="AT371" i="17"/>
  <c r="AU371" i="17"/>
  <c r="BB371" i="17"/>
  <c r="AE371" i="17"/>
  <c r="AF371" i="17"/>
  <c r="AG371" i="17"/>
  <c r="AN371" i="17"/>
  <c r="Q371" i="17"/>
  <c r="R371" i="17"/>
  <c r="S371" i="17"/>
  <c r="Z371" i="17"/>
  <c r="F371" i="17"/>
  <c r="H371" i="17"/>
  <c r="J371" i="17"/>
  <c r="G371" i="17" s="1"/>
  <c r="K371" i="17"/>
  <c r="AV371" i="16"/>
  <c r="T371" i="16"/>
  <c r="AH371" i="16"/>
  <c r="CA371" i="16"/>
  <c r="AY371" i="16"/>
  <c r="AK371" i="16"/>
  <c r="W371" i="16"/>
  <c r="BU371" i="16"/>
  <c r="BV371" i="16"/>
  <c r="BW371" i="16"/>
  <c r="CD371" i="16"/>
  <c r="AS371" i="16"/>
  <c r="AT371" i="16"/>
  <c r="AU371" i="16"/>
  <c r="BB371" i="16"/>
  <c r="AE371" i="16"/>
  <c r="AF371" i="16"/>
  <c r="AG371" i="16"/>
  <c r="AN371" i="16"/>
  <c r="Q371" i="16"/>
  <c r="R371" i="16"/>
  <c r="S371" i="16"/>
  <c r="Z371" i="16"/>
  <c r="H371" i="16"/>
  <c r="J371" i="16"/>
  <c r="G371" i="16" s="1"/>
  <c r="K371" i="16"/>
  <c r="C372" i="87" l="1"/>
  <c r="D371" i="17"/>
  <c r="L372" i="87"/>
  <c r="E372" i="87"/>
  <c r="D372" i="87"/>
  <c r="I372" i="87"/>
  <c r="E371" i="14"/>
  <c r="C371" i="14"/>
  <c r="I371" i="14"/>
  <c r="L371" i="14"/>
  <c r="I371" i="15"/>
  <c r="H371" i="87"/>
  <c r="E371" i="16"/>
  <c r="F371" i="16"/>
  <c r="F371" i="87" s="1"/>
  <c r="C371" i="17"/>
  <c r="E371" i="17"/>
  <c r="K371" i="87"/>
  <c r="J371" i="87"/>
  <c r="L371" i="15"/>
  <c r="D371" i="14"/>
  <c r="E371" i="15"/>
  <c r="C371" i="15"/>
  <c r="D371" i="15"/>
  <c r="I371" i="17"/>
  <c r="L371" i="17"/>
  <c r="D371" i="16"/>
  <c r="C371" i="16"/>
  <c r="L371" i="16"/>
  <c r="I371" i="16"/>
  <c r="C370" i="96"/>
  <c r="D370" i="96"/>
  <c r="E370" i="96"/>
  <c r="I370" i="96"/>
  <c r="L370" i="96"/>
  <c r="K370" i="14"/>
  <c r="J370" i="14"/>
  <c r="G370" i="14" s="1"/>
  <c r="H370" i="14"/>
  <c r="F370" i="14"/>
  <c r="BU370" i="14"/>
  <c r="BV370" i="14"/>
  <c r="BW370" i="14"/>
  <c r="CA370" i="14"/>
  <c r="CD370" i="14"/>
  <c r="AE370" i="14"/>
  <c r="AF370" i="14"/>
  <c r="AG370" i="14"/>
  <c r="AK370" i="14"/>
  <c r="AN370" i="14"/>
  <c r="Q370" i="14"/>
  <c r="R370" i="14"/>
  <c r="S370" i="14"/>
  <c r="W370" i="14"/>
  <c r="Z370" i="14"/>
  <c r="C370" i="13"/>
  <c r="D370" i="13"/>
  <c r="E370" i="13"/>
  <c r="I370" i="13"/>
  <c r="L370" i="13"/>
  <c r="C370" i="12"/>
  <c r="D370" i="12"/>
  <c r="E370" i="12"/>
  <c r="I370" i="12"/>
  <c r="L370" i="12"/>
  <c r="F366" i="15"/>
  <c r="F367" i="15"/>
  <c r="F368" i="15"/>
  <c r="F369" i="15"/>
  <c r="F370" i="15"/>
  <c r="K366" i="15"/>
  <c r="K367" i="15"/>
  <c r="K368" i="15"/>
  <c r="K369" i="15"/>
  <c r="K370" i="15"/>
  <c r="H366" i="15"/>
  <c r="H367" i="15"/>
  <c r="H368" i="15"/>
  <c r="H369" i="15"/>
  <c r="H370" i="15"/>
  <c r="C374" i="87" l="1"/>
  <c r="D370" i="14"/>
  <c r="I370" i="14"/>
  <c r="C370" i="14"/>
  <c r="E371" i="87"/>
  <c r="C371" i="87"/>
  <c r="G371" i="87"/>
  <c r="I371" i="87"/>
  <c r="D371" i="87"/>
  <c r="L371" i="87"/>
  <c r="L370" i="14"/>
  <c r="E370" i="14"/>
  <c r="J365" i="15" l="1"/>
  <c r="J366" i="15"/>
  <c r="G366" i="15" s="1"/>
  <c r="J367" i="15"/>
  <c r="G367" i="15" s="1"/>
  <c r="J368" i="15"/>
  <c r="G368" i="15" s="1"/>
  <c r="J369" i="15"/>
  <c r="G369" i="15" s="1"/>
  <c r="J370" i="15"/>
  <c r="C370" i="15"/>
  <c r="GC370" i="15"/>
  <c r="GD370" i="15"/>
  <c r="GE370" i="15"/>
  <c r="GI370" i="15"/>
  <c r="GL370" i="15"/>
  <c r="FO370" i="15"/>
  <c r="FP370" i="15"/>
  <c r="FQ370" i="15"/>
  <c r="FU370" i="15"/>
  <c r="FX370" i="15"/>
  <c r="FA370" i="15"/>
  <c r="FB370" i="15"/>
  <c r="FC370" i="15"/>
  <c r="FG370" i="15"/>
  <c r="FJ370" i="15"/>
  <c r="EM370" i="15"/>
  <c r="EN370" i="15"/>
  <c r="EO370" i="15"/>
  <c r="ES370" i="15"/>
  <c r="EV370" i="15"/>
  <c r="DY370" i="15"/>
  <c r="DZ370" i="15"/>
  <c r="EA370" i="15"/>
  <c r="EE370" i="15"/>
  <c r="EH370" i="15"/>
  <c r="DK370" i="15"/>
  <c r="DL370" i="15"/>
  <c r="DM370" i="15"/>
  <c r="DQ370" i="15"/>
  <c r="DT370" i="15"/>
  <c r="CW370" i="15"/>
  <c r="CX370" i="15"/>
  <c r="CY370" i="15"/>
  <c r="DC370" i="15"/>
  <c r="DF370" i="15"/>
  <c r="CI370" i="15"/>
  <c r="CJ370" i="15"/>
  <c r="CK370" i="15"/>
  <c r="CO370" i="15"/>
  <c r="CR370" i="15"/>
  <c r="BU370" i="15"/>
  <c r="BV370" i="15"/>
  <c r="BW370" i="15"/>
  <c r="CA370" i="15"/>
  <c r="CD370" i="15"/>
  <c r="BG370" i="15"/>
  <c r="BH370" i="15"/>
  <c r="BI370" i="15"/>
  <c r="BM370" i="15"/>
  <c r="BP370" i="15"/>
  <c r="AS370" i="15"/>
  <c r="AT370" i="15"/>
  <c r="AU370" i="15"/>
  <c r="AY370" i="15"/>
  <c r="BB370" i="15"/>
  <c r="Q370" i="15"/>
  <c r="R370" i="15"/>
  <c r="S370" i="15"/>
  <c r="W370" i="15"/>
  <c r="Z370" i="15"/>
  <c r="C370" i="1"/>
  <c r="D370" i="1"/>
  <c r="E370" i="1"/>
  <c r="I370" i="1"/>
  <c r="L370" i="1"/>
  <c r="G370" i="15" l="1"/>
  <c r="L370" i="15"/>
  <c r="E370" i="15"/>
  <c r="I370" i="15"/>
  <c r="D370" i="15"/>
  <c r="F370" i="17"/>
  <c r="H370" i="17"/>
  <c r="J370" i="17"/>
  <c r="K370" i="17"/>
  <c r="AS370" i="17"/>
  <c r="AT370" i="17"/>
  <c r="AU370" i="17"/>
  <c r="AY370" i="17"/>
  <c r="BB370" i="17"/>
  <c r="AE370" i="17"/>
  <c r="AF370" i="17"/>
  <c r="AG370" i="17"/>
  <c r="AK370" i="17"/>
  <c r="AN370" i="17"/>
  <c r="Q370" i="17"/>
  <c r="R370" i="17"/>
  <c r="S370" i="17"/>
  <c r="W370" i="17"/>
  <c r="Z370" i="17"/>
  <c r="F370" i="16"/>
  <c r="H370" i="16"/>
  <c r="J370" i="16"/>
  <c r="G370" i="16" s="1"/>
  <c r="K370" i="16"/>
  <c r="BU370" i="16"/>
  <c r="BV370" i="16"/>
  <c r="BW370" i="16"/>
  <c r="CA370" i="16"/>
  <c r="CD370" i="16"/>
  <c r="AS370" i="16"/>
  <c r="AT370" i="16"/>
  <c r="AU370" i="16"/>
  <c r="AY370" i="16"/>
  <c r="BB370" i="16"/>
  <c r="AE370" i="16"/>
  <c r="AF370" i="16"/>
  <c r="AG370" i="16"/>
  <c r="AK370" i="16"/>
  <c r="AN370" i="16"/>
  <c r="Q370" i="16"/>
  <c r="R370" i="16"/>
  <c r="S370" i="16"/>
  <c r="W370" i="16"/>
  <c r="Z370" i="16"/>
  <c r="L370" i="17" l="1"/>
  <c r="F370" i="87"/>
  <c r="H370" i="87"/>
  <c r="C370" i="16"/>
  <c r="L370" i="16"/>
  <c r="E370" i="16"/>
  <c r="D370" i="16"/>
  <c r="I370" i="16"/>
  <c r="J370" i="87"/>
  <c r="K370" i="87"/>
  <c r="C370" i="17"/>
  <c r="D370" i="17"/>
  <c r="I370" i="17"/>
  <c r="E370" i="17"/>
  <c r="G370" i="17"/>
  <c r="F365" i="15"/>
  <c r="F364" i="15"/>
  <c r="F363" i="15"/>
  <c r="F362" i="15"/>
  <c r="F361" i="15"/>
  <c r="F360" i="15"/>
  <c r="F359" i="15"/>
  <c r="F358" i="15"/>
  <c r="F357" i="15"/>
  <c r="F356" i="15"/>
  <c r="F355" i="15"/>
  <c r="F354" i="15"/>
  <c r="F353" i="15"/>
  <c r="F352" i="15"/>
  <c r="F351" i="15"/>
  <c r="F350" i="15"/>
  <c r="F349" i="15"/>
  <c r="F348" i="15"/>
  <c r="F347" i="15"/>
  <c r="F346" i="15"/>
  <c r="F345" i="15"/>
  <c r="F344" i="15"/>
  <c r="F343" i="15"/>
  <c r="F342" i="15"/>
  <c r="F341" i="15"/>
  <c r="F340" i="15"/>
  <c r="F339" i="15"/>
  <c r="F338" i="15"/>
  <c r="F337" i="15"/>
  <c r="F336" i="15"/>
  <c r="F335" i="15"/>
  <c r="F334" i="15"/>
  <c r="F333" i="15"/>
  <c r="F332" i="15"/>
  <c r="F331" i="15"/>
  <c r="F330" i="15"/>
  <c r="F329" i="15"/>
  <c r="F328" i="15"/>
  <c r="F327" i="15"/>
  <c r="F326" i="15"/>
  <c r="F325" i="15"/>
  <c r="F324" i="15"/>
  <c r="G370" i="87" l="1"/>
  <c r="C370" i="87"/>
  <c r="L370" i="87"/>
  <c r="I370" i="87"/>
  <c r="E370" i="87"/>
  <c r="D370" i="87"/>
  <c r="C369" i="96"/>
  <c r="D369" i="96"/>
  <c r="E369" i="96"/>
  <c r="I369" i="96"/>
  <c r="L369" i="96"/>
  <c r="K369" i="14"/>
  <c r="J369" i="14"/>
  <c r="H369" i="14"/>
  <c r="BU369" i="14"/>
  <c r="BV369" i="14"/>
  <c r="BW369" i="14"/>
  <c r="CA369" i="14"/>
  <c r="CD369" i="14"/>
  <c r="AE369" i="14"/>
  <c r="AF369" i="14"/>
  <c r="AG369" i="14"/>
  <c r="AK369" i="14"/>
  <c r="AN369" i="14"/>
  <c r="Q369" i="14"/>
  <c r="R369" i="14"/>
  <c r="S369" i="14"/>
  <c r="W369" i="14"/>
  <c r="Z369" i="14"/>
  <c r="F369" i="14"/>
  <c r="C369" i="13"/>
  <c r="D369" i="13"/>
  <c r="E369" i="13"/>
  <c r="I369" i="13"/>
  <c r="L369" i="13"/>
  <c r="C369" i="12"/>
  <c r="D369" i="12"/>
  <c r="E369" i="12"/>
  <c r="I369" i="12"/>
  <c r="L369" i="12"/>
  <c r="CA369" i="15"/>
  <c r="BM369" i="15"/>
  <c r="AY369" i="15"/>
  <c r="W369" i="15"/>
  <c r="EM369" i="15"/>
  <c r="EN369" i="15"/>
  <c r="EO369" i="15"/>
  <c r="ES369" i="15"/>
  <c r="EV369" i="15"/>
  <c r="GC369" i="15"/>
  <c r="GD369" i="15"/>
  <c r="GE369" i="15"/>
  <c r="GI369" i="15"/>
  <c r="GL369" i="15"/>
  <c r="FO369" i="15"/>
  <c r="FP369" i="15"/>
  <c r="FQ369" i="15"/>
  <c r="FU369" i="15"/>
  <c r="FX369" i="15"/>
  <c r="FA369" i="15"/>
  <c r="FB369" i="15"/>
  <c r="FC369" i="15"/>
  <c r="FG369" i="15"/>
  <c r="FJ369" i="15"/>
  <c r="DY369" i="15"/>
  <c r="DZ369" i="15"/>
  <c r="EA369" i="15"/>
  <c r="EE369" i="15"/>
  <c r="EH369" i="15"/>
  <c r="DK369" i="15"/>
  <c r="DL369" i="15"/>
  <c r="DM369" i="15"/>
  <c r="DQ369" i="15"/>
  <c r="DT369" i="15"/>
  <c r="CW369" i="15"/>
  <c r="CX369" i="15"/>
  <c r="CY369" i="15"/>
  <c r="DC369" i="15"/>
  <c r="DF369" i="15"/>
  <c r="CI369" i="15"/>
  <c r="CJ369" i="15"/>
  <c r="CK369" i="15"/>
  <c r="CO369" i="15"/>
  <c r="CR369" i="15"/>
  <c r="BU369" i="15"/>
  <c r="BV369" i="15"/>
  <c r="BW369" i="15"/>
  <c r="CD369" i="15"/>
  <c r="BG369" i="15"/>
  <c r="BH369" i="15"/>
  <c r="BI369" i="15"/>
  <c r="BP369" i="15"/>
  <c r="AS369" i="15"/>
  <c r="AT369" i="15"/>
  <c r="AU369" i="15"/>
  <c r="BB369" i="15"/>
  <c r="Q369" i="15"/>
  <c r="R369" i="15"/>
  <c r="S369" i="15"/>
  <c r="Z369" i="15"/>
  <c r="I369" i="1"/>
  <c r="I368" i="1"/>
  <c r="C369" i="1"/>
  <c r="D369" i="1"/>
  <c r="E369" i="1"/>
  <c r="L369" i="1"/>
  <c r="W369" i="17"/>
  <c r="AK369" i="17"/>
  <c r="AY369" i="17"/>
  <c r="AS369" i="17"/>
  <c r="AT369" i="17"/>
  <c r="AU369" i="17"/>
  <c r="BB369" i="17"/>
  <c r="AE369" i="17"/>
  <c r="AF369" i="17"/>
  <c r="AG369" i="17"/>
  <c r="AN369" i="17"/>
  <c r="Q369" i="17"/>
  <c r="R369" i="17"/>
  <c r="S369" i="17"/>
  <c r="Z369" i="17"/>
  <c r="F369" i="17"/>
  <c r="H369" i="17"/>
  <c r="J369" i="17"/>
  <c r="K369" i="17"/>
  <c r="CA369" i="16"/>
  <c r="AY369" i="16"/>
  <c r="AK369" i="16"/>
  <c r="W369" i="16"/>
  <c r="BU369" i="16"/>
  <c r="BV369" i="16"/>
  <c r="BW369" i="16"/>
  <c r="CD369" i="16"/>
  <c r="AS369" i="16"/>
  <c r="AT369" i="16"/>
  <c r="AU369" i="16"/>
  <c r="BB369" i="16"/>
  <c r="AE369" i="16"/>
  <c r="AF369" i="16"/>
  <c r="AG369" i="16"/>
  <c r="AN369" i="16"/>
  <c r="Q369" i="16"/>
  <c r="R369" i="16"/>
  <c r="S369" i="16"/>
  <c r="Z369" i="16"/>
  <c r="F369" i="16"/>
  <c r="H369" i="16"/>
  <c r="J369" i="16"/>
  <c r="G369" i="16" s="1"/>
  <c r="K369" i="16"/>
  <c r="C369" i="17" l="1"/>
  <c r="E369" i="17"/>
  <c r="C369" i="14"/>
  <c r="L369" i="14"/>
  <c r="D369" i="17"/>
  <c r="H369" i="87"/>
  <c r="D369" i="16"/>
  <c r="J369" i="87"/>
  <c r="K369" i="87"/>
  <c r="F369" i="87"/>
  <c r="D369" i="14"/>
  <c r="G369" i="14"/>
  <c r="E369" i="14"/>
  <c r="I369" i="14"/>
  <c r="E369" i="15"/>
  <c r="L369" i="15"/>
  <c r="D369" i="15"/>
  <c r="I369" i="15"/>
  <c r="C369" i="15"/>
  <c r="G369" i="17"/>
  <c r="I369" i="17"/>
  <c r="L369" i="17"/>
  <c r="C369" i="16"/>
  <c r="L369" i="16"/>
  <c r="I369" i="16"/>
  <c r="E369" i="16"/>
  <c r="E369" i="87" l="1"/>
  <c r="I369" i="87"/>
  <c r="L369" i="87"/>
  <c r="D369" i="87"/>
  <c r="C369" i="87"/>
  <c r="G369" i="87"/>
  <c r="I368" i="96"/>
  <c r="C368" i="96" l="1"/>
  <c r="D368" i="96"/>
  <c r="E368" i="96"/>
  <c r="L368" i="96"/>
  <c r="K367" i="14"/>
  <c r="K366" i="14"/>
  <c r="K365" i="14"/>
  <c r="K364" i="14"/>
  <c r="K363" i="14"/>
  <c r="K362" i="14"/>
  <c r="K361" i="14"/>
  <c r="K360" i="14"/>
  <c r="K359" i="14"/>
  <c r="K358" i="14"/>
  <c r="K357" i="14"/>
  <c r="K356" i="14"/>
  <c r="K355" i="14"/>
  <c r="K354" i="14"/>
  <c r="K353" i="14"/>
  <c r="K352" i="14"/>
  <c r="K351" i="14"/>
  <c r="K350" i="14"/>
  <c r="K349" i="14"/>
  <c r="K348" i="14"/>
  <c r="K347" i="14"/>
  <c r="K346" i="14"/>
  <c r="K345" i="14"/>
  <c r="K344" i="14"/>
  <c r="K343" i="14"/>
  <c r="K342" i="14"/>
  <c r="K341" i="14"/>
  <c r="K340" i="14"/>
  <c r="K339" i="14"/>
  <c r="K338" i="14"/>
  <c r="K337" i="14"/>
  <c r="K336" i="14"/>
  <c r="K335" i="14"/>
  <c r="K334" i="14"/>
  <c r="K333" i="14"/>
  <c r="K332" i="14"/>
  <c r="K331" i="14"/>
  <c r="K330" i="14"/>
  <c r="K329" i="14"/>
  <c r="K328" i="14"/>
  <c r="K327" i="14"/>
  <c r="K326" i="14"/>
  <c r="K325" i="14"/>
  <c r="K324" i="14"/>
  <c r="K323" i="14"/>
  <c r="K322" i="14"/>
  <c r="K321" i="14"/>
  <c r="K320" i="14"/>
  <c r="K319" i="14"/>
  <c r="K318" i="14"/>
  <c r="K317" i="14"/>
  <c r="K316" i="14"/>
  <c r="K315" i="14"/>
  <c r="K314" i="14"/>
  <c r="K313" i="14"/>
  <c r="K312" i="14"/>
  <c r="K311" i="14"/>
  <c r="K310" i="14"/>
  <c r="K309" i="14"/>
  <c r="K308" i="14"/>
  <c r="K307" i="14"/>
  <c r="K306" i="14"/>
  <c r="K305" i="14"/>
  <c r="K304" i="14"/>
  <c r="K303" i="14"/>
  <c r="K302" i="14"/>
  <c r="K301" i="14"/>
  <c r="K300" i="14"/>
  <c r="K299" i="14"/>
  <c r="K298" i="14"/>
  <c r="K297" i="14"/>
  <c r="K296" i="14"/>
  <c r="K295" i="14"/>
  <c r="K294" i="14"/>
  <c r="K293" i="14"/>
  <c r="K292" i="14"/>
  <c r="K291" i="14"/>
  <c r="K290" i="14"/>
  <c r="K289" i="14"/>
  <c r="K288" i="14"/>
  <c r="K287" i="14"/>
  <c r="K286" i="14"/>
  <c r="K285" i="14"/>
  <c r="K284" i="14"/>
  <c r="K283" i="14"/>
  <c r="K282" i="14"/>
  <c r="K281" i="14"/>
  <c r="K280" i="14"/>
  <c r="K279" i="14"/>
  <c r="K278" i="14"/>
  <c r="K277" i="14"/>
  <c r="K276" i="14"/>
  <c r="K275" i="14"/>
  <c r="K274" i="14"/>
  <c r="K273" i="14"/>
  <c r="K272" i="14"/>
  <c r="K271" i="14"/>
  <c r="K270" i="14"/>
  <c r="K269" i="14"/>
  <c r="K268" i="14"/>
  <c r="K267" i="14"/>
  <c r="K266" i="14"/>
  <c r="K265" i="14"/>
  <c r="K264" i="14"/>
  <c r="K263"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8" i="14"/>
  <c r="K147" i="14"/>
  <c r="K146" i="14"/>
  <c r="K145" i="14"/>
  <c r="K144" i="14"/>
  <c r="K143" i="14"/>
  <c r="K142" i="14"/>
  <c r="K141" i="14"/>
  <c r="K140" i="14"/>
  <c r="K139" i="14"/>
  <c r="K138" i="14"/>
  <c r="K137" i="14"/>
  <c r="K136" i="14"/>
  <c r="K135" i="14"/>
  <c r="K134" i="14"/>
  <c r="J367" i="14"/>
  <c r="G367" i="14" s="1"/>
  <c r="J366" i="14"/>
  <c r="G366" i="14" s="1"/>
  <c r="J365" i="14"/>
  <c r="G365" i="14" s="1"/>
  <c r="J364" i="14"/>
  <c r="J363" i="14"/>
  <c r="G363" i="14" s="1"/>
  <c r="J362" i="14"/>
  <c r="G362" i="14" s="1"/>
  <c r="J361" i="14"/>
  <c r="G361" i="14" s="1"/>
  <c r="J360" i="14"/>
  <c r="J359" i="14"/>
  <c r="G359" i="14" s="1"/>
  <c r="J358" i="14"/>
  <c r="G358" i="14" s="1"/>
  <c r="J357" i="14"/>
  <c r="G357" i="14" s="1"/>
  <c r="J356" i="14"/>
  <c r="G356" i="14" s="1"/>
  <c r="J355" i="14"/>
  <c r="G355" i="14" s="1"/>
  <c r="J354" i="14"/>
  <c r="G354" i="14" s="1"/>
  <c r="J353" i="14"/>
  <c r="G353" i="14" s="1"/>
  <c r="J352" i="14"/>
  <c r="J351" i="14"/>
  <c r="G351" i="14" s="1"/>
  <c r="J350" i="14"/>
  <c r="G350" i="14" s="1"/>
  <c r="J349" i="14"/>
  <c r="G349" i="14" s="1"/>
  <c r="J348" i="14"/>
  <c r="G348" i="14" s="1"/>
  <c r="J347" i="14"/>
  <c r="G347" i="14" s="1"/>
  <c r="J346" i="14"/>
  <c r="G346" i="14" s="1"/>
  <c r="J345" i="14"/>
  <c r="G345" i="14" s="1"/>
  <c r="J344" i="14"/>
  <c r="G344" i="14" s="1"/>
  <c r="J343" i="14"/>
  <c r="G343" i="14" s="1"/>
  <c r="J342" i="14"/>
  <c r="G342" i="14" s="1"/>
  <c r="J341" i="14"/>
  <c r="G341" i="14" s="1"/>
  <c r="J340" i="14"/>
  <c r="J339" i="14"/>
  <c r="G339" i="14" s="1"/>
  <c r="J338" i="14"/>
  <c r="G338" i="14" s="1"/>
  <c r="J337" i="14"/>
  <c r="G337" i="14" s="1"/>
  <c r="J336" i="14"/>
  <c r="G336" i="14" s="1"/>
  <c r="J335" i="14"/>
  <c r="J334" i="14"/>
  <c r="G334" i="14" s="1"/>
  <c r="J333" i="14"/>
  <c r="G333" i="14" s="1"/>
  <c r="J332" i="14"/>
  <c r="G332" i="14" s="1"/>
  <c r="J331" i="14"/>
  <c r="G331" i="14" s="1"/>
  <c r="J330" i="14"/>
  <c r="G330" i="14" s="1"/>
  <c r="J329" i="14"/>
  <c r="G329" i="14" s="1"/>
  <c r="J328" i="14"/>
  <c r="J327" i="14"/>
  <c r="G327" i="14" s="1"/>
  <c r="J326" i="14"/>
  <c r="G326" i="14" s="1"/>
  <c r="J325" i="14"/>
  <c r="G325" i="14" s="1"/>
  <c r="J324" i="14"/>
  <c r="J323" i="14"/>
  <c r="J322" i="14"/>
  <c r="J321" i="14"/>
  <c r="J320" i="14"/>
  <c r="J319" i="14"/>
  <c r="J318" i="14"/>
  <c r="J317" i="14"/>
  <c r="J316" i="14"/>
  <c r="J315" i="14"/>
  <c r="J314" i="14"/>
  <c r="J313" i="14"/>
  <c r="J312" i="14"/>
  <c r="J311" i="14"/>
  <c r="J310" i="14"/>
  <c r="J309" i="14"/>
  <c r="J308" i="14"/>
  <c r="J307" i="14"/>
  <c r="J306" i="14"/>
  <c r="J305" i="14"/>
  <c r="J304" i="14"/>
  <c r="J303" i="14"/>
  <c r="J302" i="14"/>
  <c r="J301" i="14"/>
  <c r="J300" i="14"/>
  <c r="J299" i="14"/>
  <c r="J298" i="14"/>
  <c r="J297" i="14"/>
  <c r="J296" i="14"/>
  <c r="J295" i="14"/>
  <c r="J294" i="14"/>
  <c r="J293" i="14"/>
  <c r="J292" i="14"/>
  <c r="J291" i="14"/>
  <c r="J290" i="14"/>
  <c r="J289" i="14"/>
  <c r="J288" i="14"/>
  <c r="J287" i="14"/>
  <c r="J286" i="14"/>
  <c r="J285" i="14"/>
  <c r="J284" i="14"/>
  <c r="J283" i="14"/>
  <c r="J282" i="14"/>
  <c r="J281" i="14"/>
  <c r="J280" i="14"/>
  <c r="J279" i="14"/>
  <c r="J278" i="14"/>
  <c r="J277" i="14"/>
  <c r="J276" i="14"/>
  <c r="J275" i="14"/>
  <c r="J274" i="14"/>
  <c r="J273" i="14"/>
  <c r="J272" i="14"/>
  <c r="J271" i="14"/>
  <c r="J270" i="14"/>
  <c r="J269" i="14"/>
  <c r="J268" i="14"/>
  <c r="J267" i="14"/>
  <c r="J266" i="14"/>
  <c r="J265" i="14"/>
  <c r="J264" i="14"/>
  <c r="J263" i="14"/>
  <c r="J262" i="14"/>
  <c r="J261" i="14"/>
  <c r="J260" i="14"/>
  <c r="J259" i="14"/>
  <c r="J258" i="14"/>
  <c r="J257" i="14"/>
  <c r="J256" i="14"/>
  <c r="J255" i="14"/>
  <c r="J254" i="14"/>
  <c r="J253" i="14"/>
  <c r="J252" i="14"/>
  <c r="J251" i="14"/>
  <c r="J250" i="14"/>
  <c r="J249" i="14"/>
  <c r="J248" i="14"/>
  <c r="J247" i="14"/>
  <c r="J246" i="14"/>
  <c r="J245" i="14"/>
  <c r="J244" i="14"/>
  <c r="J243" i="14"/>
  <c r="J242" i="14"/>
  <c r="J241" i="14"/>
  <c r="J240" i="14"/>
  <c r="J239" i="14"/>
  <c r="J238" i="14"/>
  <c r="J237" i="14"/>
  <c r="J236" i="14"/>
  <c r="J235" i="14"/>
  <c r="J234" i="14"/>
  <c r="J233" i="14"/>
  <c r="J232" i="14"/>
  <c r="J231" i="14"/>
  <c r="J230" i="14"/>
  <c r="J229" i="14"/>
  <c r="J228" i="14"/>
  <c r="J227" i="14"/>
  <c r="J226" i="14"/>
  <c r="J225" i="14"/>
  <c r="J224" i="14"/>
  <c r="J223" i="14"/>
  <c r="J222" i="14"/>
  <c r="J221" i="14"/>
  <c r="J220" i="14"/>
  <c r="J219" i="14"/>
  <c r="J218" i="14"/>
  <c r="J217" i="14"/>
  <c r="J216" i="14"/>
  <c r="J215" i="14"/>
  <c r="J214" i="14"/>
  <c r="J213" i="14"/>
  <c r="J212" i="14"/>
  <c r="J211" i="14"/>
  <c r="J210" i="14"/>
  <c r="J209" i="14"/>
  <c r="J208" i="14"/>
  <c r="J207" i="14"/>
  <c r="J206" i="14"/>
  <c r="J205" i="14"/>
  <c r="J204" i="14"/>
  <c r="J203" i="14"/>
  <c r="J202" i="14"/>
  <c r="J201" i="14"/>
  <c r="J200" i="14"/>
  <c r="J199" i="14"/>
  <c r="J198" i="14"/>
  <c r="J197" i="14"/>
  <c r="J196" i="14"/>
  <c r="J195" i="14"/>
  <c r="J194" i="14"/>
  <c r="J193" i="14"/>
  <c r="J192" i="14"/>
  <c r="J191" i="14"/>
  <c r="J190" i="14"/>
  <c r="J189" i="14"/>
  <c r="J188" i="14"/>
  <c r="J187" i="14"/>
  <c r="J186" i="14"/>
  <c r="J185" i="14"/>
  <c r="J184" i="14"/>
  <c r="J183" i="14"/>
  <c r="J182" i="14"/>
  <c r="J181" i="14"/>
  <c r="J180" i="14"/>
  <c r="J179" i="14"/>
  <c r="J178" i="14"/>
  <c r="J177" i="14"/>
  <c r="J176" i="14"/>
  <c r="J175" i="14"/>
  <c r="J174" i="14"/>
  <c r="J173" i="14"/>
  <c r="J172" i="14"/>
  <c r="J171" i="14"/>
  <c r="J170" i="14"/>
  <c r="J169" i="14"/>
  <c r="J168" i="14"/>
  <c r="J167" i="14"/>
  <c r="J166" i="14"/>
  <c r="J165" i="14"/>
  <c r="J164" i="14"/>
  <c r="J163" i="14"/>
  <c r="J162" i="14"/>
  <c r="J161" i="14"/>
  <c r="J160" i="14"/>
  <c r="J159" i="14"/>
  <c r="J158" i="14"/>
  <c r="J157" i="14"/>
  <c r="J156" i="14"/>
  <c r="J155" i="14"/>
  <c r="J154" i="14"/>
  <c r="J153" i="14"/>
  <c r="J152" i="14"/>
  <c r="J151" i="14"/>
  <c r="J150" i="14"/>
  <c r="J148" i="14"/>
  <c r="J147" i="14"/>
  <c r="J146" i="14"/>
  <c r="J145" i="14"/>
  <c r="J144" i="14"/>
  <c r="J143" i="14"/>
  <c r="J142" i="14"/>
  <c r="J141" i="14"/>
  <c r="J140" i="14"/>
  <c r="J139" i="14"/>
  <c r="J138" i="14"/>
  <c r="J137" i="14"/>
  <c r="J136" i="14"/>
  <c r="J135" i="14"/>
  <c r="J134" i="14"/>
  <c r="H367" i="14"/>
  <c r="H366" i="14"/>
  <c r="H365" i="14"/>
  <c r="H364" i="14"/>
  <c r="H363" i="14"/>
  <c r="H362" i="14"/>
  <c r="H361" i="14"/>
  <c r="H360" i="14"/>
  <c r="H359" i="14"/>
  <c r="H358" i="14"/>
  <c r="H357" i="14"/>
  <c r="H356" i="14"/>
  <c r="H355" i="14"/>
  <c r="H354" i="14"/>
  <c r="H353" i="14"/>
  <c r="H352" i="14"/>
  <c r="H351" i="14"/>
  <c r="H350" i="14"/>
  <c r="H349" i="14"/>
  <c r="H348" i="14"/>
  <c r="H347" i="14"/>
  <c r="H346" i="14"/>
  <c r="H345" i="14"/>
  <c r="H344" i="14"/>
  <c r="H343" i="14"/>
  <c r="H342" i="14"/>
  <c r="H341" i="14"/>
  <c r="H340" i="14"/>
  <c r="H339" i="14"/>
  <c r="H338" i="14"/>
  <c r="H337" i="14"/>
  <c r="H336" i="14"/>
  <c r="H335" i="14"/>
  <c r="H334" i="14"/>
  <c r="H333" i="14"/>
  <c r="H332" i="14"/>
  <c r="H331" i="14"/>
  <c r="H330" i="14"/>
  <c r="H329" i="14"/>
  <c r="H328" i="14"/>
  <c r="H327" i="14"/>
  <c r="H326" i="14"/>
  <c r="H325" i="14"/>
  <c r="H324" i="14"/>
  <c r="H323" i="14"/>
  <c r="H322" i="14"/>
  <c r="H321" i="14"/>
  <c r="H320" i="14"/>
  <c r="H319" i="14"/>
  <c r="H318" i="14"/>
  <c r="H317" i="14"/>
  <c r="H316" i="14"/>
  <c r="H315" i="14"/>
  <c r="H314" i="14"/>
  <c r="H313" i="14"/>
  <c r="H312" i="14"/>
  <c r="H311" i="14"/>
  <c r="H310" i="14"/>
  <c r="H309" i="14"/>
  <c r="H308" i="14"/>
  <c r="H307" i="14"/>
  <c r="H306" i="14"/>
  <c r="H305" i="14"/>
  <c r="H304" i="14"/>
  <c r="H303" i="14"/>
  <c r="H302" i="14"/>
  <c r="H301" i="14"/>
  <c r="H300" i="14"/>
  <c r="H299" i="14"/>
  <c r="H298" i="14"/>
  <c r="H297" i="14"/>
  <c r="H296" i="14"/>
  <c r="H295" i="14"/>
  <c r="H294" i="14"/>
  <c r="H293" i="14"/>
  <c r="H292" i="14"/>
  <c r="H291" i="14"/>
  <c r="H290" i="14"/>
  <c r="H289" i="14"/>
  <c r="H288" i="14"/>
  <c r="H287" i="14"/>
  <c r="H286" i="14"/>
  <c r="H285" i="14"/>
  <c r="H284" i="14"/>
  <c r="H283" i="14"/>
  <c r="H282" i="14"/>
  <c r="H281" i="14"/>
  <c r="H280" i="14"/>
  <c r="H279" i="14"/>
  <c r="H278" i="14"/>
  <c r="H277" i="14"/>
  <c r="H276" i="14"/>
  <c r="H275" i="14"/>
  <c r="H274" i="14"/>
  <c r="H273" i="14"/>
  <c r="H272" i="14"/>
  <c r="H271" i="14"/>
  <c r="H270" i="14"/>
  <c r="H269" i="14"/>
  <c r="H268" i="14"/>
  <c r="H267" i="14"/>
  <c r="H266" i="14"/>
  <c r="H265" i="14"/>
  <c r="H264" i="14"/>
  <c r="H263" i="14"/>
  <c r="H262" i="14"/>
  <c r="H261" i="14"/>
  <c r="H260" i="14"/>
  <c r="H259" i="14"/>
  <c r="H258" i="14"/>
  <c r="H257" i="14"/>
  <c r="H256" i="14"/>
  <c r="H255" i="14"/>
  <c r="H254" i="14"/>
  <c r="H253" i="14"/>
  <c r="H252" i="14"/>
  <c r="H251" i="14"/>
  <c r="H250" i="14"/>
  <c r="H249" i="14"/>
  <c r="H248" i="14"/>
  <c r="H247" i="14"/>
  <c r="H246" i="14"/>
  <c r="H245" i="14"/>
  <c r="H244" i="14"/>
  <c r="H243" i="14"/>
  <c r="H242" i="14"/>
  <c r="H241" i="14"/>
  <c r="H240" i="14"/>
  <c r="H239" i="14"/>
  <c r="H238" i="14"/>
  <c r="H237" i="14"/>
  <c r="H236" i="14"/>
  <c r="H235" i="14"/>
  <c r="H234" i="14"/>
  <c r="H233" i="14"/>
  <c r="H232" i="14"/>
  <c r="H231" i="14"/>
  <c r="H230" i="14"/>
  <c r="H229" i="14"/>
  <c r="H228" i="14"/>
  <c r="H227" i="14"/>
  <c r="H226" i="14"/>
  <c r="H225" i="14"/>
  <c r="H224" i="14"/>
  <c r="H223" i="14"/>
  <c r="H222" i="14"/>
  <c r="H221" i="14"/>
  <c r="H220" i="14"/>
  <c r="H219" i="14"/>
  <c r="H218" i="14"/>
  <c r="H217" i="14"/>
  <c r="H216" i="14"/>
  <c r="H215" i="14"/>
  <c r="H214" i="14"/>
  <c r="H213" i="14"/>
  <c r="H212" i="14"/>
  <c r="H211" i="14"/>
  <c r="H210" i="14"/>
  <c r="H209" i="14"/>
  <c r="H208" i="14"/>
  <c r="H207" i="14"/>
  <c r="H206" i="14"/>
  <c r="H205" i="14"/>
  <c r="H204" i="14"/>
  <c r="H203" i="14"/>
  <c r="H202" i="14"/>
  <c r="H201" i="14"/>
  <c r="H200" i="14"/>
  <c r="H199" i="14"/>
  <c r="H198" i="14"/>
  <c r="H197" i="14"/>
  <c r="H196" i="14"/>
  <c r="H195" i="14"/>
  <c r="H194" i="14"/>
  <c r="H193" i="14"/>
  <c r="H192" i="14"/>
  <c r="H191" i="14"/>
  <c r="H190" i="14"/>
  <c r="H189" i="14"/>
  <c r="H188" i="14"/>
  <c r="H187" i="14"/>
  <c r="H186" i="14"/>
  <c r="H185" i="14"/>
  <c r="H184" i="14"/>
  <c r="H183" i="14"/>
  <c r="H182" i="14"/>
  <c r="H181" i="14"/>
  <c r="H180" i="14"/>
  <c r="H179" i="14"/>
  <c r="H178" i="14"/>
  <c r="H177" i="14"/>
  <c r="H176" i="14"/>
  <c r="H175" i="14"/>
  <c r="H174" i="14"/>
  <c r="H173" i="14"/>
  <c r="H172" i="14"/>
  <c r="H171" i="14"/>
  <c r="H170" i="14"/>
  <c r="H169" i="14"/>
  <c r="H168" i="14"/>
  <c r="H167" i="14"/>
  <c r="H166" i="14"/>
  <c r="H165" i="14"/>
  <c r="H164" i="14"/>
  <c r="H163" i="14"/>
  <c r="H162" i="14"/>
  <c r="H161" i="14"/>
  <c r="H160" i="14"/>
  <c r="H159" i="14"/>
  <c r="H158" i="14"/>
  <c r="H157" i="14"/>
  <c r="H156" i="14"/>
  <c r="H155" i="14"/>
  <c r="H154" i="14"/>
  <c r="H153" i="14"/>
  <c r="H152" i="14"/>
  <c r="H151" i="14"/>
  <c r="H150" i="14"/>
  <c r="H148" i="14"/>
  <c r="H147" i="14"/>
  <c r="H146" i="14"/>
  <c r="H145" i="14"/>
  <c r="H144" i="14"/>
  <c r="H143" i="14"/>
  <c r="H142" i="14"/>
  <c r="H141" i="14"/>
  <c r="H140" i="14"/>
  <c r="H139" i="14"/>
  <c r="H138" i="14"/>
  <c r="H137" i="14"/>
  <c r="H136" i="14"/>
  <c r="H135" i="14"/>
  <c r="H134" i="14"/>
  <c r="G364" i="14"/>
  <c r="G360" i="14"/>
  <c r="G352" i="14"/>
  <c r="G340" i="14"/>
  <c r="G335" i="14"/>
  <c r="G328" i="14"/>
  <c r="G324"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K368" i="14"/>
  <c r="J368" i="14"/>
  <c r="G368" i="14" s="1"/>
  <c r="H368" i="14"/>
  <c r="BU368" i="14"/>
  <c r="BV368" i="14"/>
  <c r="BW368" i="14"/>
  <c r="CA368" i="14"/>
  <c r="CD368" i="14"/>
  <c r="AE368" i="14"/>
  <c r="AF368" i="14"/>
  <c r="AG368" i="14"/>
  <c r="AK368" i="14"/>
  <c r="AN368" i="14"/>
  <c r="Q368" i="14"/>
  <c r="R368" i="14"/>
  <c r="S368" i="14"/>
  <c r="W368" i="14"/>
  <c r="Z368" i="14"/>
  <c r="C368" i="13"/>
  <c r="D368" i="13"/>
  <c r="E368" i="13"/>
  <c r="I368" i="13"/>
  <c r="L368" i="13"/>
  <c r="C368" i="12"/>
  <c r="D368" i="12"/>
  <c r="E368" i="12"/>
  <c r="I368" i="12"/>
  <c r="L368" i="12"/>
  <c r="G365" i="15"/>
  <c r="GC368" i="15"/>
  <c r="GD368" i="15"/>
  <c r="GE368" i="15"/>
  <c r="GL368" i="15"/>
  <c r="GI366" i="15"/>
  <c r="GI367" i="15"/>
  <c r="GI368" i="15"/>
  <c r="FO368" i="15"/>
  <c r="FP368" i="15"/>
  <c r="FQ368" i="15"/>
  <c r="FU368" i="15"/>
  <c r="FX368" i="15"/>
  <c r="GI387" i="15" l="1"/>
  <c r="C368" i="14"/>
  <c r="I368" i="14"/>
  <c r="L368" i="14"/>
  <c r="D368" i="14"/>
  <c r="E368" i="14"/>
  <c r="FA368" i="15"/>
  <c r="FB368" i="15"/>
  <c r="FC368" i="15"/>
  <c r="FG368" i="15"/>
  <c r="FJ368" i="15"/>
  <c r="EM368" i="15"/>
  <c r="EN368" i="15"/>
  <c r="EO368" i="15"/>
  <c r="ES368" i="15"/>
  <c r="EV368" i="15"/>
  <c r="DY368" i="15"/>
  <c r="DZ368" i="15"/>
  <c r="EA368" i="15"/>
  <c r="EE368" i="15"/>
  <c r="EH368" i="15"/>
  <c r="DK368" i="15"/>
  <c r="DL368" i="15"/>
  <c r="DM368" i="15"/>
  <c r="DQ368" i="15"/>
  <c r="DT368" i="15"/>
  <c r="CW368" i="15"/>
  <c r="CX368" i="15"/>
  <c r="CY368" i="15"/>
  <c r="DC368" i="15"/>
  <c r="DF368" i="15"/>
  <c r="CI368" i="15"/>
  <c r="CJ368" i="15"/>
  <c r="CK368" i="15"/>
  <c r="CO368" i="15"/>
  <c r="CR368" i="15"/>
  <c r="BU368" i="15"/>
  <c r="BV368" i="15"/>
  <c r="BW368" i="15"/>
  <c r="CA368" i="15"/>
  <c r="CD368" i="15"/>
  <c r="BG368" i="15"/>
  <c r="BH368" i="15"/>
  <c r="BI368" i="15"/>
  <c r="BM368" i="15"/>
  <c r="BP368" i="15"/>
  <c r="AS368" i="15"/>
  <c r="AT368" i="15"/>
  <c r="AU368" i="15"/>
  <c r="AY368" i="15"/>
  <c r="BB368" i="15"/>
  <c r="Q368" i="15"/>
  <c r="R368" i="15"/>
  <c r="S368" i="15"/>
  <c r="W368" i="15"/>
  <c r="Z368" i="15"/>
  <c r="C368" i="1"/>
  <c r="D368" i="1"/>
  <c r="E368" i="1"/>
  <c r="L368" i="1"/>
  <c r="AY368" i="17"/>
  <c r="AS368" i="17"/>
  <c r="AT368" i="17"/>
  <c r="AU368" i="17"/>
  <c r="BB368" i="17"/>
  <c r="AE368" i="17"/>
  <c r="AF368" i="17"/>
  <c r="AG368" i="17"/>
  <c r="AK368" i="17"/>
  <c r="AN368" i="17"/>
  <c r="Q368" i="17"/>
  <c r="R368" i="17"/>
  <c r="S368" i="17"/>
  <c r="W368" i="17"/>
  <c r="Z368" i="17"/>
  <c r="F368" i="17"/>
  <c r="H368" i="17"/>
  <c r="J368" i="17"/>
  <c r="K368" i="17"/>
  <c r="CA368" i="16"/>
  <c r="BU368" i="16"/>
  <c r="BV368" i="16"/>
  <c r="BW368" i="16"/>
  <c r="CD368" i="16"/>
  <c r="AY368" i="16"/>
  <c r="AS368" i="16"/>
  <c r="AT368" i="16"/>
  <c r="AU368" i="16"/>
  <c r="BB368" i="16"/>
  <c r="AK368" i="16"/>
  <c r="AE368" i="16"/>
  <c r="AF368" i="16"/>
  <c r="AG368" i="16"/>
  <c r="AN368" i="16"/>
  <c r="Q368" i="16"/>
  <c r="R368" i="16"/>
  <c r="S368" i="16"/>
  <c r="W368" i="16"/>
  <c r="Z368" i="16"/>
  <c r="F368" i="16"/>
  <c r="H368" i="16"/>
  <c r="J368" i="16"/>
  <c r="K368" i="16"/>
  <c r="E368" i="16" l="1"/>
  <c r="K368" i="87"/>
  <c r="J368" i="87"/>
  <c r="H368" i="87"/>
  <c r="C368" i="17"/>
  <c r="D368" i="17"/>
  <c r="E368" i="17"/>
  <c r="F368" i="87"/>
  <c r="I368" i="15"/>
  <c r="L368" i="15"/>
  <c r="E368" i="15"/>
  <c r="D368" i="15"/>
  <c r="C368" i="15"/>
  <c r="G368" i="17"/>
  <c r="L368" i="17"/>
  <c r="I368" i="17"/>
  <c r="G368" i="16"/>
  <c r="I368" i="16"/>
  <c r="D368" i="16"/>
  <c r="C368" i="16"/>
  <c r="L368" i="16"/>
  <c r="I363" i="96"/>
  <c r="L363" i="96"/>
  <c r="I364" i="96"/>
  <c r="L364" i="96"/>
  <c r="I365" i="96"/>
  <c r="L365" i="96"/>
  <c r="I366" i="96"/>
  <c r="L366" i="96"/>
  <c r="I367" i="96"/>
  <c r="L367" i="96"/>
  <c r="I368" i="87" l="1"/>
  <c r="E368" i="87"/>
  <c r="C368" i="87"/>
  <c r="L368" i="87"/>
  <c r="D368" i="87"/>
  <c r="G368" i="87"/>
  <c r="K355" i="17"/>
  <c r="H362" i="17"/>
  <c r="H361" i="17"/>
  <c r="H360" i="17"/>
  <c r="H359" i="17"/>
  <c r="H358" i="17"/>
  <c r="H357" i="17"/>
  <c r="H356" i="17"/>
  <c r="H355" i="17"/>
  <c r="H354" i="17"/>
  <c r="J355" i="17"/>
  <c r="AK355" i="17"/>
  <c r="AY355" i="17"/>
  <c r="W355" i="17"/>
  <c r="C367" i="96" l="1"/>
  <c r="D367" i="96"/>
  <c r="E367" i="96"/>
  <c r="C366" i="96"/>
  <c r="D366" i="96"/>
  <c r="E366" i="96"/>
  <c r="CA366" i="14"/>
  <c r="C367" i="14"/>
  <c r="I367" i="14"/>
  <c r="D367" i="14"/>
  <c r="C366" i="14"/>
  <c r="L366" i="14"/>
  <c r="BU367" i="14"/>
  <c r="BV367" i="14"/>
  <c r="BW367" i="14"/>
  <c r="CA367" i="14"/>
  <c r="CD367" i="14"/>
  <c r="BU366" i="14"/>
  <c r="BV366" i="14"/>
  <c r="BW366" i="14"/>
  <c r="AE367" i="14"/>
  <c r="AF367" i="14"/>
  <c r="AG367" i="14"/>
  <c r="AK367" i="14"/>
  <c r="AN367" i="14"/>
  <c r="AE366" i="14"/>
  <c r="AF366" i="14"/>
  <c r="AG366" i="14"/>
  <c r="AK366" i="14"/>
  <c r="AN366" i="14"/>
  <c r="Q367" i="14"/>
  <c r="R367" i="14"/>
  <c r="S367" i="14"/>
  <c r="W367" i="14"/>
  <c r="Z367" i="14"/>
  <c r="Q366" i="14"/>
  <c r="R366" i="14"/>
  <c r="S366" i="14"/>
  <c r="W366" i="14"/>
  <c r="Z366" i="14"/>
  <c r="C367" i="13"/>
  <c r="D367" i="13"/>
  <c r="E367" i="13"/>
  <c r="I367" i="13"/>
  <c r="L367" i="13"/>
  <c r="C366" i="13"/>
  <c r="D366" i="13"/>
  <c r="E366" i="13"/>
  <c r="I366" i="13"/>
  <c r="L366" i="13"/>
  <c r="L367" i="14" l="1"/>
  <c r="D366" i="14"/>
  <c r="I366" i="14"/>
  <c r="E366" i="14"/>
  <c r="E367" i="14"/>
  <c r="GL367" i="15"/>
  <c r="GE367" i="15"/>
  <c r="GD367" i="15"/>
  <c r="GC367" i="15"/>
  <c r="GL366" i="15"/>
  <c r="GL387" i="15" s="1"/>
  <c r="GE366" i="15"/>
  <c r="GD366" i="15"/>
  <c r="GC366" i="15"/>
  <c r="C367" i="12"/>
  <c r="D367" i="12"/>
  <c r="E367" i="12"/>
  <c r="I367" i="12"/>
  <c r="L367" i="12"/>
  <c r="C366" i="12"/>
  <c r="D366" i="12"/>
  <c r="E366" i="12"/>
  <c r="I366" i="12"/>
  <c r="L366" i="12"/>
  <c r="FX367" i="15"/>
  <c r="FU367" i="15"/>
  <c r="FQ367" i="15"/>
  <c r="FP367" i="15"/>
  <c r="FO367" i="15"/>
  <c r="FX366" i="15"/>
  <c r="FX387" i="15" s="1"/>
  <c r="FU366" i="15"/>
  <c r="FU387" i="15" s="1"/>
  <c r="FQ366" i="15"/>
  <c r="FP366" i="15"/>
  <c r="FO366" i="15"/>
  <c r="FJ367" i="15"/>
  <c r="FG367" i="15"/>
  <c r="FC367" i="15"/>
  <c r="FB367" i="15"/>
  <c r="FA367" i="15"/>
  <c r="FJ366" i="15"/>
  <c r="FG366" i="15"/>
  <c r="FC366" i="15"/>
  <c r="FB366" i="15"/>
  <c r="FA366" i="15"/>
  <c r="EM367" i="15"/>
  <c r="EN367" i="15"/>
  <c r="EO367" i="15"/>
  <c r="ES367" i="15"/>
  <c r="EV367" i="15"/>
  <c r="EM366" i="15"/>
  <c r="EN366" i="15"/>
  <c r="EO366" i="15"/>
  <c r="ES366" i="15"/>
  <c r="EV366" i="15"/>
  <c r="FG387" i="15" l="1"/>
  <c r="FJ387" i="15"/>
  <c r="I367" i="15"/>
  <c r="E367" i="15"/>
  <c r="C367" i="15"/>
  <c r="L367" i="15"/>
  <c r="L366" i="15"/>
  <c r="I366" i="15"/>
  <c r="C366" i="15"/>
  <c r="E366" i="15"/>
  <c r="D367" i="15"/>
  <c r="D366" i="15"/>
  <c r="DY367" i="15"/>
  <c r="DZ367" i="15"/>
  <c r="EA367" i="15"/>
  <c r="EE367" i="15"/>
  <c r="EH367" i="15"/>
  <c r="DY366" i="15"/>
  <c r="DZ366" i="15"/>
  <c r="EA366" i="15"/>
  <c r="EE366" i="15"/>
  <c r="EH366" i="15"/>
  <c r="DK367" i="15"/>
  <c r="DL367" i="15"/>
  <c r="DM367" i="15"/>
  <c r="DQ367" i="15"/>
  <c r="DT367" i="15"/>
  <c r="DK366" i="15"/>
  <c r="DL366" i="15"/>
  <c r="DM366" i="15"/>
  <c r="DQ366" i="15"/>
  <c r="DT366" i="15"/>
  <c r="CW367" i="15"/>
  <c r="CX367" i="15"/>
  <c r="CY367" i="15"/>
  <c r="DC367" i="15"/>
  <c r="DF367" i="15"/>
  <c r="CW366" i="15"/>
  <c r="CX366" i="15"/>
  <c r="CY366" i="15"/>
  <c r="DC366" i="15"/>
  <c r="DF366" i="15"/>
  <c r="CI367" i="15"/>
  <c r="CJ367" i="15"/>
  <c r="CK367" i="15"/>
  <c r="CO367" i="15"/>
  <c r="CR367" i="15"/>
  <c r="CI366" i="15"/>
  <c r="CJ366" i="15"/>
  <c r="CK366" i="15"/>
  <c r="CO366" i="15"/>
  <c r="CR366" i="15"/>
  <c r="BU367" i="15"/>
  <c r="BV367" i="15"/>
  <c r="BW367" i="15"/>
  <c r="CA367" i="15"/>
  <c r="CD367" i="15"/>
  <c r="BU366" i="15"/>
  <c r="BV366" i="15"/>
  <c r="BW366" i="15"/>
  <c r="CA366" i="15"/>
  <c r="CD366" i="15"/>
  <c r="BG367" i="15"/>
  <c r="BH367" i="15"/>
  <c r="BI367" i="15"/>
  <c r="BM367" i="15"/>
  <c r="BP367" i="15"/>
  <c r="BG366" i="15"/>
  <c r="BH366" i="15"/>
  <c r="BI366" i="15"/>
  <c r="BM366" i="15"/>
  <c r="BP366" i="15"/>
  <c r="AS367" i="15"/>
  <c r="AT367" i="15"/>
  <c r="AU367" i="15"/>
  <c r="AY367" i="15"/>
  <c r="BB367" i="15"/>
  <c r="AS366" i="15"/>
  <c r="AT366" i="15"/>
  <c r="AU366" i="15"/>
  <c r="AY366" i="15"/>
  <c r="BB366" i="15"/>
  <c r="Q367" i="15"/>
  <c r="R367" i="15"/>
  <c r="S367" i="15"/>
  <c r="W367" i="15"/>
  <c r="Z367" i="15"/>
  <c r="Q366" i="15"/>
  <c r="R366" i="15"/>
  <c r="S366" i="15"/>
  <c r="W366" i="15"/>
  <c r="Z366" i="15"/>
  <c r="C367" i="1"/>
  <c r="D367" i="1"/>
  <c r="E367" i="1"/>
  <c r="I367" i="1"/>
  <c r="L367" i="1"/>
  <c r="C366" i="1"/>
  <c r="D366" i="1"/>
  <c r="E366" i="1"/>
  <c r="I366" i="1"/>
  <c r="L366" i="1"/>
  <c r="F366" i="17"/>
  <c r="F367" i="17"/>
  <c r="H366" i="17"/>
  <c r="H367" i="17"/>
  <c r="J366" i="17"/>
  <c r="J367" i="17"/>
  <c r="G367" i="17" s="1"/>
  <c r="K366" i="17"/>
  <c r="K367" i="17"/>
  <c r="AS367" i="17"/>
  <c r="AT367" i="17"/>
  <c r="AU367" i="17"/>
  <c r="AY367" i="17"/>
  <c r="BB367" i="17"/>
  <c r="AS366" i="17"/>
  <c r="AT366" i="17"/>
  <c r="AU366" i="17"/>
  <c r="AY366" i="17"/>
  <c r="BB366" i="17"/>
  <c r="AE367" i="17"/>
  <c r="AF367" i="17"/>
  <c r="AG367" i="17"/>
  <c r="AK367" i="17"/>
  <c r="AN367" i="17"/>
  <c r="AE366" i="17"/>
  <c r="AF366" i="17"/>
  <c r="AG366" i="17"/>
  <c r="AK366" i="17"/>
  <c r="AN366" i="17"/>
  <c r="Q367" i="17"/>
  <c r="R367" i="17"/>
  <c r="S367" i="17"/>
  <c r="W367" i="17"/>
  <c r="Z367" i="17"/>
  <c r="Q366" i="17"/>
  <c r="R366" i="17"/>
  <c r="S366" i="17"/>
  <c r="W366" i="17"/>
  <c r="Z366" i="17"/>
  <c r="F367" i="16"/>
  <c r="H367" i="16"/>
  <c r="J367" i="16"/>
  <c r="K367" i="16"/>
  <c r="BU367" i="16"/>
  <c r="BV367" i="16"/>
  <c r="BW367" i="16"/>
  <c r="CA367" i="16"/>
  <c r="CD367" i="16"/>
  <c r="AY367" i="16"/>
  <c r="AS367" i="16"/>
  <c r="AT367" i="16"/>
  <c r="AU367" i="16"/>
  <c r="BB367" i="16"/>
  <c r="AE367" i="16"/>
  <c r="AF367" i="16"/>
  <c r="AG367" i="16"/>
  <c r="AK367" i="16"/>
  <c r="AN367" i="16"/>
  <c r="W367" i="16"/>
  <c r="Q367" i="16"/>
  <c r="R367" i="16"/>
  <c r="S367" i="16"/>
  <c r="Z367" i="16"/>
  <c r="I366" i="17" l="1"/>
  <c r="D367" i="17"/>
  <c r="C367" i="16"/>
  <c r="D367" i="16"/>
  <c r="H367" i="87"/>
  <c r="E367" i="16"/>
  <c r="K367" i="87"/>
  <c r="J367" i="87"/>
  <c r="E366" i="17"/>
  <c r="C367" i="17"/>
  <c r="E367" i="17"/>
  <c r="G366" i="17"/>
  <c r="C366" i="17"/>
  <c r="D366" i="17"/>
  <c r="F367" i="87"/>
  <c r="L367" i="17"/>
  <c r="L366" i="17"/>
  <c r="I367" i="17"/>
  <c r="L367" i="16"/>
  <c r="I367" i="16"/>
  <c r="G367" i="16"/>
  <c r="F366" i="16"/>
  <c r="F366" i="87" s="1"/>
  <c r="H366" i="16"/>
  <c r="H366" i="87" s="1"/>
  <c r="J366" i="16"/>
  <c r="K366" i="16"/>
  <c r="BU366" i="16"/>
  <c r="BV366" i="16"/>
  <c r="BW366" i="16"/>
  <c r="CA366" i="16"/>
  <c r="CD366" i="16"/>
  <c r="AS366" i="16"/>
  <c r="AT366" i="16"/>
  <c r="AU366" i="16"/>
  <c r="AY366" i="16"/>
  <c r="BB366" i="16"/>
  <c r="AE366" i="16"/>
  <c r="AF366" i="16"/>
  <c r="AG366" i="16"/>
  <c r="AK366" i="16"/>
  <c r="AN366" i="16"/>
  <c r="Q366" i="16"/>
  <c r="R366" i="16"/>
  <c r="S366" i="16"/>
  <c r="W366" i="16"/>
  <c r="Z366" i="16"/>
  <c r="I366" i="16" l="1"/>
  <c r="E367" i="87"/>
  <c r="G367" i="87"/>
  <c r="C367" i="87"/>
  <c r="D367" i="87"/>
  <c r="I367" i="87"/>
  <c r="L367" i="87"/>
  <c r="C366" i="16"/>
  <c r="K366" i="87"/>
  <c r="C366" i="87" s="1"/>
  <c r="G366" i="16"/>
  <c r="J366" i="87"/>
  <c r="E366" i="16"/>
  <c r="D366" i="16"/>
  <c r="L366" i="16"/>
  <c r="L363" i="14"/>
  <c r="I361" i="14"/>
  <c r="L357" i="14"/>
  <c r="I357" i="14"/>
  <c r="L353" i="14"/>
  <c r="I352" i="14"/>
  <c r="I350" i="14"/>
  <c r="L349" i="14"/>
  <c r="I348" i="14"/>
  <c r="I347" i="14"/>
  <c r="I346" i="14"/>
  <c r="L345" i="14"/>
  <c r="L344" i="14"/>
  <c r="I342" i="14"/>
  <c r="L341" i="14"/>
  <c r="I339" i="14"/>
  <c r="L338" i="14"/>
  <c r="I338" i="14"/>
  <c r="I336" i="14"/>
  <c r="I335" i="14"/>
  <c r="L334" i="14"/>
  <c r="I334" i="14"/>
  <c r="L333" i="14"/>
  <c r="L332" i="14"/>
  <c r="L330" i="14"/>
  <c r="I330" i="14"/>
  <c r="L329" i="14"/>
  <c r="I328" i="14"/>
  <c r="I327" i="14"/>
  <c r="L326" i="14"/>
  <c r="I326" i="14"/>
  <c r="L325" i="14"/>
  <c r="I323" i="14"/>
  <c r="L322" i="14"/>
  <c r="I322" i="14"/>
  <c r="L321" i="14"/>
  <c r="L320" i="14"/>
  <c r="L318" i="14"/>
  <c r="I318" i="14"/>
  <c r="I316" i="14"/>
  <c r="I315" i="14"/>
  <c r="L314" i="14"/>
  <c r="I314" i="14"/>
  <c r="I312" i="14"/>
  <c r="L310" i="14"/>
  <c r="L309" i="14"/>
  <c r="L308" i="14"/>
  <c r="L306" i="14"/>
  <c r="I306" i="14"/>
  <c r="G366" i="87" l="1"/>
  <c r="D366" i="87"/>
  <c r="L366" i="87"/>
  <c r="E366" i="87"/>
  <c r="I366" i="87"/>
  <c r="L346" i="14"/>
  <c r="L350" i="14"/>
  <c r="I354" i="14"/>
  <c r="L358" i="14"/>
  <c r="L362" i="14"/>
  <c r="I319" i="14"/>
  <c r="I331" i="14"/>
  <c r="I343" i="14"/>
  <c r="I317" i="14"/>
  <c r="L356" i="14"/>
  <c r="I358" i="14"/>
  <c r="I311" i="14"/>
  <c r="I307" i="14"/>
  <c r="I359" i="14"/>
  <c r="I363" i="14"/>
  <c r="I324" i="14"/>
  <c r="L313" i="14"/>
  <c r="I310" i="14"/>
  <c r="L361" i="14"/>
  <c r="L337" i="14"/>
  <c r="I362" i="14"/>
  <c r="L342" i="14"/>
  <c r="I351" i="14"/>
  <c r="L354" i="14"/>
  <c r="I355" i="14"/>
  <c r="I340" i="14"/>
  <c r="I309" i="14"/>
  <c r="I313" i="14"/>
  <c r="I321" i="14"/>
  <c r="I325" i="14"/>
  <c r="I333" i="14"/>
  <c r="I337" i="14"/>
  <c r="I345" i="14"/>
  <c r="I349" i="14"/>
  <c r="L327" i="14"/>
  <c r="L351" i="14"/>
  <c r="L324" i="14"/>
  <c r="L348" i="14"/>
  <c r="L331" i="14"/>
  <c r="L355" i="14"/>
  <c r="I308" i="14"/>
  <c r="L311" i="14"/>
  <c r="L328" i="14"/>
  <c r="I332" i="14"/>
  <c r="L335" i="14"/>
  <c r="L352" i="14"/>
  <c r="I356" i="14"/>
  <c r="L359" i="14"/>
  <c r="L315" i="14"/>
  <c r="L339" i="14"/>
  <c r="I360" i="14"/>
  <c r="L307" i="14"/>
  <c r="L312" i="14"/>
  <c r="L336" i="14"/>
  <c r="L360" i="14"/>
  <c r="L319" i="14"/>
  <c r="L343" i="14"/>
  <c r="L316" i="14"/>
  <c r="I320" i="14"/>
  <c r="L323" i="14"/>
  <c r="L340" i="14"/>
  <c r="I344" i="14"/>
  <c r="L347" i="14"/>
  <c r="L317" i="14"/>
  <c r="I329" i="14"/>
  <c r="I341" i="14"/>
  <c r="I353" i="14"/>
  <c r="E365" i="96"/>
  <c r="D365" i="96"/>
  <c r="C365" i="96"/>
  <c r="E364" i="96"/>
  <c r="D364" i="96"/>
  <c r="C364" i="96"/>
  <c r="E363" i="96"/>
  <c r="D363" i="96"/>
  <c r="C363" i="96"/>
  <c r="L362" i="96"/>
  <c r="I362" i="96"/>
  <c r="E362" i="96"/>
  <c r="D362" i="96"/>
  <c r="C362" i="96"/>
  <c r="L361" i="96"/>
  <c r="I361" i="96"/>
  <c r="E361" i="96"/>
  <c r="D361" i="96"/>
  <c r="C361" i="96"/>
  <c r="L360" i="96"/>
  <c r="I360" i="96"/>
  <c r="E360" i="96"/>
  <c r="D360" i="96"/>
  <c r="C360" i="96"/>
  <c r="L359" i="96"/>
  <c r="I359" i="96"/>
  <c r="E359" i="96"/>
  <c r="D359" i="96"/>
  <c r="C359" i="96"/>
  <c r="L358" i="96"/>
  <c r="I358" i="96"/>
  <c r="E358" i="96"/>
  <c r="D358" i="96"/>
  <c r="C358" i="96"/>
  <c r="L357" i="96"/>
  <c r="I357" i="96"/>
  <c r="E357" i="96"/>
  <c r="D357" i="96"/>
  <c r="C357" i="96"/>
  <c r="L356" i="96"/>
  <c r="I356" i="96"/>
  <c r="E356" i="96"/>
  <c r="D356" i="96"/>
  <c r="C356" i="96"/>
  <c r="L355" i="96"/>
  <c r="I355" i="96"/>
  <c r="E355" i="96"/>
  <c r="D355" i="96"/>
  <c r="C355" i="96"/>
  <c r="L354" i="96"/>
  <c r="I354" i="96"/>
  <c r="E354" i="96"/>
  <c r="D354" i="96"/>
  <c r="C354" i="96"/>
  <c r="L353" i="96"/>
  <c r="I353" i="96"/>
  <c r="E353" i="96"/>
  <c r="D353" i="96"/>
  <c r="C353" i="96"/>
  <c r="L352" i="96"/>
  <c r="I352" i="96"/>
  <c r="E352" i="96"/>
  <c r="D352" i="96"/>
  <c r="C352" i="96"/>
  <c r="L351" i="96"/>
  <c r="I351" i="96"/>
  <c r="E351" i="96"/>
  <c r="D351" i="96"/>
  <c r="C351" i="96"/>
  <c r="L350" i="96"/>
  <c r="I350" i="96"/>
  <c r="E350" i="96"/>
  <c r="D350" i="96"/>
  <c r="C350" i="96"/>
  <c r="L349" i="96"/>
  <c r="I349" i="96"/>
  <c r="E349" i="96"/>
  <c r="D349" i="96"/>
  <c r="C349" i="96"/>
  <c r="L348" i="96"/>
  <c r="I348" i="96"/>
  <c r="E348" i="96"/>
  <c r="D348" i="96"/>
  <c r="C348" i="96"/>
  <c r="L347" i="96"/>
  <c r="I347" i="96"/>
  <c r="E347" i="96"/>
  <c r="D347" i="96"/>
  <c r="C347" i="96"/>
  <c r="L346" i="96"/>
  <c r="I346" i="96"/>
  <c r="E346" i="96"/>
  <c r="D346" i="96"/>
  <c r="C346" i="96"/>
  <c r="L345" i="96"/>
  <c r="I345" i="96"/>
  <c r="E345" i="96"/>
  <c r="D345" i="96"/>
  <c r="C345" i="96"/>
  <c r="L344" i="96"/>
  <c r="I344" i="96"/>
  <c r="E344" i="96"/>
  <c r="D344" i="96"/>
  <c r="C344" i="96"/>
  <c r="L343" i="96"/>
  <c r="I343" i="96"/>
  <c r="E343" i="96"/>
  <c r="D343" i="96"/>
  <c r="C343" i="96"/>
  <c r="L342" i="96"/>
  <c r="I342" i="96"/>
  <c r="E342" i="96"/>
  <c r="D342" i="96"/>
  <c r="C342" i="96"/>
  <c r="L341" i="96"/>
  <c r="I341" i="96"/>
  <c r="E341" i="96"/>
  <c r="D341" i="96"/>
  <c r="C341" i="96"/>
  <c r="L340" i="96"/>
  <c r="I340" i="96"/>
  <c r="E340" i="96"/>
  <c r="D340" i="96"/>
  <c r="C340" i="96"/>
  <c r="L339" i="96"/>
  <c r="I339" i="96"/>
  <c r="E339" i="96"/>
  <c r="D339" i="96"/>
  <c r="C339" i="96"/>
  <c r="L338" i="96"/>
  <c r="I338" i="96"/>
  <c r="E338" i="96"/>
  <c r="D338" i="96"/>
  <c r="C338" i="96"/>
  <c r="L337" i="96"/>
  <c r="I337" i="96"/>
  <c r="E337" i="96"/>
  <c r="D337" i="96"/>
  <c r="C337" i="96"/>
  <c r="L336" i="96"/>
  <c r="I336" i="96"/>
  <c r="E336" i="96"/>
  <c r="D336" i="96"/>
  <c r="C336" i="96"/>
  <c r="L335" i="96"/>
  <c r="I335" i="96"/>
  <c r="E335" i="96"/>
  <c r="D335" i="96"/>
  <c r="C335" i="96"/>
  <c r="L334" i="96"/>
  <c r="I334" i="96"/>
  <c r="E334" i="96"/>
  <c r="D334" i="96"/>
  <c r="C334" i="96"/>
  <c r="L333" i="96"/>
  <c r="I333" i="96"/>
  <c r="E333" i="96"/>
  <c r="D333" i="96"/>
  <c r="C333" i="96"/>
  <c r="L332" i="96"/>
  <c r="I332" i="96"/>
  <c r="E332" i="96"/>
  <c r="D332" i="96"/>
  <c r="C332" i="96"/>
  <c r="L331" i="96"/>
  <c r="I331" i="96"/>
  <c r="E331" i="96"/>
  <c r="D331" i="96"/>
  <c r="C331" i="96"/>
  <c r="L330" i="96"/>
  <c r="I330" i="96"/>
  <c r="E330" i="96"/>
  <c r="D330" i="96"/>
  <c r="C330" i="96"/>
  <c r="L329" i="96"/>
  <c r="I329" i="96"/>
  <c r="E329" i="96"/>
  <c r="D329" i="96"/>
  <c r="C329" i="96"/>
  <c r="L328" i="96"/>
  <c r="I328" i="96"/>
  <c r="E328" i="96"/>
  <c r="D328" i="96"/>
  <c r="C328" i="96"/>
  <c r="L327" i="96"/>
  <c r="I327" i="96"/>
  <c r="E327" i="96"/>
  <c r="D327" i="96"/>
  <c r="C327" i="96"/>
  <c r="L326" i="96"/>
  <c r="I326" i="96"/>
  <c r="E326" i="96"/>
  <c r="D326" i="96"/>
  <c r="C326" i="96"/>
  <c r="L325" i="96"/>
  <c r="I325" i="96"/>
  <c r="E325" i="96"/>
  <c r="D325" i="96"/>
  <c r="C325" i="96"/>
  <c r="L324" i="96"/>
  <c r="I324" i="96"/>
  <c r="E324" i="96"/>
  <c r="D324" i="96"/>
  <c r="C324" i="96"/>
  <c r="L323" i="96"/>
  <c r="I323" i="96"/>
  <c r="E323" i="96"/>
  <c r="D323" i="96"/>
  <c r="C323" i="96"/>
  <c r="L322" i="96"/>
  <c r="I322" i="96"/>
  <c r="E322" i="96"/>
  <c r="D322" i="96"/>
  <c r="C322" i="96"/>
  <c r="L321" i="96"/>
  <c r="I321" i="96"/>
  <c r="E321" i="96"/>
  <c r="D321" i="96"/>
  <c r="C321" i="96"/>
  <c r="L320" i="96"/>
  <c r="I320" i="96"/>
  <c r="E320" i="96"/>
  <c r="D320" i="96"/>
  <c r="C320" i="96"/>
  <c r="L319" i="96"/>
  <c r="I319" i="96"/>
  <c r="E319" i="96"/>
  <c r="D319" i="96"/>
  <c r="C319" i="96"/>
  <c r="L318" i="96"/>
  <c r="I318" i="96"/>
  <c r="E318" i="96"/>
  <c r="D318" i="96"/>
  <c r="C318" i="96"/>
  <c r="L317" i="96"/>
  <c r="I317" i="96"/>
  <c r="E317" i="96"/>
  <c r="D317" i="96"/>
  <c r="C317" i="96"/>
  <c r="L316" i="96"/>
  <c r="I316" i="96"/>
  <c r="E316" i="96"/>
  <c r="D316" i="96"/>
  <c r="C316" i="96"/>
  <c r="L315" i="96"/>
  <c r="I315" i="96"/>
  <c r="E315" i="96"/>
  <c r="D315" i="96"/>
  <c r="C315" i="96"/>
  <c r="L314" i="96"/>
  <c r="I314" i="96"/>
  <c r="E314" i="96"/>
  <c r="D314" i="96"/>
  <c r="C314" i="96"/>
  <c r="L313" i="96"/>
  <c r="I313" i="96"/>
  <c r="E313" i="96"/>
  <c r="D313" i="96"/>
  <c r="C313" i="96"/>
  <c r="L312" i="96"/>
  <c r="I312" i="96"/>
  <c r="E312" i="96"/>
  <c r="D312" i="96"/>
  <c r="C312" i="96"/>
  <c r="L311" i="96"/>
  <c r="I311" i="96"/>
  <c r="E311" i="96"/>
  <c r="D311" i="96"/>
  <c r="C311" i="96"/>
  <c r="L310" i="96"/>
  <c r="I310" i="96"/>
  <c r="E310" i="96"/>
  <c r="D310" i="96"/>
  <c r="C310" i="96"/>
  <c r="L309" i="96"/>
  <c r="I309" i="96"/>
  <c r="E309" i="96"/>
  <c r="D309" i="96"/>
  <c r="C309" i="96"/>
  <c r="L308" i="96"/>
  <c r="I308" i="96"/>
  <c r="E308" i="96"/>
  <c r="D308" i="96"/>
  <c r="C308" i="96"/>
  <c r="L307" i="96"/>
  <c r="I307" i="96"/>
  <c r="E307" i="96"/>
  <c r="D307" i="96"/>
  <c r="C307" i="96"/>
  <c r="L306" i="96"/>
  <c r="I306" i="96"/>
  <c r="E306" i="96"/>
  <c r="D306" i="96"/>
  <c r="C306" i="96"/>
  <c r="L305" i="96"/>
  <c r="I305" i="96"/>
  <c r="E305" i="96"/>
  <c r="D305" i="96"/>
  <c r="C305" i="96"/>
  <c r="L304" i="96"/>
  <c r="I304" i="96"/>
  <c r="E304" i="96"/>
  <c r="D304" i="96"/>
  <c r="C304" i="96"/>
  <c r="L303" i="96"/>
  <c r="I303" i="96"/>
  <c r="E303" i="96"/>
  <c r="D303" i="96"/>
  <c r="C303" i="96"/>
  <c r="L302" i="96"/>
  <c r="I302" i="96"/>
  <c r="E302" i="96"/>
  <c r="D302" i="96"/>
  <c r="C302" i="96"/>
  <c r="L301" i="96"/>
  <c r="I301" i="96"/>
  <c r="E301" i="96"/>
  <c r="D301" i="96"/>
  <c r="C301" i="96"/>
  <c r="L300" i="96"/>
  <c r="I300" i="96"/>
  <c r="E300" i="96"/>
  <c r="D300" i="96"/>
  <c r="C300" i="96"/>
  <c r="L299" i="96"/>
  <c r="I299" i="96"/>
  <c r="E299" i="96"/>
  <c r="D299" i="96"/>
  <c r="C299" i="96"/>
  <c r="L298" i="96"/>
  <c r="I298" i="96"/>
  <c r="E298" i="96"/>
  <c r="D298" i="96"/>
  <c r="C298" i="96"/>
  <c r="L297" i="96"/>
  <c r="I297" i="96"/>
  <c r="E297" i="96"/>
  <c r="D297" i="96"/>
  <c r="C297" i="96"/>
  <c r="L296" i="96"/>
  <c r="I296" i="96"/>
  <c r="E296" i="96"/>
  <c r="D296" i="96"/>
  <c r="C296" i="96"/>
  <c r="L295" i="96"/>
  <c r="I295" i="96"/>
  <c r="E295" i="96"/>
  <c r="D295" i="96"/>
  <c r="C295" i="96"/>
  <c r="L294" i="96"/>
  <c r="I294" i="96"/>
  <c r="E294" i="96"/>
  <c r="D294" i="96"/>
  <c r="C294" i="96"/>
  <c r="L293" i="96"/>
  <c r="I293" i="96"/>
  <c r="E293" i="96"/>
  <c r="D293" i="96"/>
  <c r="C293" i="96"/>
  <c r="L292" i="96"/>
  <c r="I292" i="96"/>
  <c r="E292" i="96"/>
  <c r="D292" i="96"/>
  <c r="C292" i="96"/>
  <c r="L291" i="96"/>
  <c r="I291" i="96"/>
  <c r="E291" i="96"/>
  <c r="D291" i="96"/>
  <c r="C291" i="96"/>
  <c r="L290" i="96"/>
  <c r="I290" i="96"/>
  <c r="E290" i="96"/>
  <c r="D290" i="96"/>
  <c r="C290" i="96"/>
  <c r="L289" i="96"/>
  <c r="I289" i="96"/>
  <c r="E289" i="96"/>
  <c r="D289" i="96"/>
  <c r="C289" i="96"/>
  <c r="L288" i="96"/>
  <c r="I288" i="96"/>
  <c r="E288" i="96"/>
  <c r="D288" i="96"/>
  <c r="C288" i="96"/>
  <c r="L287" i="96"/>
  <c r="I287" i="96"/>
  <c r="E287" i="96"/>
  <c r="D287" i="96"/>
  <c r="C287" i="96"/>
  <c r="L286" i="96"/>
  <c r="I286" i="96"/>
  <c r="E286" i="96"/>
  <c r="D286" i="96"/>
  <c r="C286" i="96"/>
  <c r="L285" i="96"/>
  <c r="I285" i="96"/>
  <c r="E285" i="96"/>
  <c r="D285" i="96"/>
  <c r="C285" i="96"/>
  <c r="L284" i="96"/>
  <c r="I284" i="96"/>
  <c r="E284" i="96"/>
  <c r="D284" i="96"/>
  <c r="C284" i="96"/>
  <c r="L283" i="96"/>
  <c r="I283" i="96"/>
  <c r="E283" i="96"/>
  <c r="D283" i="96"/>
  <c r="C283" i="96"/>
  <c r="L282" i="96"/>
  <c r="I282" i="96"/>
  <c r="E282" i="96"/>
  <c r="D282" i="96"/>
  <c r="C282" i="96"/>
  <c r="L281" i="96"/>
  <c r="I281" i="96"/>
  <c r="E281" i="96"/>
  <c r="D281" i="96"/>
  <c r="C281" i="96"/>
  <c r="L280" i="96"/>
  <c r="I280" i="96"/>
  <c r="E280" i="96"/>
  <c r="D280" i="96"/>
  <c r="C280" i="96"/>
  <c r="L279" i="96"/>
  <c r="I279" i="96"/>
  <c r="E279" i="96"/>
  <c r="D279" i="96"/>
  <c r="C279" i="96"/>
  <c r="L278" i="96"/>
  <c r="I278" i="96"/>
  <c r="E278" i="96"/>
  <c r="D278" i="96"/>
  <c r="C278" i="96"/>
  <c r="L277" i="96"/>
  <c r="I277" i="96"/>
  <c r="E277" i="96"/>
  <c r="D277" i="96"/>
  <c r="C277" i="96"/>
  <c r="L276" i="96"/>
  <c r="I276" i="96"/>
  <c r="E276" i="96"/>
  <c r="D276" i="96"/>
  <c r="C276" i="96"/>
  <c r="L275" i="96"/>
  <c r="I275" i="96"/>
  <c r="E275" i="96"/>
  <c r="D275" i="96"/>
  <c r="C275" i="96"/>
  <c r="L274" i="96"/>
  <c r="I274" i="96"/>
  <c r="E274" i="96"/>
  <c r="D274" i="96"/>
  <c r="C274" i="96"/>
  <c r="CD365" i="14"/>
  <c r="CA365" i="14"/>
  <c r="BW365" i="14"/>
  <c r="BV365" i="14"/>
  <c r="BU365" i="14"/>
  <c r="AN365" i="14"/>
  <c r="AK365" i="14"/>
  <c r="AG365" i="14"/>
  <c r="AF365" i="14"/>
  <c r="AE365" i="14"/>
  <c r="Z365" i="14"/>
  <c r="W365" i="14"/>
  <c r="S365" i="14"/>
  <c r="R365" i="14"/>
  <c r="Q365" i="14"/>
  <c r="CD364" i="14"/>
  <c r="CA364" i="14"/>
  <c r="BW364" i="14"/>
  <c r="BV364" i="14"/>
  <c r="BU364" i="14"/>
  <c r="AN364" i="14"/>
  <c r="AK364" i="14"/>
  <c r="AG364" i="14"/>
  <c r="AF364" i="14"/>
  <c r="AE364" i="14"/>
  <c r="Z364" i="14"/>
  <c r="W364" i="14"/>
  <c r="S364" i="14"/>
  <c r="R364" i="14"/>
  <c r="Q364" i="14"/>
  <c r="D364" i="14"/>
  <c r="CD363" i="14"/>
  <c r="CA363" i="14"/>
  <c r="BW363" i="14"/>
  <c r="BV363" i="14"/>
  <c r="BU363" i="14"/>
  <c r="AN363" i="14"/>
  <c r="AK363" i="14"/>
  <c r="AG363" i="14"/>
  <c r="AF363" i="14"/>
  <c r="AE363" i="14"/>
  <c r="Z363" i="14"/>
  <c r="W363" i="14"/>
  <c r="S363" i="14"/>
  <c r="R363" i="14"/>
  <c r="Q363" i="14"/>
  <c r="C363" i="14"/>
  <c r="CD362" i="14"/>
  <c r="CA362" i="14"/>
  <c r="BW362" i="14"/>
  <c r="BV362" i="14"/>
  <c r="BU362" i="14"/>
  <c r="AN362" i="14"/>
  <c r="AK362" i="14"/>
  <c r="AG362" i="14"/>
  <c r="AF362" i="14"/>
  <c r="AE362" i="14"/>
  <c r="Z362" i="14"/>
  <c r="W362" i="14"/>
  <c r="S362" i="14"/>
  <c r="R362" i="14"/>
  <c r="Q362" i="14"/>
  <c r="E362" i="14"/>
  <c r="CD361" i="14"/>
  <c r="CA361" i="14"/>
  <c r="BW361" i="14"/>
  <c r="BV361" i="14"/>
  <c r="BU361" i="14"/>
  <c r="AN361" i="14"/>
  <c r="AK361" i="14"/>
  <c r="AG361" i="14"/>
  <c r="AF361" i="14"/>
  <c r="AE361" i="14"/>
  <c r="Z361" i="14"/>
  <c r="W361" i="14"/>
  <c r="S361" i="14"/>
  <c r="R361" i="14"/>
  <c r="Q361" i="14"/>
  <c r="CD360" i="14"/>
  <c r="CA360" i="14"/>
  <c r="BW360" i="14"/>
  <c r="BV360" i="14"/>
  <c r="BU360" i="14"/>
  <c r="AN360" i="14"/>
  <c r="AK360" i="14"/>
  <c r="AG360" i="14"/>
  <c r="AF360" i="14"/>
  <c r="AE360" i="14"/>
  <c r="Z360" i="14"/>
  <c r="W360" i="14"/>
  <c r="S360" i="14"/>
  <c r="R360" i="14"/>
  <c r="Q360" i="14"/>
  <c r="C360" i="14"/>
  <c r="CD359" i="14"/>
  <c r="CA359" i="14"/>
  <c r="BW359" i="14"/>
  <c r="BV359" i="14"/>
  <c r="BU359" i="14"/>
  <c r="AN359" i="14"/>
  <c r="AK359" i="14"/>
  <c r="AG359" i="14"/>
  <c r="AF359" i="14"/>
  <c r="AE359" i="14"/>
  <c r="Z359" i="14"/>
  <c r="W359" i="14"/>
  <c r="S359" i="14"/>
  <c r="R359" i="14"/>
  <c r="Q359" i="14"/>
  <c r="D359" i="14"/>
  <c r="CD358" i="14"/>
  <c r="CA358" i="14"/>
  <c r="BW358" i="14"/>
  <c r="BV358" i="14"/>
  <c r="BU358" i="14"/>
  <c r="AN358" i="14"/>
  <c r="AK358" i="14"/>
  <c r="AG358" i="14"/>
  <c r="AF358" i="14"/>
  <c r="AE358" i="14"/>
  <c r="Z358" i="14"/>
  <c r="W358" i="14"/>
  <c r="S358" i="14"/>
  <c r="R358" i="14"/>
  <c r="Q358" i="14"/>
  <c r="D358" i="14"/>
  <c r="C358" i="14"/>
  <c r="CD357" i="14"/>
  <c r="CA357" i="14"/>
  <c r="BW357" i="14"/>
  <c r="BV357" i="14"/>
  <c r="BU357" i="14"/>
  <c r="AN357" i="14"/>
  <c r="AK357" i="14"/>
  <c r="AG357" i="14"/>
  <c r="AF357" i="14"/>
  <c r="AE357" i="14"/>
  <c r="Z357" i="14"/>
  <c r="W357" i="14"/>
  <c r="S357" i="14"/>
  <c r="R357" i="14"/>
  <c r="Q357" i="14"/>
  <c r="D357" i="14"/>
  <c r="AN356" i="14"/>
  <c r="AK356" i="14"/>
  <c r="AG356" i="14"/>
  <c r="AF356" i="14"/>
  <c r="AE356" i="14"/>
  <c r="Z356" i="14"/>
  <c r="W356" i="14"/>
  <c r="S356" i="14"/>
  <c r="R356" i="14"/>
  <c r="Q356" i="14"/>
  <c r="AN355" i="14"/>
  <c r="AK355" i="14"/>
  <c r="AG355" i="14"/>
  <c r="AF355" i="14"/>
  <c r="AE355" i="14"/>
  <c r="Z355" i="14"/>
  <c r="W355" i="14"/>
  <c r="S355" i="14"/>
  <c r="R355" i="14"/>
  <c r="Q355" i="14"/>
  <c r="D355" i="14"/>
  <c r="AN354" i="14"/>
  <c r="AK354" i="14"/>
  <c r="AG354" i="14"/>
  <c r="AF354" i="14"/>
  <c r="AE354" i="14"/>
  <c r="Z354" i="14"/>
  <c r="W354" i="14"/>
  <c r="S354" i="14"/>
  <c r="R354" i="14"/>
  <c r="Q354" i="14"/>
  <c r="D354" i="14"/>
  <c r="AN353" i="14"/>
  <c r="AK353" i="14"/>
  <c r="AG353" i="14"/>
  <c r="AF353" i="14"/>
  <c r="AE353" i="14"/>
  <c r="Z353" i="14"/>
  <c r="W353" i="14"/>
  <c r="S353" i="14"/>
  <c r="R353" i="14"/>
  <c r="Q353" i="14"/>
  <c r="AN352" i="14"/>
  <c r="AK352" i="14"/>
  <c r="AG352" i="14"/>
  <c r="AF352" i="14"/>
  <c r="AE352" i="14"/>
  <c r="Z352" i="14"/>
  <c r="W352" i="14"/>
  <c r="S352" i="14"/>
  <c r="R352" i="14"/>
  <c r="Q352" i="14"/>
  <c r="D352" i="14"/>
  <c r="AN351" i="14"/>
  <c r="AK351" i="14"/>
  <c r="AG351" i="14"/>
  <c r="AF351" i="14"/>
  <c r="AE351" i="14"/>
  <c r="Z351" i="14"/>
  <c r="W351" i="14"/>
  <c r="S351" i="14"/>
  <c r="R351" i="14"/>
  <c r="Q351" i="14"/>
  <c r="D351" i="14"/>
  <c r="AN350" i="14"/>
  <c r="AK350" i="14"/>
  <c r="AG350" i="14"/>
  <c r="AF350" i="14"/>
  <c r="AE350" i="14"/>
  <c r="Z350" i="14"/>
  <c r="W350" i="14"/>
  <c r="S350" i="14"/>
  <c r="R350" i="14"/>
  <c r="Q350" i="14"/>
  <c r="AN349" i="14"/>
  <c r="AK349" i="14"/>
  <c r="AG349" i="14"/>
  <c r="AF349" i="14"/>
  <c r="AE349" i="14"/>
  <c r="Z349" i="14"/>
  <c r="W349" i="14"/>
  <c r="S349" i="14"/>
  <c r="R349" i="14"/>
  <c r="Q349" i="14"/>
  <c r="D349" i="14"/>
  <c r="AN348" i="14"/>
  <c r="AK348" i="14"/>
  <c r="AG348" i="14"/>
  <c r="AF348" i="14"/>
  <c r="AE348" i="14"/>
  <c r="Z348" i="14"/>
  <c r="W348" i="14"/>
  <c r="S348" i="14"/>
  <c r="R348" i="14"/>
  <c r="Q348" i="14"/>
  <c r="D348" i="14"/>
  <c r="AN347" i="14"/>
  <c r="AK347" i="14"/>
  <c r="AG347" i="14"/>
  <c r="AF347" i="14"/>
  <c r="AE347" i="14"/>
  <c r="Z347" i="14"/>
  <c r="W347" i="14"/>
  <c r="S347" i="14"/>
  <c r="R347" i="14"/>
  <c r="Q347" i="14"/>
  <c r="AN346" i="14"/>
  <c r="AK346" i="14"/>
  <c r="AG346" i="14"/>
  <c r="AF346" i="14"/>
  <c r="AE346" i="14"/>
  <c r="Z346" i="14"/>
  <c r="W346" i="14"/>
  <c r="S346" i="14"/>
  <c r="R346" i="14"/>
  <c r="Q346" i="14"/>
  <c r="D346" i="14"/>
  <c r="AN345" i="14"/>
  <c r="AK345" i="14"/>
  <c r="AG345" i="14"/>
  <c r="AF345" i="14"/>
  <c r="AE345" i="14"/>
  <c r="Z345" i="14"/>
  <c r="W345" i="14"/>
  <c r="S345" i="14"/>
  <c r="R345" i="14"/>
  <c r="Q345" i="14"/>
  <c r="D345" i="14"/>
  <c r="AN344" i="14"/>
  <c r="AK344" i="14"/>
  <c r="AG344" i="14"/>
  <c r="AF344" i="14"/>
  <c r="AE344" i="14"/>
  <c r="Z344" i="14"/>
  <c r="W344" i="14"/>
  <c r="S344" i="14"/>
  <c r="R344" i="14"/>
  <c r="Q344" i="14"/>
  <c r="AN343" i="14"/>
  <c r="AK343" i="14"/>
  <c r="AG343" i="14"/>
  <c r="AF343" i="14"/>
  <c r="AE343" i="14"/>
  <c r="Z343" i="14"/>
  <c r="W343" i="14"/>
  <c r="S343" i="14"/>
  <c r="R343" i="14"/>
  <c r="Q343" i="14"/>
  <c r="D343" i="14"/>
  <c r="AN342" i="14"/>
  <c r="AK342" i="14"/>
  <c r="AG342" i="14"/>
  <c r="AF342" i="14"/>
  <c r="AE342" i="14"/>
  <c r="Z342" i="14"/>
  <c r="W342" i="14"/>
  <c r="S342" i="14"/>
  <c r="R342" i="14"/>
  <c r="Q342" i="14"/>
  <c r="D342" i="14"/>
  <c r="AN341" i="14"/>
  <c r="AK341" i="14"/>
  <c r="AG341" i="14"/>
  <c r="AF341" i="14"/>
  <c r="AE341" i="14"/>
  <c r="Z341" i="14"/>
  <c r="W341" i="14"/>
  <c r="S341" i="14"/>
  <c r="R341" i="14"/>
  <c r="Q341" i="14"/>
  <c r="AN340" i="14"/>
  <c r="AK340" i="14"/>
  <c r="AG340" i="14"/>
  <c r="AF340" i="14"/>
  <c r="AE340" i="14"/>
  <c r="Z340" i="14"/>
  <c r="W340" i="14"/>
  <c r="S340" i="14"/>
  <c r="R340" i="14"/>
  <c r="Q340" i="14"/>
  <c r="D340" i="14"/>
  <c r="AN339" i="14"/>
  <c r="AK339" i="14"/>
  <c r="AG339" i="14"/>
  <c r="AF339" i="14"/>
  <c r="AE339" i="14"/>
  <c r="Z339" i="14"/>
  <c r="W339" i="14"/>
  <c r="S339" i="14"/>
  <c r="R339" i="14"/>
  <c r="Q339" i="14"/>
  <c r="D339" i="14"/>
  <c r="AN338" i="14"/>
  <c r="AK338" i="14"/>
  <c r="AG338" i="14"/>
  <c r="AF338" i="14"/>
  <c r="AE338" i="14"/>
  <c r="Z338" i="14"/>
  <c r="W338" i="14"/>
  <c r="S338" i="14"/>
  <c r="R338" i="14"/>
  <c r="Q338" i="14"/>
  <c r="AN337" i="14"/>
  <c r="AK337" i="14"/>
  <c r="AG337" i="14"/>
  <c r="AF337" i="14"/>
  <c r="AE337" i="14"/>
  <c r="Z337" i="14"/>
  <c r="W337" i="14"/>
  <c r="S337" i="14"/>
  <c r="R337" i="14"/>
  <c r="Q337" i="14"/>
  <c r="D337" i="14"/>
  <c r="AN336" i="14"/>
  <c r="AK336" i="14"/>
  <c r="AG336" i="14"/>
  <c r="AF336" i="14"/>
  <c r="AE336" i="14"/>
  <c r="Z336" i="14"/>
  <c r="W336" i="14"/>
  <c r="S336" i="14"/>
  <c r="R336" i="14"/>
  <c r="Q336" i="14"/>
  <c r="C336" i="14"/>
  <c r="E336" i="14"/>
  <c r="AN335" i="14"/>
  <c r="AK335" i="14"/>
  <c r="AG335" i="14"/>
  <c r="AF335" i="14"/>
  <c r="AE335" i="14"/>
  <c r="Z335" i="14"/>
  <c r="W335" i="14"/>
  <c r="S335" i="14"/>
  <c r="R335" i="14"/>
  <c r="Q335" i="14"/>
  <c r="AN334" i="14"/>
  <c r="AK334" i="14"/>
  <c r="AG334" i="14"/>
  <c r="AF334" i="14"/>
  <c r="AE334" i="14"/>
  <c r="Z334" i="14"/>
  <c r="W334" i="14"/>
  <c r="S334" i="14"/>
  <c r="R334" i="14"/>
  <c r="Q334" i="14"/>
  <c r="D334" i="14"/>
  <c r="AN333" i="14"/>
  <c r="AK333" i="14"/>
  <c r="AG333" i="14"/>
  <c r="AF333" i="14"/>
  <c r="AE333" i="14"/>
  <c r="Z333" i="14"/>
  <c r="W333" i="14"/>
  <c r="S333" i="14"/>
  <c r="R333" i="14"/>
  <c r="Q333" i="14"/>
  <c r="BP332" i="14"/>
  <c r="BM332" i="14"/>
  <c r="BI332" i="14"/>
  <c r="BH332" i="14"/>
  <c r="BG332" i="14"/>
  <c r="AN332" i="14"/>
  <c r="AK332" i="14"/>
  <c r="AG332" i="14"/>
  <c r="AF332" i="14"/>
  <c r="AE332" i="14"/>
  <c r="Z332" i="14"/>
  <c r="W332" i="14"/>
  <c r="S332" i="14"/>
  <c r="R332" i="14"/>
  <c r="Q332" i="14"/>
  <c r="E332" i="14"/>
  <c r="C332" i="14"/>
  <c r="BP331" i="14"/>
  <c r="BM331" i="14"/>
  <c r="BI331" i="14"/>
  <c r="BH331" i="14"/>
  <c r="BG331" i="14"/>
  <c r="AN331" i="14"/>
  <c r="AK331" i="14"/>
  <c r="AG331" i="14"/>
  <c r="AF331" i="14"/>
  <c r="AE331" i="14"/>
  <c r="Z331" i="14"/>
  <c r="W331" i="14"/>
  <c r="S331" i="14"/>
  <c r="R331" i="14"/>
  <c r="Q331" i="14"/>
  <c r="E331" i="14"/>
  <c r="D331" i="14"/>
  <c r="BP330" i="14"/>
  <c r="BM330" i="14"/>
  <c r="BI330" i="14"/>
  <c r="BH330" i="14"/>
  <c r="BG330" i="14"/>
  <c r="AN330" i="14"/>
  <c r="AK330" i="14"/>
  <c r="AG330" i="14"/>
  <c r="AF330" i="14"/>
  <c r="AE330" i="14"/>
  <c r="Z330" i="14"/>
  <c r="W330" i="14"/>
  <c r="S330" i="14"/>
  <c r="R330" i="14"/>
  <c r="Q330" i="14"/>
  <c r="C330" i="14"/>
  <c r="E330" i="14"/>
  <c r="D330" i="14"/>
  <c r="BP329" i="14"/>
  <c r="BM329" i="14"/>
  <c r="BI329" i="14"/>
  <c r="BH329" i="14"/>
  <c r="BG329" i="14"/>
  <c r="AN329" i="14"/>
  <c r="AK329" i="14"/>
  <c r="AG329" i="14"/>
  <c r="AF329" i="14"/>
  <c r="AE329" i="14"/>
  <c r="Z329" i="14"/>
  <c r="W329" i="14"/>
  <c r="S329" i="14"/>
  <c r="R329" i="14"/>
  <c r="Q329" i="14"/>
  <c r="BP328" i="14"/>
  <c r="BM328" i="14"/>
  <c r="BI328" i="14"/>
  <c r="BH328" i="14"/>
  <c r="BG328" i="14"/>
  <c r="AN328" i="14"/>
  <c r="AK328" i="14"/>
  <c r="AG328" i="14"/>
  <c r="AF328" i="14"/>
  <c r="AE328" i="14"/>
  <c r="Z328" i="14"/>
  <c r="W328" i="14"/>
  <c r="S328" i="14"/>
  <c r="R328" i="14"/>
  <c r="Q328" i="14"/>
  <c r="C328" i="14"/>
  <c r="BP327" i="14"/>
  <c r="BM327" i="14"/>
  <c r="BI327" i="14"/>
  <c r="BH327" i="14"/>
  <c r="BG327" i="14"/>
  <c r="AN327" i="14"/>
  <c r="AK327" i="14"/>
  <c r="AG327" i="14"/>
  <c r="AF327" i="14"/>
  <c r="AE327" i="14"/>
  <c r="Z327" i="14"/>
  <c r="W327" i="14"/>
  <c r="S327" i="14"/>
  <c r="R327" i="14"/>
  <c r="Q327" i="14"/>
  <c r="BP326" i="14"/>
  <c r="BM326" i="14"/>
  <c r="BI326" i="14"/>
  <c r="BH326" i="14"/>
  <c r="BG326" i="14"/>
  <c r="AN326" i="14"/>
  <c r="AK326" i="14"/>
  <c r="AG326" i="14"/>
  <c r="AF326" i="14"/>
  <c r="AE326" i="14"/>
  <c r="Z326" i="14"/>
  <c r="W326" i="14"/>
  <c r="S326" i="14"/>
  <c r="R326" i="14"/>
  <c r="Q326" i="14"/>
  <c r="BP325" i="14"/>
  <c r="BM325" i="14"/>
  <c r="BI325" i="14"/>
  <c r="BH325" i="14"/>
  <c r="BG325" i="14"/>
  <c r="AN325" i="14"/>
  <c r="AK325" i="14"/>
  <c r="AG325" i="14"/>
  <c r="AF325" i="14"/>
  <c r="AE325" i="14"/>
  <c r="Z325" i="14"/>
  <c r="W325" i="14"/>
  <c r="S325" i="14"/>
  <c r="R325" i="14"/>
  <c r="Q325" i="14"/>
  <c r="BP324" i="14"/>
  <c r="BM324" i="14"/>
  <c r="BI324" i="14"/>
  <c r="BH324" i="14"/>
  <c r="BG324" i="14"/>
  <c r="AN324" i="14"/>
  <c r="AK324" i="14"/>
  <c r="AG324" i="14"/>
  <c r="AF324" i="14"/>
  <c r="AE324" i="14"/>
  <c r="Z324" i="14"/>
  <c r="W324" i="14"/>
  <c r="S324" i="14"/>
  <c r="R324" i="14"/>
  <c r="Q324" i="14"/>
  <c r="BP323" i="14"/>
  <c r="BM323" i="14"/>
  <c r="BI323" i="14"/>
  <c r="BH323" i="14"/>
  <c r="BG323" i="14"/>
  <c r="AN323" i="14"/>
  <c r="AK323" i="14"/>
  <c r="AG323" i="14"/>
  <c r="AF323" i="14"/>
  <c r="AE323" i="14"/>
  <c r="Z323" i="14"/>
  <c r="W323" i="14"/>
  <c r="S323" i="14"/>
  <c r="R323" i="14"/>
  <c r="Q323" i="14"/>
  <c r="BP322" i="14"/>
  <c r="BM322" i="14"/>
  <c r="BI322" i="14"/>
  <c r="BH322" i="14"/>
  <c r="BG322" i="14"/>
  <c r="AN322" i="14"/>
  <c r="AK322" i="14"/>
  <c r="AG322" i="14"/>
  <c r="AF322" i="14"/>
  <c r="AE322" i="14"/>
  <c r="Z322" i="14"/>
  <c r="W322" i="14"/>
  <c r="S322" i="14"/>
  <c r="R322" i="14"/>
  <c r="Q322" i="14"/>
  <c r="C322" i="14"/>
  <c r="BP321" i="14"/>
  <c r="BM321" i="14"/>
  <c r="BI321" i="14"/>
  <c r="BH321" i="14"/>
  <c r="BG321" i="14"/>
  <c r="AN321" i="14"/>
  <c r="AK321" i="14"/>
  <c r="AG321" i="14"/>
  <c r="AF321" i="14"/>
  <c r="AE321" i="14"/>
  <c r="Z321" i="14"/>
  <c r="W321" i="14"/>
  <c r="S321" i="14"/>
  <c r="R321" i="14"/>
  <c r="Q321" i="14"/>
  <c r="C321" i="14"/>
  <c r="BP320" i="14"/>
  <c r="BM320" i="14"/>
  <c r="BI320" i="14"/>
  <c r="BH320" i="14"/>
  <c r="BG320" i="14"/>
  <c r="AN320" i="14"/>
  <c r="AK320" i="14"/>
  <c r="AG320" i="14"/>
  <c r="AF320" i="14"/>
  <c r="AE320" i="14"/>
  <c r="Z320" i="14"/>
  <c r="W320" i="14"/>
  <c r="S320" i="14"/>
  <c r="R320" i="14"/>
  <c r="Q320" i="14"/>
  <c r="D320" i="14"/>
  <c r="C320" i="14"/>
  <c r="AN319" i="14"/>
  <c r="AK319" i="14"/>
  <c r="AG319" i="14"/>
  <c r="AF319" i="14"/>
  <c r="AE319" i="14"/>
  <c r="Z319" i="14"/>
  <c r="W319" i="14"/>
  <c r="S319" i="14"/>
  <c r="R319" i="14"/>
  <c r="Q319" i="14"/>
  <c r="AN318" i="14"/>
  <c r="AK318" i="14"/>
  <c r="AG318" i="14"/>
  <c r="AF318" i="14"/>
  <c r="AE318" i="14"/>
  <c r="Z318" i="14"/>
  <c r="W318" i="14"/>
  <c r="S318" i="14"/>
  <c r="R318" i="14"/>
  <c r="Q318" i="14"/>
  <c r="C318" i="14"/>
  <c r="E318" i="14"/>
  <c r="AN317" i="14"/>
  <c r="AK317" i="14"/>
  <c r="AG317" i="14"/>
  <c r="AF317" i="14"/>
  <c r="AE317" i="14"/>
  <c r="Z317" i="14"/>
  <c r="W317" i="14"/>
  <c r="S317" i="14"/>
  <c r="R317" i="14"/>
  <c r="Q317" i="14"/>
  <c r="D317" i="14"/>
  <c r="AN316" i="14"/>
  <c r="AK316" i="14"/>
  <c r="AG316" i="14"/>
  <c r="AF316" i="14"/>
  <c r="AE316" i="14"/>
  <c r="Z316" i="14"/>
  <c r="W316" i="14"/>
  <c r="S316" i="14"/>
  <c r="R316" i="14"/>
  <c r="Q316" i="14"/>
  <c r="AN315" i="14"/>
  <c r="AK315" i="14"/>
  <c r="AG315" i="14"/>
  <c r="AF315" i="14"/>
  <c r="AE315" i="14"/>
  <c r="Z315" i="14"/>
  <c r="W315" i="14"/>
  <c r="S315" i="14"/>
  <c r="R315" i="14"/>
  <c r="Q315" i="14"/>
  <c r="C315" i="14"/>
  <c r="E315" i="14"/>
  <c r="D315" i="14"/>
  <c r="AN314" i="14"/>
  <c r="AK314" i="14"/>
  <c r="AG314" i="14"/>
  <c r="AF314" i="14"/>
  <c r="AE314" i="14"/>
  <c r="Z314" i="14"/>
  <c r="W314" i="14"/>
  <c r="S314" i="14"/>
  <c r="R314" i="14"/>
  <c r="Q314" i="14"/>
  <c r="E314" i="14"/>
  <c r="AN313" i="14"/>
  <c r="AK313" i="14"/>
  <c r="AG313" i="14"/>
  <c r="AF313" i="14"/>
  <c r="AE313" i="14"/>
  <c r="Z313" i="14"/>
  <c r="W313" i="14"/>
  <c r="S313" i="14"/>
  <c r="R313" i="14"/>
  <c r="Q313" i="14"/>
  <c r="AN312" i="14"/>
  <c r="AK312" i="14"/>
  <c r="AG312" i="14"/>
  <c r="AF312" i="14"/>
  <c r="AE312" i="14"/>
  <c r="Z312" i="14"/>
  <c r="W312" i="14"/>
  <c r="S312" i="14"/>
  <c r="R312" i="14"/>
  <c r="Q312" i="14"/>
  <c r="C312" i="14"/>
  <c r="AN311" i="14"/>
  <c r="AK311" i="14"/>
  <c r="AG311" i="14"/>
  <c r="AF311" i="14"/>
  <c r="AE311" i="14"/>
  <c r="Z311" i="14"/>
  <c r="W311" i="14"/>
  <c r="S311" i="14"/>
  <c r="R311" i="14"/>
  <c r="Q311" i="14"/>
  <c r="D311" i="14"/>
  <c r="C311" i="14"/>
  <c r="AN310" i="14"/>
  <c r="AK310" i="14"/>
  <c r="AG310" i="14"/>
  <c r="AF310" i="14"/>
  <c r="AE310" i="14"/>
  <c r="Z310" i="14"/>
  <c r="W310" i="14"/>
  <c r="S310" i="14"/>
  <c r="R310" i="14"/>
  <c r="Q310" i="14"/>
  <c r="AN309" i="14"/>
  <c r="AK309" i="14"/>
  <c r="AG309" i="14"/>
  <c r="AF309" i="14"/>
  <c r="AE309" i="14"/>
  <c r="Z309" i="14"/>
  <c r="W309" i="14"/>
  <c r="S309" i="14"/>
  <c r="R309" i="14"/>
  <c r="Q309" i="14"/>
  <c r="E309" i="14"/>
  <c r="AN308" i="14"/>
  <c r="AK308" i="14"/>
  <c r="AG308" i="14"/>
  <c r="AF308" i="14"/>
  <c r="AE308" i="14"/>
  <c r="Z308" i="14"/>
  <c r="W308" i="14"/>
  <c r="S308" i="14"/>
  <c r="R308" i="14"/>
  <c r="Q308" i="14"/>
  <c r="C308" i="14"/>
  <c r="D308" i="14"/>
  <c r="AN307" i="14"/>
  <c r="AK307" i="14"/>
  <c r="AG307" i="14"/>
  <c r="AF307" i="14"/>
  <c r="AE307" i="14"/>
  <c r="Z307" i="14"/>
  <c r="W307" i="14"/>
  <c r="S307" i="14"/>
  <c r="R307" i="14"/>
  <c r="Q307" i="14"/>
  <c r="AN306" i="14"/>
  <c r="AK306" i="14"/>
  <c r="AG306" i="14"/>
  <c r="AF306" i="14"/>
  <c r="AE306" i="14"/>
  <c r="Z306" i="14"/>
  <c r="W306" i="14"/>
  <c r="S306" i="14"/>
  <c r="R306" i="14"/>
  <c r="Q306" i="14"/>
  <c r="C306" i="14"/>
  <c r="AN305" i="14"/>
  <c r="AK305" i="14"/>
  <c r="AG305" i="14"/>
  <c r="AF305" i="14"/>
  <c r="AE305" i="14"/>
  <c r="Z305" i="14"/>
  <c r="W305" i="14"/>
  <c r="S305" i="14"/>
  <c r="R305" i="14"/>
  <c r="Q305" i="14"/>
  <c r="C305" i="14"/>
  <c r="AN304" i="14"/>
  <c r="AK304" i="14"/>
  <c r="AG304" i="14"/>
  <c r="AF304" i="14"/>
  <c r="AE304" i="14"/>
  <c r="Z304" i="14"/>
  <c r="W304" i="14"/>
  <c r="S304" i="14"/>
  <c r="R304" i="14"/>
  <c r="Q304" i="14"/>
  <c r="AN303" i="14"/>
  <c r="AK303" i="14"/>
  <c r="AG303" i="14"/>
  <c r="AF303" i="14"/>
  <c r="AE303" i="14"/>
  <c r="Z303" i="14"/>
  <c r="W303" i="14"/>
  <c r="S303" i="14"/>
  <c r="R303" i="14"/>
  <c r="Q303" i="14"/>
  <c r="C303" i="14"/>
  <c r="E303" i="14"/>
  <c r="AN302" i="14"/>
  <c r="AK302" i="14"/>
  <c r="AG302" i="14"/>
  <c r="AF302" i="14"/>
  <c r="AE302" i="14"/>
  <c r="Z302" i="14"/>
  <c r="W302" i="14"/>
  <c r="S302" i="14"/>
  <c r="R302" i="14"/>
  <c r="Q302" i="14"/>
  <c r="C302" i="14"/>
  <c r="BB301" i="14"/>
  <c r="AY301" i="14"/>
  <c r="AU301" i="14"/>
  <c r="AT301" i="14"/>
  <c r="AS301" i="14"/>
  <c r="AN301" i="14"/>
  <c r="AK301" i="14"/>
  <c r="AG301" i="14"/>
  <c r="AF301" i="14"/>
  <c r="AE301" i="14"/>
  <c r="Z301" i="14"/>
  <c r="W301" i="14"/>
  <c r="S301" i="14"/>
  <c r="R301" i="14"/>
  <c r="Q301" i="14"/>
  <c r="BB300" i="14"/>
  <c r="AY300" i="14"/>
  <c r="AU300" i="14"/>
  <c r="AT300" i="14"/>
  <c r="AS300" i="14"/>
  <c r="AN300" i="14"/>
  <c r="AK300" i="14"/>
  <c r="AG300" i="14"/>
  <c r="AF300" i="14"/>
  <c r="AE300" i="14"/>
  <c r="Z300" i="14"/>
  <c r="W300" i="14"/>
  <c r="S300" i="14"/>
  <c r="R300" i="14"/>
  <c r="Q300" i="14"/>
  <c r="C300" i="14"/>
  <c r="BB299" i="14"/>
  <c r="AY299" i="14"/>
  <c r="AU299" i="14"/>
  <c r="AT299" i="14"/>
  <c r="AS299" i="14"/>
  <c r="AN299" i="14"/>
  <c r="AK299" i="14"/>
  <c r="AG299" i="14"/>
  <c r="AF299" i="14"/>
  <c r="AE299" i="14"/>
  <c r="Z299" i="14"/>
  <c r="W299" i="14"/>
  <c r="S299" i="14"/>
  <c r="R299" i="14"/>
  <c r="Q299" i="14"/>
  <c r="BB298" i="14"/>
  <c r="AY298" i="14"/>
  <c r="AU298" i="14"/>
  <c r="AT298" i="14"/>
  <c r="AS298" i="14"/>
  <c r="AN298" i="14"/>
  <c r="AK298" i="14"/>
  <c r="AG298" i="14"/>
  <c r="AF298" i="14"/>
  <c r="AE298" i="14"/>
  <c r="Z298" i="14"/>
  <c r="W298" i="14"/>
  <c r="S298" i="14"/>
  <c r="R298" i="14"/>
  <c r="Q298" i="14"/>
  <c r="C298" i="14"/>
  <c r="BB297" i="14"/>
  <c r="AY297" i="14"/>
  <c r="AU297" i="14"/>
  <c r="AT297" i="14"/>
  <c r="AS297" i="14"/>
  <c r="AN297" i="14"/>
  <c r="AK297" i="14"/>
  <c r="AG297" i="14"/>
  <c r="AF297" i="14"/>
  <c r="AE297" i="14"/>
  <c r="Z297" i="14"/>
  <c r="W297" i="14"/>
  <c r="S297" i="14"/>
  <c r="R297" i="14"/>
  <c r="Q297" i="14"/>
  <c r="BB296" i="14"/>
  <c r="AY296" i="14"/>
  <c r="AU296" i="14"/>
  <c r="AT296" i="14"/>
  <c r="AS296" i="14"/>
  <c r="AN296" i="14"/>
  <c r="AK296" i="14"/>
  <c r="AG296" i="14"/>
  <c r="AF296" i="14"/>
  <c r="AE296" i="14"/>
  <c r="Z296" i="14"/>
  <c r="W296" i="14"/>
  <c r="S296" i="14"/>
  <c r="R296" i="14"/>
  <c r="Q296" i="14"/>
  <c r="BB295" i="14"/>
  <c r="AY295" i="14"/>
  <c r="AU295" i="14"/>
  <c r="AT295" i="14"/>
  <c r="AS295" i="14"/>
  <c r="AN295" i="14"/>
  <c r="AK295" i="14"/>
  <c r="AG295" i="14"/>
  <c r="AF295" i="14"/>
  <c r="AE295" i="14"/>
  <c r="Z295" i="14"/>
  <c r="W295" i="14"/>
  <c r="S295" i="14"/>
  <c r="R295" i="14"/>
  <c r="Q295" i="14"/>
  <c r="BB294" i="14"/>
  <c r="AY294" i="14"/>
  <c r="AU294" i="14"/>
  <c r="AT294" i="14"/>
  <c r="AS294" i="14"/>
  <c r="AN294" i="14"/>
  <c r="AK294" i="14"/>
  <c r="AG294" i="14"/>
  <c r="AF294" i="14"/>
  <c r="AE294" i="14"/>
  <c r="Z294" i="14"/>
  <c r="W294" i="14"/>
  <c r="S294" i="14"/>
  <c r="R294" i="14"/>
  <c r="Q294" i="14"/>
  <c r="BB293" i="14"/>
  <c r="AY293" i="14"/>
  <c r="AU293" i="14"/>
  <c r="AT293" i="14"/>
  <c r="AS293" i="14"/>
  <c r="AN293" i="14"/>
  <c r="AK293" i="14"/>
  <c r="AG293" i="14"/>
  <c r="AF293" i="14"/>
  <c r="AE293" i="14"/>
  <c r="Z293" i="14"/>
  <c r="W293" i="14"/>
  <c r="S293" i="14"/>
  <c r="R293" i="14"/>
  <c r="Q293" i="14"/>
  <c r="C293" i="14"/>
  <c r="BB292" i="14"/>
  <c r="AY292" i="14"/>
  <c r="AU292" i="14"/>
  <c r="AT292" i="14"/>
  <c r="AS292" i="14"/>
  <c r="AN292" i="14"/>
  <c r="AK292" i="14"/>
  <c r="AG292" i="14"/>
  <c r="AF292" i="14"/>
  <c r="AE292" i="14"/>
  <c r="Z292" i="14"/>
  <c r="W292" i="14"/>
  <c r="S292" i="14"/>
  <c r="R292" i="14"/>
  <c r="Q292" i="14"/>
  <c r="C292" i="14"/>
  <c r="BB291" i="14"/>
  <c r="AY291" i="14"/>
  <c r="AU291" i="14"/>
  <c r="AT291" i="14"/>
  <c r="AS291" i="14"/>
  <c r="AN291" i="14"/>
  <c r="AK291" i="14"/>
  <c r="AG291" i="14"/>
  <c r="AF291" i="14"/>
  <c r="AE291" i="14"/>
  <c r="Z291" i="14"/>
  <c r="W291" i="14"/>
  <c r="S291" i="14"/>
  <c r="R291" i="14"/>
  <c r="Q291" i="14"/>
  <c r="C291" i="14"/>
  <c r="BB290" i="14"/>
  <c r="AY290" i="14"/>
  <c r="AU290" i="14"/>
  <c r="AT290" i="14"/>
  <c r="AS290" i="14"/>
  <c r="AN290" i="14"/>
  <c r="AK290" i="14"/>
  <c r="AG290" i="14"/>
  <c r="AF290" i="14"/>
  <c r="AE290" i="14"/>
  <c r="Z290" i="14"/>
  <c r="W290" i="14"/>
  <c r="S290" i="14"/>
  <c r="R290" i="14"/>
  <c r="Q290" i="14"/>
  <c r="BB289" i="14"/>
  <c r="AY289" i="14"/>
  <c r="AU289" i="14"/>
  <c r="AT289" i="14"/>
  <c r="AS289" i="14"/>
  <c r="AN289" i="14"/>
  <c r="AK289" i="14"/>
  <c r="AG289" i="14"/>
  <c r="AF289" i="14"/>
  <c r="AE289" i="14"/>
  <c r="Z289" i="14"/>
  <c r="W289" i="14"/>
  <c r="S289" i="14"/>
  <c r="R289" i="14"/>
  <c r="Q289" i="14"/>
  <c r="BB288" i="14"/>
  <c r="AY288" i="14"/>
  <c r="AU288" i="14"/>
  <c r="AT288" i="14"/>
  <c r="AS288" i="14"/>
  <c r="AN288" i="14"/>
  <c r="AK288" i="14"/>
  <c r="AG288" i="14"/>
  <c r="AF288" i="14"/>
  <c r="AE288" i="14"/>
  <c r="Z288" i="14"/>
  <c r="W288" i="14"/>
  <c r="S288" i="14"/>
  <c r="R288" i="14"/>
  <c r="Q288" i="14"/>
  <c r="C288" i="14"/>
  <c r="BB287" i="14"/>
  <c r="AY287" i="14"/>
  <c r="AU287" i="14"/>
  <c r="AT287" i="14"/>
  <c r="AS287" i="14"/>
  <c r="AN287" i="14"/>
  <c r="AK287" i="14"/>
  <c r="AG287" i="14"/>
  <c r="AF287" i="14"/>
  <c r="AE287" i="14"/>
  <c r="Z287" i="14"/>
  <c r="W287" i="14"/>
  <c r="S287" i="14"/>
  <c r="R287" i="14"/>
  <c r="Q287" i="14"/>
  <c r="BB286" i="14"/>
  <c r="AY286" i="14"/>
  <c r="AU286" i="14"/>
  <c r="AT286" i="14"/>
  <c r="AS286" i="14"/>
  <c r="AN286" i="14"/>
  <c r="AK286" i="14"/>
  <c r="AG286" i="14"/>
  <c r="AF286" i="14"/>
  <c r="AE286" i="14"/>
  <c r="Z286" i="14"/>
  <c r="W286" i="14"/>
  <c r="S286" i="14"/>
  <c r="R286" i="14"/>
  <c r="Q286" i="14"/>
  <c r="C286" i="14"/>
  <c r="L286" i="14"/>
  <c r="BB285" i="14"/>
  <c r="AY285" i="14"/>
  <c r="AU285" i="14"/>
  <c r="AT285" i="14"/>
  <c r="AS285" i="14"/>
  <c r="AN285" i="14"/>
  <c r="AK285" i="14"/>
  <c r="AG285" i="14"/>
  <c r="AF285" i="14"/>
  <c r="AE285" i="14"/>
  <c r="Z285" i="14"/>
  <c r="W285" i="14"/>
  <c r="S285" i="14"/>
  <c r="R285" i="14"/>
  <c r="Q285" i="14"/>
  <c r="BB284" i="14"/>
  <c r="AY284" i="14"/>
  <c r="AU284" i="14"/>
  <c r="AT284" i="14"/>
  <c r="AS284" i="14"/>
  <c r="AN284" i="14"/>
  <c r="AK284" i="14"/>
  <c r="AG284" i="14"/>
  <c r="AF284" i="14"/>
  <c r="AE284" i="14"/>
  <c r="Z284" i="14"/>
  <c r="W284" i="14"/>
  <c r="S284" i="14"/>
  <c r="R284" i="14"/>
  <c r="Q284" i="14"/>
  <c r="E284" i="14"/>
  <c r="BB283" i="14"/>
  <c r="AY283" i="14"/>
  <c r="AU283" i="14"/>
  <c r="AT283" i="14"/>
  <c r="AS283" i="14"/>
  <c r="AN283" i="14"/>
  <c r="AK283" i="14"/>
  <c r="AG283" i="14"/>
  <c r="AF283" i="14"/>
  <c r="AE283" i="14"/>
  <c r="Z283" i="14"/>
  <c r="W283" i="14"/>
  <c r="S283" i="14"/>
  <c r="R283" i="14"/>
  <c r="Q283" i="14"/>
  <c r="D283" i="14"/>
  <c r="I283" i="14"/>
  <c r="BB282" i="14"/>
  <c r="AY282" i="14"/>
  <c r="AU282" i="14"/>
  <c r="AT282" i="14"/>
  <c r="AS282" i="14"/>
  <c r="AN282" i="14"/>
  <c r="AK282" i="14"/>
  <c r="AG282" i="14"/>
  <c r="AF282" i="14"/>
  <c r="AE282" i="14"/>
  <c r="Z282" i="14"/>
  <c r="W282" i="14"/>
  <c r="S282" i="14"/>
  <c r="R282" i="14"/>
  <c r="Q282" i="14"/>
  <c r="I282" i="14"/>
  <c r="BB281" i="14"/>
  <c r="AY281" i="14"/>
  <c r="AU281" i="14"/>
  <c r="AT281" i="14"/>
  <c r="AS281" i="14"/>
  <c r="AN281" i="14"/>
  <c r="AK281" i="14"/>
  <c r="AG281" i="14"/>
  <c r="AF281" i="14"/>
  <c r="AE281" i="14"/>
  <c r="Z281" i="14"/>
  <c r="W281" i="14"/>
  <c r="S281" i="14"/>
  <c r="R281" i="14"/>
  <c r="Q281" i="14"/>
  <c r="D281" i="14"/>
  <c r="I281" i="14"/>
  <c r="BB280" i="14"/>
  <c r="AY280" i="14"/>
  <c r="AU280" i="14"/>
  <c r="AT280" i="14"/>
  <c r="AS280" i="14"/>
  <c r="AN280" i="14"/>
  <c r="AK280" i="14"/>
  <c r="AG280" i="14"/>
  <c r="AF280" i="14"/>
  <c r="AE280" i="14"/>
  <c r="Z280" i="14"/>
  <c r="W280" i="14"/>
  <c r="S280" i="14"/>
  <c r="R280" i="14"/>
  <c r="Q280" i="14"/>
  <c r="D280" i="14"/>
  <c r="I280" i="14"/>
  <c r="BB279" i="14"/>
  <c r="AY279" i="14"/>
  <c r="AU279" i="14"/>
  <c r="AT279" i="14"/>
  <c r="AS279" i="14"/>
  <c r="AN279" i="14"/>
  <c r="AK279" i="14"/>
  <c r="AG279" i="14"/>
  <c r="AF279" i="14"/>
  <c r="AE279" i="14"/>
  <c r="Z279" i="14"/>
  <c r="W279" i="14"/>
  <c r="S279" i="14"/>
  <c r="R279" i="14"/>
  <c r="Q279" i="14"/>
  <c r="C279" i="14"/>
  <c r="I279" i="14"/>
  <c r="BB278" i="14"/>
  <c r="AY278" i="14"/>
  <c r="AU278" i="14"/>
  <c r="AT278" i="14"/>
  <c r="AS278" i="14"/>
  <c r="AN278" i="14"/>
  <c r="AK278" i="14"/>
  <c r="AG278" i="14"/>
  <c r="AF278" i="14"/>
  <c r="AE278" i="14"/>
  <c r="Z278" i="14"/>
  <c r="W278" i="14"/>
  <c r="S278" i="14"/>
  <c r="R278" i="14"/>
  <c r="Q278" i="14"/>
  <c r="C278" i="14"/>
  <c r="I278" i="14"/>
  <c r="BB277" i="14"/>
  <c r="AY277" i="14"/>
  <c r="AU277" i="14"/>
  <c r="AT277" i="14"/>
  <c r="AS277" i="14"/>
  <c r="AN277" i="14"/>
  <c r="AK277" i="14"/>
  <c r="AG277" i="14"/>
  <c r="AF277" i="14"/>
  <c r="AE277" i="14"/>
  <c r="Z277" i="14"/>
  <c r="W277" i="14"/>
  <c r="S277" i="14"/>
  <c r="R277" i="14"/>
  <c r="Q277" i="14"/>
  <c r="L277" i="14"/>
  <c r="E277" i="14"/>
  <c r="BB276" i="14"/>
  <c r="AY276" i="14"/>
  <c r="AU276" i="14"/>
  <c r="AT276" i="14"/>
  <c r="AS276" i="14"/>
  <c r="AN276" i="14"/>
  <c r="AK276" i="14"/>
  <c r="AG276" i="14"/>
  <c r="AF276" i="14"/>
  <c r="AE276" i="14"/>
  <c r="Z276" i="14"/>
  <c r="W276" i="14"/>
  <c r="S276" i="14"/>
  <c r="R276" i="14"/>
  <c r="Q276" i="14"/>
  <c r="C276" i="14"/>
  <c r="E276" i="14"/>
  <c r="BB275" i="14"/>
  <c r="AY275" i="14"/>
  <c r="AU275" i="14"/>
  <c r="AT275" i="14"/>
  <c r="AS275" i="14"/>
  <c r="AN275" i="14"/>
  <c r="AK275" i="14"/>
  <c r="AG275" i="14"/>
  <c r="AF275" i="14"/>
  <c r="AE275" i="14"/>
  <c r="Z275" i="14"/>
  <c r="W275" i="14"/>
  <c r="S275" i="14"/>
  <c r="R275" i="14"/>
  <c r="Q275" i="14"/>
  <c r="BB274" i="14"/>
  <c r="AY274" i="14"/>
  <c r="AU274" i="14"/>
  <c r="AT274" i="14"/>
  <c r="AS274" i="14"/>
  <c r="AN274" i="14"/>
  <c r="AK274" i="14"/>
  <c r="AG274" i="14"/>
  <c r="AF274" i="14"/>
  <c r="AE274" i="14"/>
  <c r="Z274" i="14"/>
  <c r="W274" i="14"/>
  <c r="S274" i="14"/>
  <c r="R274" i="14"/>
  <c r="Q274" i="14"/>
  <c r="C274" i="14"/>
  <c r="I274" i="14"/>
  <c r="E274" i="14"/>
  <c r="BB273" i="14"/>
  <c r="AY273" i="14"/>
  <c r="AU273" i="14"/>
  <c r="AT273" i="14"/>
  <c r="AS273" i="14"/>
  <c r="AN273" i="14"/>
  <c r="AK273" i="14"/>
  <c r="AG273" i="14"/>
  <c r="AF273" i="14"/>
  <c r="AE273" i="14"/>
  <c r="Z273" i="14"/>
  <c r="W273" i="14"/>
  <c r="S273" i="14"/>
  <c r="R273" i="14"/>
  <c r="Q273" i="14"/>
  <c r="BB272" i="14"/>
  <c r="AY272" i="14"/>
  <c r="AU272" i="14"/>
  <c r="AT272" i="14"/>
  <c r="AS272" i="14"/>
  <c r="AN272" i="14"/>
  <c r="AK272" i="14"/>
  <c r="AG272" i="14"/>
  <c r="AF272" i="14"/>
  <c r="AE272" i="14"/>
  <c r="Z272" i="14"/>
  <c r="W272" i="14"/>
  <c r="S272" i="14"/>
  <c r="R272" i="14"/>
  <c r="Q272" i="14"/>
  <c r="I272" i="14"/>
  <c r="BB271" i="14"/>
  <c r="AY271" i="14"/>
  <c r="AU271" i="14"/>
  <c r="AT271" i="14"/>
  <c r="AS271" i="14"/>
  <c r="AN271" i="14"/>
  <c r="AK271" i="14"/>
  <c r="AG271" i="14"/>
  <c r="AF271" i="14"/>
  <c r="AE271" i="14"/>
  <c r="Z271" i="14"/>
  <c r="W271" i="14"/>
  <c r="S271" i="14"/>
  <c r="R271" i="14"/>
  <c r="Q271" i="14"/>
  <c r="BB270" i="14"/>
  <c r="AY270" i="14"/>
  <c r="AU270" i="14"/>
  <c r="AT270" i="14"/>
  <c r="AS270" i="14"/>
  <c r="AN270" i="14"/>
  <c r="AK270" i="14"/>
  <c r="AG270" i="14"/>
  <c r="AF270" i="14"/>
  <c r="AE270" i="14"/>
  <c r="Z270" i="14"/>
  <c r="W270" i="14"/>
  <c r="S270" i="14"/>
  <c r="R270" i="14"/>
  <c r="Q270" i="14"/>
  <c r="BB269" i="14"/>
  <c r="AY269" i="14"/>
  <c r="AU269" i="14"/>
  <c r="AT269" i="14"/>
  <c r="AS269" i="14"/>
  <c r="AN269" i="14"/>
  <c r="AK269" i="14"/>
  <c r="AG269" i="14"/>
  <c r="AF269" i="14"/>
  <c r="AE269" i="14"/>
  <c r="Z269" i="14"/>
  <c r="W269" i="14"/>
  <c r="S269" i="14"/>
  <c r="R269" i="14"/>
  <c r="Q269" i="14"/>
  <c r="D269" i="14"/>
  <c r="I269" i="14"/>
  <c r="BB268" i="14"/>
  <c r="AY268" i="14"/>
  <c r="AU268" i="14"/>
  <c r="AT268" i="14"/>
  <c r="AS268" i="14"/>
  <c r="AN268" i="14"/>
  <c r="AK268" i="14"/>
  <c r="AG268" i="14"/>
  <c r="AF268" i="14"/>
  <c r="AE268" i="14"/>
  <c r="Z268" i="14"/>
  <c r="W268" i="14"/>
  <c r="S268" i="14"/>
  <c r="R268" i="14"/>
  <c r="Q268" i="14"/>
  <c r="C268" i="14"/>
  <c r="BB267" i="14"/>
  <c r="AY267" i="14"/>
  <c r="AU267" i="14"/>
  <c r="AT267" i="14"/>
  <c r="AS267" i="14"/>
  <c r="AN267" i="14"/>
  <c r="AK267" i="14"/>
  <c r="AG267" i="14"/>
  <c r="AF267" i="14"/>
  <c r="AE267" i="14"/>
  <c r="Z267" i="14"/>
  <c r="W267" i="14"/>
  <c r="S267" i="14"/>
  <c r="R267" i="14"/>
  <c r="Q267" i="14"/>
  <c r="C267" i="14"/>
  <c r="I267" i="14"/>
  <c r="BB266" i="14"/>
  <c r="AY266" i="14"/>
  <c r="AU266" i="14"/>
  <c r="AT266" i="14"/>
  <c r="AS266" i="14"/>
  <c r="AN266" i="14"/>
  <c r="AK266" i="14"/>
  <c r="AG266" i="14"/>
  <c r="AF266" i="14"/>
  <c r="AE266" i="14"/>
  <c r="Z266" i="14"/>
  <c r="W266" i="14"/>
  <c r="S266" i="14"/>
  <c r="R266" i="14"/>
  <c r="Q266" i="14"/>
  <c r="I266" i="14"/>
  <c r="BB265" i="14"/>
  <c r="AY265" i="14"/>
  <c r="AU265" i="14"/>
  <c r="AT265" i="14"/>
  <c r="AS265" i="14"/>
  <c r="AN265" i="14"/>
  <c r="AK265" i="14"/>
  <c r="AG265" i="14"/>
  <c r="AF265" i="14"/>
  <c r="AE265" i="14"/>
  <c r="Z265" i="14"/>
  <c r="W265" i="14"/>
  <c r="S265" i="14"/>
  <c r="R265" i="14"/>
  <c r="Q265" i="14"/>
  <c r="D265" i="14"/>
  <c r="BB264" i="14"/>
  <c r="AY264" i="14"/>
  <c r="AU264" i="14"/>
  <c r="AT264" i="14"/>
  <c r="AS264" i="14"/>
  <c r="AN264" i="14"/>
  <c r="AK264" i="14"/>
  <c r="AG264" i="14"/>
  <c r="AF264" i="14"/>
  <c r="AE264" i="14"/>
  <c r="Z264" i="14"/>
  <c r="W264" i="14"/>
  <c r="S264" i="14"/>
  <c r="R264" i="14"/>
  <c r="Q264" i="14"/>
  <c r="D264" i="14"/>
  <c r="I264" i="14"/>
  <c r="E264" i="14"/>
  <c r="BB263" i="14"/>
  <c r="AY263" i="14"/>
  <c r="AU263" i="14"/>
  <c r="AT263" i="14"/>
  <c r="AS263" i="14"/>
  <c r="AN263" i="14"/>
  <c r="AK263" i="14"/>
  <c r="AG263" i="14"/>
  <c r="AF263" i="14"/>
  <c r="AE263" i="14"/>
  <c r="Z263" i="14"/>
  <c r="W263" i="14"/>
  <c r="S263" i="14"/>
  <c r="R263" i="14"/>
  <c r="Q263" i="14"/>
  <c r="BB262" i="14"/>
  <c r="AY262" i="14"/>
  <c r="AU262" i="14"/>
  <c r="AT262" i="14"/>
  <c r="AS262" i="14"/>
  <c r="AN262" i="14"/>
  <c r="AK262" i="14"/>
  <c r="AG262" i="14"/>
  <c r="AF262" i="14"/>
  <c r="AE262" i="14"/>
  <c r="Z262" i="14"/>
  <c r="W262" i="14"/>
  <c r="S262" i="14"/>
  <c r="R262" i="14"/>
  <c r="Q262" i="14"/>
  <c r="D262" i="14"/>
  <c r="I262" i="14"/>
  <c r="E262" i="14"/>
  <c r="BB261" i="14"/>
  <c r="AY261" i="14"/>
  <c r="AU261" i="14"/>
  <c r="AT261" i="14"/>
  <c r="AS261" i="14"/>
  <c r="AN261" i="14"/>
  <c r="AK261" i="14"/>
  <c r="AG261" i="14"/>
  <c r="AF261" i="14"/>
  <c r="AE261" i="14"/>
  <c r="Z261" i="14"/>
  <c r="W261" i="14"/>
  <c r="S261" i="14"/>
  <c r="R261" i="14"/>
  <c r="Q261" i="14"/>
  <c r="BB260" i="14"/>
  <c r="AY260" i="14"/>
  <c r="AU260" i="14"/>
  <c r="AT260" i="14"/>
  <c r="AS260" i="14"/>
  <c r="AN260" i="14"/>
  <c r="AK260" i="14"/>
  <c r="AG260" i="14"/>
  <c r="AF260" i="14"/>
  <c r="AE260" i="14"/>
  <c r="Z260" i="14"/>
  <c r="W260" i="14"/>
  <c r="S260" i="14"/>
  <c r="R260" i="14"/>
  <c r="Q260" i="14"/>
  <c r="I260" i="14"/>
  <c r="BB259" i="14"/>
  <c r="AY259" i="14"/>
  <c r="AU259" i="14"/>
  <c r="AT259" i="14"/>
  <c r="AS259" i="14"/>
  <c r="AN259" i="14"/>
  <c r="AK259" i="14"/>
  <c r="AG259" i="14"/>
  <c r="AF259" i="14"/>
  <c r="AE259" i="14"/>
  <c r="Z259" i="14"/>
  <c r="W259" i="14"/>
  <c r="S259" i="14"/>
  <c r="R259" i="14"/>
  <c r="Q259" i="14"/>
  <c r="BB258" i="14"/>
  <c r="AY258" i="14"/>
  <c r="AU258" i="14"/>
  <c r="AT258" i="14"/>
  <c r="AS258" i="14"/>
  <c r="AN258" i="14"/>
  <c r="AK258" i="14"/>
  <c r="AG258" i="14"/>
  <c r="AF258" i="14"/>
  <c r="AE258" i="14"/>
  <c r="Z258" i="14"/>
  <c r="W258" i="14"/>
  <c r="S258" i="14"/>
  <c r="R258" i="14"/>
  <c r="Q258" i="14"/>
  <c r="BB257" i="14"/>
  <c r="AY257" i="14"/>
  <c r="AU257" i="14"/>
  <c r="AT257" i="14"/>
  <c r="AS257" i="14"/>
  <c r="AN257" i="14"/>
  <c r="AK257" i="14"/>
  <c r="AG257" i="14"/>
  <c r="AF257" i="14"/>
  <c r="AE257" i="14"/>
  <c r="Z257" i="14"/>
  <c r="W257" i="14"/>
  <c r="S257" i="14"/>
  <c r="R257" i="14"/>
  <c r="Q257" i="14"/>
  <c r="D257" i="14"/>
  <c r="I257" i="14"/>
  <c r="BB256" i="14"/>
  <c r="AY256" i="14"/>
  <c r="AU256" i="14"/>
  <c r="AT256" i="14"/>
  <c r="AS256" i="14"/>
  <c r="AN256" i="14"/>
  <c r="AK256" i="14"/>
  <c r="AG256" i="14"/>
  <c r="AF256" i="14"/>
  <c r="AE256" i="14"/>
  <c r="Z256" i="14"/>
  <c r="W256" i="14"/>
  <c r="S256" i="14"/>
  <c r="R256" i="14"/>
  <c r="Q256" i="14"/>
  <c r="D256" i="14"/>
  <c r="BB255" i="14"/>
  <c r="AY255" i="14"/>
  <c r="AU255" i="14"/>
  <c r="AT255" i="14"/>
  <c r="AS255" i="14"/>
  <c r="AN255" i="14"/>
  <c r="AK255" i="14"/>
  <c r="AG255" i="14"/>
  <c r="AF255" i="14"/>
  <c r="AE255" i="14"/>
  <c r="Z255" i="14"/>
  <c r="W255" i="14"/>
  <c r="S255" i="14"/>
  <c r="R255" i="14"/>
  <c r="Q255" i="14"/>
  <c r="C255" i="14"/>
  <c r="E255" i="14"/>
  <c r="BB254" i="14"/>
  <c r="AY254" i="14"/>
  <c r="AU254" i="14"/>
  <c r="AT254" i="14"/>
  <c r="AS254" i="14"/>
  <c r="AN254" i="14"/>
  <c r="AK254" i="14"/>
  <c r="AG254" i="14"/>
  <c r="AF254" i="14"/>
  <c r="AE254" i="14"/>
  <c r="Z254" i="14"/>
  <c r="W254" i="14"/>
  <c r="S254" i="14"/>
  <c r="R254" i="14"/>
  <c r="Q254" i="14"/>
  <c r="D254" i="14"/>
  <c r="E254" i="14"/>
  <c r="I254" i="14"/>
  <c r="BB253" i="14"/>
  <c r="AY253" i="14"/>
  <c r="AU253" i="14"/>
  <c r="AT253" i="14"/>
  <c r="AS253" i="14"/>
  <c r="AN253" i="14"/>
  <c r="AK253" i="14"/>
  <c r="AG253" i="14"/>
  <c r="AF253" i="14"/>
  <c r="AE253" i="14"/>
  <c r="Z253" i="14"/>
  <c r="W253" i="14"/>
  <c r="S253" i="14"/>
  <c r="R253" i="14"/>
  <c r="Q253" i="14"/>
  <c r="E253" i="14"/>
  <c r="BB252" i="14"/>
  <c r="AY252" i="14"/>
  <c r="AU252" i="14"/>
  <c r="AT252" i="14"/>
  <c r="AS252" i="14"/>
  <c r="AN252" i="14"/>
  <c r="AK252" i="14"/>
  <c r="AG252" i="14"/>
  <c r="AF252" i="14"/>
  <c r="AE252" i="14"/>
  <c r="Z252" i="14"/>
  <c r="W252" i="14"/>
  <c r="S252" i="14"/>
  <c r="R252" i="14"/>
  <c r="Q252" i="14"/>
  <c r="C252" i="14"/>
  <c r="I252" i="14"/>
  <c r="E252" i="14"/>
  <c r="BB251" i="14"/>
  <c r="AY251" i="14"/>
  <c r="AU251" i="14"/>
  <c r="AT251" i="14"/>
  <c r="AS251" i="14"/>
  <c r="AN251" i="14"/>
  <c r="AK251" i="14"/>
  <c r="AG251" i="14"/>
  <c r="AF251" i="14"/>
  <c r="AE251" i="14"/>
  <c r="Z251" i="14"/>
  <c r="W251" i="14"/>
  <c r="S251" i="14"/>
  <c r="R251" i="14"/>
  <c r="Q251" i="14"/>
  <c r="BB250" i="14"/>
  <c r="AY250" i="14"/>
  <c r="AU250" i="14"/>
  <c r="AT250" i="14"/>
  <c r="AS250" i="14"/>
  <c r="AN250" i="14"/>
  <c r="AK250" i="14"/>
  <c r="AG250" i="14"/>
  <c r="AF250" i="14"/>
  <c r="AE250" i="14"/>
  <c r="Z250" i="14"/>
  <c r="W250" i="14"/>
  <c r="S250" i="14"/>
  <c r="R250" i="14"/>
  <c r="Q250" i="14"/>
  <c r="C250" i="14"/>
  <c r="I250" i="14"/>
  <c r="E250" i="14"/>
  <c r="BB249" i="14"/>
  <c r="AY249" i="14"/>
  <c r="AU249" i="14"/>
  <c r="AT249" i="14"/>
  <c r="AS249" i="14"/>
  <c r="AN249" i="14"/>
  <c r="AK249" i="14"/>
  <c r="AG249" i="14"/>
  <c r="AF249" i="14"/>
  <c r="AE249" i="14"/>
  <c r="Z249" i="14"/>
  <c r="W249" i="14"/>
  <c r="S249" i="14"/>
  <c r="R249" i="14"/>
  <c r="Q249" i="14"/>
  <c r="BB248" i="14"/>
  <c r="AY248" i="14"/>
  <c r="AU248" i="14"/>
  <c r="AT248" i="14"/>
  <c r="AS248" i="14"/>
  <c r="AN248" i="14"/>
  <c r="AK248" i="14"/>
  <c r="AG248" i="14"/>
  <c r="AF248" i="14"/>
  <c r="AE248" i="14"/>
  <c r="Z248" i="14"/>
  <c r="W248" i="14"/>
  <c r="S248" i="14"/>
  <c r="R248" i="14"/>
  <c r="Q248" i="14"/>
  <c r="I248" i="14"/>
  <c r="BB247" i="14"/>
  <c r="AY247" i="14"/>
  <c r="AU247" i="14"/>
  <c r="AT247" i="14"/>
  <c r="AS247" i="14"/>
  <c r="AN247" i="14"/>
  <c r="AK247" i="14"/>
  <c r="AG247" i="14"/>
  <c r="AF247" i="14"/>
  <c r="AE247" i="14"/>
  <c r="Z247" i="14"/>
  <c r="W247" i="14"/>
  <c r="S247" i="14"/>
  <c r="R247" i="14"/>
  <c r="Q247" i="14"/>
  <c r="D247" i="14"/>
  <c r="I247" i="14"/>
  <c r="BB246" i="14"/>
  <c r="AY246" i="14"/>
  <c r="AU246" i="14"/>
  <c r="AT246" i="14"/>
  <c r="AS246" i="14"/>
  <c r="AN246" i="14"/>
  <c r="AK246" i="14"/>
  <c r="AG246" i="14"/>
  <c r="AF246" i="14"/>
  <c r="AE246" i="14"/>
  <c r="Z246" i="14"/>
  <c r="W246" i="14"/>
  <c r="S246" i="14"/>
  <c r="R246" i="14"/>
  <c r="Q246" i="14"/>
  <c r="I246" i="14"/>
  <c r="BB245" i="14"/>
  <c r="AY245" i="14"/>
  <c r="AU245" i="14"/>
  <c r="AT245" i="14"/>
  <c r="AS245" i="14"/>
  <c r="AN245" i="14"/>
  <c r="AK245" i="14"/>
  <c r="AG245" i="14"/>
  <c r="AF245" i="14"/>
  <c r="AE245" i="14"/>
  <c r="Z245" i="14"/>
  <c r="W245" i="14"/>
  <c r="S245" i="14"/>
  <c r="R245" i="14"/>
  <c r="Q245" i="14"/>
  <c r="D245" i="14"/>
  <c r="I245" i="14"/>
  <c r="BB244" i="14"/>
  <c r="AY244" i="14"/>
  <c r="AU244" i="14"/>
  <c r="AT244" i="14"/>
  <c r="AS244" i="14"/>
  <c r="AN244" i="14"/>
  <c r="AK244" i="14"/>
  <c r="AG244" i="14"/>
  <c r="AF244" i="14"/>
  <c r="AE244" i="14"/>
  <c r="Z244" i="14"/>
  <c r="W244" i="14"/>
  <c r="S244" i="14"/>
  <c r="R244" i="14"/>
  <c r="Q244" i="14"/>
  <c r="C244" i="14"/>
  <c r="BB243" i="14"/>
  <c r="AY243" i="14"/>
  <c r="AU243" i="14"/>
  <c r="AT243" i="14"/>
  <c r="AS243" i="14"/>
  <c r="AN243" i="14"/>
  <c r="AK243" i="14"/>
  <c r="AG243" i="14"/>
  <c r="AF243" i="14"/>
  <c r="AE243" i="14"/>
  <c r="Z243" i="14"/>
  <c r="W243" i="14"/>
  <c r="S243" i="14"/>
  <c r="R243" i="14"/>
  <c r="Q243" i="14"/>
  <c r="BB242" i="14"/>
  <c r="AY242" i="14"/>
  <c r="AU242" i="14"/>
  <c r="AT242" i="14"/>
  <c r="AS242" i="14"/>
  <c r="AN242" i="14"/>
  <c r="AK242" i="14"/>
  <c r="AG242" i="14"/>
  <c r="AF242" i="14"/>
  <c r="AE242" i="14"/>
  <c r="Z242" i="14"/>
  <c r="W242" i="14"/>
  <c r="S242" i="14"/>
  <c r="R242" i="14"/>
  <c r="Q242" i="14"/>
  <c r="D242" i="14"/>
  <c r="I242" i="14"/>
  <c r="E242" i="14"/>
  <c r="BB241" i="14"/>
  <c r="AY241" i="14"/>
  <c r="AU241" i="14"/>
  <c r="AT241" i="14"/>
  <c r="AS241" i="14"/>
  <c r="AN241" i="14"/>
  <c r="AK241" i="14"/>
  <c r="AG241" i="14"/>
  <c r="AF241" i="14"/>
  <c r="AE241" i="14"/>
  <c r="Z241" i="14"/>
  <c r="W241" i="14"/>
  <c r="S241" i="14"/>
  <c r="R241" i="14"/>
  <c r="Q241" i="14"/>
  <c r="C241" i="14"/>
  <c r="E241" i="14"/>
  <c r="BB240" i="14"/>
  <c r="AY240" i="14"/>
  <c r="AU240" i="14"/>
  <c r="AT240" i="14"/>
  <c r="AS240" i="14"/>
  <c r="AN240" i="14"/>
  <c r="AK240" i="14"/>
  <c r="AG240" i="14"/>
  <c r="AF240" i="14"/>
  <c r="AE240" i="14"/>
  <c r="Z240" i="14"/>
  <c r="W240" i="14"/>
  <c r="S240" i="14"/>
  <c r="R240" i="14"/>
  <c r="Q240" i="14"/>
  <c r="C240" i="14"/>
  <c r="I240" i="14"/>
  <c r="E240" i="14"/>
  <c r="BB239" i="14"/>
  <c r="AY239" i="14"/>
  <c r="AU239" i="14"/>
  <c r="AT239" i="14"/>
  <c r="AS239" i="14"/>
  <c r="AN239" i="14"/>
  <c r="AK239" i="14"/>
  <c r="AG239" i="14"/>
  <c r="AF239" i="14"/>
  <c r="AE239" i="14"/>
  <c r="Z239" i="14"/>
  <c r="W239" i="14"/>
  <c r="S239" i="14"/>
  <c r="R239" i="14"/>
  <c r="Q239" i="14"/>
  <c r="D239" i="14"/>
  <c r="BB238" i="14"/>
  <c r="AY238" i="14"/>
  <c r="AU238" i="14"/>
  <c r="AT238" i="14"/>
  <c r="AS238" i="14"/>
  <c r="AN238" i="14"/>
  <c r="AK238" i="14"/>
  <c r="AG238" i="14"/>
  <c r="AF238" i="14"/>
  <c r="AE238" i="14"/>
  <c r="Z238" i="14"/>
  <c r="W238" i="14"/>
  <c r="S238" i="14"/>
  <c r="R238" i="14"/>
  <c r="Q238" i="14"/>
  <c r="C238" i="14"/>
  <c r="I238" i="14"/>
  <c r="BB237" i="14"/>
  <c r="AY237" i="14"/>
  <c r="AU237" i="14"/>
  <c r="AT237" i="14"/>
  <c r="AS237" i="14"/>
  <c r="AN237" i="14"/>
  <c r="AK237" i="14"/>
  <c r="AG237" i="14"/>
  <c r="AF237" i="14"/>
  <c r="AE237" i="14"/>
  <c r="Z237" i="14"/>
  <c r="W237" i="14"/>
  <c r="S237" i="14"/>
  <c r="R237" i="14"/>
  <c r="Q237" i="14"/>
  <c r="C237" i="14"/>
  <c r="BB236" i="14"/>
  <c r="AY236" i="14"/>
  <c r="AU236" i="14"/>
  <c r="AT236" i="14"/>
  <c r="AS236" i="14"/>
  <c r="AN236" i="14"/>
  <c r="AK236" i="14"/>
  <c r="AG236" i="14"/>
  <c r="AF236" i="14"/>
  <c r="AE236" i="14"/>
  <c r="Z236" i="14"/>
  <c r="W236" i="14"/>
  <c r="S236" i="14"/>
  <c r="R236" i="14"/>
  <c r="Q236" i="14"/>
  <c r="I236" i="14"/>
  <c r="BB235" i="14"/>
  <c r="AY235" i="14"/>
  <c r="AU235" i="14"/>
  <c r="AT235" i="14"/>
  <c r="AS235" i="14"/>
  <c r="AN235" i="14"/>
  <c r="AK235" i="14"/>
  <c r="AG235" i="14"/>
  <c r="AF235" i="14"/>
  <c r="AE235" i="14"/>
  <c r="Z235" i="14"/>
  <c r="W235" i="14"/>
  <c r="S235" i="14"/>
  <c r="R235" i="14"/>
  <c r="Q235" i="14"/>
  <c r="BB234" i="14"/>
  <c r="AY234" i="14"/>
  <c r="AU234" i="14"/>
  <c r="AT234" i="14"/>
  <c r="AS234" i="14"/>
  <c r="AN234" i="14"/>
  <c r="AK234" i="14"/>
  <c r="AG234" i="14"/>
  <c r="AF234" i="14"/>
  <c r="AE234" i="14"/>
  <c r="Z234" i="14"/>
  <c r="W234" i="14"/>
  <c r="S234" i="14"/>
  <c r="R234" i="14"/>
  <c r="Q234" i="14"/>
  <c r="I234" i="14"/>
  <c r="BB233" i="14"/>
  <c r="AY233" i="14"/>
  <c r="AU233" i="14"/>
  <c r="AT233" i="14"/>
  <c r="AS233" i="14"/>
  <c r="AN233" i="14"/>
  <c r="AK233" i="14"/>
  <c r="AG233" i="14"/>
  <c r="AF233" i="14"/>
  <c r="AE233" i="14"/>
  <c r="Z233" i="14"/>
  <c r="W233" i="14"/>
  <c r="S233" i="14"/>
  <c r="R233" i="14"/>
  <c r="Q233" i="14"/>
  <c r="D233" i="14"/>
  <c r="E233" i="14"/>
  <c r="BB232" i="14"/>
  <c r="AY232" i="14"/>
  <c r="AU232" i="14"/>
  <c r="AT232" i="14"/>
  <c r="AS232" i="14"/>
  <c r="AN232" i="14"/>
  <c r="AK232" i="14"/>
  <c r="AG232" i="14"/>
  <c r="AF232" i="14"/>
  <c r="AE232" i="14"/>
  <c r="Z232" i="14"/>
  <c r="W232" i="14"/>
  <c r="S232" i="14"/>
  <c r="R232" i="14"/>
  <c r="Q232" i="14"/>
  <c r="I232" i="14"/>
  <c r="BB231" i="14"/>
  <c r="AY231" i="14"/>
  <c r="AU231" i="14"/>
  <c r="AT231" i="14"/>
  <c r="AS231" i="14"/>
  <c r="AN231" i="14"/>
  <c r="AK231" i="14"/>
  <c r="AG231" i="14"/>
  <c r="AF231" i="14"/>
  <c r="AE231" i="14"/>
  <c r="Z231" i="14"/>
  <c r="W231" i="14"/>
  <c r="S231" i="14"/>
  <c r="R231" i="14"/>
  <c r="Q231" i="14"/>
  <c r="BB230" i="14"/>
  <c r="AY230" i="14"/>
  <c r="AU230" i="14"/>
  <c r="AT230" i="14"/>
  <c r="AS230" i="14"/>
  <c r="AN230" i="14"/>
  <c r="AK230" i="14"/>
  <c r="AG230" i="14"/>
  <c r="AF230" i="14"/>
  <c r="AE230" i="14"/>
  <c r="Z230" i="14"/>
  <c r="W230" i="14"/>
  <c r="S230" i="14"/>
  <c r="R230" i="14"/>
  <c r="Q230" i="14"/>
  <c r="C230" i="14"/>
  <c r="BB229" i="14"/>
  <c r="AY229" i="14"/>
  <c r="AU229" i="14"/>
  <c r="AT229" i="14"/>
  <c r="AS229" i="14"/>
  <c r="AN229" i="14"/>
  <c r="AK229" i="14"/>
  <c r="AG229" i="14"/>
  <c r="AF229" i="14"/>
  <c r="AE229" i="14"/>
  <c r="Z229" i="14"/>
  <c r="W229" i="14"/>
  <c r="S229" i="14"/>
  <c r="R229" i="14"/>
  <c r="Q229" i="14"/>
  <c r="D229" i="14"/>
  <c r="I229" i="14"/>
  <c r="BB228" i="14"/>
  <c r="AY228" i="14"/>
  <c r="AU228" i="14"/>
  <c r="AT228" i="14"/>
  <c r="AS228" i="14"/>
  <c r="AN228" i="14"/>
  <c r="AK228" i="14"/>
  <c r="AG228" i="14"/>
  <c r="AF228" i="14"/>
  <c r="AE228" i="14"/>
  <c r="Z228" i="14"/>
  <c r="W228" i="14"/>
  <c r="S228" i="14"/>
  <c r="R228" i="14"/>
  <c r="Q228" i="14"/>
  <c r="D228" i="14"/>
  <c r="I228" i="14"/>
  <c r="E228" i="14"/>
  <c r="BB227" i="14"/>
  <c r="AY227" i="14"/>
  <c r="AU227" i="14"/>
  <c r="AT227" i="14"/>
  <c r="AS227" i="14"/>
  <c r="AN227" i="14"/>
  <c r="AK227" i="14"/>
  <c r="AG227" i="14"/>
  <c r="AF227" i="14"/>
  <c r="AE227" i="14"/>
  <c r="Z227" i="14"/>
  <c r="W227" i="14"/>
  <c r="S227" i="14"/>
  <c r="R227" i="14"/>
  <c r="Q227" i="14"/>
  <c r="D227" i="14"/>
  <c r="BB226" i="14"/>
  <c r="AY226" i="14"/>
  <c r="AU226" i="14"/>
  <c r="AT226" i="14"/>
  <c r="AS226" i="14"/>
  <c r="AN226" i="14"/>
  <c r="AK226" i="14"/>
  <c r="AG226" i="14"/>
  <c r="AF226" i="14"/>
  <c r="AE226" i="14"/>
  <c r="Z226" i="14"/>
  <c r="W226" i="14"/>
  <c r="S226" i="14"/>
  <c r="R226" i="14"/>
  <c r="Q226" i="14"/>
  <c r="I226" i="14"/>
  <c r="BB225" i="14"/>
  <c r="AY225" i="14"/>
  <c r="AU225" i="14"/>
  <c r="AT225" i="14"/>
  <c r="AS225" i="14"/>
  <c r="AN225" i="14"/>
  <c r="AK225" i="14"/>
  <c r="AG225" i="14"/>
  <c r="AF225" i="14"/>
  <c r="AE225" i="14"/>
  <c r="Z225" i="14"/>
  <c r="W225" i="14"/>
  <c r="S225" i="14"/>
  <c r="R225" i="14"/>
  <c r="Q225" i="14"/>
  <c r="C225" i="14"/>
  <c r="BB224" i="14"/>
  <c r="AY224" i="14"/>
  <c r="AU224" i="14"/>
  <c r="AT224" i="14"/>
  <c r="AS224" i="14"/>
  <c r="AN224" i="14"/>
  <c r="AK224" i="14"/>
  <c r="AG224" i="14"/>
  <c r="AF224" i="14"/>
  <c r="AE224" i="14"/>
  <c r="Z224" i="14"/>
  <c r="W224" i="14"/>
  <c r="S224" i="14"/>
  <c r="R224" i="14"/>
  <c r="Q224" i="14"/>
  <c r="E224" i="14"/>
  <c r="BB223" i="14"/>
  <c r="AY223" i="14"/>
  <c r="AU223" i="14"/>
  <c r="AT223" i="14"/>
  <c r="AS223" i="14"/>
  <c r="AN223" i="14"/>
  <c r="AK223" i="14"/>
  <c r="AG223" i="14"/>
  <c r="AF223" i="14"/>
  <c r="AE223" i="14"/>
  <c r="Z223" i="14"/>
  <c r="W223" i="14"/>
  <c r="S223" i="14"/>
  <c r="R223" i="14"/>
  <c r="Q223" i="14"/>
  <c r="I223" i="14"/>
  <c r="BB222" i="14"/>
  <c r="AY222" i="14"/>
  <c r="AU222" i="14"/>
  <c r="AT222" i="14"/>
  <c r="AS222" i="14"/>
  <c r="AN222" i="14"/>
  <c r="AK222" i="14"/>
  <c r="AG222" i="14"/>
  <c r="AF222" i="14"/>
  <c r="AE222" i="14"/>
  <c r="Z222" i="14"/>
  <c r="W222" i="14"/>
  <c r="S222" i="14"/>
  <c r="R222" i="14"/>
  <c r="Q222" i="14"/>
  <c r="BB221" i="14"/>
  <c r="AY221" i="14"/>
  <c r="AU221" i="14"/>
  <c r="AT221" i="14"/>
  <c r="AS221" i="14"/>
  <c r="AN221" i="14"/>
  <c r="AK221" i="14"/>
  <c r="AG221" i="14"/>
  <c r="AF221" i="14"/>
  <c r="AE221" i="14"/>
  <c r="Z221" i="14"/>
  <c r="W221" i="14"/>
  <c r="S221" i="14"/>
  <c r="R221" i="14"/>
  <c r="Q221" i="14"/>
  <c r="D221" i="14"/>
  <c r="I221" i="14"/>
  <c r="BB220" i="14"/>
  <c r="AY220" i="14"/>
  <c r="AU220" i="14"/>
  <c r="AT220" i="14"/>
  <c r="AS220" i="14"/>
  <c r="AN220" i="14"/>
  <c r="AK220" i="14"/>
  <c r="AG220" i="14"/>
  <c r="AF220" i="14"/>
  <c r="AE220" i="14"/>
  <c r="Z220" i="14"/>
  <c r="W220" i="14"/>
  <c r="S220" i="14"/>
  <c r="R220" i="14"/>
  <c r="Q220" i="14"/>
  <c r="C220" i="14"/>
  <c r="BB219" i="14"/>
  <c r="AY219" i="14"/>
  <c r="AU219" i="14"/>
  <c r="AT219" i="14"/>
  <c r="AS219" i="14"/>
  <c r="AN219" i="14"/>
  <c r="AK219" i="14"/>
  <c r="AG219" i="14"/>
  <c r="AF219" i="14"/>
  <c r="AE219" i="14"/>
  <c r="Z219" i="14"/>
  <c r="W219" i="14"/>
  <c r="S219" i="14"/>
  <c r="R219" i="14"/>
  <c r="Q219" i="14"/>
  <c r="E219" i="14"/>
  <c r="BB218" i="14"/>
  <c r="AY218" i="14"/>
  <c r="AU218" i="14"/>
  <c r="AT218" i="14"/>
  <c r="AS218" i="14"/>
  <c r="AN218" i="14"/>
  <c r="AK218" i="14"/>
  <c r="AG218" i="14"/>
  <c r="AF218" i="14"/>
  <c r="AE218" i="14"/>
  <c r="Z218" i="14"/>
  <c r="W218" i="14"/>
  <c r="S218" i="14"/>
  <c r="R218" i="14"/>
  <c r="Q218" i="14"/>
  <c r="C218" i="14"/>
  <c r="BB217" i="14"/>
  <c r="AY217" i="14"/>
  <c r="AU217" i="14"/>
  <c r="AT217" i="14"/>
  <c r="AS217" i="14"/>
  <c r="AN217" i="14"/>
  <c r="AK217" i="14"/>
  <c r="AG217" i="14"/>
  <c r="AF217" i="14"/>
  <c r="AE217" i="14"/>
  <c r="Z217" i="14"/>
  <c r="W217" i="14"/>
  <c r="S217" i="14"/>
  <c r="R217" i="14"/>
  <c r="Q217" i="14"/>
  <c r="E217" i="14"/>
  <c r="BB216" i="14"/>
  <c r="AY216" i="14"/>
  <c r="AU216" i="14"/>
  <c r="AT216" i="14"/>
  <c r="AS216" i="14"/>
  <c r="AN216" i="14"/>
  <c r="AK216" i="14"/>
  <c r="AG216" i="14"/>
  <c r="AF216" i="14"/>
  <c r="AE216" i="14"/>
  <c r="Z216" i="14"/>
  <c r="W216" i="14"/>
  <c r="S216" i="14"/>
  <c r="R216" i="14"/>
  <c r="Q216" i="14"/>
  <c r="BB215" i="14"/>
  <c r="AY215" i="14"/>
  <c r="AU215" i="14"/>
  <c r="AT215" i="14"/>
  <c r="AS215" i="14"/>
  <c r="AN215" i="14"/>
  <c r="AK215" i="14"/>
  <c r="AG215" i="14"/>
  <c r="AF215" i="14"/>
  <c r="AE215" i="14"/>
  <c r="Z215" i="14"/>
  <c r="W215" i="14"/>
  <c r="S215" i="14"/>
  <c r="R215" i="14"/>
  <c r="Q215" i="14"/>
  <c r="D215" i="14"/>
  <c r="I215" i="14"/>
  <c r="BB214" i="14"/>
  <c r="AY214" i="14"/>
  <c r="AU214" i="14"/>
  <c r="AT214" i="14"/>
  <c r="AS214" i="14"/>
  <c r="AN214" i="14"/>
  <c r="AK214" i="14"/>
  <c r="AG214" i="14"/>
  <c r="AF214" i="14"/>
  <c r="AE214" i="14"/>
  <c r="Z214" i="14"/>
  <c r="W214" i="14"/>
  <c r="S214" i="14"/>
  <c r="R214" i="14"/>
  <c r="Q214" i="14"/>
  <c r="C214" i="14"/>
  <c r="I214" i="14"/>
  <c r="BB213" i="14"/>
  <c r="AY213" i="14"/>
  <c r="AU213" i="14"/>
  <c r="AT213" i="14"/>
  <c r="AS213" i="14"/>
  <c r="AN213" i="14"/>
  <c r="AK213" i="14"/>
  <c r="AG213" i="14"/>
  <c r="AF213" i="14"/>
  <c r="AE213" i="14"/>
  <c r="Z213" i="14"/>
  <c r="W213" i="14"/>
  <c r="S213" i="14"/>
  <c r="R213" i="14"/>
  <c r="Q213" i="14"/>
  <c r="I213" i="14"/>
  <c r="BB212" i="14"/>
  <c r="AY212" i="14"/>
  <c r="AU212" i="14"/>
  <c r="AT212" i="14"/>
  <c r="AS212" i="14"/>
  <c r="AN212" i="14"/>
  <c r="AK212" i="14"/>
  <c r="AG212" i="14"/>
  <c r="AF212" i="14"/>
  <c r="AE212" i="14"/>
  <c r="Z212" i="14"/>
  <c r="W212" i="14"/>
  <c r="S212" i="14"/>
  <c r="R212" i="14"/>
  <c r="Q212" i="14"/>
  <c r="E212" i="14"/>
  <c r="I212" i="14"/>
  <c r="BB211" i="14"/>
  <c r="AY211" i="14"/>
  <c r="AU211" i="14"/>
  <c r="AT211" i="14"/>
  <c r="AS211" i="14"/>
  <c r="AN211" i="14"/>
  <c r="AK211" i="14"/>
  <c r="AG211" i="14"/>
  <c r="AF211" i="14"/>
  <c r="AE211" i="14"/>
  <c r="Z211" i="14"/>
  <c r="W211" i="14"/>
  <c r="S211" i="14"/>
  <c r="R211" i="14"/>
  <c r="Q211" i="14"/>
  <c r="BB210" i="14"/>
  <c r="AY210" i="14"/>
  <c r="AU210" i="14"/>
  <c r="AT210" i="14"/>
  <c r="AS210" i="14"/>
  <c r="AN210" i="14"/>
  <c r="AK210" i="14"/>
  <c r="AG210" i="14"/>
  <c r="AF210" i="14"/>
  <c r="AE210" i="14"/>
  <c r="Z210" i="14"/>
  <c r="W210" i="14"/>
  <c r="S210" i="14"/>
  <c r="R210" i="14"/>
  <c r="Q210" i="14"/>
  <c r="I210" i="14"/>
  <c r="BB209" i="14"/>
  <c r="AY209" i="14"/>
  <c r="AU209" i="14"/>
  <c r="AT209" i="14"/>
  <c r="AS209" i="14"/>
  <c r="AN209" i="14"/>
  <c r="AK209" i="14"/>
  <c r="AG209" i="14"/>
  <c r="AF209" i="14"/>
  <c r="AE209" i="14"/>
  <c r="Z209" i="14"/>
  <c r="W209" i="14"/>
  <c r="S209" i="14"/>
  <c r="R209" i="14"/>
  <c r="Q209" i="14"/>
  <c r="BB208" i="14"/>
  <c r="AY208" i="14"/>
  <c r="AU208" i="14"/>
  <c r="AT208" i="14"/>
  <c r="AS208" i="14"/>
  <c r="AN208" i="14"/>
  <c r="AK208" i="14"/>
  <c r="AG208" i="14"/>
  <c r="AF208" i="14"/>
  <c r="AE208" i="14"/>
  <c r="Z208" i="14"/>
  <c r="W208" i="14"/>
  <c r="S208" i="14"/>
  <c r="R208" i="14"/>
  <c r="Q208" i="14"/>
  <c r="D208" i="14"/>
  <c r="I208" i="14"/>
  <c r="BB207" i="14"/>
  <c r="AY207" i="14"/>
  <c r="AU207" i="14"/>
  <c r="AT207" i="14"/>
  <c r="AS207" i="14"/>
  <c r="AN207" i="14"/>
  <c r="AK207" i="14"/>
  <c r="AG207" i="14"/>
  <c r="AF207" i="14"/>
  <c r="AE207" i="14"/>
  <c r="Z207" i="14"/>
  <c r="W207" i="14"/>
  <c r="S207" i="14"/>
  <c r="R207" i="14"/>
  <c r="Q207" i="14"/>
  <c r="BB206" i="14"/>
  <c r="AY206" i="14"/>
  <c r="AU206" i="14"/>
  <c r="AT206" i="14"/>
  <c r="AS206" i="14"/>
  <c r="AN206" i="14"/>
  <c r="AK206" i="14"/>
  <c r="AG206" i="14"/>
  <c r="AF206" i="14"/>
  <c r="AE206" i="14"/>
  <c r="Z206" i="14"/>
  <c r="W206" i="14"/>
  <c r="S206" i="14"/>
  <c r="R206" i="14"/>
  <c r="Q206" i="14"/>
  <c r="L206" i="14"/>
  <c r="BB205" i="14"/>
  <c r="AY205" i="14"/>
  <c r="AU205" i="14"/>
  <c r="AT205" i="14"/>
  <c r="AS205" i="14"/>
  <c r="AN205" i="14"/>
  <c r="AK205" i="14"/>
  <c r="AG205" i="14"/>
  <c r="AF205" i="14"/>
  <c r="AE205" i="14"/>
  <c r="Z205" i="14"/>
  <c r="W205" i="14"/>
  <c r="S205" i="14"/>
  <c r="R205" i="14"/>
  <c r="Q205" i="14"/>
  <c r="D205" i="14"/>
  <c r="BB204" i="14"/>
  <c r="AY204" i="14"/>
  <c r="AU204" i="14"/>
  <c r="AT204" i="14"/>
  <c r="AS204" i="14"/>
  <c r="AN204" i="14"/>
  <c r="AK204" i="14"/>
  <c r="AG204" i="14"/>
  <c r="AF204" i="14"/>
  <c r="AE204" i="14"/>
  <c r="Z204" i="14"/>
  <c r="W204" i="14"/>
  <c r="S204" i="14"/>
  <c r="R204" i="14"/>
  <c r="Q204" i="14"/>
  <c r="D204" i="14"/>
  <c r="I204" i="14"/>
  <c r="BB203" i="14"/>
  <c r="AY203" i="14"/>
  <c r="AU203" i="14"/>
  <c r="AT203" i="14"/>
  <c r="AS203" i="14"/>
  <c r="AN203" i="14"/>
  <c r="AK203" i="14"/>
  <c r="AG203" i="14"/>
  <c r="AF203" i="14"/>
  <c r="AE203" i="14"/>
  <c r="Z203" i="14"/>
  <c r="W203" i="14"/>
  <c r="S203" i="14"/>
  <c r="R203" i="14"/>
  <c r="Q203" i="14"/>
  <c r="I203" i="14"/>
  <c r="E203" i="14"/>
  <c r="BB202" i="14"/>
  <c r="AY202" i="14"/>
  <c r="AU202" i="14"/>
  <c r="AT202" i="14"/>
  <c r="AS202" i="14"/>
  <c r="AN202" i="14"/>
  <c r="AK202" i="14"/>
  <c r="AG202" i="14"/>
  <c r="AF202" i="14"/>
  <c r="AE202" i="14"/>
  <c r="Z202" i="14"/>
  <c r="W202" i="14"/>
  <c r="S202" i="14"/>
  <c r="R202" i="14"/>
  <c r="Q202" i="14"/>
  <c r="E202" i="14"/>
  <c r="BB201" i="14"/>
  <c r="AY201" i="14"/>
  <c r="AU201" i="14"/>
  <c r="AT201" i="14"/>
  <c r="AS201" i="14"/>
  <c r="AN201" i="14"/>
  <c r="AK201" i="14"/>
  <c r="AG201" i="14"/>
  <c r="AF201" i="14"/>
  <c r="AE201" i="14"/>
  <c r="Z201" i="14"/>
  <c r="W201" i="14"/>
  <c r="S201" i="14"/>
  <c r="R201" i="14"/>
  <c r="Q201" i="14"/>
  <c r="D201" i="14"/>
  <c r="BB200" i="14"/>
  <c r="AY200" i="14"/>
  <c r="AU200" i="14"/>
  <c r="AT200" i="14"/>
  <c r="AS200" i="14"/>
  <c r="AN200" i="14"/>
  <c r="AK200" i="14"/>
  <c r="AG200" i="14"/>
  <c r="AF200" i="14"/>
  <c r="AE200" i="14"/>
  <c r="Z200" i="14"/>
  <c r="W200" i="14"/>
  <c r="S200" i="14"/>
  <c r="R200" i="14"/>
  <c r="Q200" i="14"/>
  <c r="D200" i="14"/>
  <c r="E200" i="14"/>
  <c r="BB199" i="14"/>
  <c r="AY199" i="14"/>
  <c r="AU199" i="14"/>
  <c r="AT199" i="14"/>
  <c r="AS199" i="14"/>
  <c r="AN199" i="14"/>
  <c r="AK199" i="14"/>
  <c r="AG199" i="14"/>
  <c r="AF199" i="14"/>
  <c r="AE199" i="14"/>
  <c r="Z199" i="14"/>
  <c r="W199" i="14"/>
  <c r="S199" i="14"/>
  <c r="R199" i="14"/>
  <c r="Q199" i="14"/>
  <c r="BB198" i="14"/>
  <c r="AY198" i="14"/>
  <c r="AU198" i="14"/>
  <c r="AT198" i="14"/>
  <c r="AS198" i="14"/>
  <c r="AN198" i="14"/>
  <c r="AK198" i="14"/>
  <c r="AG198" i="14"/>
  <c r="AF198" i="14"/>
  <c r="AE198" i="14"/>
  <c r="Z198" i="14"/>
  <c r="W198" i="14"/>
  <c r="S198" i="14"/>
  <c r="R198" i="14"/>
  <c r="Q198" i="14"/>
  <c r="BB197" i="14"/>
  <c r="AY197" i="14"/>
  <c r="AU197" i="14"/>
  <c r="AT197" i="14"/>
  <c r="AS197" i="14"/>
  <c r="AN197" i="14"/>
  <c r="AK197" i="14"/>
  <c r="AG197" i="14"/>
  <c r="AF197" i="14"/>
  <c r="AE197" i="14"/>
  <c r="Z197" i="14"/>
  <c r="W197" i="14"/>
  <c r="S197" i="14"/>
  <c r="R197" i="14"/>
  <c r="Q197" i="14"/>
  <c r="BB196" i="14"/>
  <c r="AY196" i="14"/>
  <c r="AU196" i="14"/>
  <c r="AT196" i="14"/>
  <c r="AS196" i="14"/>
  <c r="AN196" i="14"/>
  <c r="AK196" i="14"/>
  <c r="AG196" i="14"/>
  <c r="AF196" i="14"/>
  <c r="AE196" i="14"/>
  <c r="Z196" i="14"/>
  <c r="W196" i="14"/>
  <c r="S196" i="14"/>
  <c r="R196" i="14"/>
  <c r="Q196" i="14"/>
  <c r="D196" i="14"/>
  <c r="I196" i="14"/>
  <c r="BB195" i="14"/>
  <c r="AY195" i="14"/>
  <c r="AU195" i="14"/>
  <c r="AT195" i="14"/>
  <c r="AS195" i="14"/>
  <c r="AN195" i="14"/>
  <c r="AK195" i="14"/>
  <c r="AG195" i="14"/>
  <c r="AF195" i="14"/>
  <c r="AE195" i="14"/>
  <c r="Z195" i="14"/>
  <c r="W195" i="14"/>
  <c r="S195" i="14"/>
  <c r="R195" i="14"/>
  <c r="Q195" i="14"/>
  <c r="BB194" i="14"/>
  <c r="AY194" i="14"/>
  <c r="AU194" i="14"/>
  <c r="AT194" i="14"/>
  <c r="AS194" i="14"/>
  <c r="AN194" i="14"/>
  <c r="AK194" i="14"/>
  <c r="AG194" i="14"/>
  <c r="AF194" i="14"/>
  <c r="AE194" i="14"/>
  <c r="Z194" i="14"/>
  <c r="W194" i="14"/>
  <c r="S194" i="14"/>
  <c r="R194" i="14"/>
  <c r="Q194" i="14"/>
  <c r="L194" i="14"/>
  <c r="E194" i="14"/>
  <c r="BB193" i="14"/>
  <c r="AY193" i="14"/>
  <c r="AU193" i="14"/>
  <c r="AT193" i="14"/>
  <c r="AS193" i="14"/>
  <c r="AN193" i="14"/>
  <c r="AK193" i="14"/>
  <c r="AG193" i="14"/>
  <c r="AF193" i="14"/>
  <c r="AE193" i="14"/>
  <c r="Z193" i="14"/>
  <c r="W193" i="14"/>
  <c r="S193" i="14"/>
  <c r="R193" i="14"/>
  <c r="Q193" i="14"/>
  <c r="D193" i="14"/>
  <c r="BB192" i="14"/>
  <c r="AY192" i="14"/>
  <c r="AU192" i="14"/>
  <c r="AT192" i="14"/>
  <c r="AS192" i="14"/>
  <c r="AN192" i="14"/>
  <c r="AK192" i="14"/>
  <c r="AG192" i="14"/>
  <c r="AF192" i="14"/>
  <c r="AE192" i="14"/>
  <c r="Z192" i="14"/>
  <c r="W192" i="14"/>
  <c r="S192" i="14"/>
  <c r="R192" i="14"/>
  <c r="Q192" i="14"/>
  <c r="D192" i="14"/>
  <c r="I192" i="14"/>
  <c r="BB191" i="14"/>
  <c r="AY191" i="14"/>
  <c r="AU191" i="14"/>
  <c r="AT191" i="14"/>
  <c r="AS191" i="14"/>
  <c r="AN191" i="14"/>
  <c r="AK191" i="14"/>
  <c r="AG191" i="14"/>
  <c r="AF191" i="14"/>
  <c r="AE191" i="14"/>
  <c r="Z191" i="14"/>
  <c r="W191" i="14"/>
  <c r="S191" i="14"/>
  <c r="R191" i="14"/>
  <c r="Q191" i="14"/>
  <c r="C191" i="14"/>
  <c r="I191" i="14"/>
  <c r="E191" i="14"/>
  <c r="BB190" i="14"/>
  <c r="AY190" i="14"/>
  <c r="AU190" i="14"/>
  <c r="AT190" i="14"/>
  <c r="AS190" i="14"/>
  <c r="AN190" i="14"/>
  <c r="AK190" i="14"/>
  <c r="AG190" i="14"/>
  <c r="AF190" i="14"/>
  <c r="AE190" i="14"/>
  <c r="Z190" i="14"/>
  <c r="W190" i="14"/>
  <c r="S190" i="14"/>
  <c r="R190" i="14"/>
  <c r="Q190" i="14"/>
  <c r="E190" i="14"/>
  <c r="I190" i="14"/>
  <c r="BB189" i="14"/>
  <c r="AY189" i="14"/>
  <c r="AU189" i="14"/>
  <c r="AT189" i="14"/>
  <c r="AS189" i="14"/>
  <c r="AN189" i="14"/>
  <c r="AK189" i="14"/>
  <c r="AG189" i="14"/>
  <c r="AF189" i="14"/>
  <c r="AE189" i="14"/>
  <c r="Z189" i="14"/>
  <c r="W189" i="14"/>
  <c r="S189" i="14"/>
  <c r="R189" i="14"/>
  <c r="Q189" i="14"/>
  <c r="BB188" i="14"/>
  <c r="AY188" i="14"/>
  <c r="AU188" i="14"/>
  <c r="AT188" i="14"/>
  <c r="AS188" i="14"/>
  <c r="AN188" i="14"/>
  <c r="AK188" i="14"/>
  <c r="AG188" i="14"/>
  <c r="AF188" i="14"/>
  <c r="AE188" i="14"/>
  <c r="Z188" i="14"/>
  <c r="W188" i="14"/>
  <c r="S188" i="14"/>
  <c r="R188" i="14"/>
  <c r="Q188" i="14"/>
  <c r="E188" i="14"/>
  <c r="BB187" i="14"/>
  <c r="AY187" i="14"/>
  <c r="AU187" i="14"/>
  <c r="AT187" i="14"/>
  <c r="AS187" i="14"/>
  <c r="AN187" i="14"/>
  <c r="AK187" i="14"/>
  <c r="AG187" i="14"/>
  <c r="AF187" i="14"/>
  <c r="AE187" i="14"/>
  <c r="Z187" i="14"/>
  <c r="W187" i="14"/>
  <c r="S187" i="14"/>
  <c r="R187" i="14"/>
  <c r="Q187" i="14"/>
  <c r="I187" i="14"/>
  <c r="BB186" i="14"/>
  <c r="AY186" i="14"/>
  <c r="AU186" i="14"/>
  <c r="AT186" i="14"/>
  <c r="AS186" i="14"/>
  <c r="AN186" i="14"/>
  <c r="AK186" i="14"/>
  <c r="AG186" i="14"/>
  <c r="AF186" i="14"/>
  <c r="AE186" i="14"/>
  <c r="Z186" i="14"/>
  <c r="W186" i="14"/>
  <c r="S186" i="14"/>
  <c r="R186" i="14"/>
  <c r="Q186" i="14"/>
  <c r="BB185" i="14"/>
  <c r="AY185" i="14"/>
  <c r="AU185" i="14"/>
  <c r="AT185" i="14"/>
  <c r="AS185" i="14"/>
  <c r="AN185" i="14"/>
  <c r="AK185" i="14"/>
  <c r="AG185" i="14"/>
  <c r="AF185" i="14"/>
  <c r="AE185" i="14"/>
  <c r="Z185" i="14"/>
  <c r="W185" i="14"/>
  <c r="S185" i="14"/>
  <c r="R185" i="14"/>
  <c r="Q185" i="14"/>
  <c r="L185" i="14"/>
  <c r="I185" i="14"/>
  <c r="BB184" i="14"/>
  <c r="AY184" i="14"/>
  <c r="AU184" i="14"/>
  <c r="AT184" i="14"/>
  <c r="AS184" i="14"/>
  <c r="AN184" i="14"/>
  <c r="AK184" i="14"/>
  <c r="AG184" i="14"/>
  <c r="AF184" i="14"/>
  <c r="AE184" i="14"/>
  <c r="Z184" i="14"/>
  <c r="W184" i="14"/>
  <c r="S184" i="14"/>
  <c r="R184" i="14"/>
  <c r="Q184" i="14"/>
  <c r="D184" i="14"/>
  <c r="I184" i="14"/>
  <c r="BB183" i="14"/>
  <c r="AY183" i="14"/>
  <c r="AU183" i="14"/>
  <c r="AT183" i="14"/>
  <c r="AS183" i="14"/>
  <c r="AN183" i="14"/>
  <c r="AK183" i="14"/>
  <c r="AG183" i="14"/>
  <c r="AF183" i="14"/>
  <c r="AE183" i="14"/>
  <c r="Z183" i="14"/>
  <c r="W183" i="14"/>
  <c r="S183" i="14"/>
  <c r="R183" i="14"/>
  <c r="Q183" i="14"/>
  <c r="L183" i="14"/>
  <c r="I183" i="14"/>
  <c r="BB182" i="14"/>
  <c r="AY182" i="14"/>
  <c r="AU182" i="14"/>
  <c r="AT182" i="14"/>
  <c r="AS182" i="14"/>
  <c r="AN182" i="14"/>
  <c r="AK182" i="14"/>
  <c r="AG182" i="14"/>
  <c r="AF182" i="14"/>
  <c r="AE182" i="14"/>
  <c r="Z182" i="14"/>
  <c r="W182" i="14"/>
  <c r="S182" i="14"/>
  <c r="R182" i="14"/>
  <c r="Q182" i="14"/>
  <c r="D182" i="14"/>
  <c r="I182" i="14"/>
  <c r="BB181" i="14"/>
  <c r="AY181" i="14"/>
  <c r="AU181" i="14"/>
  <c r="AT181" i="14"/>
  <c r="AS181" i="14"/>
  <c r="AN181" i="14"/>
  <c r="AK181" i="14"/>
  <c r="AG181" i="14"/>
  <c r="AF181" i="14"/>
  <c r="AE181" i="14"/>
  <c r="Z181" i="14"/>
  <c r="W181" i="14"/>
  <c r="S181" i="14"/>
  <c r="R181" i="14"/>
  <c r="Q181" i="14"/>
  <c r="D181" i="14"/>
  <c r="BB180" i="14"/>
  <c r="AY180" i="14"/>
  <c r="AU180" i="14"/>
  <c r="AT180" i="14"/>
  <c r="AS180" i="14"/>
  <c r="AN180" i="14"/>
  <c r="AK180" i="14"/>
  <c r="AG180" i="14"/>
  <c r="AF180" i="14"/>
  <c r="AE180" i="14"/>
  <c r="Z180" i="14"/>
  <c r="W180" i="14"/>
  <c r="S180" i="14"/>
  <c r="R180" i="14"/>
  <c r="Q180" i="14"/>
  <c r="D180" i="14"/>
  <c r="I180" i="14"/>
  <c r="BB179" i="14"/>
  <c r="AY179" i="14"/>
  <c r="AU179" i="14"/>
  <c r="AT179" i="14"/>
  <c r="AS179" i="14"/>
  <c r="AN179" i="14"/>
  <c r="AK179" i="14"/>
  <c r="AG179" i="14"/>
  <c r="AF179" i="14"/>
  <c r="AE179" i="14"/>
  <c r="Z179" i="14"/>
  <c r="W179" i="14"/>
  <c r="S179" i="14"/>
  <c r="R179" i="14"/>
  <c r="Q179" i="14"/>
  <c r="C179" i="14"/>
  <c r="I179" i="14"/>
  <c r="E179" i="14"/>
  <c r="BB178" i="14"/>
  <c r="AY178" i="14"/>
  <c r="AU178" i="14"/>
  <c r="AT178" i="14"/>
  <c r="AS178" i="14"/>
  <c r="AN178" i="14"/>
  <c r="AK178" i="14"/>
  <c r="AG178" i="14"/>
  <c r="AF178" i="14"/>
  <c r="AE178" i="14"/>
  <c r="Z178" i="14"/>
  <c r="W178" i="14"/>
  <c r="S178" i="14"/>
  <c r="R178" i="14"/>
  <c r="Q178" i="14"/>
  <c r="I178" i="14"/>
  <c r="BB177" i="14"/>
  <c r="AY177" i="14"/>
  <c r="AU177" i="14"/>
  <c r="AT177" i="14"/>
  <c r="AS177" i="14"/>
  <c r="AN177" i="14"/>
  <c r="AK177" i="14"/>
  <c r="AG177" i="14"/>
  <c r="AF177" i="14"/>
  <c r="AE177" i="14"/>
  <c r="Z177" i="14"/>
  <c r="W177" i="14"/>
  <c r="S177" i="14"/>
  <c r="R177" i="14"/>
  <c r="Q177" i="14"/>
  <c r="D177" i="14"/>
  <c r="BB176" i="14"/>
  <c r="AY176" i="14"/>
  <c r="AU176" i="14"/>
  <c r="AT176" i="14"/>
  <c r="AS176" i="14"/>
  <c r="AN176" i="14"/>
  <c r="AK176" i="14"/>
  <c r="AG176" i="14"/>
  <c r="AF176" i="14"/>
  <c r="AE176" i="14"/>
  <c r="Z176" i="14"/>
  <c r="W176" i="14"/>
  <c r="S176" i="14"/>
  <c r="R176" i="14"/>
  <c r="Q176" i="14"/>
  <c r="D176" i="14"/>
  <c r="BB175" i="14"/>
  <c r="AY175" i="14"/>
  <c r="AU175" i="14"/>
  <c r="AT175" i="14"/>
  <c r="AS175" i="14"/>
  <c r="AN175" i="14"/>
  <c r="AK175" i="14"/>
  <c r="AG175" i="14"/>
  <c r="AF175" i="14"/>
  <c r="AE175" i="14"/>
  <c r="Z175" i="14"/>
  <c r="W175" i="14"/>
  <c r="S175" i="14"/>
  <c r="R175" i="14"/>
  <c r="Q175" i="14"/>
  <c r="I175" i="14"/>
  <c r="BB174" i="14"/>
  <c r="AY174" i="14"/>
  <c r="AU174" i="14"/>
  <c r="AT174" i="14"/>
  <c r="AS174" i="14"/>
  <c r="AN174" i="14"/>
  <c r="AK174" i="14"/>
  <c r="AG174" i="14"/>
  <c r="AF174" i="14"/>
  <c r="AE174" i="14"/>
  <c r="Z174" i="14"/>
  <c r="W174" i="14"/>
  <c r="S174" i="14"/>
  <c r="R174" i="14"/>
  <c r="Q174" i="14"/>
  <c r="I174" i="14"/>
  <c r="BB173" i="14"/>
  <c r="AY173" i="14"/>
  <c r="AU173" i="14"/>
  <c r="AT173" i="14"/>
  <c r="AS173" i="14"/>
  <c r="AN173" i="14"/>
  <c r="AK173" i="14"/>
  <c r="AG173" i="14"/>
  <c r="AF173" i="14"/>
  <c r="AE173" i="14"/>
  <c r="Z173" i="14"/>
  <c r="W173" i="14"/>
  <c r="S173" i="14"/>
  <c r="R173" i="14"/>
  <c r="Q173" i="14"/>
  <c r="BB172" i="14"/>
  <c r="AY172" i="14"/>
  <c r="AU172" i="14"/>
  <c r="AT172" i="14"/>
  <c r="AS172" i="14"/>
  <c r="AN172" i="14"/>
  <c r="AK172" i="14"/>
  <c r="AG172" i="14"/>
  <c r="AF172" i="14"/>
  <c r="AE172" i="14"/>
  <c r="Z172" i="14"/>
  <c r="W172" i="14"/>
  <c r="S172" i="14"/>
  <c r="R172" i="14"/>
  <c r="Q172" i="14"/>
  <c r="D172" i="14"/>
  <c r="I172" i="14"/>
  <c r="BB171" i="14"/>
  <c r="AY171" i="14"/>
  <c r="AU171" i="14"/>
  <c r="AT171" i="14"/>
  <c r="AS171" i="14"/>
  <c r="AN171" i="14"/>
  <c r="AK171" i="14"/>
  <c r="AG171" i="14"/>
  <c r="AF171" i="14"/>
  <c r="AE171" i="14"/>
  <c r="Z171" i="14"/>
  <c r="W171" i="14"/>
  <c r="S171" i="14"/>
  <c r="R171" i="14"/>
  <c r="Q171" i="14"/>
  <c r="E171" i="14"/>
  <c r="BB170" i="14"/>
  <c r="AY170" i="14"/>
  <c r="AU170" i="14"/>
  <c r="AT170" i="14"/>
  <c r="AS170" i="14"/>
  <c r="AN170" i="14"/>
  <c r="AK170" i="14"/>
  <c r="AG170" i="14"/>
  <c r="AF170" i="14"/>
  <c r="AE170" i="14"/>
  <c r="Z170" i="14"/>
  <c r="W170" i="14"/>
  <c r="S170" i="14"/>
  <c r="R170" i="14"/>
  <c r="Q170" i="14"/>
  <c r="D170" i="14"/>
  <c r="E170" i="14"/>
  <c r="I170" i="14"/>
  <c r="BB169" i="14"/>
  <c r="AY169" i="14"/>
  <c r="AU169" i="14"/>
  <c r="AT169" i="14"/>
  <c r="AS169" i="14"/>
  <c r="AN169" i="14"/>
  <c r="AK169" i="14"/>
  <c r="AG169" i="14"/>
  <c r="AF169" i="14"/>
  <c r="AE169" i="14"/>
  <c r="Z169" i="14"/>
  <c r="W169" i="14"/>
  <c r="S169" i="14"/>
  <c r="R169" i="14"/>
  <c r="Q169" i="14"/>
  <c r="D169" i="14"/>
  <c r="I169" i="14"/>
  <c r="BB168" i="14"/>
  <c r="AY168" i="14"/>
  <c r="AU168" i="14"/>
  <c r="AT168" i="14"/>
  <c r="AS168" i="14"/>
  <c r="AN168" i="14"/>
  <c r="AK168" i="14"/>
  <c r="AG168" i="14"/>
  <c r="AF168" i="14"/>
  <c r="AE168" i="14"/>
  <c r="Z168" i="14"/>
  <c r="W168" i="14"/>
  <c r="S168" i="14"/>
  <c r="R168" i="14"/>
  <c r="Q168" i="14"/>
  <c r="C168" i="14"/>
  <c r="I168" i="14"/>
  <c r="E168" i="14"/>
  <c r="BB167" i="14"/>
  <c r="AY167" i="14"/>
  <c r="AU167" i="14"/>
  <c r="AT167" i="14"/>
  <c r="AS167" i="14"/>
  <c r="AN167" i="14"/>
  <c r="AK167" i="14"/>
  <c r="AG167" i="14"/>
  <c r="AF167" i="14"/>
  <c r="AE167" i="14"/>
  <c r="Z167" i="14"/>
  <c r="W167" i="14"/>
  <c r="S167" i="14"/>
  <c r="R167" i="14"/>
  <c r="Q167" i="14"/>
  <c r="C167" i="14"/>
  <c r="BB166" i="14"/>
  <c r="AY166" i="14"/>
  <c r="AU166" i="14"/>
  <c r="AT166" i="14"/>
  <c r="AS166" i="14"/>
  <c r="AN166" i="14"/>
  <c r="AK166" i="14"/>
  <c r="AG166" i="14"/>
  <c r="AF166" i="14"/>
  <c r="AE166" i="14"/>
  <c r="Z166" i="14"/>
  <c r="W166" i="14"/>
  <c r="S166" i="14"/>
  <c r="R166" i="14"/>
  <c r="Q166" i="14"/>
  <c r="E166" i="14"/>
  <c r="BB165" i="14"/>
  <c r="AY165" i="14"/>
  <c r="AU165" i="14"/>
  <c r="AT165" i="14"/>
  <c r="AS165" i="14"/>
  <c r="AN165" i="14"/>
  <c r="AK165" i="14"/>
  <c r="AG165" i="14"/>
  <c r="AF165" i="14"/>
  <c r="AE165" i="14"/>
  <c r="Z165" i="14"/>
  <c r="W165" i="14"/>
  <c r="S165" i="14"/>
  <c r="R165" i="14"/>
  <c r="Q165" i="14"/>
  <c r="L165" i="14"/>
  <c r="BB164" i="14"/>
  <c r="AY164" i="14"/>
  <c r="AU164" i="14"/>
  <c r="AT164" i="14"/>
  <c r="AS164" i="14"/>
  <c r="AN164" i="14"/>
  <c r="AK164" i="14"/>
  <c r="AG164" i="14"/>
  <c r="AF164" i="14"/>
  <c r="AE164" i="14"/>
  <c r="Z164" i="14"/>
  <c r="W164" i="14"/>
  <c r="S164" i="14"/>
  <c r="R164" i="14"/>
  <c r="Q164" i="14"/>
  <c r="BB163" i="14"/>
  <c r="AY163" i="14"/>
  <c r="AU163" i="14"/>
  <c r="AT163" i="14"/>
  <c r="AS163" i="14"/>
  <c r="AN163" i="14"/>
  <c r="AK163" i="14"/>
  <c r="AG163" i="14"/>
  <c r="AF163" i="14"/>
  <c r="AE163" i="14"/>
  <c r="Z163" i="14"/>
  <c r="W163" i="14"/>
  <c r="S163" i="14"/>
  <c r="R163" i="14"/>
  <c r="Q163" i="14"/>
  <c r="C163" i="14"/>
  <c r="I163" i="14"/>
  <c r="BB162" i="14"/>
  <c r="AY162" i="14"/>
  <c r="AU162" i="14"/>
  <c r="AT162" i="14"/>
  <c r="AS162" i="14"/>
  <c r="AN162" i="14"/>
  <c r="AK162" i="14"/>
  <c r="AG162" i="14"/>
  <c r="AF162" i="14"/>
  <c r="AE162" i="14"/>
  <c r="Z162" i="14"/>
  <c r="W162" i="14"/>
  <c r="S162" i="14"/>
  <c r="R162" i="14"/>
  <c r="Q162" i="14"/>
  <c r="I162" i="14"/>
  <c r="BB161" i="14"/>
  <c r="AY161" i="14"/>
  <c r="AU161" i="14"/>
  <c r="AT161" i="14"/>
  <c r="AS161" i="14"/>
  <c r="AN161" i="14"/>
  <c r="AK161" i="14"/>
  <c r="AG161" i="14"/>
  <c r="AF161" i="14"/>
  <c r="AE161" i="14"/>
  <c r="Z161" i="14"/>
  <c r="W161" i="14"/>
  <c r="S161" i="14"/>
  <c r="R161" i="14"/>
  <c r="Q161" i="14"/>
  <c r="I161" i="14"/>
  <c r="BB160" i="14"/>
  <c r="AY160" i="14"/>
  <c r="AU160" i="14"/>
  <c r="AT160" i="14"/>
  <c r="AS160" i="14"/>
  <c r="AN160" i="14"/>
  <c r="AK160" i="14"/>
  <c r="AG160" i="14"/>
  <c r="AF160" i="14"/>
  <c r="AE160" i="14"/>
  <c r="Z160" i="14"/>
  <c r="W160" i="14"/>
  <c r="S160" i="14"/>
  <c r="R160" i="14"/>
  <c r="Q160" i="14"/>
  <c r="E160" i="14"/>
  <c r="BB159" i="14"/>
  <c r="AY159" i="14"/>
  <c r="AU159" i="14"/>
  <c r="AT159" i="14"/>
  <c r="AS159" i="14"/>
  <c r="AN159" i="14"/>
  <c r="AK159" i="14"/>
  <c r="AG159" i="14"/>
  <c r="AF159" i="14"/>
  <c r="AE159" i="14"/>
  <c r="Z159" i="14"/>
  <c r="W159" i="14"/>
  <c r="S159" i="14"/>
  <c r="R159" i="14"/>
  <c r="Q159" i="14"/>
  <c r="L159" i="14"/>
  <c r="I159" i="14"/>
  <c r="BB158" i="14"/>
  <c r="AY158" i="14"/>
  <c r="AU158" i="14"/>
  <c r="AT158" i="14"/>
  <c r="AS158" i="14"/>
  <c r="AN158" i="14"/>
  <c r="AK158" i="14"/>
  <c r="AG158" i="14"/>
  <c r="AF158" i="14"/>
  <c r="AE158" i="14"/>
  <c r="Z158" i="14"/>
  <c r="W158" i="14"/>
  <c r="S158" i="14"/>
  <c r="R158" i="14"/>
  <c r="Q158" i="14"/>
  <c r="C158" i="14"/>
  <c r="E158" i="14"/>
  <c r="BB157" i="14"/>
  <c r="AY157" i="14"/>
  <c r="AU157" i="14"/>
  <c r="AT157" i="14"/>
  <c r="AS157" i="14"/>
  <c r="AN157" i="14"/>
  <c r="AK157" i="14"/>
  <c r="AG157" i="14"/>
  <c r="AF157" i="14"/>
  <c r="AE157" i="14"/>
  <c r="Z157" i="14"/>
  <c r="W157" i="14"/>
  <c r="S157" i="14"/>
  <c r="R157" i="14"/>
  <c r="Q157" i="14"/>
  <c r="D157" i="14"/>
  <c r="BB156" i="14"/>
  <c r="AY156" i="14"/>
  <c r="AU156" i="14"/>
  <c r="AT156" i="14"/>
  <c r="AS156" i="14"/>
  <c r="AN156" i="14"/>
  <c r="AK156" i="14"/>
  <c r="AG156" i="14"/>
  <c r="AF156" i="14"/>
  <c r="AE156" i="14"/>
  <c r="Z156" i="14"/>
  <c r="W156" i="14"/>
  <c r="S156" i="14"/>
  <c r="R156" i="14"/>
  <c r="Q156" i="14"/>
  <c r="C156" i="14"/>
  <c r="I156" i="14"/>
  <c r="BB155" i="14"/>
  <c r="AY155" i="14"/>
  <c r="AU155" i="14"/>
  <c r="AT155" i="14"/>
  <c r="AS155" i="14"/>
  <c r="AN155" i="14"/>
  <c r="AK155" i="14"/>
  <c r="AG155" i="14"/>
  <c r="AF155" i="14"/>
  <c r="AE155" i="14"/>
  <c r="Z155" i="14"/>
  <c r="W155" i="14"/>
  <c r="S155" i="14"/>
  <c r="R155" i="14"/>
  <c r="Q155" i="14"/>
  <c r="C155" i="14"/>
  <c r="BB154" i="14"/>
  <c r="AY154" i="14"/>
  <c r="AU154" i="14"/>
  <c r="AT154" i="14"/>
  <c r="AS154" i="14"/>
  <c r="AN154" i="14"/>
  <c r="AK154" i="14"/>
  <c r="AG154" i="14"/>
  <c r="AF154" i="14"/>
  <c r="AE154" i="14"/>
  <c r="Z154" i="14"/>
  <c r="W154" i="14"/>
  <c r="S154" i="14"/>
  <c r="R154" i="14"/>
  <c r="Q154" i="14"/>
  <c r="E154" i="14"/>
  <c r="I154" i="14"/>
  <c r="BB153" i="14"/>
  <c r="AY153" i="14"/>
  <c r="AU153" i="14"/>
  <c r="AT153" i="14"/>
  <c r="AS153" i="14"/>
  <c r="AN153" i="14"/>
  <c r="AK153" i="14"/>
  <c r="AG153" i="14"/>
  <c r="AF153" i="14"/>
  <c r="AE153" i="14"/>
  <c r="Z153" i="14"/>
  <c r="W153" i="14"/>
  <c r="S153" i="14"/>
  <c r="R153" i="14"/>
  <c r="Q153" i="14"/>
  <c r="BB152" i="14"/>
  <c r="AY152" i="14"/>
  <c r="AU152" i="14"/>
  <c r="AT152" i="14"/>
  <c r="AS152" i="14"/>
  <c r="AN152" i="14"/>
  <c r="AK152" i="14"/>
  <c r="AG152" i="14"/>
  <c r="AF152" i="14"/>
  <c r="AE152" i="14"/>
  <c r="Z152" i="14"/>
  <c r="W152" i="14"/>
  <c r="S152" i="14"/>
  <c r="R152" i="14"/>
  <c r="Q152" i="14"/>
  <c r="E152" i="14"/>
  <c r="BB151" i="14"/>
  <c r="AY151" i="14"/>
  <c r="AU151" i="14"/>
  <c r="AT151" i="14"/>
  <c r="AS151" i="14"/>
  <c r="AN151" i="14"/>
  <c r="AK151" i="14"/>
  <c r="AG151" i="14"/>
  <c r="AF151" i="14"/>
  <c r="AE151" i="14"/>
  <c r="Z151" i="14"/>
  <c r="W151" i="14"/>
  <c r="S151" i="14"/>
  <c r="R151" i="14"/>
  <c r="Q151" i="14"/>
  <c r="BB150" i="14"/>
  <c r="AY150" i="14"/>
  <c r="AU150" i="14"/>
  <c r="AT150" i="14"/>
  <c r="AS150" i="14"/>
  <c r="AN150" i="14"/>
  <c r="AK150" i="14"/>
  <c r="AG150" i="14"/>
  <c r="AF150" i="14"/>
  <c r="AE150" i="14"/>
  <c r="Z150" i="14"/>
  <c r="W150" i="14"/>
  <c r="S150" i="14"/>
  <c r="R150" i="14"/>
  <c r="Q150" i="14"/>
  <c r="I150" i="14"/>
  <c r="BB148" i="14"/>
  <c r="AY148" i="14"/>
  <c r="AU148" i="14"/>
  <c r="AT148" i="14"/>
  <c r="AS148" i="14"/>
  <c r="AN148" i="14"/>
  <c r="AK148" i="14"/>
  <c r="AG148" i="14"/>
  <c r="AF148" i="14"/>
  <c r="AE148" i="14"/>
  <c r="Z148" i="14"/>
  <c r="W148" i="14"/>
  <c r="S148" i="14"/>
  <c r="R148" i="14"/>
  <c r="Q148" i="14"/>
  <c r="I148" i="14"/>
  <c r="BB147" i="14"/>
  <c r="AY147" i="14"/>
  <c r="AU147" i="14"/>
  <c r="AT147" i="14"/>
  <c r="AS147" i="14"/>
  <c r="AN147" i="14"/>
  <c r="AK147" i="14"/>
  <c r="AG147" i="14"/>
  <c r="AF147" i="14"/>
  <c r="AE147" i="14"/>
  <c r="Z147" i="14"/>
  <c r="W147" i="14"/>
  <c r="S147" i="14"/>
  <c r="R147" i="14"/>
  <c r="Q147" i="14"/>
  <c r="E147" i="14"/>
  <c r="BB146" i="14"/>
  <c r="AY146" i="14"/>
  <c r="AU146" i="14"/>
  <c r="AT146" i="14"/>
  <c r="AS146" i="14"/>
  <c r="AN146" i="14"/>
  <c r="AK146" i="14"/>
  <c r="AG146" i="14"/>
  <c r="AF146" i="14"/>
  <c r="AE146" i="14"/>
  <c r="Z146" i="14"/>
  <c r="W146" i="14"/>
  <c r="S146" i="14"/>
  <c r="R146" i="14"/>
  <c r="Q146" i="14"/>
  <c r="L146" i="14"/>
  <c r="D146" i="14"/>
  <c r="C146" i="14"/>
  <c r="G146" i="14"/>
  <c r="BB145" i="14"/>
  <c r="AY145" i="14"/>
  <c r="AU145" i="14"/>
  <c r="AT145" i="14"/>
  <c r="AS145" i="14"/>
  <c r="AN145" i="14"/>
  <c r="AK145" i="14"/>
  <c r="AG145" i="14"/>
  <c r="AF145" i="14"/>
  <c r="AE145" i="14"/>
  <c r="Z145" i="14"/>
  <c r="W145" i="14"/>
  <c r="S145" i="14"/>
  <c r="R145" i="14"/>
  <c r="Q145" i="14"/>
  <c r="L145" i="14"/>
  <c r="D145" i="14"/>
  <c r="C145" i="14"/>
  <c r="BB144" i="14"/>
  <c r="AY144" i="14"/>
  <c r="AU144" i="14"/>
  <c r="AT144" i="14"/>
  <c r="AS144" i="14"/>
  <c r="AN144" i="14"/>
  <c r="AK144" i="14"/>
  <c r="AG144" i="14"/>
  <c r="AF144" i="14"/>
  <c r="AE144" i="14"/>
  <c r="Z144" i="14"/>
  <c r="W144" i="14"/>
  <c r="S144" i="14"/>
  <c r="R144" i="14"/>
  <c r="Q144" i="14"/>
  <c r="L144" i="14"/>
  <c r="I144" i="14"/>
  <c r="G144" i="14"/>
  <c r="D144" i="14"/>
  <c r="BB143" i="14"/>
  <c r="AY143" i="14"/>
  <c r="AU143" i="14"/>
  <c r="AT143" i="14"/>
  <c r="AS143" i="14"/>
  <c r="AN143" i="14"/>
  <c r="AK143" i="14"/>
  <c r="AG143" i="14"/>
  <c r="AF143" i="14"/>
  <c r="AE143" i="14"/>
  <c r="Z143" i="14"/>
  <c r="W143" i="14"/>
  <c r="S143" i="14"/>
  <c r="R143" i="14"/>
  <c r="Q143" i="14"/>
  <c r="D143" i="14"/>
  <c r="I143" i="14"/>
  <c r="BB142" i="14"/>
  <c r="AY142" i="14"/>
  <c r="AU142" i="14"/>
  <c r="AT142" i="14"/>
  <c r="AS142" i="14"/>
  <c r="AN142" i="14"/>
  <c r="AK142" i="14"/>
  <c r="AG142" i="14"/>
  <c r="AF142" i="14"/>
  <c r="AE142" i="14"/>
  <c r="Z142" i="14"/>
  <c r="W142" i="14"/>
  <c r="S142" i="14"/>
  <c r="R142" i="14"/>
  <c r="Q142" i="14"/>
  <c r="C142" i="14"/>
  <c r="I142" i="14"/>
  <c r="G142" i="14"/>
  <c r="E142" i="14"/>
  <c r="BB141" i="14"/>
  <c r="AY141" i="14"/>
  <c r="AU141" i="14"/>
  <c r="AT141" i="14"/>
  <c r="AS141" i="14"/>
  <c r="AN141" i="14"/>
  <c r="AK141" i="14"/>
  <c r="AG141" i="14"/>
  <c r="AF141" i="14"/>
  <c r="AE141" i="14"/>
  <c r="Z141" i="14"/>
  <c r="W141" i="14"/>
  <c r="S141" i="14"/>
  <c r="R141" i="14"/>
  <c r="Q141" i="14"/>
  <c r="D141" i="14"/>
  <c r="G141" i="14"/>
  <c r="BB140" i="14"/>
  <c r="AY140" i="14"/>
  <c r="AU140" i="14"/>
  <c r="AT140" i="14"/>
  <c r="AS140" i="14"/>
  <c r="AN140" i="14"/>
  <c r="AK140" i="14"/>
  <c r="AG140" i="14"/>
  <c r="AF140" i="14"/>
  <c r="AE140" i="14"/>
  <c r="Z140" i="14"/>
  <c r="W140" i="14"/>
  <c r="S140" i="14"/>
  <c r="R140" i="14"/>
  <c r="Q140" i="14"/>
  <c r="L140" i="14"/>
  <c r="I140" i="14"/>
  <c r="G140" i="14"/>
  <c r="D140" i="14"/>
  <c r="BB139" i="14"/>
  <c r="AY139" i="14"/>
  <c r="AU139" i="14"/>
  <c r="AT139" i="14"/>
  <c r="AS139" i="14"/>
  <c r="AN139" i="14"/>
  <c r="AK139" i="14"/>
  <c r="AG139" i="14"/>
  <c r="AF139" i="14"/>
  <c r="AE139" i="14"/>
  <c r="Z139" i="14"/>
  <c r="W139" i="14"/>
  <c r="S139" i="14"/>
  <c r="R139" i="14"/>
  <c r="Q139" i="14"/>
  <c r="C139" i="14"/>
  <c r="BB138" i="14"/>
  <c r="AY138" i="14"/>
  <c r="AU138" i="14"/>
  <c r="AT138" i="14"/>
  <c r="AS138" i="14"/>
  <c r="AN138" i="14"/>
  <c r="AK138" i="14"/>
  <c r="AG138" i="14"/>
  <c r="AF138" i="14"/>
  <c r="AE138" i="14"/>
  <c r="Z138" i="14"/>
  <c r="W138" i="14"/>
  <c r="S138" i="14"/>
  <c r="R138" i="14"/>
  <c r="Q138" i="14"/>
  <c r="BB137" i="14"/>
  <c r="AY137" i="14"/>
  <c r="AU137" i="14"/>
  <c r="AT137" i="14"/>
  <c r="AS137" i="14"/>
  <c r="AN137" i="14"/>
  <c r="AK137" i="14"/>
  <c r="AG137" i="14"/>
  <c r="AF137" i="14"/>
  <c r="AE137" i="14"/>
  <c r="Z137" i="14"/>
  <c r="W137" i="14"/>
  <c r="S137" i="14"/>
  <c r="R137" i="14"/>
  <c r="Q137" i="14"/>
  <c r="G137" i="14"/>
  <c r="BB136" i="14"/>
  <c r="AY136" i="14"/>
  <c r="AU136" i="14"/>
  <c r="AT136" i="14"/>
  <c r="AS136" i="14"/>
  <c r="AN136" i="14"/>
  <c r="AK136" i="14"/>
  <c r="AG136" i="14"/>
  <c r="AF136" i="14"/>
  <c r="AE136" i="14"/>
  <c r="Z136" i="14"/>
  <c r="W136" i="14"/>
  <c r="S136" i="14"/>
  <c r="R136" i="14"/>
  <c r="Q136" i="14"/>
  <c r="L136" i="14"/>
  <c r="BB135" i="14"/>
  <c r="AY135" i="14"/>
  <c r="AU135" i="14"/>
  <c r="AT135" i="14"/>
  <c r="AS135" i="14"/>
  <c r="AN135" i="14"/>
  <c r="AK135" i="14"/>
  <c r="AG135" i="14"/>
  <c r="AF135" i="14"/>
  <c r="AE135" i="14"/>
  <c r="Z135" i="14"/>
  <c r="W135" i="14"/>
  <c r="S135" i="14"/>
  <c r="R135" i="14"/>
  <c r="Q135" i="14"/>
  <c r="E135" i="14"/>
  <c r="I135" i="14"/>
  <c r="G135" i="14"/>
  <c r="BB134" i="14"/>
  <c r="AY134" i="14"/>
  <c r="AU134" i="14"/>
  <c r="AT134" i="14"/>
  <c r="AS134" i="14"/>
  <c r="AN134" i="14"/>
  <c r="AK134" i="14"/>
  <c r="AG134" i="14"/>
  <c r="AF134" i="14"/>
  <c r="AE134" i="14"/>
  <c r="Z134" i="14"/>
  <c r="W134" i="14"/>
  <c r="S134" i="14"/>
  <c r="R134" i="14"/>
  <c r="Q134" i="14"/>
  <c r="E134" i="14"/>
  <c r="I134" i="14"/>
  <c r="C134" i="14"/>
  <c r="L133" i="14"/>
  <c r="I133" i="14"/>
  <c r="E133" i="14"/>
  <c r="D133" i="14"/>
  <c r="C133" i="14"/>
  <c r="L132" i="14"/>
  <c r="I132" i="14"/>
  <c r="E132" i="14"/>
  <c r="D132" i="14"/>
  <c r="C132" i="14"/>
  <c r="L131" i="14"/>
  <c r="I131" i="14"/>
  <c r="E131" i="14"/>
  <c r="D131" i="14"/>
  <c r="C131" i="14"/>
  <c r="L130" i="14"/>
  <c r="I130" i="14"/>
  <c r="E130" i="14"/>
  <c r="D130" i="14"/>
  <c r="C130" i="14"/>
  <c r="L129" i="14"/>
  <c r="I129" i="14"/>
  <c r="E129" i="14"/>
  <c r="D129" i="14"/>
  <c r="C129" i="14"/>
  <c r="K128" i="14"/>
  <c r="J128" i="14"/>
  <c r="H128" i="14"/>
  <c r="K127" i="14"/>
  <c r="J127" i="14"/>
  <c r="H127" i="14"/>
  <c r="K126" i="14"/>
  <c r="J126" i="14"/>
  <c r="H126" i="14"/>
  <c r="K125" i="14"/>
  <c r="J125" i="14"/>
  <c r="H125" i="14"/>
  <c r="K124" i="14"/>
  <c r="J124" i="14"/>
  <c r="H124" i="14"/>
  <c r="K123" i="14"/>
  <c r="J123" i="14"/>
  <c r="H123" i="14"/>
  <c r="K122" i="14"/>
  <c r="K122" i="87" s="1"/>
  <c r="J122" i="14"/>
  <c r="J122" i="87" s="1"/>
  <c r="H122" i="14"/>
  <c r="K121" i="14"/>
  <c r="J121" i="14"/>
  <c r="H121" i="14"/>
  <c r="H121" i="87" s="1"/>
  <c r="K120" i="14"/>
  <c r="J120" i="14"/>
  <c r="H120" i="14"/>
  <c r="K119" i="14"/>
  <c r="J119" i="14"/>
  <c r="H119" i="14"/>
  <c r="K118" i="14"/>
  <c r="J118" i="14"/>
  <c r="J118" i="87" s="1"/>
  <c r="H118" i="14"/>
  <c r="L117" i="14"/>
  <c r="I117" i="14"/>
  <c r="E117" i="14"/>
  <c r="D117" i="14"/>
  <c r="C117" i="14"/>
  <c r="L116" i="14"/>
  <c r="I116" i="14"/>
  <c r="E116" i="14"/>
  <c r="D116" i="14"/>
  <c r="C116" i="14"/>
  <c r="L115" i="14"/>
  <c r="I115" i="14"/>
  <c r="E115" i="14"/>
  <c r="D115" i="14"/>
  <c r="C115" i="14"/>
  <c r="L114" i="14"/>
  <c r="I114" i="14"/>
  <c r="E114" i="14"/>
  <c r="D114" i="14"/>
  <c r="C114" i="14"/>
  <c r="L113" i="14"/>
  <c r="I113" i="14"/>
  <c r="E113" i="14"/>
  <c r="D113" i="14"/>
  <c r="C113" i="14"/>
  <c r="L112" i="14"/>
  <c r="I112" i="14"/>
  <c r="E112" i="14"/>
  <c r="D112" i="14"/>
  <c r="C112" i="14"/>
  <c r="L111" i="14"/>
  <c r="I111" i="14"/>
  <c r="E111" i="14"/>
  <c r="D111" i="14"/>
  <c r="C111" i="14"/>
  <c r="L110" i="14"/>
  <c r="I110" i="14"/>
  <c r="E110" i="14"/>
  <c r="D110" i="14"/>
  <c r="C110" i="14"/>
  <c r="L109" i="14"/>
  <c r="I109" i="14"/>
  <c r="E109" i="14"/>
  <c r="D109" i="14"/>
  <c r="C109" i="14"/>
  <c r="L108" i="14"/>
  <c r="I108" i="14"/>
  <c r="E108" i="14"/>
  <c r="D108" i="14"/>
  <c r="C108" i="14"/>
  <c r="L107" i="14"/>
  <c r="I107" i="14"/>
  <c r="E107" i="14"/>
  <c r="D107" i="14"/>
  <c r="C107" i="14"/>
  <c r="L106" i="14"/>
  <c r="I106" i="14"/>
  <c r="E106" i="14"/>
  <c r="D106" i="14"/>
  <c r="C106" i="14"/>
  <c r="L105" i="14"/>
  <c r="I105" i="14"/>
  <c r="E105" i="14"/>
  <c r="D105" i="14"/>
  <c r="C105" i="14"/>
  <c r="L104" i="14"/>
  <c r="I104" i="14"/>
  <c r="E104" i="14"/>
  <c r="D104" i="14"/>
  <c r="C104" i="14"/>
  <c r="L103" i="14"/>
  <c r="I103" i="14"/>
  <c r="E103" i="14"/>
  <c r="D103" i="14"/>
  <c r="C103" i="14"/>
  <c r="L102" i="14"/>
  <c r="I102" i="14"/>
  <c r="E102" i="14"/>
  <c r="D102" i="14"/>
  <c r="C102" i="14"/>
  <c r="L101" i="14"/>
  <c r="I101" i="14"/>
  <c r="E101" i="14"/>
  <c r="D101" i="14"/>
  <c r="C101" i="14"/>
  <c r="L100" i="14"/>
  <c r="I100" i="14"/>
  <c r="E100" i="14"/>
  <c r="D100" i="14"/>
  <c r="C100" i="14"/>
  <c r="L99" i="14"/>
  <c r="I99" i="14"/>
  <c r="E99" i="14"/>
  <c r="D99" i="14"/>
  <c r="C99" i="14"/>
  <c r="L98" i="14"/>
  <c r="I98" i="14"/>
  <c r="E98" i="14"/>
  <c r="D98" i="14"/>
  <c r="C98" i="14"/>
  <c r="L97" i="14"/>
  <c r="I97" i="14"/>
  <c r="E97" i="14"/>
  <c r="D97" i="14"/>
  <c r="C97" i="14"/>
  <c r="L96" i="14"/>
  <c r="I96" i="14"/>
  <c r="E96" i="14"/>
  <c r="D96" i="14"/>
  <c r="C96" i="14"/>
  <c r="L95" i="14"/>
  <c r="I95" i="14"/>
  <c r="E95" i="14"/>
  <c r="D95" i="14"/>
  <c r="C95" i="14"/>
  <c r="L94" i="14"/>
  <c r="I94" i="14"/>
  <c r="E94" i="14"/>
  <c r="D94" i="14"/>
  <c r="C94" i="14"/>
  <c r="L93" i="14"/>
  <c r="I93" i="14"/>
  <c r="E93" i="14"/>
  <c r="D93" i="14"/>
  <c r="C93" i="14"/>
  <c r="L92" i="14"/>
  <c r="I92" i="14"/>
  <c r="E92" i="14"/>
  <c r="D92" i="14"/>
  <c r="C92" i="14"/>
  <c r="L91" i="14"/>
  <c r="I91" i="14"/>
  <c r="E91" i="14"/>
  <c r="D91" i="14"/>
  <c r="C91" i="14"/>
  <c r="L90" i="14"/>
  <c r="I90" i="14"/>
  <c r="E90" i="14"/>
  <c r="D90" i="14"/>
  <c r="C90" i="14"/>
  <c r="L89" i="14"/>
  <c r="I89" i="14"/>
  <c r="E89" i="14"/>
  <c r="D89" i="14"/>
  <c r="C89" i="14"/>
  <c r="L88" i="14"/>
  <c r="I88" i="14"/>
  <c r="E88" i="14"/>
  <c r="D88" i="14"/>
  <c r="C88" i="14"/>
  <c r="L87" i="14"/>
  <c r="I87" i="14"/>
  <c r="E87" i="14"/>
  <c r="D87" i="14"/>
  <c r="C87" i="14"/>
  <c r="L86" i="14"/>
  <c r="I86" i="14"/>
  <c r="E86" i="14"/>
  <c r="D86" i="14"/>
  <c r="C86" i="14"/>
  <c r="L85" i="14"/>
  <c r="I85" i="14"/>
  <c r="E85" i="14"/>
  <c r="D85" i="14"/>
  <c r="C85" i="14"/>
  <c r="L84" i="14"/>
  <c r="I84" i="14"/>
  <c r="E84" i="14"/>
  <c r="D84" i="14"/>
  <c r="C84" i="14"/>
  <c r="L83" i="14"/>
  <c r="I83" i="14"/>
  <c r="E83" i="14"/>
  <c r="D83" i="14"/>
  <c r="C83" i="14"/>
  <c r="L82" i="14"/>
  <c r="I82" i="14"/>
  <c r="E82" i="14"/>
  <c r="D82" i="14"/>
  <c r="C82" i="14"/>
  <c r="L81" i="14"/>
  <c r="I81" i="14"/>
  <c r="E81" i="14"/>
  <c r="D81" i="14"/>
  <c r="C81" i="14"/>
  <c r="L80" i="14"/>
  <c r="I80" i="14"/>
  <c r="E80" i="14"/>
  <c r="D80" i="14"/>
  <c r="C80" i="14"/>
  <c r="L79" i="14"/>
  <c r="I79" i="14"/>
  <c r="E79" i="14"/>
  <c r="D79" i="14"/>
  <c r="C79" i="14"/>
  <c r="L78" i="14"/>
  <c r="I78" i="14"/>
  <c r="E78" i="14"/>
  <c r="D78" i="14"/>
  <c r="C78" i="14"/>
  <c r="L77" i="14"/>
  <c r="I77" i="14"/>
  <c r="E77" i="14"/>
  <c r="D77" i="14"/>
  <c r="C77" i="14"/>
  <c r="L76" i="14"/>
  <c r="I76" i="14"/>
  <c r="E76" i="14"/>
  <c r="D76" i="14"/>
  <c r="C76" i="14"/>
  <c r="L75" i="14"/>
  <c r="I75" i="14"/>
  <c r="E75" i="14"/>
  <c r="D75" i="14"/>
  <c r="C75" i="14"/>
  <c r="L74" i="14"/>
  <c r="I74" i="14"/>
  <c r="E74" i="14"/>
  <c r="D74" i="14"/>
  <c r="C74" i="14"/>
  <c r="L73" i="14"/>
  <c r="I73" i="14"/>
  <c r="E73" i="14"/>
  <c r="D73" i="14"/>
  <c r="C73" i="14"/>
  <c r="L72" i="14"/>
  <c r="I72" i="14"/>
  <c r="E72" i="14"/>
  <c r="D72" i="14"/>
  <c r="C72" i="14"/>
  <c r="L71" i="14"/>
  <c r="I71" i="14"/>
  <c r="E71" i="14"/>
  <c r="D71" i="14"/>
  <c r="C71" i="14"/>
  <c r="L70" i="14"/>
  <c r="I70" i="14"/>
  <c r="E70" i="14"/>
  <c r="D70" i="14"/>
  <c r="C70" i="14"/>
  <c r="L69" i="14"/>
  <c r="I69" i="14"/>
  <c r="E69" i="14"/>
  <c r="D69" i="14"/>
  <c r="C69" i="14"/>
  <c r="L68" i="14"/>
  <c r="I68" i="14"/>
  <c r="E68" i="14"/>
  <c r="D68" i="14"/>
  <c r="C68" i="14"/>
  <c r="L67" i="14"/>
  <c r="I67" i="14"/>
  <c r="E67" i="14"/>
  <c r="D67" i="14"/>
  <c r="C67" i="14"/>
  <c r="L66" i="14"/>
  <c r="I66" i="14"/>
  <c r="E66" i="14"/>
  <c r="D66" i="14"/>
  <c r="C66" i="14"/>
  <c r="L65" i="14"/>
  <c r="I65" i="14"/>
  <c r="E65" i="14"/>
  <c r="D65" i="14"/>
  <c r="C65" i="14"/>
  <c r="L64" i="14"/>
  <c r="I64" i="14"/>
  <c r="E64" i="14"/>
  <c r="D64" i="14"/>
  <c r="C64" i="14"/>
  <c r="L63" i="14"/>
  <c r="I63" i="14"/>
  <c r="E63" i="14"/>
  <c r="D63" i="14"/>
  <c r="C63" i="14"/>
  <c r="L62" i="14"/>
  <c r="I62" i="14"/>
  <c r="E62" i="14"/>
  <c r="D62" i="14"/>
  <c r="C62" i="14"/>
  <c r="L61" i="14"/>
  <c r="I61" i="14"/>
  <c r="E61" i="14"/>
  <c r="D61" i="14"/>
  <c r="C61" i="14"/>
  <c r="L60" i="14"/>
  <c r="I60" i="14"/>
  <c r="E60" i="14"/>
  <c r="D60" i="14"/>
  <c r="C60" i="14"/>
  <c r="L59" i="14"/>
  <c r="I59" i="14"/>
  <c r="E59" i="14"/>
  <c r="D59" i="14"/>
  <c r="C59" i="14"/>
  <c r="L58" i="14"/>
  <c r="I58" i="14"/>
  <c r="E58" i="14"/>
  <c r="D58" i="14"/>
  <c r="C58" i="14"/>
  <c r="L57" i="14"/>
  <c r="I57" i="14"/>
  <c r="E57" i="14"/>
  <c r="D57" i="14"/>
  <c r="C57" i="14"/>
  <c r="L56" i="14"/>
  <c r="I56" i="14"/>
  <c r="E56" i="14"/>
  <c r="D56" i="14"/>
  <c r="C56" i="14"/>
  <c r="L55" i="14"/>
  <c r="I55" i="14"/>
  <c r="E55" i="14"/>
  <c r="D55" i="14"/>
  <c r="C55" i="14"/>
  <c r="L54" i="14"/>
  <c r="I54" i="14"/>
  <c r="E54" i="14"/>
  <c r="D54" i="14"/>
  <c r="C54" i="14"/>
  <c r="L53" i="14"/>
  <c r="I53" i="14"/>
  <c r="E53" i="14"/>
  <c r="D53" i="14"/>
  <c r="C53" i="14"/>
  <c r="L52" i="14"/>
  <c r="I52" i="14"/>
  <c r="E52" i="14"/>
  <c r="D52" i="14"/>
  <c r="C52" i="14"/>
  <c r="L51" i="14"/>
  <c r="I51" i="14"/>
  <c r="E51" i="14"/>
  <c r="D51" i="14"/>
  <c r="C51" i="14"/>
  <c r="L50" i="14"/>
  <c r="I50" i="14"/>
  <c r="E50" i="14"/>
  <c r="D50" i="14"/>
  <c r="C50" i="14"/>
  <c r="L49" i="14"/>
  <c r="I49" i="14"/>
  <c r="E49" i="14"/>
  <c r="D49" i="14"/>
  <c r="C49" i="14"/>
  <c r="L48" i="14"/>
  <c r="I48" i="14"/>
  <c r="E48" i="14"/>
  <c r="D48" i="14"/>
  <c r="C48" i="14"/>
  <c r="L47" i="14"/>
  <c r="I47" i="14"/>
  <c r="E47" i="14"/>
  <c r="D47" i="14"/>
  <c r="C47" i="14"/>
  <c r="L46" i="14"/>
  <c r="I46" i="14"/>
  <c r="E46" i="14"/>
  <c r="D46" i="14"/>
  <c r="C46" i="14"/>
  <c r="L45" i="14"/>
  <c r="I45" i="14"/>
  <c r="E45" i="14"/>
  <c r="D45" i="14"/>
  <c r="C45" i="14"/>
  <c r="L44" i="14"/>
  <c r="I44" i="14"/>
  <c r="E44" i="14"/>
  <c r="D44" i="14"/>
  <c r="C44" i="14"/>
  <c r="L43" i="14"/>
  <c r="I43" i="14"/>
  <c r="E43" i="14"/>
  <c r="D43" i="14"/>
  <c r="C43" i="14"/>
  <c r="L42" i="14"/>
  <c r="I42" i="14"/>
  <c r="E42" i="14"/>
  <c r="D42" i="14"/>
  <c r="C42" i="14"/>
  <c r="L41" i="14"/>
  <c r="I41" i="14"/>
  <c r="E41" i="14"/>
  <c r="D41" i="14"/>
  <c r="C41" i="14"/>
  <c r="L40" i="14"/>
  <c r="I40" i="14"/>
  <c r="E40" i="14"/>
  <c r="D40" i="14"/>
  <c r="C40" i="14"/>
  <c r="L39" i="14"/>
  <c r="I39" i="14"/>
  <c r="E39" i="14"/>
  <c r="D39" i="14"/>
  <c r="C39" i="14"/>
  <c r="K38" i="14"/>
  <c r="J38" i="14"/>
  <c r="H38" i="14"/>
  <c r="K37" i="14"/>
  <c r="J37" i="14"/>
  <c r="H37" i="14"/>
  <c r="L36" i="14"/>
  <c r="I36" i="14"/>
  <c r="E36" i="14"/>
  <c r="D36" i="14"/>
  <c r="C36" i="14"/>
  <c r="L35" i="14"/>
  <c r="I35" i="14"/>
  <c r="E35" i="14"/>
  <c r="D35" i="14"/>
  <c r="C35" i="14"/>
  <c r="L34" i="14"/>
  <c r="I34" i="14"/>
  <c r="E34" i="14"/>
  <c r="D34" i="14"/>
  <c r="C34" i="14"/>
  <c r="L33" i="14"/>
  <c r="I33" i="14"/>
  <c r="E33" i="14"/>
  <c r="D33" i="14"/>
  <c r="C33" i="14"/>
  <c r="L32" i="14"/>
  <c r="I32" i="14"/>
  <c r="E32" i="14"/>
  <c r="D32" i="14"/>
  <c r="C32" i="14"/>
  <c r="K31" i="14"/>
  <c r="J31" i="14"/>
  <c r="H31" i="14"/>
  <c r="K30" i="14"/>
  <c r="J30" i="14"/>
  <c r="H30" i="14"/>
  <c r="L29" i="14"/>
  <c r="I29" i="14"/>
  <c r="E29" i="14"/>
  <c r="D29" i="14"/>
  <c r="C29" i="14"/>
  <c r="L28" i="14"/>
  <c r="I28" i="14"/>
  <c r="E28" i="14"/>
  <c r="D28" i="14"/>
  <c r="C28" i="14"/>
  <c r="L27" i="14"/>
  <c r="I27" i="14"/>
  <c r="E27" i="14"/>
  <c r="D27" i="14"/>
  <c r="C27" i="14"/>
  <c r="L26" i="14"/>
  <c r="I26" i="14"/>
  <c r="E26" i="14"/>
  <c r="D26" i="14"/>
  <c r="C26" i="14"/>
  <c r="L25" i="14"/>
  <c r="I25" i="14"/>
  <c r="E25" i="14"/>
  <c r="D25" i="14"/>
  <c r="C25" i="14"/>
  <c r="L24" i="14"/>
  <c r="I24" i="14"/>
  <c r="E24" i="14"/>
  <c r="D24" i="14"/>
  <c r="C24" i="14"/>
  <c r="L23" i="14"/>
  <c r="I23" i="14"/>
  <c r="E23" i="14"/>
  <c r="D23" i="14"/>
  <c r="C23" i="14"/>
  <c r="K22" i="14"/>
  <c r="D22" i="14" s="1"/>
  <c r="H22" i="14"/>
  <c r="E22" i="14" s="1"/>
  <c r="L21" i="14"/>
  <c r="I21" i="14"/>
  <c r="E21" i="14"/>
  <c r="D21" i="14"/>
  <c r="C21" i="14"/>
  <c r="L20" i="14"/>
  <c r="I20" i="14"/>
  <c r="E20" i="14"/>
  <c r="D20" i="14"/>
  <c r="C20" i="14"/>
  <c r="L19" i="14"/>
  <c r="I19" i="14"/>
  <c r="E19" i="14"/>
  <c r="D19" i="14"/>
  <c r="C19" i="14"/>
  <c r="L18" i="14"/>
  <c r="I18" i="14"/>
  <c r="E18" i="14"/>
  <c r="D18" i="14"/>
  <c r="C18" i="14"/>
  <c r="L17" i="14"/>
  <c r="I17" i="14"/>
  <c r="E17" i="14"/>
  <c r="D17" i="14"/>
  <c r="C17" i="14"/>
  <c r="L16" i="14"/>
  <c r="I16" i="14"/>
  <c r="E16" i="14"/>
  <c r="D16" i="14"/>
  <c r="C16" i="14"/>
  <c r="L15" i="14"/>
  <c r="I15" i="14"/>
  <c r="E15" i="14"/>
  <c r="D15" i="14"/>
  <c r="C15" i="14"/>
  <c r="L14" i="14"/>
  <c r="I14" i="14"/>
  <c r="E14" i="14"/>
  <c r="D14" i="14"/>
  <c r="C14" i="14"/>
  <c r="L13" i="14"/>
  <c r="I13" i="14"/>
  <c r="E13" i="14"/>
  <c r="D13" i="14"/>
  <c r="C13" i="14"/>
  <c r="L12" i="14"/>
  <c r="I12" i="14"/>
  <c r="E12" i="14"/>
  <c r="D12" i="14"/>
  <c r="C12" i="14"/>
  <c r="L11" i="14"/>
  <c r="I11" i="14"/>
  <c r="E11" i="14"/>
  <c r="D11" i="14"/>
  <c r="C11" i="14"/>
  <c r="L10" i="14"/>
  <c r="I10" i="14"/>
  <c r="E10" i="14"/>
  <c r="D10" i="14"/>
  <c r="C10" i="14"/>
  <c r="L9" i="14"/>
  <c r="I9" i="14"/>
  <c r="E9" i="14"/>
  <c r="D9" i="14"/>
  <c r="C9" i="14"/>
  <c r="L8" i="14"/>
  <c r="I8" i="14"/>
  <c r="E8" i="14"/>
  <c r="D8" i="14"/>
  <c r="C8" i="14"/>
  <c r="L7" i="14"/>
  <c r="I7" i="14"/>
  <c r="E7" i="14"/>
  <c r="D7" i="14"/>
  <c r="C7" i="14"/>
  <c r="L6" i="14"/>
  <c r="I6" i="14"/>
  <c r="E6" i="14"/>
  <c r="D6" i="14"/>
  <c r="C6" i="14"/>
  <c r="L365" i="13"/>
  <c r="I365" i="13"/>
  <c r="E365" i="13"/>
  <c r="D365" i="13"/>
  <c r="C365" i="13"/>
  <c r="L364" i="13"/>
  <c r="I364" i="13"/>
  <c r="E364" i="13"/>
  <c r="D364" i="13"/>
  <c r="C364" i="13"/>
  <c r="L363" i="13"/>
  <c r="I363" i="13"/>
  <c r="E363" i="13"/>
  <c r="D363" i="13"/>
  <c r="C363" i="13"/>
  <c r="L362" i="13"/>
  <c r="I362" i="13"/>
  <c r="E362" i="13"/>
  <c r="D362" i="13"/>
  <c r="C362" i="13"/>
  <c r="L361" i="13"/>
  <c r="I361" i="13"/>
  <c r="E361" i="13"/>
  <c r="D361" i="13"/>
  <c r="C361" i="13"/>
  <c r="L360" i="13"/>
  <c r="I360" i="13"/>
  <c r="E360" i="13"/>
  <c r="D360" i="13"/>
  <c r="C360" i="13"/>
  <c r="L359" i="13"/>
  <c r="I359" i="13"/>
  <c r="E359" i="13"/>
  <c r="D359" i="13"/>
  <c r="C359" i="13"/>
  <c r="L358" i="13"/>
  <c r="I358" i="13"/>
  <c r="E358" i="13"/>
  <c r="D358" i="13"/>
  <c r="C358" i="13"/>
  <c r="L357" i="13"/>
  <c r="I357" i="13"/>
  <c r="E357" i="13"/>
  <c r="D357" i="13"/>
  <c r="C357" i="13"/>
  <c r="L356" i="13"/>
  <c r="I356" i="13"/>
  <c r="E356" i="13"/>
  <c r="D356" i="13"/>
  <c r="C356" i="13"/>
  <c r="L355" i="13"/>
  <c r="I355" i="13"/>
  <c r="E355" i="13"/>
  <c r="D355" i="13"/>
  <c r="C355" i="13"/>
  <c r="L354" i="13"/>
  <c r="I354" i="13"/>
  <c r="E354" i="13"/>
  <c r="D354" i="13"/>
  <c r="C354" i="13"/>
  <c r="L353" i="13"/>
  <c r="I353" i="13"/>
  <c r="E353" i="13"/>
  <c r="D353" i="13"/>
  <c r="C353" i="13"/>
  <c r="L352" i="13"/>
  <c r="I352" i="13"/>
  <c r="E352" i="13"/>
  <c r="D352" i="13"/>
  <c r="C352" i="13"/>
  <c r="L351" i="13"/>
  <c r="I351" i="13"/>
  <c r="E351" i="13"/>
  <c r="D351" i="13"/>
  <c r="C351" i="13"/>
  <c r="L350" i="13"/>
  <c r="I350" i="13"/>
  <c r="E350" i="13"/>
  <c r="D350" i="13"/>
  <c r="C350" i="13"/>
  <c r="L349" i="13"/>
  <c r="I349" i="13"/>
  <c r="E349" i="13"/>
  <c r="D349" i="13"/>
  <c r="C349" i="13"/>
  <c r="L348" i="13"/>
  <c r="I348" i="13"/>
  <c r="E348" i="13"/>
  <c r="D348" i="13"/>
  <c r="C348" i="13"/>
  <c r="L347" i="13"/>
  <c r="I347" i="13"/>
  <c r="E347" i="13"/>
  <c r="D347" i="13"/>
  <c r="C347" i="13"/>
  <c r="L346" i="13"/>
  <c r="I346" i="13"/>
  <c r="E346" i="13"/>
  <c r="D346" i="13"/>
  <c r="C346" i="13"/>
  <c r="L345" i="13"/>
  <c r="I345" i="13"/>
  <c r="E345" i="13"/>
  <c r="D345" i="13"/>
  <c r="C345" i="13"/>
  <c r="L344" i="13"/>
  <c r="I344" i="13"/>
  <c r="E344" i="13"/>
  <c r="D344" i="13"/>
  <c r="C344" i="13"/>
  <c r="L343" i="13"/>
  <c r="I343" i="13"/>
  <c r="E343" i="13"/>
  <c r="D343" i="13"/>
  <c r="C343" i="13"/>
  <c r="L342" i="13"/>
  <c r="I342" i="13"/>
  <c r="E342" i="13"/>
  <c r="D342" i="13"/>
  <c r="C342" i="13"/>
  <c r="L341" i="13"/>
  <c r="I341" i="13"/>
  <c r="E341" i="13"/>
  <c r="D341" i="13"/>
  <c r="C341" i="13"/>
  <c r="L340" i="13"/>
  <c r="I340" i="13"/>
  <c r="E340" i="13"/>
  <c r="D340" i="13"/>
  <c r="C340" i="13"/>
  <c r="L339" i="13"/>
  <c r="I339" i="13"/>
  <c r="E339" i="13"/>
  <c r="D339" i="13"/>
  <c r="C339" i="13"/>
  <c r="L338" i="13"/>
  <c r="I338" i="13"/>
  <c r="E338" i="13"/>
  <c r="D338" i="13"/>
  <c r="C338" i="13"/>
  <c r="L337" i="13"/>
  <c r="I337" i="13"/>
  <c r="E337" i="13"/>
  <c r="D337" i="13"/>
  <c r="C337" i="13"/>
  <c r="L336" i="13"/>
  <c r="I336" i="13"/>
  <c r="E336" i="13"/>
  <c r="D336" i="13"/>
  <c r="C336" i="13"/>
  <c r="L335" i="13"/>
  <c r="H335" i="13"/>
  <c r="H387" i="13" s="1"/>
  <c r="D335" i="13"/>
  <c r="L334" i="13"/>
  <c r="I334" i="13"/>
  <c r="E334" i="13"/>
  <c r="D334" i="13"/>
  <c r="C334" i="13"/>
  <c r="L333" i="13"/>
  <c r="I333" i="13"/>
  <c r="E333" i="13"/>
  <c r="D333" i="13"/>
  <c r="C333" i="13"/>
  <c r="L332" i="13"/>
  <c r="I332" i="13"/>
  <c r="E332" i="13"/>
  <c r="D332" i="13"/>
  <c r="C332" i="13"/>
  <c r="L331" i="13"/>
  <c r="I331" i="13"/>
  <c r="E331" i="13"/>
  <c r="D331" i="13"/>
  <c r="C331" i="13"/>
  <c r="L330" i="13"/>
  <c r="I330" i="13"/>
  <c r="E330" i="13"/>
  <c r="D330" i="13"/>
  <c r="C330" i="13"/>
  <c r="L329" i="13"/>
  <c r="I329" i="13"/>
  <c r="E329" i="13"/>
  <c r="D329" i="13"/>
  <c r="C329" i="13"/>
  <c r="L328" i="13"/>
  <c r="I328" i="13"/>
  <c r="E328" i="13"/>
  <c r="D328" i="13"/>
  <c r="C328" i="13"/>
  <c r="L327" i="13"/>
  <c r="I327" i="13"/>
  <c r="E327" i="13"/>
  <c r="D327" i="13"/>
  <c r="C327" i="13"/>
  <c r="L326" i="13"/>
  <c r="I326" i="13"/>
  <c r="E326" i="13"/>
  <c r="D326" i="13"/>
  <c r="C326" i="13"/>
  <c r="L325" i="13"/>
  <c r="I325" i="13"/>
  <c r="E325" i="13"/>
  <c r="D325" i="13"/>
  <c r="C325" i="13"/>
  <c r="L324" i="13"/>
  <c r="I324" i="13"/>
  <c r="E324" i="13"/>
  <c r="D324" i="13"/>
  <c r="C324" i="13"/>
  <c r="L323" i="13"/>
  <c r="I323" i="13"/>
  <c r="E323" i="13"/>
  <c r="D323" i="13"/>
  <c r="C323" i="13"/>
  <c r="L322" i="13"/>
  <c r="I322" i="13"/>
  <c r="E322" i="13"/>
  <c r="D322" i="13"/>
  <c r="C322" i="13"/>
  <c r="L321" i="13"/>
  <c r="I321" i="13"/>
  <c r="E321" i="13"/>
  <c r="D321" i="13"/>
  <c r="C321" i="13"/>
  <c r="L320" i="13"/>
  <c r="I320" i="13"/>
  <c r="E320" i="13"/>
  <c r="D320" i="13"/>
  <c r="C320" i="13"/>
  <c r="L319" i="13"/>
  <c r="I319" i="13"/>
  <c r="E319" i="13"/>
  <c r="D319" i="13"/>
  <c r="C319" i="13"/>
  <c r="L318" i="13"/>
  <c r="I318" i="13"/>
  <c r="E318" i="13"/>
  <c r="D318" i="13"/>
  <c r="C318" i="13"/>
  <c r="L317" i="13"/>
  <c r="I317" i="13"/>
  <c r="E317" i="13"/>
  <c r="D317" i="13"/>
  <c r="C317" i="13"/>
  <c r="L316" i="13"/>
  <c r="I316" i="13"/>
  <c r="E316" i="13"/>
  <c r="D316" i="13"/>
  <c r="C316" i="13"/>
  <c r="L315" i="13"/>
  <c r="I315" i="13"/>
  <c r="E315" i="13"/>
  <c r="D315" i="13"/>
  <c r="C315" i="13"/>
  <c r="L314" i="13"/>
  <c r="I314" i="13"/>
  <c r="E314" i="13"/>
  <c r="D314" i="13"/>
  <c r="C314" i="13"/>
  <c r="L313" i="13"/>
  <c r="I313" i="13"/>
  <c r="E313" i="13"/>
  <c r="D313" i="13"/>
  <c r="C313" i="13"/>
  <c r="L312" i="13"/>
  <c r="I312" i="13"/>
  <c r="E312" i="13"/>
  <c r="D312" i="13"/>
  <c r="C312" i="13"/>
  <c r="L310" i="13"/>
  <c r="I310" i="13"/>
  <c r="E310" i="13"/>
  <c r="D310" i="13"/>
  <c r="C310" i="13"/>
  <c r="L309" i="13"/>
  <c r="I309" i="13"/>
  <c r="E309" i="13"/>
  <c r="D309" i="13"/>
  <c r="C309" i="13"/>
  <c r="L308" i="13"/>
  <c r="I308" i="13"/>
  <c r="E308" i="13"/>
  <c r="D308" i="13"/>
  <c r="C308" i="13"/>
  <c r="L307" i="13"/>
  <c r="I307" i="13"/>
  <c r="E307" i="13"/>
  <c r="D307" i="13"/>
  <c r="C307" i="13"/>
  <c r="L306" i="13"/>
  <c r="I306" i="13"/>
  <c r="E306" i="13"/>
  <c r="D306" i="13"/>
  <c r="C306" i="13"/>
  <c r="L305" i="13"/>
  <c r="I305" i="13"/>
  <c r="E305" i="13"/>
  <c r="D305" i="13"/>
  <c r="C305" i="13"/>
  <c r="L304" i="13"/>
  <c r="I304" i="13"/>
  <c r="E304" i="13"/>
  <c r="D304" i="13"/>
  <c r="C304" i="13"/>
  <c r="L303" i="13"/>
  <c r="I303" i="13"/>
  <c r="E303" i="13"/>
  <c r="D303" i="13"/>
  <c r="C303" i="13"/>
  <c r="L302" i="13"/>
  <c r="I302" i="13"/>
  <c r="E302" i="13"/>
  <c r="D302" i="13"/>
  <c r="C302" i="13"/>
  <c r="L301" i="13"/>
  <c r="I301" i="13"/>
  <c r="E301" i="13"/>
  <c r="D301" i="13"/>
  <c r="C301" i="13"/>
  <c r="L300" i="13"/>
  <c r="I300" i="13"/>
  <c r="E300" i="13"/>
  <c r="D300" i="13"/>
  <c r="C300" i="13"/>
  <c r="L299" i="13"/>
  <c r="I299" i="13"/>
  <c r="E299" i="13"/>
  <c r="D299" i="13"/>
  <c r="C299" i="13"/>
  <c r="L298" i="13"/>
  <c r="I298" i="13"/>
  <c r="E298" i="13"/>
  <c r="D298" i="13"/>
  <c r="C298" i="13"/>
  <c r="L297" i="13"/>
  <c r="I297" i="13"/>
  <c r="E297" i="13"/>
  <c r="D297" i="13"/>
  <c r="C297" i="13"/>
  <c r="L296" i="13"/>
  <c r="I296" i="13"/>
  <c r="E296" i="13"/>
  <c r="D296" i="13"/>
  <c r="C296" i="13"/>
  <c r="L295" i="13"/>
  <c r="I295" i="13"/>
  <c r="E295" i="13"/>
  <c r="D295" i="13"/>
  <c r="C295" i="13"/>
  <c r="L294" i="13"/>
  <c r="I294" i="13"/>
  <c r="E294" i="13"/>
  <c r="D294" i="13"/>
  <c r="C294" i="13"/>
  <c r="L293" i="13"/>
  <c r="I293" i="13"/>
  <c r="E293" i="13"/>
  <c r="D293" i="13"/>
  <c r="C293" i="13"/>
  <c r="L292" i="13"/>
  <c r="I292" i="13"/>
  <c r="E292" i="13"/>
  <c r="D292" i="13"/>
  <c r="C292" i="13"/>
  <c r="L291" i="13"/>
  <c r="I291" i="13"/>
  <c r="E291" i="13"/>
  <c r="D291" i="13"/>
  <c r="C291" i="13"/>
  <c r="L290" i="13"/>
  <c r="I290" i="13"/>
  <c r="E290" i="13"/>
  <c r="D290" i="13"/>
  <c r="C290" i="13"/>
  <c r="L289" i="13"/>
  <c r="I289" i="13"/>
  <c r="E289" i="13"/>
  <c r="D289" i="13"/>
  <c r="C289" i="13"/>
  <c r="L288" i="13"/>
  <c r="I288" i="13"/>
  <c r="E288" i="13"/>
  <c r="D288" i="13"/>
  <c r="C288" i="13"/>
  <c r="L287" i="13"/>
  <c r="I287" i="13"/>
  <c r="E287" i="13"/>
  <c r="D287" i="13"/>
  <c r="C287" i="13"/>
  <c r="L286" i="13"/>
  <c r="I286" i="13"/>
  <c r="E286" i="13"/>
  <c r="D286" i="13"/>
  <c r="C286" i="13"/>
  <c r="L285" i="13"/>
  <c r="I285" i="13"/>
  <c r="E285" i="13"/>
  <c r="D285" i="13"/>
  <c r="C285" i="13"/>
  <c r="L284" i="13"/>
  <c r="I284" i="13"/>
  <c r="E284" i="13"/>
  <c r="D284" i="13"/>
  <c r="C284" i="13"/>
  <c r="L283" i="13"/>
  <c r="I283" i="13"/>
  <c r="E283" i="13"/>
  <c r="D283" i="13"/>
  <c r="C283" i="13"/>
  <c r="L282" i="13"/>
  <c r="I282" i="13"/>
  <c r="E282" i="13"/>
  <c r="D282" i="13"/>
  <c r="C282" i="13"/>
  <c r="L281" i="13"/>
  <c r="I281" i="13"/>
  <c r="E281" i="13"/>
  <c r="D281" i="13"/>
  <c r="C281" i="13"/>
  <c r="L280" i="13"/>
  <c r="I280" i="13"/>
  <c r="E280" i="13"/>
  <c r="D280" i="13"/>
  <c r="C280" i="13"/>
  <c r="L279" i="13"/>
  <c r="I279" i="13"/>
  <c r="E279" i="13"/>
  <c r="D279" i="13"/>
  <c r="C279" i="13"/>
  <c r="L278" i="13"/>
  <c r="I278" i="13"/>
  <c r="E278" i="13"/>
  <c r="D278" i="13"/>
  <c r="C278" i="13"/>
  <c r="L277" i="13"/>
  <c r="I277" i="13"/>
  <c r="E277" i="13"/>
  <c r="D277" i="13"/>
  <c r="C277" i="13"/>
  <c r="L276" i="13"/>
  <c r="I276" i="13"/>
  <c r="E276" i="13"/>
  <c r="D276" i="13"/>
  <c r="C276" i="13"/>
  <c r="L275" i="13"/>
  <c r="I275" i="13"/>
  <c r="E275" i="13"/>
  <c r="D275" i="13"/>
  <c r="C275" i="13"/>
  <c r="L274" i="13"/>
  <c r="I274" i="13"/>
  <c r="E274" i="13"/>
  <c r="D274" i="13"/>
  <c r="C274" i="13"/>
  <c r="L273" i="13"/>
  <c r="I273" i="13"/>
  <c r="E273" i="13"/>
  <c r="D273" i="13"/>
  <c r="C273" i="13"/>
  <c r="L272" i="13"/>
  <c r="I272" i="13"/>
  <c r="E272" i="13"/>
  <c r="D272" i="13"/>
  <c r="C272" i="13"/>
  <c r="L271" i="13"/>
  <c r="I271" i="13"/>
  <c r="E271" i="13"/>
  <c r="D271" i="13"/>
  <c r="C271" i="13"/>
  <c r="L270" i="13"/>
  <c r="I270" i="13"/>
  <c r="E270" i="13"/>
  <c r="D270" i="13"/>
  <c r="C270" i="13"/>
  <c r="L269" i="13"/>
  <c r="I269" i="13"/>
  <c r="E269" i="13"/>
  <c r="D269" i="13"/>
  <c r="C269" i="13"/>
  <c r="L268" i="13"/>
  <c r="I268" i="13"/>
  <c r="E268" i="13"/>
  <c r="D268" i="13"/>
  <c r="C268" i="13"/>
  <c r="L267" i="13"/>
  <c r="I267" i="13"/>
  <c r="E267" i="13"/>
  <c r="D267" i="13"/>
  <c r="C267" i="13"/>
  <c r="L266" i="13"/>
  <c r="I266" i="13"/>
  <c r="E266" i="13"/>
  <c r="D266" i="13"/>
  <c r="C266" i="13"/>
  <c r="L265" i="13"/>
  <c r="I265" i="13"/>
  <c r="E265" i="13"/>
  <c r="D265" i="13"/>
  <c r="C265" i="13"/>
  <c r="L264" i="13"/>
  <c r="I264" i="13"/>
  <c r="E264" i="13"/>
  <c r="D264" i="13"/>
  <c r="C264" i="13"/>
  <c r="L263" i="13"/>
  <c r="I263" i="13"/>
  <c r="E263" i="13"/>
  <c r="D263" i="13"/>
  <c r="C263" i="13"/>
  <c r="L262" i="13"/>
  <c r="I262" i="13"/>
  <c r="E262" i="13"/>
  <c r="D262" i="13"/>
  <c r="C262" i="13"/>
  <c r="L261" i="13"/>
  <c r="I261" i="13"/>
  <c r="E261" i="13"/>
  <c r="D261" i="13"/>
  <c r="C261" i="13"/>
  <c r="L260" i="13"/>
  <c r="I260" i="13"/>
  <c r="E260" i="13"/>
  <c r="D260" i="13"/>
  <c r="C260" i="13"/>
  <c r="L259" i="13"/>
  <c r="I259" i="13"/>
  <c r="E259" i="13"/>
  <c r="D259" i="13"/>
  <c r="C259" i="13"/>
  <c r="L258" i="13"/>
  <c r="I258" i="13"/>
  <c r="E258" i="13"/>
  <c r="D258" i="13"/>
  <c r="C258" i="13"/>
  <c r="L257" i="13"/>
  <c r="I257" i="13"/>
  <c r="E257" i="13"/>
  <c r="D257" i="13"/>
  <c r="C257" i="13"/>
  <c r="L256" i="13"/>
  <c r="I256" i="13"/>
  <c r="E256" i="13"/>
  <c r="D256" i="13"/>
  <c r="C256" i="13"/>
  <c r="L255" i="13"/>
  <c r="I255" i="13"/>
  <c r="E255" i="13"/>
  <c r="D255" i="13"/>
  <c r="C255" i="13"/>
  <c r="L254" i="13"/>
  <c r="I254" i="13"/>
  <c r="E254" i="13"/>
  <c r="D254" i="13"/>
  <c r="C254" i="13"/>
  <c r="L253" i="13"/>
  <c r="I253" i="13"/>
  <c r="E253" i="13"/>
  <c r="D253" i="13"/>
  <c r="C253" i="13"/>
  <c r="L252" i="13"/>
  <c r="I252" i="13"/>
  <c r="E252" i="13"/>
  <c r="D252" i="13"/>
  <c r="C252" i="13"/>
  <c r="L251" i="13"/>
  <c r="I251" i="13"/>
  <c r="E251" i="13"/>
  <c r="D251" i="13"/>
  <c r="C251" i="13"/>
  <c r="L250" i="13"/>
  <c r="I250" i="13"/>
  <c r="E250" i="13"/>
  <c r="D250" i="13"/>
  <c r="C250" i="13"/>
  <c r="L249" i="13"/>
  <c r="I249" i="13"/>
  <c r="E249" i="13"/>
  <c r="D249" i="13"/>
  <c r="C249" i="13"/>
  <c r="L248" i="13"/>
  <c r="I248" i="13"/>
  <c r="E248" i="13"/>
  <c r="D248" i="13"/>
  <c r="C248" i="13"/>
  <c r="L247" i="13"/>
  <c r="I247" i="13"/>
  <c r="E247" i="13"/>
  <c r="D247" i="13"/>
  <c r="C247" i="13"/>
  <c r="L246" i="13"/>
  <c r="I246" i="13"/>
  <c r="E246" i="13"/>
  <c r="D246" i="13"/>
  <c r="C246" i="13"/>
  <c r="L245" i="13"/>
  <c r="I245" i="13"/>
  <c r="E245" i="13"/>
  <c r="D245" i="13"/>
  <c r="C245" i="13"/>
  <c r="L244" i="13"/>
  <c r="I244" i="13"/>
  <c r="E244" i="13"/>
  <c r="D244" i="13"/>
  <c r="C244" i="13"/>
  <c r="L243" i="13"/>
  <c r="I243" i="13"/>
  <c r="E243" i="13"/>
  <c r="D243" i="13"/>
  <c r="C243" i="13"/>
  <c r="L242" i="13"/>
  <c r="I242" i="13"/>
  <c r="E242" i="13"/>
  <c r="D242" i="13"/>
  <c r="C242" i="13"/>
  <c r="L241" i="13"/>
  <c r="I241" i="13"/>
  <c r="E241" i="13"/>
  <c r="D241" i="13"/>
  <c r="C241" i="13"/>
  <c r="L240" i="13"/>
  <c r="I240" i="13"/>
  <c r="E240" i="13"/>
  <c r="D240" i="13"/>
  <c r="C240" i="13"/>
  <c r="L239" i="13"/>
  <c r="I239" i="13"/>
  <c r="E239" i="13"/>
  <c r="D239" i="13"/>
  <c r="C239" i="13"/>
  <c r="L238" i="13"/>
  <c r="I238" i="13"/>
  <c r="E238" i="13"/>
  <c r="D238" i="13"/>
  <c r="C238" i="13"/>
  <c r="L237" i="13"/>
  <c r="I237" i="13"/>
  <c r="E237" i="13"/>
  <c r="D237" i="13"/>
  <c r="C237" i="13"/>
  <c r="L236" i="13"/>
  <c r="I236" i="13"/>
  <c r="E236" i="13"/>
  <c r="D236" i="13"/>
  <c r="C236" i="13"/>
  <c r="L235" i="13"/>
  <c r="I235" i="13"/>
  <c r="E235" i="13"/>
  <c r="D235" i="13"/>
  <c r="C235" i="13"/>
  <c r="L234" i="13"/>
  <c r="I234" i="13"/>
  <c r="E234" i="13"/>
  <c r="D234" i="13"/>
  <c r="C234" i="13"/>
  <c r="L233" i="13"/>
  <c r="I233" i="13"/>
  <c r="E233" i="13"/>
  <c r="D233" i="13"/>
  <c r="C233" i="13"/>
  <c r="L232" i="13"/>
  <c r="I232" i="13"/>
  <c r="E232" i="13"/>
  <c r="D232" i="13"/>
  <c r="C232" i="13"/>
  <c r="L231" i="13"/>
  <c r="I231" i="13"/>
  <c r="E231" i="13"/>
  <c r="D231" i="13"/>
  <c r="C231" i="13"/>
  <c r="L230" i="13"/>
  <c r="I230" i="13"/>
  <c r="E230" i="13"/>
  <c r="D230" i="13"/>
  <c r="C230" i="13"/>
  <c r="L229" i="13"/>
  <c r="I229" i="13"/>
  <c r="E229" i="13"/>
  <c r="D229" i="13"/>
  <c r="C229" i="13"/>
  <c r="L228" i="13"/>
  <c r="I228" i="13"/>
  <c r="E228" i="13"/>
  <c r="D228" i="13"/>
  <c r="C228" i="13"/>
  <c r="L227" i="13"/>
  <c r="I227" i="13"/>
  <c r="E227" i="13"/>
  <c r="D227" i="13"/>
  <c r="C227" i="13"/>
  <c r="L226" i="13"/>
  <c r="I226" i="13"/>
  <c r="E226" i="13"/>
  <c r="D226" i="13"/>
  <c r="C226" i="13"/>
  <c r="L225" i="13"/>
  <c r="I225" i="13"/>
  <c r="E225" i="13"/>
  <c r="D225" i="13"/>
  <c r="C225" i="13"/>
  <c r="L224" i="13"/>
  <c r="I224" i="13"/>
  <c r="E224" i="13"/>
  <c r="D224" i="13"/>
  <c r="C224" i="13"/>
  <c r="L223" i="13"/>
  <c r="I223" i="13"/>
  <c r="E223" i="13"/>
  <c r="D223" i="13"/>
  <c r="C223" i="13"/>
  <c r="L222" i="13"/>
  <c r="I222" i="13"/>
  <c r="E222" i="13"/>
  <c r="D222" i="13"/>
  <c r="C222" i="13"/>
  <c r="L221" i="13"/>
  <c r="I221" i="13"/>
  <c r="E221" i="13"/>
  <c r="D221" i="13"/>
  <c r="C221" i="13"/>
  <c r="L220" i="13"/>
  <c r="I220" i="13"/>
  <c r="E220" i="13"/>
  <c r="D220" i="13"/>
  <c r="C220" i="13"/>
  <c r="L219" i="13"/>
  <c r="I219" i="13"/>
  <c r="E219" i="13"/>
  <c r="D219" i="13"/>
  <c r="C219" i="13"/>
  <c r="L218" i="13"/>
  <c r="I218" i="13"/>
  <c r="E218" i="13"/>
  <c r="D218" i="13"/>
  <c r="C218" i="13"/>
  <c r="L217" i="13"/>
  <c r="I217" i="13"/>
  <c r="E217" i="13"/>
  <c r="D217" i="13"/>
  <c r="C217" i="13"/>
  <c r="L216" i="13"/>
  <c r="I216" i="13"/>
  <c r="E216" i="13"/>
  <c r="D216" i="13"/>
  <c r="C216" i="13"/>
  <c r="L215" i="13"/>
  <c r="I215" i="13"/>
  <c r="E215" i="13"/>
  <c r="D215" i="13"/>
  <c r="C215" i="13"/>
  <c r="L214" i="13"/>
  <c r="I214" i="13"/>
  <c r="E214" i="13"/>
  <c r="D214" i="13"/>
  <c r="C214" i="13"/>
  <c r="L213" i="13"/>
  <c r="I213" i="13"/>
  <c r="E213" i="13"/>
  <c r="D213" i="13"/>
  <c r="C213" i="13"/>
  <c r="L212" i="13"/>
  <c r="I212" i="13"/>
  <c r="E212" i="13"/>
  <c r="D212" i="13"/>
  <c r="C212" i="13"/>
  <c r="L211" i="13"/>
  <c r="I211" i="13"/>
  <c r="E211" i="13"/>
  <c r="D211" i="13"/>
  <c r="C211" i="13"/>
  <c r="L210" i="13"/>
  <c r="I210" i="13"/>
  <c r="E210" i="13"/>
  <c r="D210" i="13"/>
  <c r="C210" i="13"/>
  <c r="L209" i="13"/>
  <c r="I209" i="13"/>
  <c r="E209" i="13"/>
  <c r="D209" i="13"/>
  <c r="C209" i="13"/>
  <c r="L208" i="13"/>
  <c r="I208" i="13"/>
  <c r="E208" i="13"/>
  <c r="D208" i="13"/>
  <c r="C208" i="13"/>
  <c r="L207" i="13"/>
  <c r="I207" i="13"/>
  <c r="E207" i="13"/>
  <c r="D207" i="13"/>
  <c r="C207" i="13"/>
  <c r="L206" i="13"/>
  <c r="I206" i="13"/>
  <c r="E206" i="13"/>
  <c r="D206" i="13"/>
  <c r="C206" i="13"/>
  <c r="L205" i="13"/>
  <c r="I205" i="13"/>
  <c r="E205" i="13"/>
  <c r="D205" i="13"/>
  <c r="C205" i="13"/>
  <c r="L204" i="13"/>
  <c r="I204" i="13"/>
  <c r="E204" i="13"/>
  <c r="D204" i="13"/>
  <c r="C204" i="13"/>
  <c r="L203" i="13"/>
  <c r="I203" i="13"/>
  <c r="E203" i="13"/>
  <c r="D203" i="13"/>
  <c r="C203" i="13"/>
  <c r="L202" i="13"/>
  <c r="I202" i="13"/>
  <c r="E202" i="13"/>
  <c r="D202" i="13"/>
  <c r="C202" i="13"/>
  <c r="L201" i="13"/>
  <c r="I201" i="13"/>
  <c r="E201" i="13"/>
  <c r="D201" i="13"/>
  <c r="C201" i="13"/>
  <c r="L200" i="13"/>
  <c r="I200" i="13"/>
  <c r="E200" i="13"/>
  <c r="D200" i="13"/>
  <c r="C200" i="13"/>
  <c r="L199" i="13"/>
  <c r="I199" i="13"/>
  <c r="E199" i="13"/>
  <c r="D199" i="13"/>
  <c r="C199" i="13"/>
  <c r="L198" i="13"/>
  <c r="I198" i="13"/>
  <c r="E198" i="13"/>
  <c r="D198" i="13"/>
  <c r="C198" i="13"/>
  <c r="L197" i="13"/>
  <c r="I197" i="13"/>
  <c r="E197" i="13"/>
  <c r="D197" i="13"/>
  <c r="C197" i="13"/>
  <c r="L196" i="13"/>
  <c r="I196" i="13"/>
  <c r="E196" i="13"/>
  <c r="D196" i="13"/>
  <c r="C196" i="13"/>
  <c r="L195" i="13"/>
  <c r="I195" i="13"/>
  <c r="E195" i="13"/>
  <c r="D195" i="13"/>
  <c r="C195" i="13"/>
  <c r="L194" i="13"/>
  <c r="I194" i="13"/>
  <c r="E194" i="13"/>
  <c r="D194" i="13"/>
  <c r="C194" i="13"/>
  <c r="L193" i="13"/>
  <c r="I193" i="13"/>
  <c r="E193" i="13"/>
  <c r="D193" i="13"/>
  <c r="C193" i="13"/>
  <c r="L192" i="13"/>
  <c r="I192" i="13"/>
  <c r="E192" i="13"/>
  <c r="D192" i="13"/>
  <c r="C192" i="13"/>
  <c r="L191" i="13"/>
  <c r="I191" i="13"/>
  <c r="E191" i="13"/>
  <c r="D191" i="13"/>
  <c r="C191" i="13"/>
  <c r="L190" i="13"/>
  <c r="I190" i="13"/>
  <c r="E190" i="13"/>
  <c r="D190" i="13"/>
  <c r="C190" i="13"/>
  <c r="L189" i="13"/>
  <c r="I189" i="13"/>
  <c r="E189" i="13"/>
  <c r="D189" i="13"/>
  <c r="C189" i="13"/>
  <c r="L188" i="13"/>
  <c r="I188" i="13"/>
  <c r="E188" i="13"/>
  <c r="D188" i="13"/>
  <c r="C188" i="13"/>
  <c r="L187" i="13"/>
  <c r="I187" i="13"/>
  <c r="E187" i="13"/>
  <c r="D187" i="13"/>
  <c r="C187" i="13"/>
  <c r="L186" i="13"/>
  <c r="I186" i="13"/>
  <c r="E186" i="13"/>
  <c r="D186" i="13"/>
  <c r="C186" i="13"/>
  <c r="L185" i="13"/>
  <c r="E185" i="13"/>
  <c r="D185" i="13"/>
  <c r="C185" i="13"/>
  <c r="L184" i="13"/>
  <c r="I184" i="13"/>
  <c r="E184" i="13"/>
  <c r="D184" i="13"/>
  <c r="C184" i="13"/>
  <c r="L183" i="13"/>
  <c r="I183" i="13"/>
  <c r="E183" i="13"/>
  <c r="D183" i="13"/>
  <c r="C183" i="13"/>
  <c r="L182" i="13"/>
  <c r="I182" i="13"/>
  <c r="E182" i="13"/>
  <c r="D182" i="13"/>
  <c r="C182" i="13"/>
  <c r="L181" i="13"/>
  <c r="I181" i="13"/>
  <c r="E181" i="13"/>
  <c r="D181" i="13"/>
  <c r="C181" i="13"/>
  <c r="L180" i="13"/>
  <c r="I180" i="13"/>
  <c r="E180" i="13"/>
  <c r="D180" i="13"/>
  <c r="C180" i="13"/>
  <c r="L179" i="13"/>
  <c r="I179" i="13"/>
  <c r="E179" i="13"/>
  <c r="D179" i="13"/>
  <c r="C179" i="13"/>
  <c r="L178" i="13"/>
  <c r="I178" i="13"/>
  <c r="E178" i="13"/>
  <c r="D178" i="13"/>
  <c r="C178" i="13"/>
  <c r="L177" i="13"/>
  <c r="I177" i="13"/>
  <c r="E177" i="13"/>
  <c r="D177" i="13"/>
  <c r="C177" i="13"/>
  <c r="L176" i="13"/>
  <c r="I176" i="13"/>
  <c r="E176" i="13"/>
  <c r="D176" i="13"/>
  <c r="C176" i="13"/>
  <c r="L175" i="13"/>
  <c r="I175" i="13"/>
  <c r="E175" i="13"/>
  <c r="D175" i="13"/>
  <c r="C175" i="13"/>
  <c r="L174" i="13"/>
  <c r="I174" i="13"/>
  <c r="E174" i="13"/>
  <c r="D174" i="13"/>
  <c r="C174" i="13"/>
  <c r="L173" i="13"/>
  <c r="I173" i="13"/>
  <c r="E173" i="13"/>
  <c r="D173" i="13"/>
  <c r="C173" i="13"/>
  <c r="L172" i="13"/>
  <c r="I172" i="13"/>
  <c r="E172" i="13"/>
  <c r="D172" i="13"/>
  <c r="C172" i="13"/>
  <c r="L171" i="13"/>
  <c r="I171" i="13"/>
  <c r="E171" i="13"/>
  <c r="D171" i="13"/>
  <c r="C171" i="13"/>
  <c r="L170" i="13"/>
  <c r="I170" i="13"/>
  <c r="E170" i="13"/>
  <c r="D170" i="13"/>
  <c r="C170" i="13"/>
  <c r="L169" i="13"/>
  <c r="I169" i="13"/>
  <c r="E169" i="13"/>
  <c r="D169" i="13"/>
  <c r="C169" i="13"/>
  <c r="L168" i="13"/>
  <c r="I168" i="13"/>
  <c r="E168" i="13"/>
  <c r="D168" i="13"/>
  <c r="C168" i="13"/>
  <c r="L167" i="13"/>
  <c r="I167" i="13"/>
  <c r="E167" i="13"/>
  <c r="D167" i="13"/>
  <c r="C167" i="13"/>
  <c r="L166" i="13"/>
  <c r="I166" i="13"/>
  <c r="E166" i="13"/>
  <c r="D166" i="13"/>
  <c r="C166" i="13"/>
  <c r="L165" i="13"/>
  <c r="I165" i="13"/>
  <c r="E165" i="13"/>
  <c r="D165" i="13"/>
  <c r="C165" i="13"/>
  <c r="L164" i="13"/>
  <c r="I164" i="13"/>
  <c r="E164" i="13"/>
  <c r="D164" i="13"/>
  <c r="C164" i="13"/>
  <c r="L163" i="13"/>
  <c r="I163" i="13"/>
  <c r="E163" i="13"/>
  <c r="D163" i="13"/>
  <c r="C163" i="13"/>
  <c r="L162" i="13"/>
  <c r="I162" i="13"/>
  <c r="E162" i="13"/>
  <c r="D162" i="13"/>
  <c r="C162" i="13"/>
  <c r="L161" i="13"/>
  <c r="I161" i="13"/>
  <c r="E161" i="13"/>
  <c r="D161" i="13"/>
  <c r="C161" i="13"/>
  <c r="L160" i="13"/>
  <c r="I160" i="13"/>
  <c r="E160" i="13"/>
  <c r="D160" i="13"/>
  <c r="C160" i="13"/>
  <c r="L159" i="13"/>
  <c r="I159" i="13"/>
  <c r="E159" i="13"/>
  <c r="D159" i="13"/>
  <c r="C159" i="13"/>
  <c r="L158" i="13"/>
  <c r="I158" i="13"/>
  <c r="E158" i="13"/>
  <c r="D158" i="13"/>
  <c r="C158" i="13"/>
  <c r="L157" i="13"/>
  <c r="I157" i="13"/>
  <c r="E157" i="13"/>
  <c r="D157" i="13"/>
  <c r="C157" i="13"/>
  <c r="L156" i="13"/>
  <c r="I156" i="13"/>
  <c r="E156" i="13"/>
  <c r="D156" i="13"/>
  <c r="C156" i="13"/>
  <c r="E155" i="13"/>
  <c r="D155" i="13"/>
  <c r="C155" i="13"/>
  <c r="E154" i="13"/>
  <c r="D154" i="13"/>
  <c r="C154" i="13"/>
  <c r="E153" i="13"/>
  <c r="D153" i="13"/>
  <c r="C153" i="13"/>
  <c r="E152" i="13"/>
  <c r="D152" i="13"/>
  <c r="C152" i="13"/>
  <c r="E151" i="13"/>
  <c r="D151" i="13"/>
  <c r="C151" i="13"/>
  <c r="E150" i="13"/>
  <c r="D150" i="13"/>
  <c r="C150" i="13"/>
  <c r="L149" i="13"/>
  <c r="I149" i="13"/>
  <c r="E149" i="13"/>
  <c r="D149" i="13"/>
  <c r="C149" i="13"/>
  <c r="L148" i="13"/>
  <c r="I148" i="13"/>
  <c r="E148" i="13"/>
  <c r="D148" i="13"/>
  <c r="C148" i="13"/>
  <c r="L147" i="13"/>
  <c r="I147" i="13"/>
  <c r="E147" i="13"/>
  <c r="D147" i="13"/>
  <c r="C147" i="13"/>
  <c r="L146" i="13"/>
  <c r="I146" i="13"/>
  <c r="E146" i="13"/>
  <c r="D146" i="13"/>
  <c r="C146" i="13"/>
  <c r="L145" i="13"/>
  <c r="I145" i="13"/>
  <c r="E145" i="13"/>
  <c r="D145" i="13"/>
  <c r="C145" i="13"/>
  <c r="L144" i="13"/>
  <c r="I144" i="13"/>
  <c r="E144" i="13"/>
  <c r="D144" i="13"/>
  <c r="C144" i="13"/>
  <c r="L143" i="13"/>
  <c r="I143" i="13"/>
  <c r="E143" i="13"/>
  <c r="D143" i="13"/>
  <c r="C143" i="13"/>
  <c r="L142" i="13"/>
  <c r="I142" i="13"/>
  <c r="E142" i="13"/>
  <c r="D142" i="13"/>
  <c r="C142" i="13"/>
  <c r="L141" i="13"/>
  <c r="I141" i="13"/>
  <c r="E141" i="13"/>
  <c r="D141" i="13"/>
  <c r="C141" i="13"/>
  <c r="L140" i="13"/>
  <c r="I140" i="13"/>
  <c r="E140" i="13"/>
  <c r="D140" i="13"/>
  <c r="C140" i="13"/>
  <c r="L139" i="13"/>
  <c r="I139" i="13"/>
  <c r="E139" i="13"/>
  <c r="D139" i="13"/>
  <c r="C139" i="13"/>
  <c r="L138" i="13"/>
  <c r="I138" i="13"/>
  <c r="E138" i="13"/>
  <c r="D138" i="13"/>
  <c r="C138" i="13"/>
  <c r="L137" i="13"/>
  <c r="I137" i="13"/>
  <c r="E137" i="13"/>
  <c r="D137" i="13"/>
  <c r="C137" i="13"/>
  <c r="L136" i="13"/>
  <c r="I136" i="13"/>
  <c r="E136" i="13"/>
  <c r="D136" i="13"/>
  <c r="C136" i="13"/>
  <c r="L135" i="13"/>
  <c r="I135" i="13"/>
  <c r="E135" i="13"/>
  <c r="D135" i="13"/>
  <c r="C135" i="13"/>
  <c r="L134" i="13"/>
  <c r="I134" i="13"/>
  <c r="E134" i="13"/>
  <c r="D134" i="13"/>
  <c r="C134" i="13"/>
  <c r="L133" i="13"/>
  <c r="I133" i="13"/>
  <c r="E133" i="13"/>
  <c r="D133" i="13"/>
  <c r="C133" i="13"/>
  <c r="L132" i="13"/>
  <c r="I132" i="13"/>
  <c r="E132" i="13"/>
  <c r="D132" i="13"/>
  <c r="C132" i="13"/>
  <c r="L131" i="13"/>
  <c r="I131" i="13"/>
  <c r="E131" i="13"/>
  <c r="D131" i="13"/>
  <c r="C131" i="13"/>
  <c r="L130" i="13"/>
  <c r="I130" i="13"/>
  <c r="E130" i="13"/>
  <c r="D130" i="13"/>
  <c r="C130" i="13"/>
  <c r="L129" i="13"/>
  <c r="I129" i="13"/>
  <c r="E129" i="13"/>
  <c r="D129" i="13"/>
  <c r="C129" i="13"/>
  <c r="L128" i="13"/>
  <c r="I128" i="13"/>
  <c r="E128" i="13"/>
  <c r="D128" i="13"/>
  <c r="C128" i="13"/>
  <c r="L127" i="13"/>
  <c r="I127" i="13"/>
  <c r="E127" i="13"/>
  <c r="D127" i="13"/>
  <c r="C127" i="13"/>
  <c r="L126" i="13"/>
  <c r="I126" i="13"/>
  <c r="E126" i="13"/>
  <c r="D126" i="13"/>
  <c r="C126" i="13"/>
  <c r="L125" i="13"/>
  <c r="I125" i="13"/>
  <c r="E125" i="13"/>
  <c r="D125" i="13"/>
  <c r="C125" i="13"/>
  <c r="L124" i="13"/>
  <c r="I124" i="13"/>
  <c r="E124" i="13"/>
  <c r="D124" i="13"/>
  <c r="C124" i="13"/>
  <c r="L123" i="13"/>
  <c r="I123" i="13"/>
  <c r="E123" i="13"/>
  <c r="D123" i="13"/>
  <c r="C123" i="13"/>
  <c r="L122" i="13"/>
  <c r="I122" i="13"/>
  <c r="E122" i="13"/>
  <c r="D122" i="13"/>
  <c r="C122" i="13"/>
  <c r="L121" i="13"/>
  <c r="I121" i="13"/>
  <c r="E121" i="13"/>
  <c r="D121" i="13"/>
  <c r="C121" i="13"/>
  <c r="L120" i="13"/>
  <c r="I120" i="13"/>
  <c r="E120" i="13"/>
  <c r="D120" i="13"/>
  <c r="C120" i="13"/>
  <c r="L119" i="13"/>
  <c r="I119" i="13"/>
  <c r="E119" i="13"/>
  <c r="D119" i="13"/>
  <c r="C119" i="13"/>
  <c r="L118" i="13"/>
  <c r="I118" i="13"/>
  <c r="E118" i="13"/>
  <c r="D118" i="13"/>
  <c r="C118" i="13"/>
  <c r="L117" i="13"/>
  <c r="I117" i="13"/>
  <c r="E117" i="13"/>
  <c r="D117" i="13"/>
  <c r="C117" i="13"/>
  <c r="L116" i="13"/>
  <c r="I116" i="13"/>
  <c r="E116" i="13"/>
  <c r="D116" i="13"/>
  <c r="C116" i="13"/>
  <c r="L115" i="13"/>
  <c r="I115" i="13"/>
  <c r="E115" i="13"/>
  <c r="D115" i="13"/>
  <c r="C115" i="13"/>
  <c r="L114" i="13"/>
  <c r="I114" i="13"/>
  <c r="E114" i="13"/>
  <c r="D114" i="13"/>
  <c r="C114" i="13"/>
  <c r="L113" i="13"/>
  <c r="I113" i="13"/>
  <c r="E113" i="13"/>
  <c r="D113" i="13"/>
  <c r="C113" i="13"/>
  <c r="L112" i="13"/>
  <c r="I112" i="13"/>
  <c r="E112" i="13"/>
  <c r="D112" i="13"/>
  <c r="C112" i="13"/>
  <c r="L111" i="13"/>
  <c r="I111" i="13"/>
  <c r="E111" i="13"/>
  <c r="D111" i="13"/>
  <c r="C111" i="13"/>
  <c r="L110" i="13"/>
  <c r="I110" i="13"/>
  <c r="E110" i="13"/>
  <c r="D110" i="13"/>
  <c r="C110" i="13"/>
  <c r="L109" i="13"/>
  <c r="I109" i="13"/>
  <c r="E109" i="13"/>
  <c r="D109" i="13"/>
  <c r="C109" i="13"/>
  <c r="L108" i="13"/>
  <c r="I108" i="13"/>
  <c r="E108" i="13"/>
  <c r="D108" i="13"/>
  <c r="C108" i="13"/>
  <c r="L107" i="13"/>
  <c r="I107" i="13"/>
  <c r="E107" i="13"/>
  <c r="D107" i="13"/>
  <c r="C107" i="13"/>
  <c r="L106" i="13"/>
  <c r="I106" i="13"/>
  <c r="E106" i="13"/>
  <c r="D106" i="13"/>
  <c r="C106" i="13"/>
  <c r="L105" i="13"/>
  <c r="I105" i="13"/>
  <c r="E105" i="13"/>
  <c r="D105" i="13"/>
  <c r="C105" i="13"/>
  <c r="L104" i="13"/>
  <c r="I104" i="13"/>
  <c r="E104" i="13"/>
  <c r="D104" i="13"/>
  <c r="C104" i="13"/>
  <c r="L103" i="13"/>
  <c r="I103" i="13"/>
  <c r="E103" i="13"/>
  <c r="D103" i="13"/>
  <c r="C103" i="13"/>
  <c r="L102" i="13"/>
  <c r="I102" i="13"/>
  <c r="E102" i="13"/>
  <c r="D102" i="13"/>
  <c r="C102" i="13"/>
  <c r="L101" i="13"/>
  <c r="I101" i="13"/>
  <c r="E101" i="13"/>
  <c r="D101" i="13"/>
  <c r="C101" i="13"/>
  <c r="L100" i="13"/>
  <c r="I100" i="13"/>
  <c r="E100" i="13"/>
  <c r="D100" i="13"/>
  <c r="C100" i="13"/>
  <c r="L99" i="13"/>
  <c r="I99" i="13"/>
  <c r="E99" i="13"/>
  <c r="D99" i="13"/>
  <c r="C99" i="13"/>
  <c r="L98" i="13"/>
  <c r="I98" i="13"/>
  <c r="E98" i="13"/>
  <c r="D98" i="13"/>
  <c r="C98" i="13"/>
  <c r="L97" i="13"/>
  <c r="I97" i="13"/>
  <c r="E97" i="13"/>
  <c r="D97" i="13"/>
  <c r="C97" i="13"/>
  <c r="L96" i="13"/>
  <c r="I96" i="13"/>
  <c r="E96" i="13"/>
  <c r="D96" i="13"/>
  <c r="C96" i="13"/>
  <c r="L95" i="13"/>
  <c r="I95" i="13"/>
  <c r="E95" i="13"/>
  <c r="D95" i="13"/>
  <c r="C95" i="13"/>
  <c r="L94" i="13"/>
  <c r="I94" i="13"/>
  <c r="E94" i="13"/>
  <c r="D94" i="13"/>
  <c r="C94" i="13"/>
  <c r="L93" i="13"/>
  <c r="I93" i="13"/>
  <c r="E93" i="13"/>
  <c r="D93" i="13"/>
  <c r="C93" i="13"/>
  <c r="L92" i="13"/>
  <c r="I92" i="13"/>
  <c r="E92" i="13"/>
  <c r="D92" i="13"/>
  <c r="C92" i="13"/>
  <c r="L91" i="13"/>
  <c r="I91" i="13"/>
  <c r="E91" i="13"/>
  <c r="D91" i="13"/>
  <c r="C91" i="13"/>
  <c r="L90" i="13"/>
  <c r="I90" i="13"/>
  <c r="E90" i="13"/>
  <c r="D90" i="13"/>
  <c r="C90" i="13"/>
  <c r="L89" i="13"/>
  <c r="I89" i="13"/>
  <c r="E89" i="13"/>
  <c r="D89" i="13"/>
  <c r="C89" i="13"/>
  <c r="L88" i="13"/>
  <c r="I88" i="13"/>
  <c r="E88" i="13"/>
  <c r="D88" i="13"/>
  <c r="C88" i="13"/>
  <c r="L87" i="13"/>
  <c r="I87" i="13"/>
  <c r="E87" i="13"/>
  <c r="D87" i="13"/>
  <c r="C87" i="13"/>
  <c r="L86" i="13"/>
  <c r="I86" i="13"/>
  <c r="E86" i="13"/>
  <c r="D86" i="13"/>
  <c r="C86" i="13"/>
  <c r="L85" i="13"/>
  <c r="I85" i="13"/>
  <c r="E85" i="13"/>
  <c r="D85" i="13"/>
  <c r="C85" i="13"/>
  <c r="L84" i="13"/>
  <c r="I84" i="13"/>
  <c r="E84" i="13"/>
  <c r="D84" i="13"/>
  <c r="C84" i="13"/>
  <c r="L83" i="13"/>
  <c r="I83" i="13"/>
  <c r="E83" i="13"/>
  <c r="D83" i="13"/>
  <c r="C83" i="13"/>
  <c r="L82" i="13"/>
  <c r="I82" i="13"/>
  <c r="E82" i="13"/>
  <c r="D82" i="13"/>
  <c r="C82" i="13"/>
  <c r="L81" i="13"/>
  <c r="I81" i="13"/>
  <c r="E81" i="13"/>
  <c r="D81" i="13"/>
  <c r="C81" i="13"/>
  <c r="L80" i="13"/>
  <c r="I80" i="13"/>
  <c r="E80" i="13"/>
  <c r="D80" i="13"/>
  <c r="C80" i="13"/>
  <c r="L79" i="13"/>
  <c r="I79" i="13"/>
  <c r="E79" i="13"/>
  <c r="D79" i="13"/>
  <c r="C79" i="13"/>
  <c r="L78" i="13"/>
  <c r="I78" i="13"/>
  <c r="E78" i="13"/>
  <c r="D78" i="13"/>
  <c r="C78" i="13"/>
  <c r="L77" i="13"/>
  <c r="I77" i="13"/>
  <c r="E77" i="13"/>
  <c r="D77" i="13"/>
  <c r="C77" i="13"/>
  <c r="L76" i="13"/>
  <c r="I76" i="13"/>
  <c r="E76" i="13"/>
  <c r="D76" i="13"/>
  <c r="C76" i="13"/>
  <c r="L75" i="13"/>
  <c r="I75" i="13"/>
  <c r="E75" i="13"/>
  <c r="D75" i="13"/>
  <c r="C75" i="13"/>
  <c r="L74" i="13"/>
  <c r="I74" i="13"/>
  <c r="E74" i="13"/>
  <c r="D74" i="13"/>
  <c r="C74" i="13"/>
  <c r="L73" i="13"/>
  <c r="I73" i="13"/>
  <c r="E73" i="13"/>
  <c r="D73" i="13"/>
  <c r="C73" i="13"/>
  <c r="L72" i="13"/>
  <c r="I72" i="13"/>
  <c r="E72" i="13"/>
  <c r="D72" i="13"/>
  <c r="C72" i="13"/>
  <c r="L71" i="13"/>
  <c r="I71" i="13"/>
  <c r="E71" i="13"/>
  <c r="D71" i="13"/>
  <c r="C71" i="13"/>
  <c r="L70" i="13"/>
  <c r="I70" i="13"/>
  <c r="E70" i="13"/>
  <c r="D70" i="13"/>
  <c r="C70" i="13"/>
  <c r="L69" i="13"/>
  <c r="I69" i="13"/>
  <c r="E69" i="13"/>
  <c r="D69" i="13"/>
  <c r="C69" i="13"/>
  <c r="L68" i="13"/>
  <c r="I68" i="13"/>
  <c r="E68" i="13"/>
  <c r="D68" i="13"/>
  <c r="C68" i="13"/>
  <c r="L67" i="13"/>
  <c r="I67" i="13"/>
  <c r="E67" i="13"/>
  <c r="D67" i="13"/>
  <c r="C67" i="13"/>
  <c r="L66" i="13"/>
  <c r="I66" i="13"/>
  <c r="E66" i="13"/>
  <c r="D66" i="13"/>
  <c r="C66" i="13"/>
  <c r="L65" i="13"/>
  <c r="I65" i="13"/>
  <c r="E65" i="13"/>
  <c r="D65" i="13"/>
  <c r="C65" i="13"/>
  <c r="L64" i="13"/>
  <c r="I64" i="13"/>
  <c r="E64" i="13"/>
  <c r="D64" i="13"/>
  <c r="C64" i="13"/>
  <c r="L63" i="13"/>
  <c r="I63" i="13"/>
  <c r="E63" i="13"/>
  <c r="D63" i="13"/>
  <c r="C63" i="13"/>
  <c r="L62" i="13"/>
  <c r="I62" i="13"/>
  <c r="E62" i="13"/>
  <c r="D62" i="13"/>
  <c r="C62" i="13"/>
  <c r="L61" i="13"/>
  <c r="I61" i="13"/>
  <c r="E61" i="13"/>
  <c r="D61" i="13"/>
  <c r="C61" i="13"/>
  <c r="L60" i="13"/>
  <c r="I60" i="13"/>
  <c r="E60" i="13"/>
  <c r="D60" i="13"/>
  <c r="C60" i="13"/>
  <c r="L59" i="13"/>
  <c r="I59" i="13"/>
  <c r="E59" i="13"/>
  <c r="D59" i="13"/>
  <c r="C59" i="13"/>
  <c r="L58" i="13"/>
  <c r="I58" i="13"/>
  <c r="E58" i="13"/>
  <c r="D58" i="13"/>
  <c r="C58" i="13"/>
  <c r="L57" i="13"/>
  <c r="I57" i="13"/>
  <c r="E57" i="13"/>
  <c r="D57" i="13"/>
  <c r="C57" i="13"/>
  <c r="L56" i="13"/>
  <c r="I56" i="13"/>
  <c r="E56" i="13"/>
  <c r="D56" i="13"/>
  <c r="C56" i="13"/>
  <c r="L55" i="13"/>
  <c r="I55" i="13"/>
  <c r="E55" i="13"/>
  <c r="D55" i="13"/>
  <c r="C55" i="13"/>
  <c r="L54" i="13"/>
  <c r="I54" i="13"/>
  <c r="E54" i="13"/>
  <c r="D54" i="13"/>
  <c r="C54" i="13"/>
  <c r="L53" i="13"/>
  <c r="I53" i="13"/>
  <c r="E53" i="13"/>
  <c r="D53" i="13"/>
  <c r="C53" i="13"/>
  <c r="L52" i="13"/>
  <c r="I52" i="13"/>
  <c r="E52" i="13"/>
  <c r="D52" i="13"/>
  <c r="C52" i="13"/>
  <c r="L51" i="13"/>
  <c r="I51" i="13"/>
  <c r="E51" i="13"/>
  <c r="D51" i="13"/>
  <c r="C51" i="13"/>
  <c r="L50" i="13"/>
  <c r="I50" i="13"/>
  <c r="E50" i="13"/>
  <c r="D50" i="13"/>
  <c r="C50" i="13"/>
  <c r="L49" i="13"/>
  <c r="I49" i="13"/>
  <c r="E49" i="13"/>
  <c r="D49" i="13"/>
  <c r="C49" i="13"/>
  <c r="L48" i="13"/>
  <c r="I48" i="13"/>
  <c r="E48" i="13"/>
  <c r="D48" i="13"/>
  <c r="C48" i="13"/>
  <c r="L47" i="13"/>
  <c r="I47" i="13"/>
  <c r="E47" i="13"/>
  <c r="D47" i="13"/>
  <c r="C47" i="13"/>
  <c r="L46" i="13"/>
  <c r="I46" i="13"/>
  <c r="E46" i="13"/>
  <c r="D46" i="13"/>
  <c r="C46" i="13"/>
  <c r="L45" i="13"/>
  <c r="I45" i="13"/>
  <c r="E45" i="13"/>
  <c r="D45" i="13"/>
  <c r="C45" i="13"/>
  <c r="L44" i="13"/>
  <c r="I44" i="13"/>
  <c r="E44" i="13"/>
  <c r="D44" i="13"/>
  <c r="C44" i="13"/>
  <c r="L43" i="13"/>
  <c r="I43" i="13"/>
  <c r="E43" i="13"/>
  <c r="D43" i="13"/>
  <c r="C43" i="13"/>
  <c r="L42" i="13"/>
  <c r="I42" i="13"/>
  <c r="E42" i="13"/>
  <c r="D42" i="13"/>
  <c r="C42" i="13"/>
  <c r="L41" i="13"/>
  <c r="I41" i="13"/>
  <c r="E41" i="13"/>
  <c r="D41" i="13"/>
  <c r="C41" i="13"/>
  <c r="L40" i="13"/>
  <c r="I40" i="13"/>
  <c r="E40" i="13"/>
  <c r="D40" i="13"/>
  <c r="C40" i="13"/>
  <c r="L39" i="13"/>
  <c r="I39" i="13"/>
  <c r="E39" i="13"/>
  <c r="D39" i="13"/>
  <c r="C39" i="13"/>
  <c r="L38" i="13"/>
  <c r="I38" i="13"/>
  <c r="E38" i="13"/>
  <c r="D38" i="13"/>
  <c r="C38" i="13"/>
  <c r="L37" i="13"/>
  <c r="I37" i="13"/>
  <c r="E37" i="13"/>
  <c r="D37" i="13"/>
  <c r="C37" i="13"/>
  <c r="L36" i="13"/>
  <c r="I36" i="13"/>
  <c r="E36" i="13"/>
  <c r="D36" i="13"/>
  <c r="C36" i="13"/>
  <c r="L35" i="13"/>
  <c r="I35" i="13"/>
  <c r="E35" i="13"/>
  <c r="D35" i="13"/>
  <c r="C35" i="13"/>
  <c r="L34" i="13"/>
  <c r="I34" i="13"/>
  <c r="E34" i="13"/>
  <c r="D34" i="13"/>
  <c r="C34" i="13"/>
  <c r="L33" i="13"/>
  <c r="I33" i="13"/>
  <c r="E33" i="13"/>
  <c r="D33" i="13"/>
  <c r="C33" i="13"/>
  <c r="L32" i="13"/>
  <c r="I32" i="13"/>
  <c r="E32" i="13"/>
  <c r="D32" i="13"/>
  <c r="C32" i="13"/>
  <c r="L31" i="13"/>
  <c r="I31" i="13"/>
  <c r="E31" i="13"/>
  <c r="D31" i="13"/>
  <c r="C31" i="13"/>
  <c r="L30" i="13"/>
  <c r="I30" i="13"/>
  <c r="E30" i="13"/>
  <c r="D30" i="13"/>
  <c r="C30" i="13"/>
  <c r="L29" i="13"/>
  <c r="I29" i="13"/>
  <c r="E29" i="13"/>
  <c r="D29" i="13"/>
  <c r="C29" i="13"/>
  <c r="L28" i="13"/>
  <c r="I28" i="13"/>
  <c r="E28" i="13"/>
  <c r="D28" i="13"/>
  <c r="C28" i="13"/>
  <c r="L27" i="13"/>
  <c r="I27" i="13"/>
  <c r="E27" i="13"/>
  <c r="D27" i="13"/>
  <c r="C27" i="13"/>
  <c r="L26" i="13"/>
  <c r="I26" i="13"/>
  <c r="E26" i="13"/>
  <c r="D26" i="13"/>
  <c r="C26" i="13"/>
  <c r="L25" i="13"/>
  <c r="I25" i="13"/>
  <c r="E25" i="13"/>
  <c r="D25" i="13"/>
  <c r="C25" i="13"/>
  <c r="L24" i="13"/>
  <c r="I24" i="13"/>
  <c r="E24" i="13"/>
  <c r="D24" i="13"/>
  <c r="C24" i="13"/>
  <c r="L23" i="13"/>
  <c r="I23" i="13"/>
  <c r="E23" i="13"/>
  <c r="D23" i="13"/>
  <c r="C23" i="13"/>
  <c r="L22" i="13"/>
  <c r="E22" i="13"/>
  <c r="D22" i="13"/>
  <c r="C22" i="13"/>
  <c r="L21" i="13"/>
  <c r="E21" i="13"/>
  <c r="D21" i="13"/>
  <c r="C21" i="13"/>
  <c r="L20" i="13"/>
  <c r="E20" i="13"/>
  <c r="D20" i="13"/>
  <c r="C20" i="13"/>
  <c r="L19" i="13"/>
  <c r="E19" i="13"/>
  <c r="D19" i="13"/>
  <c r="C19" i="13"/>
  <c r="L18" i="13"/>
  <c r="I18" i="13"/>
  <c r="E18" i="13"/>
  <c r="D18" i="13"/>
  <c r="C18" i="13"/>
  <c r="L17" i="13"/>
  <c r="I17" i="13"/>
  <c r="E17" i="13"/>
  <c r="D17" i="13"/>
  <c r="C17" i="13"/>
  <c r="L16" i="13"/>
  <c r="I16" i="13"/>
  <c r="E16" i="13"/>
  <c r="D16" i="13"/>
  <c r="C16" i="13"/>
  <c r="L15" i="13"/>
  <c r="I15" i="13"/>
  <c r="E15" i="13"/>
  <c r="D15" i="13"/>
  <c r="C15" i="13"/>
  <c r="L14" i="13"/>
  <c r="I14" i="13"/>
  <c r="E14" i="13"/>
  <c r="D14" i="13"/>
  <c r="C14" i="13"/>
  <c r="L13" i="13"/>
  <c r="I13" i="13"/>
  <c r="E13" i="13"/>
  <c r="D13" i="13"/>
  <c r="C13" i="13"/>
  <c r="L12" i="13"/>
  <c r="I12" i="13"/>
  <c r="E12" i="13"/>
  <c r="D12" i="13"/>
  <c r="C12" i="13"/>
  <c r="L11" i="13"/>
  <c r="I11" i="13"/>
  <c r="E11" i="13"/>
  <c r="D11" i="13"/>
  <c r="C11" i="13"/>
  <c r="L10" i="13"/>
  <c r="I10" i="13"/>
  <c r="E10" i="13"/>
  <c r="D10" i="13"/>
  <c r="C10" i="13"/>
  <c r="L9" i="13"/>
  <c r="I9" i="13"/>
  <c r="E9" i="13"/>
  <c r="D9" i="13"/>
  <c r="C9" i="13"/>
  <c r="L8" i="13"/>
  <c r="I8" i="13"/>
  <c r="E8" i="13"/>
  <c r="D8" i="13"/>
  <c r="C8" i="13"/>
  <c r="L7" i="13"/>
  <c r="I7" i="13"/>
  <c r="E7" i="13"/>
  <c r="D7" i="13"/>
  <c r="C7" i="13"/>
  <c r="L6" i="13"/>
  <c r="I6" i="13"/>
  <c r="E6" i="13"/>
  <c r="D6" i="13"/>
  <c r="C6" i="13"/>
  <c r="L365" i="12"/>
  <c r="I365" i="12"/>
  <c r="E365" i="12"/>
  <c r="D365" i="12"/>
  <c r="C365" i="12"/>
  <c r="L364" i="12"/>
  <c r="I364" i="12"/>
  <c r="E364" i="12"/>
  <c r="D364" i="12"/>
  <c r="C364" i="12"/>
  <c r="L363" i="12"/>
  <c r="I363" i="12"/>
  <c r="E363" i="12"/>
  <c r="D363" i="12"/>
  <c r="C363" i="12"/>
  <c r="L362" i="12"/>
  <c r="I362" i="12"/>
  <c r="E362" i="12"/>
  <c r="D362" i="12"/>
  <c r="C362" i="12"/>
  <c r="L361" i="12"/>
  <c r="I361" i="12"/>
  <c r="E361" i="12"/>
  <c r="D361" i="12"/>
  <c r="C361" i="12"/>
  <c r="L360" i="12"/>
  <c r="I360" i="12"/>
  <c r="E360" i="12"/>
  <c r="D360" i="12"/>
  <c r="C360" i="12"/>
  <c r="L359" i="12"/>
  <c r="I359" i="12"/>
  <c r="E359" i="12"/>
  <c r="D359" i="12"/>
  <c r="C359" i="12"/>
  <c r="L358" i="12"/>
  <c r="I358" i="12"/>
  <c r="E358" i="12"/>
  <c r="D358" i="12"/>
  <c r="C358" i="12"/>
  <c r="L357" i="12"/>
  <c r="I357" i="12"/>
  <c r="E357" i="12"/>
  <c r="D357" i="12"/>
  <c r="C357" i="12"/>
  <c r="L356" i="12"/>
  <c r="I356" i="12"/>
  <c r="E356" i="12"/>
  <c r="D356" i="12"/>
  <c r="C356" i="12"/>
  <c r="L355" i="12"/>
  <c r="I355" i="12"/>
  <c r="E355" i="12"/>
  <c r="D355" i="12"/>
  <c r="C355" i="12"/>
  <c r="L354" i="12"/>
  <c r="I354" i="12"/>
  <c r="E354" i="12"/>
  <c r="D354" i="12"/>
  <c r="C354" i="12"/>
  <c r="L353" i="12"/>
  <c r="I353" i="12"/>
  <c r="E353" i="12"/>
  <c r="D353" i="12"/>
  <c r="C353" i="12"/>
  <c r="L352" i="12"/>
  <c r="I352" i="12"/>
  <c r="E352" i="12"/>
  <c r="D352" i="12"/>
  <c r="C352" i="12"/>
  <c r="L351" i="12"/>
  <c r="I351" i="12"/>
  <c r="E351" i="12"/>
  <c r="D351" i="12"/>
  <c r="C351" i="12"/>
  <c r="L350" i="12"/>
  <c r="I350" i="12"/>
  <c r="E350" i="12"/>
  <c r="D350" i="12"/>
  <c r="C350" i="12"/>
  <c r="L349" i="12"/>
  <c r="I349" i="12"/>
  <c r="E349" i="12"/>
  <c r="D349" i="12"/>
  <c r="C349" i="12"/>
  <c r="L348" i="12"/>
  <c r="I348" i="12"/>
  <c r="E348" i="12"/>
  <c r="D348" i="12"/>
  <c r="C348" i="12"/>
  <c r="L347" i="12"/>
  <c r="I347" i="12"/>
  <c r="E347" i="12"/>
  <c r="D347" i="12"/>
  <c r="C347" i="12"/>
  <c r="L346" i="12"/>
  <c r="I346" i="12"/>
  <c r="E346" i="12"/>
  <c r="D346" i="12"/>
  <c r="C346" i="12"/>
  <c r="L345" i="12"/>
  <c r="I345" i="12"/>
  <c r="E345" i="12"/>
  <c r="D345" i="12"/>
  <c r="C345" i="12"/>
  <c r="L344" i="12"/>
  <c r="I344" i="12"/>
  <c r="E344" i="12"/>
  <c r="D344" i="12"/>
  <c r="C344" i="12"/>
  <c r="L343" i="12"/>
  <c r="I343" i="12"/>
  <c r="E343" i="12"/>
  <c r="D343" i="12"/>
  <c r="C343" i="12"/>
  <c r="L342" i="12"/>
  <c r="I342" i="12"/>
  <c r="E342" i="12"/>
  <c r="D342" i="12"/>
  <c r="C342" i="12"/>
  <c r="L341" i="12"/>
  <c r="I341" i="12"/>
  <c r="E341" i="12"/>
  <c r="D341" i="12"/>
  <c r="C341" i="12"/>
  <c r="L340" i="12"/>
  <c r="I340" i="12"/>
  <c r="E340" i="12"/>
  <c r="D340" i="12"/>
  <c r="C340" i="12"/>
  <c r="L339" i="12"/>
  <c r="I339" i="12"/>
  <c r="E339" i="12"/>
  <c r="D339" i="12"/>
  <c r="C339" i="12"/>
  <c r="L338" i="12"/>
  <c r="I338" i="12"/>
  <c r="E338" i="12"/>
  <c r="D338" i="12"/>
  <c r="C338" i="12"/>
  <c r="L337" i="12"/>
  <c r="I337" i="12"/>
  <c r="E337" i="12"/>
  <c r="D337" i="12"/>
  <c r="C337" i="12"/>
  <c r="L336" i="12"/>
  <c r="I336" i="12"/>
  <c r="E336" i="12"/>
  <c r="D336" i="12"/>
  <c r="C336" i="12"/>
  <c r="L335" i="12"/>
  <c r="I335" i="12"/>
  <c r="E335" i="12"/>
  <c r="D335" i="12"/>
  <c r="C335" i="12"/>
  <c r="L334" i="12"/>
  <c r="I334" i="12"/>
  <c r="E334" i="12"/>
  <c r="D334" i="12"/>
  <c r="C334" i="12"/>
  <c r="L333" i="12"/>
  <c r="I333" i="12"/>
  <c r="E333" i="12"/>
  <c r="D333" i="12"/>
  <c r="C333" i="12"/>
  <c r="L332" i="12"/>
  <c r="I332" i="12"/>
  <c r="E332" i="12"/>
  <c r="D332" i="12"/>
  <c r="C332" i="12"/>
  <c r="L331" i="12"/>
  <c r="I331" i="12"/>
  <c r="E331" i="12"/>
  <c r="D331" i="12"/>
  <c r="C331" i="12"/>
  <c r="L330" i="12"/>
  <c r="I330" i="12"/>
  <c r="E330" i="12"/>
  <c r="D330" i="12"/>
  <c r="C330" i="12"/>
  <c r="L329" i="12"/>
  <c r="I329" i="12"/>
  <c r="E329" i="12"/>
  <c r="D329" i="12"/>
  <c r="C329" i="12"/>
  <c r="L328" i="12"/>
  <c r="I328" i="12"/>
  <c r="E328" i="12"/>
  <c r="D328" i="12"/>
  <c r="C328" i="12"/>
  <c r="L327" i="12"/>
  <c r="I327" i="12"/>
  <c r="E327" i="12"/>
  <c r="D327" i="12"/>
  <c r="C327" i="12"/>
  <c r="L326" i="12"/>
  <c r="I326" i="12"/>
  <c r="E326" i="12"/>
  <c r="D326" i="12"/>
  <c r="C326" i="12"/>
  <c r="L325" i="12"/>
  <c r="I325" i="12"/>
  <c r="E325" i="12"/>
  <c r="D325" i="12"/>
  <c r="C325" i="12"/>
  <c r="L324" i="12"/>
  <c r="I324" i="12"/>
  <c r="E324" i="12"/>
  <c r="D324" i="12"/>
  <c r="C324" i="12"/>
  <c r="L323" i="12"/>
  <c r="I323" i="12"/>
  <c r="E323" i="12"/>
  <c r="D323" i="12"/>
  <c r="C323" i="12"/>
  <c r="L322" i="12"/>
  <c r="I322" i="12"/>
  <c r="E322" i="12"/>
  <c r="D322" i="12"/>
  <c r="C322" i="12"/>
  <c r="L321" i="12"/>
  <c r="I321" i="12"/>
  <c r="E321" i="12"/>
  <c r="D321" i="12"/>
  <c r="C321" i="12"/>
  <c r="L320" i="12"/>
  <c r="I320" i="12"/>
  <c r="E320" i="12"/>
  <c r="D320" i="12"/>
  <c r="C320" i="12"/>
  <c r="L319" i="12"/>
  <c r="I319" i="12"/>
  <c r="E319" i="12"/>
  <c r="D319" i="12"/>
  <c r="C319" i="12"/>
  <c r="L318" i="12"/>
  <c r="I318" i="12"/>
  <c r="E318" i="12"/>
  <c r="D318" i="12"/>
  <c r="C318" i="12"/>
  <c r="L317" i="12"/>
  <c r="I317" i="12"/>
  <c r="E317" i="12"/>
  <c r="D317" i="12"/>
  <c r="C317" i="12"/>
  <c r="L316" i="12"/>
  <c r="I316" i="12"/>
  <c r="E316" i="12"/>
  <c r="D316" i="12"/>
  <c r="C316" i="12"/>
  <c r="L315" i="12"/>
  <c r="I315" i="12"/>
  <c r="E315" i="12"/>
  <c r="D315" i="12"/>
  <c r="C315" i="12"/>
  <c r="L314" i="12"/>
  <c r="I314" i="12"/>
  <c r="E314" i="12"/>
  <c r="D314" i="12"/>
  <c r="C314" i="12"/>
  <c r="L313" i="12"/>
  <c r="I313" i="12"/>
  <c r="E313" i="12"/>
  <c r="D313" i="12"/>
  <c r="C313" i="12"/>
  <c r="L312" i="12"/>
  <c r="I312" i="12"/>
  <c r="E312" i="12"/>
  <c r="D312" i="12"/>
  <c r="C312" i="12"/>
  <c r="L311" i="12"/>
  <c r="I311" i="12"/>
  <c r="E311" i="12"/>
  <c r="D311" i="12"/>
  <c r="C311" i="12"/>
  <c r="L310" i="12"/>
  <c r="I310" i="12"/>
  <c r="E310" i="12"/>
  <c r="D310" i="12"/>
  <c r="C310" i="12"/>
  <c r="L309" i="12"/>
  <c r="I309" i="12"/>
  <c r="E309" i="12"/>
  <c r="D309" i="12"/>
  <c r="C309" i="12"/>
  <c r="L308" i="12"/>
  <c r="I308" i="12"/>
  <c r="E308" i="12"/>
  <c r="D308" i="12"/>
  <c r="C308" i="12"/>
  <c r="L307" i="12"/>
  <c r="I307" i="12"/>
  <c r="E307" i="12"/>
  <c r="D307" i="12"/>
  <c r="C307" i="12"/>
  <c r="L306" i="12"/>
  <c r="I306" i="12"/>
  <c r="E306" i="12"/>
  <c r="D306" i="12"/>
  <c r="C306" i="12"/>
  <c r="L305" i="12"/>
  <c r="I305" i="12"/>
  <c r="E305" i="12"/>
  <c r="D305" i="12"/>
  <c r="C305" i="12"/>
  <c r="L304" i="12"/>
  <c r="I304" i="12"/>
  <c r="E304" i="12"/>
  <c r="D304" i="12"/>
  <c r="C304" i="12"/>
  <c r="L303" i="12"/>
  <c r="I303" i="12"/>
  <c r="E303" i="12"/>
  <c r="D303" i="12"/>
  <c r="C303" i="12"/>
  <c r="L302" i="12"/>
  <c r="I302" i="12"/>
  <c r="E302" i="12"/>
  <c r="D302" i="12"/>
  <c r="C302" i="12"/>
  <c r="L301" i="12"/>
  <c r="I301" i="12"/>
  <c r="E301" i="12"/>
  <c r="D301" i="12"/>
  <c r="C301" i="12"/>
  <c r="L300" i="12"/>
  <c r="I300" i="12"/>
  <c r="E300" i="12"/>
  <c r="D300" i="12"/>
  <c r="C300" i="12"/>
  <c r="L299" i="12"/>
  <c r="I299" i="12"/>
  <c r="E299" i="12"/>
  <c r="D299" i="12"/>
  <c r="C299" i="12"/>
  <c r="L298" i="12"/>
  <c r="I298" i="12"/>
  <c r="E298" i="12"/>
  <c r="D298" i="12"/>
  <c r="C298" i="12"/>
  <c r="L297" i="12"/>
  <c r="I297" i="12"/>
  <c r="E297" i="12"/>
  <c r="D297" i="12"/>
  <c r="C297" i="12"/>
  <c r="L296" i="12"/>
  <c r="I296" i="12"/>
  <c r="E296" i="12"/>
  <c r="D296" i="12"/>
  <c r="C296" i="12"/>
  <c r="L295" i="12"/>
  <c r="I295" i="12"/>
  <c r="E295" i="12"/>
  <c r="D295" i="12"/>
  <c r="C295" i="12"/>
  <c r="L294" i="12"/>
  <c r="I294" i="12"/>
  <c r="E294" i="12"/>
  <c r="D294" i="12"/>
  <c r="C294" i="12"/>
  <c r="L293" i="12"/>
  <c r="I293" i="12"/>
  <c r="E293" i="12"/>
  <c r="D293" i="12"/>
  <c r="C293" i="12"/>
  <c r="L292" i="12"/>
  <c r="I292" i="12"/>
  <c r="E292" i="12"/>
  <c r="D292" i="12"/>
  <c r="C292" i="12"/>
  <c r="L291" i="12"/>
  <c r="I291" i="12"/>
  <c r="E291" i="12"/>
  <c r="D291" i="12"/>
  <c r="C291" i="12"/>
  <c r="L290" i="12"/>
  <c r="I290" i="12"/>
  <c r="E290" i="12"/>
  <c r="D290" i="12"/>
  <c r="C290" i="12"/>
  <c r="L289" i="12"/>
  <c r="I289" i="12"/>
  <c r="E289" i="12"/>
  <c r="D289" i="12"/>
  <c r="C289" i="12"/>
  <c r="L288" i="12"/>
  <c r="I288" i="12"/>
  <c r="E288" i="12"/>
  <c r="D288" i="12"/>
  <c r="C288" i="12"/>
  <c r="L287" i="12"/>
  <c r="I287" i="12"/>
  <c r="E287" i="12"/>
  <c r="D287" i="12"/>
  <c r="C287" i="12"/>
  <c r="L286" i="12"/>
  <c r="I286" i="12"/>
  <c r="E286" i="12"/>
  <c r="D286" i="12"/>
  <c r="C286" i="12"/>
  <c r="L285" i="12"/>
  <c r="I285" i="12"/>
  <c r="E285" i="12"/>
  <c r="D285" i="12"/>
  <c r="C285" i="12"/>
  <c r="L284" i="12"/>
  <c r="I284" i="12"/>
  <c r="E284" i="12"/>
  <c r="D284" i="12"/>
  <c r="C284" i="12"/>
  <c r="L283" i="12"/>
  <c r="I283" i="12"/>
  <c r="E283" i="12"/>
  <c r="D283" i="12"/>
  <c r="C283" i="12"/>
  <c r="L282" i="12"/>
  <c r="I282" i="12"/>
  <c r="E282" i="12"/>
  <c r="D282" i="12"/>
  <c r="C282" i="12"/>
  <c r="L281" i="12"/>
  <c r="I281" i="12"/>
  <c r="E281" i="12"/>
  <c r="D281" i="12"/>
  <c r="C281" i="12"/>
  <c r="L280" i="12"/>
  <c r="I280" i="12"/>
  <c r="E280" i="12"/>
  <c r="D280" i="12"/>
  <c r="C280" i="12"/>
  <c r="L279" i="12"/>
  <c r="I279" i="12"/>
  <c r="E279" i="12"/>
  <c r="D279" i="12"/>
  <c r="C279" i="12"/>
  <c r="L278" i="12"/>
  <c r="I278" i="12"/>
  <c r="E278" i="12"/>
  <c r="D278" i="12"/>
  <c r="C278" i="12"/>
  <c r="L277" i="12"/>
  <c r="I277" i="12"/>
  <c r="E277" i="12"/>
  <c r="D277" i="12"/>
  <c r="C277" i="12"/>
  <c r="L276" i="12"/>
  <c r="I276" i="12"/>
  <c r="E276" i="12"/>
  <c r="D276" i="12"/>
  <c r="C276" i="12"/>
  <c r="L275" i="12"/>
  <c r="I275" i="12"/>
  <c r="E275" i="12"/>
  <c r="D275" i="12"/>
  <c r="C275" i="12"/>
  <c r="L274" i="12"/>
  <c r="I274" i="12"/>
  <c r="E274" i="12"/>
  <c r="D274" i="12"/>
  <c r="C274" i="12"/>
  <c r="L273" i="12"/>
  <c r="I273" i="12"/>
  <c r="E273" i="12"/>
  <c r="D273" i="12"/>
  <c r="C273" i="12"/>
  <c r="L272" i="12"/>
  <c r="I272" i="12"/>
  <c r="E272" i="12"/>
  <c r="D272" i="12"/>
  <c r="C272" i="12"/>
  <c r="L271" i="12"/>
  <c r="I271" i="12"/>
  <c r="E271" i="12"/>
  <c r="D271" i="12"/>
  <c r="C271" i="12"/>
  <c r="L270" i="12"/>
  <c r="I270" i="12"/>
  <c r="E270" i="12"/>
  <c r="D270" i="12"/>
  <c r="C270" i="12"/>
  <c r="L269" i="12"/>
  <c r="I269" i="12"/>
  <c r="E269" i="12"/>
  <c r="D269" i="12"/>
  <c r="C269" i="12"/>
  <c r="L268" i="12"/>
  <c r="I268" i="12"/>
  <c r="E268" i="12"/>
  <c r="D268" i="12"/>
  <c r="C268" i="12"/>
  <c r="L267" i="12"/>
  <c r="I267" i="12"/>
  <c r="E267" i="12"/>
  <c r="D267" i="12"/>
  <c r="C267" i="12"/>
  <c r="L266" i="12"/>
  <c r="I266" i="12"/>
  <c r="E266" i="12"/>
  <c r="D266" i="12"/>
  <c r="C266" i="12"/>
  <c r="L265" i="12"/>
  <c r="I265" i="12"/>
  <c r="E265" i="12"/>
  <c r="D265" i="12"/>
  <c r="C265" i="12"/>
  <c r="L264" i="12"/>
  <c r="I264" i="12"/>
  <c r="E264" i="12"/>
  <c r="D264" i="12"/>
  <c r="C264" i="12"/>
  <c r="L263" i="12"/>
  <c r="I263" i="12"/>
  <c r="E263" i="12"/>
  <c r="D263" i="12"/>
  <c r="C263" i="12"/>
  <c r="L262" i="12"/>
  <c r="I262" i="12"/>
  <c r="E262" i="12"/>
  <c r="D262" i="12"/>
  <c r="C262" i="12"/>
  <c r="L261" i="12"/>
  <c r="I261" i="12"/>
  <c r="E261" i="12"/>
  <c r="D261" i="12"/>
  <c r="C261" i="12"/>
  <c r="L260" i="12"/>
  <c r="I260" i="12"/>
  <c r="E260" i="12"/>
  <c r="D260" i="12"/>
  <c r="C260" i="12"/>
  <c r="L259" i="12"/>
  <c r="I259" i="12"/>
  <c r="E259" i="12"/>
  <c r="D259" i="12"/>
  <c r="C259" i="12"/>
  <c r="L258" i="12"/>
  <c r="I258" i="12"/>
  <c r="E258" i="12"/>
  <c r="D258" i="12"/>
  <c r="C258" i="12"/>
  <c r="L257" i="12"/>
  <c r="I257" i="12"/>
  <c r="E257" i="12"/>
  <c r="D257" i="12"/>
  <c r="C257" i="12"/>
  <c r="L256" i="12"/>
  <c r="I256" i="12"/>
  <c r="E256" i="12"/>
  <c r="D256" i="12"/>
  <c r="C256" i="12"/>
  <c r="L255" i="12"/>
  <c r="I255" i="12"/>
  <c r="E255" i="12"/>
  <c r="D255" i="12"/>
  <c r="C255" i="12"/>
  <c r="L254" i="12"/>
  <c r="I254" i="12"/>
  <c r="E254" i="12"/>
  <c r="D254" i="12"/>
  <c r="C254" i="12"/>
  <c r="L253" i="12"/>
  <c r="I253" i="12"/>
  <c r="E253" i="12"/>
  <c r="D253" i="12"/>
  <c r="C253" i="12"/>
  <c r="L252" i="12"/>
  <c r="I252" i="12"/>
  <c r="E252" i="12"/>
  <c r="D252" i="12"/>
  <c r="C252" i="12"/>
  <c r="L251" i="12"/>
  <c r="I251" i="12"/>
  <c r="E251" i="12"/>
  <c r="D251" i="12"/>
  <c r="C251" i="12"/>
  <c r="L250" i="12"/>
  <c r="I250" i="12"/>
  <c r="E250" i="12"/>
  <c r="D250" i="12"/>
  <c r="C250" i="12"/>
  <c r="L249" i="12"/>
  <c r="I249" i="12"/>
  <c r="E249" i="12"/>
  <c r="D249" i="12"/>
  <c r="C249" i="12"/>
  <c r="L248" i="12"/>
  <c r="I248" i="12"/>
  <c r="E248" i="12"/>
  <c r="D248" i="12"/>
  <c r="C248" i="12"/>
  <c r="L247" i="12"/>
  <c r="I247" i="12"/>
  <c r="E247" i="12"/>
  <c r="D247" i="12"/>
  <c r="C247" i="12"/>
  <c r="L246" i="12"/>
  <c r="I246" i="12"/>
  <c r="E246" i="12"/>
  <c r="D246" i="12"/>
  <c r="C246" i="12"/>
  <c r="L245" i="12"/>
  <c r="I245" i="12"/>
  <c r="E245" i="12"/>
  <c r="D245" i="12"/>
  <c r="C245" i="12"/>
  <c r="L244" i="12"/>
  <c r="I244" i="12"/>
  <c r="E244" i="12"/>
  <c r="D244" i="12"/>
  <c r="C244" i="12"/>
  <c r="L243" i="12"/>
  <c r="I243" i="12"/>
  <c r="E243" i="12"/>
  <c r="D243" i="12"/>
  <c r="C243" i="12"/>
  <c r="L242" i="12"/>
  <c r="I242" i="12"/>
  <c r="E242" i="12"/>
  <c r="D242" i="12"/>
  <c r="C242" i="12"/>
  <c r="L241" i="12"/>
  <c r="I241" i="12"/>
  <c r="E241" i="12"/>
  <c r="D241" i="12"/>
  <c r="C241" i="12"/>
  <c r="L240" i="12"/>
  <c r="I240" i="12"/>
  <c r="E240" i="12"/>
  <c r="D240" i="12"/>
  <c r="C240" i="12"/>
  <c r="L239" i="12"/>
  <c r="I239" i="12"/>
  <c r="E239" i="12"/>
  <c r="D239" i="12"/>
  <c r="C239" i="12"/>
  <c r="L238" i="12"/>
  <c r="I238" i="12"/>
  <c r="E238" i="12"/>
  <c r="D238" i="12"/>
  <c r="C238" i="12"/>
  <c r="L237" i="12"/>
  <c r="I237" i="12"/>
  <c r="E237" i="12"/>
  <c r="D237" i="12"/>
  <c r="C237" i="12"/>
  <c r="L236" i="12"/>
  <c r="I236" i="12"/>
  <c r="E236" i="12"/>
  <c r="D236" i="12"/>
  <c r="C236" i="12"/>
  <c r="L235" i="12"/>
  <c r="I235" i="12"/>
  <c r="E235" i="12"/>
  <c r="D235" i="12"/>
  <c r="C235" i="12"/>
  <c r="L234" i="12"/>
  <c r="I234" i="12"/>
  <c r="E234" i="12"/>
  <c r="D234" i="12"/>
  <c r="C234" i="12"/>
  <c r="L233" i="12"/>
  <c r="I233" i="12"/>
  <c r="E233" i="12"/>
  <c r="D233" i="12"/>
  <c r="C233" i="12"/>
  <c r="L232" i="12"/>
  <c r="I232" i="12"/>
  <c r="E232" i="12"/>
  <c r="D232" i="12"/>
  <c r="C232" i="12"/>
  <c r="L231" i="12"/>
  <c r="I231" i="12"/>
  <c r="E231" i="12"/>
  <c r="D231" i="12"/>
  <c r="C231" i="12"/>
  <c r="L230" i="12"/>
  <c r="I230" i="12"/>
  <c r="E230" i="12"/>
  <c r="D230" i="12"/>
  <c r="C230" i="12"/>
  <c r="L229" i="12"/>
  <c r="I229" i="12"/>
  <c r="E229" i="12"/>
  <c r="D229" i="12"/>
  <c r="C229" i="12"/>
  <c r="L228" i="12"/>
  <c r="I228" i="12"/>
  <c r="E228" i="12"/>
  <c r="D228" i="12"/>
  <c r="C228" i="12"/>
  <c r="L227" i="12"/>
  <c r="I227" i="12"/>
  <c r="E227" i="12"/>
  <c r="D227" i="12"/>
  <c r="C227" i="12"/>
  <c r="L226" i="12"/>
  <c r="I226" i="12"/>
  <c r="E226" i="12"/>
  <c r="D226" i="12"/>
  <c r="C226" i="12"/>
  <c r="L225" i="12"/>
  <c r="I225" i="12"/>
  <c r="E225" i="12"/>
  <c r="D225" i="12"/>
  <c r="C225" i="12"/>
  <c r="L224" i="12"/>
  <c r="I224" i="12"/>
  <c r="E224" i="12"/>
  <c r="D224" i="12"/>
  <c r="C224" i="12"/>
  <c r="L223" i="12"/>
  <c r="I223" i="12"/>
  <c r="E223" i="12"/>
  <c r="D223" i="12"/>
  <c r="C223" i="12"/>
  <c r="L222" i="12"/>
  <c r="I222" i="12"/>
  <c r="E222" i="12"/>
  <c r="D222" i="12"/>
  <c r="C222" i="12"/>
  <c r="L221" i="12"/>
  <c r="I221" i="12"/>
  <c r="E221" i="12"/>
  <c r="D221" i="12"/>
  <c r="C221" i="12"/>
  <c r="L220" i="12"/>
  <c r="I220" i="12"/>
  <c r="E220" i="12"/>
  <c r="D220" i="12"/>
  <c r="C220" i="12"/>
  <c r="L219" i="12"/>
  <c r="I219" i="12"/>
  <c r="E219" i="12"/>
  <c r="D219" i="12"/>
  <c r="C219" i="12"/>
  <c r="L218" i="12"/>
  <c r="I218" i="12"/>
  <c r="E218" i="12"/>
  <c r="D218" i="12"/>
  <c r="C218" i="12"/>
  <c r="L217" i="12"/>
  <c r="I217" i="12"/>
  <c r="E217" i="12"/>
  <c r="D217" i="12"/>
  <c r="C217" i="12"/>
  <c r="L216" i="12"/>
  <c r="I216" i="12"/>
  <c r="E216" i="12"/>
  <c r="D216" i="12"/>
  <c r="C216" i="12"/>
  <c r="L215" i="12"/>
  <c r="I215" i="12"/>
  <c r="E215" i="12"/>
  <c r="D215" i="12"/>
  <c r="C215" i="12"/>
  <c r="L214" i="12"/>
  <c r="I214" i="12"/>
  <c r="E214" i="12"/>
  <c r="D214" i="12"/>
  <c r="C214" i="12"/>
  <c r="L213" i="12"/>
  <c r="I213" i="12"/>
  <c r="E213" i="12"/>
  <c r="D213" i="12"/>
  <c r="C213" i="12"/>
  <c r="L212" i="12"/>
  <c r="I212" i="12"/>
  <c r="E212" i="12"/>
  <c r="D212" i="12"/>
  <c r="C212" i="12"/>
  <c r="L211" i="12"/>
  <c r="I211" i="12"/>
  <c r="E211" i="12"/>
  <c r="D211" i="12"/>
  <c r="C211" i="12"/>
  <c r="L210" i="12"/>
  <c r="I210" i="12"/>
  <c r="E210" i="12"/>
  <c r="D210" i="12"/>
  <c r="C210" i="12"/>
  <c r="L209" i="12"/>
  <c r="I209" i="12"/>
  <c r="E209" i="12"/>
  <c r="D209" i="12"/>
  <c r="C209" i="12"/>
  <c r="L208" i="12"/>
  <c r="I208" i="12"/>
  <c r="E208" i="12"/>
  <c r="D208" i="12"/>
  <c r="C208" i="12"/>
  <c r="L207" i="12"/>
  <c r="I207" i="12"/>
  <c r="E207" i="12"/>
  <c r="D207" i="12"/>
  <c r="C207" i="12"/>
  <c r="L206" i="12"/>
  <c r="I206" i="12"/>
  <c r="E206" i="12"/>
  <c r="D206" i="12"/>
  <c r="C206" i="12"/>
  <c r="L205" i="12"/>
  <c r="I205" i="12"/>
  <c r="E205" i="12"/>
  <c r="D205" i="12"/>
  <c r="C205" i="12"/>
  <c r="L204" i="12"/>
  <c r="I204" i="12"/>
  <c r="E204" i="12"/>
  <c r="D204" i="12"/>
  <c r="C204" i="12"/>
  <c r="L203" i="12"/>
  <c r="I203" i="12"/>
  <c r="E203" i="12"/>
  <c r="D203" i="12"/>
  <c r="C203" i="12"/>
  <c r="L202" i="12"/>
  <c r="I202" i="12"/>
  <c r="E202" i="12"/>
  <c r="D202" i="12"/>
  <c r="C202" i="12"/>
  <c r="L201" i="12"/>
  <c r="I201" i="12"/>
  <c r="E201" i="12"/>
  <c r="D201" i="12"/>
  <c r="C201" i="12"/>
  <c r="L200" i="12"/>
  <c r="I200" i="12"/>
  <c r="E200" i="12"/>
  <c r="D200" i="12"/>
  <c r="C200" i="12"/>
  <c r="L199" i="12"/>
  <c r="I199" i="12"/>
  <c r="E199" i="12"/>
  <c r="D199" i="12"/>
  <c r="C199" i="12"/>
  <c r="L198" i="12"/>
  <c r="I198" i="12"/>
  <c r="E198" i="12"/>
  <c r="D198" i="12"/>
  <c r="C198" i="12"/>
  <c r="L197" i="12"/>
  <c r="I197" i="12"/>
  <c r="E197" i="12"/>
  <c r="D197" i="12"/>
  <c r="C197" i="12"/>
  <c r="L196" i="12"/>
  <c r="I196" i="12"/>
  <c r="E196" i="12"/>
  <c r="D196" i="12"/>
  <c r="C196" i="12"/>
  <c r="L195" i="12"/>
  <c r="I195" i="12"/>
  <c r="E195" i="12"/>
  <c r="D195" i="12"/>
  <c r="C195" i="12"/>
  <c r="L194" i="12"/>
  <c r="I194" i="12"/>
  <c r="E194" i="12"/>
  <c r="D194" i="12"/>
  <c r="C194" i="12"/>
  <c r="L193" i="12"/>
  <c r="I193" i="12"/>
  <c r="E193" i="12"/>
  <c r="D193" i="12"/>
  <c r="C193" i="12"/>
  <c r="L192" i="12"/>
  <c r="I192" i="12"/>
  <c r="E192" i="12"/>
  <c r="D192" i="12"/>
  <c r="C192" i="12"/>
  <c r="L191" i="12"/>
  <c r="I191" i="12"/>
  <c r="E191" i="12"/>
  <c r="D191" i="12"/>
  <c r="C191" i="12"/>
  <c r="L190" i="12"/>
  <c r="I190" i="12"/>
  <c r="E190" i="12"/>
  <c r="D190" i="12"/>
  <c r="C190" i="12"/>
  <c r="L189" i="12"/>
  <c r="I189" i="12"/>
  <c r="E189" i="12"/>
  <c r="D189" i="12"/>
  <c r="C189" i="12"/>
  <c r="L188" i="12"/>
  <c r="I188" i="12"/>
  <c r="E188" i="12"/>
  <c r="D188" i="12"/>
  <c r="C188" i="12"/>
  <c r="L187" i="12"/>
  <c r="I187" i="12"/>
  <c r="E187" i="12"/>
  <c r="D187" i="12"/>
  <c r="C187" i="12"/>
  <c r="L186" i="12"/>
  <c r="I186" i="12"/>
  <c r="E186" i="12"/>
  <c r="D186" i="12"/>
  <c r="C186" i="12"/>
  <c r="L185" i="12"/>
  <c r="E185" i="12"/>
  <c r="D185" i="12"/>
  <c r="C185" i="12"/>
  <c r="L184" i="12"/>
  <c r="I184" i="12"/>
  <c r="E184" i="12"/>
  <c r="D184" i="12"/>
  <c r="C184" i="12"/>
  <c r="L183" i="12"/>
  <c r="I183" i="12"/>
  <c r="E183" i="12"/>
  <c r="D183" i="12"/>
  <c r="C183" i="12"/>
  <c r="L182" i="12"/>
  <c r="I182" i="12"/>
  <c r="E182" i="12"/>
  <c r="D182" i="12"/>
  <c r="C182" i="12"/>
  <c r="L181" i="12"/>
  <c r="I181" i="12"/>
  <c r="E181" i="12"/>
  <c r="D181" i="12"/>
  <c r="C181" i="12"/>
  <c r="L180" i="12"/>
  <c r="I180" i="12"/>
  <c r="E180" i="12"/>
  <c r="D180" i="12"/>
  <c r="C180" i="12"/>
  <c r="L179" i="12"/>
  <c r="I179" i="12"/>
  <c r="E179" i="12"/>
  <c r="D179" i="12"/>
  <c r="C179" i="12"/>
  <c r="L178" i="12"/>
  <c r="I178" i="12"/>
  <c r="E178" i="12"/>
  <c r="D178" i="12"/>
  <c r="C178" i="12"/>
  <c r="L177" i="12"/>
  <c r="I177" i="12"/>
  <c r="E177" i="12"/>
  <c r="D177" i="12"/>
  <c r="C177" i="12"/>
  <c r="L176" i="12"/>
  <c r="I176" i="12"/>
  <c r="E176" i="12"/>
  <c r="D176" i="12"/>
  <c r="C176" i="12"/>
  <c r="L175" i="12"/>
  <c r="I175" i="12"/>
  <c r="E175" i="12"/>
  <c r="D175" i="12"/>
  <c r="C175" i="12"/>
  <c r="L174" i="12"/>
  <c r="I174" i="12"/>
  <c r="E174" i="12"/>
  <c r="D174" i="12"/>
  <c r="C174" i="12"/>
  <c r="L173" i="12"/>
  <c r="I173" i="12"/>
  <c r="E173" i="12"/>
  <c r="D173" i="12"/>
  <c r="C173" i="12"/>
  <c r="L172" i="12"/>
  <c r="I172" i="12"/>
  <c r="E172" i="12"/>
  <c r="D172" i="12"/>
  <c r="C172" i="12"/>
  <c r="L171" i="12"/>
  <c r="I171" i="12"/>
  <c r="E171" i="12"/>
  <c r="D171" i="12"/>
  <c r="C171" i="12"/>
  <c r="L170" i="12"/>
  <c r="I170" i="12"/>
  <c r="E170" i="12"/>
  <c r="D170" i="12"/>
  <c r="C170" i="12"/>
  <c r="L169" i="12"/>
  <c r="I169" i="12"/>
  <c r="E169" i="12"/>
  <c r="D169" i="12"/>
  <c r="C169" i="12"/>
  <c r="L168" i="12"/>
  <c r="I168" i="12"/>
  <c r="E168" i="12"/>
  <c r="D168" i="12"/>
  <c r="C168" i="12"/>
  <c r="L167" i="12"/>
  <c r="I167" i="12"/>
  <c r="E167" i="12"/>
  <c r="D167" i="12"/>
  <c r="C167" i="12"/>
  <c r="L166" i="12"/>
  <c r="I166" i="12"/>
  <c r="E166" i="12"/>
  <c r="D166" i="12"/>
  <c r="C166" i="12"/>
  <c r="L165" i="12"/>
  <c r="I165" i="12"/>
  <c r="E165" i="12"/>
  <c r="D165" i="12"/>
  <c r="C165" i="12"/>
  <c r="L164" i="12"/>
  <c r="I164" i="12"/>
  <c r="E164" i="12"/>
  <c r="D164" i="12"/>
  <c r="C164" i="12"/>
  <c r="L163" i="12"/>
  <c r="I163" i="12"/>
  <c r="E163" i="12"/>
  <c r="D163" i="12"/>
  <c r="C163" i="12"/>
  <c r="L162" i="12"/>
  <c r="I162" i="12"/>
  <c r="E162" i="12"/>
  <c r="D162" i="12"/>
  <c r="C162" i="12"/>
  <c r="L161" i="12"/>
  <c r="I161" i="12"/>
  <c r="E161" i="12"/>
  <c r="D161" i="12"/>
  <c r="C161" i="12"/>
  <c r="L160" i="12"/>
  <c r="I160" i="12"/>
  <c r="E160" i="12"/>
  <c r="D160" i="12"/>
  <c r="C160" i="12"/>
  <c r="L159" i="12"/>
  <c r="I159" i="12"/>
  <c r="E159" i="12"/>
  <c r="D159" i="12"/>
  <c r="C159" i="12"/>
  <c r="L158" i="12"/>
  <c r="I158" i="12"/>
  <c r="E158" i="12"/>
  <c r="D158" i="12"/>
  <c r="C158" i="12"/>
  <c r="L157" i="12"/>
  <c r="I157" i="12"/>
  <c r="E157" i="12"/>
  <c r="D157" i="12"/>
  <c r="C157" i="12"/>
  <c r="L156" i="12"/>
  <c r="I156" i="12"/>
  <c r="E156" i="12"/>
  <c r="D156" i="12"/>
  <c r="C156" i="12"/>
  <c r="E155" i="12"/>
  <c r="D155" i="12"/>
  <c r="C155" i="12"/>
  <c r="E154" i="12"/>
  <c r="D154" i="12"/>
  <c r="C154" i="12"/>
  <c r="E153" i="12"/>
  <c r="D153" i="12"/>
  <c r="C153" i="12"/>
  <c r="E152" i="12"/>
  <c r="D152" i="12"/>
  <c r="C152" i="12"/>
  <c r="E151" i="12"/>
  <c r="D151" i="12"/>
  <c r="C151" i="12"/>
  <c r="E150" i="12"/>
  <c r="D150" i="12"/>
  <c r="C150" i="12"/>
  <c r="L149" i="12"/>
  <c r="I149" i="12"/>
  <c r="E149" i="12"/>
  <c r="D149" i="12"/>
  <c r="C149" i="12"/>
  <c r="L148" i="12"/>
  <c r="I148" i="12"/>
  <c r="E148" i="12"/>
  <c r="D148" i="12"/>
  <c r="C148" i="12"/>
  <c r="L147" i="12"/>
  <c r="I147" i="12"/>
  <c r="E147" i="12"/>
  <c r="D147" i="12"/>
  <c r="C147" i="12"/>
  <c r="L146" i="12"/>
  <c r="I146" i="12"/>
  <c r="E146" i="12"/>
  <c r="D146" i="12"/>
  <c r="C146" i="12"/>
  <c r="L145" i="12"/>
  <c r="I145" i="12"/>
  <c r="E145" i="12"/>
  <c r="D145" i="12"/>
  <c r="C145" i="12"/>
  <c r="L144" i="12"/>
  <c r="I144" i="12"/>
  <c r="E144" i="12"/>
  <c r="D144" i="12"/>
  <c r="C144" i="12"/>
  <c r="L143" i="12"/>
  <c r="I143" i="12"/>
  <c r="E143" i="12"/>
  <c r="D143" i="12"/>
  <c r="C143" i="12"/>
  <c r="L142" i="12"/>
  <c r="I142" i="12"/>
  <c r="E142" i="12"/>
  <c r="D142" i="12"/>
  <c r="C142" i="12"/>
  <c r="L141" i="12"/>
  <c r="I141" i="12"/>
  <c r="E141" i="12"/>
  <c r="D141" i="12"/>
  <c r="C141" i="12"/>
  <c r="L140" i="12"/>
  <c r="I140" i="12"/>
  <c r="E140" i="12"/>
  <c r="D140" i="12"/>
  <c r="C140" i="12"/>
  <c r="L139" i="12"/>
  <c r="I139" i="12"/>
  <c r="E139" i="12"/>
  <c r="D139" i="12"/>
  <c r="C139" i="12"/>
  <c r="L138" i="12"/>
  <c r="I138" i="12"/>
  <c r="E138" i="12"/>
  <c r="D138" i="12"/>
  <c r="C138" i="12"/>
  <c r="L137" i="12"/>
  <c r="I137" i="12"/>
  <c r="E137" i="12"/>
  <c r="D137" i="12"/>
  <c r="C137" i="12"/>
  <c r="L136" i="12"/>
  <c r="I136" i="12"/>
  <c r="E136" i="12"/>
  <c r="D136" i="12"/>
  <c r="C136" i="12"/>
  <c r="L135" i="12"/>
  <c r="I135" i="12"/>
  <c r="E135" i="12"/>
  <c r="D135" i="12"/>
  <c r="C135" i="12"/>
  <c r="L134" i="12"/>
  <c r="I134" i="12"/>
  <c r="E134" i="12"/>
  <c r="D134" i="12"/>
  <c r="C134" i="12"/>
  <c r="L133" i="12"/>
  <c r="I133" i="12"/>
  <c r="E133" i="12"/>
  <c r="D133" i="12"/>
  <c r="C133" i="12"/>
  <c r="L132" i="12"/>
  <c r="I132" i="12"/>
  <c r="E132" i="12"/>
  <c r="D132" i="12"/>
  <c r="C132" i="12"/>
  <c r="L131" i="12"/>
  <c r="I131" i="12"/>
  <c r="E131" i="12"/>
  <c r="D131" i="12"/>
  <c r="C131" i="12"/>
  <c r="L130" i="12"/>
  <c r="I130" i="12"/>
  <c r="E130" i="12"/>
  <c r="D130" i="12"/>
  <c r="C130" i="12"/>
  <c r="L129" i="12"/>
  <c r="I129" i="12"/>
  <c r="E129" i="12"/>
  <c r="D129" i="12"/>
  <c r="C129" i="12"/>
  <c r="L128" i="12"/>
  <c r="I128" i="12"/>
  <c r="E128" i="12"/>
  <c r="D128" i="12"/>
  <c r="C128" i="12"/>
  <c r="L127" i="12"/>
  <c r="I127" i="12"/>
  <c r="E127" i="12"/>
  <c r="D127" i="12"/>
  <c r="C127" i="12"/>
  <c r="L126" i="12"/>
  <c r="I126" i="12"/>
  <c r="E126" i="12"/>
  <c r="D126" i="12"/>
  <c r="C126" i="12"/>
  <c r="L125" i="12"/>
  <c r="I125" i="12"/>
  <c r="E125" i="12"/>
  <c r="D125" i="12"/>
  <c r="C125" i="12"/>
  <c r="L124" i="12"/>
  <c r="I124" i="12"/>
  <c r="E124" i="12"/>
  <c r="D124" i="12"/>
  <c r="C124" i="12"/>
  <c r="L123" i="12"/>
  <c r="I123" i="12"/>
  <c r="E123" i="12"/>
  <c r="D123" i="12"/>
  <c r="C123" i="12"/>
  <c r="L122" i="12"/>
  <c r="I122" i="12"/>
  <c r="E122" i="12"/>
  <c r="D122" i="12"/>
  <c r="C122" i="12"/>
  <c r="L121" i="12"/>
  <c r="I121" i="12"/>
  <c r="E121" i="12"/>
  <c r="D121" i="12"/>
  <c r="C121" i="12"/>
  <c r="L120" i="12"/>
  <c r="I120" i="12"/>
  <c r="E120" i="12"/>
  <c r="D120" i="12"/>
  <c r="C120" i="12"/>
  <c r="L119" i="12"/>
  <c r="I119" i="12"/>
  <c r="E119" i="12"/>
  <c r="D119" i="12"/>
  <c r="C119" i="12"/>
  <c r="L118" i="12"/>
  <c r="I118" i="12"/>
  <c r="E118" i="12"/>
  <c r="D118" i="12"/>
  <c r="C118" i="12"/>
  <c r="L117" i="12"/>
  <c r="I117" i="12"/>
  <c r="E117" i="12"/>
  <c r="D117" i="12"/>
  <c r="C117" i="12"/>
  <c r="L116" i="12"/>
  <c r="I116" i="12"/>
  <c r="E116" i="12"/>
  <c r="D116" i="12"/>
  <c r="C116" i="12"/>
  <c r="L115" i="12"/>
  <c r="I115" i="12"/>
  <c r="E115" i="12"/>
  <c r="D115" i="12"/>
  <c r="C115" i="12"/>
  <c r="L114" i="12"/>
  <c r="I114" i="12"/>
  <c r="E114" i="12"/>
  <c r="D114" i="12"/>
  <c r="C114" i="12"/>
  <c r="L113" i="12"/>
  <c r="I113" i="12"/>
  <c r="E113" i="12"/>
  <c r="D113" i="12"/>
  <c r="C113" i="12"/>
  <c r="L112" i="12"/>
  <c r="I112" i="12"/>
  <c r="E112" i="12"/>
  <c r="D112" i="12"/>
  <c r="C112" i="12"/>
  <c r="L111" i="12"/>
  <c r="I111" i="12"/>
  <c r="E111" i="12"/>
  <c r="D111" i="12"/>
  <c r="C111" i="12"/>
  <c r="L110" i="12"/>
  <c r="I110" i="12"/>
  <c r="E110" i="12"/>
  <c r="D110" i="12"/>
  <c r="C110" i="12"/>
  <c r="L109" i="12"/>
  <c r="I109" i="12"/>
  <c r="E109" i="12"/>
  <c r="D109" i="12"/>
  <c r="C109" i="12"/>
  <c r="L108" i="12"/>
  <c r="I108" i="12"/>
  <c r="E108" i="12"/>
  <c r="D108" i="12"/>
  <c r="C108" i="12"/>
  <c r="L107" i="12"/>
  <c r="I107" i="12"/>
  <c r="E107" i="12"/>
  <c r="D107" i="12"/>
  <c r="C107" i="12"/>
  <c r="L106" i="12"/>
  <c r="I106" i="12"/>
  <c r="E106" i="12"/>
  <c r="D106" i="12"/>
  <c r="C106" i="12"/>
  <c r="L105" i="12"/>
  <c r="I105" i="12"/>
  <c r="E105" i="12"/>
  <c r="D105" i="12"/>
  <c r="C105" i="12"/>
  <c r="L104" i="12"/>
  <c r="I104" i="12"/>
  <c r="E104" i="12"/>
  <c r="D104" i="12"/>
  <c r="C104" i="12"/>
  <c r="L103" i="12"/>
  <c r="I103" i="12"/>
  <c r="E103" i="12"/>
  <c r="D103" i="12"/>
  <c r="C103" i="12"/>
  <c r="L102" i="12"/>
  <c r="I102" i="12"/>
  <c r="E102" i="12"/>
  <c r="D102" i="12"/>
  <c r="C102" i="12"/>
  <c r="L101" i="12"/>
  <c r="I101" i="12"/>
  <c r="E101" i="12"/>
  <c r="D101" i="12"/>
  <c r="C101" i="12"/>
  <c r="L100" i="12"/>
  <c r="I100" i="12"/>
  <c r="E100" i="12"/>
  <c r="D100" i="12"/>
  <c r="C100" i="12"/>
  <c r="L99" i="12"/>
  <c r="I99" i="12"/>
  <c r="E99" i="12"/>
  <c r="D99" i="12"/>
  <c r="C99" i="12"/>
  <c r="L98" i="12"/>
  <c r="I98" i="12"/>
  <c r="E98" i="12"/>
  <c r="D98" i="12"/>
  <c r="C98" i="12"/>
  <c r="L97" i="12"/>
  <c r="I97" i="12"/>
  <c r="E97" i="12"/>
  <c r="D97" i="12"/>
  <c r="C97" i="12"/>
  <c r="L96" i="12"/>
  <c r="I96" i="12"/>
  <c r="E96" i="12"/>
  <c r="D96" i="12"/>
  <c r="C96" i="12"/>
  <c r="L95" i="12"/>
  <c r="I95" i="12"/>
  <c r="E95" i="12"/>
  <c r="D95" i="12"/>
  <c r="C95" i="12"/>
  <c r="L94" i="12"/>
  <c r="I94" i="12"/>
  <c r="E94" i="12"/>
  <c r="D94" i="12"/>
  <c r="C94" i="12"/>
  <c r="L93" i="12"/>
  <c r="I93" i="12"/>
  <c r="E93" i="12"/>
  <c r="D93" i="12"/>
  <c r="C93" i="12"/>
  <c r="L92" i="12"/>
  <c r="I92" i="12"/>
  <c r="E92" i="12"/>
  <c r="D92" i="12"/>
  <c r="C92" i="12"/>
  <c r="L91" i="12"/>
  <c r="I91" i="12"/>
  <c r="E91" i="12"/>
  <c r="D91" i="12"/>
  <c r="C91" i="12"/>
  <c r="L90" i="12"/>
  <c r="I90" i="12"/>
  <c r="E90" i="12"/>
  <c r="D90" i="12"/>
  <c r="C90" i="12"/>
  <c r="L89" i="12"/>
  <c r="I89" i="12"/>
  <c r="E89" i="12"/>
  <c r="D89" i="12"/>
  <c r="C89" i="12"/>
  <c r="L88" i="12"/>
  <c r="I88" i="12"/>
  <c r="E88" i="12"/>
  <c r="D88" i="12"/>
  <c r="C88" i="12"/>
  <c r="L87" i="12"/>
  <c r="I87" i="12"/>
  <c r="E87" i="12"/>
  <c r="D87" i="12"/>
  <c r="C87" i="12"/>
  <c r="L86" i="12"/>
  <c r="I86" i="12"/>
  <c r="E86" i="12"/>
  <c r="D86" i="12"/>
  <c r="C86" i="12"/>
  <c r="L85" i="12"/>
  <c r="I85" i="12"/>
  <c r="E85" i="12"/>
  <c r="D85" i="12"/>
  <c r="C85" i="12"/>
  <c r="L84" i="12"/>
  <c r="I84" i="12"/>
  <c r="E84" i="12"/>
  <c r="D84" i="12"/>
  <c r="C84" i="12"/>
  <c r="L83" i="12"/>
  <c r="I83" i="12"/>
  <c r="E83" i="12"/>
  <c r="D83" i="12"/>
  <c r="C83" i="12"/>
  <c r="L82" i="12"/>
  <c r="I82" i="12"/>
  <c r="E82" i="12"/>
  <c r="D82" i="12"/>
  <c r="C82" i="12"/>
  <c r="L81" i="12"/>
  <c r="I81" i="12"/>
  <c r="E81" i="12"/>
  <c r="D81" i="12"/>
  <c r="C81" i="12"/>
  <c r="L80" i="12"/>
  <c r="I80" i="12"/>
  <c r="E80" i="12"/>
  <c r="D80" i="12"/>
  <c r="C80" i="12"/>
  <c r="L79" i="12"/>
  <c r="I79" i="12"/>
  <c r="E79" i="12"/>
  <c r="D79" i="12"/>
  <c r="C79" i="12"/>
  <c r="L78" i="12"/>
  <c r="I78" i="12"/>
  <c r="E78" i="12"/>
  <c r="D78" i="12"/>
  <c r="C78" i="12"/>
  <c r="L77" i="12"/>
  <c r="I77" i="12"/>
  <c r="E77" i="12"/>
  <c r="D77" i="12"/>
  <c r="C77" i="12"/>
  <c r="L76" i="12"/>
  <c r="I76" i="12"/>
  <c r="E76" i="12"/>
  <c r="D76" i="12"/>
  <c r="C76" i="12"/>
  <c r="L75" i="12"/>
  <c r="I75" i="12"/>
  <c r="E75" i="12"/>
  <c r="D75" i="12"/>
  <c r="C75" i="12"/>
  <c r="L74" i="12"/>
  <c r="I74" i="12"/>
  <c r="E74" i="12"/>
  <c r="D74" i="12"/>
  <c r="C74" i="12"/>
  <c r="L73" i="12"/>
  <c r="I73" i="12"/>
  <c r="E73" i="12"/>
  <c r="D73" i="12"/>
  <c r="C73" i="12"/>
  <c r="L72" i="12"/>
  <c r="I72" i="12"/>
  <c r="E72" i="12"/>
  <c r="D72" i="12"/>
  <c r="C72" i="12"/>
  <c r="L71" i="12"/>
  <c r="I71" i="12"/>
  <c r="E71" i="12"/>
  <c r="D71" i="12"/>
  <c r="C71" i="12"/>
  <c r="L70" i="12"/>
  <c r="I70" i="12"/>
  <c r="E70" i="12"/>
  <c r="D70" i="12"/>
  <c r="C70" i="12"/>
  <c r="L69" i="12"/>
  <c r="I69" i="12"/>
  <c r="E69" i="12"/>
  <c r="D69" i="12"/>
  <c r="C69" i="12"/>
  <c r="L68" i="12"/>
  <c r="I68" i="12"/>
  <c r="E68" i="12"/>
  <c r="D68" i="12"/>
  <c r="C68" i="12"/>
  <c r="L67" i="12"/>
  <c r="I67" i="12"/>
  <c r="E67" i="12"/>
  <c r="D67" i="12"/>
  <c r="C67" i="12"/>
  <c r="L66" i="12"/>
  <c r="I66" i="12"/>
  <c r="E66" i="12"/>
  <c r="D66" i="12"/>
  <c r="C66" i="12"/>
  <c r="L65" i="12"/>
  <c r="I65" i="12"/>
  <c r="E65" i="12"/>
  <c r="D65" i="12"/>
  <c r="C65" i="12"/>
  <c r="L64" i="12"/>
  <c r="I64" i="12"/>
  <c r="E64" i="12"/>
  <c r="D64" i="12"/>
  <c r="C64" i="12"/>
  <c r="L63" i="12"/>
  <c r="I63" i="12"/>
  <c r="E63" i="12"/>
  <c r="D63" i="12"/>
  <c r="C63" i="12"/>
  <c r="L62" i="12"/>
  <c r="I62" i="12"/>
  <c r="E62" i="12"/>
  <c r="D62" i="12"/>
  <c r="C62" i="12"/>
  <c r="L61" i="12"/>
  <c r="I61" i="12"/>
  <c r="E61" i="12"/>
  <c r="D61" i="12"/>
  <c r="C61" i="12"/>
  <c r="L60" i="12"/>
  <c r="I60" i="12"/>
  <c r="E60" i="12"/>
  <c r="D60" i="12"/>
  <c r="C60" i="12"/>
  <c r="L59" i="12"/>
  <c r="I59" i="12"/>
  <c r="E59" i="12"/>
  <c r="D59" i="12"/>
  <c r="C59" i="12"/>
  <c r="L58" i="12"/>
  <c r="I58" i="12"/>
  <c r="E58" i="12"/>
  <c r="D58" i="12"/>
  <c r="C58" i="12"/>
  <c r="L57" i="12"/>
  <c r="I57" i="12"/>
  <c r="E57" i="12"/>
  <c r="D57" i="12"/>
  <c r="C57" i="12"/>
  <c r="L56" i="12"/>
  <c r="I56" i="12"/>
  <c r="E56" i="12"/>
  <c r="D56" i="12"/>
  <c r="C56" i="12"/>
  <c r="L55" i="12"/>
  <c r="I55" i="12"/>
  <c r="E55" i="12"/>
  <c r="D55" i="12"/>
  <c r="C55" i="12"/>
  <c r="L54" i="12"/>
  <c r="I54" i="12"/>
  <c r="E54" i="12"/>
  <c r="D54" i="12"/>
  <c r="C54" i="12"/>
  <c r="L53" i="12"/>
  <c r="I53" i="12"/>
  <c r="E53" i="12"/>
  <c r="D53" i="12"/>
  <c r="C53" i="12"/>
  <c r="L52" i="12"/>
  <c r="I52" i="12"/>
  <c r="E52" i="12"/>
  <c r="D52" i="12"/>
  <c r="C52" i="12"/>
  <c r="L51" i="12"/>
  <c r="I51" i="12"/>
  <c r="E51" i="12"/>
  <c r="D51" i="12"/>
  <c r="C51" i="12"/>
  <c r="L50" i="12"/>
  <c r="I50" i="12"/>
  <c r="E50" i="12"/>
  <c r="D50" i="12"/>
  <c r="C50" i="12"/>
  <c r="L49" i="12"/>
  <c r="I49" i="12"/>
  <c r="E49" i="12"/>
  <c r="D49" i="12"/>
  <c r="C49" i="12"/>
  <c r="L48" i="12"/>
  <c r="I48" i="12"/>
  <c r="E48" i="12"/>
  <c r="D48" i="12"/>
  <c r="C48" i="12"/>
  <c r="L47" i="12"/>
  <c r="I47" i="12"/>
  <c r="E47" i="12"/>
  <c r="D47" i="12"/>
  <c r="C47" i="12"/>
  <c r="L46" i="12"/>
  <c r="I46" i="12"/>
  <c r="E46" i="12"/>
  <c r="D46" i="12"/>
  <c r="C46" i="12"/>
  <c r="L45" i="12"/>
  <c r="I45" i="12"/>
  <c r="E45" i="12"/>
  <c r="D45" i="12"/>
  <c r="C45" i="12"/>
  <c r="L44" i="12"/>
  <c r="I44" i="12"/>
  <c r="E44" i="12"/>
  <c r="D44" i="12"/>
  <c r="C44" i="12"/>
  <c r="L43" i="12"/>
  <c r="I43" i="12"/>
  <c r="E43" i="12"/>
  <c r="D43" i="12"/>
  <c r="C43" i="12"/>
  <c r="L42" i="12"/>
  <c r="I42" i="12"/>
  <c r="E42" i="12"/>
  <c r="D42" i="12"/>
  <c r="C42" i="12"/>
  <c r="L41" i="12"/>
  <c r="I41" i="12"/>
  <c r="E41" i="12"/>
  <c r="D41" i="12"/>
  <c r="C41" i="12"/>
  <c r="L40" i="12"/>
  <c r="I40" i="12"/>
  <c r="E40" i="12"/>
  <c r="D40" i="12"/>
  <c r="C40" i="12"/>
  <c r="L39" i="12"/>
  <c r="I39" i="12"/>
  <c r="E39" i="12"/>
  <c r="D39" i="12"/>
  <c r="C39" i="12"/>
  <c r="L38" i="12"/>
  <c r="I38" i="12"/>
  <c r="E38" i="12"/>
  <c r="D38" i="12"/>
  <c r="C38" i="12"/>
  <c r="L37" i="12"/>
  <c r="I37" i="12"/>
  <c r="E37" i="12"/>
  <c r="D37" i="12"/>
  <c r="C37" i="12"/>
  <c r="L36" i="12"/>
  <c r="I36" i="12"/>
  <c r="E36" i="12"/>
  <c r="D36" i="12"/>
  <c r="C36" i="12"/>
  <c r="L35" i="12"/>
  <c r="I35" i="12"/>
  <c r="E35" i="12"/>
  <c r="D35" i="12"/>
  <c r="C35" i="12"/>
  <c r="L34" i="12"/>
  <c r="I34" i="12"/>
  <c r="E34" i="12"/>
  <c r="D34" i="12"/>
  <c r="C34" i="12"/>
  <c r="L33" i="12"/>
  <c r="I33" i="12"/>
  <c r="E33" i="12"/>
  <c r="D33" i="12"/>
  <c r="C33" i="12"/>
  <c r="L32" i="12"/>
  <c r="I32" i="12"/>
  <c r="E32" i="12"/>
  <c r="D32" i="12"/>
  <c r="C32" i="12"/>
  <c r="L31" i="12"/>
  <c r="I31" i="12"/>
  <c r="E31" i="12"/>
  <c r="D31" i="12"/>
  <c r="C31" i="12"/>
  <c r="L30" i="12"/>
  <c r="I30" i="12"/>
  <c r="E30" i="12"/>
  <c r="D30" i="12"/>
  <c r="C30" i="12"/>
  <c r="L29" i="12"/>
  <c r="I29" i="12"/>
  <c r="E29" i="12"/>
  <c r="D29" i="12"/>
  <c r="C29" i="12"/>
  <c r="L28" i="12"/>
  <c r="I28" i="12"/>
  <c r="E28" i="12"/>
  <c r="D28" i="12"/>
  <c r="C28" i="12"/>
  <c r="L27" i="12"/>
  <c r="I27" i="12"/>
  <c r="E27" i="12"/>
  <c r="D27" i="12"/>
  <c r="C27" i="12"/>
  <c r="L26" i="12"/>
  <c r="I26" i="12"/>
  <c r="E26" i="12"/>
  <c r="D26" i="12"/>
  <c r="C26" i="12"/>
  <c r="L25" i="12"/>
  <c r="I25" i="12"/>
  <c r="E25" i="12"/>
  <c r="D25" i="12"/>
  <c r="C25" i="12"/>
  <c r="L24" i="12"/>
  <c r="I24" i="12"/>
  <c r="E24" i="12"/>
  <c r="D24" i="12"/>
  <c r="C24" i="12"/>
  <c r="L23" i="12"/>
  <c r="I23" i="12"/>
  <c r="E23" i="12"/>
  <c r="D23" i="12"/>
  <c r="C23" i="12"/>
  <c r="L22" i="12"/>
  <c r="I22" i="12"/>
  <c r="E22" i="12"/>
  <c r="D22" i="12"/>
  <c r="C22" i="12"/>
  <c r="L21" i="12"/>
  <c r="I21" i="12"/>
  <c r="E21" i="12"/>
  <c r="D21" i="12"/>
  <c r="C21" i="12"/>
  <c r="L20" i="12"/>
  <c r="I20" i="12"/>
  <c r="E20" i="12"/>
  <c r="D20" i="12"/>
  <c r="C20" i="12"/>
  <c r="L19" i="12"/>
  <c r="I19" i="12"/>
  <c r="E19" i="12"/>
  <c r="D19" i="12"/>
  <c r="C19" i="12"/>
  <c r="L18" i="12"/>
  <c r="I18" i="12"/>
  <c r="E18" i="12"/>
  <c r="D18" i="12"/>
  <c r="C18" i="12"/>
  <c r="L17" i="12"/>
  <c r="I17" i="12"/>
  <c r="E17" i="12"/>
  <c r="D17" i="12"/>
  <c r="C17" i="12"/>
  <c r="L16" i="12"/>
  <c r="I16" i="12"/>
  <c r="E16" i="12"/>
  <c r="D16" i="12"/>
  <c r="C16" i="12"/>
  <c r="L15" i="12"/>
  <c r="I15" i="12"/>
  <c r="E15" i="12"/>
  <c r="D15" i="12"/>
  <c r="C15" i="12"/>
  <c r="L14" i="12"/>
  <c r="I14" i="12"/>
  <c r="E14" i="12"/>
  <c r="D14" i="12"/>
  <c r="C14" i="12"/>
  <c r="L13" i="12"/>
  <c r="I13" i="12"/>
  <c r="E13" i="12"/>
  <c r="D13" i="12"/>
  <c r="C13" i="12"/>
  <c r="L12" i="12"/>
  <c r="I12" i="12"/>
  <c r="E12" i="12"/>
  <c r="D12" i="12"/>
  <c r="C12" i="12"/>
  <c r="L11" i="12"/>
  <c r="I11" i="12"/>
  <c r="E11" i="12"/>
  <c r="D11" i="12"/>
  <c r="C11" i="12"/>
  <c r="L10" i="12"/>
  <c r="I10" i="12"/>
  <c r="E10" i="12"/>
  <c r="D10" i="12"/>
  <c r="C10" i="12"/>
  <c r="L9" i="12"/>
  <c r="I9" i="12"/>
  <c r="E9" i="12"/>
  <c r="D9" i="12"/>
  <c r="C9" i="12"/>
  <c r="L8" i="12"/>
  <c r="I8" i="12"/>
  <c r="E8" i="12"/>
  <c r="D8" i="12"/>
  <c r="C8" i="12"/>
  <c r="L7" i="12"/>
  <c r="I7" i="12"/>
  <c r="E7" i="12"/>
  <c r="D7" i="12"/>
  <c r="C7" i="12"/>
  <c r="L6" i="12"/>
  <c r="I6" i="12"/>
  <c r="E6" i="12"/>
  <c r="D6" i="12"/>
  <c r="C6" i="12"/>
  <c r="EV365" i="15"/>
  <c r="ES365" i="15"/>
  <c r="EO365" i="15"/>
  <c r="EN365" i="15"/>
  <c r="EM365" i="15"/>
  <c r="EH365" i="15"/>
  <c r="EE365" i="15"/>
  <c r="EA365" i="15"/>
  <c r="DZ365" i="15"/>
  <c r="DY365" i="15"/>
  <c r="DT365" i="15"/>
  <c r="DQ365" i="15"/>
  <c r="DM365" i="15"/>
  <c r="DL365" i="15"/>
  <c r="DK365" i="15"/>
  <c r="DF365" i="15"/>
  <c r="DC365" i="15"/>
  <c r="CY365" i="15"/>
  <c r="CX365" i="15"/>
  <c r="CW365" i="15"/>
  <c r="CR365" i="15"/>
  <c r="CO365" i="15"/>
  <c r="CK365" i="15"/>
  <c r="CJ365" i="15"/>
  <c r="CI365" i="15"/>
  <c r="CD365" i="15"/>
  <c r="CA365" i="15"/>
  <c r="BW365" i="15"/>
  <c r="BV365" i="15"/>
  <c r="BU365" i="15"/>
  <c r="BP365" i="15"/>
  <c r="BM365" i="15"/>
  <c r="BI365" i="15"/>
  <c r="BH365" i="15"/>
  <c r="BG365" i="15"/>
  <c r="BB365" i="15"/>
  <c r="AY365" i="15"/>
  <c r="AU365" i="15"/>
  <c r="AT365" i="15"/>
  <c r="AS365" i="15"/>
  <c r="Z365" i="15"/>
  <c r="W365" i="15"/>
  <c r="S365" i="15"/>
  <c r="R365" i="15"/>
  <c r="Q365" i="15"/>
  <c r="K365" i="15"/>
  <c r="H365" i="15"/>
  <c r="EV364" i="15"/>
  <c r="ES364" i="15"/>
  <c r="EO364" i="15"/>
  <c r="EN364" i="15"/>
  <c r="EM364" i="15"/>
  <c r="EH364" i="15"/>
  <c r="EE364" i="15"/>
  <c r="EA364" i="15"/>
  <c r="DZ364" i="15"/>
  <c r="DY364" i="15"/>
  <c r="DT364" i="15"/>
  <c r="DQ364" i="15"/>
  <c r="DM364" i="15"/>
  <c r="DL364" i="15"/>
  <c r="DK364" i="15"/>
  <c r="DF364" i="15"/>
  <c r="DC364" i="15"/>
  <c r="CY364" i="15"/>
  <c r="CX364" i="15"/>
  <c r="CW364" i="15"/>
  <c r="CR364" i="15"/>
  <c r="CO364" i="15"/>
  <c r="CK364" i="15"/>
  <c r="CJ364" i="15"/>
  <c r="CI364" i="15"/>
  <c r="CD364" i="15"/>
  <c r="CA364" i="15"/>
  <c r="BW364" i="15"/>
  <c r="BV364" i="15"/>
  <c r="BU364" i="15"/>
  <c r="BP364" i="15"/>
  <c r="BM364" i="15"/>
  <c r="BI364" i="15"/>
  <c r="BH364" i="15"/>
  <c r="BG364" i="15"/>
  <c r="BB364" i="15"/>
  <c r="AY364" i="15"/>
  <c r="AU364" i="15"/>
  <c r="AT364" i="15"/>
  <c r="AS364" i="15"/>
  <c r="Z364" i="15"/>
  <c r="W364" i="15"/>
  <c r="S364" i="15"/>
  <c r="R364" i="15"/>
  <c r="Q364" i="15"/>
  <c r="K364" i="15"/>
  <c r="J364" i="15"/>
  <c r="H364" i="15"/>
  <c r="EV363" i="15"/>
  <c r="ES363" i="15"/>
  <c r="EO363" i="15"/>
  <c r="EN363" i="15"/>
  <c r="EM363" i="15"/>
  <c r="EH363" i="15"/>
  <c r="EE363" i="15"/>
  <c r="EA363" i="15"/>
  <c r="DZ363" i="15"/>
  <c r="DY363" i="15"/>
  <c r="DT363" i="15"/>
  <c r="DQ363" i="15"/>
  <c r="DM363" i="15"/>
  <c r="DL363" i="15"/>
  <c r="DK363" i="15"/>
  <c r="DF363" i="15"/>
  <c r="DC363" i="15"/>
  <c r="CY363" i="15"/>
  <c r="CX363" i="15"/>
  <c r="CW363" i="15"/>
  <c r="CR363" i="15"/>
  <c r="CO363" i="15"/>
  <c r="CK363" i="15"/>
  <c r="CJ363" i="15"/>
  <c r="CI363" i="15"/>
  <c r="CD363" i="15"/>
  <c r="CA363" i="15"/>
  <c r="BW363" i="15"/>
  <c r="BV363" i="15"/>
  <c r="BU363" i="15"/>
  <c r="BP363" i="15"/>
  <c r="BM363" i="15"/>
  <c r="BI363" i="15"/>
  <c r="BH363" i="15"/>
  <c r="BG363" i="15"/>
  <c r="BB363" i="15"/>
  <c r="AY363" i="15"/>
  <c r="AU363" i="15"/>
  <c r="AT363" i="15"/>
  <c r="AS363" i="15"/>
  <c r="Z363" i="15"/>
  <c r="W363" i="15"/>
  <c r="S363" i="15"/>
  <c r="R363" i="15"/>
  <c r="Q363" i="15"/>
  <c r="K363" i="15"/>
  <c r="J363" i="15"/>
  <c r="H363" i="15"/>
  <c r="EV362" i="15"/>
  <c r="ES362" i="15"/>
  <c r="EO362" i="15"/>
  <c r="EN362" i="15"/>
  <c r="EM362" i="15"/>
  <c r="EH362" i="15"/>
  <c r="EE362" i="15"/>
  <c r="EA362" i="15"/>
  <c r="DZ362" i="15"/>
  <c r="DY362" i="15"/>
  <c r="DT362" i="15"/>
  <c r="DQ362" i="15"/>
  <c r="DM362" i="15"/>
  <c r="DL362" i="15"/>
  <c r="DK362" i="15"/>
  <c r="DF362" i="15"/>
  <c r="DC362" i="15"/>
  <c r="CY362" i="15"/>
  <c r="CX362" i="15"/>
  <c r="CW362" i="15"/>
  <c r="CR362" i="15"/>
  <c r="CO362" i="15"/>
  <c r="CK362" i="15"/>
  <c r="CJ362" i="15"/>
  <c r="CI362" i="15"/>
  <c r="CD362" i="15"/>
  <c r="CA362" i="15"/>
  <c r="BW362" i="15"/>
  <c r="BV362" i="15"/>
  <c r="BU362" i="15"/>
  <c r="BP362" i="15"/>
  <c r="BM362" i="15"/>
  <c r="BI362" i="15"/>
  <c r="BH362" i="15"/>
  <c r="BG362" i="15"/>
  <c r="BB362" i="15"/>
  <c r="AY362" i="15"/>
  <c r="AU362" i="15"/>
  <c r="AT362" i="15"/>
  <c r="AS362" i="15"/>
  <c r="Z362" i="15"/>
  <c r="W362" i="15"/>
  <c r="S362" i="15"/>
  <c r="R362" i="15"/>
  <c r="Q362" i="15"/>
  <c r="K362" i="15"/>
  <c r="J362" i="15"/>
  <c r="H362" i="15"/>
  <c r="EV361" i="15"/>
  <c r="ES361" i="15"/>
  <c r="EO361" i="15"/>
  <c r="EN361" i="15"/>
  <c r="EM361" i="15"/>
  <c r="EH361" i="15"/>
  <c r="EE361" i="15"/>
  <c r="EA361" i="15"/>
  <c r="DZ361" i="15"/>
  <c r="DY361" i="15"/>
  <c r="DT361" i="15"/>
  <c r="DQ361" i="15"/>
  <c r="DM361" i="15"/>
  <c r="DL361" i="15"/>
  <c r="DK361" i="15"/>
  <c r="DF361" i="15"/>
  <c r="DC361" i="15"/>
  <c r="CY361" i="15"/>
  <c r="CX361" i="15"/>
  <c r="CW361" i="15"/>
  <c r="CR361" i="15"/>
  <c r="CO361" i="15"/>
  <c r="CK361" i="15"/>
  <c r="CJ361" i="15"/>
  <c r="CI361" i="15"/>
  <c r="CD361" i="15"/>
  <c r="CA361" i="15"/>
  <c r="BW361" i="15"/>
  <c r="BV361" i="15"/>
  <c r="BU361" i="15"/>
  <c r="BP361" i="15"/>
  <c r="BM361" i="15"/>
  <c r="BI361" i="15"/>
  <c r="BH361" i="15"/>
  <c r="BG361" i="15"/>
  <c r="BB361" i="15"/>
  <c r="AY361" i="15"/>
  <c r="AU361" i="15"/>
  <c r="AT361" i="15"/>
  <c r="AS361" i="15"/>
  <c r="Z361" i="15"/>
  <c r="W361" i="15"/>
  <c r="S361" i="15"/>
  <c r="R361" i="15"/>
  <c r="Q361" i="15"/>
  <c r="K361" i="15"/>
  <c r="J361" i="15"/>
  <c r="G361" i="15" s="1"/>
  <c r="H361" i="15"/>
  <c r="EV360" i="15"/>
  <c r="ES360" i="15"/>
  <c r="EO360" i="15"/>
  <c r="EN360" i="15"/>
  <c r="EM360" i="15"/>
  <c r="EH360" i="15"/>
  <c r="EE360" i="15"/>
  <c r="EA360" i="15"/>
  <c r="DZ360" i="15"/>
  <c r="DY360" i="15"/>
  <c r="DT360" i="15"/>
  <c r="DQ360" i="15"/>
  <c r="DM360" i="15"/>
  <c r="DL360" i="15"/>
  <c r="DK360" i="15"/>
  <c r="DF360" i="15"/>
  <c r="DC360" i="15"/>
  <c r="CY360" i="15"/>
  <c r="CX360" i="15"/>
  <c r="CW360" i="15"/>
  <c r="CR360" i="15"/>
  <c r="CO360" i="15"/>
  <c r="CK360" i="15"/>
  <c r="CJ360" i="15"/>
  <c r="CI360" i="15"/>
  <c r="CD360" i="15"/>
  <c r="CA360" i="15"/>
  <c r="BW360" i="15"/>
  <c r="BV360" i="15"/>
  <c r="BU360" i="15"/>
  <c r="BP360" i="15"/>
  <c r="BM360" i="15"/>
  <c r="BI360" i="15"/>
  <c r="BH360" i="15"/>
  <c r="BG360" i="15"/>
  <c r="BB360" i="15"/>
  <c r="AY360" i="15"/>
  <c r="AU360" i="15"/>
  <c r="AT360" i="15"/>
  <c r="AS360" i="15"/>
  <c r="Z360" i="15"/>
  <c r="W360" i="15"/>
  <c r="S360" i="15"/>
  <c r="R360" i="15"/>
  <c r="Q360" i="15"/>
  <c r="K360" i="15"/>
  <c r="J360" i="15"/>
  <c r="G360" i="15" s="1"/>
  <c r="H360" i="15"/>
  <c r="EV359" i="15"/>
  <c r="ES359" i="15"/>
  <c r="EO359" i="15"/>
  <c r="EN359" i="15"/>
  <c r="EM359" i="15"/>
  <c r="EH359" i="15"/>
  <c r="EE359" i="15"/>
  <c r="EA359" i="15"/>
  <c r="DZ359" i="15"/>
  <c r="DY359" i="15"/>
  <c r="DT359" i="15"/>
  <c r="DQ359" i="15"/>
  <c r="DM359" i="15"/>
  <c r="DL359" i="15"/>
  <c r="DK359" i="15"/>
  <c r="DF359" i="15"/>
  <c r="DC359" i="15"/>
  <c r="CY359" i="15"/>
  <c r="CX359" i="15"/>
  <c r="CW359" i="15"/>
  <c r="CR359" i="15"/>
  <c r="CO359" i="15"/>
  <c r="CK359" i="15"/>
  <c r="CJ359" i="15"/>
  <c r="CI359" i="15"/>
  <c r="CD359" i="15"/>
  <c r="CA359" i="15"/>
  <c r="BW359" i="15"/>
  <c r="BV359" i="15"/>
  <c r="BU359" i="15"/>
  <c r="BP359" i="15"/>
  <c r="BM359" i="15"/>
  <c r="BI359" i="15"/>
  <c r="BH359" i="15"/>
  <c r="BG359" i="15"/>
  <c r="BB359" i="15"/>
  <c r="AY359" i="15"/>
  <c r="AU359" i="15"/>
  <c r="AT359" i="15"/>
  <c r="AS359" i="15"/>
  <c r="Z359" i="15"/>
  <c r="W359" i="15"/>
  <c r="S359" i="15"/>
  <c r="R359" i="15"/>
  <c r="Q359" i="15"/>
  <c r="K359" i="15"/>
  <c r="J359" i="15"/>
  <c r="H359" i="15"/>
  <c r="EV358" i="15"/>
  <c r="ES358" i="15"/>
  <c r="EO358" i="15"/>
  <c r="EN358" i="15"/>
  <c r="EM358" i="15"/>
  <c r="EH358" i="15"/>
  <c r="EE358" i="15"/>
  <c r="EA358" i="15"/>
  <c r="DZ358" i="15"/>
  <c r="DY358" i="15"/>
  <c r="DT358" i="15"/>
  <c r="DQ358" i="15"/>
  <c r="DM358" i="15"/>
  <c r="DL358" i="15"/>
  <c r="DK358" i="15"/>
  <c r="DF358" i="15"/>
  <c r="DC358" i="15"/>
  <c r="CY358" i="15"/>
  <c r="CX358" i="15"/>
  <c r="CW358" i="15"/>
  <c r="CR358" i="15"/>
  <c r="CO358" i="15"/>
  <c r="CK358" i="15"/>
  <c r="CJ358" i="15"/>
  <c r="CI358" i="15"/>
  <c r="CD358" i="15"/>
  <c r="CA358" i="15"/>
  <c r="BW358" i="15"/>
  <c r="BV358" i="15"/>
  <c r="BU358" i="15"/>
  <c r="BP358" i="15"/>
  <c r="BM358" i="15"/>
  <c r="BI358" i="15"/>
  <c r="BH358" i="15"/>
  <c r="BG358" i="15"/>
  <c r="BB358" i="15"/>
  <c r="AY358" i="15"/>
  <c r="AU358" i="15"/>
  <c r="AT358" i="15"/>
  <c r="AS358" i="15"/>
  <c r="Z358" i="15"/>
  <c r="W358" i="15"/>
  <c r="S358" i="15"/>
  <c r="R358" i="15"/>
  <c r="Q358" i="15"/>
  <c r="K358" i="15"/>
  <c r="J358" i="15"/>
  <c r="G358" i="15" s="1"/>
  <c r="H358" i="15"/>
  <c r="EV357" i="15"/>
  <c r="ES357" i="15"/>
  <c r="EO357" i="15"/>
  <c r="EN357" i="15"/>
  <c r="EM357" i="15"/>
  <c r="EH357" i="15"/>
  <c r="EE357" i="15"/>
  <c r="EA357" i="15"/>
  <c r="DZ357" i="15"/>
  <c r="DY357" i="15"/>
  <c r="DT357" i="15"/>
  <c r="DQ357" i="15"/>
  <c r="DM357" i="15"/>
  <c r="DL357" i="15"/>
  <c r="DK357" i="15"/>
  <c r="DF357" i="15"/>
  <c r="DC357" i="15"/>
  <c r="CY357" i="15"/>
  <c r="CX357" i="15"/>
  <c r="CW357" i="15"/>
  <c r="CR357" i="15"/>
  <c r="CO357" i="15"/>
  <c r="CK357" i="15"/>
  <c r="CJ357" i="15"/>
  <c r="CI357" i="15"/>
  <c r="CD357" i="15"/>
  <c r="CA357" i="15"/>
  <c r="BW357" i="15"/>
  <c r="BV357" i="15"/>
  <c r="BU357" i="15"/>
  <c r="BP357" i="15"/>
  <c r="BM357" i="15"/>
  <c r="BI357" i="15"/>
  <c r="BH357" i="15"/>
  <c r="BG357" i="15"/>
  <c r="BB357" i="15"/>
  <c r="AY357" i="15"/>
  <c r="AU357" i="15"/>
  <c r="AT357" i="15"/>
  <c r="AS357" i="15"/>
  <c r="Z357" i="15"/>
  <c r="W357" i="15"/>
  <c r="S357" i="15"/>
  <c r="R357" i="15"/>
  <c r="Q357" i="15"/>
  <c r="K357" i="15"/>
  <c r="J357" i="15"/>
  <c r="H357" i="15"/>
  <c r="EV356" i="15"/>
  <c r="ES356" i="15"/>
  <c r="EO356" i="15"/>
  <c r="EN356" i="15"/>
  <c r="EM356" i="15"/>
  <c r="EH356" i="15"/>
  <c r="EE356" i="15"/>
  <c r="EA356" i="15"/>
  <c r="DZ356" i="15"/>
  <c r="DY356" i="15"/>
  <c r="DT356" i="15"/>
  <c r="DQ356" i="15"/>
  <c r="DM356" i="15"/>
  <c r="DL356" i="15"/>
  <c r="DK356" i="15"/>
  <c r="DF356" i="15"/>
  <c r="DC356" i="15"/>
  <c r="CY356" i="15"/>
  <c r="CX356" i="15"/>
  <c r="CW356" i="15"/>
  <c r="CR356" i="15"/>
  <c r="CO356" i="15"/>
  <c r="CK356" i="15"/>
  <c r="CJ356" i="15"/>
  <c r="CI356" i="15"/>
  <c r="CD356" i="15"/>
  <c r="CA356" i="15"/>
  <c r="BW356" i="15"/>
  <c r="BV356" i="15"/>
  <c r="BU356" i="15"/>
  <c r="BP356" i="15"/>
  <c r="BM356" i="15"/>
  <c r="BI356" i="15"/>
  <c r="BH356" i="15"/>
  <c r="BG356" i="15"/>
  <c r="BB356" i="15"/>
  <c r="AY356" i="15"/>
  <c r="AU356" i="15"/>
  <c r="AT356" i="15"/>
  <c r="AS356" i="15"/>
  <c r="Z356" i="15"/>
  <c r="W356" i="15"/>
  <c r="S356" i="15"/>
  <c r="R356" i="15"/>
  <c r="Q356" i="15"/>
  <c r="K356" i="15"/>
  <c r="J356" i="15"/>
  <c r="G356" i="15" s="1"/>
  <c r="H356" i="15"/>
  <c r="EV355" i="15"/>
  <c r="ES355" i="15"/>
  <c r="EO355" i="15"/>
  <c r="EN355" i="15"/>
  <c r="EM355" i="15"/>
  <c r="EH355" i="15"/>
  <c r="EE355" i="15"/>
  <c r="EA355" i="15"/>
  <c r="DZ355" i="15"/>
  <c r="DY355" i="15"/>
  <c r="DT355" i="15"/>
  <c r="DQ355" i="15"/>
  <c r="DM355" i="15"/>
  <c r="DL355" i="15"/>
  <c r="DK355" i="15"/>
  <c r="DF355" i="15"/>
  <c r="DC355" i="15"/>
  <c r="CY355" i="15"/>
  <c r="CX355" i="15"/>
  <c r="CW355" i="15"/>
  <c r="CR355" i="15"/>
  <c r="CO355" i="15"/>
  <c r="CK355" i="15"/>
  <c r="CJ355" i="15"/>
  <c r="CI355" i="15"/>
  <c r="CD355" i="15"/>
  <c r="CA355" i="15"/>
  <c r="BW355" i="15"/>
  <c r="BV355" i="15"/>
  <c r="BU355" i="15"/>
  <c r="BP355" i="15"/>
  <c r="BM355" i="15"/>
  <c r="BI355" i="15"/>
  <c r="BH355" i="15"/>
  <c r="BG355" i="15"/>
  <c r="BB355" i="15"/>
  <c r="AY355" i="15"/>
  <c r="AU355" i="15"/>
  <c r="AT355" i="15"/>
  <c r="AS355" i="15"/>
  <c r="Z355" i="15"/>
  <c r="W355" i="15"/>
  <c r="S355" i="15"/>
  <c r="R355" i="15"/>
  <c r="Q355" i="15"/>
  <c r="K355" i="15"/>
  <c r="J355" i="15"/>
  <c r="G355" i="15" s="1"/>
  <c r="H355" i="15"/>
  <c r="EV354" i="15"/>
  <c r="ES354" i="15"/>
  <c r="EO354" i="15"/>
  <c r="EN354" i="15"/>
  <c r="EM354" i="15"/>
  <c r="EH354" i="15"/>
  <c r="EE354" i="15"/>
  <c r="EA354" i="15"/>
  <c r="DZ354" i="15"/>
  <c r="DY354" i="15"/>
  <c r="DT354" i="15"/>
  <c r="DQ354" i="15"/>
  <c r="DM354" i="15"/>
  <c r="DL354" i="15"/>
  <c r="DK354" i="15"/>
  <c r="DF354" i="15"/>
  <c r="DC354" i="15"/>
  <c r="CY354" i="15"/>
  <c r="CX354" i="15"/>
  <c r="CW354" i="15"/>
  <c r="CR354" i="15"/>
  <c r="CO354" i="15"/>
  <c r="CK354" i="15"/>
  <c r="CJ354" i="15"/>
  <c r="CI354" i="15"/>
  <c r="CD354" i="15"/>
  <c r="CA354" i="15"/>
  <c r="BW354" i="15"/>
  <c r="BV354" i="15"/>
  <c r="BU354" i="15"/>
  <c r="BP354" i="15"/>
  <c r="BM354" i="15"/>
  <c r="BI354" i="15"/>
  <c r="BH354" i="15"/>
  <c r="BG354" i="15"/>
  <c r="BB354" i="15"/>
  <c r="AY354" i="15"/>
  <c r="AU354" i="15"/>
  <c r="AT354" i="15"/>
  <c r="AS354" i="15"/>
  <c r="Z354" i="15"/>
  <c r="W354" i="15"/>
  <c r="S354" i="15"/>
  <c r="R354" i="15"/>
  <c r="Q354" i="15"/>
  <c r="K354" i="15"/>
  <c r="J354" i="15"/>
  <c r="G354" i="15" s="1"/>
  <c r="H354" i="15"/>
  <c r="EV353" i="15"/>
  <c r="ES353" i="15"/>
  <c r="EO353" i="15"/>
  <c r="EN353" i="15"/>
  <c r="EM353" i="15"/>
  <c r="EH353" i="15"/>
  <c r="EE353" i="15"/>
  <c r="EA353" i="15"/>
  <c r="DZ353" i="15"/>
  <c r="DY353" i="15"/>
  <c r="DT353" i="15"/>
  <c r="DQ353" i="15"/>
  <c r="DM353" i="15"/>
  <c r="DL353" i="15"/>
  <c r="DK353" i="15"/>
  <c r="DF353" i="15"/>
  <c r="DC353" i="15"/>
  <c r="CY353" i="15"/>
  <c r="CX353" i="15"/>
  <c r="CW353" i="15"/>
  <c r="CR353" i="15"/>
  <c r="CO353" i="15"/>
  <c r="CK353" i="15"/>
  <c r="CJ353" i="15"/>
  <c r="CI353" i="15"/>
  <c r="CD353" i="15"/>
  <c r="CA353" i="15"/>
  <c r="BW353" i="15"/>
  <c r="BV353" i="15"/>
  <c r="BU353" i="15"/>
  <c r="BP353" i="15"/>
  <c r="BM353" i="15"/>
  <c r="BI353" i="15"/>
  <c r="BH353" i="15"/>
  <c r="BG353" i="15"/>
  <c r="BB353" i="15"/>
  <c r="AY353" i="15"/>
  <c r="AU353" i="15"/>
  <c r="AT353" i="15"/>
  <c r="AS353" i="15"/>
  <c r="Z353" i="15"/>
  <c r="W353" i="15"/>
  <c r="S353" i="15"/>
  <c r="R353" i="15"/>
  <c r="Q353" i="15"/>
  <c r="K353" i="15"/>
  <c r="J353" i="15"/>
  <c r="G353" i="15" s="1"/>
  <c r="H353" i="15"/>
  <c r="EV352" i="15"/>
  <c r="ES352" i="15"/>
  <c r="EO352" i="15"/>
  <c r="EN352" i="15"/>
  <c r="EM352" i="15"/>
  <c r="EH352" i="15"/>
  <c r="EE352" i="15"/>
  <c r="EA352" i="15"/>
  <c r="DZ352" i="15"/>
  <c r="DY352" i="15"/>
  <c r="DT352" i="15"/>
  <c r="DQ352" i="15"/>
  <c r="DM352" i="15"/>
  <c r="DL352" i="15"/>
  <c r="DK352" i="15"/>
  <c r="DF352" i="15"/>
  <c r="DC352" i="15"/>
  <c r="CY352" i="15"/>
  <c r="CX352" i="15"/>
  <c r="CW352" i="15"/>
  <c r="CR352" i="15"/>
  <c r="CO352" i="15"/>
  <c r="CK352" i="15"/>
  <c r="CJ352" i="15"/>
  <c r="CI352" i="15"/>
  <c r="CD352" i="15"/>
  <c r="CA352" i="15"/>
  <c r="BW352" i="15"/>
  <c r="BV352" i="15"/>
  <c r="BU352" i="15"/>
  <c r="BP352" i="15"/>
  <c r="BM352" i="15"/>
  <c r="BI352" i="15"/>
  <c r="BH352" i="15"/>
  <c r="BG352" i="15"/>
  <c r="BB352" i="15"/>
  <c r="AY352" i="15"/>
  <c r="AU352" i="15"/>
  <c r="AT352" i="15"/>
  <c r="AS352" i="15"/>
  <c r="Z352" i="15"/>
  <c r="W352" i="15"/>
  <c r="S352" i="15"/>
  <c r="R352" i="15"/>
  <c r="Q352" i="15"/>
  <c r="K352" i="15"/>
  <c r="J352" i="15"/>
  <c r="H352" i="15"/>
  <c r="EV351" i="15"/>
  <c r="ES351" i="15"/>
  <c r="EO351" i="15"/>
  <c r="EN351" i="15"/>
  <c r="EM351" i="15"/>
  <c r="EH351" i="15"/>
  <c r="EE351" i="15"/>
  <c r="EA351" i="15"/>
  <c r="DZ351" i="15"/>
  <c r="DY351" i="15"/>
  <c r="DT351" i="15"/>
  <c r="DQ351" i="15"/>
  <c r="DM351" i="15"/>
  <c r="DL351" i="15"/>
  <c r="DK351" i="15"/>
  <c r="DF351" i="15"/>
  <c r="DC351" i="15"/>
  <c r="CY351" i="15"/>
  <c r="CX351" i="15"/>
  <c r="CW351" i="15"/>
  <c r="CR351" i="15"/>
  <c r="CO351" i="15"/>
  <c r="CK351" i="15"/>
  <c r="CJ351" i="15"/>
  <c r="CI351" i="15"/>
  <c r="CD351" i="15"/>
  <c r="CA351" i="15"/>
  <c r="BW351" i="15"/>
  <c r="BV351" i="15"/>
  <c r="BU351" i="15"/>
  <c r="BP351" i="15"/>
  <c r="BM351" i="15"/>
  <c r="BI351" i="15"/>
  <c r="BH351" i="15"/>
  <c r="BG351" i="15"/>
  <c r="BB351" i="15"/>
  <c r="AY351" i="15"/>
  <c r="AU351" i="15"/>
  <c r="AT351" i="15"/>
  <c r="AS351" i="15"/>
  <c r="Z351" i="15"/>
  <c r="W351" i="15"/>
  <c r="S351" i="15"/>
  <c r="R351" i="15"/>
  <c r="Q351" i="15"/>
  <c r="K351" i="15"/>
  <c r="J351" i="15"/>
  <c r="H351" i="15"/>
  <c r="EV350" i="15"/>
  <c r="ES350" i="15"/>
  <c r="EO350" i="15"/>
  <c r="EN350" i="15"/>
  <c r="EM350" i="15"/>
  <c r="EH350" i="15"/>
  <c r="EE350" i="15"/>
  <c r="EA350" i="15"/>
  <c r="DZ350" i="15"/>
  <c r="DY350" i="15"/>
  <c r="DT350" i="15"/>
  <c r="DQ350" i="15"/>
  <c r="DM350" i="15"/>
  <c r="DL350" i="15"/>
  <c r="DK350" i="15"/>
  <c r="DF350" i="15"/>
  <c r="DC350" i="15"/>
  <c r="CY350" i="15"/>
  <c r="CX350" i="15"/>
  <c r="CW350" i="15"/>
  <c r="CR350" i="15"/>
  <c r="CO350" i="15"/>
  <c r="CK350" i="15"/>
  <c r="CJ350" i="15"/>
  <c r="CI350" i="15"/>
  <c r="CD350" i="15"/>
  <c r="CA350" i="15"/>
  <c r="BW350" i="15"/>
  <c r="BV350" i="15"/>
  <c r="BU350" i="15"/>
  <c r="BP350" i="15"/>
  <c r="BM350" i="15"/>
  <c r="BI350" i="15"/>
  <c r="BH350" i="15"/>
  <c r="BG350" i="15"/>
  <c r="BB350" i="15"/>
  <c r="AY350" i="15"/>
  <c r="AU350" i="15"/>
  <c r="AT350" i="15"/>
  <c r="AS350" i="15"/>
  <c r="Z350" i="15"/>
  <c r="W350" i="15"/>
  <c r="S350" i="15"/>
  <c r="R350" i="15"/>
  <c r="Q350" i="15"/>
  <c r="K350" i="15"/>
  <c r="J350" i="15"/>
  <c r="H350" i="15"/>
  <c r="EV349" i="15"/>
  <c r="ES349" i="15"/>
  <c r="EO349" i="15"/>
  <c r="EN349" i="15"/>
  <c r="EM349" i="15"/>
  <c r="EH349" i="15"/>
  <c r="EE349" i="15"/>
  <c r="EA349" i="15"/>
  <c r="DZ349" i="15"/>
  <c r="DY349" i="15"/>
  <c r="DT349" i="15"/>
  <c r="DQ349" i="15"/>
  <c r="DM349" i="15"/>
  <c r="DL349" i="15"/>
  <c r="DK349" i="15"/>
  <c r="DF349" i="15"/>
  <c r="DC349" i="15"/>
  <c r="CY349" i="15"/>
  <c r="CX349" i="15"/>
  <c r="CW349" i="15"/>
  <c r="CR349" i="15"/>
  <c r="CO349" i="15"/>
  <c r="CK349" i="15"/>
  <c r="CJ349" i="15"/>
  <c r="CI349" i="15"/>
  <c r="CD349" i="15"/>
  <c r="CA349" i="15"/>
  <c r="BW349" i="15"/>
  <c r="BV349" i="15"/>
  <c r="BU349" i="15"/>
  <c r="BP349" i="15"/>
  <c r="BM349" i="15"/>
  <c r="BI349" i="15"/>
  <c r="BH349" i="15"/>
  <c r="BG349" i="15"/>
  <c r="BB349" i="15"/>
  <c r="AY349" i="15"/>
  <c r="AU349" i="15"/>
  <c r="AT349" i="15"/>
  <c r="AS349" i="15"/>
  <c r="Z349" i="15"/>
  <c r="W349" i="15"/>
  <c r="S349" i="15"/>
  <c r="R349" i="15"/>
  <c r="Q349" i="15"/>
  <c r="K349" i="15"/>
  <c r="J349" i="15"/>
  <c r="G349" i="15" s="1"/>
  <c r="H349" i="15"/>
  <c r="EV348" i="15"/>
  <c r="ES348" i="15"/>
  <c r="EO348" i="15"/>
  <c r="EN348" i="15"/>
  <c r="EM348" i="15"/>
  <c r="EH348" i="15"/>
  <c r="EE348" i="15"/>
  <c r="EA348" i="15"/>
  <c r="DZ348" i="15"/>
  <c r="DY348" i="15"/>
  <c r="DT348" i="15"/>
  <c r="DQ348" i="15"/>
  <c r="DM348" i="15"/>
  <c r="DL348" i="15"/>
  <c r="DK348" i="15"/>
  <c r="DF348" i="15"/>
  <c r="DC348" i="15"/>
  <c r="CY348" i="15"/>
  <c r="CX348" i="15"/>
  <c r="CW348" i="15"/>
  <c r="CR348" i="15"/>
  <c r="CO348" i="15"/>
  <c r="CK348" i="15"/>
  <c r="CJ348" i="15"/>
  <c r="CI348" i="15"/>
  <c r="CD348" i="15"/>
  <c r="CA348" i="15"/>
  <c r="BW348" i="15"/>
  <c r="BV348" i="15"/>
  <c r="BU348" i="15"/>
  <c r="BP348" i="15"/>
  <c r="BM348" i="15"/>
  <c r="BI348" i="15"/>
  <c r="BH348" i="15"/>
  <c r="BG348" i="15"/>
  <c r="BB348" i="15"/>
  <c r="AY348" i="15"/>
  <c r="AU348" i="15"/>
  <c r="AT348" i="15"/>
  <c r="AS348" i="15"/>
  <c r="Z348" i="15"/>
  <c r="W348" i="15"/>
  <c r="S348" i="15"/>
  <c r="R348" i="15"/>
  <c r="Q348" i="15"/>
  <c r="K348" i="15"/>
  <c r="J348" i="15"/>
  <c r="G348" i="15" s="1"/>
  <c r="H348" i="15"/>
  <c r="EV347" i="15"/>
  <c r="ES347" i="15"/>
  <c r="EO347" i="15"/>
  <c r="EN347" i="15"/>
  <c r="EM347" i="15"/>
  <c r="EH347" i="15"/>
  <c r="EE347" i="15"/>
  <c r="EA347" i="15"/>
  <c r="DZ347" i="15"/>
  <c r="DY347" i="15"/>
  <c r="DT347" i="15"/>
  <c r="DQ347" i="15"/>
  <c r="DM347" i="15"/>
  <c r="DL347" i="15"/>
  <c r="DK347" i="15"/>
  <c r="DF347" i="15"/>
  <c r="DC347" i="15"/>
  <c r="CY347" i="15"/>
  <c r="CX347" i="15"/>
  <c r="CW347" i="15"/>
  <c r="CR347" i="15"/>
  <c r="CO347" i="15"/>
  <c r="CK347" i="15"/>
  <c r="CJ347" i="15"/>
  <c r="CI347" i="15"/>
  <c r="CD347" i="15"/>
  <c r="CA347" i="15"/>
  <c r="BW347" i="15"/>
  <c r="BV347" i="15"/>
  <c r="BU347" i="15"/>
  <c r="BP347" i="15"/>
  <c r="BM347" i="15"/>
  <c r="BI347" i="15"/>
  <c r="BH347" i="15"/>
  <c r="BG347" i="15"/>
  <c r="BB347" i="15"/>
  <c r="AY347" i="15"/>
  <c r="AU347" i="15"/>
  <c r="AT347" i="15"/>
  <c r="AS347" i="15"/>
  <c r="Z347" i="15"/>
  <c r="W347" i="15"/>
  <c r="S347" i="15"/>
  <c r="R347" i="15"/>
  <c r="Q347" i="15"/>
  <c r="K347" i="15"/>
  <c r="J347" i="15"/>
  <c r="H347" i="15"/>
  <c r="EV346" i="15"/>
  <c r="ES346" i="15"/>
  <c r="EO346" i="15"/>
  <c r="EN346" i="15"/>
  <c r="EM346" i="15"/>
  <c r="EH346" i="15"/>
  <c r="EE346" i="15"/>
  <c r="EA346" i="15"/>
  <c r="DZ346" i="15"/>
  <c r="DY346" i="15"/>
  <c r="DT346" i="15"/>
  <c r="DQ346" i="15"/>
  <c r="DM346" i="15"/>
  <c r="DL346" i="15"/>
  <c r="DK346" i="15"/>
  <c r="DF346" i="15"/>
  <c r="DC346" i="15"/>
  <c r="CY346" i="15"/>
  <c r="CX346" i="15"/>
  <c r="CW346" i="15"/>
  <c r="CR346" i="15"/>
  <c r="CO346" i="15"/>
  <c r="CK346" i="15"/>
  <c r="CJ346" i="15"/>
  <c r="CI346" i="15"/>
  <c r="CD346" i="15"/>
  <c r="CA346" i="15"/>
  <c r="BW346" i="15"/>
  <c r="BV346" i="15"/>
  <c r="BU346" i="15"/>
  <c r="BP346" i="15"/>
  <c r="BM346" i="15"/>
  <c r="BI346" i="15"/>
  <c r="BH346" i="15"/>
  <c r="BG346" i="15"/>
  <c r="BB346" i="15"/>
  <c r="AY346" i="15"/>
  <c r="AU346" i="15"/>
  <c r="AT346" i="15"/>
  <c r="AS346" i="15"/>
  <c r="Z346" i="15"/>
  <c r="W346" i="15"/>
  <c r="S346" i="15"/>
  <c r="R346" i="15"/>
  <c r="Q346" i="15"/>
  <c r="K346" i="15"/>
  <c r="J346" i="15"/>
  <c r="G346" i="15" s="1"/>
  <c r="H346" i="15"/>
  <c r="EV345" i="15"/>
  <c r="ES345" i="15"/>
  <c r="EO345" i="15"/>
  <c r="EN345" i="15"/>
  <c r="EM345" i="15"/>
  <c r="EH345" i="15"/>
  <c r="EE345" i="15"/>
  <c r="EA345" i="15"/>
  <c r="DZ345" i="15"/>
  <c r="DY345" i="15"/>
  <c r="DT345" i="15"/>
  <c r="DQ345" i="15"/>
  <c r="DM345" i="15"/>
  <c r="DL345" i="15"/>
  <c r="DK345" i="15"/>
  <c r="DF345" i="15"/>
  <c r="DC345" i="15"/>
  <c r="CY345" i="15"/>
  <c r="CX345" i="15"/>
  <c r="CW345" i="15"/>
  <c r="CR345" i="15"/>
  <c r="CO345" i="15"/>
  <c r="CK345" i="15"/>
  <c r="CJ345" i="15"/>
  <c r="CI345" i="15"/>
  <c r="CD345" i="15"/>
  <c r="CA345" i="15"/>
  <c r="BW345" i="15"/>
  <c r="BV345" i="15"/>
  <c r="BU345" i="15"/>
  <c r="BP345" i="15"/>
  <c r="BM345" i="15"/>
  <c r="BI345" i="15"/>
  <c r="BH345" i="15"/>
  <c r="BG345" i="15"/>
  <c r="BB345" i="15"/>
  <c r="AY345" i="15"/>
  <c r="AU345" i="15"/>
  <c r="AT345" i="15"/>
  <c r="AS345" i="15"/>
  <c r="Z345" i="15"/>
  <c r="W345" i="15"/>
  <c r="S345" i="15"/>
  <c r="R345" i="15"/>
  <c r="Q345" i="15"/>
  <c r="K345" i="15"/>
  <c r="J345" i="15"/>
  <c r="H345" i="15"/>
  <c r="EV344" i="15"/>
  <c r="ES344" i="15"/>
  <c r="EO344" i="15"/>
  <c r="EN344" i="15"/>
  <c r="EM344" i="15"/>
  <c r="EH344" i="15"/>
  <c r="EE344" i="15"/>
  <c r="EA344" i="15"/>
  <c r="DZ344" i="15"/>
  <c r="DY344" i="15"/>
  <c r="DF344" i="15"/>
  <c r="DC344" i="15"/>
  <c r="CY344" i="15"/>
  <c r="CX344" i="15"/>
  <c r="CW344" i="15"/>
  <c r="CR344" i="15"/>
  <c r="CO344" i="15"/>
  <c r="CK344" i="15"/>
  <c r="CJ344" i="15"/>
  <c r="CI344" i="15"/>
  <c r="CD344" i="15"/>
  <c r="CA344" i="15"/>
  <c r="BW344" i="15"/>
  <c r="BV344" i="15"/>
  <c r="BU344" i="15"/>
  <c r="BP344" i="15"/>
  <c r="BM344" i="15"/>
  <c r="BI344" i="15"/>
  <c r="BH344" i="15"/>
  <c r="BG344" i="15"/>
  <c r="BB344" i="15"/>
  <c r="AY344" i="15"/>
  <c r="AU344" i="15"/>
  <c r="AT344" i="15"/>
  <c r="AS344" i="15"/>
  <c r="Z344" i="15"/>
  <c r="W344" i="15"/>
  <c r="S344" i="15"/>
  <c r="R344" i="15"/>
  <c r="Q344" i="15"/>
  <c r="K344" i="15"/>
  <c r="J344" i="15"/>
  <c r="G344" i="15" s="1"/>
  <c r="H344" i="15"/>
  <c r="EV343" i="15"/>
  <c r="ES343" i="15"/>
  <c r="EO343" i="15"/>
  <c r="EN343" i="15"/>
  <c r="EM343" i="15"/>
  <c r="EH343" i="15"/>
  <c r="EE343" i="15"/>
  <c r="EA343" i="15"/>
  <c r="DZ343" i="15"/>
  <c r="DY343" i="15"/>
  <c r="DF343" i="15"/>
  <c r="DC343" i="15"/>
  <c r="CY343" i="15"/>
  <c r="CX343" i="15"/>
  <c r="CW343" i="15"/>
  <c r="CR343" i="15"/>
  <c r="CO343" i="15"/>
  <c r="CK343" i="15"/>
  <c r="CJ343" i="15"/>
  <c r="CI343" i="15"/>
  <c r="CD343" i="15"/>
  <c r="CA343" i="15"/>
  <c r="BW343" i="15"/>
  <c r="BV343" i="15"/>
  <c r="BU343" i="15"/>
  <c r="BP343" i="15"/>
  <c r="BM343" i="15"/>
  <c r="BI343" i="15"/>
  <c r="BH343" i="15"/>
  <c r="BG343" i="15"/>
  <c r="BB343" i="15"/>
  <c r="AY343" i="15"/>
  <c r="AU343" i="15"/>
  <c r="AT343" i="15"/>
  <c r="AS343" i="15"/>
  <c r="Z343" i="15"/>
  <c r="W343" i="15"/>
  <c r="S343" i="15"/>
  <c r="R343" i="15"/>
  <c r="Q343" i="15"/>
  <c r="K343" i="15"/>
  <c r="J343" i="15"/>
  <c r="G343" i="15" s="1"/>
  <c r="H343" i="15"/>
  <c r="EV342" i="15"/>
  <c r="ES342" i="15"/>
  <c r="EO342" i="15"/>
  <c r="EN342" i="15"/>
  <c r="EM342" i="15"/>
  <c r="EH342" i="15"/>
  <c r="EE342" i="15"/>
  <c r="EA342" i="15"/>
  <c r="DZ342" i="15"/>
  <c r="DY342" i="15"/>
  <c r="DF342" i="15"/>
  <c r="DC342" i="15"/>
  <c r="CY342" i="15"/>
  <c r="CX342" i="15"/>
  <c r="CW342" i="15"/>
  <c r="CR342" i="15"/>
  <c r="CO342" i="15"/>
  <c r="CK342" i="15"/>
  <c r="CJ342" i="15"/>
  <c r="CI342" i="15"/>
  <c r="CD342" i="15"/>
  <c r="CA342" i="15"/>
  <c r="BW342" i="15"/>
  <c r="BV342" i="15"/>
  <c r="BU342" i="15"/>
  <c r="BP342" i="15"/>
  <c r="BM342" i="15"/>
  <c r="BI342" i="15"/>
  <c r="BH342" i="15"/>
  <c r="BG342" i="15"/>
  <c r="BB342" i="15"/>
  <c r="AY342" i="15"/>
  <c r="AU342" i="15"/>
  <c r="AT342" i="15"/>
  <c r="AS342" i="15"/>
  <c r="Z342" i="15"/>
  <c r="W342" i="15"/>
  <c r="S342" i="15"/>
  <c r="R342" i="15"/>
  <c r="Q342" i="15"/>
  <c r="K342" i="15"/>
  <c r="J342" i="15"/>
  <c r="G342" i="15" s="1"/>
  <c r="H342" i="15"/>
  <c r="EV341" i="15"/>
  <c r="ES341" i="15"/>
  <c r="EO341" i="15"/>
  <c r="EN341" i="15"/>
  <c r="EM341" i="15"/>
  <c r="EH341" i="15"/>
  <c r="EE341" i="15"/>
  <c r="EA341" i="15"/>
  <c r="DZ341" i="15"/>
  <c r="DY341" i="15"/>
  <c r="DF341" i="15"/>
  <c r="DC341" i="15"/>
  <c r="CY341" i="15"/>
  <c r="CX341" i="15"/>
  <c r="CW341" i="15"/>
  <c r="CR341" i="15"/>
  <c r="CO341" i="15"/>
  <c r="CK341" i="15"/>
  <c r="CJ341" i="15"/>
  <c r="CI341" i="15"/>
  <c r="CD341" i="15"/>
  <c r="CA341" i="15"/>
  <c r="BW341" i="15"/>
  <c r="BV341" i="15"/>
  <c r="BU341" i="15"/>
  <c r="BP341" i="15"/>
  <c r="BM341" i="15"/>
  <c r="BI341" i="15"/>
  <c r="BH341" i="15"/>
  <c r="BG341" i="15"/>
  <c r="BB341" i="15"/>
  <c r="AY341" i="15"/>
  <c r="AU341" i="15"/>
  <c r="AT341" i="15"/>
  <c r="AS341" i="15"/>
  <c r="Z341" i="15"/>
  <c r="W341" i="15"/>
  <c r="S341" i="15"/>
  <c r="R341" i="15"/>
  <c r="Q341" i="15"/>
  <c r="K341" i="15"/>
  <c r="J341" i="15"/>
  <c r="G341" i="15" s="1"/>
  <c r="H341" i="15"/>
  <c r="EH340" i="15"/>
  <c r="EE340" i="15"/>
  <c r="EA340" i="15"/>
  <c r="DZ340" i="15"/>
  <c r="DY340" i="15"/>
  <c r="DF340" i="15"/>
  <c r="DC340" i="15"/>
  <c r="CY340" i="15"/>
  <c r="CX340" i="15"/>
  <c r="CW340" i="15"/>
  <c r="CR340" i="15"/>
  <c r="CO340" i="15"/>
  <c r="CK340" i="15"/>
  <c r="CJ340" i="15"/>
  <c r="CI340" i="15"/>
  <c r="CD340" i="15"/>
  <c r="CA340" i="15"/>
  <c r="BW340" i="15"/>
  <c r="BV340" i="15"/>
  <c r="BU340" i="15"/>
  <c r="BP340" i="15"/>
  <c r="BM340" i="15"/>
  <c r="BI340" i="15"/>
  <c r="BH340" i="15"/>
  <c r="BG340" i="15"/>
  <c r="BB340" i="15"/>
  <c r="AY340" i="15"/>
  <c r="AU340" i="15"/>
  <c r="AT340" i="15"/>
  <c r="AS340" i="15"/>
  <c r="Z340" i="15"/>
  <c r="W340" i="15"/>
  <c r="S340" i="15"/>
  <c r="R340" i="15"/>
  <c r="Q340" i="15"/>
  <c r="K340" i="15"/>
  <c r="J340" i="15"/>
  <c r="G340" i="15" s="1"/>
  <c r="H340" i="15"/>
  <c r="EH339" i="15"/>
  <c r="EE339" i="15"/>
  <c r="EA339" i="15"/>
  <c r="DZ339" i="15"/>
  <c r="DY339" i="15"/>
  <c r="DF339" i="15"/>
  <c r="DC339" i="15"/>
  <c r="CY339" i="15"/>
  <c r="CX339" i="15"/>
  <c r="CW339" i="15"/>
  <c r="CR339" i="15"/>
  <c r="CO339" i="15"/>
  <c r="CK339" i="15"/>
  <c r="CJ339" i="15"/>
  <c r="CI339" i="15"/>
  <c r="CD339" i="15"/>
  <c r="CA339" i="15"/>
  <c r="BW339" i="15"/>
  <c r="BV339" i="15"/>
  <c r="BU339" i="15"/>
  <c r="BP339" i="15"/>
  <c r="BM339" i="15"/>
  <c r="BI339" i="15"/>
  <c r="BH339" i="15"/>
  <c r="BG339" i="15"/>
  <c r="BB339" i="15"/>
  <c r="AY339" i="15"/>
  <c r="AU339" i="15"/>
  <c r="AT339" i="15"/>
  <c r="AS339" i="15"/>
  <c r="Z339" i="15"/>
  <c r="W339" i="15"/>
  <c r="S339" i="15"/>
  <c r="R339" i="15"/>
  <c r="Q339" i="15"/>
  <c r="K339" i="15"/>
  <c r="J339" i="15"/>
  <c r="G339" i="15" s="1"/>
  <c r="H339" i="15"/>
  <c r="EH338" i="15"/>
  <c r="EE338" i="15"/>
  <c r="EA338" i="15"/>
  <c r="DZ338" i="15"/>
  <c r="DY338" i="15"/>
  <c r="DF338" i="15"/>
  <c r="DC338" i="15"/>
  <c r="CY338" i="15"/>
  <c r="CX338" i="15"/>
  <c r="CW338" i="15"/>
  <c r="CR338" i="15"/>
  <c r="CO338" i="15"/>
  <c r="CK338" i="15"/>
  <c r="CJ338" i="15"/>
  <c r="CI338" i="15"/>
  <c r="CD338" i="15"/>
  <c r="CA338" i="15"/>
  <c r="BW338" i="15"/>
  <c r="BV338" i="15"/>
  <c r="BU338" i="15"/>
  <c r="BP338" i="15"/>
  <c r="BM338" i="15"/>
  <c r="BI338" i="15"/>
  <c r="BH338" i="15"/>
  <c r="BG338" i="15"/>
  <c r="BB338" i="15"/>
  <c r="AY338" i="15"/>
  <c r="AU338" i="15"/>
  <c r="AT338" i="15"/>
  <c r="AS338" i="15"/>
  <c r="Z338" i="15"/>
  <c r="W338" i="15"/>
  <c r="S338" i="15"/>
  <c r="R338" i="15"/>
  <c r="Q338" i="15"/>
  <c r="K338" i="15"/>
  <c r="J338" i="15"/>
  <c r="G338" i="15" s="1"/>
  <c r="H338" i="15"/>
  <c r="EH337" i="15"/>
  <c r="EE337" i="15"/>
  <c r="EA337" i="15"/>
  <c r="DZ337" i="15"/>
  <c r="DY337" i="15"/>
  <c r="DF337" i="15"/>
  <c r="DC337" i="15"/>
  <c r="CY337" i="15"/>
  <c r="CX337" i="15"/>
  <c r="CW337" i="15"/>
  <c r="CR337" i="15"/>
  <c r="CO337" i="15"/>
  <c r="CK337" i="15"/>
  <c r="CJ337" i="15"/>
  <c r="CI337" i="15"/>
  <c r="CD337" i="15"/>
  <c r="CA337" i="15"/>
  <c r="BW337" i="15"/>
  <c r="BV337" i="15"/>
  <c r="BU337" i="15"/>
  <c r="BP337" i="15"/>
  <c r="BM337" i="15"/>
  <c r="BI337" i="15"/>
  <c r="BH337" i="15"/>
  <c r="BG337" i="15"/>
  <c r="BB337" i="15"/>
  <c r="AY337" i="15"/>
  <c r="AU337" i="15"/>
  <c r="AT337" i="15"/>
  <c r="AS337" i="15"/>
  <c r="Z337" i="15"/>
  <c r="W337" i="15"/>
  <c r="S337" i="15"/>
  <c r="R337" i="15"/>
  <c r="Q337" i="15"/>
  <c r="K337" i="15"/>
  <c r="J337" i="15"/>
  <c r="G337" i="15" s="1"/>
  <c r="H337" i="15"/>
  <c r="EH336" i="15"/>
  <c r="EE336" i="15"/>
  <c r="EA336" i="15"/>
  <c r="DZ336" i="15"/>
  <c r="DY336" i="15"/>
  <c r="DF336" i="15"/>
  <c r="DC336" i="15"/>
  <c r="CY336" i="15"/>
  <c r="CX336" i="15"/>
  <c r="CW336" i="15"/>
  <c r="CR336" i="15"/>
  <c r="CO336" i="15"/>
  <c r="CK336" i="15"/>
  <c r="CJ336" i="15"/>
  <c r="CI336" i="15"/>
  <c r="CD336" i="15"/>
  <c r="CA336" i="15"/>
  <c r="BW336" i="15"/>
  <c r="BV336" i="15"/>
  <c r="BU336" i="15"/>
  <c r="BP336" i="15"/>
  <c r="BM336" i="15"/>
  <c r="BI336" i="15"/>
  <c r="BH336" i="15"/>
  <c r="BG336" i="15"/>
  <c r="BB336" i="15"/>
  <c r="AY336" i="15"/>
  <c r="AU336" i="15"/>
  <c r="AT336" i="15"/>
  <c r="AS336" i="15"/>
  <c r="Z336" i="15"/>
  <c r="W336" i="15"/>
  <c r="S336" i="15"/>
  <c r="R336" i="15"/>
  <c r="Q336" i="15"/>
  <c r="K336" i="15"/>
  <c r="J336" i="15"/>
  <c r="G336" i="15" s="1"/>
  <c r="H336" i="15"/>
  <c r="EH335" i="15"/>
  <c r="EE335" i="15"/>
  <c r="EA335" i="15"/>
  <c r="DZ335" i="15"/>
  <c r="DY335" i="15"/>
  <c r="DF335" i="15"/>
  <c r="DC335" i="15"/>
  <c r="CY335" i="15"/>
  <c r="CX335" i="15"/>
  <c r="CW335" i="15"/>
  <c r="CR335" i="15"/>
  <c r="CO335" i="15"/>
  <c r="CK335" i="15"/>
  <c r="CJ335" i="15"/>
  <c r="CI335" i="15"/>
  <c r="CD335" i="15"/>
  <c r="CA335" i="15"/>
  <c r="BW335" i="15"/>
  <c r="BV335" i="15"/>
  <c r="BU335" i="15"/>
  <c r="BP335" i="15"/>
  <c r="BM335" i="15"/>
  <c r="BI335" i="15"/>
  <c r="BH335" i="15"/>
  <c r="BG335" i="15"/>
  <c r="BB335" i="15"/>
  <c r="AY335" i="15"/>
  <c r="AU335" i="15"/>
  <c r="AT335" i="15"/>
  <c r="AS335" i="15"/>
  <c r="Z335" i="15"/>
  <c r="W335" i="15"/>
  <c r="S335" i="15"/>
  <c r="R335" i="15"/>
  <c r="Q335" i="15"/>
  <c r="K335" i="15"/>
  <c r="J335" i="15"/>
  <c r="G335" i="15" s="1"/>
  <c r="H335" i="15"/>
  <c r="EH334" i="15"/>
  <c r="EE334" i="15"/>
  <c r="EA334" i="15"/>
  <c r="DZ334" i="15"/>
  <c r="DY334" i="15"/>
  <c r="DF334" i="15"/>
  <c r="DC334" i="15"/>
  <c r="CY334" i="15"/>
  <c r="CX334" i="15"/>
  <c r="CW334" i="15"/>
  <c r="CR334" i="15"/>
  <c r="CO334" i="15"/>
  <c r="CK334" i="15"/>
  <c r="CJ334" i="15"/>
  <c r="CI334" i="15"/>
  <c r="CD334" i="15"/>
  <c r="CA334" i="15"/>
  <c r="BW334" i="15"/>
  <c r="BV334" i="15"/>
  <c r="BU334" i="15"/>
  <c r="BP334" i="15"/>
  <c r="BM334" i="15"/>
  <c r="BI334" i="15"/>
  <c r="BH334" i="15"/>
  <c r="BG334" i="15"/>
  <c r="BB334" i="15"/>
  <c r="AY334" i="15"/>
  <c r="AU334" i="15"/>
  <c r="AT334" i="15"/>
  <c r="AS334" i="15"/>
  <c r="Z334" i="15"/>
  <c r="W334" i="15"/>
  <c r="S334" i="15"/>
  <c r="R334" i="15"/>
  <c r="Q334" i="15"/>
  <c r="K334" i="15"/>
  <c r="J334" i="15"/>
  <c r="G334" i="15" s="1"/>
  <c r="H334" i="15"/>
  <c r="EH333" i="15"/>
  <c r="ED333" i="15"/>
  <c r="DY333" i="15" s="1"/>
  <c r="DZ333" i="15"/>
  <c r="DF333" i="15"/>
  <c r="DC333" i="15"/>
  <c r="CY333" i="15"/>
  <c r="CX333" i="15"/>
  <c r="CW333" i="15"/>
  <c r="CR333" i="15"/>
  <c r="CO333" i="15"/>
  <c r="CK333" i="15"/>
  <c r="CJ333" i="15"/>
  <c r="CI333" i="15"/>
  <c r="CD333" i="15"/>
  <c r="CA333" i="15"/>
  <c r="BW333" i="15"/>
  <c r="BV333" i="15"/>
  <c r="BU333" i="15"/>
  <c r="BP333" i="15"/>
  <c r="BM333" i="15"/>
  <c r="BI333" i="15"/>
  <c r="BH333" i="15"/>
  <c r="BG333" i="15"/>
  <c r="BB333" i="15"/>
  <c r="AY333" i="15"/>
  <c r="AU333" i="15"/>
  <c r="AT333" i="15"/>
  <c r="AS333" i="15"/>
  <c r="Z333" i="15"/>
  <c r="W333" i="15"/>
  <c r="S333" i="15"/>
  <c r="R333" i="15"/>
  <c r="Q333" i="15"/>
  <c r="K333" i="15"/>
  <c r="J333" i="15"/>
  <c r="G333" i="15" s="1"/>
  <c r="EV332" i="15"/>
  <c r="ES332" i="15"/>
  <c r="EO332" i="15"/>
  <c r="EN332" i="15"/>
  <c r="EM332" i="15"/>
  <c r="EG332" i="15"/>
  <c r="EF332" i="15"/>
  <c r="ED332" i="15"/>
  <c r="H332" i="15" s="1"/>
  <c r="DF332" i="15"/>
  <c r="DC332" i="15"/>
  <c r="CY332" i="15"/>
  <c r="CX332" i="15"/>
  <c r="CW332" i="15"/>
  <c r="CR332" i="15"/>
  <c r="CO332" i="15"/>
  <c r="CK332" i="15"/>
  <c r="CJ332" i="15"/>
  <c r="CI332" i="15"/>
  <c r="CD332" i="15"/>
  <c r="CA332" i="15"/>
  <c r="BW332" i="15"/>
  <c r="BV332" i="15"/>
  <c r="BU332" i="15"/>
  <c r="BP332" i="15"/>
  <c r="BM332" i="15"/>
  <c r="BI332" i="15"/>
  <c r="BH332" i="15"/>
  <c r="BG332" i="15"/>
  <c r="BB332" i="15"/>
  <c r="AY332" i="15"/>
  <c r="AU332" i="15"/>
  <c r="AT332" i="15"/>
  <c r="AS332" i="15"/>
  <c r="Z332" i="15"/>
  <c r="W332" i="15"/>
  <c r="S332" i="15"/>
  <c r="R332" i="15"/>
  <c r="Q332" i="15"/>
  <c r="EV331" i="15"/>
  <c r="ES331" i="15"/>
  <c r="EO331" i="15"/>
  <c r="EN331" i="15"/>
  <c r="EM331" i="15"/>
  <c r="EG331" i="15"/>
  <c r="K331" i="15" s="1"/>
  <c r="EF331" i="15"/>
  <c r="ED331" i="15"/>
  <c r="H331" i="15" s="1"/>
  <c r="DF331" i="15"/>
  <c r="DC331" i="15"/>
  <c r="CY331" i="15"/>
  <c r="CX331" i="15"/>
  <c r="CW331" i="15"/>
  <c r="CR331" i="15"/>
  <c r="CO331" i="15"/>
  <c r="CK331" i="15"/>
  <c r="CJ331" i="15"/>
  <c r="CI331" i="15"/>
  <c r="CD331" i="15"/>
  <c r="CA331" i="15"/>
  <c r="BW331" i="15"/>
  <c r="BV331" i="15"/>
  <c r="BU331" i="15"/>
  <c r="BP331" i="15"/>
  <c r="BM331" i="15"/>
  <c r="BI331" i="15"/>
  <c r="BH331" i="15"/>
  <c r="BG331" i="15"/>
  <c r="BB331" i="15"/>
  <c r="AY331" i="15"/>
  <c r="AU331" i="15"/>
  <c r="AT331" i="15"/>
  <c r="AS331" i="15"/>
  <c r="Z331" i="15"/>
  <c r="W331" i="15"/>
  <c r="S331" i="15"/>
  <c r="R331" i="15"/>
  <c r="Q331" i="15"/>
  <c r="EV330" i="15"/>
  <c r="ES330" i="15"/>
  <c r="EO330" i="15"/>
  <c r="EN330" i="15"/>
  <c r="EM330" i="15"/>
  <c r="EG330" i="15"/>
  <c r="K330" i="15" s="1"/>
  <c r="EF330" i="15"/>
  <c r="J330" i="15" s="1"/>
  <c r="G330" i="15" s="1"/>
  <c r="ED330" i="15"/>
  <c r="H330" i="15" s="1"/>
  <c r="DF330" i="15"/>
  <c r="DC330" i="15"/>
  <c r="CY330" i="15"/>
  <c r="CX330" i="15"/>
  <c r="CW330" i="15"/>
  <c r="CR330" i="15"/>
  <c r="CO330" i="15"/>
  <c r="CK330" i="15"/>
  <c r="CJ330" i="15"/>
  <c r="CI330" i="15"/>
  <c r="CD330" i="15"/>
  <c r="CA330" i="15"/>
  <c r="BW330" i="15"/>
  <c r="BV330" i="15"/>
  <c r="BU330" i="15"/>
  <c r="BP330" i="15"/>
  <c r="BM330" i="15"/>
  <c r="BI330" i="15"/>
  <c r="BH330" i="15"/>
  <c r="BG330" i="15"/>
  <c r="BB330" i="15"/>
  <c r="AY330" i="15"/>
  <c r="AU330" i="15"/>
  <c r="AT330" i="15"/>
  <c r="AS330" i="15"/>
  <c r="Z330" i="15"/>
  <c r="W330" i="15"/>
  <c r="S330" i="15"/>
  <c r="R330" i="15"/>
  <c r="Q330" i="15"/>
  <c r="EV329" i="15"/>
  <c r="ES329" i="15"/>
  <c r="EO329" i="15"/>
  <c r="EN329" i="15"/>
  <c r="EM329" i="15"/>
  <c r="EG329" i="15"/>
  <c r="EF329" i="15"/>
  <c r="J329" i="15" s="1"/>
  <c r="G329" i="15" s="1"/>
  <c r="ED329" i="15"/>
  <c r="H329" i="15" s="1"/>
  <c r="DF329" i="15"/>
  <c r="DC329" i="15"/>
  <c r="CY329" i="15"/>
  <c r="CX329" i="15"/>
  <c r="CW329" i="15"/>
  <c r="CR329" i="15"/>
  <c r="CO329" i="15"/>
  <c r="CK329" i="15"/>
  <c r="CJ329" i="15"/>
  <c r="CI329" i="15"/>
  <c r="CD329" i="15"/>
  <c r="CA329" i="15"/>
  <c r="BW329" i="15"/>
  <c r="BV329" i="15"/>
  <c r="BU329" i="15"/>
  <c r="BP329" i="15"/>
  <c r="BM329" i="15"/>
  <c r="BI329" i="15"/>
  <c r="BH329" i="15"/>
  <c r="BG329" i="15"/>
  <c r="BB329" i="15"/>
  <c r="AY329" i="15"/>
  <c r="AU329" i="15"/>
  <c r="AT329" i="15"/>
  <c r="AS329" i="15"/>
  <c r="Z329" i="15"/>
  <c r="W329" i="15"/>
  <c r="S329" i="15"/>
  <c r="R329" i="15"/>
  <c r="Q329" i="15"/>
  <c r="EV328" i="15"/>
  <c r="ES328" i="15"/>
  <c r="EO328" i="15"/>
  <c r="EN328" i="15"/>
  <c r="EM328" i="15"/>
  <c r="EG328" i="15"/>
  <c r="K328" i="15" s="1"/>
  <c r="EF328" i="15"/>
  <c r="ED328" i="15"/>
  <c r="DF328" i="15"/>
  <c r="DC328" i="15"/>
  <c r="CY328" i="15"/>
  <c r="CX328" i="15"/>
  <c r="CW328" i="15"/>
  <c r="CR328" i="15"/>
  <c r="CO328" i="15"/>
  <c r="CK328" i="15"/>
  <c r="CJ328" i="15"/>
  <c r="CI328" i="15"/>
  <c r="CD328" i="15"/>
  <c r="CA328" i="15"/>
  <c r="BW328" i="15"/>
  <c r="BV328" i="15"/>
  <c r="BU328" i="15"/>
  <c r="BP328" i="15"/>
  <c r="BM328" i="15"/>
  <c r="BI328" i="15"/>
  <c r="BH328" i="15"/>
  <c r="BG328" i="15"/>
  <c r="BB328" i="15"/>
  <c r="AY328" i="15"/>
  <c r="AU328" i="15"/>
  <c r="AT328" i="15"/>
  <c r="AS328" i="15"/>
  <c r="Z328" i="15"/>
  <c r="W328" i="15"/>
  <c r="S328" i="15"/>
  <c r="R328" i="15"/>
  <c r="Q328" i="15"/>
  <c r="EV327" i="15"/>
  <c r="ES327" i="15"/>
  <c r="EO327" i="15"/>
  <c r="EN327" i="15"/>
  <c r="EM327" i="15"/>
  <c r="EG327" i="15"/>
  <c r="EF327" i="15"/>
  <c r="ED327" i="15"/>
  <c r="H327" i="15" s="1"/>
  <c r="DT327" i="15"/>
  <c r="DQ327" i="15"/>
  <c r="DM327" i="15"/>
  <c r="DL327" i="15"/>
  <c r="DK327" i="15"/>
  <c r="DF327" i="15"/>
  <c r="DC327" i="15"/>
  <c r="CY327" i="15"/>
  <c r="CX327" i="15"/>
  <c r="CW327" i="15"/>
  <c r="CR327" i="15"/>
  <c r="CO327" i="15"/>
  <c r="CK327" i="15"/>
  <c r="CJ327" i="15"/>
  <c r="CI327" i="15"/>
  <c r="CD327" i="15"/>
  <c r="CA327" i="15"/>
  <c r="BW327" i="15"/>
  <c r="BV327" i="15"/>
  <c r="BU327" i="15"/>
  <c r="BP327" i="15"/>
  <c r="BM327" i="15"/>
  <c r="BI327" i="15"/>
  <c r="BH327" i="15"/>
  <c r="BG327" i="15"/>
  <c r="BB327" i="15"/>
  <c r="AY327" i="15"/>
  <c r="AU327" i="15"/>
  <c r="AT327" i="15"/>
  <c r="AS327" i="15"/>
  <c r="Z327" i="15"/>
  <c r="W327" i="15"/>
  <c r="S327" i="15"/>
  <c r="R327" i="15"/>
  <c r="Q327" i="15"/>
  <c r="EV326" i="15"/>
  <c r="ES326" i="15"/>
  <c r="EO326" i="15"/>
  <c r="EN326" i="15"/>
  <c r="EM326" i="15"/>
  <c r="EG326" i="15"/>
  <c r="K326" i="15" s="1"/>
  <c r="EF326" i="15"/>
  <c r="ED326" i="15"/>
  <c r="DT326" i="15"/>
  <c r="DQ326" i="15"/>
  <c r="DM326" i="15"/>
  <c r="DL326" i="15"/>
  <c r="DK326" i="15"/>
  <c r="DF326" i="15"/>
  <c r="DC326" i="15"/>
  <c r="CY326" i="15"/>
  <c r="CX326" i="15"/>
  <c r="CW326" i="15"/>
  <c r="CR326" i="15"/>
  <c r="CO326" i="15"/>
  <c r="CK326" i="15"/>
  <c r="CJ326" i="15"/>
  <c r="CI326" i="15"/>
  <c r="CD326" i="15"/>
  <c r="CA326" i="15"/>
  <c r="BW326" i="15"/>
  <c r="BV326" i="15"/>
  <c r="BU326" i="15"/>
  <c r="BP326" i="15"/>
  <c r="BM326" i="15"/>
  <c r="BI326" i="15"/>
  <c r="BH326" i="15"/>
  <c r="BG326" i="15"/>
  <c r="BB326" i="15"/>
  <c r="AY326" i="15"/>
  <c r="AU326" i="15"/>
  <c r="AT326" i="15"/>
  <c r="AS326" i="15"/>
  <c r="Z326" i="15"/>
  <c r="W326" i="15"/>
  <c r="S326" i="15"/>
  <c r="R326" i="15"/>
  <c r="Q326" i="15"/>
  <c r="EV325" i="15"/>
  <c r="ES325" i="15"/>
  <c r="EO325" i="15"/>
  <c r="EN325" i="15"/>
  <c r="EM325" i="15"/>
  <c r="EG325" i="15"/>
  <c r="K325" i="15" s="1"/>
  <c r="EF325" i="15"/>
  <c r="ED325" i="15"/>
  <c r="DT325" i="15"/>
  <c r="DQ325" i="15"/>
  <c r="DM325" i="15"/>
  <c r="DL325" i="15"/>
  <c r="DK325" i="15"/>
  <c r="DF325" i="15"/>
  <c r="DC325" i="15"/>
  <c r="CY325" i="15"/>
  <c r="CX325" i="15"/>
  <c r="CW325" i="15"/>
  <c r="CR325" i="15"/>
  <c r="CO325" i="15"/>
  <c r="CK325" i="15"/>
  <c r="CJ325" i="15"/>
  <c r="CI325" i="15"/>
  <c r="CD325" i="15"/>
  <c r="CA325" i="15"/>
  <c r="BW325" i="15"/>
  <c r="BV325" i="15"/>
  <c r="BU325" i="15"/>
  <c r="BP325" i="15"/>
  <c r="BM325" i="15"/>
  <c r="BI325" i="15"/>
  <c r="BH325" i="15"/>
  <c r="BG325" i="15"/>
  <c r="BB325" i="15"/>
  <c r="AY325" i="15"/>
  <c r="AU325" i="15"/>
  <c r="AT325" i="15"/>
  <c r="AS325" i="15"/>
  <c r="Z325" i="15"/>
  <c r="W325" i="15"/>
  <c r="S325" i="15"/>
  <c r="R325" i="15"/>
  <c r="Q325" i="15"/>
  <c r="EV324" i="15"/>
  <c r="ES324" i="15"/>
  <c r="EO324" i="15"/>
  <c r="EN324" i="15"/>
  <c r="EM324" i="15"/>
  <c r="EG324" i="15"/>
  <c r="EF324" i="15"/>
  <c r="J324" i="15" s="1"/>
  <c r="G324" i="15" s="1"/>
  <c r="ED324" i="15"/>
  <c r="DT324" i="15"/>
  <c r="DQ324" i="15"/>
  <c r="DM324" i="15"/>
  <c r="DL324" i="15"/>
  <c r="DK324" i="15"/>
  <c r="DF324" i="15"/>
  <c r="DC324" i="15"/>
  <c r="CY324" i="15"/>
  <c r="CX324" i="15"/>
  <c r="CW324" i="15"/>
  <c r="CR324" i="15"/>
  <c r="CO324" i="15"/>
  <c r="CK324" i="15"/>
  <c r="CJ324" i="15"/>
  <c r="CI324" i="15"/>
  <c r="CD324" i="15"/>
  <c r="CA324" i="15"/>
  <c r="BW324" i="15"/>
  <c r="BV324" i="15"/>
  <c r="BU324" i="15"/>
  <c r="BP324" i="15"/>
  <c r="BM324" i="15"/>
  <c r="BI324" i="15"/>
  <c r="BH324" i="15"/>
  <c r="BG324" i="15"/>
  <c r="BB324" i="15"/>
  <c r="AY324" i="15"/>
  <c r="AU324" i="15"/>
  <c r="AT324" i="15"/>
  <c r="AS324" i="15"/>
  <c r="Z324" i="15"/>
  <c r="W324" i="15"/>
  <c r="S324" i="15"/>
  <c r="R324" i="15"/>
  <c r="Q324" i="15"/>
  <c r="EV323" i="15"/>
  <c r="ES323" i="15"/>
  <c r="EO323" i="15"/>
  <c r="EN323" i="15"/>
  <c r="EM323" i="15"/>
  <c r="EG323" i="15"/>
  <c r="EF323" i="15"/>
  <c r="ED323" i="15"/>
  <c r="DT323" i="15"/>
  <c r="DQ323" i="15"/>
  <c r="DM323" i="15"/>
  <c r="DL323" i="15"/>
  <c r="DK323" i="15"/>
  <c r="DF323" i="15"/>
  <c r="DC323" i="15"/>
  <c r="CY323" i="15"/>
  <c r="CX323" i="15"/>
  <c r="CW323" i="15"/>
  <c r="CR323" i="15"/>
  <c r="CO323" i="15"/>
  <c r="CK323" i="15"/>
  <c r="CJ323" i="15"/>
  <c r="CI323" i="15"/>
  <c r="CD323" i="15"/>
  <c r="CA323" i="15"/>
  <c r="BW323" i="15"/>
  <c r="BV323" i="15"/>
  <c r="BU323" i="15"/>
  <c r="BP323" i="15"/>
  <c r="BM323" i="15"/>
  <c r="BI323" i="15"/>
  <c r="BH323" i="15"/>
  <c r="BG323" i="15"/>
  <c r="BB323" i="15"/>
  <c r="AY323" i="15"/>
  <c r="AU323" i="15"/>
  <c r="AT323" i="15"/>
  <c r="AS323" i="15"/>
  <c r="Z323" i="15"/>
  <c r="W323" i="15"/>
  <c r="S323" i="15"/>
  <c r="R323" i="15"/>
  <c r="Q323" i="15"/>
  <c r="H323" i="15"/>
  <c r="EV322" i="15"/>
  <c r="ES322" i="15"/>
  <c r="EO322" i="15"/>
  <c r="EN322" i="15"/>
  <c r="EM322" i="15"/>
  <c r="EG322" i="15"/>
  <c r="EF322" i="15"/>
  <c r="ED322" i="15"/>
  <c r="DT322" i="15"/>
  <c r="DQ322" i="15"/>
  <c r="DM322" i="15"/>
  <c r="DL322" i="15"/>
  <c r="DK322" i="15"/>
  <c r="DF322" i="15"/>
  <c r="DC322" i="15"/>
  <c r="CY322" i="15"/>
  <c r="CX322" i="15"/>
  <c r="CW322" i="15"/>
  <c r="CR322" i="15"/>
  <c r="CO322" i="15"/>
  <c r="CK322" i="15"/>
  <c r="CJ322" i="15"/>
  <c r="CI322" i="15"/>
  <c r="CD322" i="15"/>
  <c r="CA322" i="15"/>
  <c r="BW322" i="15"/>
  <c r="BV322" i="15"/>
  <c r="BU322" i="15"/>
  <c r="BP322" i="15"/>
  <c r="BM322" i="15"/>
  <c r="BI322" i="15"/>
  <c r="BH322" i="15"/>
  <c r="BG322" i="15"/>
  <c r="BB322" i="15"/>
  <c r="AY322" i="15"/>
  <c r="AU322" i="15"/>
  <c r="AT322" i="15"/>
  <c r="AS322" i="15"/>
  <c r="Z322" i="15"/>
  <c r="W322" i="15"/>
  <c r="S322" i="15"/>
  <c r="R322" i="15"/>
  <c r="Q322" i="15"/>
  <c r="EV321" i="15"/>
  <c r="ES321" i="15"/>
  <c r="EO321" i="15"/>
  <c r="EN321" i="15"/>
  <c r="EM321" i="15"/>
  <c r="EH321" i="15"/>
  <c r="EE321" i="15"/>
  <c r="EA321" i="15"/>
  <c r="DZ321" i="15"/>
  <c r="DY321" i="15"/>
  <c r="DT321" i="15"/>
  <c r="DQ321" i="15"/>
  <c r="DM321" i="15"/>
  <c r="DL321" i="15"/>
  <c r="DK321" i="15"/>
  <c r="DF321" i="15"/>
  <c r="DC321" i="15"/>
  <c r="CY321" i="15"/>
  <c r="CX321" i="15"/>
  <c r="CW321" i="15"/>
  <c r="CR321" i="15"/>
  <c r="CO321" i="15"/>
  <c r="CK321" i="15"/>
  <c r="CJ321" i="15"/>
  <c r="CI321" i="15"/>
  <c r="CD321" i="15"/>
  <c r="CA321" i="15"/>
  <c r="BW321" i="15"/>
  <c r="BV321" i="15"/>
  <c r="BU321" i="15"/>
  <c r="BP321" i="15"/>
  <c r="BM321" i="15"/>
  <c r="BI321" i="15"/>
  <c r="BH321" i="15"/>
  <c r="BG321" i="15"/>
  <c r="BB321" i="15"/>
  <c r="AY321" i="15"/>
  <c r="AU321" i="15"/>
  <c r="AT321" i="15"/>
  <c r="AS321" i="15"/>
  <c r="Z321" i="15"/>
  <c r="W321" i="15"/>
  <c r="S321" i="15"/>
  <c r="R321" i="15"/>
  <c r="Q321" i="15"/>
  <c r="K321" i="15"/>
  <c r="J321" i="15"/>
  <c r="H321" i="15"/>
  <c r="EV320" i="15"/>
  <c r="ES320" i="15"/>
  <c r="EO320" i="15"/>
  <c r="EN320" i="15"/>
  <c r="EM320" i="15"/>
  <c r="EH320" i="15"/>
  <c r="EE320" i="15"/>
  <c r="EA320" i="15"/>
  <c r="DZ320" i="15"/>
  <c r="DY320" i="15"/>
  <c r="DT320" i="15"/>
  <c r="DQ320" i="15"/>
  <c r="DM320" i="15"/>
  <c r="DL320" i="15"/>
  <c r="DK320" i="15"/>
  <c r="DF320" i="15"/>
  <c r="DC320" i="15"/>
  <c r="CY320" i="15"/>
  <c r="CX320" i="15"/>
  <c r="CW320" i="15"/>
  <c r="CR320" i="15"/>
  <c r="CO320" i="15"/>
  <c r="CK320" i="15"/>
  <c r="CJ320" i="15"/>
  <c r="CI320" i="15"/>
  <c r="CD320" i="15"/>
  <c r="CA320" i="15"/>
  <c r="BW320" i="15"/>
  <c r="BV320" i="15"/>
  <c r="BU320" i="15"/>
  <c r="BP320" i="15"/>
  <c r="BM320" i="15"/>
  <c r="BI320" i="15"/>
  <c r="BH320" i="15"/>
  <c r="BG320" i="15"/>
  <c r="BB320" i="15"/>
  <c r="AY320" i="15"/>
  <c r="AU320" i="15"/>
  <c r="AT320" i="15"/>
  <c r="AS320" i="15"/>
  <c r="Z320" i="15"/>
  <c r="W320" i="15"/>
  <c r="S320" i="15"/>
  <c r="R320" i="15"/>
  <c r="Q320" i="15"/>
  <c r="K320" i="15"/>
  <c r="J320" i="15"/>
  <c r="H320" i="15"/>
  <c r="EV319" i="15"/>
  <c r="ES319" i="15"/>
  <c r="EO319" i="15"/>
  <c r="EN319" i="15"/>
  <c r="EM319" i="15"/>
  <c r="EH319" i="15"/>
  <c r="EE319" i="15"/>
  <c r="EA319" i="15"/>
  <c r="DZ319" i="15"/>
  <c r="DY319" i="15"/>
  <c r="DT319" i="15"/>
  <c r="DQ319" i="15"/>
  <c r="DM319" i="15"/>
  <c r="DL319" i="15"/>
  <c r="DK319" i="15"/>
  <c r="DF319" i="15"/>
  <c r="DC319" i="15"/>
  <c r="CY319" i="15"/>
  <c r="CX319" i="15"/>
  <c r="CW319" i="15"/>
  <c r="CR319" i="15"/>
  <c r="CO319" i="15"/>
  <c r="CK319" i="15"/>
  <c r="CJ319" i="15"/>
  <c r="CI319" i="15"/>
  <c r="CD319" i="15"/>
  <c r="CA319" i="15"/>
  <c r="BW319" i="15"/>
  <c r="BV319" i="15"/>
  <c r="BU319" i="15"/>
  <c r="BP319" i="15"/>
  <c r="BM319" i="15"/>
  <c r="BI319" i="15"/>
  <c r="BH319" i="15"/>
  <c r="BG319" i="15"/>
  <c r="BB319" i="15"/>
  <c r="AY319" i="15"/>
  <c r="AU319" i="15"/>
  <c r="AT319" i="15"/>
  <c r="AS319" i="15"/>
  <c r="Z319" i="15"/>
  <c r="W319" i="15"/>
  <c r="S319" i="15"/>
  <c r="R319" i="15"/>
  <c r="Q319" i="15"/>
  <c r="K319" i="15"/>
  <c r="J319" i="15"/>
  <c r="H319" i="15"/>
  <c r="EV318" i="15"/>
  <c r="ES318" i="15"/>
  <c r="EO318" i="15"/>
  <c r="EN318" i="15"/>
  <c r="EM318" i="15"/>
  <c r="EH318" i="15"/>
  <c r="EE318" i="15"/>
  <c r="EA318" i="15"/>
  <c r="DZ318" i="15"/>
  <c r="DY318" i="15"/>
  <c r="DT318" i="15"/>
  <c r="DQ318" i="15"/>
  <c r="DM318" i="15"/>
  <c r="DL318" i="15"/>
  <c r="DK318" i="15"/>
  <c r="DF318" i="15"/>
  <c r="DC318" i="15"/>
  <c r="CY318" i="15"/>
  <c r="CX318" i="15"/>
  <c r="CW318" i="15"/>
  <c r="CR318" i="15"/>
  <c r="CO318" i="15"/>
  <c r="CK318" i="15"/>
  <c r="CJ318" i="15"/>
  <c r="CI318" i="15"/>
  <c r="CD318" i="15"/>
  <c r="CA318" i="15"/>
  <c r="BW318" i="15"/>
  <c r="BV318" i="15"/>
  <c r="BU318" i="15"/>
  <c r="BP318" i="15"/>
  <c r="BM318" i="15"/>
  <c r="BI318" i="15"/>
  <c r="BH318" i="15"/>
  <c r="BG318" i="15"/>
  <c r="BB318" i="15"/>
  <c r="AY318" i="15"/>
  <c r="AU318" i="15"/>
  <c r="AT318" i="15"/>
  <c r="AS318" i="15"/>
  <c r="Z318" i="15"/>
  <c r="W318" i="15"/>
  <c r="S318" i="15"/>
  <c r="R318" i="15"/>
  <c r="Q318" i="15"/>
  <c r="K318" i="15"/>
  <c r="J318" i="15"/>
  <c r="H318" i="15"/>
  <c r="EV317" i="15"/>
  <c r="ES317" i="15"/>
  <c r="EO317" i="15"/>
  <c r="EN317" i="15"/>
  <c r="EM317" i="15"/>
  <c r="EH317" i="15"/>
  <c r="EE317" i="15"/>
  <c r="EA317" i="15"/>
  <c r="DZ317" i="15"/>
  <c r="DY317" i="15"/>
  <c r="DT317" i="15"/>
  <c r="DQ317" i="15"/>
  <c r="DM317" i="15"/>
  <c r="DL317" i="15"/>
  <c r="DK317" i="15"/>
  <c r="DF317" i="15"/>
  <c r="DC317" i="15"/>
  <c r="CY317" i="15"/>
  <c r="CX317" i="15"/>
  <c r="CW317" i="15"/>
  <c r="CR317" i="15"/>
  <c r="CO317" i="15"/>
  <c r="CK317" i="15"/>
  <c r="CJ317" i="15"/>
  <c r="CI317" i="15"/>
  <c r="CD317" i="15"/>
  <c r="CA317" i="15"/>
  <c r="BW317" i="15"/>
  <c r="BV317" i="15"/>
  <c r="BU317" i="15"/>
  <c r="BP317" i="15"/>
  <c r="BM317" i="15"/>
  <c r="BI317" i="15"/>
  <c r="BH317" i="15"/>
  <c r="BG317" i="15"/>
  <c r="BB317" i="15"/>
  <c r="AY317" i="15"/>
  <c r="AU317" i="15"/>
  <c r="AT317" i="15"/>
  <c r="AS317" i="15"/>
  <c r="Z317" i="15"/>
  <c r="W317" i="15"/>
  <c r="S317" i="15"/>
  <c r="R317" i="15"/>
  <c r="Q317" i="15"/>
  <c r="K317" i="15"/>
  <c r="J317" i="15"/>
  <c r="H317" i="15"/>
  <c r="EV316" i="15"/>
  <c r="ES316" i="15"/>
  <c r="EO316" i="15"/>
  <c r="EN316" i="15"/>
  <c r="EM316" i="15"/>
  <c r="EH316" i="15"/>
  <c r="EE316" i="15"/>
  <c r="EA316" i="15"/>
  <c r="DZ316" i="15"/>
  <c r="DY316" i="15"/>
  <c r="DT316" i="15"/>
  <c r="DQ316" i="15"/>
  <c r="DM316" i="15"/>
  <c r="DL316" i="15"/>
  <c r="DK316" i="15"/>
  <c r="DF316" i="15"/>
  <c r="DC316" i="15"/>
  <c r="CY316" i="15"/>
  <c r="CX316" i="15"/>
  <c r="CW316" i="15"/>
  <c r="CR316" i="15"/>
  <c r="CO316" i="15"/>
  <c r="CK316" i="15"/>
  <c r="CJ316" i="15"/>
  <c r="CI316" i="15"/>
  <c r="CD316" i="15"/>
  <c r="CA316" i="15"/>
  <c r="BW316" i="15"/>
  <c r="BV316" i="15"/>
  <c r="BU316" i="15"/>
  <c r="BP316" i="15"/>
  <c r="BM316" i="15"/>
  <c r="BI316" i="15"/>
  <c r="BH316" i="15"/>
  <c r="BG316" i="15"/>
  <c r="BB316" i="15"/>
  <c r="AY316" i="15"/>
  <c r="AU316" i="15"/>
  <c r="AT316" i="15"/>
  <c r="AS316" i="15"/>
  <c r="Z316" i="15"/>
  <c r="W316" i="15"/>
  <c r="S316" i="15"/>
  <c r="R316" i="15"/>
  <c r="Q316" i="15"/>
  <c r="K316" i="15"/>
  <c r="J316" i="15"/>
  <c r="H316" i="15"/>
  <c r="EV315" i="15"/>
  <c r="ES315" i="15"/>
  <c r="EO315" i="15"/>
  <c r="EN315" i="15"/>
  <c r="EM315" i="15"/>
  <c r="EH315" i="15"/>
  <c r="EE315" i="15"/>
  <c r="EA315" i="15"/>
  <c r="DZ315" i="15"/>
  <c r="DY315" i="15"/>
  <c r="DT315" i="15"/>
  <c r="DQ315" i="15"/>
  <c r="DM315" i="15"/>
  <c r="DL315" i="15"/>
  <c r="DK315" i="15"/>
  <c r="DF315" i="15"/>
  <c r="DC315" i="15"/>
  <c r="CY315" i="15"/>
  <c r="CX315" i="15"/>
  <c r="CW315" i="15"/>
  <c r="CR315" i="15"/>
  <c r="CO315" i="15"/>
  <c r="CK315" i="15"/>
  <c r="CJ315" i="15"/>
  <c r="CI315" i="15"/>
  <c r="CD315" i="15"/>
  <c r="CA315" i="15"/>
  <c r="BW315" i="15"/>
  <c r="BV315" i="15"/>
  <c r="BU315" i="15"/>
  <c r="BP315" i="15"/>
  <c r="BM315" i="15"/>
  <c r="BI315" i="15"/>
  <c r="BH315" i="15"/>
  <c r="BG315" i="15"/>
  <c r="BB315" i="15"/>
  <c r="AY315" i="15"/>
  <c r="AU315" i="15"/>
  <c r="AT315" i="15"/>
  <c r="AS315" i="15"/>
  <c r="Z315" i="15"/>
  <c r="W315" i="15"/>
  <c r="S315" i="15"/>
  <c r="R315" i="15"/>
  <c r="Q315" i="15"/>
  <c r="K315" i="15"/>
  <c r="J315" i="15"/>
  <c r="H315" i="15"/>
  <c r="EV314" i="15"/>
  <c r="ES314" i="15"/>
  <c r="EO314" i="15"/>
  <c r="EN314" i="15"/>
  <c r="EM314" i="15"/>
  <c r="EH314" i="15"/>
  <c r="EE314" i="15"/>
  <c r="EA314" i="15"/>
  <c r="DZ314" i="15"/>
  <c r="DY314" i="15"/>
  <c r="DT314" i="15"/>
  <c r="DQ314" i="15"/>
  <c r="DM314" i="15"/>
  <c r="DL314" i="15"/>
  <c r="DK314" i="15"/>
  <c r="DF314" i="15"/>
  <c r="DC314" i="15"/>
  <c r="CY314" i="15"/>
  <c r="CX314" i="15"/>
  <c r="CW314" i="15"/>
  <c r="CD314" i="15"/>
  <c r="CA314" i="15"/>
  <c r="BW314" i="15"/>
  <c r="BV314" i="15"/>
  <c r="BU314" i="15"/>
  <c r="BP314" i="15"/>
  <c r="BM314" i="15"/>
  <c r="BI314" i="15"/>
  <c r="BH314" i="15"/>
  <c r="BG314" i="15"/>
  <c r="BB314" i="15"/>
  <c r="AY314" i="15"/>
  <c r="AU314" i="15"/>
  <c r="AT314" i="15"/>
  <c r="AS314" i="15"/>
  <c r="Z314" i="15"/>
  <c r="W314" i="15"/>
  <c r="S314" i="15"/>
  <c r="R314" i="15"/>
  <c r="Q314" i="15"/>
  <c r="K314" i="15"/>
  <c r="J314" i="15"/>
  <c r="H314" i="15"/>
  <c r="EV313" i="15"/>
  <c r="ES313" i="15"/>
  <c r="EO313" i="15"/>
  <c r="EN313" i="15"/>
  <c r="EM313" i="15"/>
  <c r="EH313" i="15"/>
  <c r="EE313" i="15"/>
  <c r="EA313" i="15"/>
  <c r="DZ313" i="15"/>
  <c r="DY313" i="15"/>
  <c r="DT313" i="15"/>
  <c r="DQ313" i="15"/>
  <c r="DM313" i="15"/>
  <c r="DL313" i="15"/>
  <c r="DK313" i="15"/>
  <c r="DF313" i="15"/>
  <c r="DC313" i="15"/>
  <c r="CY313" i="15"/>
  <c r="CX313" i="15"/>
  <c r="CW313" i="15"/>
  <c r="CD313" i="15"/>
  <c r="CA313" i="15"/>
  <c r="BW313" i="15"/>
  <c r="BV313" i="15"/>
  <c r="BU313" i="15"/>
  <c r="BP313" i="15"/>
  <c r="BM313" i="15"/>
  <c r="BI313" i="15"/>
  <c r="BH313" i="15"/>
  <c r="BG313" i="15"/>
  <c r="BB313" i="15"/>
  <c r="AY313" i="15"/>
  <c r="AU313" i="15"/>
  <c r="AT313" i="15"/>
  <c r="AS313" i="15"/>
  <c r="Z313" i="15"/>
  <c r="W313" i="15"/>
  <c r="S313" i="15"/>
  <c r="R313" i="15"/>
  <c r="Q313" i="15"/>
  <c r="K313" i="15"/>
  <c r="J313" i="15"/>
  <c r="H313" i="15"/>
  <c r="EV312" i="15"/>
  <c r="ES312" i="15"/>
  <c r="EO312" i="15"/>
  <c r="EN312" i="15"/>
  <c r="EM312" i="15"/>
  <c r="EH312" i="15"/>
  <c r="EE312" i="15"/>
  <c r="EA312" i="15"/>
  <c r="DZ312" i="15"/>
  <c r="DY312" i="15"/>
  <c r="DT312" i="15"/>
  <c r="DQ312" i="15"/>
  <c r="DM312" i="15"/>
  <c r="DL312" i="15"/>
  <c r="DK312" i="15"/>
  <c r="DF312" i="15"/>
  <c r="DC312" i="15"/>
  <c r="CY312" i="15"/>
  <c r="CX312" i="15"/>
  <c r="CW312" i="15"/>
  <c r="CD312" i="15"/>
  <c r="CA312" i="15"/>
  <c r="BW312" i="15"/>
  <c r="BV312" i="15"/>
  <c r="BU312" i="15"/>
  <c r="BP312" i="15"/>
  <c r="BM312" i="15"/>
  <c r="BI312" i="15"/>
  <c r="BH312" i="15"/>
  <c r="BG312" i="15"/>
  <c r="BB312" i="15"/>
  <c r="AY312" i="15"/>
  <c r="AU312" i="15"/>
  <c r="AT312" i="15"/>
  <c r="AS312" i="15"/>
  <c r="Z312" i="15"/>
  <c r="W312" i="15"/>
  <c r="S312" i="15"/>
  <c r="R312" i="15"/>
  <c r="Q312" i="15"/>
  <c r="K312" i="15"/>
  <c r="J312" i="15"/>
  <c r="H312" i="15"/>
  <c r="EV311" i="15"/>
  <c r="ES311" i="15"/>
  <c r="EO311" i="15"/>
  <c r="EN311" i="15"/>
  <c r="EM311" i="15"/>
  <c r="EH311" i="15"/>
  <c r="EE311" i="15"/>
  <c r="EA311" i="15"/>
  <c r="DZ311" i="15"/>
  <c r="DY311" i="15"/>
  <c r="DT311" i="15"/>
  <c r="DQ311" i="15"/>
  <c r="DM311" i="15"/>
  <c r="DL311" i="15"/>
  <c r="DK311" i="15"/>
  <c r="DF311" i="15"/>
  <c r="DC311" i="15"/>
  <c r="CY311" i="15"/>
  <c r="CX311" i="15"/>
  <c r="CW311" i="15"/>
  <c r="CD311" i="15"/>
  <c r="CA311" i="15"/>
  <c r="BW311" i="15"/>
  <c r="BV311" i="15"/>
  <c r="BU311" i="15"/>
  <c r="BP311" i="15"/>
  <c r="BM311" i="15"/>
  <c r="BI311" i="15"/>
  <c r="BH311" i="15"/>
  <c r="BG311" i="15"/>
  <c r="BB311" i="15"/>
  <c r="AY311" i="15"/>
  <c r="AU311" i="15"/>
  <c r="AT311" i="15"/>
  <c r="AS311" i="15"/>
  <c r="Z311" i="15"/>
  <c r="W311" i="15"/>
  <c r="S311" i="15"/>
  <c r="R311" i="15"/>
  <c r="Q311" i="15"/>
  <c r="K311" i="15"/>
  <c r="J311" i="15"/>
  <c r="H311" i="15"/>
  <c r="EV310" i="15"/>
  <c r="ES310" i="15"/>
  <c r="EO310" i="15"/>
  <c r="EN310" i="15"/>
  <c r="EM310" i="15"/>
  <c r="EH310" i="15"/>
  <c r="EE310" i="15"/>
  <c r="EA310" i="15"/>
  <c r="DZ310" i="15"/>
  <c r="DY310" i="15"/>
  <c r="DT310" i="15"/>
  <c r="DQ310" i="15"/>
  <c r="DM310" i="15"/>
  <c r="DL310" i="15"/>
  <c r="DK310" i="15"/>
  <c r="DF310" i="15"/>
  <c r="DC310" i="15"/>
  <c r="CY310" i="15"/>
  <c r="CX310" i="15"/>
  <c r="CW310" i="15"/>
  <c r="CD310" i="15"/>
  <c r="CA310" i="15"/>
  <c r="BW310" i="15"/>
  <c r="BV310" i="15"/>
  <c r="BU310" i="15"/>
  <c r="BP310" i="15"/>
  <c r="BM310" i="15"/>
  <c r="BI310" i="15"/>
  <c r="BH310" i="15"/>
  <c r="BG310" i="15"/>
  <c r="BB310" i="15"/>
  <c r="AY310" i="15"/>
  <c r="AU310" i="15"/>
  <c r="AT310" i="15"/>
  <c r="AS310" i="15"/>
  <c r="Z310" i="15"/>
  <c r="W310" i="15"/>
  <c r="S310" i="15"/>
  <c r="R310" i="15"/>
  <c r="Q310" i="15"/>
  <c r="K310" i="15"/>
  <c r="J310" i="15"/>
  <c r="H310" i="15"/>
  <c r="EV309" i="15"/>
  <c r="ES309" i="15"/>
  <c r="EO309" i="15"/>
  <c r="EN309" i="15"/>
  <c r="EM309" i="15"/>
  <c r="EH309" i="15"/>
  <c r="EE309" i="15"/>
  <c r="EA309" i="15"/>
  <c r="DZ309" i="15"/>
  <c r="DY309" i="15"/>
  <c r="DT309" i="15"/>
  <c r="DQ309" i="15"/>
  <c r="DM309" i="15"/>
  <c r="DL309" i="15"/>
  <c r="DK309" i="15"/>
  <c r="DF309" i="15"/>
  <c r="DC309" i="15"/>
  <c r="CY309" i="15"/>
  <c r="CX309" i="15"/>
  <c r="CW309" i="15"/>
  <c r="CD309" i="15"/>
  <c r="CA309" i="15"/>
  <c r="BW309" i="15"/>
  <c r="BV309" i="15"/>
  <c r="BU309" i="15"/>
  <c r="BP309" i="15"/>
  <c r="BM309" i="15"/>
  <c r="BI309" i="15"/>
  <c r="BH309" i="15"/>
  <c r="BG309" i="15"/>
  <c r="BB309" i="15"/>
  <c r="AY309" i="15"/>
  <c r="AU309" i="15"/>
  <c r="AT309" i="15"/>
  <c r="AS309" i="15"/>
  <c r="Z309" i="15"/>
  <c r="W309" i="15"/>
  <c r="S309" i="15"/>
  <c r="R309" i="15"/>
  <c r="Q309" i="15"/>
  <c r="K309" i="15"/>
  <c r="J309" i="15"/>
  <c r="H309" i="15"/>
  <c r="EV308" i="15"/>
  <c r="ES308" i="15"/>
  <c r="EO308" i="15"/>
  <c r="EN308" i="15"/>
  <c r="EM308" i="15"/>
  <c r="EH308" i="15"/>
  <c r="EE308" i="15"/>
  <c r="EA308" i="15"/>
  <c r="DZ308" i="15"/>
  <c r="DY308" i="15"/>
  <c r="DT308" i="15"/>
  <c r="DQ308" i="15"/>
  <c r="DM308" i="15"/>
  <c r="DL308" i="15"/>
  <c r="DK308" i="15"/>
  <c r="DF308" i="15"/>
  <c r="DC308" i="15"/>
  <c r="CY308" i="15"/>
  <c r="CX308" i="15"/>
  <c r="CW308" i="15"/>
  <c r="CD308" i="15"/>
  <c r="CA308" i="15"/>
  <c r="BW308" i="15"/>
  <c r="BV308" i="15"/>
  <c r="BU308" i="15"/>
  <c r="BP308" i="15"/>
  <c r="BM308" i="15"/>
  <c r="BI308" i="15"/>
  <c r="BH308" i="15"/>
  <c r="BG308" i="15"/>
  <c r="BB308" i="15"/>
  <c r="AY308" i="15"/>
  <c r="AU308" i="15"/>
  <c r="AT308" i="15"/>
  <c r="AS308" i="15"/>
  <c r="Z308" i="15"/>
  <c r="W308" i="15"/>
  <c r="S308" i="15"/>
  <c r="R308" i="15"/>
  <c r="Q308" i="15"/>
  <c r="K308" i="15"/>
  <c r="J308" i="15"/>
  <c r="H308" i="15"/>
  <c r="EV307" i="15"/>
  <c r="ES307" i="15"/>
  <c r="EO307" i="15"/>
  <c r="EN307" i="15"/>
  <c r="EM307" i="15"/>
  <c r="EH307" i="15"/>
  <c r="EE307" i="15"/>
  <c r="EA307" i="15"/>
  <c r="DZ307" i="15"/>
  <c r="DY307" i="15"/>
  <c r="DT307" i="15"/>
  <c r="DQ307" i="15"/>
  <c r="DM307" i="15"/>
  <c r="DL307" i="15"/>
  <c r="DK307" i="15"/>
  <c r="DF307" i="15"/>
  <c r="DC307" i="15"/>
  <c r="CY307" i="15"/>
  <c r="CX307" i="15"/>
  <c r="CW307" i="15"/>
  <c r="CD307" i="15"/>
  <c r="CA307" i="15"/>
  <c r="BW307" i="15"/>
  <c r="BV307" i="15"/>
  <c r="BU307" i="15"/>
  <c r="BP307" i="15"/>
  <c r="BM307" i="15"/>
  <c r="BI307" i="15"/>
  <c r="BH307" i="15"/>
  <c r="BG307" i="15"/>
  <c r="BB307" i="15"/>
  <c r="AY307" i="15"/>
  <c r="AU307" i="15"/>
  <c r="AT307" i="15"/>
  <c r="AS307" i="15"/>
  <c r="Z307" i="15"/>
  <c r="W307" i="15"/>
  <c r="S307" i="15"/>
  <c r="R307" i="15"/>
  <c r="Q307" i="15"/>
  <c r="K307" i="15"/>
  <c r="J307" i="15"/>
  <c r="H307" i="15"/>
  <c r="EV306" i="15"/>
  <c r="ES306" i="15"/>
  <c r="EO306" i="15"/>
  <c r="EN306" i="15"/>
  <c r="EM306" i="15"/>
  <c r="EH306" i="15"/>
  <c r="EE306" i="15"/>
  <c r="EA306" i="15"/>
  <c r="DZ306" i="15"/>
  <c r="DY306" i="15"/>
  <c r="DT306" i="15"/>
  <c r="DQ306" i="15"/>
  <c r="DM306" i="15"/>
  <c r="DL306" i="15"/>
  <c r="DK306" i="15"/>
  <c r="DF306" i="15"/>
  <c r="DC306" i="15"/>
  <c r="CY306" i="15"/>
  <c r="CX306" i="15"/>
  <c r="CW306" i="15"/>
  <c r="CD306" i="15"/>
  <c r="CA306" i="15"/>
  <c r="BW306" i="15"/>
  <c r="BV306" i="15"/>
  <c r="BU306" i="15"/>
  <c r="BP306" i="15"/>
  <c r="BM306" i="15"/>
  <c r="BI306" i="15"/>
  <c r="BH306" i="15"/>
  <c r="BG306" i="15"/>
  <c r="BB306" i="15"/>
  <c r="AY306" i="15"/>
  <c r="AU306" i="15"/>
  <c r="AT306" i="15"/>
  <c r="AS306" i="15"/>
  <c r="Z306" i="15"/>
  <c r="W306" i="15"/>
  <c r="S306" i="15"/>
  <c r="R306" i="15"/>
  <c r="Q306" i="15"/>
  <c r="K306" i="15"/>
  <c r="J306" i="15"/>
  <c r="H306" i="15"/>
  <c r="EV305" i="15"/>
  <c r="ES305" i="15"/>
  <c r="EO305" i="15"/>
  <c r="EN305" i="15"/>
  <c r="EM305" i="15"/>
  <c r="EH305" i="15"/>
  <c r="EE305" i="15"/>
  <c r="EA305" i="15"/>
  <c r="DZ305" i="15"/>
  <c r="DY305" i="15"/>
  <c r="DT305" i="15"/>
  <c r="DQ305" i="15"/>
  <c r="DM305" i="15"/>
  <c r="DL305" i="15"/>
  <c r="DK305" i="15"/>
  <c r="DF305" i="15"/>
  <c r="DC305" i="15"/>
  <c r="CY305" i="15"/>
  <c r="CX305" i="15"/>
  <c r="CW305" i="15"/>
  <c r="CD305" i="15"/>
  <c r="CA305" i="15"/>
  <c r="BW305" i="15"/>
  <c r="BV305" i="15"/>
  <c r="BU305" i="15"/>
  <c r="BP305" i="15"/>
  <c r="BM305" i="15"/>
  <c r="BI305" i="15"/>
  <c r="BH305" i="15"/>
  <c r="BG305" i="15"/>
  <c r="BB305" i="15"/>
  <c r="AY305" i="15"/>
  <c r="AU305" i="15"/>
  <c r="AT305" i="15"/>
  <c r="AS305" i="15"/>
  <c r="Z305" i="15"/>
  <c r="W305" i="15"/>
  <c r="S305" i="15"/>
  <c r="R305" i="15"/>
  <c r="Q305" i="15"/>
  <c r="K305" i="15"/>
  <c r="J305" i="15"/>
  <c r="H305" i="15"/>
  <c r="EH304" i="15"/>
  <c r="EE304" i="15"/>
  <c r="EA304" i="15"/>
  <c r="DZ304" i="15"/>
  <c r="DY304" i="15"/>
  <c r="DT304" i="15"/>
  <c r="DQ304" i="15"/>
  <c r="DM304" i="15"/>
  <c r="DL304" i="15"/>
  <c r="DK304" i="15"/>
  <c r="DF304" i="15"/>
  <c r="DC304" i="15"/>
  <c r="CY304" i="15"/>
  <c r="CX304" i="15"/>
  <c r="CW304" i="15"/>
  <c r="CD304" i="15"/>
  <c r="CA304" i="15"/>
  <c r="BW304" i="15"/>
  <c r="BV304" i="15"/>
  <c r="BU304" i="15"/>
  <c r="BP304" i="15"/>
  <c r="BM304" i="15"/>
  <c r="BI304" i="15"/>
  <c r="BH304" i="15"/>
  <c r="BG304" i="15"/>
  <c r="BB304" i="15"/>
  <c r="AY304" i="15"/>
  <c r="AU304" i="15"/>
  <c r="AT304" i="15"/>
  <c r="AS304" i="15"/>
  <c r="Z304" i="15"/>
  <c r="W304" i="15"/>
  <c r="S304" i="15"/>
  <c r="R304" i="15"/>
  <c r="Q304" i="15"/>
  <c r="K304" i="15"/>
  <c r="J304" i="15"/>
  <c r="H304" i="15"/>
  <c r="EH303" i="15"/>
  <c r="EE303" i="15"/>
  <c r="EA303" i="15"/>
  <c r="DZ303" i="15"/>
  <c r="DY303" i="15"/>
  <c r="DT303" i="15"/>
  <c r="DQ303" i="15"/>
  <c r="DM303" i="15"/>
  <c r="DL303" i="15"/>
  <c r="DK303" i="15"/>
  <c r="DF303" i="15"/>
  <c r="DC303" i="15"/>
  <c r="CY303" i="15"/>
  <c r="CX303" i="15"/>
  <c r="CW303" i="15"/>
  <c r="CD303" i="15"/>
  <c r="CA303" i="15"/>
  <c r="BW303" i="15"/>
  <c r="BV303" i="15"/>
  <c r="BU303" i="15"/>
  <c r="BP303" i="15"/>
  <c r="BM303" i="15"/>
  <c r="BI303" i="15"/>
  <c r="BH303" i="15"/>
  <c r="BG303" i="15"/>
  <c r="BB303" i="15"/>
  <c r="AY303" i="15"/>
  <c r="AU303" i="15"/>
  <c r="AT303" i="15"/>
  <c r="AS303" i="15"/>
  <c r="Z303" i="15"/>
  <c r="W303" i="15"/>
  <c r="S303" i="15"/>
  <c r="R303" i="15"/>
  <c r="Q303" i="15"/>
  <c r="K303" i="15"/>
  <c r="J303" i="15"/>
  <c r="H303" i="15"/>
  <c r="EH302" i="15"/>
  <c r="EE302" i="15"/>
  <c r="EA302" i="15"/>
  <c r="DZ302" i="15"/>
  <c r="DY302" i="15"/>
  <c r="DT302" i="15"/>
  <c r="DQ302" i="15"/>
  <c r="DM302" i="15"/>
  <c r="DL302" i="15"/>
  <c r="DK302" i="15"/>
  <c r="DF302" i="15"/>
  <c r="DC302" i="15"/>
  <c r="CY302" i="15"/>
  <c r="CX302" i="15"/>
  <c r="CW302" i="15"/>
  <c r="CD302" i="15"/>
  <c r="CA302" i="15"/>
  <c r="BW302" i="15"/>
  <c r="BV302" i="15"/>
  <c r="BU302" i="15"/>
  <c r="BP302" i="15"/>
  <c r="BM302" i="15"/>
  <c r="BI302" i="15"/>
  <c r="BH302" i="15"/>
  <c r="BG302" i="15"/>
  <c r="BB302" i="15"/>
  <c r="AY302" i="15"/>
  <c r="AU302" i="15"/>
  <c r="AT302" i="15"/>
  <c r="AS302" i="15"/>
  <c r="Z302" i="15"/>
  <c r="W302" i="15"/>
  <c r="S302" i="15"/>
  <c r="R302" i="15"/>
  <c r="Q302" i="15"/>
  <c r="K302" i="15"/>
  <c r="J302" i="15"/>
  <c r="H302" i="15"/>
  <c r="EH301" i="15"/>
  <c r="EE301" i="15"/>
  <c r="EA301" i="15"/>
  <c r="DZ301" i="15"/>
  <c r="DY301" i="15"/>
  <c r="DT301" i="15"/>
  <c r="DQ301" i="15"/>
  <c r="DM301" i="15"/>
  <c r="DL301" i="15"/>
  <c r="DK301" i="15"/>
  <c r="DF301" i="15"/>
  <c r="DC301" i="15"/>
  <c r="CY301" i="15"/>
  <c r="CX301" i="15"/>
  <c r="CW301" i="15"/>
  <c r="CD301" i="15"/>
  <c r="CA301" i="15"/>
  <c r="BW301" i="15"/>
  <c r="BV301" i="15"/>
  <c r="BU301" i="15"/>
  <c r="BP301" i="15"/>
  <c r="BM301" i="15"/>
  <c r="BI301" i="15"/>
  <c r="BH301" i="15"/>
  <c r="BG301" i="15"/>
  <c r="BB301" i="15"/>
  <c r="AY301" i="15"/>
  <c r="AU301" i="15"/>
  <c r="AT301" i="15"/>
  <c r="AS301" i="15"/>
  <c r="Z301" i="15"/>
  <c r="W301" i="15"/>
  <c r="S301" i="15"/>
  <c r="R301" i="15"/>
  <c r="Q301" i="15"/>
  <c r="K301" i="15"/>
  <c r="J301" i="15"/>
  <c r="H301" i="15"/>
  <c r="EH300" i="15"/>
  <c r="EE300" i="15"/>
  <c r="EA300" i="15"/>
  <c r="DZ300" i="15"/>
  <c r="DY300" i="15"/>
  <c r="DT300" i="15"/>
  <c r="DQ300" i="15"/>
  <c r="DM300" i="15"/>
  <c r="DL300" i="15"/>
  <c r="DK300" i="15"/>
  <c r="DF300" i="15"/>
  <c r="DC300" i="15"/>
  <c r="CY300" i="15"/>
  <c r="CX300" i="15"/>
  <c r="CW300" i="15"/>
  <c r="CD300" i="15"/>
  <c r="CA300" i="15"/>
  <c r="BW300" i="15"/>
  <c r="BV300" i="15"/>
  <c r="BU300" i="15"/>
  <c r="BP300" i="15"/>
  <c r="BM300" i="15"/>
  <c r="BI300" i="15"/>
  <c r="BH300" i="15"/>
  <c r="BG300" i="15"/>
  <c r="BB300" i="15"/>
  <c r="AY300" i="15"/>
  <c r="AU300" i="15"/>
  <c r="AT300" i="15"/>
  <c r="AS300" i="15"/>
  <c r="Z300" i="15"/>
  <c r="W300" i="15"/>
  <c r="S300" i="15"/>
  <c r="R300" i="15"/>
  <c r="Q300" i="15"/>
  <c r="K300" i="15"/>
  <c r="J300" i="15"/>
  <c r="H300" i="15"/>
  <c r="EH299" i="15"/>
  <c r="EE299" i="15"/>
  <c r="EA299" i="15"/>
  <c r="DZ299" i="15"/>
  <c r="DY299" i="15"/>
  <c r="DT299" i="15"/>
  <c r="DQ299" i="15"/>
  <c r="DM299" i="15"/>
  <c r="DL299" i="15"/>
  <c r="DK299" i="15"/>
  <c r="DF299" i="15"/>
  <c r="DC299" i="15"/>
  <c r="CY299" i="15"/>
  <c r="CX299" i="15"/>
  <c r="CW299" i="15"/>
  <c r="CD299" i="15"/>
  <c r="CA299" i="15"/>
  <c r="BW299" i="15"/>
  <c r="BV299" i="15"/>
  <c r="BU299" i="15"/>
  <c r="BP299" i="15"/>
  <c r="BM299" i="15"/>
  <c r="BI299" i="15"/>
  <c r="BH299" i="15"/>
  <c r="BG299" i="15"/>
  <c r="BB299" i="15"/>
  <c r="AY299" i="15"/>
  <c r="AU299" i="15"/>
  <c r="AT299" i="15"/>
  <c r="AS299" i="15"/>
  <c r="Z299" i="15"/>
  <c r="W299" i="15"/>
  <c r="S299" i="15"/>
  <c r="R299" i="15"/>
  <c r="Q299" i="15"/>
  <c r="K299" i="15"/>
  <c r="J299" i="15"/>
  <c r="H299" i="15"/>
  <c r="EH298" i="15"/>
  <c r="EE298" i="15"/>
  <c r="EA298" i="15"/>
  <c r="DZ298" i="15"/>
  <c r="DY298" i="15"/>
  <c r="DT298" i="15"/>
  <c r="DQ298" i="15"/>
  <c r="DM298" i="15"/>
  <c r="DL298" i="15"/>
  <c r="DK298" i="15"/>
  <c r="DF298" i="15"/>
  <c r="DC298" i="15"/>
  <c r="CY298" i="15"/>
  <c r="CX298" i="15"/>
  <c r="CW298" i="15"/>
  <c r="CD298" i="15"/>
  <c r="CA298" i="15"/>
  <c r="BW298" i="15"/>
  <c r="BV298" i="15"/>
  <c r="BU298" i="15"/>
  <c r="BP298" i="15"/>
  <c r="BM298" i="15"/>
  <c r="BI298" i="15"/>
  <c r="BH298" i="15"/>
  <c r="BG298" i="15"/>
  <c r="BB298" i="15"/>
  <c r="AY298" i="15"/>
  <c r="AU298" i="15"/>
  <c r="AT298" i="15"/>
  <c r="AS298" i="15"/>
  <c r="Z298" i="15"/>
  <c r="W298" i="15"/>
  <c r="S298" i="15"/>
  <c r="R298" i="15"/>
  <c r="Q298" i="15"/>
  <c r="K298" i="15"/>
  <c r="J298" i="15"/>
  <c r="H298" i="15"/>
  <c r="EH297" i="15"/>
  <c r="EE297" i="15"/>
  <c r="EA297" i="15"/>
  <c r="DZ297" i="15"/>
  <c r="DY297" i="15"/>
  <c r="DT297" i="15"/>
  <c r="DQ297" i="15"/>
  <c r="DM297" i="15"/>
  <c r="DL297" i="15"/>
  <c r="DK297" i="15"/>
  <c r="DF297" i="15"/>
  <c r="DC297" i="15"/>
  <c r="CY297" i="15"/>
  <c r="CX297" i="15"/>
  <c r="CW297" i="15"/>
  <c r="CD297" i="15"/>
  <c r="CA297" i="15"/>
  <c r="BW297" i="15"/>
  <c r="BV297" i="15"/>
  <c r="BU297" i="15"/>
  <c r="BP297" i="15"/>
  <c r="BM297" i="15"/>
  <c r="BI297" i="15"/>
  <c r="BH297" i="15"/>
  <c r="BG297" i="15"/>
  <c r="BB297" i="15"/>
  <c r="AY297" i="15"/>
  <c r="AU297" i="15"/>
  <c r="AT297" i="15"/>
  <c r="AS297" i="15"/>
  <c r="Z297" i="15"/>
  <c r="W297" i="15"/>
  <c r="S297" i="15"/>
  <c r="R297" i="15"/>
  <c r="Q297" i="15"/>
  <c r="K297" i="15"/>
  <c r="J297" i="15"/>
  <c r="H297" i="15"/>
  <c r="EH296" i="15"/>
  <c r="EE296" i="15"/>
  <c r="EA296" i="15"/>
  <c r="DZ296" i="15"/>
  <c r="DY296" i="15"/>
  <c r="DT296" i="15"/>
  <c r="DQ296" i="15"/>
  <c r="DM296" i="15"/>
  <c r="DL296" i="15"/>
  <c r="DK296" i="15"/>
  <c r="DF296" i="15"/>
  <c r="DC296" i="15"/>
  <c r="CY296" i="15"/>
  <c r="CX296" i="15"/>
  <c r="CW296" i="15"/>
  <c r="CD296" i="15"/>
  <c r="CA296" i="15"/>
  <c r="BW296" i="15"/>
  <c r="BV296" i="15"/>
  <c r="BU296" i="15"/>
  <c r="BP296" i="15"/>
  <c r="BM296" i="15"/>
  <c r="BI296" i="15"/>
  <c r="BH296" i="15"/>
  <c r="BG296" i="15"/>
  <c r="BB296" i="15"/>
  <c r="AY296" i="15"/>
  <c r="AU296" i="15"/>
  <c r="AT296" i="15"/>
  <c r="AS296" i="15"/>
  <c r="Z296" i="15"/>
  <c r="W296" i="15"/>
  <c r="S296" i="15"/>
  <c r="R296" i="15"/>
  <c r="Q296" i="15"/>
  <c r="K296" i="15"/>
  <c r="J296" i="15"/>
  <c r="H296" i="15"/>
  <c r="EH295" i="15"/>
  <c r="EE295" i="15"/>
  <c r="EA295" i="15"/>
  <c r="DZ295" i="15"/>
  <c r="DY295" i="15"/>
  <c r="DT295" i="15"/>
  <c r="DQ295" i="15"/>
  <c r="DM295" i="15"/>
  <c r="DL295" i="15"/>
  <c r="DK295" i="15"/>
  <c r="DF295" i="15"/>
  <c r="DC295" i="15"/>
  <c r="CY295" i="15"/>
  <c r="CX295" i="15"/>
  <c r="CW295" i="15"/>
  <c r="CD295" i="15"/>
  <c r="CA295" i="15"/>
  <c r="BW295" i="15"/>
  <c r="BV295" i="15"/>
  <c r="BU295" i="15"/>
  <c r="BP295" i="15"/>
  <c r="BM295" i="15"/>
  <c r="BI295" i="15"/>
  <c r="BH295" i="15"/>
  <c r="BG295" i="15"/>
  <c r="BB295" i="15"/>
  <c r="AY295" i="15"/>
  <c r="AU295" i="15"/>
  <c r="AT295" i="15"/>
  <c r="AS295" i="15"/>
  <c r="Z295" i="15"/>
  <c r="W295" i="15"/>
  <c r="S295" i="15"/>
  <c r="R295" i="15"/>
  <c r="Q295" i="15"/>
  <c r="K295" i="15"/>
  <c r="J295" i="15"/>
  <c r="H295" i="15"/>
  <c r="EH294" i="15"/>
  <c r="EE294" i="15"/>
  <c r="EA294" i="15"/>
  <c r="DZ294" i="15"/>
  <c r="DY294" i="15"/>
  <c r="DT294" i="15"/>
  <c r="DQ294" i="15"/>
  <c r="DM294" i="15"/>
  <c r="DL294" i="15"/>
  <c r="DK294" i="15"/>
  <c r="DF294" i="15"/>
  <c r="DC294" i="15"/>
  <c r="CY294" i="15"/>
  <c r="CX294" i="15"/>
  <c r="CW294" i="15"/>
  <c r="CD294" i="15"/>
  <c r="CA294" i="15"/>
  <c r="BW294" i="15"/>
  <c r="BV294" i="15"/>
  <c r="BU294" i="15"/>
  <c r="BP294" i="15"/>
  <c r="BM294" i="15"/>
  <c r="BI294" i="15"/>
  <c r="BH294" i="15"/>
  <c r="BG294" i="15"/>
  <c r="BB294" i="15"/>
  <c r="AY294" i="15"/>
  <c r="AU294" i="15"/>
  <c r="AT294" i="15"/>
  <c r="AS294" i="15"/>
  <c r="Z294" i="15"/>
  <c r="W294" i="15"/>
  <c r="S294" i="15"/>
  <c r="R294" i="15"/>
  <c r="Q294" i="15"/>
  <c r="K294" i="15"/>
  <c r="J294" i="15"/>
  <c r="H294" i="15"/>
  <c r="EH293" i="15"/>
  <c r="EE293" i="15"/>
  <c r="EA293" i="15"/>
  <c r="DZ293" i="15"/>
  <c r="DY293" i="15"/>
  <c r="DT293" i="15"/>
  <c r="DQ293" i="15"/>
  <c r="DM293" i="15"/>
  <c r="DL293" i="15"/>
  <c r="DK293" i="15"/>
  <c r="DF293" i="15"/>
  <c r="DC293" i="15"/>
  <c r="CY293" i="15"/>
  <c r="CX293" i="15"/>
  <c r="CW293" i="15"/>
  <c r="CD293" i="15"/>
  <c r="CA293" i="15"/>
  <c r="BW293" i="15"/>
  <c r="BV293" i="15"/>
  <c r="BU293" i="15"/>
  <c r="BP293" i="15"/>
  <c r="BM293" i="15"/>
  <c r="BI293" i="15"/>
  <c r="BH293" i="15"/>
  <c r="BG293" i="15"/>
  <c r="BB293" i="15"/>
  <c r="AY293" i="15"/>
  <c r="AU293" i="15"/>
  <c r="AT293" i="15"/>
  <c r="AS293" i="15"/>
  <c r="Z293" i="15"/>
  <c r="W293" i="15"/>
  <c r="S293" i="15"/>
  <c r="R293" i="15"/>
  <c r="Q293" i="15"/>
  <c r="K293" i="15"/>
  <c r="J293" i="15"/>
  <c r="H293" i="15"/>
  <c r="EH292" i="15"/>
  <c r="EE292" i="15"/>
  <c r="EA292" i="15"/>
  <c r="DZ292" i="15"/>
  <c r="DY292" i="15"/>
  <c r="DT292" i="15"/>
  <c r="DQ292" i="15"/>
  <c r="DM292" i="15"/>
  <c r="DL292" i="15"/>
  <c r="DK292" i="15"/>
  <c r="DF292" i="15"/>
  <c r="DC292" i="15"/>
  <c r="CY292" i="15"/>
  <c r="CX292" i="15"/>
  <c r="CW292" i="15"/>
  <c r="CD292" i="15"/>
  <c r="CA292" i="15"/>
  <c r="BW292" i="15"/>
  <c r="BV292" i="15"/>
  <c r="BU292" i="15"/>
  <c r="BP292" i="15"/>
  <c r="BM292" i="15"/>
  <c r="BI292" i="15"/>
  <c r="BH292" i="15"/>
  <c r="BG292" i="15"/>
  <c r="BB292" i="15"/>
  <c r="AY292" i="15"/>
  <c r="AU292" i="15"/>
  <c r="AT292" i="15"/>
  <c r="AS292" i="15"/>
  <c r="Z292" i="15"/>
  <c r="W292" i="15"/>
  <c r="S292" i="15"/>
  <c r="R292" i="15"/>
  <c r="Q292" i="15"/>
  <c r="K292" i="15"/>
  <c r="J292" i="15"/>
  <c r="H292" i="15"/>
  <c r="EH291" i="15"/>
  <c r="EE291" i="15"/>
  <c r="EA291" i="15"/>
  <c r="DZ291" i="15"/>
  <c r="DY291" i="15"/>
  <c r="DT291" i="15"/>
  <c r="DQ291" i="15"/>
  <c r="DM291" i="15"/>
  <c r="DL291" i="15"/>
  <c r="DK291" i="15"/>
  <c r="DF291" i="15"/>
  <c r="DC291" i="15"/>
  <c r="CY291" i="15"/>
  <c r="CX291" i="15"/>
  <c r="CW291" i="15"/>
  <c r="CD291" i="15"/>
  <c r="CA291" i="15"/>
  <c r="BW291" i="15"/>
  <c r="BV291" i="15"/>
  <c r="BU291" i="15"/>
  <c r="BP291" i="15"/>
  <c r="BM291" i="15"/>
  <c r="BI291" i="15"/>
  <c r="BH291" i="15"/>
  <c r="BG291" i="15"/>
  <c r="BB291" i="15"/>
  <c r="AY291" i="15"/>
  <c r="AU291" i="15"/>
  <c r="AT291" i="15"/>
  <c r="AS291" i="15"/>
  <c r="Z291" i="15"/>
  <c r="W291" i="15"/>
  <c r="S291" i="15"/>
  <c r="R291" i="15"/>
  <c r="Q291" i="15"/>
  <c r="K291" i="15"/>
  <c r="J291" i="15"/>
  <c r="H291" i="15"/>
  <c r="EH290" i="15"/>
  <c r="EE290" i="15"/>
  <c r="EA290" i="15"/>
  <c r="DZ290" i="15"/>
  <c r="DY290" i="15"/>
  <c r="DT290" i="15"/>
  <c r="DQ290" i="15"/>
  <c r="DM290" i="15"/>
  <c r="DL290" i="15"/>
  <c r="DK290" i="15"/>
  <c r="DF290" i="15"/>
  <c r="DC290" i="15"/>
  <c r="CY290" i="15"/>
  <c r="CX290" i="15"/>
  <c r="CW290" i="15"/>
  <c r="CD290" i="15"/>
  <c r="CA290" i="15"/>
  <c r="BW290" i="15"/>
  <c r="BV290" i="15"/>
  <c r="BU290" i="15"/>
  <c r="BP290" i="15"/>
  <c r="BM290" i="15"/>
  <c r="BI290" i="15"/>
  <c r="BH290" i="15"/>
  <c r="BG290" i="15"/>
  <c r="BB290" i="15"/>
  <c r="AY290" i="15"/>
  <c r="AU290" i="15"/>
  <c r="AT290" i="15"/>
  <c r="AS290" i="15"/>
  <c r="Z290" i="15"/>
  <c r="W290" i="15"/>
  <c r="S290" i="15"/>
  <c r="R290" i="15"/>
  <c r="Q290" i="15"/>
  <c r="K290" i="15"/>
  <c r="J290" i="15"/>
  <c r="H290" i="15"/>
  <c r="EH289" i="15"/>
  <c r="EE289" i="15"/>
  <c r="EA289" i="15"/>
  <c r="DZ289" i="15"/>
  <c r="DY289" i="15"/>
  <c r="DT289" i="15"/>
  <c r="DQ289" i="15"/>
  <c r="DM289" i="15"/>
  <c r="DL289" i="15"/>
  <c r="DK289" i="15"/>
  <c r="DF289" i="15"/>
  <c r="DC289" i="15"/>
  <c r="CY289" i="15"/>
  <c r="CX289" i="15"/>
  <c r="CW289" i="15"/>
  <c r="CD289" i="15"/>
  <c r="CA289" i="15"/>
  <c r="BW289" i="15"/>
  <c r="BV289" i="15"/>
  <c r="BU289" i="15"/>
  <c r="BP289" i="15"/>
  <c r="BM289" i="15"/>
  <c r="BI289" i="15"/>
  <c r="BH289" i="15"/>
  <c r="BG289" i="15"/>
  <c r="BB289" i="15"/>
  <c r="AY289" i="15"/>
  <c r="AU289" i="15"/>
  <c r="AT289" i="15"/>
  <c r="AS289" i="15"/>
  <c r="Z289" i="15"/>
  <c r="W289" i="15"/>
  <c r="S289" i="15"/>
  <c r="R289" i="15"/>
  <c r="Q289" i="15"/>
  <c r="K289" i="15"/>
  <c r="J289" i="15"/>
  <c r="H289" i="15"/>
  <c r="EH288" i="15"/>
  <c r="EE288" i="15"/>
  <c r="EA288" i="15"/>
  <c r="DZ288" i="15"/>
  <c r="DY288" i="15"/>
  <c r="DT288" i="15"/>
  <c r="DQ288" i="15"/>
  <c r="DM288" i="15"/>
  <c r="DL288" i="15"/>
  <c r="DK288" i="15"/>
  <c r="DF288" i="15"/>
  <c r="DC288" i="15"/>
  <c r="CY288" i="15"/>
  <c r="CX288" i="15"/>
  <c r="CW288" i="15"/>
  <c r="CD288" i="15"/>
  <c r="CA288" i="15"/>
  <c r="BW288" i="15"/>
  <c r="BV288" i="15"/>
  <c r="BU288" i="15"/>
  <c r="BP288" i="15"/>
  <c r="BM288" i="15"/>
  <c r="BI288" i="15"/>
  <c r="BH288" i="15"/>
  <c r="BG288" i="15"/>
  <c r="BB288" i="15"/>
  <c r="AY288" i="15"/>
  <c r="AU288" i="15"/>
  <c r="AT288" i="15"/>
  <c r="AS288" i="15"/>
  <c r="Z288" i="15"/>
  <c r="W288" i="15"/>
  <c r="S288" i="15"/>
  <c r="R288" i="15"/>
  <c r="Q288" i="15"/>
  <c r="K288" i="15"/>
  <c r="J288" i="15"/>
  <c r="H288" i="15"/>
  <c r="EH287" i="15"/>
  <c r="EE287" i="15"/>
  <c r="EA287" i="15"/>
  <c r="DZ287" i="15"/>
  <c r="DY287" i="15"/>
  <c r="DT287" i="15"/>
  <c r="DQ287" i="15"/>
  <c r="DM287" i="15"/>
  <c r="DL287" i="15"/>
  <c r="DK287" i="15"/>
  <c r="DF287" i="15"/>
  <c r="DC287" i="15"/>
  <c r="CY287" i="15"/>
  <c r="CX287" i="15"/>
  <c r="CW287" i="15"/>
  <c r="CD287" i="15"/>
  <c r="CA287" i="15"/>
  <c r="BW287" i="15"/>
  <c r="BV287" i="15"/>
  <c r="BU287" i="15"/>
  <c r="BP287" i="15"/>
  <c r="BM287" i="15"/>
  <c r="BI287" i="15"/>
  <c r="BH287" i="15"/>
  <c r="BG287" i="15"/>
  <c r="BB287" i="15"/>
  <c r="AY287" i="15"/>
  <c r="AU287" i="15"/>
  <c r="AT287" i="15"/>
  <c r="AS287" i="15"/>
  <c r="Z287" i="15"/>
  <c r="W287" i="15"/>
  <c r="S287" i="15"/>
  <c r="R287" i="15"/>
  <c r="Q287" i="15"/>
  <c r="K287" i="15"/>
  <c r="J287" i="15"/>
  <c r="H287" i="15"/>
  <c r="EH286" i="15"/>
  <c r="EE286" i="15"/>
  <c r="EA286" i="15"/>
  <c r="DZ286" i="15"/>
  <c r="DY286" i="15"/>
  <c r="DT286" i="15"/>
  <c r="DQ286" i="15"/>
  <c r="DM286" i="15"/>
  <c r="DL286" i="15"/>
  <c r="DK286" i="15"/>
  <c r="DF286" i="15"/>
  <c r="DC286" i="15"/>
  <c r="CY286" i="15"/>
  <c r="CX286" i="15"/>
  <c r="CW286" i="15"/>
  <c r="CD286" i="15"/>
  <c r="CA286" i="15"/>
  <c r="BW286" i="15"/>
  <c r="BV286" i="15"/>
  <c r="BU286" i="15"/>
  <c r="BP286" i="15"/>
  <c r="BM286" i="15"/>
  <c r="BI286" i="15"/>
  <c r="BH286" i="15"/>
  <c r="BG286" i="15"/>
  <c r="BB286" i="15"/>
  <c r="AY286" i="15"/>
  <c r="AU286" i="15"/>
  <c r="AT286" i="15"/>
  <c r="AS286" i="15"/>
  <c r="Z286" i="15"/>
  <c r="W286" i="15"/>
  <c r="S286" i="15"/>
  <c r="R286" i="15"/>
  <c r="Q286" i="15"/>
  <c r="K286" i="15"/>
  <c r="J286" i="15"/>
  <c r="H286" i="15"/>
  <c r="EH285" i="15"/>
  <c r="EE285" i="15"/>
  <c r="EA285" i="15"/>
  <c r="DZ285" i="15"/>
  <c r="DY285" i="15"/>
  <c r="DT285" i="15"/>
  <c r="DQ285" i="15"/>
  <c r="DM285" i="15"/>
  <c r="DL285" i="15"/>
  <c r="DK285" i="15"/>
  <c r="DF285" i="15"/>
  <c r="DC285" i="15"/>
  <c r="CY285" i="15"/>
  <c r="CX285" i="15"/>
  <c r="CW285" i="15"/>
  <c r="CD285" i="15"/>
  <c r="CA285" i="15"/>
  <c r="BW285" i="15"/>
  <c r="BV285" i="15"/>
  <c r="BU285" i="15"/>
  <c r="BP285" i="15"/>
  <c r="BM285" i="15"/>
  <c r="BI285" i="15"/>
  <c r="BH285" i="15"/>
  <c r="BG285" i="15"/>
  <c r="BB285" i="15"/>
  <c r="AY285" i="15"/>
  <c r="AU285" i="15"/>
  <c r="AT285" i="15"/>
  <c r="AS285" i="15"/>
  <c r="Z285" i="15"/>
  <c r="W285" i="15"/>
  <c r="S285" i="15"/>
  <c r="R285" i="15"/>
  <c r="Q285" i="15"/>
  <c r="K285" i="15"/>
  <c r="J285" i="15"/>
  <c r="H285" i="15"/>
  <c r="EH284" i="15"/>
  <c r="EE284" i="15"/>
  <c r="EA284" i="15"/>
  <c r="DZ284" i="15"/>
  <c r="DY284" i="15"/>
  <c r="DT284" i="15"/>
  <c r="DQ284" i="15"/>
  <c r="DM284" i="15"/>
  <c r="DL284" i="15"/>
  <c r="DK284" i="15"/>
  <c r="DF284" i="15"/>
  <c r="DC284" i="15"/>
  <c r="CY284" i="15"/>
  <c r="CX284" i="15"/>
  <c r="CW284" i="15"/>
  <c r="CD284" i="15"/>
  <c r="CA284" i="15"/>
  <c r="BW284" i="15"/>
  <c r="BV284" i="15"/>
  <c r="BU284" i="15"/>
  <c r="BP284" i="15"/>
  <c r="BM284" i="15"/>
  <c r="BI284" i="15"/>
  <c r="BH284" i="15"/>
  <c r="BG284" i="15"/>
  <c r="BB284" i="15"/>
  <c r="AY284" i="15"/>
  <c r="AU284" i="15"/>
  <c r="AT284" i="15"/>
  <c r="AS284" i="15"/>
  <c r="Z284" i="15"/>
  <c r="W284" i="15"/>
  <c r="S284" i="15"/>
  <c r="R284" i="15"/>
  <c r="Q284" i="15"/>
  <c r="K284" i="15"/>
  <c r="J284" i="15"/>
  <c r="H284" i="15"/>
  <c r="EH283" i="15"/>
  <c r="EE283" i="15"/>
  <c r="EA283" i="15"/>
  <c r="DZ283" i="15"/>
  <c r="DY283" i="15"/>
  <c r="DT283" i="15"/>
  <c r="DQ283" i="15"/>
  <c r="DM283" i="15"/>
  <c r="DL283" i="15"/>
  <c r="DK283" i="15"/>
  <c r="DF283" i="15"/>
  <c r="DC283" i="15"/>
  <c r="CY283" i="15"/>
  <c r="CX283" i="15"/>
  <c r="CW283" i="15"/>
  <c r="BP283" i="15"/>
  <c r="BM283" i="15"/>
  <c r="BI283" i="15"/>
  <c r="BH283" i="15"/>
  <c r="BG283" i="15"/>
  <c r="BB283" i="15"/>
  <c r="AY283" i="15"/>
  <c r="AU283" i="15"/>
  <c r="AT283" i="15"/>
  <c r="AS283" i="15"/>
  <c r="Z283" i="15"/>
  <c r="W283" i="15"/>
  <c r="S283" i="15"/>
  <c r="R283" i="15"/>
  <c r="Q283" i="15"/>
  <c r="K283" i="15"/>
  <c r="J283" i="15"/>
  <c r="H283" i="15"/>
  <c r="EH282" i="15"/>
  <c r="EE282" i="15"/>
  <c r="EA282" i="15"/>
  <c r="DZ282" i="15"/>
  <c r="DY282" i="15"/>
  <c r="DT282" i="15"/>
  <c r="DQ282" i="15"/>
  <c r="DM282" i="15"/>
  <c r="DL282" i="15"/>
  <c r="DK282" i="15"/>
  <c r="DF282" i="15"/>
  <c r="DC282" i="15"/>
  <c r="CY282" i="15"/>
  <c r="CX282" i="15"/>
  <c r="CW282" i="15"/>
  <c r="BP282" i="15"/>
  <c r="BM282" i="15"/>
  <c r="BI282" i="15"/>
  <c r="BH282" i="15"/>
  <c r="BG282" i="15"/>
  <c r="BB282" i="15"/>
  <c r="AY282" i="15"/>
  <c r="AU282" i="15"/>
  <c r="AT282" i="15"/>
  <c r="AS282" i="15"/>
  <c r="Z282" i="15"/>
  <c r="W282" i="15"/>
  <c r="S282" i="15"/>
  <c r="R282" i="15"/>
  <c r="Q282" i="15"/>
  <c r="K282" i="15"/>
  <c r="J282" i="15"/>
  <c r="H282" i="15"/>
  <c r="EH281" i="15"/>
  <c r="EE281" i="15"/>
  <c r="EA281" i="15"/>
  <c r="DZ281" i="15"/>
  <c r="DY281" i="15"/>
  <c r="DT281" i="15"/>
  <c r="DQ281" i="15"/>
  <c r="DM281" i="15"/>
  <c r="DL281" i="15"/>
  <c r="DK281" i="15"/>
  <c r="DF281" i="15"/>
  <c r="DC281" i="15"/>
  <c r="CY281" i="15"/>
  <c r="CX281" i="15"/>
  <c r="CW281" i="15"/>
  <c r="BP281" i="15"/>
  <c r="BM281" i="15"/>
  <c r="BI281" i="15"/>
  <c r="BH281" i="15"/>
  <c r="BG281" i="15"/>
  <c r="BB281" i="15"/>
  <c r="AY281" i="15"/>
  <c r="AU281" i="15"/>
  <c r="AT281" i="15"/>
  <c r="AS281" i="15"/>
  <c r="Z281" i="15"/>
  <c r="W281" i="15"/>
  <c r="S281" i="15"/>
  <c r="R281" i="15"/>
  <c r="Q281" i="15"/>
  <c r="K281" i="15"/>
  <c r="J281" i="15"/>
  <c r="H281" i="15"/>
  <c r="EH280" i="15"/>
  <c r="EE280" i="15"/>
  <c r="EA280" i="15"/>
  <c r="DZ280" i="15"/>
  <c r="DY280" i="15"/>
  <c r="DT280" i="15"/>
  <c r="DQ280" i="15"/>
  <c r="DM280" i="15"/>
  <c r="DL280" i="15"/>
  <c r="DK280" i="15"/>
  <c r="DF280" i="15"/>
  <c r="DC280" i="15"/>
  <c r="CY280" i="15"/>
  <c r="CX280" i="15"/>
  <c r="CW280" i="15"/>
  <c r="BP280" i="15"/>
  <c r="BM280" i="15"/>
  <c r="BI280" i="15"/>
  <c r="BH280" i="15"/>
  <c r="BG280" i="15"/>
  <c r="BB280" i="15"/>
  <c r="AY280" i="15"/>
  <c r="AU280" i="15"/>
  <c r="AT280" i="15"/>
  <c r="AS280" i="15"/>
  <c r="Z280" i="15"/>
  <c r="W280" i="15"/>
  <c r="S280" i="15"/>
  <c r="R280" i="15"/>
  <c r="Q280" i="15"/>
  <c r="K280" i="15"/>
  <c r="J280" i="15"/>
  <c r="H280" i="15"/>
  <c r="EH279" i="15"/>
  <c r="EE279" i="15"/>
  <c r="EA279" i="15"/>
  <c r="DZ279" i="15"/>
  <c r="DY279" i="15"/>
  <c r="DT279" i="15"/>
  <c r="DQ279" i="15"/>
  <c r="DM279" i="15"/>
  <c r="DL279" i="15"/>
  <c r="DK279" i="15"/>
  <c r="DF279" i="15"/>
  <c r="DC279" i="15"/>
  <c r="CY279" i="15"/>
  <c r="CX279" i="15"/>
  <c r="CW279" i="15"/>
  <c r="BP279" i="15"/>
  <c r="BM279" i="15"/>
  <c r="BI279" i="15"/>
  <c r="BH279" i="15"/>
  <c r="BG279" i="15"/>
  <c r="BB279" i="15"/>
  <c r="AY279" i="15"/>
  <c r="AU279" i="15"/>
  <c r="AT279" i="15"/>
  <c r="AS279" i="15"/>
  <c r="Z279" i="15"/>
  <c r="W279" i="15"/>
  <c r="S279" i="15"/>
  <c r="R279" i="15"/>
  <c r="Q279" i="15"/>
  <c r="K279" i="15"/>
  <c r="J279" i="15"/>
  <c r="H279" i="15"/>
  <c r="EH278" i="15"/>
  <c r="EE278" i="15"/>
  <c r="EA278" i="15"/>
  <c r="DZ278" i="15"/>
  <c r="DY278" i="15"/>
  <c r="DT278" i="15"/>
  <c r="DQ278" i="15"/>
  <c r="DM278" i="15"/>
  <c r="DL278" i="15"/>
  <c r="DK278" i="15"/>
  <c r="DF278" i="15"/>
  <c r="DC278" i="15"/>
  <c r="CY278" i="15"/>
  <c r="CX278" i="15"/>
  <c r="CW278" i="15"/>
  <c r="CR278" i="15"/>
  <c r="CO278" i="15"/>
  <c r="CK278" i="15"/>
  <c r="CJ278" i="15"/>
  <c r="CI278" i="15"/>
  <c r="CD278" i="15"/>
  <c r="CA278" i="15"/>
  <c r="BW278" i="15"/>
  <c r="BV278" i="15"/>
  <c r="BU278" i="15"/>
  <c r="BP278" i="15"/>
  <c r="BM278" i="15"/>
  <c r="BI278" i="15"/>
  <c r="BH278" i="15"/>
  <c r="BG278" i="15"/>
  <c r="BB278" i="15"/>
  <c r="AY278" i="15"/>
  <c r="AU278" i="15"/>
  <c r="AT278" i="15"/>
  <c r="AS278" i="15"/>
  <c r="Z278" i="15"/>
  <c r="W278" i="15"/>
  <c r="S278" i="15"/>
  <c r="R278" i="15"/>
  <c r="Q278" i="15"/>
  <c r="K278" i="15"/>
  <c r="J278" i="15"/>
  <c r="H278" i="15"/>
  <c r="EH277" i="15"/>
  <c r="EE277" i="15"/>
  <c r="EA277" i="15"/>
  <c r="DZ277" i="15"/>
  <c r="DY277" i="15"/>
  <c r="DT277" i="15"/>
  <c r="DQ277" i="15"/>
  <c r="DM277" i="15"/>
  <c r="DL277" i="15"/>
  <c r="DK277" i="15"/>
  <c r="DF277" i="15"/>
  <c r="DC277" i="15"/>
  <c r="CY277" i="15"/>
  <c r="CX277" i="15"/>
  <c r="CW277" i="15"/>
  <c r="CR277" i="15"/>
  <c r="CO277" i="15"/>
  <c r="CK277" i="15"/>
  <c r="CJ277" i="15"/>
  <c r="CI277" i="15"/>
  <c r="CD277" i="15"/>
  <c r="CA277" i="15"/>
  <c r="BW277" i="15"/>
  <c r="BV277" i="15"/>
  <c r="BU277" i="15"/>
  <c r="BP277" i="15"/>
  <c r="BM277" i="15"/>
  <c r="BI277" i="15"/>
  <c r="BH277" i="15"/>
  <c r="BG277" i="15"/>
  <c r="BB277" i="15"/>
  <c r="AY277" i="15"/>
  <c r="AU277" i="15"/>
  <c r="AT277" i="15"/>
  <c r="AS277" i="15"/>
  <c r="Z277" i="15"/>
  <c r="W277" i="15"/>
  <c r="S277" i="15"/>
  <c r="R277" i="15"/>
  <c r="Q277" i="15"/>
  <c r="K277" i="15"/>
  <c r="J277" i="15"/>
  <c r="H277" i="15"/>
  <c r="EH276" i="15"/>
  <c r="EE276" i="15"/>
  <c r="EA276" i="15"/>
  <c r="DZ276" i="15"/>
  <c r="DY276" i="15"/>
  <c r="DT276" i="15"/>
  <c r="DQ276" i="15"/>
  <c r="DM276" i="15"/>
  <c r="DL276" i="15"/>
  <c r="DK276" i="15"/>
  <c r="DF276" i="15"/>
  <c r="DC276" i="15"/>
  <c r="CY276" i="15"/>
  <c r="CX276" i="15"/>
  <c r="CW276" i="15"/>
  <c r="CR276" i="15"/>
  <c r="CO276" i="15"/>
  <c r="CK276" i="15"/>
  <c r="CJ276" i="15"/>
  <c r="CI276" i="15"/>
  <c r="CD276" i="15"/>
  <c r="CA276" i="15"/>
  <c r="BW276" i="15"/>
  <c r="BV276" i="15"/>
  <c r="BU276" i="15"/>
  <c r="BP276" i="15"/>
  <c r="BM276" i="15"/>
  <c r="BI276" i="15"/>
  <c r="BH276" i="15"/>
  <c r="BG276" i="15"/>
  <c r="BB276" i="15"/>
  <c r="AY276" i="15"/>
  <c r="AU276" i="15"/>
  <c r="AT276" i="15"/>
  <c r="AS276" i="15"/>
  <c r="Z276" i="15"/>
  <c r="W276" i="15"/>
  <c r="S276" i="15"/>
  <c r="R276" i="15"/>
  <c r="Q276" i="15"/>
  <c r="K276" i="15"/>
  <c r="J276" i="15"/>
  <c r="H276" i="15"/>
  <c r="EH275" i="15"/>
  <c r="EE275" i="15"/>
  <c r="EA275" i="15"/>
  <c r="DZ275" i="15"/>
  <c r="DY275" i="15"/>
  <c r="DT275" i="15"/>
  <c r="DQ275" i="15"/>
  <c r="DM275" i="15"/>
  <c r="DL275" i="15"/>
  <c r="DK275" i="15"/>
  <c r="DF275" i="15"/>
  <c r="DC275" i="15"/>
  <c r="CY275" i="15"/>
  <c r="CX275" i="15"/>
  <c r="CW275" i="15"/>
  <c r="CR275" i="15"/>
  <c r="CO275" i="15"/>
  <c r="CK275" i="15"/>
  <c r="CJ275" i="15"/>
  <c r="CI275" i="15"/>
  <c r="CD275" i="15"/>
  <c r="CA275" i="15"/>
  <c r="BW275" i="15"/>
  <c r="BV275" i="15"/>
  <c r="BU275" i="15"/>
  <c r="BB275" i="15"/>
  <c r="AY275" i="15"/>
  <c r="AU275" i="15"/>
  <c r="AT275" i="15"/>
  <c r="AS275" i="15"/>
  <c r="Z275" i="15"/>
  <c r="W275" i="15"/>
  <c r="S275" i="15"/>
  <c r="R275" i="15"/>
  <c r="Q275" i="15"/>
  <c r="K275" i="15"/>
  <c r="J275" i="15"/>
  <c r="H275" i="15"/>
  <c r="EH274" i="15"/>
  <c r="EE274" i="15"/>
  <c r="EA274" i="15"/>
  <c r="DZ274" i="15"/>
  <c r="DY274" i="15"/>
  <c r="DT274" i="15"/>
  <c r="DQ274" i="15"/>
  <c r="DM274" i="15"/>
  <c r="DL274" i="15"/>
  <c r="DK274" i="15"/>
  <c r="DF274" i="15"/>
  <c r="DC274" i="15"/>
  <c r="CY274" i="15"/>
  <c r="CX274" i="15"/>
  <c r="CW274" i="15"/>
  <c r="CR274" i="15"/>
  <c r="CO274" i="15"/>
  <c r="CK274" i="15"/>
  <c r="CJ274" i="15"/>
  <c r="CI274" i="15"/>
  <c r="CD274" i="15"/>
  <c r="CA274" i="15"/>
  <c r="BW274" i="15"/>
  <c r="BV274" i="15"/>
  <c r="BU274" i="15"/>
  <c r="BB274" i="15"/>
  <c r="AY274" i="15"/>
  <c r="AU274" i="15"/>
  <c r="AT274" i="15"/>
  <c r="AS274" i="15"/>
  <c r="Z274" i="15"/>
  <c r="W274" i="15"/>
  <c r="S274" i="15"/>
  <c r="R274" i="15"/>
  <c r="Q274" i="15"/>
  <c r="K274" i="15"/>
  <c r="J274" i="15"/>
  <c r="H274" i="15"/>
  <c r="EH273" i="15"/>
  <c r="EE273" i="15"/>
  <c r="EA273" i="15"/>
  <c r="DZ273" i="15"/>
  <c r="DY273" i="15"/>
  <c r="DT273" i="15"/>
  <c r="DQ273" i="15"/>
  <c r="DM273" i="15"/>
  <c r="DL273" i="15"/>
  <c r="DK273" i="15"/>
  <c r="DF273" i="15"/>
  <c r="DC273" i="15"/>
  <c r="CY273" i="15"/>
  <c r="CX273" i="15"/>
  <c r="CW273" i="15"/>
  <c r="CR273" i="15"/>
  <c r="CO273" i="15"/>
  <c r="CK273" i="15"/>
  <c r="CJ273" i="15"/>
  <c r="CI273" i="15"/>
  <c r="CD273" i="15"/>
  <c r="CA273" i="15"/>
  <c r="BW273" i="15"/>
  <c r="BV273" i="15"/>
  <c r="BU273" i="15"/>
  <c r="BB273" i="15"/>
  <c r="AY273" i="15"/>
  <c r="AU273" i="15"/>
  <c r="AT273" i="15"/>
  <c r="AS273" i="15"/>
  <c r="Z273" i="15"/>
  <c r="W273" i="15"/>
  <c r="S273" i="15"/>
  <c r="R273" i="15"/>
  <c r="Q273" i="15"/>
  <c r="K273" i="15"/>
  <c r="J273" i="15"/>
  <c r="H273" i="15"/>
  <c r="EH272" i="15"/>
  <c r="EE272" i="15"/>
  <c r="EA272" i="15"/>
  <c r="DZ272" i="15"/>
  <c r="DY272" i="15"/>
  <c r="DT272" i="15"/>
  <c r="DQ272" i="15"/>
  <c r="DM272" i="15"/>
  <c r="DL272" i="15"/>
  <c r="DK272" i="15"/>
  <c r="DF272" i="15"/>
  <c r="DC272" i="15"/>
  <c r="CY272" i="15"/>
  <c r="CX272" i="15"/>
  <c r="CW272" i="15"/>
  <c r="CR272" i="15"/>
  <c r="CO272" i="15"/>
  <c r="CK272" i="15"/>
  <c r="CJ272" i="15"/>
  <c r="CI272" i="15"/>
  <c r="CD272" i="15"/>
  <c r="CA272" i="15"/>
  <c r="BW272" i="15"/>
  <c r="BV272" i="15"/>
  <c r="BU272" i="15"/>
  <c r="BB272" i="15"/>
  <c r="AY272" i="15"/>
  <c r="AU272" i="15"/>
  <c r="AT272" i="15"/>
  <c r="AS272" i="15"/>
  <c r="Z272" i="15"/>
  <c r="W272" i="15"/>
  <c r="S272" i="15"/>
  <c r="R272" i="15"/>
  <c r="Q272" i="15"/>
  <c r="K272" i="15"/>
  <c r="J272" i="15"/>
  <c r="H272" i="15"/>
  <c r="EH271" i="15"/>
  <c r="EE271" i="15"/>
  <c r="EA271" i="15"/>
  <c r="DZ271" i="15"/>
  <c r="DY271" i="15"/>
  <c r="DT271" i="15"/>
  <c r="DQ271" i="15"/>
  <c r="DM271" i="15"/>
  <c r="DL271" i="15"/>
  <c r="DK271" i="15"/>
  <c r="DF271" i="15"/>
  <c r="DC271" i="15"/>
  <c r="CY271" i="15"/>
  <c r="CX271" i="15"/>
  <c r="CW271" i="15"/>
  <c r="CR271" i="15"/>
  <c r="CO271" i="15"/>
  <c r="CK271" i="15"/>
  <c r="CJ271" i="15"/>
  <c r="CI271" i="15"/>
  <c r="CD271" i="15"/>
  <c r="CA271" i="15"/>
  <c r="BW271" i="15"/>
  <c r="BV271" i="15"/>
  <c r="BU271" i="15"/>
  <c r="BB271" i="15"/>
  <c r="AY271" i="15"/>
  <c r="AU271" i="15"/>
  <c r="AT271" i="15"/>
  <c r="AS271" i="15"/>
  <c r="Z271" i="15"/>
  <c r="W271" i="15"/>
  <c r="S271" i="15"/>
  <c r="R271" i="15"/>
  <c r="Q271" i="15"/>
  <c r="K271" i="15"/>
  <c r="J271" i="15"/>
  <c r="H271" i="15"/>
  <c r="EH270" i="15"/>
  <c r="EE270" i="15"/>
  <c r="EA270" i="15"/>
  <c r="DZ270" i="15"/>
  <c r="DY270" i="15"/>
  <c r="DT270" i="15"/>
  <c r="DQ270" i="15"/>
  <c r="DM270" i="15"/>
  <c r="DL270" i="15"/>
  <c r="DK270" i="15"/>
  <c r="DF270" i="15"/>
  <c r="DC270" i="15"/>
  <c r="CY270" i="15"/>
  <c r="CX270" i="15"/>
  <c r="CW270" i="15"/>
  <c r="CR270" i="15"/>
  <c r="CO270" i="15"/>
  <c r="CK270" i="15"/>
  <c r="CJ270" i="15"/>
  <c r="CI270" i="15"/>
  <c r="CD270" i="15"/>
  <c r="CA270" i="15"/>
  <c r="BW270" i="15"/>
  <c r="BV270" i="15"/>
  <c r="BU270" i="15"/>
  <c r="BB270" i="15"/>
  <c r="AY270" i="15"/>
  <c r="AU270" i="15"/>
  <c r="AT270" i="15"/>
  <c r="AS270" i="15"/>
  <c r="Z270" i="15"/>
  <c r="W270" i="15"/>
  <c r="S270" i="15"/>
  <c r="R270" i="15"/>
  <c r="Q270" i="15"/>
  <c r="K270" i="15"/>
  <c r="J270" i="15"/>
  <c r="H270" i="15"/>
  <c r="EH269" i="15"/>
  <c r="EE269" i="15"/>
  <c r="EA269" i="15"/>
  <c r="DZ269" i="15"/>
  <c r="DY269" i="15"/>
  <c r="DT269" i="15"/>
  <c r="DQ269" i="15"/>
  <c r="DM269" i="15"/>
  <c r="DL269" i="15"/>
  <c r="DK269" i="15"/>
  <c r="DF269" i="15"/>
  <c r="DC269" i="15"/>
  <c r="CY269" i="15"/>
  <c r="CX269" i="15"/>
  <c r="CW269" i="15"/>
  <c r="CR269" i="15"/>
  <c r="CO269" i="15"/>
  <c r="CK269" i="15"/>
  <c r="CJ269" i="15"/>
  <c r="CI269" i="15"/>
  <c r="CD269" i="15"/>
  <c r="CA269" i="15"/>
  <c r="BW269" i="15"/>
  <c r="BV269" i="15"/>
  <c r="BU269" i="15"/>
  <c r="BB269" i="15"/>
  <c r="AY269" i="15"/>
  <c r="AU269" i="15"/>
  <c r="AT269" i="15"/>
  <c r="AS269" i="15"/>
  <c r="Z269" i="15"/>
  <c r="W269" i="15"/>
  <c r="S269" i="15"/>
  <c r="R269" i="15"/>
  <c r="Q269" i="15"/>
  <c r="K269" i="15"/>
  <c r="J269" i="15"/>
  <c r="H269" i="15"/>
  <c r="EH268" i="15"/>
  <c r="EE268" i="15"/>
  <c r="EA268" i="15"/>
  <c r="DZ268" i="15"/>
  <c r="DY268" i="15"/>
  <c r="DT268" i="15"/>
  <c r="DQ268" i="15"/>
  <c r="DM268" i="15"/>
  <c r="DL268" i="15"/>
  <c r="DK268" i="15"/>
  <c r="DF268" i="15"/>
  <c r="DC268" i="15"/>
  <c r="CY268" i="15"/>
  <c r="CX268" i="15"/>
  <c r="CW268" i="15"/>
  <c r="CR268" i="15"/>
  <c r="CO268" i="15"/>
  <c r="CK268" i="15"/>
  <c r="CJ268" i="15"/>
  <c r="CI268" i="15"/>
  <c r="CD268" i="15"/>
  <c r="CA268" i="15"/>
  <c r="BW268" i="15"/>
  <c r="BV268" i="15"/>
  <c r="BU268" i="15"/>
  <c r="BB268" i="15"/>
  <c r="AY268" i="15"/>
  <c r="AU268" i="15"/>
  <c r="AT268" i="15"/>
  <c r="AS268" i="15"/>
  <c r="Z268" i="15"/>
  <c r="W268" i="15"/>
  <c r="S268" i="15"/>
  <c r="R268" i="15"/>
  <c r="Q268" i="15"/>
  <c r="K268" i="15"/>
  <c r="J268" i="15"/>
  <c r="H268" i="15"/>
  <c r="EH267" i="15"/>
  <c r="EE267" i="15"/>
  <c r="EA267" i="15"/>
  <c r="DZ267" i="15"/>
  <c r="DY267" i="15"/>
  <c r="DT267" i="15"/>
  <c r="DQ267" i="15"/>
  <c r="DM267" i="15"/>
  <c r="DL267" i="15"/>
  <c r="DK267" i="15"/>
  <c r="DF267" i="15"/>
  <c r="DC267" i="15"/>
  <c r="CY267" i="15"/>
  <c r="CX267" i="15"/>
  <c r="CW267" i="15"/>
  <c r="CR267" i="15"/>
  <c r="CO267" i="15"/>
  <c r="CK267" i="15"/>
  <c r="CJ267" i="15"/>
  <c r="CI267" i="15"/>
  <c r="CD267" i="15"/>
  <c r="CA267" i="15"/>
  <c r="BW267" i="15"/>
  <c r="BV267" i="15"/>
  <c r="BU267" i="15"/>
  <c r="BB267" i="15"/>
  <c r="AY267" i="15"/>
  <c r="AU267" i="15"/>
  <c r="AT267" i="15"/>
  <c r="AS267" i="15"/>
  <c r="Z267" i="15"/>
  <c r="W267" i="15"/>
  <c r="S267" i="15"/>
  <c r="R267" i="15"/>
  <c r="Q267" i="15"/>
  <c r="K267" i="15"/>
  <c r="J267" i="15"/>
  <c r="H267" i="15"/>
  <c r="EH266" i="15"/>
  <c r="EE266" i="15"/>
  <c r="EA266" i="15"/>
  <c r="DZ266" i="15"/>
  <c r="DY266" i="15"/>
  <c r="DT266" i="15"/>
  <c r="DQ266" i="15"/>
  <c r="DM266" i="15"/>
  <c r="DL266" i="15"/>
  <c r="DK266" i="15"/>
  <c r="DF266" i="15"/>
  <c r="DC266" i="15"/>
  <c r="CY266" i="15"/>
  <c r="CX266" i="15"/>
  <c r="CW266" i="15"/>
  <c r="CR266" i="15"/>
  <c r="CO266" i="15"/>
  <c r="CK266" i="15"/>
  <c r="CJ266" i="15"/>
  <c r="CI266" i="15"/>
  <c r="CD266" i="15"/>
  <c r="CA266" i="15"/>
  <c r="BW266" i="15"/>
  <c r="BV266" i="15"/>
  <c r="BU266" i="15"/>
  <c r="BB266" i="15"/>
  <c r="AY266" i="15"/>
  <c r="AU266" i="15"/>
  <c r="AT266" i="15"/>
  <c r="AS266" i="15"/>
  <c r="Z266" i="15"/>
  <c r="W266" i="15"/>
  <c r="S266" i="15"/>
  <c r="R266" i="15"/>
  <c r="Q266" i="15"/>
  <c r="K266" i="15"/>
  <c r="J266" i="15"/>
  <c r="H266" i="15"/>
  <c r="EH265" i="15"/>
  <c r="EE265" i="15"/>
  <c r="EA265" i="15"/>
  <c r="DZ265" i="15"/>
  <c r="DY265" i="15"/>
  <c r="DT265" i="15"/>
  <c r="DQ265" i="15"/>
  <c r="DM265" i="15"/>
  <c r="DL265" i="15"/>
  <c r="DK265" i="15"/>
  <c r="DF265" i="15"/>
  <c r="DC265" i="15"/>
  <c r="CY265" i="15"/>
  <c r="CX265" i="15"/>
  <c r="CW265" i="15"/>
  <c r="CR265" i="15"/>
  <c r="CO265" i="15"/>
  <c r="CK265" i="15"/>
  <c r="CJ265" i="15"/>
  <c r="CI265" i="15"/>
  <c r="CD265" i="15"/>
  <c r="CA265" i="15"/>
  <c r="BW265" i="15"/>
  <c r="BV265" i="15"/>
  <c r="BU265" i="15"/>
  <c r="BB265" i="15"/>
  <c r="AY265" i="15"/>
  <c r="AU265" i="15"/>
  <c r="AT265" i="15"/>
  <c r="AS265" i="15"/>
  <c r="Z265" i="15"/>
  <c r="W265" i="15"/>
  <c r="S265" i="15"/>
  <c r="R265" i="15"/>
  <c r="Q265" i="15"/>
  <c r="K265" i="15"/>
  <c r="J265" i="15"/>
  <c r="H265" i="15"/>
  <c r="EH264" i="15"/>
  <c r="EE264" i="15"/>
  <c r="EA264" i="15"/>
  <c r="DZ264" i="15"/>
  <c r="DY264" i="15"/>
  <c r="DT264" i="15"/>
  <c r="DQ264" i="15"/>
  <c r="DM264" i="15"/>
  <c r="DL264" i="15"/>
  <c r="DK264" i="15"/>
  <c r="DF264" i="15"/>
  <c r="DC264" i="15"/>
  <c r="CY264" i="15"/>
  <c r="CX264" i="15"/>
  <c r="CW264" i="15"/>
  <c r="CR264" i="15"/>
  <c r="CO264" i="15"/>
  <c r="CK264" i="15"/>
  <c r="CJ264" i="15"/>
  <c r="CI264" i="15"/>
  <c r="CD264" i="15"/>
  <c r="CA264" i="15"/>
  <c r="BW264" i="15"/>
  <c r="BV264" i="15"/>
  <c r="BU264" i="15"/>
  <c r="BB264" i="15"/>
  <c r="AY264" i="15"/>
  <c r="AU264" i="15"/>
  <c r="AT264" i="15"/>
  <c r="AS264" i="15"/>
  <c r="Z264" i="15"/>
  <c r="W264" i="15"/>
  <c r="S264" i="15"/>
  <c r="R264" i="15"/>
  <c r="Q264" i="15"/>
  <c r="K264" i="15"/>
  <c r="J264" i="15"/>
  <c r="H264" i="15"/>
  <c r="EH263" i="15"/>
  <c r="EE263" i="15"/>
  <c r="EA263" i="15"/>
  <c r="DZ263" i="15"/>
  <c r="DY263" i="15"/>
  <c r="DT263" i="15"/>
  <c r="DQ263" i="15"/>
  <c r="DM263" i="15"/>
  <c r="DL263" i="15"/>
  <c r="DK263" i="15"/>
  <c r="DF263" i="15"/>
  <c r="DC263" i="15"/>
  <c r="CY263" i="15"/>
  <c r="CX263" i="15"/>
  <c r="CW263" i="15"/>
  <c r="CR263" i="15"/>
  <c r="CO263" i="15"/>
  <c r="CK263" i="15"/>
  <c r="CJ263" i="15"/>
  <c r="CI263" i="15"/>
  <c r="CD263" i="15"/>
  <c r="CA263" i="15"/>
  <c r="BW263" i="15"/>
  <c r="BV263" i="15"/>
  <c r="BU263" i="15"/>
  <c r="BB263" i="15"/>
  <c r="AY263" i="15"/>
  <c r="AU263" i="15"/>
  <c r="AT263" i="15"/>
  <c r="AS263" i="15"/>
  <c r="Z263" i="15"/>
  <c r="W263" i="15"/>
  <c r="S263" i="15"/>
  <c r="R263" i="15"/>
  <c r="Q263" i="15"/>
  <c r="K263" i="15"/>
  <c r="J263" i="15"/>
  <c r="H263" i="15"/>
  <c r="EH262" i="15"/>
  <c r="EE262" i="15"/>
  <c r="EA262" i="15"/>
  <c r="DZ262" i="15"/>
  <c r="DY262" i="15"/>
  <c r="DT262" i="15"/>
  <c r="DQ262" i="15"/>
  <c r="DM262" i="15"/>
  <c r="DL262" i="15"/>
  <c r="DK262" i="15"/>
  <c r="DF262" i="15"/>
  <c r="DC262" i="15"/>
  <c r="CY262" i="15"/>
  <c r="CX262" i="15"/>
  <c r="CW262" i="15"/>
  <c r="CR262" i="15"/>
  <c r="CO262" i="15"/>
  <c r="CK262" i="15"/>
  <c r="CJ262" i="15"/>
  <c r="CI262" i="15"/>
  <c r="CD262" i="15"/>
  <c r="CA262" i="15"/>
  <c r="BW262" i="15"/>
  <c r="BV262" i="15"/>
  <c r="BU262" i="15"/>
  <c r="BB262" i="15"/>
  <c r="AY262" i="15"/>
  <c r="AU262" i="15"/>
  <c r="AT262" i="15"/>
  <c r="AS262" i="15"/>
  <c r="Z262" i="15"/>
  <c r="W262" i="15"/>
  <c r="S262" i="15"/>
  <c r="R262" i="15"/>
  <c r="Q262" i="15"/>
  <c r="K262" i="15"/>
  <c r="J262" i="15"/>
  <c r="H262" i="15"/>
  <c r="EH261" i="15"/>
  <c r="EE261" i="15"/>
  <c r="EA261" i="15"/>
  <c r="DZ261" i="15"/>
  <c r="DY261" i="15"/>
  <c r="DT261" i="15"/>
  <c r="DQ261" i="15"/>
  <c r="DM261" i="15"/>
  <c r="DL261" i="15"/>
  <c r="DK261" i="15"/>
  <c r="DF261" i="15"/>
  <c r="DC261" i="15"/>
  <c r="CY261" i="15"/>
  <c r="CX261" i="15"/>
  <c r="CW261" i="15"/>
  <c r="CR261" i="15"/>
  <c r="CO261" i="15"/>
  <c r="CK261" i="15"/>
  <c r="CJ261" i="15"/>
  <c r="CI261" i="15"/>
  <c r="CD261" i="15"/>
  <c r="CA261" i="15"/>
  <c r="BW261" i="15"/>
  <c r="BV261" i="15"/>
  <c r="BU261" i="15"/>
  <c r="BB261" i="15"/>
  <c r="AY261" i="15"/>
  <c r="AU261" i="15"/>
  <c r="AT261" i="15"/>
  <c r="AS261" i="15"/>
  <c r="Z261" i="15"/>
  <c r="W261" i="15"/>
  <c r="S261" i="15"/>
  <c r="R261" i="15"/>
  <c r="Q261" i="15"/>
  <c r="K261" i="15"/>
  <c r="J261" i="15"/>
  <c r="H261" i="15"/>
  <c r="EH260" i="15"/>
  <c r="EE260" i="15"/>
  <c r="EA260" i="15"/>
  <c r="DZ260" i="15"/>
  <c r="DY260" i="15"/>
  <c r="DT260" i="15"/>
  <c r="DQ260" i="15"/>
  <c r="DM260" i="15"/>
  <c r="DL260" i="15"/>
  <c r="DK260" i="15"/>
  <c r="DF260" i="15"/>
  <c r="DC260" i="15"/>
  <c r="CY260" i="15"/>
  <c r="CX260" i="15"/>
  <c r="CW260" i="15"/>
  <c r="CR260" i="15"/>
  <c r="CO260" i="15"/>
  <c r="CK260" i="15"/>
  <c r="CJ260" i="15"/>
  <c r="CI260" i="15"/>
  <c r="CD260" i="15"/>
  <c r="CA260" i="15"/>
  <c r="BW260" i="15"/>
  <c r="BV260" i="15"/>
  <c r="BU260" i="15"/>
  <c r="BB260" i="15"/>
  <c r="AY260" i="15"/>
  <c r="AU260" i="15"/>
  <c r="AT260" i="15"/>
  <c r="AS260" i="15"/>
  <c r="Z260" i="15"/>
  <c r="W260" i="15"/>
  <c r="S260" i="15"/>
  <c r="R260" i="15"/>
  <c r="Q260" i="15"/>
  <c r="K260" i="15"/>
  <c r="J260" i="15"/>
  <c r="H260" i="15"/>
  <c r="EH259" i="15"/>
  <c r="EE259" i="15"/>
  <c r="EA259" i="15"/>
  <c r="DZ259" i="15"/>
  <c r="DY259" i="15"/>
  <c r="DT259" i="15"/>
  <c r="DQ259" i="15"/>
  <c r="DM259" i="15"/>
  <c r="DL259" i="15"/>
  <c r="DK259" i="15"/>
  <c r="DF259" i="15"/>
  <c r="DC259" i="15"/>
  <c r="CY259" i="15"/>
  <c r="CX259" i="15"/>
  <c r="CW259" i="15"/>
  <c r="CR259" i="15"/>
  <c r="CO259" i="15"/>
  <c r="CK259" i="15"/>
  <c r="CJ259" i="15"/>
  <c r="CI259" i="15"/>
  <c r="CD259" i="15"/>
  <c r="CA259" i="15"/>
  <c r="BW259" i="15"/>
  <c r="BV259" i="15"/>
  <c r="BU259" i="15"/>
  <c r="BB259" i="15"/>
  <c r="AY259" i="15"/>
  <c r="AU259" i="15"/>
  <c r="AT259" i="15"/>
  <c r="AS259" i="15"/>
  <c r="Z259" i="15"/>
  <c r="W259" i="15"/>
  <c r="S259" i="15"/>
  <c r="R259" i="15"/>
  <c r="Q259" i="15"/>
  <c r="K259" i="15"/>
  <c r="J259" i="15"/>
  <c r="H259" i="15"/>
  <c r="EH258" i="15"/>
  <c r="EE258" i="15"/>
  <c r="EA258" i="15"/>
  <c r="DZ258" i="15"/>
  <c r="DY258" i="15"/>
  <c r="DT258" i="15"/>
  <c r="DQ258" i="15"/>
  <c r="DM258" i="15"/>
  <c r="DL258" i="15"/>
  <c r="DK258" i="15"/>
  <c r="DF258" i="15"/>
  <c r="DC258" i="15"/>
  <c r="CY258" i="15"/>
  <c r="CX258" i="15"/>
  <c r="CW258" i="15"/>
  <c r="CR258" i="15"/>
  <c r="CO258" i="15"/>
  <c r="CK258" i="15"/>
  <c r="CJ258" i="15"/>
  <c r="CI258" i="15"/>
  <c r="CD258" i="15"/>
  <c r="CA258" i="15"/>
  <c r="BW258" i="15"/>
  <c r="BV258" i="15"/>
  <c r="BU258" i="15"/>
  <c r="BP258" i="15"/>
  <c r="BM258" i="15"/>
  <c r="BI258" i="15"/>
  <c r="BH258" i="15"/>
  <c r="BG258" i="15"/>
  <c r="BB258" i="15"/>
  <c r="AY258" i="15"/>
  <c r="AU258" i="15"/>
  <c r="AT258" i="15"/>
  <c r="AS258" i="15"/>
  <c r="Z258" i="15"/>
  <c r="W258" i="15"/>
  <c r="S258" i="15"/>
  <c r="R258" i="15"/>
  <c r="Q258" i="15"/>
  <c r="K258" i="15"/>
  <c r="J258" i="15"/>
  <c r="H258" i="15"/>
  <c r="EH257" i="15"/>
  <c r="EE257" i="15"/>
  <c r="EA257" i="15"/>
  <c r="DZ257" i="15"/>
  <c r="DY257" i="15"/>
  <c r="DT257" i="15"/>
  <c r="DQ257" i="15"/>
  <c r="DM257" i="15"/>
  <c r="DL257" i="15"/>
  <c r="DK257" i="15"/>
  <c r="DF257" i="15"/>
  <c r="DC257" i="15"/>
  <c r="CY257" i="15"/>
  <c r="CX257" i="15"/>
  <c r="CW257" i="15"/>
  <c r="CR257" i="15"/>
  <c r="CO257" i="15"/>
  <c r="CK257" i="15"/>
  <c r="CJ257" i="15"/>
  <c r="CI257" i="15"/>
  <c r="CD257" i="15"/>
  <c r="CA257" i="15"/>
  <c r="BW257" i="15"/>
  <c r="BV257" i="15"/>
  <c r="BU257" i="15"/>
  <c r="BP257" i="15"/>
  <c r="BM257" i="15"/>
  <c r="BI257" i="15"/>
  <c r="BH257" i="15"/>
  <c r="BG257" i="15"/>
  <c r="BB257" i="15"/>
  <c r="AY257" i="15"/>
  <c r="AU257" i="15"/>
  <c r="AT257" i="15"/>
  <c r="AS257" i="15"/>
  <c r="Z257" i="15"/>
  <c r="W257" i="15"/>
  <c r="S257" i="15"/>
  <c r="R257" i="15"/>
  <c r="Q257" i="15"/>
  <c r="K257" i="15"/>
  <c r="J257" i="15"/>
  <c r="H257" i="15"/>
  <c r="EH256" i="15"/>
  <c r="EE256" i="15"/>
  <c r="EA256" i="15"/>
  <c r="DZ256" i="15"/>
  <c r="DY256" i="15"/>
  <c r="DT256" i="15"/>
  <c r="DQ256" i="15"/>
  <c r="DM256" i="15"/>
  <c r="DL256" i="15"/>
  <c r="DK256" i="15"/>
  <c r="DF256" i="15"/>
  <c r="DC256" i="15"/>
  <c r="CY256" i="15"/>
  <c r="CX256" i="15"/>
  <c r="CW256" i="15"/>
  <c r="CR256" i="15"/>
  <c r="CO256" i="15"/>
  <c r="CK256" i="15"/>
  <c r="CJ256" i="15"/>
  <c r="CI256" i="15"/>
  <c r="CD256" i="15"/>
  <c r="CA256" i="15"/>
  <c r="BW256" i="15"/>
  <c r="BV256" i="15"/>
  <c r="BU256" i="15"/>
  <c r="BP256" i="15"/>
  <c r="BM256" i="15"/>
  <c r="BI256" i="15"/>
  <c r="BH256" i="15"/>
  <c r="BG256" i="15"/>
  <c r="BB256" i="15"/>
  <c r="AY256" i="15"/>
  <c r="AU256" i="15"/>
  <c r="AT256" i="15"/>
  <c r="AS256" i="15"/>
  <c r="Z256" i="15"/>
  <c r="W256" i="15"/>
  <c r="S256" i="15"/>
  <c r="R256" i="15"/>
  <c r="Q256" i="15"/>
  <c r="K256" i="15"/>
  <c r="J256" i="15"/>
  <c r="H256" i="15"/>
  <c r="EH255" i="15"/>
  <c r="EE255" i="15"/>
  <c r="EA255" i="15"/>
  <c r="DZ255" i="15"/>
  <c r="DY255" i="15"/>
  <c r="DT255" i="15"/>
  <c r="DQ255" i="15"/>
  <c r="DM255" i="15"/>
  <c r="DL255" i="15"/>
  <c r="DK255" i="15"/>
  <c r="DF255" i="15"/>
  <c r="DC255" i="15"/>
  <c r="CY255" i="15"/>
  <c r="CX255" i="15"/>
  <c r="CW255" i="15"/>
  <c r="CR255" i="15"/>
  <c r="CO255" i="15"/>
  <c r="CK255" i="15"/>
  <c r="CJ255" i="15"/>
  <c r="CI255" i="15"/>
  <c r="CD255" i="15"/>
  <c r="CA255" i="15"/>
  <c r="BW255" i="15"/>
  <c r="BV255" i="15"/>
  <c r="BU255" i="15"/>
  <c r="BP255" i="15"/>
  <c r="BM255" i="15"/>
  <c r="BI255" i="15"/>
  <c r="BH255" i="15"/>
  <c r="BG255" i="15"/>
  <c r="BB255" i="15"/>
  <c r="AY255" i="15"/>
  <c r="AU255" i="15"/>
  <c r="AT255" i="15"/>
  <c r="AS255" i="15"/>
  <c r="Z255" i="15"/>
  <c r="W255" i="15"/>
  <c r="S255" i="15"/>
  <c r="R255" i="15"/>
  <c r="Q255" i="15"/>
  <c r="K255" i="15"/>
  <c r="J255" i="15"/>
  <c r="H255" i="15"/>
  <c r="EH254" i="15"/>
  <c r="EE254" i="15"/>
  <c r="EA254" i="15"/>
  <c r="DZ254" i="15"/>
  <c r="DY254" i="15"/>
  <c r="DT254" i="15"/>
  <c r="DQ254" i="15"/>
  <c r="DM254" i="15"/>
  <c r="DL254" i="15"/>
  <c r="DK254" i="15"/>
  <c r="DF254" i="15"/>
  <c r="DC254" i="15"/>
  <c r="CY254" i="15"/>
  <c r="CX254" i="15"/>
  <c r="CW254" i="15"/>
  <c r="CR254" i="15"/>
  <c r="CO254" i="15"/>
  <c r="CK254" i="15"/>
  <c r="CJ254" i="15"/>
  <c r="CI254" i="15"/>
  <c r="CD254" i="15"/>
  <c r="CA254" i="15"/>
  <c r="BW254" i="15"/>
  <c r="BV254" i="15"/>
  <c r="BU254" i="15"/>
  <c r="BP254" i="15"/>
  <c r="BM254" i="15"/>
  <c r="BI254" i="15"/>
  <c r="BH254" i="15"/>
  <c r="BG254" i="15"/>
  <c r="BB254" i="15"/>
  <c r="AY254" i="15"/>
  <c r="AU254" i="15"/>
  <c r="AT254" i="15"/>
  <c r="AS254" i="15"/>
  <c r="Z254" i="15"/>
  <c r="W254" i="15"/>
  <c r="S254" i="15"/>
  <c r="R254" i="15"/>
  <c r="Q254" i="15"/>
  <c r="K254" i="15"/>
  <c r="J254" i="15"/>
  <c r="H254" i="15"/>
  <c r="EH253" i="15"/>
  <c r="EE253" i="15"/>
  <c r="EA253" i="15"/>
  <c r="DZ253" i="15"/>
  <c r="DY253" i="15"/>
  <c r="DT253" i="15"/>
  <c r="DQ253" i="15"/>
  <c r="DM253" i="15"/>
  <c r="DL253" i="15"/>
  <c r="DK253" i="15"/>
  <c r="DF253" i="15"/>
  <c r="DC253" i="15"/>
  <c r="CY253" i="15"/>
  <c r="CX253" i="15"/>
  <c r="CW253" i="15"/>
  <c r="CR253" i="15"/>
  <c r="CO253" i="15"/>
  <c r="CK253" i="15"/>
  <c r="CJ253" i="15"/>
  <c r="CI253" i="15"/>
  <c r="CD253" i="15"/>
  <c r="CA253" i="15"/>
  <c r="BW253" i="15"/>
  <c r="BV253" i="15"/>
  <c r="BU253" i="15"/>
  <c r="BP253" i="15"/>
  <c r="BM253" i="15"/>
  <c r="BI253" i="15"/>
  <c r="BH253" i="15"/>
  <c r="BG253" i="15"/>
  <c r="BB253" i="15"/>
  <c r="AY253" i="15"/>
  <c r="AU253" i="15"/>
  <c r="AT253" i="15"/>
  <c r="AS253" i="15"/>
  <c r="Z253" i="15"/>
  <c r="W253" i="15"/>
  <c r="S253" i="15"/>
  <c r="R253" i="15"/>
  <c r="Q253" i="15"/>
  <c r="K253" i="15"/>
  <c r="J253" i="15"/>
  <c r="H253" i="15"/>
  <c r="EH252" i="15"/>
  <c r="EE252" i="15"/>
  <c r="EA252" i="15"/>
  <c r="DZ252" i="15"/>
  <c r="DY252" i="15"/>
  <c r="DT252" i="15"/>
  <c r="DQ252" i="15"/>
  <c r="DM252" i="15"/>
  <c r="DL252" i="15"/>
  <c r="DK252" i="15"/>
  <c r="DF252" i="15"/>
  <c r="DC252" i="15"/>
  <c r="CY252" i="15"/>
  <c r="CX252" i="15"/>
  <c r="CW252" i="15"/>
  <c r="CR252" i="15"/>
  <c r="CO252" i="15"/>
  <c r="CK252" i="15"/>
  <c r="CJ252" i="15"/>
  <c r="CI252" i="15"/>
  <c r="CD252" i="15"/>
  <c r="CA252" i="15"/>
  <c r="BW252" i="15"/>
  <c r="BV252" i="15"/>
  <c r="BU252" i="15"/>
  <c r="BP252" i="15"/>
  <c r="BM252" i="15"/>
  <c r="BI252" i="15"/>
  <c r="BH252" i="15"/>
  <c r="BG252" i="15"/>
  <c r="BB252" i="15"/>
  <c r="AY252" i="15"/>
  <c r="AU252" i="15"/>
  <c r="AT252" i="15"/>
  <c r="AS252" i="15"/>
  <c r="Z252" i="15"/>
  <c r="W252" i="15"/>
  <c r="S252" i="15"/>
  <c r="R252" i="15"/>
  <c r="Q252" i="15"/>
  <c r="K252" i="15"/>
  <c r="J252" i="15"/>
  <c r="H252" i="15"/>
  <c r="EH251" i="15"/>
  <c r="EE251" i="15"/>
  <c r="EA251" i="15"/>
  <c r="DZ251" i="15"/>
  <c r="DY251" i="15"/>
  <c r="DT251" i="15"/>
  <c r="DQ251" i="15"/>
  <c r="DM251" i="15"/>
  <c r="DL251" i="15"/>
  <c r="DK251" i="15"/>
  <c r="DF251" i="15"/>
  <c r="DC251" i="15"/>
  <c r="CY251" i="15"/>
  <c r="CX251" i="15"/>
  <c r="CW251" i="15"/>
  <c r="CR251" i="15"/>
  <c r="CO251" i="15"/>
  <c r="CK251" i="15"/>
  <c r="CJ251" i="15"/>
  <c r="CI251" i="15"/>
  <c r="CD251" i="15"/>
  <c r="CA251" i="15"/>
  <c r="BW251" i="15"/>
  <c r="BV251" i="15"/>
  <c r="BU251" i="15"/>
  <c r="BP251" i="15"/>
  <c r="BM251" i="15"/>
  <c r="BI251" i="15"/>
  <c r="BH251" i="15"/>
  <c r="BG251" i="15"/>
  <c r="BB251" i="15"/>
  <c r="AY251" i="15"/>
  <c r="AU251" i="15"/>
  <c r="AT251" i="15"/>
  <c r="AS251" i="15"/>
  <c r="Z251" i="15"/>
  <c r="W251" i="15"/>
  <c r="S251" i="15"/>
  <c r="R251" i="15"/>
  <c r="Q251" i="15"/>
  <c r="K251" i="15"/>
  <c r="J251" i="15"/>
  <c r="H251" i="15"/>
  <c r="EH250" i="15"/>
  <c r="EE250" i="15"/>
  <c r="EA250" i="15"/>
  <c r="DZ250" i="15"/>
  <c r="DY250" i="15"/>
  <c r="DT250" i="15"/>
  <c r="DQ250" i="15"/>
  <c r="DM250" i="15"/>
  <c r="DL250" i="15"/>
  <c r="DK250" i="15"/>
  <c r="DF250" i="15"/>
  <c r="DC250" i="15"/>
  <c r="CY250" i="15"/>
  <c r="CX250" i="15"/>
  <c r="CW250" i="15"/>
  <c r="CR250" i="15"/>
  <c r="CO250" i="15"/>
  <c r="CK250" i="15"/>
  <c r="CJ250" i="15"/>
  <c r="CI250" i="15"/>
  <c r="CD250" i="15"/>
  <c r="CA250" i="15"/>
  <c r="BW250" i="15"/>
  <c r="BV250" i="15"/>
  <c r="BU250" i="15"/>
  <c r="BP250" i="15"/>
  <c r="BM250" i="15"/>
  <c r="BI250" i="15"/>
  <c r="BH250" i="15"/>
  <c r="BG250" i="15"/>
  <c r="BB250" i="15"/>
  <c r="AY250" i="15"/>
  <c r="AU250" i="15"/>
  <c r="AT250" i="15"/>
  <c r="AS250" i="15"/>
  <c r="Z250" i="15"/>
  <c r="W250" i="15"/>
  <c r="S250" i="15"/>
  <c r="R250" i="15"/>
  <c r="Q250" i="15"/>
  <c r="K250" i="15"/>
  <c r="J250" i="15"/>
  <c r="H250" i="15"/>
  <c r="EH249" i="15"/>
  <c r="EE249" i="15"/>
  <c r="EA249" i="15"/>
  <c r="DZ249" i="15"/>
  <c r="DY249" i="15"/>
  <c r="DT249" i="15"/>
  <c r="DQ249" i="15"/>
  <c r="DM249" i="15"/>
  <c r="DL249" i="15"/>
  <c r="DK249" i="15"/>
  <c r="DF249" i="15"/>
  <c r="DC249" i="15"/>
  <c r="CY249" i="15"/>
  <c r="CX249" i="15"/>
  <c r="CW249" i="15"/>
  <c r="CR249" i="15"/>
  <c r="CO249" i="15"/>
  <c r="CK249" i="15"/>
  <c r="CJ249" i="15"/>
  <c r="CI249" i="15"/>
  <c r="CD249" i="15"/>
  <c r="CA249" i="15"/>
  <c r="BW249" i="15"/>
  <c r="BV249" i="15"/>
  <c r="BU249" i="15"/>
  <c r="BP249" i="15"/>
  <c r="BM249" i="15"/>
  <c r="BI249" i="15"/>
  <c r="BH249" i="15"/>
  <c r="BG249" i="15"/>
  <c r="BB249" i="15"/>
  <c r="AY249" i="15"/>
  <c r="AU249" i="15"/>
  <c r="AT249" i="15"/>
  <c r="AS249" i="15"/>
  <c r="Z249" i="15"/>
  <c r="W249" i="15"/>
  <c r="S249" i="15"/>
  <c r="R249" i="15"/>
  <c r="Q249" i="15"/>
  <c r="K249" i="15"/>
  <c r="J249" i="15"/>
  <c r="H249" i="15"/>
  <c r="EH248" i="15"/>
  <c r="EE248" i="15"/>
  <c r="EA248" i="15"/>
  <c r="DZ248" i="15"/>
  <c r="DY248" i="15"/>
  <c r="DT248" i="15"/>
  <c r="DQ248" i="15"/>
  <c r="DM248" i="15"/>
  <c r="DL248" i="15"/>
  <c r="DK248" i="15"/>
  <c r="DF248" i="15"/>
  <c r="DC248" i="15"/>
  <c r="CY248" i="15"/>
  <c r="CX248" i="15"/>
  <c r="CW248" i="15"/>
  <c r="CR248" i="15"/>
  <c r="CO248" i="15"/>
  <c r="CK248" i="15"/>
  <c r="CJ248" i="15"/>
  <c r="CI248" i="15"/>
  <c r="CD248" i="15"/>
  <c r="CA248" i="15"/>
  <c r="BW248" i="15"/>
  <c r="BV248" i="15"/>
  <c r="BU248" i="15"/>
  <c r="BP248" i="15"/>
  <c r="BM248" i="15"/>
  <c r="BI248" i="15"/>
  <c r="BH248" i="15"/>
  <c r="BG248" i="15"/>
  <c r="BB248" i="15"/>
  <c r="AY248" i="15"/>
  <c r="AU248" i="15"/>
  <c r="AT248" i="15"/>
  <c r="AS248" i="15"/>
  <c r="Z248" i="15"/>
  <c r="W248" i="15"/>
  <c r="S248" i="15"/>
  <c r="R248" i="15"/>
  <c r="Q248" i="15"/>
  <c r="K248" i="15"/>
  <c r="J248" i="15"/>
  <c r="H248" i="15"/>
  <c r="EH247" i="15"/>
  <c r="EE247" i="15"/>
  <c r="EA247" i="15"/>
  <c r="DZ247" i="15"/>
  <c r="DY247" i="15"/>
  <c r="DT247" i="15"/>
  <c r="DQ247" i="15"/>
  <c r="DM247" i="15"/>
  <c r="DL247" i="15"/>
  <c r="DK247" i="15"/>
  <c r="DF247" i="15"/>
  <c r="DC247" i="15"/>
  <c r="CY247" i="15"/>
  <c r="CX247" i="15"/>
  <c r="CW247" i="15"/>
  <c r="CR247" i="15"/>
  <c r="CO247" i="15"/>
  <c r="CK247" i="15"/>
  <c r="CJ247" i="15"/>
  <c r="CI247" i="15"/>
  <c r="CD247" i="15"/>
  <c r="CA247" i="15"/>
  <c r="BW247" i="15"/>
  <c r="BV247" i="15"/>
  <c r="BU247" i="15"/>
  <c r="BP247" i="15"/>
  <c r="BM247" i="15"/>
  <c r="BI247" i="15"/>
  <c r="BH247" i="15"/>
  <c r="BG247" i="15"/>
  <c r="BB247" i="15"/>
  <c r="AY247" i="15"/>
  <c r="AU247" i="15"/>
  <c r="AT247" i="15"/>
  <c r="AS247" i="15"/>
  <c r="Z247" i="15"/>
  <c r="W247" i="15"/>
  <c r="S247" i="15"/>
  <c r="R247" i="15"/>
  <c r="Q247" i="15"/>
  <c r="K247" i="15"/>
  <c r="J247" i="15"/>
  <c r="H247" i="15"/>
  <c r="EH246" i="15"/>
  <c r="EE246" i="15"/>
  <c r="EA246" i="15"/>
  <c r="DZ246" i="15"/>
  <c r="DY246" i="15"/>
  <c r="DT246" i="15"/>
  <c r="DQ246" i="15"/>
  <c r="DM246" i="15"/>
  <c r="DL246" i="15"/>
  <c r="DK246" i="15"/>
  <c r="DF246" i="15"/>
  <c r="DC246" i="15"/>
  <c r="CY246" i="15"/>
  <c r="CX246" i="15"/>
  <c r="CW246" i="15"/>
  <c r="CR246" i="15"/>
  <c r="CO246" i="15"/>
  <c r="CK246" i="15"/>
  <c r="CJ246" i="15"/>
  <c r="CI246" i="15"/>
  <c r="CD246" i="15"/>
  <c r="CA246" i="15"/>
  <c r="BW246" i="15"/>
  <c r="BV246" i="15"/>
  <c r="BU246" i="15"/>
  <c r="BP246" i="15"/>
  <c r="BM246" i="15"/>
  <c r="BI246" i="15"/>
  <c r="BH246" i="15"/>
  <c r="BG246" i="15"/>
  <c r="BB246" i="15"/>
  <c r="AY246" i="15"/>
  <c r="AU246" i="15"/>
  <c r="AT246" i="15"/>
  <c r="AS246" i="15"/>
  <c r="Z246" i="15"/>
  <c r="W246" i="15"/>
  <c r="S246" i="15"/>
  <c r="R246" i="15"/>
  <c r="Q246" i="15"/>
  <c r="K246" i="15"/>
  <c r="J246" i="15"/>
  <c r="H246" i="15"/>
  <c r="EH245" i="15"/>
  <c r="EE245" i="15"/>
  <c r="EA245" i="15"/>
  <c r="DZ245" i="15"/>
  <c r="DY245" i="15"/>
  <c r="DT245" i="15"/>
  <c r="DQ245" i="15"/>
  <c r="DM245" i="15"/>
  <c r="DL245" i="15"/>
  <c r="DK245" i="15"/>
  <c r="DF245" i="15"/>
  <c r="DC245" i="15"/>
  <c r="CY245" i="15"/>
  <c r="CX245" i="15"/>
  <c r="CW245" i="15"/>
  <c r="CR245" i="15"/>
  <c r="CO245" i="15"/>
  <c r="CK245" i="15"/>
  <c r="CJ245" i="15"/>
  <c r="CI245" i="15"/>
  <c r="CD245" i="15"/>
  <c r="CA245" i="15"/>
  <c r="BW245" i="15"/>
  <c r="BV245" i="15"/>
  <c r="BU245" i="15"/>
  <c r="BP245" i="15"/>
  <c r="BM245" i="15"/>
  <c r="BI245" i="15"/>
  <c r="BH245" i="15"/>
  <c r="BG245" i="15"/>
  <c r="BB245" i="15"/>
  <c r="AY245" i="15"/>
  <c r="AU245" i="15"/>
  <c r="AT245" i="15"/>
  <c r="AS245" i="15"/>
  <c r="Z245" i="15"/>
  <c r="W245" i="15"/>
  <c r="S245" i="15"/>
  <c r="R245" i="15"/>
  <c r="Q245" i="15"/>
  <c r="K245" i="15"/>
  <c r="J245" i="15"/>
  <c r="H245" i="15"/>
  <c r="EH244" i="15"/>
  <c r="EE244" i="15"/>
  <c r="EA244" i="15"/>
  <c r="DZ244" i="15"/>
  <c r="DY244" i="15"/>
  <c r="DT244" i="15"/>
  <c r="DQ244" i="15"/>
  <c r="DM244" i="15"/>
  <c r="DL244" i="15"/>
  <c r="DK244" i="15"/>
  <c r="DF244" i="15"/>
  <c r="DC244" i="15"/>
  <c r="CY244" i="15"/>
  <c r="CX244" i="15"/>
  <c r="CW244" i="15"/>
  <c r="CR244" i="15"/>
  <c r="CO244" i="15"/>
  <c r="CK244" i="15"/>
  <c r="CJ244" i="15"/>
  <c r="CI244" i="15"/>
  <c r="CD244" i="15"/>
  <c r="CA244" i="15"/>
  <c r="BW244" i="15"/>
  <c r="BV244" i="15"/>
  <c r="BU244" i="15"/>
  <c r="BP244" i="15"/>
  <c r="BM244" i="15"/>
  <c r="BI244" i="15"/>
  <c r="BH244" i="15"/>
  <c r="BG244" i="15"/>
  <c r="BB244" i="15"/>
  <c r="AY244" i="15"/>
  <c r="AU244" i="15"/>
  <c r="AT244" i="15"/>
  <c r="AS244" i="15"/>
  <c r="Z244" i="15"/>
  <c r="W244" i="15"/>
  <c r="S244" i="15"/>
  <c r="R244" i="15"/>
  <c r="Q244" i="15"/>
  <c r="K244" i="15"/>
  <c r="J244" i="15"/>
  <c r="H244" i="15"/>
  <c r="EH243" i="15"/>
  <c r="EE243" i="15"/>
  <c r="EA243" i="15"/>
  <c r="DZ243" i="15"/>
  <c r="DY243" i="15"/>
  <c r="DT243" i="15"/>
  <c r="DQ243" i="15"/>
  <c r="DM243" i="15"/>
  <c r="DL243" i="15"/>
  <c r="DK243" i="15"/>
  <c r="DF243" i="15"/>
  <c r="DC243" i="15"/>
  <c r="CY243" i="15"/>
  <c r="CX243" i="15"/>
  <c r="CW243" i="15"/>
  <c r="CR243" i="15"/>
  <c r="CO243" i="15"/>
  <c r="CK243" i="15"/>
  <c r="CJ243" i="15"/>
  <c r="CI243" i="15"/>
  <c r="CD243" i="15"/>
  <c r="CA243" i="15"/>
  <c r="BW243" i="15"/>
  <c r="BV243" i="15"/>
  <c r="BU243" i="15"/>
  <c r="BP243" i="15"/>
  <c r="BM243" i="15"/>
  <c r="BI243" i="15"/>
  <c r="BH243" i="15"/>
  <c r="BG243" i="15"/>
  <c r="BB243" i="15"/>
  <c r="AY243" i="15"/>
  <c r="AU243" i="15"/>
  <c r="AT243" i="15"/>
  <c r="AS243" i="15"/>
  <c r="Z243" i="15"/>
  <c r="W243" i="15"/>
  <c r="S243" i="15"/>
  <c r="R243" i="15"/>
  <c r="Q243" i="15"/>
  <c r="K243" i="15"/>
  <c r="J243" i="15"/>
  <c r="H243" i="15"/>
  <c r="EH242" i="15"/>
  <c r="EE242" i="15"/>
  <c r="EA242" i="15"/>
  <c r="DZ242" i="15"/>
  <c r="DY242" i="15"/>
  <c r="DT242" i="15"/>
  <c r="DQ242" i="15"/>
  <c r="DM242" i="15"/>
  <c r="DL242" i="15"/>
  <c r="DK242" i="15"/>
  <c r="DF242" i="15"/>
  <c r="DC242" i="15"/>
  <c r="CY242" i="15"/>
  <c r="CX242" i="15"/>
  <c r="CW242" i="15"/>
  <c r="CR242" i="15"/>
  <c r="CO242" i="15"/>
  <c r="CK242" i="15"/>
  <c r="CJ242" i="15"/>
  <c r="CI242" i="15"/>
  <c r="CD242" i="15"/>
  <c r="CA242" i="15"/>
  <c r="BW242" i="15"/>
  <c r="BV242" i="15"/>
  <c r="BU242" i="15"/>
  <c r="BP242" i="15"/>
  <c r="BM242" i="15"/>
  <c r="BI242" i="15"/>
  <c r="BH242" i="15"/>
  <c r="BG242" i="15"/>
  <c r="BB242" i="15"/>
  <c r="AY242" i="15"/>
  <c r="AU242" i="15"/>
  <c r="AT242" i="15"/>
  <c r="AS242" i="15"/>
  <c r="Z242" i="15"/>
  <c r="W242" i="15"/>
  <c r="S242" i="15"/>
  <c r="R242" i="15"/>
  <c r="Q242" i="15"/>
  <c r="K242" i="15"/>
  <c r="J242" i="15"/>
  <c r="H242" i="15"/>
  <c r="EH241" i="15"/>
  <c r="EE241" i="15"/>
  <c r="EA241" i="15"/>
  <c r="DZ241" i="15"/>
  <c r="DY241" i="15"/>
  <c r="DT241" i="15"/>
  <c r="DQ241" i="15"/>
  <c r="DM241" i="15"/>
  <c r="DL241" i="15"/>
  <c r="DK241" i="15"/>
  <c r="DF241" i="15"/>
  <c r="DC241" i="15"/>
  <c r="CY241" i="15"/>
  <c r="CX241" i="15"/>
  <c r="CW241" i="15"/>
  <c r="CR241" i="15"/>
  <c r="CO241" i="15"/>
  <c r="CK241" i="15"/>
  <c r="CJ241" i="15"/>
  <c r="CI241" i="15"/>
  <c r="CD241" i="15"/>
  <c r="CA241" i="15"/>
  <c r="BW241" i="15"/>
  <c r="BV241" i="15"/>
  <c r="BU241" i="15"/>
  <c r="BP241" i="15"/>
  <c r="BM241" i="15"/>
  <c r="BI241" i="15"/>
  <c r="BH241" i="15"/>
  <c r="BG241" i="15"/>
  <c r="BB241" i="15"/>
  <c r="AY241" i="15"/>
  <c r="AU241" i="15"/>
  <c r="AT241" i="15"/>
  <c r="AS241" i="15"/>
  <c r="Z241" i="15"/>
  <c r="W241" i="15"/>
  <c r="S241" i="15"/>
  <c r="R241" i="15"/>
  <c r="Q241" i="15"/>
  <c r="K241" i="15"/>
  <c r="J241" i="15"/>
  <c r="H241" i="15"/>
  <c r="EH240" i="15"/>
  <c r="EE240" i="15"/>
  <c r="EA240" i="15"/>
  <c r="DZ240" i="15"/>
  <c r="DY240" i="15"/>
  <c r="DT240" i="15"/>
  <c r="DQ240" i="15"/>
  <c r="DM240" i="15"/>
  <c r="DL240" i="15"/>
  <c r="DK240" i="15"/>
  <c r="DF240" i="15"/>
  <c r="DC240" i="15"/>
  <c r="CY240" i="15"/>
  <c r="CX240" i="15"/>
  <c r="CW240" i="15"/>
  <c r="CR240" i="15"/>
  <c r="CO240" i="15"/>
  <c r="CK240" i="15"/>
  <c r="CJ240" i="15"/>
  <c r="CI240" i="15"/>
  <c r="CD240" i="15"/>
  <c r="CA240" i="15"/>
  <c r="BW240" i="15"/>
  <c r="BV240" i="15"/>
  <c r="BU240" i="15"/>
  <c r="BP240" i="15"/>
  <c r="BM240" i="15"/>
  <c r="BI240" i="15"/>
  <c r="BH240" i="15"/>
  <c r="BG240" i="15"/>
  <c r="BB240" i="15"/>
  <c r="AY240" i="15"/>
  <c r="AU240" i="15"/>
  <c r="AT240" i="15"/>
  <c r="AS240" i="15"/>
  <c r="Z240" i="15"/>
  <c r="W240" i="15"/>
  <c r="S240" i="15"/>
  <c r="R240" i="15"/>
  <c r="Q240" i="15"/>
  <c r="K240" i="15"/>
  <c r="J240" i="15"/>
  <c r="H240" i="15"/>
  <c r="EH239" i="15"/>
  <c r="EE239" i="15"/>
  <c r="EA239" i="15"/>
  <c r="DZ239" i="15"/>
  <c r="DY239" i="15"/>
  <c r="DT239" i="15"/>
  <c r="DQ239" i="15"/>
  <c r="DM239" i="15"/>
  <c r="DL239" i="15"/>
  <c r="DK239" i="15"/>
  <c r="DF239" i="15"/>
  <c r="DC239" i="15"/>
  <c r="CY239" i="15"/>
  <c r="CX239" i="15"/>
  <c r="CW239" i="15"/>
  <c r="CR239" i="15"/>
  <c r="CO239" i="15"/>
  <c r="CK239" i="15"/>
  <c r="CJ239" i="15"/>
  <c r="CI239" i="15"/>
  <c r="CD239" i="15"/>
  <c r="CA239" i="15"/>
  <c r="BW239" i="15"/>
  <c r="BV239" i="15"/>
  <c r="BU239" i="15"/>
  <c r="BP239" i="15"/>
  <c r="BM239" i="15"/>
  <c r="BI239" i="15"/>
  <c r="BH239" i="15"/>
  <c r="BG239" i="15"/>
  <c r="BB239" i="15"/>
  <c r="AY239" i="15"/>
  <c r="AU239" i="15"/>
  <c r="AT239" i="15"/>
  <c r="AS239" i="15"/>
  <c r="Z239" i="15"/>
  <c r="W239" i="15"/>
  <c r="S239" i="15"/>
  <c r="R239" i="15"/>
  <c r="Q239" i="15"/>
  <c r="K239" i="15"/>
  <c r="J239" i="15"/>
  <c r="H239" i="15"/>
  <c r="EH238" i="15"/>
  <c r="EE238" i="15"/>
  <c r="EA238" i="15"/>
  <c r="DZ238" i="15"/>
  <c r="DY238" i="15"/>
  <c r="DT238" i="15"/>
  <c r="DQ238" i="15"/>
  <c r="DM238" i="15"/>
  <c r="DL238" i="15"/>
  <c r="DK238" i="15"/>
  <c r="DF238" i="15"/>
  <c r="DC238" i="15"/>
  <c r="CY238" i="15"/>
  <c r="CX238" i="15"/>
  <c r="CW238" i="15"/>
  <c r="CR238" i="15"/>
  <c r="CO238" i="15"/>
  <c r="CK238" i="15"/>
  <c r="CJ238" i="15"/>
  <c r="CI238" i="15"/>
  <c r="CD238" i="15"/>
  <c r="CA238" i="15"/>
  <c r="BW238" i="15"/>
  <c r="BV238" i="15"/>
  <c r="BU238" i="15"/>
  <c r="BP238" i="15"/>
  <c r="BM238" i="15"/>
  <c r="BI238" i="15"/>
  <c r="BH238" i="15"/>
  <c r="BG238" i="15"/>
  <c r="BB238" i="15"/>
  <c r="AY238" i="15"/>
  <c r="AU238" i="15"/>
  <c r="AT238" i="15"/>
  <c r="AS238" i="15"/>
  <c r="Z238" i="15"/>
  <c r="W238" i="15"/>
  <c r="S238" i="15"/>
  <c r="R238" i="15"/>
  <c r="Q238" i="15"/>
  <c r="K238" i="15"/>
  <c r="J238" i="15"/>
  <c r="H238" i="15"/>
  <c r="EH237" i="15"/>
  <c r="EE237" i="15"/>
  <c r="EA237" i="15"/>
  <c r="DZ237" i="15"/>
  <c r="DY237" i="15"/>
  <c r="DT237" i="15"/>
  <c r="DQ237" i="15"/>
  <c r="DM237" i="15"/>
  <c r="DL237" i="15"/>
  <c r="DK237" i="15"/>
  <c r="DF237" i="15"/>
  <c r="DC237" i="15"/>
  <c r="CY237" i="15"/>
  <c r="CX237" i="15"/>
  <c r="CW237" i="15"/>
  <c r="CR237" i="15"/>
  <c r="CO237" i="15"/>
  <c r="CK237" i="15"/>
  <c r="CJ237" i="15"/>
  <c r="CI237" i="15"/>
  <c r="CD237" i="15"/>
  <c r="CA237" i="15"/>
  <c r="BW237" i="15"/>
  <c r="BV237" i="15"/>
  <c r="BU237" i="15"/>
  <c r="BP237" i="15"/>
  <c r="BM237" i="15"/>
  <c r="BI237" i="15"/>
  <c r="BH237" i="15"/>
  <c r="BG237" i="15"/>
  <c r="BB237" i="15"/>
  <c r="AY237" i="15"/>
  <c r="AU237" i="15"/>
  <c r="AT237" i="15"/>
  <c r="AS237" i="15"/>
  <c r="Z237" i="15"/>
  <c r="W237" i="15"/>
  <c r="S237" i="15"/>
  <c r="R237" i="15"/>
  <c r="Q237" i="15"/>
  <c r="K237" i="15"/>
  <c r="J237" i="15"/>
  <c r="H237" i="15"/>
  <c r="EH236" i="15"/>
  <c r="EE236" i="15"/>
  <c r="EA236" i="15"/>
  <c r="DZ236" i="15"/>
  <c r="DY236" i="15"/>
  <c r="DT236" i="15"/>
  <c r="DQ236" i="15"/>
  <c r="DM236" i="15"/>
  <c r="DL236" i="15"/>
  <c r="DK236" i="15"/>
  <c r="DF236" i="15"/>
  <c r="DC236" i="15"/>
  <c r="CY236" i="15"/>
  <c r="CX236" i="15"/>
  <c r="CW236" i="15"/>
  <c r="CR236" i="15"/>
  <c r="CO236" i="15"/>
  <c r="CK236" i="15"/>
  <c r="CJ236" i="15"/>
  <c r="CI236" i="15"/>
  <c r="CD236" i="15"/>
  <c r="CA236" i="15"/>
  <c r="BW236" i="15"/>
  <c r="BV236" i="15"/>
  <c r="BU236" i="15"/>
  <c r="BP236" i="15"/>
  <c r="BM236" i="15"/>
  <c r="BI236" i="15"/>
  <c r="BH236" i="15"/>
  <c r="BG236" i="15"/>
  <c r="BB236" i="15"/>
  <c r="AY236" i="15"/>
  <c r="AU236" i="15"/>
  <c r="AT236" i="15"/>
  <c r="AS236" i="15"/>
  <c r="Z236" i="15"/>
  <c r="W236" i="15"/>
  <c r="S236" i="15"/>
  <c r="R236" i="15"/>
  <c r="Q236" i="15"/>
  <c r="K236" i="15"/>
  <c r="J236" i="15"/>
  <c r="H236" i="15"/>
  <c r="EH235" i="15"/>
  <c r="EE235" i="15"/>
  <c r="EA235" i="15"/>
  <c r="DZ235" i="15"/>
  <c r="DY235" i="15"/>
  <c r="DT235" i="15"/>
  <c r="DQ235" i="15"/>
  <c r="DM235" i="15"/>
  <c r="DL235" i="15"/>
  <c r="DK235" i="15"/>
  <c r="DF235" i="15"/>
  <c r="DC235" i="15"/>
  <c r="CY235" i="15"/>
  <c r="CX235" i="15"/>
  <c r="CW235" i="15"/>
  <c r="CR235" i="15"/>
  <c r="CO235" i="15"/>
  <c r="CK235" i="15"/>
  <c r="CJ235" i="15"/>
  <c r="CI235" i="15"/>
  <c r="CD235" i="15"/>
  <c r="CA235" i="15"/>
  <c r="BW235" i="15"/>
  <c r="BV235" i="15"/>
  <c r="BU235" i="15"/>
  <c r="BP235" i="15"/>
  <c r="BM235" i="15"/>
  <c r="BI235" i="15"/>
  <c r="BH235" i="15"/>
  <c r="BG235" i="15"/>
  <c r="BB235" i="15"/>
  <c r="AY235" i="15"/>
  <c r="AU235" i="15"/>
  <c r="AT235" i="15"/>
  <c r="AS235" i="15"/>
  <c r="Z235" i="15"/>
  <c r="W235" i="15"/>
  <c r="S235" i="15"/>
  <c r="R235" i="15"/>
  <c r="Q235" i="15"/>
  <c r="K235" i="15"/>
  <c r="J235" i="15"/>
  <c r="H235" i="15"/>
  <c r="EH234" i="15"/>
  <c r="EE234" i="15"/>
  <c r="EA234" i="15"/>
  <c r="DZ234" i="15"/>
  <c r="DY234" i="15"/>
  <c r="DT234" i="15"/>
  <c r="DQ234" i="15"/>
  <c r="DM234" i="15"/>
  <c r="DL234" i="15"/>
  <c r="DK234" i="15"/>
  <c r="DF234" i="15"/>
  <c r="DC234" i="15"/>
  <c r="CY234" i="15"/>
  <c r="CX234" i="15"/>
  <c r="CW234" i="15"/>
  <c r="CR234" i="15"/>
  <c r="CO234" i="15"/>
  <c r="CK234" i="15"/>
  <c r="CJ234" i="15"/>
  <c r="CI234" i="15"/>
  <c r="CD234" i="15"/>
  <c r="CA234" i="15"/>
  <c r="BW234" i="15"/>
  <c r="BV234" i="15"/>
  <c r="BU234" i="15"/>
  <c r="BP234" i="15"/>
  <c r="BM234" i="15"/>
  <c r="BI234" i="15"/>
  <c r="BH234" i="15"/>
  <c r="BG234" i="15"/>
  <c r="BB234" i="15"/>
  <c r="AY234" i="15"/>
  <c r="AU234" i="15"/>
  <c r="AT234" i="15"/>
  <c r="AS234" i="15"/>
  <c r="Z234" i="15"/>
  <c r="W234" i="15"/>
  <c r="S234" i="15"/>
  <c r="R234" i="15"/>
  <c r="Q234" i="15"/>
  <c r="K234" i="15"/>
  <c r="J234" i="15"/>
  <c r="H234" i="15"/>
  <c r="EH233" i="15"/>
  <c r="EE233" i="15"/>
  <c r="EA233" i="15"/>
  <c r="DZ233" i="15"/>
  <c r="DY233" i="15"/>
  <c r="DT233" i="15"/>
  <c r="DQ233" i="15"/>
  <c r="DM233" i="15"/>
  <c r="DL233" i="15"/>
  <c r="DK233" i="15"/>
  <c r="DF233" i="15"/>
  <c r="DC233" i="15"/>
  <c r="CY233" i="15"/>
  <c r="CX233" i="15"/>
  <c r="CW233" i="15"/>
  <c r="CR233" i="15"/>
  <c r="CO233" i="15"/>
  <c r="CK233" i="15"/>
  <c r="CJ233" i="15"/>
  <c r="CI233" i="15"/>
  <c r="CD233" i="15"/>
  <c r="CA233" i="15"/>
  <c r="BW233" i="15"/>
  <c r="BV233" i="15"/>
  <c r="BU233" i="15"/>
  <c r="BP233" i="15"/>
  <c r="BM233" i="15"/>
  <c r="BI233" i="15"/>
  <c r="BH233" i="15"/>
  <c r="BG233" i="15"/>
  <c r="BB233" i="15"/>
  <c r="AY233" i="15"/>
  <c r="AU233" i="15"/>
  <c r="AT233" i="15"/>
  <c r="AS233" i="15"/>
  <c r="Z233" i="15"/>
  <c r="W233" i="15"/>
  <c r="S233" i="15"/>
  <c r="R233" i="15"/>
  <c r="Q233" i="15"/>
  <c r="K233" i="15"/>
  <c r="J233" i="15"/>
  <c r="H233" i="15"/>
  <c r="EH232" i="15"/>
  <c r="EE232" i="15"/>
  <c r="EA232" i="15"/>
  <c r="DZ232" i="15"/>
  <c r="DY232" i="15"/>
  <c r="DT232" i="15"/>
  <c r="DQ232" i="15"/>
  <c r="DM232" i="15"/>
  <c r="DL232" i="15"/>
  <c r="DK232" i="15"/>
  <c r="DF232" i="15"/>
  <c r="DC232" i="15"/>
  <c r="CY232" i="15"/>
  <c r="CX232" i="15"/>
  <c r="CW232" i="15"/>
  <c r="CR232" i="15"/>
  <c r="CO232" i="15"/>
  <c r="CK232" i="15"/>
  <c r="CJ232" i="15"/>
  <c r="CI232" i="15"/>
  <c r="CD232" i="15"/>
  <c r="CA232" i="15"/>
  <c r="BW232" i="15"/>
  <c r="BV232" i="15"/>
  <c r="BU232" i="15"/>
  <c r="BP232" i="15"/>
  <c r="BM232" i="15"/>
  <c r="BI232" i="15"/>
  <c r="BH232" i="15"/>
  <c r="BG232" i="15"/>
  <c r="BB232" i="15"/>
  <c r="AY232" i="15"/>
  <c r="AU232" i="15"/>
  <c r="AT232" i="15"/>
  <c r="AS232" i="15"/>
  <c r="Z232" i="15"/>
  <c r="W232" i="15"/>
  <c r="S232" i="15"/>
  <c r="R232" i="15"/>
  <c r="Q232" i="15"/>
  <c r="K232" i="15"/>
  <c r="J232" i="15"/>
  <c r="H232" i="15"/>
  <c r="EH231" i="15"/>
  <c r="EE231" i="15"/>
  <c r="EA231" i="15"/>
  <c r="DZ231" i="15"/>
  <c r="DY231" i="15"/>
  <c r="DT231" i="15"/>
  <c r="DQ231" i="15"/>
  <c r="DM231" i="15"/>
  <c r="DL231" i="15"/>
  <c r="DK231" i="15"/>
  <c r="DF231" i="15"/>
  <c r="DC231" i="15"/>
  <c r="CY231" i="15"/>
  <c r="CX231" i="15"/>
  <c r="CW231" i="15"/>
  <c r="CR231" i="15"/>
  <c r="CO231" i="15"/>
  <c r="CK231" i="15"/>
  <c r="CJ231" i="15"/>
  <c r="CI231" i="15"/>
  <c r="CD231" i="15"/>
  <c r="CA231" i="15"/>
  <c r="BW231" i="15"/>
  <c r="BV231" i="15"/>
  <c r="BU231" i="15"/>
  <c r="BP231" i="15"/>
  <c r="BM231" i="15"/>
  <c r="BI231" i="15"/>
  <c r="BH231" i="15"/>
  <c r="BG231" i="15"/>
  <c r="BB231" i="15"/>
  <c r="AY231" i="15"/>
  <c r="AU231" i="15"/>
  <c r="AT231" i="15"/>
  <c r="AS231" i="15"/>
  <c r="Z231" i="15"/>
  <c r="W231" i="15"/>
  <c r="S231" i="15"/>
  <c r="R231" i="15"/>
  <c r="Q231" i="15"/>
  <c r="K231" i="15"/>
  <c r="J231" i="15"/>
  <c r="H231" i="15"/>
  <c r="EH230" i="15"/>
  <c r="EE230" i="15"/>
  <c r="EA230" i="15"/>
  <c r="DZ230" i="15"/>
  <c r="DY230" i="15"/>
  <c r="DT230" i="15"/>
  <c r="DQ230" i="15"/>
  <c r="DM230" i="15"/>
  <c r="DL230" i="15"/>
  <c r="DK230" i="15"/>
  <c r="DF230" i="15"/>
  <c r="DC230" i="15"/>
  <c r="CY230" i="15"/>
  <c r="CX230" i="15"/>
  <c r="CW230" i="15"/>
  <c r="CR230" i="15"/>
  <c r="CO230" i="15"/>
  <c r="CK230" i="15"/>
  <c r="CJ230" i="15"/>
  <c r="CI230" i="15"/>
  <c r="CD230" i="15"/>
  <c r="CA230" i="15"/>
  <c r="BW230" i="15"/>
  <c r="BV230" i="15"/>
  <c r="BU230" i="15"/>
  <c r="BP230" i="15"/>
  <c r="BM230" i="15"/>
  <c r="BI230" i="15"/>
  <c r="BH230" i="15"/>
  <c r="BG230" i="15"/>
  <c r="BB230" i="15"/>
  <c r="AY230" i="15"/>
  <c r="AU230" i="15"/>
  <c r="AT230" i="15"/>
  <c r="AS230" i="15"/>
  <c r="Z230" i="15"/>
  <c r="W230" i="15"/>
  <c r="S230" i="15"/>
  <c r="R230" i="15"/>
  <c r="Q230" i="15"/>
  <c r="K230" i="15"/>
  <c r="J230" i="15"/>
  <c r="H230" i="15"/>
  <c r="EH229" i="15"/>
  <c r="EE229" i="15"/>
  <c r="EA229" i="15"/>
  <c r="DZ229" i="15"/>
  <c r="DY229" i="15"/>
  <c r="DT229" i="15"/>
  <c r="DQ229" i="15"/>
  <c r="DM229" i="15"/>
  <c r="DL229" i="15"/>
  <c r="DK229" i="15"/>
  <c r="DF229" i="15"/>
  <c r="DC229" i="15"/>
  <c r="CY229" i="15"/>
  <c r="CX229" i="15"/>
  <c r="CW229" i="15"/>
  <c r="CR229" i="15"/>
  <c r="CO229" i="15"/>
  <c r="CK229" i="15"/>
  <c r="CJ229" i="15"/>
  <c r="CI229" i="15"/>
  <c r="CD229" i="15"/>
  <c r="CA229" i="15"/>
  <c r="BW229" i="15"/>
  <c r="BV229" i="15"/>
  <c r="BU229" i="15"/>
  <c r="BP229" i="15"/>
  <c r="BM229" i="15"/>
  <c r="BI229" i="15"/>
  <c r="BH229" i="15"/>
  <c r="BG229" i="15"/>
  <c r="BB229" i="15"/>
  <c r="AY229" i="15"/>
  <c r="AU229" i="15"/>
  <c r="AT229" i="15"/>
  <c r="AS229" i="15"/>
  <c r="Z229" i="15"/>
  <c r="W229" i="15"/>
  <c r="S229" i="15"/>
  <c r="R229" i="15"/>
  <c r="Q229" i="15"/>
  <c r="K229" i="15"/>
  <c r="J229" i="15"/>
  <c r="H229" i="15"/>
  <c r="EH228" i="15"/>
  <c r="EE228" i="15"/>
  <c r="EA228" i="15"/>
  <c r="DZ228" i="15"/>
  <c r="DY228" i="15"/>
  <c r="DT228" i="15"/>
  <c r="DQ228" i="15"/>
  <c r="DM228" i="15"/>
  <c r="DL228" i="15"/>
  <c r="DK228" i="15"/>
  <c r="DF228" i="15"/>
  <c r="DC228" i="15"/>
  <c r="CY228" i="15"/>
  <c r="CX228" i="15"/>
  <c r="CW228" i="15"/>
  <c r="CR228" i="15"/>
  <c r="CO228" i="15"/>
  <c r="CK228" i="15"/>
  <c r="CJ228" i="15"/>
  <c r="CI228" i="15"/>
  <c r="CD228" i="15"/>
  <c r="CA228" i="15"/>
  <c r="BW228" i="15"/>
  <c r="BV228" i="15"/>
  <c r="BU228" i="15"/>
  <c r="BP228" i="15"/>
  <c r="BM228" i="15"/>
  <c r="BI228" i="15"/>
  <c r="BH228" i="15"/>
  <c r="BG228" i="15"/>
  <c r="BB228" i="15"/>
  <c r="AY228" i="15"/>
  <c r="AU228" i="15"/>
  <c r="AT228" i="15"/>
  <c r="AS228" i="15"/>
  <c r="Z228" i="15"/>
  <c r="W228" i="15"/>
  <c r="S228" i="15"/>
  <c r="R228" i="15"/>
  <c r="Q228" i="15"/>
  <c r="K228" i="15"/>
  <c r="J228" i="15"/>
  <c r="H228" i="15"/>
  <c r="EH227" i="15"/>
  <c r="EE227" i="15"/>
  <c r="EA227" i="15"/>
  <c r="DZ227" i="15"/>
  <c r="DY227" i="15"/>
  <c r="DT227" i="15"/>
  <c r="DQ227" i="15"/>
  <c r="DM227" i="15"/>
  <c r="DL227" i="15"/>
  <c r="DK227" i="15"/>
  <c r="DF227" i="15"/>
  <c r="DC227" i="15"/>
  <c r="CY227" i="15"/>
  <c r="CX227" i="15"/>
  <c r="CW227" i="15"/>
  <c r="CR227" i="15"/>
  <c r="CO227" i="15"/>
  <c r="CK227" i="15"/>
  <c r="CJ227" i="15"/>
  <c r="CI227" i="15"/>
  <c r="CD227" i="15"/>
  <c r="CA227" i="15"/>
  <c r="BW227" i="15"/>
  <c r="BV227" i="15"/>
  <c r="BU227" i="15"/>
  <c r="BP227" i="15"/>
  <c r="BM227" i="15"/>
  <c r="BI227" i="15"/>
  <c r="BH227" i="15"/>
  <c r="BG227" i="15"/>
  <c r="BB227" i="15"/>
  <c r="AY227" i="15"/>
  <c r="AU227" i="15"/>
  <c r="AT227" i="15"/>
  <c r="AS227" i="15"/>
  <c r="Z227" i="15"/>
  <c r="W227" i="15"/>
  <c r="S227" i="15"/>
  <c r="R227" i="15"/>
  <c r="Q227" i="15"/>
  <c r="K227" i="15"/>
  <c r="J227" i="15"/>
  <c r="H227" i="15"/>
  <c r="EH226" i="15"/>
  <c r="EE226" i="15"/>
  <c r="EA226" i="15"/>
  <c r="DZ226" i="15"/>
  <c r="DY226" i="15"/>
  <c r="DT226" i="15"/>
  <c r="DQ226" i="15"/>
  <c r="DM226" i="15"/>
  <c r="DL226" i="15"/>
  <c r="DK226" i="15"/>
  <c r="DF226" i="15"/>
  <c r="DC226" i="15"/>
  <c r="CY226" i="15"/>
  <c r="CX226" i="15"/>
  <c r="CW226" i="15"/>
  <c r="CR226" i="15"/>
  <c r="CO226" i="15"/>
  <c r="CK226" i="15"/>
  <c r="CJ226" i="15"/>
  <c r="CI226" i="15"/>
  <c r="CD226" i="15"/>
  <c r="CA226" i="15"/>
  <c r="BW226" i="15"/>
  <c r="BV226" i="15"/>
  <c r="BU226" i="15"/>
  <c r="BP226" i="15"/>
  <c r="BM226" i="15"/>
  <c r="BI226" i="15"/>
  <c r="BH226" i="15"/>
  <c r="BG226" i="15"/>
  <c r="BB226" i="15"/>
  <c r="AY226" i="15"/>
  <c r="AU226" i="15"/>
  <c r="AT226" i="15"/>
  <c r="AS226" i="15"/>
  <c r="Z226" i="15"/>
  <c r="W226" i="15"/>
  <c r="S226" i="15"/>
  <c r="R226" i="15"/>
  <c r="Q226" i="15"/>
  <c r="K226" i="15"/>
  <c r="J226" i="15"/>
  <c r="H226" i="15"/>
  <c r="EH225" i="15"/>
  <c r="EE225" i="15"/>
  <c r="EA225" i="15"/>
  <c r="DZ225" i="15"/>
  <c r="DY225" i="15"/>
  <c r="DT225" i="15"/>
  <c r="DQ225" i="15"/>
  <c r="DM225" i="15"/>
  <c r="DL225" i="15"/>
  <c r="DK225" i="15"/>
  <c r="DF225" i="15"/>
  <c r="DC225" i="15"/>
  <c r="CY225" i="15"/>
  <c r="CX225" i="15"/>
  <c r="CW225" i="15"/>
  <c r="CR225" i="15"/>
  <c r="CO225" i="15"/>
  <c r="CK225" i="15"/>
  <c r="CJ225" i="15"/>
  <c r="CI225" i="15"/>
  <c r="CD225" i="15"/>
  <c r="CA225" i="15"/>
  <c r="BW225" i="15"/>
  <c r="BV225" i="15"/>
  <c r="BU225" i="15"/>
  <c r="BP225" i="15"/>
  <c r="BM225" i="15"/>
  <c r="BI225" i="15"/>
  <c r="BH225" i="15"/>
  <c r="BG225" i="15"/>
  <c r="BB225" i="15"/>
  <c r="AY225" i="15"/>
  <c r="AU225" i="15"/>
  <c r="AT225" i="15"/>
  <c r="AS225" i="15"/>
  <c r="Z225" i="15"/>
  <c r="W225" i="15"/>
  <c r="S225" i="15"/>
  <c r="R225" i="15"/>
  <c r="Q225" i="15"/>
  <c r="K225" i="15"/>
  <c r="J225" i="15"/>
  <c r="H225" i="15"/>
  <c r="EH224" i="15"/>
  <c r="EE224" i="15"/>
  <c r="EA224" i="15"/>
  <c r="DZ224" i="15"/>
  <c r="DY224" i="15"/>
  <c r="DT224" i="15"/>
  <c r="DQ224" i="15"/>
  <c r="DM224" i="15"/>
  <c r="DL224" i="15"/>
  <c r="DK224" i="15"/>
  <c r="DF224" i="15"/>
  <c r="DC224" i="15"/>
  <c r="CY224" i="15"/>
  <c r="CX224" i="15"/>
  <c r="CW224" i="15"/>
  <c r="CR224" i="15"/>
  <c r="CO224" i="15"/>
  <c r="CK224" i="15"/>
  <c r="CJ224" i="15"/>
  <c r="CI224" i="15"/>
  <c r="CD224" i="15"/>
  <c r="CA224" i="15"/>
  <c r="BW224" i="15"/>
  <c r="BV224" i="15"/>
  <c r="BU224" i="15"/>
  <c r="BP224" i="15"/>
  <c r="BM224" i="15"/>
  <c r="BI224" i="15"/>
  <c r="BH224" i="15"/>
  <c r="BG224" i="15"/>
  <c r="BB224" i="15"/>
  <c r="AY224" i="15"/>
  <c r="AU224" i="15"/>
  <c r="AT224" i="15"/>
  <c r="AS224" i="15"/>
  <c r="Z224" i="15"/>
  <c r="W224" i="15"/>
  <c r="S224" i="15"/>
  <c r="R224" i="15"/>
  <c r="Q224" i="15"/>
  <c r="K224" i="15"/>
  <c r="J224" i="15"/>
  <c r="H224" i="15"/>
  <c r="EH223" i="15"/>
  <c r="EE223" i="15"/>
  <c r="EA223" i="15"/>
  <c r="DZ223" i="15"/>
  <c r="DY223" i="15"/>
  <c r="DT223" i="15"/>
  <c r="DQ223" i="15"/>
  <c r="DM223" i="15"/>
  <c r="DL223" i="15"/>
  <c r="DK223" i="15"/>
  <c r="DF223" i="15"/>
  <c r="DC223" i="15"/>
  <c r="CY223" i="15"/>
  <c r="CX223" i="15"/>
  <c r="CW223" i="15"/>
  <c r="CR223" i="15"/>
  <c r="CO223" i="15"/>
  <c r="CK223" i="15"/>
  <c r="CJ223" i="15"/>
  <c r="CI223" i="15"/>
  <c r="CD223" i="15"/>
  <c r="CA223" i="15"/>
  <c r="BW223" i="15"/>
  <c r="BV223" i="15"/>
  <c r="BU223" i="15"/>
  <c r="BP223" i="15"/>
  <c r="BM223" i="15"/>
  <c r="BI223" i="15"/>
  <c r="BH223" i="15"/>
  <c r="BG223" i="15"/>
  <c r="BB223" i="15"/>
  <c r="AY223" i="15"/>
  <c r="AU223" i="15"/>
  <c r="AT223" i="15"/>
  <c r="AS223" i="15"/>
  <c r="Z223" i="15"/>
  <c r="W223" i="15"/>
  <c r="S223" i="15"/>
  <c r="R223" i="15"/>
  <c r="Q223" i="15"/>
  <c r="K223" i="15"/>
  <c r="J223" i="15"/>
  <c r="H223" i="15"/>
  <c r="EH222" i="15"/>
  <c r="EE222" i="15"/>
  <c r="EA222" i="15"/>
  <c r="DZ222" i="15"/>
  <c r="DY222" i="15"/>
  <c r="DT222" i="15"/>
  <c r="DQ222" i="15"/>
  <c r="DM222" i="15"/>
  <c r="DL222" i="15"/>
  <c r="DK222" i="15"/>
  <c r="DF222" i="15"/>
  <c r="DC222" i="15"/>
  <c r="CY222" i="15"/>
  <c r="CX222" i="15"/>
  <c r="CW222" i="15"/>
  <c r="CR222" i="15"/>
  <c r="CO222" i="15"/>
  <c r="CK222" i="15"/>
  <c r="CJ222" i="15"/>
  <c r="CI222" i="15"/>
  <c r="CD222" i="15"/>
  <c r="CA222" i="15"/>
  <c r="BW222" i="15"/>
  <c r="BV222" i="15"/>
  <c r="BU222" i="15"/>
  <c r="BP222" i="15"/>
  <c r="BM222" i="15"/>
  <c r="BI222" i="15"/>
  <c r="BH222" i="15"/>
  <c r="BG222" i="15"/>
  <c r="BB222" i="15"/>
  <c r="AY222" i="15"/>
  <c r="AU222" i="15"/>
  <c r="AT222" i="15"/>
  <c r="AS222" i="15"/>
  <c r="Z222" i="15"/>
  <c r="W222" i="15"/>
  <c r="S222" i="15"/>
  <c r="R222" i="15"/>
  <c r="Q222" i="15"/>
  <c r="K222" i="15"/>
  <c r="J222" i="15"/>
  <c r="H222" i="15"/>
  <c r="EH221" i="15"/>
  <c r="EE221" i="15"/>
  <c r="EA221" i="15"/>
  <c r="DZ221" i="15"/>
  <c r="DY221" i="15"/>
  <c r="DT221" i="15"/>
  <c r="DQ221" i="15"/>
  <c r="DM221" i="15"/>
  <c r="DL221" i="15"/>
  <c r="DK221" i="15"/>
  <c r="DF221" i="15"/>
  <c r="DC221" i="15"/>
  <c r="CY221" i="15"/>
  <c r="CX221" i="15"/>
  <c r="CW221" i="15"/>
  <c r="CR221" i="15"/>
  <c r="CO221" i="15"/>
  <c r="CK221" i="15"/>
  <c r="CJ221" i="15"/>
  <c r="CI221" i="15"/>
  <c r="CD221" i="15"/>
  <c r="CA221" i="15"/>
  <c r="BW221" i="15"/>
  <c r="BV221" i="15"/>
  <c r="BU221" i="15"/>
  <c r="BP221" i="15"/>
  <c r="BM221" i="15"/>
  <c r="BI221" i="15"/>
  <c r="BH221" i="15"/>
  <c r="BG221" i="15"/>
  <c r="BB221" i="15"/>
  <c r="AY221" i="15"/>
  <c r="AU221" i="15"/>
  <c r="AT221" i="15"/>
  <c r="AS221" i="15"/>
  <c r="Z221" i="15"/>
  <c r="W221" i="15"/>
  <c r="S221" i="15"/>
  <c r="R221" i="15"/>
  <c r="Q221" i="15"/>
  <c r="K221" i="15"/>
  <c r="J221" i="15"/>
  <c r="H221" i="15"/>
  <c r="EH220" i="15"/>
  <c r="EE220" i="15"/>
  <c r="EA220" i="15"/>
  <c r="DZ220" i="15"/>
  <c r="DY220" i="15"/>
  <c r="DT220" i="15"/>
  <c r="DQ220" i="15"/>
  <c r="DM220" i="15"/>
  <c r="DL220" i="15"/>
  <c r="DK220" i="15"/>
  <c r="DF220" i="15"/>
  <c r="DC220" i="15"/>
  <c r="CY220" i="15"/>
  <c r="CX220" i="15"/>
  <c r="CW220" i="15"/>
  <c r="CR220" i="15"/>
  <c r="CO220" i="15"/>
  <c r="CK220" i="15"/>
  <c r="CJ220" i="15"/>
  <c r="CI220" i="15"/>
  <c r="CD220" i="15"/>
  <c r="CA220" i="15"/>
  <c r="BW220" i="15"/>
  <c r="BV220" i="15"/>
  <c r="BU220" i="15"/>
  <c r="BP220" i="15"/>
  <c r="BM220" i="15"/>
  <c r="BI220" i="15"/>
  <c r="BH220" i="15"/>
  <c r="BG220" i="15"/>
  <c r="BB220" i="15"/>
  <c r="AY220" i="15"/>
  <c r="AU220" i="15"/>
  <c r="AT220" i="15"/>
  <c r="AS220" i="15"/>
  <c r="Z220" i="15"/>
  <c r="W220" i="15"/>
  <c r="S220" i="15"/>
  <c r="R220" i="15"/>
  <c r="Q220" i="15"/>
  <c r="K220" i="15"/>
  <c r="J220" i="15"/>
  <c r="H220" i="15"/>
  <c r="EH219" i="15"/>
  <c r="EE219" i="15"/>
  <c r="EA219" i="15"/>
  <c r="DZ219" i="15"/>
  <c r="DY219" i="15"/>
  <c r="DT219" i="15"/>
  <c r="DQ219" i="15"/>
  <c r="DM219" i="15"/>
  <c r="DL219" i="15"/>
  <c r="DK219" i="15"/>
  <c r="DF219" i="15"/>
  <c r="DC219" i="15"/>
  <c r="CY219" i="15"/>
  <c r="CX219" i="15"/>
  <c r="CW219" i="15"/>
  <c r="CR219" i="15"/>
  <c r="CO219" i="15"/>
  <c r="CK219" i="15"/>
  <c r="CJ219" i="15"/>
  <c r="CI219" i="15"/>
  <c r="CD219" i="15"/>
  <c r="CA219" i="15"/>
  <c r="BW219" i="15"/>
  <c r="BV219" i="15"/>
  <c r="BU219" i="15"/>
  <c r="BP219" i="15"/>
  <c r="BM219" i="15"/>
  <c r="BI219" i="15"/>
  <c r="BH219" i="15"/>
  <c r="BG219" i="15"/>
  <c r="BB219" i="15"/>
  <c r="AY219" i="15"/>
  <c r="AU219" i="15"/>
  <c r="AT219" i="15"/>
  <c r="AS219" i="15"/>
  <c r="Z219" i="15"/>
  <c r="W219" i="15"/>
  <c r="S219" i="15"/>
  <c r="R219" i="15"/>
  <c r="Q219" i="15"/>
  <c r="K219" i="15"/>
  <c r="J219" i="15"/>
  <c r="H219" i="15"/>
  <c r="EH218" i="15"/>
  <c r="EE218" i="15"/>
  <c r="EA218" i="15"/>
  <c r="DZ218" i="15"/>
  <c r="DY218" i="15"/>
  <c r="DT218" i="15"/>
  <c r="DQ218" i="15"/>
  <c r="DM218" i="15"/>
  <c r="DL218" i="15"/>
  <c r="DK218" i="15"/>
  <c r="DF218" i="15"/>
  <c r="DC218" i="15"/>
  <c r="CY218" i="15"/>
  <c r="CX218" i="15"/>
  <c r="CW218" i="15"/>
  <c r="CR218" i="15"/>
  <c r="CO218" i="15"/>
  <c r="CK218" i="15"/>
  <c r="CJ218" i="15"/>
  <c r="CI218" i="15"/>
  <c r="CD218" i="15"/>
  <c r="CA218" i="15"/>
  <c r="BW218" i="15"/>
  <c r="BV218" i="15"/>
  <c r="BU218" i="15"/>
  <c r="BP218" i="15"/>
  <c r="BM218" i="15"/>
  <c r="BI218" i="15"/>
  <c r="BH218" i="15"/>
  <c r="BG218" i="15"/>
  <c r="BB218" i="15"/>
  <c r="AY218" i="15"/>
  <c r="AU218" i="15"/>
  <c r="AT218" i="15"/>
  <c r="AS218" i="15"/>
  <c r="Z218" i="15"/>
  <c r="W218" i="15"/>
  <c r="S218" i="15"/>
  <c r="R218" i="15"/>
  <c r="Q218" i="15"/>
  <c r="K218" i="15"/>
  <c r="J218" i="15"/>
  <c r="H218" i="15"/>
  <c r="EH217" i="15"/>
  <c r="EE217" i="15"/>
  <c r="EA217" i="15"/>
  <c r="DZ217" i="15"/>
  <c r="DY217" i="15"/>
  <c r="DT217" i="15"/>
  <c r="DQ217" i="15"/>
  <c r="DM217" i="15"/>
  <c r="DL217" i="15"/>
  <c r="DK217" i="15"/>
  <c r="DF217" i="15"/>
  <c r="DC217" i="15"/>
  <c r="CY217" i="15"/>
  <c r="CX217" i="15"/>
  <c r="CW217" i="15"/>
  <c r="CR217" i="15"/>
  <c r="CO217" i="15"/>
  <c r="CK217" i="15"/>
  <c r="CJ217" i="15"/>
  <c r="CI217" i="15"/>
  <c r="CD217" i="15"/>
  <c r="CA217" i="15"/>
  <c r="BW217" i="15"/>
  <c r="BV217" i="15"/>
  <c r="BU217" i="15"/>
  <c r="BP217" i="15"/>
  <c r="BM217" i="15"/>
  <c r="BI217" i="15"/>
  <c r="BH217" i="15"/>
  <c r="BG217" i="15"/>
  <c r="BB217" i="15"/>
  <c r="AY217" i="15"/>
  <c r="AU217" i="15"/>
  <c r="AT217" i="15"/>
  <c r="AS217" i="15"/>
  <c r="Z217" i="15"/>
  <c r="W217" i="15"/>
  <c r="S217" i="15"/>
  <c r="R217" i="15"/>
  <c r="Q217" i="15"/>
  <c r="K217" i="15"/>
  <c r="J217" i="15"/>
  <c r="H217" i="15"/>
  <c r="EH216" i="15"/>
  <c r="EE216" i="15"/>
  <c r="EA216" i="15"/>
  <c r="DZ216" i="15"/>
  <c r="DY216" i="15"/>
  <c r="DT216" i="15"/>
  <c r="DQ216" i="15"/>
  <c r="DM216" i="15"/>
  <c r="DL216" i="15"/>
  <c r="DK216" i="15"/>
  <c r="DF216" i="15"/>
  <c r="DC216" i="15"/>
  <c r="CY216" i="15"/>
  <c r="CX216" i="15"/>
  <c r="CW216" i="15"/>
  <c r="CR216" i="15"/>
  <c r="CO216" i="15"/>
  <c r="CK216" i="15"/>
  <c r="CJ216" i="15"/>
  <c r="CI216" i="15"/>
  <c r="CD216" i="15"/>
  <c r="CA216" i="15"/>
  <c r="BW216" i="15"/>
  <c r="BV216" i="15"/>
  <c r="BU216" i="15"/>
  <c r="BP216" i="15"/>
  <c r="BM216" i="15"/>
  <c r="BI216" i="15"/>
  <c r="BH216" i="15"/>
  <c r="BG216" i="15"/>
  <c r="BB216" i="15"/>
  <c r="AY216" i="15"/>
  <c r="AU216" i="15"/>
  <c r="AT216" i="15"/>
  <c r="AS216" i="15"/>
  <c r="Z216" i="15"/>
  <c r="W216" i="15"/>
  <c r="S216" i="15"/>
  <c r="R216" i="15"/>
  <c r="Q216" i="15"/>
  <c r="K216" i="15"/>
  <c r="J216" i="15"/>
  <c r="H216" i="15"/>
  <c r="EH215" i="15"/>
  <c r="EE215" i="15"/>
  <c r="EA215" i="15"/>
  <c r="DZ215" i="15"/>
  <c r="DY215" i="15"/>
  <c r="DT215" i="15"/>
  <c r="DQ215" i="15"/>
  <c r="DM215" i="15"/>
  <c r="DL215" i="15"/>
  <c r="DK215" i="15"/>
  <c r="DF215" i="15"/>
  <c r="DC215" i="15"/>
  <c r="CY215" i="15"/>
  <c r="CX215" i="15"/>
  <c r="CW215" i="15"/>
  <c r="CR215" i="15"/>
  <c r="CO215" i="15"/>
  <c r="CK215" i="15"/>
  <c r="CJ215" i="15"/>
  <c r="CI215" i="15"/>
  <c r="CD215" i="15"/>
  <c r="CA215" i="15"/>
  <c r="BW215" i="15"/>
  <c r="BV215" i="15"/>
  <c r="BU215" i="15"/>
  <c r="BP215" i="15"/>
  <c r="BM215" i="15"/>
  <c r="BI215" i="15"/>
  <c r="BH215" i="15"/>
  <c r="BG215" i="15"/>
  <c r="BB215" i="15"/>
  <c r="AY215" i="15"/>
  <c r="AU215" i="15"/>
  <c r="AT215" i="15"/>
  <c r="AS215" i="15"/>
  <c r="Z215" i="15"/>
  <c r="W215" i="15"/>
  <c r="S215" i="15"/>
  <c r="R215" i="15"/>
  <c r="Q215" i="15"/>
  <c r="K215" i="15"/>
  <c r="J215" i="15"/>
  <c r="H215" i="15"/>
  <c r="EH214" i="15"/>
  <c r="EE214" i="15"/>
  <c r="EA214" i="15"/>
  <c r="DZ214" i="15"/>
  <c r="DY214" i="15"/>
  <c r="DT214" i="15"/>
  <c r="DQ214" i="15"/>
  <c r="DM214" i="15"/>
  <c r="DL214" i="15"/>
  <c r="DK214" i="15"/>
  <c r="DF214" i="15"/>
  <c r="DC214" i="15"/>
  <c r="CY214" i="15"/>
  <c r="CX214" i="15"/>
  <c r="CW214" i="15"/>
  <c r="CR214" i="15"/>
  <c r="CO214" i="15"/>
  <c r="CK214" i="15"/>
  <c r="CJ214" i="15"/>
  <c r="CI214" i="15"/>
  <c r="CD214" i="15"/>
  <c r="CA214" i="15"/>
  <c r="BW214" i="15"/>
  <c r="BV214" i="15"/>
  <c r="BU214" i="15"/>
  <c r="BP214" i="15"/>
  <c r="BM214" i="15"/>
  <c r="BI214" i="15"/>
  <c r="BH214" i="15"/>
  <c r="BG214" i="15"/>
  <c r="BB214" i="15"/>
  <c r="AY214" i="15"/>
  <c r="AU214" i="15"/>
  <c r="AT214" i="15"/>
  <c r="AS214" i="15"/>
  <c r="Z214" i="15"/>
  <c r="W214" i="15"/>
  <c r="S214" i="15"/>
  <c r="R214" i="15"/>
  <c r="Q214" i="15"/>
  <c r="K214" i="15"/>
  <c r="J214" i="15"/>
  <c r="H214" i="15"/>
  <c r="EH213" i="15"/>
  <c r="EE213" i="15"/>
  <c r="EA213" i="15"/>
  <c r="DZ213" i="15"/>
  <c r="DY213" i="15"/>
  <c r="DT213" i="15"/>
  <c r="DQ213" i="15"/>
  <c r="DM213" i="15"/>
  <c r="DL213" i="15"/>
  <c r="DK213" i="15"/>
  <c r="DF213" i="15"/>
  <c r="DC213" i="15"/>
  <c r="CY213" i="15"/>
  <c r="CX213" i="15"/>
  <c r="CW213" i="15"/>
  <c r="CR213" i="15"/>
  <c r="CO213" i="15"/>
  <c r="CK213" i="15"/>
  <c r="CJ213" i="15"/>
  <c r="CI213" i="15"/>
  <c r="CD213" i="15"/>
  <c r="CA213" i="15"/>
  <c r="BW213" i="15"/>
  <c r="BV213" i="15"/>
  <c r="BU213" i="15"/>
  <c r="BP213" i="15"/>
  <c r="BM213" i="15"/>
  <c r="BI213" i="15"/>
  <c r="BH213" i="15"/>
  <c r="BG213" i="15"/>
  <c r="BB213" i="15"/>
  <c r="AY213" i="15"/>
  <c r="AU213" i="15"/>
  <c r="AT213" i="15"/>
  <c r="AS213" i="15"/>
  <c r="Z213" i="15"/>
  <c r="W213" i="15"/>
  <c r="S213" i="15"/>
  <c r="R213" i="15"/>
  <c r="Q213" i="15"/>
  <c r="K213" i="15"/>
  <c r="J213" i="15"/>
  <c r="H213" i="15"/>
  <c r="EH212" i="15"/>
  <c r="EE212" i="15"/>
  <c r="EA212" i="15"/>
  <c r="DZ212" i="15"/>
  <c r="DY212" i="15"/>
  <c r="DT212" i="15"/>
  <c r="DQ212" i="15"/>
  <c r="DM212" i="15"/>
  <c r="DL212" i="15"/>
  <c r="DK212" i="15"/>
  <c r="DF212" i="15"/>
  <c r="DC212" i="15"/>
  <c r="CY212" i="15"/>
  <c r="CX212" i="15"/>
  <c r="CW212" i="15"/>
  <c r="CR212" i="15"/>
  <c r="CO212" i="15"/>
  <c r="CK212" i="15"/>
  <c r="CJ212" i="15"/>
  <c r="CI212" i="15"/>
  <c r="CD212" i="15"/>
  <c r="CA212" i="15"/>
  <c r="BW212" i="15"/>
  <c r="BV212" i="15"/>
  <c r="BU212" i="15"/>
  <c r="BP212" i="15"/>
  <c r="BM212" i="15"/>
  <c r="BI212" i="15"/>
  <c r="BH212" i="15"/>
  <c r="BG212" i="15"/>
  <c r="BB212" i="15"/>
  <c r="AY212" i="15"/>
  <c r="AU212" i="15"/>
  <c r="AT212" i="15"/>
  <c r="AS212" i="15"/>
  <c r="Z212" i="15"/>
  <c r="W212" i="15"/>
  <c r="S212" i="15"/>
  <c r="R212" i="15"/>
  <c r="Q212" i="15"/>
  <c r="K212" i="15"/>
  <c r="J212" i="15"/>
  <c r="H212" i="15"/>
  <c r="EH211" i="15"/>
  <c r="EE211" i="15"/>
  <c r="EA211" i="15"/>
  <c r="DZ211" i="15"/>
  <c r="DY211" i="15"/>
  <c r="DT211" i="15"/>
  <c r="DQ211" i="15"/>
  <c r="DM211" i="15"/>
  <c r="DL211" i="15"/>
  <c r="DK211" i="15"/>
  <c r="DF211" i="15"/>
  <c r="DC211" i="15"/>
  <c r="CY211" i="15"/>
  <c r="CX211" i="15"/>
  <c r="CW211" i="15"/>
  <c r="CR211" i="15"/>
  <c r="CO211" i="15"/>
  <c r="CK211" i="15"/>
  <c r="CJ211" i="15"/>
  <c r="CI211" i="15"/>
  <c r="CD211" i="15"/>
  <c r="CA211" i="15"/>
  <c r="BW211" i="15"/>
  <c r="BV211" i="15"/>
  <c r="BU211" i="15"/>
  <c r="BP211" i="15"/>
  <c r="BM211" i="15"/>
  <c r="BI211" i="15"/>
  <c r="BH211" i="15"/>
  <c r="BG211" i="15"/>
  <c r="BB211" i="15"/>
  <c r="AY211" i="15"/>
  <c r="AU211" i="15"/>
  <c r="AT211" i="15"/>
  <c r="AS211" i="15"/>
  <c r="Z211" i="15"/>
  <c r="W211" i="15"/>
  <c r="S211" i="15"/>
  <c r="R211" i="15"/>
  <c r="Q211" i="15"/>
  <c r="K211" i="15"/>
  <c r="J211" i="15"/>
  <c r="H211" i="15"/>
  <c r="EH210" i="15"/>
  <c r="EE210" i="15"/>
  <c r="EA210" i="15"/>
  <c r="DZ210" i="15"/>
  <c r="DY210" i="15"/>
  <c r="DT210" i="15"/>
  <c r="DQ210" i="15"/>
  <c r="DM210" i="15"/>
  <c r="DL210" i="15"/>
  <c r="DK210" i="15"/>
  <c r="DF210" i="15"/>
  <c r="DC210" i="15"/>
  <c r="CY210" i="15"/>
  <c r="CX210" i="15"/>
  <c r="CW210" i="15"/>
  <c r="CR210" i="15"/>
  <c r="CO210" i="15"/>
  <c r="CK210" i="15"/>
  <c r="CJ210" i="15"/>
  <c r="CI210" i="15"/>
  <c r="CD210" i="15"/>
  <c r="CA210" i="15"/>
  <c r="BW210" i="15"/>
  <c r="BV210" i="15"/>
  <c r="BU210" i="15"/>
  <c r="BP210" i="15"/>
  <c r="BM210" i="15"/>
  <c r="BI210" i="15"/>
  <c r="BH210" i="15"/>
  <c r="BG210" i="15"/>
  <c r="BB210" i="15"/>
  <c r="AY210" i="15"/>
  <c r="AU210" i="15"/>
  <c r="AT210" i="15"/>
  <c r="AS210" i="15"/>
  <c r="Z210" i="15"/>
  <c r="W210" i="15"/>
  <c r="S210" i="15"/>
  <c r="R210" i="15"/>
  <c r="Q210" i="15"/>
  <c r="K210" i="15"/>
  <c r="J210" i="15"/>
  <c r="H210" i="15"/>
  <c r="EH209" i="15"/>
  <c r="EE209" i="15"/>
  <c r="EA209" i="15"/>
  <c r="DZ209" i="15"/>
  <c r="DY209" i="15"/>
  <c r="DT209" i="15"/>
  <c r="DQ209" i="15"/>
  <c r="DM209" i="15"/>
  <c r="DL209" i="15"/>
  <c r="DK209" i="15"/>
  <c r="DF209" i="15"/>
  <c r="DC209" i="15"/>
  <c r="CY209" i="15"/>
  <c r="CX209" i="15"/>
  <c r="CW209" i="15"/>
  <c r="CR209" i="15"/>
  <c r="CO209" i="15"/>
  <c r="CK209" i="15"/>
  <c r="CJ209" i="15"/>
  <c r="CI209" i="15"/>
  <c r="CD209" i="15"/>
  <c r="CA209" i="15"/>
  <c r="BW209" i="15"/>
  <c r="BV209" i="15"/>
  <c r="BU209" i="15"/>
  <c r="BP209" i="15"/>
  <c r="BM209" i="15"/>
  <c r="BI209" i="15"/>
  <c r="BH209" i="15"/>
  <c r="BG209" i="15"/>
  <c r="BB209" i="15"/>
  <c r="AY209" i="15"/>
  <c r="AU209" i="15"/>
  <c r="AT209" i="15"/>
  <c r="AS209" i="15"/>
  <c r="Z209" i="15"/>
  <c r="W209" i="15"/>
  <c r="S209" i="15"/>
  <c r="R209" i="15"/>
  <c r="Q209" i="15"/>
  <c r="K209" i="15"/>
  <c r="J209" i="15"/>
  <c r="H209" i="15"/>
  <c r="EH208" i="15"/>
  <c r="EE208" i="15"/>
  <c r="EA208" i="15"/>
  <c r="DZ208" i="15"/>
  <c r="DY208" i="15"/>
  <c r="DT208" i="15"/>
  <c r="DQ208" i="15"/>
  <c r="DM208" i="15"/>
  <c r="DL208" i="15"/>
  <c r="DK208" i="15"/>
  <c r="DF208" i="15"/>
  <c r="DC208" i="15"/>
  <c r="CY208" i="15"/>
  <c r="CX208" i="15"/>
  <c r="CW208" i="15"/>
  <c r="CR208" i="15"/>
  <c r="CO208" i="15"/>
  <c r="CK208" i="15"/>
  <c r="CJ208" i="15"/>
  <c r="CI208" i="15"/>
  <c r="CD208" i="15"/>
  <c r="CA208" i="15"/>
  <c r="BW208" i="15"/>
  <c r="BV208" i="15"/>
  <c r="BU208" i="15"/>
  <c r="BP208" i="15"/>
  <c r="BM208" i="15"/>
  <c r="BI208" i="15"/>
  <c r="BH208" i="15"/>
  <c r="BG208" i="15"/>
  <c r="BB208" i="15"/>
  <c r="AY208" i="15"/>
  <c r="AU208" i="15"/>
  <c r="AT208" i="15"/>
  <c r="AS208" i="15"/>
  <c r="Z208" i="15"/>
  <c r="W208" i="15"/>
  <c r="S208" i="15"/>
  <c r="R208" i="15"/>
  <c r="Q208" i="15"/>
  <c r="K208" i="15"/>
  <c r="J208" i="15"/>
  <c r="H208" i="15"/>
  <c r="EH207" i="15"/>
  <c r="EE207" i="15"/>
  <c r="EA207" i="15"/>
  <c r="DZ207" i="15"/>
  <c r="DY207" i="15"/>
  <c r="DT207" i="15"/>
  <c r="DQ207" i="15"/>
  <c r="DM207" i="15"/>
  <c r="DL207" i="15"/>
  <c r="DK207" i="15"/>
  <c r="DF207" i="15"/>
  <c r="DC207" i="15"/>
  <c r="CY207" i="15"/>
  <c r="CX207" i="15"/>
  <c r="CW207" i="15"/>
  <c r="CR207" i="15"/>
  <c r="CO207" i="15"/>
  <c r="CK207" i="15"/>
  <c r="CJ207" i="15"/>
  <c r="CI207" i="15"/>
  <c r="CD207" i="15"/>
  <c r="CA207" i="15"/>
  <c r="BW207" i="15"/>
  <c r="BV207" i="15"/>
  <c r="BU207" i="15"/>
  <c r="BP207" i="15"/>
  <c r="BM207" i="15"/>
  <c r="BI207" i="15"/>
  <c r="BH207" i="15"/>
  <c r="BG207" i="15"/>
  <c r="BB207" i="15"/>
  <c r="AY207" i="15"/>
  <c r="AU207" i="15"/>
  <c r="AT207" i="15"/>
  <c r="AS207" i="15"/>
  <c r="Z207" i="15"/>
  <c r="W207" i="15"/>
  <c r="S207" i="15"/>
  <c r="R207" i="15"/>
  <c r="Q207" i="15"/>
  <c r="K207" i="15"/>
  <c r="J207" i="15"/>
  <c r="H207" i="15"/>
  <c r="EH206" i="15"/>
  <c r="EE206" i="15"/>
  <c r="EA206" i="15"/>
  <c r="DZ206" i="15"/>
  <c r="DY206" i="15"/>
  <c r="DT206" i="15"/>
  <c r="DQ206" i="15"/>
  <c r="DM206" i="15"/>
  <c r="DL206" i="15"/>
  <c r="DK206" i="15"/>
  <c r="DF206" i="15"/>
  <c r="DC206" i="15"/>
  <c r="CY206" i="15"/>
  <c r="CX206" i="15"/>
  <c r="CW206" i="15"/>
  <c r="CR206" i="15"/>
  <c r="CO206" i="15"/>
  <c r="CK206" i="15"/>
  <c r="CJ206" i="15"/>
  <c r="CI206" i="15"/>
  <c r="CD206" i="15"/>
  <c r="CA206" i="15"/>
  <c r="BW206" i="15"/>
  <c r="BV206" i="15"/>
  <c r="BU206" i="15"/>
  <c r="BP206" i="15"/>
  <c r="BM206" i="15"/>
  <c r="BI206" i="15"/>
  <c r="BH206" i="15"/>
  <c r="BG206" i="15"/>
  <c r="BB206" i="15"/>
  <c r="AY206" i="15"/>
  <c r="AU206" i="15"/>
  <c r="AT206" i="15"/>
  <c r="AS206" i="15"/>
  <c r="Z206" i="15"/>
  <c r="W206" i="15"/>
  <c r="S206" i="15"/>
  <c r="R206" i="15"/>
  <c r="Q206" i="15"/>
  <c r="K206" i="15"/>
  <c r="J206" i="15"/>
  <c r="H206" i="15"/>
  <c r="EH205" i="15"/>
  <c r="EE205" i="15"/>
  <c r="EA205" i="15"/>
  <c r="DZ205" i="15"/>
  <c r="DY205" i="15"/>
  <c r="DT205" i="15"/>
  <c r="DQ205" i="15"/>
  <c r="DM205" i="15"/>
  <c r="DL205" i="15"/>
  <c r="DK205" i="15"/>
  <c r="DF205" i="15"/>
  <c r="DC205" i="15"/>
  <c r="CY205" i="15"/>
  <c r="CX205" i="15"/>
  <c r="CW205" i="15"/>
  <c r="CR205" i="15"/>
  <c r="CO205" i="15"/>
  <c r="CK205" i="15"/>
  <c r="CJ205" i="15"/>
  <c r="CI205" i="15"/>
  <c r="CD205" i="15"/>
  <c r="CA205" i="15"/>
  <c r="BW205" i="15"/>
  <c r="BV205" i="15"/>
  <c r="BU205" i="15"/>
  <c r="BP205" i="15"/>
  <c r="BM205" i="15"/>
  <c r="BI205" i="15"/>
  <c r="BH205" i="15"/>
  <c r="BG205" i="15"/>
  <c r="BB205" i="15"/>
  <c r="AY205" i="15"/>
  <c r="AU205" i="15"/>
  <c r="AT205" i="15"/>
  <c r="AS205" i="15"/>
  <c r="Z205" i="15"/>
  <c r="W205" i="15"/>
  <c r="S205" i="15"/>
  <c r="R205" i="15"/>
  <c r="Q205" i="15"/>
  <c r="K205" i="15"/>
  <c r="J205" i="15"/>
  <c r="H205" i="15"/>
  <c r="EH204" i="15"/>
  <c r="EE204" i="15"/>
  <c r="EA204" i="15"/>
  <c r="DZ204" i="15"/>
  <c r="DY204" i="15"/>
  <c r="DT204" i="15"/>
  <c r="DQ204" i="15"/>
  <c r="DM204" i="15"/>
  <c r="DL204" i="15"/>
  <c r="DK204" i="15"/>
  <c r="DF204" i="15"/>
  <c r="DC204" i="15"/>
  <c r="CY204" i="15"/>
  <c r="CX204" i="15"/>
  <c r="CW204" i="15"/>
  <c r="CR204" i="15"/>
  <c r="CO204" i="15"/>
  <c r="CK204" i="15"/>
  <c r="CJ204" i="15"/>
  <c r="CI204" i="15"/>
  <c r="CD204" i="15"/>
  <c r="CA204" i="15"/>
  <c r="BW204" i="15"/>
  <c r="BV204" i="15"/>
  <c r="BU204" i="15"/>
  <c r="BP204" i="15"/>
  <c r="BM204" i="15"/>
  <c r="BI204" i="15"/>
  <c r="BH204" i="15"/>
  <c r="BG204" i="15"/>
  <c r="BB204" i="15"/>
  <c r="AY204" i="15"/>
  <c r="AU204" i="15"/>
  <c r="AT204" i="15"/>
  <c r="AS204" i="15"/>
  <c r="Z204" i="15"/>
  <c r="W204" i="15"/>
  <c r="S204" i="15"/>
  <c r="R204" i="15"/>
  <c r="Q204" i="15"/>
  <c r="K204" i="15"/>
  <c r="J204" i="15"/>
  <c r="H204" i="15"/>
  <c r="EH203" i="15"/>
  <c r="EE203" i="15"/>
  <c r="EA203" i="15"/>
  <c r="DZ203" i="15"/>
  <c r="DY203" i="15"/>
  <c r="DT203" i="15"/>
  <c r="DQ203" i="15"/>
  <c r="DM203" i="15"/>
  <c r="DL203" i="15"/>
  <c r="DK203" i="15"/>
  <c r="DF203" i="15"/>
  <c r="DC203" i="15"/>
  <c r="CY203" i="15"/>
  <c r="CX203" i="15"/>
  <c r="CW203" i="15"/>
  <c r="CR203" i="15"/>
  <c r="CO203" i="15"/>
  <c r="CK203" i="15"/>
  <c r="CJ203" i="15"/>
  <c r="CI203" i="15"/>
  <c r="CD203" i="15"/>
  <c r="CA203" i="15"/>
  <c r="BW203" i="15"/>
  <c r="BV203" i="15"/>
  <c r="BU203" i="15"/>
  <c r="BP203" i="15"/>
  <c r="BM203" i="15"/>
  <c r="BI203" i="15"/>
  <c r="BH203" i="15"/>
  <c r="BG203" i="15"/>
  <c r="BB203" i="15"/>
  <c r="AY203" i="15"/>
  <c r="AU203" i="15"/>
  <c r="AT203" i="15"/>
  <c r="AS203" i="15"/>
  <c r="Z203" i="15"/>
  <c r="W203" i="15"/>
  <c r="S203" i="15"/>
  <c r="R203" i="15"/>
  <c r="Q203" i="15"/>
  <c r="K203" i="15"/>
  <c r="J203" i="15"/>
  <c r="H203" i="15"/>
  <c r="EH202" i="15"/>
  <c r="EE202" i="15"/>
  <c r="EA202" i="15"/>
  <c r="DZ202" i="15"/>
  <c r="DY202" i="15"/>
  <c r="DT202" i="15"/>
  <c r="DQ202" i="15"/>
  <c r="DM202" i="15"/>
  <c r="DL202" i="15"/>
  <c r="DK202" i="15"/>
  <c r="DF202" i="15"/>
  <c r="DC202" i="15"/>
  <c r="CY202" i="15"/>
  <c r="CX202" i="15"/>
  <c r="CW202" i="15"/>
  <c r="CR202" i="15"/>
  <c r="CO202" i="15"/>
  <c r="CK202" i="15"/>
  <c r="CJ202" i="15"/>
  <c r="CI202" i="15"/>
  <c r="CD202" i="15"/>
  <c r="CA202" i="15"/>
  <c r="BW202" i="15"/>
  <c r="BV202" i="15"/>
  <c r="BU202" i="15"/>
  <c r="BP202" i="15"/>
  <c r="BM202" i="15"/>
  <c r="BI202" i="15"/>
  <c r="BH202" i="15"/>
  <c r="BG202" i="15"/>
  <c r="BB202" i="15"/>
  <c r="AY202" i="15"/>
  <c r="AU202" i="15"/>
  <c r="AT202" i="15"/>
  <c r="AS202" i="15"/>
  <c r="Z202" i="15"/>
  <c r="W202" i="15"/>
  <c r="S202" i="15"/>
  <c r="R202" i="15"/>
  <c r="Q202" i="15"/>
  <c r="K202" i="15"/>
  <c r="J202" i="15"/>
  <c r="H202" i="15"/>
  <c r="EH201" i="15"/>
  <c r="EE201" i="15"/>
  <c r="EA201" i="15"/>
  <c r="DZ201" i="15"/>
  <c r="DY201" i="15"/>
  <c r="DT201" i="15"/>
  <c r="DQ201" i="15"/>
  <c r="DM201" i="15"/>
  <c r="DL201" i="15"/>
  <c r="DK201" i="15"/>
  <c r="DF201" i="15"/>
  <c r="DC201" i="15"/>
  <c r="CY201" i="15"/>
  <c r="CX201" i="15"/>
  <c r="CW201" i="15"/>
  <c r="CR201" i="15"/>
  <c r="CO201" i="15"/>
  <c r="CK201" i="15"/>
  <c r="CJ201" i="15"/>
  <c r="CI201" i="15"/>
  <c r="CD201" i="15"/>
  <c r="CA201" i="15"/>
  <c r="BW201" i="15"/>
  <c r="BV201" i="15"/>
  <c r="BU201" i="15"/>
  <c r="BP201" i="15"/>
  <c r="BM201" i="15"/>
  <c r="BI201" i="15"/>
  <c r="BH201" i="15"/>
  <c r="BG201" i="15"/>
  <c r="BB201" i="15"/>
  <c r="AY201" i="15"/>
  <c r="AU201" i="15"/>
  <c r="AT201" i="15"/>
  <c r="AS201" i="15"/>
  <c r="Z201" i="15"/>
  <c r="W201" i="15"/>
  <c r="S201" i="15"/>
  <c r="R201" i="15"/>
  <c r="Q201" i="15"/>
  <c r="K201" i="15"/>
  <c r="J201" i="15"/>
  <c r="H201" i="15"/>
  <c r="EH200" i="15"/>
  <c r="EE200" i="15"/>
  <c r="EA200" i="15"/>
  <c r="DZ200" i="15"/>
  <c r="DY200" i="15"/>
  <c r="DT200" i="15"/>
  <c r="DQ200" i="15"/>
  <c r="DM200" i="15"/>
  <c r="DL200" i="15"/>
  <c r="DK200" i="15"/>
  <c r="DF200" i="15"/>
  <c r="DC200" i="15"/>
  <c r="CY200" i="15"/>
  <c r="CX200" i="15"/>
  <c r="CW200" i="15"/>
  <c r="CR200" i="15"/>
  <c r="CO200" i="15"/>
  <c r="CK200" i="15"/>
  <c r="CJ200" i="15"/>
  <c r="CI200" i="15"/>
  <c r="CD200" i="15"/>
  <c r="CA200" i="15"/>
  <c r="BW200" i="15"/>
  <c r="BV200" i="15"/>
  <c r="BU200" i="15"/>
  <c r="BP200" i="15"/>
  <c r="BM200" i="15"/>
  <c r="BI200" i="15"/>
  <c r="BH200" i="15"/>
  <c r="BG200" i="15"/>
  <c r="BB200" i="15"/>
  <c r="AY200" i="15"/>
  <c r="AU200" i="15"/>
  <c r="AT200" i="15"/>
  <c r="AS200" i="15"/>
  <c r="Z200" i="15"/>
  <c r="W200" i="15"/>
  <c r="S200" i="15"/>
  <c r="R200" i="15"/>
  <c r="Q200" i="15"/>
  <c r="K200" i="15"/>
  <c r="J200" i="15"/>
  <c r="H200" i="15"/>
  <c r="EH199" i="15"/>
  <c r="EE199" i="15"/>
  <c r="EA199" i="15"/>
  <c r="DZ199" i="15"/>
  <c r="DY199" i="15"/>
  <c r="DT199" i="15"/>
  <c r="DQ199" i="15"/>
  <c r="DM199" i="15"/>
  <c r="DL199" i="15"/>
  <c r="DK199" i="15"/>
  <c r="DF199" i="15"/>
  <c r="DC199" i="15"/>
  <c r="CY199" i="15"/>
  <c r="CX199" i="15"/>
  <c r="CW199" i="15"/>
  <c r="CR199" i="15"/>
  <c r="CO199" i="15"/>
  <c r="CK199" i="15"/>
  <c r="CJ199" i="15"/>
  <c r="CI199" i="15"/>
  <c r="CD199" i="15"/>
  <c r="CA199" i="15"/>
  <c r="BW199" i="15"/>
  <c r="BV199" i="15"/>
  <c r="BU199" i="15"/>
  <c r="BP199" i="15"/>
  <c r="BM199" i="15"/>
  <c r="BI199" i="15"/>
  <c r="BH199" i="15"/>
  <c r="BG199" i="15"/>
  <c r="BB199" i="15"/>
  <c r="AY199" i="15"/>
  <c r="AU199" i="15"/>
  <c r="AT199" i="15"/>
  <c r="AS199" i="15"/>
  <c r="Z199" i="15"/>
  <c r="W199" i="15"/>
  <c r="S199" i="15"/>
  <c r="R199" i="15"/>
  <c r="Q199" i="15"/>
  <c r="K199" i="15"/>
  <c r="J199" i="15"/>
  <c r="H199" i="15"/>
  <c r="EH198" i="15"/>
  <c r="EE198" i="15"/>
  <c r="EA198" i="15"/>
  <c r="DZ198" i="15"/>
  <c r="DY198" i="15"/>
  <c r="DT198" i="15"/>
  <c r="DQ198" i="15"/>
  <c r="DM198" i="15"/>
  <c r="DL198" i="15"/>
  <c r="DK198" i="15"/>
  <c r="DF198" i="15"/>
  <c r="DC198" i="15"/>
  <c r="CY198" i="15"/>
  <c r="CX198" i="15"/>
  <c r="CW198" i="15"/>
  <c r="CR198" i="15"/>
  <c r="CO198" i="15"/>
  <c r="CK198" i="15"/>
  <c r="CJ198" i="15"/>
  <c r="CI198" i="15"/>
  <c r="CD198" i="15"/>
  <c r="CA198" i="15"/>
  <c r="BW198" i="15"/>
  <c r="BV198" i="15"/>
  <c r="BU198" i="15"/>
  <c r="BP198" i="15"/>
  <c r="BM198" i="15"/>
  <c r="BI198" i="15"/>
  <c r="BH198" i="15"/>
  <c r="BG198" i="15"/>
  <c r="BB198" i="15"/>
  <c r="AY198" i="15"/>
  <c r="AU198" i="15"/>
  <c r="AT198" i="15"/>
  <c r="AS198" i="15"/>
  <c r="Z198" i="15"/>
  <c r="W198" i="15"/>
  <c r="S198" i="15"/>
  <c r="R198" i="15"/>
  <c r="Q198" i="15"/>
  <c r="K198" i="15"/>
  <c r="J198" i="15"/>
  <c r="H198" i="15"/>
  <c r="EH197" i="15"/>
  <c r="EE197" i="15"/>
  <c r="EA197" i="15"/>
  <c r="DZ197" i="15"/>
  <c r="DY197" i="15"/>
  <c r="DT197" i="15"/>
  <c r="DQ197" i="15"/>
  <c r="DM197" i="15"/>
  <c r="DL197" i="15"/>
  <c r="DK197" i="15"/>
  <c r="DF197" i="15"/>
  <c r="DC197" i="15"/>
  <c r="CY197" i="15"/>
  <c r="CX197" i="15"/>
  <c r="CW197" i="15"/>
  <c r="CR197" i="15"/>
  <c r="CO197" i="15"/>
  <c r="CK197" i="15"/>
  <c r="CJ197" i="15"/>
  <c r="CI197" i="15"/>
  <c r="CD197" i="15"/>
  <c r="CA197" i="15"/>
  <c r="BW197" i="15"/>
  <c r="BV197" i="15"/>
  <c r="BU197" i="15"/>
  <c r="BP197" i="15"/>
  <c r="BM197" i="15"/>
  <c r="BI197" i="15"/>
  <c r="BH197" i="15"/>
  <c r="BG197" i="15"/>
  <c r="BB197" i="15"/>
  <c r="AY197" i="15"/>
  <c r="AU197" i="15"/>
  <c r="AT197" i="15"/>
  <c r="AS197" i="15"/>
  <c r="Z197" i="15"/>
  <c r="W197" i="15"/>
  <c r="S197" i="15"/>
  <c r="R197" i="15"/>
  <c r="Q197" i="15"/>
  <c r="K197" i="15"/>
  <c r="J197" i="15"/>
  <c r="H197" i="15"/>
  <c r="EH196" i="15"/>
  <c r="EE196" i="15"/>
  <c r="EA196" i="15"/>
  <c r="DZ196" i="15"/>
  <c r="DY196" i="15"/>
  <c r="DT196" i="15"/>
  <c r="DQ196" i="15"/>
  <c r="DM196" i="15"/>
  <c r="DL196" i="15"/>
  <c r="DK196" i="15"/>
  <c r="DF196" i="15"/>
  <c r="DC196" i="15"/>
  <c r="CY196" i="15"/>
  <c r="CX196" i="15"/>
  <c r="CW196" i="15"/>
  <c r="CR196" i="15"/>
  <c r="CO196" i="15"/>
  <c r="CK196" i="15"/>
  <c r="CJ196" i="15"/>
  <c r="CI196" i="15"/>
  <c r="CD196" i="15"/>
  <c r="CA196" i="15"/>
  <c r="BW196" i="15"/>
  <c r="BV196" i="15"/>
  <c r="BU196" i="15"/>
  <c r="BP196" i="15"/>
  <c r="BM196" i="15"/>
  <c r="BI196" i="15"/>
  <c r="BH196" i="15"/>
  <c r="BG196" i="15"/>
  <c r="BB196" i="15"/>
  <c r="AY196" i="15"/>
  <c r="AU196" i="15"/>
  <c r="AT196" i="15"/>
  <c r="AS196" i="15"/>
  <c r="Z196" i="15"/>
  <c r="W196" i="15"/>
  <c r="S196" i="15"/>
  <c r="R196" i="15"/>
  <c r="Q196" i="15"/>
  <c r="K196" i="15"/>
  <c r="J196" i="15"/>
  <c r="H196" i="15"/>
  <c r="EH195" i="15"/>
  <c r="EE195" i="15"/>
  <c r="EA195" i="15"/>
  <c r="DZ195" i="15"/>
  <c r="DY195" i="15"/>
  <c r="DT195" i="15"/>
  <c r="DQ195" i="15"/>
  <c r="DM195" i="15"/>
  <c r="DL195" i="15"/>
  <c r="DK195" i="15"/>
  <c r="DF195" i="15"/>
  <c r="DC195" i="15"/>
  <c r="CY195" i="15"/>
  <c r="CX195" i="15"/>
  <c r="CW195" i="15"/>
  <c r="CR195" i="15"/>
  <c r="CO195" i="15"/>
  <c r="CK195" i="15"/>
  <c r="CJ195" i="15"/>
  <c r="CI195" i="15"/>
  <c r="CD195" i="15"/>
  <c r="CA195" i="15"/>
  <c r="BW195" i="15"/>
  <c r="BV195" i="15"/>
  <c r="BU195" i="15"/>
  <c r="BP195" i="15"/>
  <c r="BM195" i="15"/>
  <c r="BI195" i="15"/>
  <c r="BH195" i="15"/>
  <c r="BG195" i="15"/>
  <c r="BB195" i="15"/>
  <c r="AY195" i="15"/>
  <c r="AU195" i="15"/>
  <c r="AT195" i="15"/>
  <c r="AS195" i="15"/>
  <c r="Z195" i="15"/>
  <c r="W195" i="15"/>
  <c r="S195" i="15"/>
  <c r="R195" i="15"/>
  <c r="Q195" i="15"/>
  <c r="K195" i="15"/>
  <c r="J195" i="15"/>
  <c r="H195" i="15"/>
  <c r="EH194" i="15"/>
  <c r="EE194" i="15"/>
  <c r="EA194" i="15"/>
  <c r="DZ194" i="15"/>
  <c r="DY194" i="15"/>
  <c r="DT194" i="15"/>
  <c r="DQ194" i="15"/>
  <c r="DM194" i="15"/>
  <c r="DL194" i="15"/>
  <c r="DK194" i="15"/>
  <c r="DF194" i="15"/>
  <c r="DC194" i="15"/>
  <c r="CY194" i="15"/>
  <c r="CX194" i="15"/>
  <c r="CW194" i="15"/>
  <c r="CR194" i="15"/>
  <c r="CO194" i="15"/>
  <c r="CK194" i="15"/>
  <c r="CJ194" i="15"/>
  <c r="CI194" i="15"/>
  <c r="CD194" i="15"/>
  <c r="CA194" i="15"/>
  <c r="BW194" i="15"/>
  <c r="BV194" i="15"/>
  <c r="BU194" i="15"/>
  <c r="BP194" i="15"/>
  <c r="BM194" i="15"/>
  <c r="BI194" i="15"/>
  <c r="BH194" i="15"/>
  <c r="BG194" i="15"/>
  <c r="BB194" i="15"/>
  <c r="AY194" i="15"/>
  <c r="AU194" i="15"/>
  <c r="AT194" i="15"/>
  <c r="AS194" i="15"/>
  <c r="Z194" i="15"/>
  <c r="W194" i="15"/>
  <c r="S194" i="15"/>
  <c r="R194" i="15"/>
  <c r="Q194" i="15"/>
  <c r="K194" i="15"/>
  <c r="J194" i="15"/>
  <c r="H194" i="15"/>
  <c r="EH193" i="15"/>
  <c r="EE193" i="15"/>
  <c r="EA193" i="15"/>
  <c r="DZ193" i="15"/>
  <c r="DY193" i="15"/>
  <c r="DT193" i="15"/>
  <c r="DQ193" i="15"/>
  <c r="DM193" i="15"/>
  <c r="DL193" i="15"/>
  <c r="DK193" i="15"/>
  <c r="DF193" i="15"/>
  <c r="DC193" i="15"/>
  <c r="CY193" i="15"/>
  <c r="CX193" i="15"/>
  <c r="CW193" i="15"/>
  <c r="CR193" i="15"/>
  <c r="CO193" i="15"/>
  <c r="CK193" i="15"/>
  <c r="CJ193" i="15"/>
  <c r="CI193" i="15"/>
  <c r="CD193" i="15"/>
  <c r="CA193" i="15"/>
  <c r="BW193" i="15"/>
  <c r="BV193" i="15"/>
  <c r="BU193" i="15"/>
  <c r="BP193" i="15"/>
  <c r="BM193" i="15"/>
  <c r="BI193" i="15"/>
  <c r="BH193" i="15"/>
  <c r="BG193" i="15"/>
  <c r="BB193" i="15"/>
  <c r="AY193" i="15"/>
  <c r="AU193" i="15"/>
  <c r="AT193" i="15"/>
  <c r="AS193" i="15"/>
  <c r="Z193" i="15"/>
  <c r="W193" i="15"/>
  <c r="S193" i="15"/>
  <c r="R193" i="15"/>
  <c r="Q193" i="15"/>
  <c r="K193" i="15"/>
  <c r="J193" i="15"/>
  <c r="H193" i="15"/>
  <c r="EH192" i="15"/>
  <c r="EE192" i="15"/>
  <c r="EA192" i="15"/>
  <c r="DZ192" i="15"/>
  <c r="DY192" i="15"/>
  <c r="DT192" i="15"/>
  <c r="DQ192" i="15"/>
  <c r="DM192" i="15"/>
  <c r="DL192" i="15"/>
  <c r="DK192" i="15"/>
  <c r="DF192" i="15"/>
  <c r="DC192" i="15"/>
  <c r="CY192" i="15"/>
  <c r="CX192" i="15"/>
  <c r="CW192" i="15"/>
  <c r="CR192" i="15"/>
  <c r="CO192" i="15"/>
  <c r="CK192" i="15"/>
  <c r="CJ192" i="15"/>
  <c r="CI192" i="15"/>
  <c r="CD192" i="15"/>
  <c r="CA192" i="15"/>
  <c r="BW192" i="15"/>
  <c r="BV192" i="15"/>
  <c r="BU192" i="15"/>
  <c r="BP192" i="15"/>
  <c r="BM192" i="15"/>
  <c r="BI192" i="15"/>
  <c r="BH192" i="15"/>
  <c r="BG192" i="15"/>
  <c r="BB192" i="15"/>
  <c r="AY192" i="15"/>
  <c r="AU192" i="15"/>
  <c r="AT192" i="15"/>
  <c r="AS192" i="15"/>
  <c r="Z192" i="15"/>
  <c r="W192" i="15"/>
  <c r="S192" i="15"/>
  <c r="R192" i="15"/>
  <c r="Q192" i="15"/>
  <c r="K192" i="15"/>
  <c r="J192" i="15"/>
  <c r="H192" i="15"/>
  <c r="EH191" i="15"/>
  <c r="EE191" i="15"/>
  <c r="EA191" i="15"/>
  <c r="DZ191" i="15"/>
  <c r="DY191" i="15"/>
  <c r="DT191" i="15"/>
  <c r="DQ191" i="15"/>
  <c r="DM191" i="15"/>
  <c r="DL191" i="15"/>
  <c r="DK191" i="15"/>
  <c r="DF191" i="15"/>
  <c r="DC191" i="15"/>
  <c r="CY191" i="15"/>
  <c r="CX191" i="15"/>
  <c r="CW191" i="15"/>
  <c r="CR191" i="15"/>
  <c r="CO191" i="15"/>
  <c r="CK191" i="15"/>
  <c r="CJ191" i="15"/>
  <c r="CI191" i="15"/>
  <c r="CD191" i="15"/>
  <c r="CA191" i="15"/>
  <c r="BW191" i="15"/>
  <c r="BV191" i="15"/>
  <c r="BU191" i="15"/>
  <c r="BP191" i="15"/>
  <c r="BM191" i="15"/>
  <c r="BI191" i="15"/>
  <c r="BH191" i="15"/>
  <c r="BG191" i="15"/>
  <c r="BB191" i="15"/>
  <c r="AY191" i="15"/>
  <c r="AU191" i="15"/>
  <c r="AT191" i="15"/>
  <c r="AS191" i="15"/>
  <c r="Z191" i="15"/>
  <c r="W191" i="15"/>
  <c r="S191" i="15"/>
  <c r="R191" i="15"/>
  <c r="Q191" i="15"/>
  <c r="K191" i="15"/>
  <c r="J191" i="15"/>
  <c r="H191" i="15"/>
  <c r="EH190" i="15"/>
  <c r="EE190" i="15"/>
  <c r="EA190" i="15"/>
  <c r="DZ190" i="15"/>
  <c r="DY190" i="15"/>
  <c r="DT190" i="15"/>
  <c r="DQ190" i="15"/>
  <c r="DM190" i="15"/>
  <c r="DL190" i="15"/>
  <c r="DK190" i="15"/>
  <c r="DF190" i="15"/>
  <c r="DC190" i="15"/>
  <c r="CY190" i="15"/>
  <c r="CX190" i="15"/>
  <c r="CW190" i="15"/>
  <c r="CR190" i="15"/>
  <c r="CO190" i="15"/>
  <c r="CK190" i="15"/>
  <c r="CJ190" i="15"/>
  <c r="CI190" i="15"/>
  <c r="CD190" i="15"/>
  <c r="CA190" i="15"/>
  <c r="BW190" i="15"/>
  <c r="BV190" i="15"/>
  <c r="BU190" i="15"/>
  <c r="BP190" i="15"/>
  <c r="BM190" i="15"/>
  <c r="BI190" i="15"/>
  <c r="BH190" i="15"/>
  <c r="BG190" i="15"/>
  <c r="BB190" i="15"/>
  <c r="AY190" i="15"/>
  <c r="AU190" i="15"/>
  <c r="AT190" i="15"/>
  <c r="AS190" i="15"/>
  <c r="Z190" i="15"/>
  <c r="W190" i="15"/>
  <c r="S190" i="15"/>
  <c r="R190" i="15"/>
  <c r="Q190" i="15"/>
  <c r="K190" i="15"/>
  <c r="J190" i="15"/>
  <c r="H190" i="15"/>
  <c r="EH189" i="15"/>
  <c r="EE189" i="15"/>
  <c r="EA189" i="15"/>
  <c r="DZ189" i="15"/>
  <c r="DY189" i="15"/>
  <c r="DT189" i="15"/>
  <c r="DQ189" i="15"/>
  <c r="DM189" i="15"/>
  <c r="DL189" i="15"/>
  <c r="DK189" i="15"/>
  <c r="DF189" i="15"/>
  <c r="DC189" i="15"/>
  <c r="CY189" i="15"/>
  <c r="CX189" i="15"/>
  <c r="CW189" i="15"/>
  <c r="CR189" i="15"/>
  <c r="CO189" i="15"/>
  <c r="CK189" i="15"/>
  <c r="CJ189" i="15"/>
  <c r="CI189" i="15"/>
  <c r="CD189" i="15"/>
  <c r="CA189" i="15"/>
  <c r="BW189" i="15"/>
  <c r="BV189" i="15"/>
  <c r="BU189" i="15"/>
  <c r="BP189" i="15"/>
  <c r="BM189" i="15"/>
  <c r="BI189" i="15"/>
  <c r="BH189" i="15"/>
  <c r="BG189" i="15"/>
  <c r="BB189" i="15"/>
  <c r="AY189" i="15"/>
  <c r="AU189" i="15"/>
  <c r="AT189" i="15"/>
  <c r="AS189" i="15"/>
  <c r="Z189" i="15"/>
  <c r="W189" i="15"/>
  <c r="S189" i="15"/>
  <c r="R189" i="15"/>
  <c r="Q189" i="15"/>
  <c r="K189" i="15"/>
  <c r="J189" i="15"/>
  <c r="H189" i="15"/>
  <c r="EH188" i="15"/>
  <c r="EE188" i="15"/>
  <c r="EA188" i="15"/>
  <c r="DZ188" i="15"/>
  <c r="DY188" i="15"/>
  <c r="DT188" i="15"/>
  <c r="DQ188" i="15"/>
  <c r="DM188" i="15"/>
  <c r="DL188" i="15"/>
  <c r="DK188" i="15"/>
  <c r="DF188" i="15"/>
  <c r="DC188" i="15"/>
  <c r="CY188" i="15"/>
  <c r="CX188" i="15"/>
  <c r="CW188" i="15"/>
  <c r="CR188" i="15"/>
  <c r="CO188" i="15"/>
  <c r="CK188" i="15"/>
  <c r="CJ188" i="15"/>
  <c r="CI188" i="15"/>
  <c r="CD188" i="15"/>
  <c r="CA188" i="15"/>
  <c r="BW188" i="15"/>
  <c r="BV188" i="15"/>
  <c r="BU188" i="15"/>
  <c r="BP188" i="15"/>
  <c r="BM188" i="15"/>
  <c r="BI188" i="15"/>
  <c r="BH188" i="15"/>
  <c r="BG188" i="15"/>
  <c r="BB188" i="15"/>
  <c r="AY188" i="15"/>
  <c r="AU188" i="15"/>
  <c r="AT188" i="15"/>
  <c r="AS188" i="15"/>
  <c r="Z188" i="15"/>
  <c r="W188" i="15"/>
  <c r="S188" i="15"/>
  <c r="R188" i="15"/>
  <c r="Q188" i="15"/>
  <c r="K188" i="15"/>
  <c r="J188" i="15"/>
  <c r="H188" i="15"/>
  <c r="EH187" i="15"/>
  <c r="EE187" i="15"/>
  <c r="EA187" i="15"/>
  <c r="DZ187" i="15"/>
  <c r="DY187" i="15"/>
  <c r="DT187" i="15"/>
  <c r="DQ187" i="15"/>
  <c r="DM187" i="15"/>
  <c r="DL187" i="15"/>
  <c r="DK187" i="15"/>
  <c r="DF187" i="15"/>
  <c r="DC187" i="15"/>
  <c r="CY187" i="15"/>
  <c r="CX187" i="15"/>
  <c r="CW187" i="15"/>
  <c r="CR187" i="15"/>
  <c r="CO187" i="15"/>
  <c r="CK187" i="15"/>
  <c r="CJ187" i="15"/>
  <c r="CI187" i="15"/>
  <c r="CD187" i="15"/>
  <c r="CA187" i="15"/>
  <c r="BW187" i="15"/>
  <c r="BV187" i="15"/>
  <c r="BU187" i="15"/>
  <c r="BP187" i="15"/>
  <c r="BM187" i="15"/>
  <c r="BI187" i="15"/>
  <c r="BH187" i="15"/>
  <c r="BG187" i="15"/>
  <c r="BB187" i="15"/>
  <c r="AY187" i="15"/>
  <c r="AU187" i="15"/>
  <c r="AT187" i="15"/>
  <c r="AS187" i="15"/>
  <c r="Z187" i="15"/>
  <c r="W187" i="15"/>
  <c r="S187" i="15"/>
  <c r="R187" i="15"/>
  <c r="Q187" i="15"/>
  <c r="K187" i="15"/>
  <c r="J187" i="15"/>
  <c r="H187" i="15"/>
  <c r="EH186" i="15"/>
  <c r="EE186" i="15"/>
  <c r="EA186" i="15"/>
  <c r="DZ186" i="15"/>
  <c r="DY186" i="15"/>
  <c r="DT186" i="15"/>
  <c r="DQ186" i="15"/>
  <c r="DM186" i="15"/>
  <c r="DL186" i="15"/>
  <c r="DK186" i="15"/>
  <c r="DF186" i="15"/>
  <c r="DC186" i="15"/>
  <c r="CY186" i="15"/>
  <c r="CX186" i="15"/>
  <c r="CW186" i="15"/>
  <c r="CR186" i="15"/>
  <c r="CO186" i="15"/>
  <c r="CK186" i="15"/>
  <c r="CJ186" i="15"/>
  <c r="CI186" i="15"/>
  <c r="CD186" i="15"/>
  <c r="CA186" i="15"/>
  <c r="BW186" i="15"/>
  <c r="BV186" i="15"/>
  <c r="BU186" i="15"/>
  <c r="BP186" i="15"/>
  <c r="BM186" i="15"/>
  <c r="BI186" i="15"/>
  <c r="BH186" i="15"/>
  <c r="BG186" i="15"/>
  <c r="BB186" i="15"/>
  <c r="AY186" i="15"/>
  <c r="AU186" i="15"/>
  <c r="AT186" i="15"/>
  <c r="AS186" i="15"/>
  <c r="Z186" i="15"/>
  <c r="W186" i="15"/>
  <c r="S186" i="15"/>
  <c r="R186" i="15"/>
  <c r="Q186" i="15"/>
  <c r="K186" i="15"/>
  <c r="J186" i="15"/>
  <c r="H186" i="15"/>
  <c r="EH185" i="15"/>
  <c r="EE185" i="15"/>
  <c r="EA185" i="15"/>
  <c r="DZ185" i="15"/>
  <c r="DY185" i="15"/>
  <c r="DT185" i="15"/>
  <c r="DQ185" i="15"/>
  <c r="DM185" i="15"/>
  <c r="DL185" i="15"/>
  <c r="DK185" i="15"/>
  <c r="DF185" i="15"/>
  <c r="DC185" i="15"/>
  <c r="CY185" i="15"/>
  <c r="CX185" i="15"/>
  <c r="CW185" i="15"/>
  <c r="CR185" i="15"/>
  <c r="CO185" i="15"/>
  <c r="CK185" i="15"/>
  <c r="CJ185" i="15"/>
  <c r="CI185" i="15"/>
  <c r="CD185" i="15"/>
  <c r="CA185" i="15"/>
  <c r="BW185" i="15"/>
  <c r="BV185" i="15"/>
  <c r="BU185" i="15"/>
  <c r="BP185" i="15"/>
  <c r="BM185" i="15"/>
  <c r="BI185" i="15"/>
  <c r="BH185" i="15"/>
  <c r="BG185" i="15"/>
  <c r="BB185" i="15"/>
  <c r="AY185" i="15"/>
  <c r="AU185" i="15"/>
  <c r="AT185" i="15"/>
  <c r="AS185" i="15"/>
  <c r="Z185" i="15"/>
  <c r="W185" i="15"/>
  <c r="S185" i="15"/>
  <c r="R185" i="15"/>
  <c r="Q185" i="15"/>
  <c r="K185" i="15"/>
  <c r="J185" i="15"/>
  <c r="H185" i="15"/>
  <c r="EH184" i="15"/>
  <c r="EE184" i="15"/>
  <c r="EA184" i="15"/>
  <c r="DZ184" i="15"/>
  <c r="DY184" i="15"/>
  <c r="DT184" i="15"/>
  <c r="DQ184" i="15"/>
  <c r="DM184" i="15"/>
  <c r="DL184" i="15"/>
  <c r="DK184" i="15"/>
  <c r="DF184" i="15"/>
  <c r="DC184" i="15"/>
  <c r="CY184" i="15"/>
  <c r="CX184" i="15"/>
  <c r="CW184" i="15"/>
  <c r="CR184" i="15"/>
  <c r="CO184" i="15"/>
  <c r="CK184" i="15"/>
  <c r="CJ184" i="15"/>
  <c r="CI184" i="15"/>
  <c r="CD184" i="15"/>
  <c r="CA184" i="15"/>
  <c r="BW184" i="15"/>
  <c r="BV184" i="15"/>
  <c r="BU184" i="15"/>
  <c r="BP184" i="15"/>
  <c r="BM184" i="15"/>
  <c r="BI184" i="15"/>
  <c r="BH184" i="15"/>
  <c r="BG184" i="15"/>
  <c r="BB184" i="15"/>
  <c r="AY184" i="15"/>
  <c r="AU184" i="15"/>
  <c r="AT184" i="15"/>
  <c r="AS184" i="15"/>
  <c r="Z184" i="15"/>
  <c r="W184" i="15"/>
  <c r="S184" i="15"/>
  <c r="R184" i="15"/>
  <c r="Q184" i="15"/>
  <c r="K184" i="15"/>
  <c r="J184" i="15"/>
  <c r="H184" i="15"/>
  <c r="EH183" i="15"/>
  <c r="EE183" i="15"/>
  <c r="EA183" i="15"/>
  <c r="DZ183" i="15"/>
  <c r="DY183" i="15"/>
  <c r="DT183" i="15"/>
  <c r="DQ183" i="15"/>
  <c r="DM183" i="15"/>
  <c r="DL183" i="15"/>
  <c r="DK183" i="15"/>
  <c r="DF183" i="15"/>
  <c r="DC183" i="15"/>
  <c r="CY183" i="15"/>
  <c r="CX183" i="15"/>
  <c r="CW183" i="15"/>
  <c r="CR183" i="15"/>
  <c r="CO183" i="15"/>
  <c r="CK183" i="15"/>
  <c r="CJ183" i="15"/>
  <c r="CI183" i="15"/>
  <c r="CD183" i="15"/>
  <c r="CA183" i="15"/>
  <c r="BW183" i="15"/>
  <c r="BV183" i="15"/>
  <c r="BU183" i="15"/>
  <c r="BP183" i="15"/>
  <c r="BM183" i="15"/>
  <c r="BI183" i="15"/>
  <c r="BH183" i="15"/>
  <c r="BG183" i="15"/>
  <c r="BB183" i="15"/>
  <c r="AY183" i="15"/>
  <c r="AU183" i="15"/>
  <c r="AT183" i="15"/>
  <c r="AS183" i="15"/>
  <c r="Z183" i="15"/>
  <c r="W183" i="15"/>
  <c r="S183" i="15"/>
  <c r="R183" i="15"/>
  <c r="Q183" i="15"/>
  <c r="K183" i="15"/>
  <c r="J183" i="15"/>
  <c r="H183" i="15"/>
  <c r="EH182" i="15"/>
  <c r="EE182" i="15"/>
  <c r="EA182" i="15"/>
  <c r="DZ182" i="15"/>
  <c r="DY182" i="15"/>
  <c r="DT182" i="15"/>
  <c r="DQ182" i="15"/>
  <c r="DM182" i="15"/>
  <c r="DL182" i="15"/>
  <c r="DK182" i="15"/>
  <c r="DF182" i="15"/>
  <c r="DC182" i="15"/>
  <c r="CY182" i="15"/>
  <c r="CX182" i="15"/>
  <c r="CW182" i="15"/>
  <c r="CR182" i="15"/>
  <c r="CO182" i="15"/>
  <c r="CK182" i="15"/>
  <c r="CJ182" i="15"/>
  <c r="CI182" i="15"/>
  <c r="CD182" i="15"/>
  <c r="CA182" i="15"/>
  <c r="BW182" i="15"/>
  <c r="BV182" i="15"/>
  <c r="BU182" i="15"/>
  <c r="BP182" i="15"/>
  <c r="BM182" i="15"/>
  <c r="BI182" i="15"/>
  <c r="BH182" i="15"/>
  <c r="BG182" i="15"/>
  <c r="BB182" i="15"/>
  <c r="AY182" i="15"/>
  <c r="AU182" i="15"/>
  <c r="AT182" i="15"/>
  <c r="AS182" i="15"/>
  <c r="Z182" i="15"/>
  <c r="W182" i="15"/>
  <c r="S182" i="15"/>
  <c r="R182" i="15"/>
  <c r="Q182" i="15"/>
  <c r="K182" i="15"/>
  <c r="J182" i="15"/>
  <c r="H182" i="15"/>
  <c r="EH181" i="15"/>
  <c r="EE181" i="15"/>
  <c r="EA181" i="15"/>
  <c r="DZ181" i="15"/>
  <c r="DY181" i="15"/>
  <c r="DT181" i="15"/>
  <c r="DQ181" i="15"/>
  <c r="DM181" i="15"/>
  <c r="DL181" i="15"/>
  <c r="DK181" i="15"/>
  <c r="DF181" i="15"/>
  <c r="DC181" i="15"/>
  <c r="CY181" i="15"/>
  <c r="CX181" i="15"/>
  <c r="CW181" i="15"/>
  <c r="CR181" i="15"/>
  <c r="CO181" i="15"/>
  <c r="CK181" i="15"/>
  <c r="CJ181" i="15"/>
  <c r="CI181" i="15"/>
  <c r="CD181" i="15"/>
  <c r="CA181" i="15"/>
  <c r="BW181" i="15"/>
  <c r="BV181" i="15"/>
  <c r="BU181" i="15"/>
  <c r="BP181" i="15"/>
  <c r="BM181" i="15"/>
  <c r="BI181" i="15"/>
  <c r="BH181" i="15"/>
  <c r="BG181" i="15"/>
  <c r="BB181" i="15"/>
  <c r="AY181" i="15"/>
  <c r="AU181" i="15"/>
  <c r="AT181" i="15"/>
  <c r="AS181" i="15"/>
  <c r="Z181" i="15"/>
  <c r="W181" i="15"/>
  <c r="S181" i="15"/>
  <c r="R181" i="15"/>
  <c r="Q181" i="15"/>
  <c r="K181" i="15"/>
  <c r="J181" i="15"/>
  <c r="H181" i="15"/>
  <c r="EH180" i="15"/>
  <c r="EE180" i="15"/>
  <c r="EA180" i="15"/>
  <c r="DZ180" i="15"/>
  <c r="DY180" i="15"/>
  <c r="DT180" i="15"/>
  <c r="DQ180" i="15"/>
  <c r="DM180" i="15"/>
  <c r="DL180" i="15"/>
  <c r="DK180" i="15"/>
  <c r="DF180" i="15"/>
  <c r="DC180" i="15"/>
  <c r="CY180" i="15"/>
  <c r="CX180" i="15"/>
  <c r="CW180" i="15"/>
  <c r="CR180" i="15"/>
  <c r="CO180" i="15"/>
  <c r="CK180" i="15"/>
  <c r="CJ180" i="15"/>
  <c r="CI180" i="15"/>
  <c r="CD180" i="15"/>
  <c r="CA180" i="15"/>
  <c r="BW180" i="15"/>
  <c r="BV180" i="15"/>
  <c r="BU180" i="15"/>
  <c r="BP180" i="15"/>
  <c r="BM180" i="15"/>
  <c r="BI180" i="15"/>
  <c r="BH180" i="15"/>
  <c r="BG180" i="15"/>
  <c r="BB180" i="15"/>
  <c r="AY180" i="15"/>
  <c r="AU180" i="15"/>
  <c r="AT180" i="15"/>
  <c r="AS180" i="15"/>
  <c r="Z180" i="15"/>
  <c r="W180" i="15"/>
  <c r="S180" i="15"/>
  <c r="R180" i="15"/>
  <c r="Q180" i="15"/>
  <c r="K180" i="15"/>
  <c r="J180" i="15"/>
  <c r="H180" i="15"/>
  <c r="EH179" i="15"/>
  <c r="EE179" i="15"/>
  <c r="EA179" i="15"/>
  <c r="DZ179" i="15"/>
  <c r="DY179" i="15"/>
  <c r="DT179" i="15"/>
  <c r="DQ179" i="15"/>
  <c r="DM179" i="15"/>
  <c r="DL179" i="15"/>
  <c r="DK179" i="15"/>
  <c r="DF179" i="15"/>
  <c r="DC179" i="15"/>
  <c r="CY179" i="15"/>
  <c r="CX179" i="15"/>
  <c r="CW179" i="15"/>
  <c r="CR179" i="15"/>
  <c r="CO179" i="15"/>
  <c r="CK179" i="15"/>
  <c r="CJ179" i="15"/>
  <c r="CI179" i="15"/>
  <c r="CD179" i="15"/>
  <c r="CA179" i="15"/>
  <c r="BW179" i="15"/>
  <c r="BV179" i="15"/>
  <c r="BU179" i="15"/>
  <c r="BP179" i="15"/>
  <c r="BM179" i="15"/>
  <c r="BI179" i="15"/>
  <c r="BH179" i="15"/>
  <c r="BG179" i="15"/>
  <c r="BB179" i="15"/>
  <c r="AY179" i="15"/>
  <c r="AU179" i="15"/>
  <c r="AT179" i="15"/>
  <c r="AS179" i="15"/>
  <c r="Z179" i="15"/>
  <c r="W179" i="15"/>
  <c r="S179" i="15"/>
  <c r="R179" i="15"/>
  <c r="Q179" i="15"/>
  <c r="K179" i="15"/>
  <c r="J179" i="15"/>
  <c r="H179" i="15"/>
  <c r="EH178" i="15"/>
  <c r="EE178" i="15"/>
  <c r="EA178" i="15"/>
  <c r="DZ178" i="15"/>
  <c r="DY178" i="15"/>
  <c r="DT178" i="15"/>
  <c r="DQ178" i="15"/>
  <c r="DM178" i="15"/>
  <c r="DL178" i="15"/>
  <c r="DK178" i="15"/>
  <c r="DF178" i="15"/>
  <c r="DC178" i="15"/>
  <c r="CY178" i="15"/>
  <c r="CX178" i="15"/>
  <c r="CW178" i="15"/>
  <c r="CR178" i="15"/>
  <c r="CO178" i="15"/>
  <c r="CK178" i="15"/>
  <c r="CJ178" i="15"/>
  <c r="CI178" i="15"/>
  <c r="CD178" i="15"/>
  <c r="CA178" i="15"/>
  <c r="BW178" i="15"/>
  <c r="BV178" i="15"/>
  <c r="BU178" i="15"/>
  <c r="BP178" i="15"/>
  <c r="BM178" i="15"/>
  <c r="BI178" i="15"/>
  <c r="BH178" i="15"/>
  <c r="BG178" i="15"/>
  <c r="BB178" i="15"/>
  <c r="AY178" i="15"/>
  <c r="AU178" i="15"/>
  <c r="AT178" i="15"/>
  <c r="AS178" i="15"/>
  <c r="Z178" i="15"/>
  <c r="W178" i="15"/>
  <c r="S178" i="15"/>
  <c r="R178" i="15"/>
  <c r="Q178" i="15"/>
  <c r="K178" i="15"/>
  <c r="J178" i="15"/>
  <c r="H178" i="15"/>
  <c r="EH177" i="15"/>
  <c r="EE177" i="15"/>
  <c r="EA177" i="15"/>
  <c r="DZ177" i="15"/>
  <c r="DY177" i="15"/>
  <c r="DT177" i="15"/>
  <c r="DQ177" i="15"/>
  <c r="DM177" i="15"/>
  <c r="DL177" i="15"/>
  <c r="DK177" i="15"/>
  <c r="DF177" i="15"/>
  <c r="DC177" i="15"/>
  <c r="CY177" i="15"/>
  <c r="CX177" i="15"/>
  <c r="CW177" i="15"/>
  <c r="CR177" i="15"/>
  <c r="CO177" i="15"/>
  <c r="CK177" i="15"/>
  <c r="CJ177" i="15"/>
  <c r="CI177" i="15"/>
  <c r="CD177" i="15"/>
  <c r="CA177" i="15"/>
  <c r="BW177" i="15"/>
  <c r="BV177" i="15"/>
  <c r="BU177" i="15"/>
  <c r="BP177" i="15"/>
  <c r="BM177" i="15"/>
  <c r="BI177" i="15"/>
  <c r="BH177" i="15"/>
  <c r="BG177" i="15"/>
  <c r="BB177" i="15"/>
  <c r="AY177" i="15"/>
  <c r="AU177" i="15"/>
  <c r="AT177" i="15"/>
  <c r="AS177" i="15"/>
  <c r="Z177" i="15"/>
  <c r="W177" i="15"/>
  <c r="S177" i="15"/>
  <c r="R177" i="15"/>
  <c r="Q177" i="15"/>
  <c r="K177" i="15"/>
  <c r="J177" i="15"/>
  <c r="H177" i="15"/>
  <c r="EH176" i="15"/>
  <c r="EE176" i="15"/>
  <c r="EA176" i="15"/>
  <c r="DZ176" i="15"/>
  <c r="DY176" i="15"/>
  <c r="DT176" i="15"/>
  <c r="DQ176" i="15"/>
  <c r="DM176" i="15"/>
  <c r="DL176" i="15"/>
  <c r="DK176" i="15"/>
  <c r="DF176" i="15"/>
  <c r="DC176" i="15"/>
  <c r="CY176" i="15"/>
  <c r="CX176" i="15"/>
  <c r="CW176" i="15"/>
  <c r="CR176" i="15"/>
  <c r="CO176" i="15"/>
  <c r="CK176" i="15"/>
  <c r="CJ176" i="15"/>
  <c r="CI176" i="15"/>
  <c r="CD176" i="15"/>
  <c r="CA176" i="15"/>
  <c r="BW176" i="15"/>
  <c r="BV176" i="15"/>
  <c r="BU176" i="15"/>
  <c r="BP176" i="15"/>
  <c r="BM176" i="15"/>
  <c r="BI176" i="15"/>
  <c r="BH176" i="15"/>
  <c r="BG176" i="15"/>
  <c r="BB176" i="15"/>
  <c r="AY176" i="15"/>
  <c r="AU176" i="15"/>
  <c r="AT176" i="15"/>
  <c r="AS176" i="15"/>
  <c r="Z176" i="15"/>
  <c r="W176" i="15"/>
  <c r="S176" i="15"/>
  <c r="R176" i="15"/>
  <c r="Q176" i="15"/>
  <c r="K176" i="15"/>
  <c r="J176" i="15"/>
  <c r="H176" i="15"/>
  <c r="EH175" i="15"/>
  <c r="EE175" i="15"/>
  <c r="EA175" i="15"/>
  <c r="DZ175" i="15"/>
  <c r="DY175" i="15"/>
  <c r="DT175" i="15"/>
  <c r="DQ175" i="15"/>
  <c r="DM175" i="15"/>
  <c r="DL175" i="15"/>
  <c r="DK175" i="15"/>
  <c r="DF175" i="15"/>
  <c r="DC175" i="15"/>
  <c r="CY175" i="15"/>
  <c r="CX175" i="15"/>
  <c r="CW175" i="15"/>
  <c r="CR175" i="15"/>
  <c r="CO175" i="15"/>
  <c r="CK175" i="15"/>
  <c r="CJ175" i="15"/>
  <c r="CI175" i="15"/>
  <c r="CD175" i="15"/>
  <c r="CA175" i="15"/>
  <c r="BW175" i="15"/>
  <c r="BV175" i="15"/>
  <c r="BU175" i="15"/>
  <c r="BP175" i="15"/>
  <c r="BM175" i="15"/>
  <c r="BI175" i="15"/>
  <c r="BH175" i="15"/>
  <c r="BG175" i="15"/>
  <c r="BB175" i="15"/>
  <c r="AY175" i="15"/>
  <c r="AU175" i="15"/>
  <c r="AT175" i="15"/>
  <c r="AS175" i="15"/>
  <c r="Z175" i="15"/>
  <c r="W175" i="15"/>
  <c r="S175" i="15"/>
  <c r="R175" i="15"/>
  <c r="Q175" i="15"/>
  <c r="K175" i="15"/>
  <c r="J175" i="15"/>
  <c r="H175" i="15"/>
  <c r="EH174" i="15"/>
  <c r="EE174" i="15"/>
  <c r="EA174" i="15"/>
  <c r="DZ174" i="15"/>
  <c r="DY174" i="15"/>
  <c r="DT174" i="15"/>
  <c r="DQ174" i="15"/>
  <c r="DM174" i="15"/>
  <c r="DL174" i="15"/>
  <c r="DK174" i="15"/>
  <c r="DF174" i="15"/>
  <c r="DC174" i="15"/>
  <c r="CY174" i="15"/>
  <c r="CX174" i="15"/>
  <c r="CW174" i="15"/>
  <c r="CR174" i="15"/>
  <c r="CO174" i="15"/>
  <c r="CK174" i="15"/>
  <c r="CJ174" i="15"/>
  <c r="CI174" i="15"/>
  <c r="CD174" i="15"/>
  <c r="CA174" i="15"/>
  <c r="BW174" i="15"/>
  <c r="BV174" i="15"/>
  <c r="BU174" i="15"/>
  <c r="BP174" i="15"/>
  <c r="BM174" i="15"/>
  <c r="BI174" i="15"/>
  <c r="BH174" i="15"/>
  <c r="BG174" i="15"/>
  <c r="BB174" i="15"/>
  <c r="AY174" i="15"/>
  <c r="AU174" i="15"/>
  <c r="AT174" i="15"/>
  <c r="AS174" i="15"/>
  <c r="Z174" i="15"/>
  <c r="W174" i="15"/>
  <c r="S174" i="15"/>
  <c r="R174" i="15"/>
  <c r="Q174" i="15"/>
  <c r="K174" i="15"/>
  <c r="J174" i="15"/>
  <c r="H174" i="15"/>
  <c r="EH173" i="15"/>
  <c r="EE173" i="15"/>
  <c r="EA173" i="15"/>
  <c r="DZ173" i="15"/>
  <c r="DY173" i="15"/>
  <c r="DT173" i="15"/>
  <c r="DQ173" i="15"/>
  <c r="DM173" i="15"/>
  <c r="DL173" i="15"/>
  <c r="DK173" i="15"/>
  <c r="DF173" i="15"/>
  <c r="DC173" i="15"/>
  <c r="CY173" i="15"/>
  <c r="CX173" i="15"/>
  <c r="CW173" i="15"/>
  <c r="CR173" i="15"/>
  <c r="CO173" i="15"/>
  <c r="CK173" i="15"/>
  <c r="CJ173" i="15"/>
  <c r="CI173" i="15"/>
  <c r="CD173" i="15"/>
  <c r="CA173" i="15"/>
  <c r="BW173" i="15"/>
  <c r="BV173" i="15"/>
  <c r="BU173" i="15"/>
  <c r="BP173" i="15"/>
  <c r="BM173" i="15"/>
  <c r="BI173" i="15"/>
  <c r="BH173" i="15"/>
  <c r="BG173" i="15"/>
  <c r="BB173" i="15"/>
  <c r="AY173" i="15"/>
  <c r="AU173" i="15"/>
  <c r="AT173" i="15"/>
  <c r="AS173" i="15"/>
  <c r="Z173" i="15"/>
  <c r="W173" i="15"/>
  <c r="S173" i="15"/>
  <c r="R173" i="15"/>
  <c r="Q173" i="15"/>
  <c r="K173" i="15"/>
  <c r="J173" i="15"/>
  <c r="H173" i="15"/>
  <c r="EH172" i="15"/>
  <c r="EE172" i="15"/>
  <c r="EA172" i="15"/>
  <c r="DZ172" i="15"/>
  <c r="DY172" i="15"/>
  <c r="DT172" i="15"/>
  <c r="DQ172" i="15"/>
  <c r="DM172" i="15"/>
  <c r="DL172" i="15"/>
  <c r="DK172" i="15"/>
  <c r="DF172" i="15"/>
  <c r="DC172" i="15"/>
  <c r="CY172" i="15"/>
  <c r="CX172" i="15"/>
  <c r="CW172" i="15"/>
  <c r="CR172" i="15"/>
  <c r="CO172" i="15"/>
  <c r="CK172" i="15"/>
  <c r="CJ172" i="15"/>
  <c r="CI172" i="15"/>
  <c r="CD172" i="15"/>
  <c r="CA172" i="15"/>
  <c r="BW172" i="15"/>
  <c r="BV172" i="15"/>
  <c r="BU172" i="15"/>
  <c r="BP172" i="15"/>
  <c r="BM172" i="15"/>
  <c r="BI172" i="15"/>
  <c r="BH172" i="15"/>
  <c r="BG172" i="15"/>
  <c r="BB172" i="15"/>
  <c r="AY172" i="15"/>
  <c r="AU172" i="15"/>
  <c r="AT172" i="15"/>
  <c r="AS172" i="15"/>
  <c r="Z172" i="15"/>
  <c r="W172" i="15"/>
  <c r="S172" i="15"/>
  <c r="R172" i="15"/>
  <c r="Q172" i="15"/>
  <c r="K172" i="15"/>
  <c r="J172" i="15"/>
  <c r="H172" i="15"/>
  <c r="EH171" i="15"/>
  <c r="EE171" i="15"/>
  <c r="EA171" i="15"/>
  <c r="DZ171" i="15"/>
  <c r="DY171" i="15"/>
  <c r="DT171" i="15"/>
  <c r="DQ171" i="15"/>
  <c r="DM171" i="15"/>
  <c r="DL171" i="15"/>
  <c r="DK171" i="15"/>
  <c r="DF171" i="15"/>
  <c r="DC171" i="15"/>
  <c r="CY171" i="15"/>
  <c r="CX171" i="15"/>
  <c r="CW171" i="15"/>
  <c r="CR171" i="15"/>
  <c r="CO171" i="15"/>
  <c r="CK171" i="15"/>
  <c r="CJ171" i="15"/>
  <c r="CI171" i="15"/>
  <c r="CD171" i="15"/>
  <c r="CA171" i="15"/>
  <c r="BW171" i="15"/>
  <c r="BV171" i="15"/>
  <c r="BU171" i="15"/>
  <c r="BP171" i="15"/>
  <c r="BM171" i="15"/>
  <c r="BI171" i="15"/>
  <c r="BH171" i="15"/>
  <c r="BG171" i="15"/>
  <c r="BB171" i="15"/>
  <c r="AY171" i="15"/>
  <c r="AU171" i="15"/>
  <c r="AT171" i="15"/>
  <c r="AS171" i="15"/>
  <c r="AN171" i="15"/>
  <c r="AK171" i="15"/>
  <c r="AG171" i="15"/>
  <c r="AF171" i="15"/>
  <c r="AE171" i="15"/>
  <c r="Z171" i="15"/>
  <c r="W171" i="15"/>
  <c r="S171" i="15"/>
  <c r="R171" i="15"/>
  <c r="Q171" i="15"/>
  <c r="K171" i="15"/>
  <c r="J171" i="15"/>
  <c r="H171" i="15"/>
  <c r="EH170" i="15"/>
  <c r="EE170" i="15"/>
  <c r="EA170" i="15"/>
  <c r="DZ170" i="15"/>
  <c r="DY170" i="15"/>
  <c r="DT170" i="15"/>
  <c r="DQ170" i="15"/>
  <c r="DM170" i="15"/>
  <c r="DL170" i="15"/>
  <c r="DK170" i="15"/>
  <c r="DF170" i="15"/>
  <c r="DC170" i="15"/>
  <c r="CY170" i="15"/>
  <c r="CX170" i="15"/>
  <c r="CW170" i="15"/>
  <c r="CR170" i="15"/>
  <c r="CO170" i="15"/>
  <c r="CK170" i="15"/>
  <c r="CJ170" i="15"/>
  <c r="CI170" i="15"/>
  <c r="CD170" i="15"/>
  <c r="CA170" i="15"/>
  <c r="BW170" i="15"/>
  <c r="BV170" i="15"/>
  <c r="BU170" i="15"/>
  <c r="BP170" i="15"/>
  <c r="BM170" i="15"/>
  <c r="BI170" i="15"/>
  <c r="BH170" i="15"/>
  <c r="BG170" i="15"/>
  <c r="BB170" i="15"/>
  <c r="AY170" i="15"/>
  <c r="AU170" i="15"/>
  <c r="AT170" i="15"/>
  <c r="AS170" i="15"/>
  <c r="AN170" i="15"/>
  <c r="AK170" i="15"/>
  <c r="AG170" i="15"/>
  <c r="AF170" i="15"/>
  <c r="AE170" i="15"/>
  <c r="Z170" i="15"/>
  <c r="W170" i="15"/>
  <c r="S170" i="15"/>
  <c r="R170" i="15"/>
  <c r="Q170" i="15"/>
  <c r="K170" i="15"/>
  <c r="J170" i="15"/>
  <c r="H170" i="15"/>
  <c r="EH169" i="15"/>
  <c r="EE169" i="15"/>
  <c r="EA169" i="15"/>
  <c r="DZ169" i="15"/>
  <c r="DY169" i="15"/>
  <c r="DT169" i="15"/>
  <c r="DQ169" i="15"/>
  <c r="DM169" i="15"/>
  <c r="DL169" i="15"/>
  <c r="DK169" i="15"/>
  <c r="DF169" i="15"/>
  <c r="DC169" i="15"/>
  <c r="CY169" i="15"/>
  <c r="CX169" i="15"/>
  <c r="CW169" i="15"/>
  <c r="CR169" i="15"/>
  <c r="CO169" i="15"/>
  <c r="CK169" i="15"/>
  <c r="CJ169" i="15"/>
  <c r="CI169" i="15"/>
  <c r="CD169" i="15"/>
  <c r="CA169" i="15"/>
  <c r="BW169" i="15"/>
  <c r="BV169" i="15"/>
  <c r="BU169" i="15"/>
  <c r="BP169" i="15"/>
  <c r="BM169" i="15"/>
  <c r="BI169" i="15"/>
  <c r="BH169" i="15"/>
  <c r="BG169" i="15"/>
  <c r="BB169" i="15"/>
  <c r="AY169" i="15"/>
  <c r="AU169" i="15"/>
  <c r="AT169" i="15"/>
  <c r="AS169" i="15"/>
  <c r="AN169" i="15"/>
  <c r="AK169" i="15"/>
  <c r="AG169" i="15"/>
  <c r="AF169" i="15"/>
  <c r="AE169" i="15"/>
  <c r="Z169" i="15"/>
  <c r="W169" i="15"/>
  <c r="S169" i="15"/>
  <c r="R169" i="15"/>
  <c r="Q169" i="15"/>
  <c r="K169" i="15"/>
  <c r="J169" i="15"/>
  <c r="H169" i="15"/>
  <c r="EH168" i="15"/>
  <c r="EE168" i="15"/>
  <c r="EA168" i="15"/>
  <c r="DZ168" i="15"/>
  <c r="DY168" i="15"/>
  <c r="DT168" i="15"/>
  <c r="DQ168" i="15"/>
  <c r="DM168" i="15"/>
  <c r="DL168" i="15"/>
  <c r="DK168" i="15"/>
  <c r="DF168" i="15"/>
  <c r="DC168" i="15"/>
  <c r="CY168" i="15"/>
  <c r="CX168" i="15"/>
  <c r="CW168" i="15"/>
  <c r="CR168" i="15"/>
  <c r="CO168" i="15"/>
  <c r="CK168" i="15"/>
  <c r="CJ168" i="15"/>
  <c r="CI168" i="15"/>
  <c r="CD168" i="15"/>
  <c r="CA168" i="15"/>
  <c r="BW168" i="15"/>
  <c r="BV168" i="15"/>
  <c r="BU168" i="15"/>
  <c r="BP168" i="15"/>
  <c r="BM168" i="15"/>
  <c r="BI168" i="15"/>
  <c r="BH168" i="15"/>
  <c r="BG168" i="15"/>
  <c r="BB168" i="15"/>
  <c r="AY168" i="15"/>
  <c r="AU168" i="15"/>
  <c r="AT168" i="15"/>
  <c r="AS168" i="15"/>
  <c r="AN168" i="15"/>
  <c r="AK168" i="15"/>
  <c r="AG168" i="15"/>
  <c r="AF168" i="15"/>
  <c r="AE168" i="15"/>
  <c r="Z168" i="15"/>
  <c r="W168" i="15"/>
  <c r="S168" i="15"/>
  <c r="R168" i="15"/>
  <c r="Q168" i="15"/>
  <c r="K168" i="15"/>
  <c r="J168" i="15"/>
  <c r="H168" i="15"/>
  <c r="EH167" i="15"/>
  <c r="EE167" i="15"/>
  <c r="EA167" i="15"/>
  <c r="DZ167" i="15"/>
  <c r="DY167" i="15"/>
  <c r="DT167" i="15"/>
  <c r="DQ167" i="15"/>
  <c r="DM167" i="15"/>
  <c r="DL167" i="15"/>
  <c r="DK167" i="15"/>
  <c r="DF167" i="15"/>
  <c r="DC167" i="15"/>
  <c r="CY167" i="15"/>
  <c r="CX167" i="15"/>
  <c r="CW167" i="15"/>
  <c r="CR167" i="15"/>
  <c r="CO167" i="15"/>
  <c r="CK167" i="15"/>
  <c r="CJ167" i="15"/>
  <c r="CI167" i="15"/>
  <c r="CD167" i="15"/>
  <c r="CA167" i="15"/>
  <c r="BW167" i="15"/>
  <c r="BV167" i="15"/>
  <c r="BU167" i="15"/>
  <c r="BP167" i="15"/>
  <c r="BM167" i="15"/>
  <c r="BI167" i="15"/>
  <c r="BH167" i="15"/>
  <c r="BG167" i="15"/>
  <c r="BB167" i="15"/>
  <c r="AY167" i="15"/>
  <c r="AU167" i="15"/>
  <c r="AT167" i="15"/>
  <c r="AS167" i="15"/>
  <c r="AN167" i="15"/>
  <c r="AK167" i="15"/>
  <c r="AG167" i="15"/>
  <c r="AF167" i="15"/>
  <c r="AE167" i="15"/>
  <c r="Z167" i="15"/>
  <c r="W167" i="15"/>
  <c r="S167" i="15"/>
  <c r="R167" i="15"/>
  <c r="Q167" i="15"/>
  <c r="K167" i="15"/>
  <c r="J167" i="15"/>
  <c r="H167" i="15"/>
  <c r="EH166" i="15"/>
  <c r="EE166" i="15"/>
  <c r="EA166" i="15"/>
  <c r="DZ166" i="15"/>
  <c r="DY166" i="15"/>
  <c r="DT166" i="15"/>
  <c r="DQ166" i="15"/>
  <c r="DM166" i="15"/>
  <c r="DL166" i="15"/>
  <c r="DK166" i="15"/>
  <c r="DF166" i="15"/>
  <c r="DC166" i="15"/>
  <c r="CY166" i="15"/>
  <c r="CX166" i="15"/>
  <c r="CW166" i="15"/>
  <c r="CR166" i="15"/>
  <c r="CO166" i="15"/>
  <c r="CK166" i="15"/>
  <c r="CJ166" i="15"/>
  <c r="CI166" i="15"/>
  <c r="CD166" i="15"/>
  <c r="CA166" i="15"/>
  <c r="BW166" i="15"/>
  <c r="BV166" i="15"/>
  <c r="BU166" i="15"/>
  <c r="BP166" i="15"/>
  <c r="BM166" i="15"/>
  <c r="BI166" i="15"/>
  <c r="BH166" i="15"/>
  <c r="BG166" i="15"/>
  <c r="BB166" i="15"/>
  <c r="AY166" i="15"/>
  <c r="AU166" i="15"/>
  <c r="AT166" i="15"/>
  <c r="AS166" i="15"/>
  <c r="AN166" i="15"/>
  <c r="AK166" i="15"/>
  <c r="AG166" i="15"/>
  <c r="AF166" i="15"/>
  <c r="AE166" i="15"/>
  <c r="Z166" i="15"/>
  <c r="W166" i="15"/>
  <c r="S166" i="15"/>
  <c r="R166" i="15"/>
  <c r="Q166" i="15"/>
  <c r="K166" i="15"/>
  <c r="J166" i="15"/>
  <c r="H166" i="15"/>
  <c r="EH165" i="15"/>
  <c r="EE165" i="15"/>
  <c r="EA165" i="15"/>
  <c r="DZ165" i="15"/>
  <c r="DY165" i="15"/>
  <c r="DT165" i="15"/>
  <c r="DQ165" i="15"/>
  <c r="DM165" i="15"/>
  <c r="DL165" i="15"/>
  <c r="DK165" i="15"/>
  <c r="DF165" i="15"/>
  <c r="DC165" i="15"/>
  <c r="CY165" i="15"/>
  <c r="CX165" i="15"/>
  <c r="CW165" i="15"/>
  <c r="CR165" i="15"/>
  <c r="CO165" i="15"/>
  <c r="CK165" i="15"/>
  <c r="CJ165" i="15"/>
  <c r="CI165" i="15"/>
  <c r="CD165" i="15"/>
  <c r="CA165" i="15"/>
  <c r="BW165" i="15"/>
  <c r="BV165" i="15"/>
  <c r="BU165" i="15"/>
  <c r="BP165" i="15"/>
  <c r="BM165" i="15"/>
  <c r="BI165" i="15"/>
  <c r="BH165" i="15"/>
  <c r="BG165" i="15"/>
  <c r="BB165" i="15"/>
  <c r="AY165" i="15"/>
  <c r="AU165" i="15"/>
  <c r="AT165" i="15"/>
  <c r="AS165" i="15"/>
  <c r="AN165" i="15"/>
  <c r="AK165" i="15"/>
  <c r="AG165" i="15"/>
  <c r="AF165" i="15"/>
  <c r="AE165" i="15"/>
  <c r="Z165" i="15"/>
  <c r="W165" i="15"/>
  <c r="S165" i="15"/>
  <c r="R165" i="15"/>
  <c r="Q165" i="15"/>
  <c r="K165" i="15"/>
  <c r="J165" i="15"/>
  <c r="H165" i="15"/>
  <c r="EH164" i="15"/>
  <c r="EE164" i="15"/>
  <c r="EA164" i="15"/>
  <c r="DZ164" i="15"/>
  <c r="DY164" i="15"/>
  <c r="DT164" i="15"/>
  <c r="DQ164" i="15"/>
  <c r="DM164" i="15"/>
  <c r="DL164" i="15"/>
  <c r="DK164" i="15"/>
  <c r="DF164" i="15"/>
  <c r="DC164" i="15"/>
  <c r="CY164" i="15"/>
  <c r="CX164" i="15"/>
  <c r="CW164" i="15"/>
  <c r="CR164" i="15"/>
  <c r="CO164" i="15"/>
  <c r="CK164" i="15"/>
  <c r="CJ164" i="15"/>
  <c r="CI164" i="15"/>
  <c r="CD164" i="15"/>
  <c r="CA164" i="15"/>
  <c r="BW164" i="15"/>
  <c r="BV164" i="15"/>
  <c r="BU164" i="15"/>
  <c r="BP164" i="15"/>
  <c r="BM164" i="15"/>
  <c r="BI164" i="15"/>
  <c r="BH164" i="15"/>
  <c r="BG164" i="15"/>
  <c r="BB164" i="15"/>
  <c r="AY164" i="15"/>
  <c r="AU164" i="15"/>
  <c r="AT164" i="15"/>
  <c r="AS164" i="15"/>
  <c r="AN164" i="15"/>
  <c r="AK164" i="15"/>
  <c r="AG164" i="15"/>
  <c r="AF164" i="15"/>
  <c r="AE164" i="15"/>
  <c r="Z164" i="15"/>
  <c r="W164" i="15"/>
  <c r="S164" i="15"/>
  <c r="R164" i="15"/>
  <c r="Q164" i="15"/>
  <c r="K164" i="15"/>
  <c r="J164" i="15"/>
  <c r="H164" i="15"/>
  <c r="EH163" i="15"/>
  <c r="EE163" i="15"/>
  <c r="EA163" i="15"/>
  <c r="DZ163" i="15"/>
  <c r="DY163" i="15"/>
  <c r="DT163" i="15"/>
  <c r="DQ163" i="15"/>
  <c r="DM163" i="15"/>
  <c r="DL163" i="15"/>
  <c r="DK163" i="15"/>
  <c r="DF163" i="15"/>
  <c r="DC163" i="15"/>
  <c r="CY163" i="15"/>
  <c r="CX163" i="15"/>
  <c r="CW163" i="15"/>
  <c r="CR163" i="15"/>
  <c r="CO163" i="15"/>
  <c r="CK163" i="15"/>
  <c r="CJ163" i="15"/>
  <c r="CI163" i="15"/>
  <c r="CD163" i="15"/>
  <c r="CA163" i="15"/>
  <c r="BW163" i="15"/>
  <c r="BV163" i="15"/>
  <c r="BU163" i="15"/>
  <c r="BP163" i="15"/>
  <c r="BM163" i="15"/>
  <c r="BI163" i="15"/>
  <c r="BH163" i="15"/>
  <c r="BG163" i="15"/>
  <c r="BB163" i="15"/>
  <c r="AY163" i="15"/>
  <c r="AU163" i="15"/>
  <c r="AT163" i="15"/>
  <c r="AS163" i="15"/>
  <c r="AN163" i="15"/>
  <c r="AK163" i="15"/>
  <c r="AG163" i="15"/>
  <c r="AF163" i="15"/>
  <c r="AE163" i="15"/>
  <c r="Z163" i="15"/>
  <c r="W163" i="15"/>
  <c r="S163" i="15"/>
  <c r="R163" i="15"/>
  <c r="Q163" i="15"/>
  <c r="K163" i="15"/>
  <c r="J163" i="15"/>
  <c r="H163" i="15"/>
  <c r="EH162" i="15"/>
  <c r="EE162" i="15"/>
  <c r="EA162" i="15"/>
  <c r="DZ162" i="15"/>
  <c r="DY162" i="15"/>
  <c r="DT162" i="15"/>
  <c r="DQ162" i="15"/>
  <c r="DM162" i="15"/>
  <c r="DL162" i="15"/>
  <c r="DK162" i="15"/>
  <c r="DF162" i="15"/>
  <c r="DC162" i="15"/>
  <c r="CY162" i="15"/>
  <c r="CX162" i="15"/>
  <c r="CW162" i="15"/>
  <c r="CR162" i="15"/>
  <c r="CO162" i="15"/>
  <c r="CK162" i="15"/>
  <c r="CJ162" i="15"/>
  <c r="CI162" i="15"/>
  <c r="CD162" i="15"/>
  <c r="CA162" i="15"/>
  <c r="BW162" i="15"/>
  <c r="BV162" i="15"/>
  <c r="BU162" i="15"/>
  <c r="BP162" i="15"/>
  <c r="BM162" i="15"/>
  <c r="BI162" i="15"/>
  <c r="BH162" i="15"/>
  <c r="BG162" i="15"/>
  <c r="BB162" i="15"/>
  <c r="AY162" i="15"/>
  <c r="AU162" i="15"/>
  <c r="AT162" i="15"/>
  <c r="AS162" i="15"/>
  <c r="AN162" i="15"/>
  <c r="AK162" i="15"/>
  <c r="AG162" i="15"/>
  <c r="AF162" i="15"/>
  <c r="AE162" i="15"/>
  <c r="Z162" i="15"/>
  <c r="W162" i="15"/>
  <c r="S162" i="15"/>
  <c r="R162" i="15"/>
  <c r="Q162" i="15"/>
  <c r="K162" i="15"/>
  <c r="J162" i="15"/>
  <c r="H162" i="15"/>
  <c r="EH161" i="15"/>
  <c r="EE161" i="15"/>
  <c r="EA161" i="15"/>
  <c r="DZ161" i="15"/>
  <c r="DY161" i="15"/>
  <c r="DT161" i="15"/>
  <c r="DQ161" i="15"/>
  <c r="DM161" i="15"/>
  <c r="DL161" i="15"/>
  <c r="DK161" i="15"/>
  <c r="DF161" i="15"/>
  <c r="DC161" i="15"/>
  <c r="CY161" i="15"/>
  <c r="CX161" i="15"/>
  <c r="CW161" i="15"/>
  <c r="CR161" i="15"/>
  <c r="CO161" i="15"/>
  <c r="CK161" i="15"/>
  <c r="CJ161" i="15"/>
  <c r="CI161" i="15"/>
  <c r="CD161" i="15"/>
  <c r="CA161" i="15"/>
  <c r="BW161" i="15"/>
  <c r="BV161" i="15"/>
  <c r="BU161" i="15"/>
  <c r="BP161" i="15"/>
  <c r="BM161" i="15"/>
  <c r="BI161" i="15"/>
  <c r="BH161" i="15"/>
  <c r="BG161" i="15"/>
  <c r="BB161" i="15"/>
  <c r="AY161" i="15"/>
  <c r="AU161" i="15"/>
  <c r="AT161" i="15"/>
  <c r="AS161" i="15"/>
  <c r="AN161" i="15"/>
  <c r="AK161" i="15"/>
  <c r="AG161" i="15"/>
  <c r="AF161" i="15"/>
  <c r="AE161" i="15"/>
  <c r="Z161" i="15"/>
  <c r="W161" i="15"/>
  <c r="S161" i="15"/>
  <c r="R161" i="15"/>
  <c r="Q161" i="15"/>
  <c r="K161" i="15"/>
  <c r="J161" i="15"/>
  <c r="H161" i="15"/>
  <c r="EH160" i="15"/>
  <c r="EE160" i="15"/>
  <c r="EA160" i="15"/>
  <c r="DZ160" i="15"/>
  <c r="DY160" i="15"/>
  <c r="DT160" i="15"/>
  <c r="DQ160" i="15"/>
  <c r="DM160" i="15"/>
  <c r="DL160" i="15"/>
  <c r="DK160" i="15"/>
  <c r="DF160" i="15"/>
  <c r="DC160" i="15"/>
  <c r="CY160" i="15"/>
  <c r="CX160" i="15"/>
  <c r="CW160" i="15"/>
  <c r="CR160" i="15"/>
  <c r="CO160" i="15"/>
  <c r="CK160" i="15"/>
  <c r="CJ160" i="15"/>
  <c r="CI160" i="15"/>
  <c r="CD160" i="15"/>
  <c r="CA160" i="15"/>
  <c r="BW160" i="15"/>
  <c r="BV160" i="15"/>
  <c r="BU160" i="15"/>
  <c r="BP160" i="15"/>
  <c r="BM160" i="15"/>
  <c r="BI160" i="15"/>
  <c r="BH160" i="15"/>
  <c r="BG160" i="15"/>
  <c r="BB160" i="15"/>
  <c r="AY160" i="15"/>
  <c r="AU160" i="15"/>
  <c r="AT160" i="15"/>
  <c r="AS160" i="15"/>
  <c r="AN160" i="15"/>
  <c r="AK160" i="15"/>
  <c r="AG160" i="15"/>
  <c r="AF160" i="15"/>
  <c r="AE160" i="15"/>
  <c r="Z160" i="15"/>
  <c r="W160" i="15"/>
  <c r="S160" i="15"/>
  <c r="R160" i="15"/>
  <c r="Q160" i="15"/>
  <c r="K160" i="15"/>
  <c r="J160" i="15"/>
  <c r="H160" i="15"/>
  <c r="EH159" i="15"/>
  <c r="EE159" i="15"/>
  <c r="EA159" i="15"/>
  <c r="DZ159" i="15"/>
  <c r="DY159" i="15"/>
  <c r="DT159" i="15"/>
  <c r="DQ159" i="15"/>
  <c r="DM159" i="15"/>
  <c r="DL159" i="15"/>
  <c r="DK159" i="15"/>
  <c r="DF159" i="15"/>
  <c r="DC159" i="15"/>
  <c r="CY159" i="15"/>
  <c r="CX159" i="15"/>
  <c r="CW159" i="15"/>
  <c r="CR159" i="15"/>
  <c r="CO159" i="15"/>
  <c r="CK159" i="15"/>
  <c r="CJ159" i="15"/>
  <c r="CI159" i="15"/>
  <c r="CD159" i="15"/>
  <c r="CA159" i="15"/>
  <c r="BW159" i="15"/>
  <c r="BV159" i="15"/>
  <c r="BU159" i="15"/>
  <c r="BP159" i="15"/>
  <c r="BM159" i="15"/>
  <c r="BI159" i="15"/>
  <c r="BH159" i="15"/>
  <c r="BG159" i="15"/>
  <c r="BB159" i="15"/>
  <c r="AY159" i="15"/>
  <c r="AU159" i="15"/>
  <c r="AT159" i="15"/>
  <c r="AS159" i="15"/>
  <c r="AN159" i="15"/>
  <c r="AK159" i="15"/>
  <c r="AG159" i="15"/>
  <c r="AF159" i="15"/>
  <c r="AE159" i="15"/>
  <c r="Z159" i="15"/>
  <c r="W159" i="15"/>
  <c r="S159" i="15"/>
  <c r="R159" i="15"/>
  <c r="Q159" i="15"/>
  <c r="K159" i="15"/>
  <c r="J159" i="15"/>
  <c r="H159" i="15"/>
  <c r="EH158" i="15"/>
  <c r="EE158" i="15"/>
  <c r="EA158" i="15"/>
  <c r="DZ158" i="15"/>
  <c r="DY158" i="15"/>
  <c r="DT158" i="15"/>
  <c r="DQ158" i="15"/>
  <c r="DM158" i="15"/>
  <c r="DL158" i="15"/>
  <c r="DK158" i="15"/>
  <c r="DF158" i="15"/>
  <c r="DC158" i="15"/>
  <c r="CY158" i="15"/>
  <c r="CX158" i="15"/>
  <c r="CW158" i="15"/>
  <c r="CR158" i="15"/>
  <c r="CO158" i="15"/>
  <c r="CK158" i="15"/>
  <c r="CJ158" i="15"/>
  <c r="CI158" i="15"/>
  <c r="CD158" i="15"/>
  <c r="CA158" i="15"/>
  <c r="BW158" i="15"/>
  <c r="BV158" i="15"/>
  <c r="BU158" i="15"/>
  <c r="BP158" i="15"/>
  <c r="BM158" i="15"/>
  <c r="BI158" i="15"/>
  <c r="BH158" i="15"/>
  <c r="BG158" i="15"/>
  <c r="BB158" i="15"/>
  <c r="AY158" i="15"/>
  <c r="AU158" i="15"/>
  <c r="AT158" i="15"/>
  <c r="AS158" i="15"/>
  <c r="AN158" i="15"/>
  <c r="AK158" i="15"/>
  <c r="AG158" i="15"/>
  <c r="AF158" i="15"/>
  <c r="AE158" i="15"/>
  <c r="Z158" i="15"/>
  <c r="W158" i="15"/>
  <c r="S158" i="15"/>
  <c r="R158" i="15"/>
  <c r="Q158" i="15"/>
  <c r="K158" i="15"/>
  <c r="J158" i="15"/>
  <c r="H158" i="15"/>
  <c r="EH157" i="15"/>
  <c r="EE157" i="15"/>
  <c r="EA157" i="15"/>
  <c r="DZ157" i="15"/>
  <c r="DY157" i="15"/>
  <c r="DT157" i="15"/>
  <c r="DQ157" i="15"/>
  <c r="DM157" i="15"/>
  <c r="DL157" i="15"/>
  <c r="DK157" i="15"/>
  <c r="DF157" i="15"/>
  <c r="DC157" i="15"/>
  <c r="CY157" i="15"/>
  <c r="CX157" i="15"/>
  <c r="CW157" i="15"/>
  <c r="CR157" i="15"/>
  <c r="CO157" i="15"/>
  <c r="CK157" i="15"/>
  <c r="CJ157" i="15"/>
  <c r="CI157" i="15"/>
  <c r="CD157" i="15"/>
  <c r="CA157" i="15"/>
  <c r="BW157" i="15"/>
  <c r="BV157" i="15"/>
  <c r="BU157" i="15"/>
  <c r="BP157" i="15"/>
  <c r="BM157" i="15"/>
  <c r="BI157" i="15"/>
  <c r="BH157" i="15"/>
  <c r="BG157" i="15"/>
  <c r="BB157" i="15"/>
  <c r="AY157" i="15"/>
  <c r="AU157" i="15"/>
  <c r="AT157" i="15"/>
  <c r="AS157" i="15"/>
  <c r="AN157" i="15"/>
  <c r="AK157" i="15"/>
  <c r="AG157" i="15"/>
  <c r="AF157" i="15"/>
  <c r="AE157" i="15"/>
  <c r="Z157" i="15"/>
  <c r="W157" i="15"/>
  <c r="S157" i="15"/>
  <c r="R157" i="15"/>
  <c r="Q157" i="15"/>
  <c r="K157" i="15"/>
  <c r="J157" i="15"/>
  <c r="H157" i="15"/>
  <c r="EH156" i="15"/>
  <c r="EE156" i="15"/>
  <c r="EA156" i="15"/>
  <c r="DZ156" i="15"/>
  <c r="DY156" i="15"/>
  <c r="DT156" i="15"/>
  <c r="DQ156" i="15"/>
  <c r="DM156" i="15"/>
  <c r="DL156" i="15"/>
  <c r="DK156" i="15"/>
  <c r="DF156" i="15"/>
  <c r="DC156" i="15"/>
  <c r="CY156" i="15"/>
  <c r="CX156" i="15"/>
  <c r="CW156" i="15"/>
  <c r="CR156" i="15"/>
  <c r="CO156" i="15"/>
  <c r="CK156" i="15"/>
  <c r="CJ156" i="15"/>
  <c r="CI156" i="15"/>
  <c r="CD156" i="15"/>
  <c r="CA156" i="15"/>
  <c r="BW156" i="15"/>
  <c r="BV156" i="15"/>
  <c r="BU156" i="15"/>
  <c r="BP156" i="15"/>
  <c r="BM156" i="15"/>
  <c r="BI156" i="15"/>
  <c r="BH156" i="15"/>
  <c r="BG156" i="15"/>
  <c r="BB156" i="15"/>
  <c r="AY156" i="15"/>
  <c r="AU156" i="15"/>
  <c r="AT156" i="15"/>
  <c r="AS156" i="15"/>
  <c r="AN156" i="15"/>
  <c r="AK156" i="15"/>
  <c r="AG156" i="15"/>
  <c r="AF156" i="15"/>
  <c r="AE156" i="15"/>
  <c r="Z156" i="15"/>
  <c r="W156" i="15"/>
  <c r="S156" i="15"/>
  <c r="R156" i="15"/>
  <c r="Q156" i="15"/>
  <c r="K156" i="15"/>
  <c r="J156" i="15"/>
  <c r="H156" i="15"/>
  <c r="EH155" i="15"/>
  <c r="EE155" i="15"/>
  <c r="EA155" i="15"/>
  <c r="DZ155" i="15"/>
  <c r="DY155" i="15"/>
  <c r="DT155" i="15"/>
  <c r="DQ155" i="15"/>
  <c r="DM155" i="15"/>
  <c r="DL155" i="15"/>
  <c r="DK155" i="15"/>
  <c r="DF155" i="15"/>
  <c r="DC155" i="15"/>
  <c r="CY155" i="15"/>
  <c r="CX155" i="15"/>
  <c r="CW155" i="15"/>
  <c r="CR155" i="15"/>
  <c r="CO155" i="15"/>
  <c r="CK155" i="15"/>
  <c r="CJ155" i="15"/>
  <c r="CI155" i="15"/>
  <c r="CD155" i="15"/>
  <c r="CA155" i="15"/>
  <c r="BW155" i="15"/>
  <c r="BV155" i="15"/>
  <c r="BU155" i="15"/>
  <c r="BP155" i="15"/>
  <c r="BM155" i="15"/>
  <c r="BI155" i="15"/>
  <c r="BH155" i="15"/>
  <c r="BG155" i="15"/>
  <c r="BB155" i="15"/>
  <c r="AY155" i="15"/>
  <c r="AU155" i="15"/>
  <c r="AT155" i="15"/>
  <c r="AS155" i="15"/>
  <c r="AN155" i="15"/>
  <c r="AK155" i="15"/>
  <c r="AG155" i="15"/>
  <c r="AF155" i="15"/>
  <c r="AE155" i="15"/>
  <c r="Z155" i="15"/>
  <c r="W155" i="15"/>
  <c r="S155" i="15"/>
  <c r="R155" i="15"/>
  <c r="Q155" i="15"/>
  <c r="K155" i="15"/>
  <c r="J155" i="15"/>
  <c r="H155" i="15"/>
  <c r="EH154" i="15"/>
  <c r="EE154" i="15"/>
  <c r="EA154" i="15"/>
  <c r="DZ154" i="15"/>
  <c r="DY154" i="15"/>
  <c r="DT154" i="15"/>
  <c r="DQ154" i="15"/>
  <c r="DM154" i="15"/>
  <c r="DL154" i="15"/>
  <c r="DK154" i="15"/>
  <c r="DF154" i="15"/>
  <c r="DC154" i="15"/>
  <c r="CY154" i="15"/>
  <c r="CX154" i="15"/>
  <c r="CW154" i="15"/>
  <c r="CR154" i="15"/>
  <c r="CO154" i="15"/>
  <c r="CK154" i="15"/>
  <c r="CJ154" i="15"/>
  <c r="CI154" i="15"/>
  <c r="CD154" i="15"/>
  <c r="CA154" i="15"/>
  <c r="BW154" i="15"/>
  <c r="BV154" i="15"/>
  <c r="BU154" i="15"/>
  <c r="BP154" i="15"/>
  <c r="BM154" i="15"/>
  <c r="BI154" i="15"/>
  <c r="BH154" i="15"/>
  <c r="BG154" i="15"/>
  <c r="BB154" i="15"/>
  <c r="AY154" i="15"/>
  <c r="AU154" i="15"/>
  <c r="AT154" i="15"/>
  <c r="AS154" i="15"/>
  <c r="AN154" i="15"/>
  <c r="AK154" i="15"/>
  <c r="AG154" i="15"/>
  <c r="AF154" i="15"/>
  <c r="AE154" i="15"/>
  <c r="Z154" i="15"/>
  <c r="W154" i="15"/>
  <c r="S154" i="15"/>
  <c r="R154" i="15"/>
  <c r="Q154" i="15"/>
  <c r="K154" i="15"/>
  <c r="J154" i="15"/>
  <c r="H154" i="15"/>
  <c r="EH153" i="15"/>
  <c r="EE153" i="15"/>
  <c r="EA153" i="15"/>
  <c r="DZ153" i="15"/>
  <c r="DY153" i="15"/>
  <c r="DT153" i="15"/>
  <c r="DQ153" i="15"/>
  <c r="DM153" i="15"/>
  <c r="DL153" i="15"/>
  <c r="DK153" i="15"/>
  <c r="DF153" i="15"/>
  <c r="DC153" i="15"/>
  <c r="CY153" i="15"/>
  <c r="CX153" i="15"/>
  <c r="CW153" i="15"/>
  <c r="CR153" i="15"/>
  <c r="CO153" i="15"/>
  <c r="CK153" i="15"/>
  <c r="CJ153" i="15"/>
  <c r="CI153" i="15"/>
  <c r="CD153" i="15"/>
  <c r="CA153" i="15"/>
  <c r="BW153" i="15"/>
  <c r="BV153" i="15"/>
  <c r="BU153" i="15"/>
  <c r="BP153" i="15"/>
  <c r="BM153" i="15"/>
  <c r="BI153" i="15"/>
  <c r="BH153" i="15"/>
  <c r="BG153" i="15"/>
  <c r="BB153" i="15"/>
  <c r="AY153" i="15"/>
  <c r="AU153" i="15"/>
  <c r="AT153" i="15"/>
  <c r="AS153" i="15"/>
  <c r="AN153" i="15"/>
  <c r="AK153" i="15"/>
  <c r="AG153" i="15"/>
  <c r="AF153" i="15"/>
  <c r="AE153" i="15"/>
  <c r="Z153" i="15"/>
  <c r="W153" i="15"/>
  <c r="S153" i="15"/>
  <c r="R153" i="15"/>
  <c r="Q153" i="15"/>
  <c r="K153" i="15"/>
  <c r="J153" i="15"/>
  <c r="H153" i="15"/>
  <c r="EH152" i="15"/>
  <c r="EE152" i="15"/>
  <c r="EA152" i="15"/>
  <c r="DZ152" i="15"/>
  <c r="DY152" i="15"/>
  <c r="DT152" i="15"/>
  <c r="DQ152" i="15"/>
  <c r="DM152" i="15"/>
  <c r="DL152" i="15"/>
  <c r="DK152" i="15"/>
  <c r="DF152" i="15"/>
  <c r="DC152" i="15"/>
  <c r="CY152" i="15"/>
  <c r="CX152" i="15"/>
  <c r="CW152" i="15"/>
  <c r="CR152" i="15"/>
  <c r="CO152" i="15"/>
  <c r="CK152" i="15"/>
  <c r="CJ152" i="15"/>
  <c r="CI152" i="15"/>
  <c r="CD152" i="15"/>
  <c r="CA152" i="15"/>
  <c r="BW152" i="15"/>
  <c r="BV152" i="15"/>
  <c r="BU152" i="15"/>
  <c r="BP152" i="15"/>
  <c r="BM152" i="15"/>
  <c r="BI152" i="15"/>
  <c r="BH152" i="15"/>
  <c r="BG152" i="15"/>
  <c r="BB152" i="15"/>
  <c r="AY152" i="15"/>
  <c r="AU152" i="15"/>
  <c r="AT152" i="15"/>
  <c r="AS152" i="15"/>
  <c r="AN152" i="15"/>
  <c r="AK152" i="15"/>
  <c r="AG152" i="15"/>
  <c r="AF152" i="15"/>
  <c r="AE152" i="15"/>
  <c r="Z152" i="15"/>
  <c r="W152" i="15"/>
  <c r="S152" i="15"/>
  <c r="R152" i="15"/>
  <c r="Q152" i="15"/>
  <c r="K152" i="15"/>
  <c r="J152" i="15"/>
  <c r="H152" i="15"/>
  <c r="EH151" i="15"/>
  <c r="EE151" i="15"/>
  <c r="EA151" i="15"/>
  <c r="DZ151" i="15"/>
  <c r="DY151" i="15"/>
  <c r="DT151" i="15"/>
  <c r="DQ151" i="15"/>
  <c r="DM151" i="15"/>
  <c r="DL151" i="15"/>
  <c r="DK151" i="15"/>
  <c r="DF151" i="15"/>
  <c r="DC151" i="15"/>
  <c r="CY151" i="15"/>
  <c r="CX151" i="15"/>
  <c r="CW151" i="15"/>
  <c r="CR151" i="15"/>
  <c r="CO151" i="15"/>
  <c r="CK151" i="15"/>
  <c r="CJ151" i="15"/>
  <c r="CI151" i="15"/>
  <c r="CD151" i="15"/>
  <c r="CA151" i="15"/>
  <c r="BW151" i="15"/>
  <c r="BV151" i="15"/>
  <c r="BU151" i="15"/>
  <c r="BP151" i="15"/>
  <c r="BM151" i="15"/>
  <c r="BI151" i="15"/>
  <c r="BH151" i="15"/>
  <c r="BG151" i="15"/>
  <c r="BB151" i="15"/>
  <c r="AY151" i="15"/>
  <c r="AU151" i="15"/>
  <c r="AT151" i="15"/>
  <c r="AS151" i="15"/>
  <c r="AN151" i="15"/>
  <c r="AK151" i="15"/>
  <c r="AG151" i="15"/>
  <c r="AF151" i="15"/>
  <c r="AE151" i="15"/>
  <c r="Z151" i="15"/>
  <c r="W151" i="15"/>
  <c r="S151" i="15"/>
  <c r="R151" i="15"/>
  <c r="Q151" i="15"/>
  <c r="K151" i="15"/>
  <c r="J151" i="15"/>
  <c r="H151" i="15"/>
  <c r="EH150" i="15"/>
  <c r="EE150" i="15"/>
  <c r="EA150" i="15"/>
  <c r="DZ150" i="15"/>
  <c r="DY150" i="15"/>
  <c r="DT150" i="15"/>
  <c r="DQ150" i="15"/>
  <c r="DM150" i="15"/>
  <c r="DL150" i="15"/>
  <c r="DK150" i="15"/>
  <c r="DF150" i="15"/>
  <c r="DC150" i="15"/>
  <c r="CY150" i="15"/>
  <c r="CX150" i="15"/>
  <c r="CW150" i="15"/>
  <c r="CR150" i="15"/>
  <c r="CO150" i="15"/>
  <c r="CK150" i="15"/>
  <c r="CJ150" i="15"/>
  <c r="CI150" i="15"/>
  <c r="CD150" i="15"/>
  <c r="CA150" i="15"/>
  <c r="BW150" i="15"/>
  <c r="BV150" i="15"/>
  <c r="BU150" i="15"/>
  <c r="BP150" i="15"/>
  <c r="BM150" i="15"/>
  <c r="BI150" i="15"/>
  <c r="BH150" i="15"/>
  <c r="BG150" i="15"/>
  <c r="BB150" i="15"/>
  <c r="AY150" i="15"/>
  <c r="AU150" i="15"/>
  <c r="AT150" i="15"/>
  <c r="AS150" i="15"/>
  <c r="AN150" i="15"/>
  <c r="AK150" i="15"/>
  <c r="AG150" i="15"/>
  <c r="AF150" i="15"/>
  <c r="AE150" i="15"/>
  <c r="Z150" i="15"/>
  <c r="W150" i="15"/>
  <c r="S150" i="15"/>
  <c r="R150" i="15"/>
  <c r="Q150" i="15"/>
  <c r="K150" i="15"/>
  <c r="J150" i="15"/>
  <c r="H150" i="15"/>
  <c r="EH149" i="15"/>
  <c r="EE149" i="15"/>
  <c r="EA149" i="15"/>
  <c r="DZ149" i="15"/>
  <c r="DY149" i="15"/>
  <c r="DT149" i="15"/>
  <c r="DQ149" i="15"/>
  <c r="DM149" i="15"/>
  <c r="DL149" i="15"/>
  <c r="DK149" i="15"/>
  <c r="DF149" i="15"/>
  <c r="DC149" i="15"/>
  <c r="CY149" i="15"/>
  <c r="CX149" i="15"/>
  <c r="CW149" i="15"/>
  <c r="CR149" i="15"/>
  <c r="CO149" i="15"/>
  <c r="CK149" i="15"/>
  <c r="CJ149" i="15"/>
  <c r="CI149" i="15"/>
  <c r="CD149" i="15"/>
  <c r="CA149" i="15"/>
  <c r="BW149" i="15"/>
  <c r="BV149" i="15"/>
  <c r="BU149" i="15"/>
  <c r="BP149" i="15"/>
  <c r="BM149" i="15"/>
  <c r="BI149" i="15"/>
  <c r="BH149" i="15"/>
  <c r="BG149" i="15"/>
  <c r="BB149" i="15"/>
  <c r="AY149" i="15"/>
  <c r="AU149" i="15"/>
  <c r="AT149" i="15"/>
  <c r="AS149" i="15"/>
  <c r="AN149" i="15"/>
  <c r="AK149" i="15"/>
  <c r="AG149" i="15"/>
  <c r="AF149" i="15"/>
  <c r="AE149" i="15"/>
  <c r="Z149" i="15"/>
  <c r="W149" i="15"/>
  <c r="S149" i="15"/>
  <c r="R149" i="15"/>
  <c r="Q149" i="15"/>
  <c r="K149" i="15"/>
  <c r="J149" i="15"/>
  <c r="H149" i="15"/>
  <c r="EH148" i="15"/>
  <c r="EE148" i="15"/>
  <c r="EA148" i="15"/>
  <c r="DZ148" i="15"/>
  <c r="DY148" i="15"/>
  <c r="DT148" i="15"/>
  <c r="DQ148" i="15"/>
  <c r="DM148" i="15"/>
  <c r="DL148" i="15"/>
  <c r="DK148" i="15"/>
  <c r="DF148" i="15"/>
  <c r="DC148" i="15"/>
  <c r="CY148" i="15"/>
  <c r="CX148" i="15"/>
  <c r="CW148" i="15"/>
  <c r="CR148" i="15"/>
  <c r="CO148" i="15"/>
  <c r="CK148" i="15"/>
  <c r="CJ148" i="15"/>
  <c r="CI148" i="15"/>
  <c r="CD148" i="15"/>
  <c r="CA148" i="15"/>
  <c r="BW148" i="15"/>
  <c r="BV148" i="15"/>
  <c r="BU148" i="15"/>
  <c r="BP148" i="15"/>
  <c r="BM148" i="15"/>
  <c r="BI148" i="15"/>
  <c r="BH148" i="15"/>
  <c r="BG148" i="15"/>
  <c r="BB148" i="15"/>
  <c r="AY148" i="15"/>
  <c r="AU148" i="15"/>
  <c r="AT148" i="15"/>
  <c r="AS148" i="15"/>
  <c r="AN148" i="15"/>
  <c r="AK148" i="15"/>
  <c r="AG148" i="15"/>
  <c r="AF148" i="15"/>
  <c r="AE148" i="15"/>
  <c r="Z148" i="15"/>
  <c r="W148" i="15"/>
  <c r="S148" i="15"/>
  <c r="R148" i="15"/>
  <c r="Q148" i="15"/>
  <c r="K148" i="15"/>
  <c r="J148" i="15"/>
  <c r="H148" i="15"/>
  <c r="EH147" i="15"/>
  <c r="EE147" i="15"/>
  <c r="EA147" i="15"/>
  <c r="DZ147" i="15"/>
  <c r="DY147" i="15"/>
  <c r="DT147" i="15"/>
  <c r="DQ147" i="15"/>
  <c r="DM147" i="15"/>
  <c r="DL147" i="15"/>
  <c r="DK147" i="15"/>
  <c r="DF147" i="15"/>
  <c r="DC147" i="15"/>
  <c r="CY147" i="15"/>
  <c r="CX147" i="15"/>
  <c r="CW147" i="15"/>
  <c r="CR147" i="15"/>
  <c r="CO147" i="15"/>
  <c r="CK147" i="15"/>
  <c r="CJ147" i="15"/>
  <c r="CI147" i="15"/>
  <c r="CD147" i="15"/>
  <c r="CA147" i="15"/>
  <c r="BW147" i="15"/>
  <c r="BV147" i="15"/>
  <c r="BU147" i="15"/>
  <c r="BP147" i="15"/>
  <c r="BM147" i="15"/>
  <c r="BI147" i="15"/>
  <c r="BH147" i="15"/>
  <c r="BG147" i="15"/>
  <c r="BB147" i="15"/>
  <c r="AY147" i="15"/>
  <c r="AU147" i="15"/>
  <c r="AT147" i="15"/>
  <c r="AS147" i="15"/>
  <c r="AN147" i="15"/>
  <c r="AK147" i="15"/>
  <c r="AG147" i="15"/>
  <c r="AF147" i="15"/>
  <c r="AE147" i="15"/>
  <c r="Z147" i="15"/>
  <c r="W147" i="15"/>
  <c r="S147" i="15"/>
  <c r="R147" i="15"/>
  <c r="Q147" i="15"/>
  <c r="K147" i="15"/>
  <c r="J147" i="15"/>
  <c r="H147" i="15"/>
  <c r="EH146" i="15"/>
  <c r="EE146" i="15"/>
  <c r="EA146" i="15"/>
  <c r="DZ146" i="15"/>
  <c r="DY146" i="15"/>
  <c r="DT146" i="15"/>
  <c r="DQ146" i="15"/>
  <c r="DM146" i="15"/>
  <c r="DL146" i="15"/>
  <c r="DK146" i="15"/>
  <c r="DF146" i="15"/>
  <c r="DC146" i="15"/>
  <c r="CY146" i="15"/>
  <c r="CX146" i="15"/>
  <c r="CW146" i="15"/>
  <c r="CR146" i="15"/>
  <c r="CO146" i="15"/>
  <c r="CK146" i="15"/>
  <c r="CJ146" i="15"/>
  <c r="CI146" i="15"/>
  <c r="CD146" i="15"/>
  <c r="CA146" i="15"/>
  <c r="BW146" i="15"/>
  <c r="BV146" i="15"/>
  <c r="BU146" i="15"/>
  <c r="BP146" i="15"/>
  <c r="BM146" i="15"/>
  <c r="BI146" i="15"/>
  <c r="BH146" i="15"/>
  <c r="BG146" i="15"/>
  <c r="BB146" i="15"/>
  <c r="AY146" i="15"/>
  <c r="AU146" i="15"/>
  <c r="AT146" i="15"/>
  <c r="AS146" i="15"/>
  <c r="AN146" i="15"/>
  <c r="AK146" i="15"/>
  <c r="AG146" i="15"/>
  <c r="AF146" i="15"/>
  <c r="AE146" i="15"/>
  <c r="Z146" i="15"/>
  <c r="W146" i="15"/>
  <c r="S146" i="15"/>
  <c r="R146" i="15"/>
  <c r="Q146" i="15"/>
  <c r="K146" i="15"/>
  <c r="J146" i="15"/>
  <c r="H146" i="15"/>
  <c r="EH145" i="15"/>
  <c r="EE145" i="15"/>
  <c r="EA145" i="15"/>
  <c r="DZ145" i="15"/>
  <c r="DY145" i="15"/>
  <c r="DT145" i="15"/>
  <c r="DQ145" i="15"/>
  <c r="DM145" i="15"/>
  <c r="DL145" i="15"/>
  <c r="DK145" i="15"/>
  <c r="DF145" i="15"/>
  <c r="DC145" i="15"/>
  <c r="CY145" i="15"/>
  <c r="CX145" i="15"/>
  <c r="CW145" i="15"/>
  <c r="CR145" i="15"/>
  <c r="CO145" i="15"/>
  <c r="CK145" i="15"/>
  <c r="CJ145" i="15"/>
  <c r="CI145" i="15"/>
  <c r="CD145" i="15"/>
  <c r="CA145" i="15"/>
  <c r="BW145" i="15"/>
  <c r="BV145" i="15"/>
  <c r="BU145" i="15"/>
  <c r="BP145" i="15"/>
  <c r="BM145" i="15"/>
  <c r="BI145" i="15"/>
  <c r="BH145" i="15"/>
  <c r="BG145" i="15"/>
  <c r="BB145" i="15"/>
  <c r="AY145" i="15"/>
  <c r="AU145" i="15"/>
  <c r="AT145" i="15"/>
  <c r="AS145" i="15"/>
  <c r="AN145" i="15"/>
  <c r="AK145" i="15"/>
  <c r="AG145" i="15"/>
  <c r="AF145" i="15"/>
  <c r="AE145" i="15"/>
  <c r="Z145" i="15"/>
  <c r="W145" i="15"/>
  <c r="S145" i="15"/>
  <c r="R145" i="15"/>
  <c r="Q145" i="15"/>
  <c r="K145" i="15"/>
  <c r="J145" i="15"/>
  <c r="H145" i="15"/>
  <c r="EH144" i="15"/>
  <c r="EE144" i="15"/>
  <c r="EA144" i="15"/>
  <c r="DZ144" i="15"/>
  <c r="DY144" i="15"/>
  <c r="DT144" i="15"/>
  <c r="DQ144" i="15"/>
  <c r="DM144" i="15"/>
  <c r="DL144" i="15"/>
  <c r="DK144" i="15"/>
  <c r="DF144" i="15"/>
  <c r="DC144" i="15"/>
  <c r="CY144" i="15"/>
  <c r="CX144" i="15"/>
  <c r="CW144" i="15"/>
  <c r="CR144" i="15"/>
  <c r="CO144" i="15"/>
  <c r="CK144" i="15"/>
  <c r="CJ144" i="15"/>
  <c r="CI144" i="15"/>
  <c r="CD144" i="15"/>
  <c r="CA144" i="15"/>
  <c r="BW144" i="15"/>
  <c r="BV144" i="15"/>
  <c r="BU144" i="15"/>
  <c r="BP144" i="15"/>
  <c r="BM144" i="15"/>
  <c r="BI144" i="15"/>
  <c r="BH144" i="15"/>
  <c r="BG144" i="15"/>
  <c r="BB144" i="15"/>
  <c r="AY144" i="15"/>
  <c r="AU144" i="15"/>
  <c r="AT144" i="15"/>
  <c r="AS144" i="15"/>
  <c r="AN144" i="15"/>
  <c r="AK144" i="15"/>
  <c r="AG144" i="15"/>
  <c r="AF144" i="15"/>
  <c r="AE144" i="15"/>
  <c r="Z144" i="15"/>
  <c r="W144" i="15"/>
  <c r="S144" i="15"/>
  <c r="R144" i="15"/>
  <c r="Q144" i="15"/>
  <c r="K144" i="15"/>
  <c r="J144" i="15"/>
  <c r="H144" i="15"/>
  <c r="EH143" i="15"/>
  <c r="EE143" i="15"/>
  <c r="EA143" i="15"/>
  <c r="DZ143" i="15"/>
  <c r="DY143" i="15"/>
  <c r="DT143" i="15"/>
  <c r="DQ143" i="15"/>
  <c r="DM143" i="15"/>
  <c r="DL143" i="15"/>
  <c r="DK143" i="15"/>
  <c r="DF143" i="15"/>
  <c r="DC143" i="15"/>
  <c r="CY143" i="15"/>
  <c r="CX143" i="15"/>
  <c r="CW143" i="15"/>
  <c r="CR143" i="15"/>
  <c r="CO143" i="15"/>
  <c r="CK143" i="15"/>
  <c r="CJ143" i="15"/>
  <c r="CI143" i="15"/>
  <c r="CD143" i="15"/>
  <c r="CA143" i="15"/>
  <c r="BW143" i="15"/>
  <c r="BV143" i="15"/>
  <c r="BU143" i="15"/>
  <c r="BP143" i="15"/>
  <c r="BM143" i="15"/>
  <c r="BI143" i="15"/>
  <c r="BH143" i="15"/>
  <c r="BG143" i="15"/>
  <c r="BB143" i="15"/>
  <c r="AY143" i="15"/>
  <c r="AU143" i="15"/>
  <c r="AT143" i="15"/>
  <c r="AS143" i="15"/>
  <c r="AN143" i="15"/>
  <c r="AK143" i="15"/>
  <c r="AG143" i="15"/>
  <c r="AF143" i="15"/>
  <c r="AE143" i="15"/>
  <c r="Z143" i="15"/>
  <c r="W143" i="15"/>
  <c r="S143" i="15"/>
  <c r="R143" i="15"/>
  <c r="Q143" i="15"/>
  <c r="K143" i="15"/>
  <c r="J143" i="15"/>
  <c r="H143" i="15"/>
  <c r="EH142" i="15"/>
  <c r="EE142" i="15"/>
  <c r="EA142" i="15"/>
  <c r="DZ142" i="15"/>
  <c r="DY142" i="15"/>
  <c r="DT142" i="15"/>
  <c r="DQ142" i="15"/>
  <c r="DM142" i="15"/>
  <c r="DL142" i="15"/>
  <c r="DK142" i="15"/>
  <c r="DF142" i="15"/>
  <c r="DC142" i="15"/>
  <c r="CY142" i="15"/>
  <c r="CX142" i="15"/>
  <c r="CW142" i="15"/>
  <c r="CR142" i="15"/>
  <c r="CO142" i="15"/>
  <c r="CK142" i="15"/>
  <c r="CJ142" i="15"/>
  <c r="CI142" i="15"/>
  <c r="CD142" i="15"/>
  <c r="CA142" i="15"/>
  <c r="BW142" i="15"/>
  <c r="BV142" i="15"/>
  <c r="BU142" i="15"/>
  <c r="BP142" i="15"/>
  <c r="BM142" i="15"/>
  <c r="BI142" i="15"/>
  <c r="BH142" i="15"/>
  <c r="BG142" i="15"/>
  <c r="BB142" i="15"/>
  <c r="AY142" i="15"/>
  <c r="AU142" i="15"/>
  <c r="AT142" i="15"/>
  <c r="AS142" i="15"/>
  <c r="AN142" i="15"/>
  <c r="AK142" i="15"/>
  <c r="AG142" i="15"/>
  <c r="AF142" i="15"/>
  <c r="AE142" i="15"/>
  <c r="Z142" i="15"/>
  <c r="W142" i="15"/>
  <c r="S142" i="15"/>
  <c r="R142" i="15"/>
  <c r="Q142" i="15"/>
  <c r="K142" i="15"/>
  <c r="J142" i="15"/>
  <c r="H142" i="15"/>
  <c r="EH141" i="15"/>
  <c r="EE141" i="15"/>
  <c r="EA141" i="15"/>
  <c r="DZ141" i="15"/>
  <c r="DY141" i="15"/>
  <c r="DT141" i="15"/>
  <c r="DQ141" i="15"/>
  <c r="DM141" i="15"/>
  <c r="DL141" i="15"/>
  <c r="DK141" i="15"/>
  <c r="DF141" i="15"/>
  <c r="DC141" i="15"/>
  <c r="CY141" i="15"/>
  <c r="CX141" i="15"/>
  <c r="CW141" i="15"/>
  <c r="CR141" i="15"/>
  <c r="CO141" i="15"/>
  <c r="CK141" i="15"/>
  <c r="CJ141" i="15"/>
  <c r="CI141" i="15"/>
  <c r="CD141" i="15"/>
  <c r="CA141" i="15"/>
  <c r="BW141" i="15"/>
  <c r="BV141" i="15"/>
  <c r="BU141" i="15"/>
  <c r="BP141" i="15"/>
  <c r="BM141" i="15"/>
  <c r="BI141" i="15"/>
  <c r="BH141" i="15"/>
  <c r="BG141" i="15"/>
  <c r="BB141" i="15"/>
  <c r="AY141" i="15"/>
  <c r="AU141" i="15"/>
  <c r="AT141" i="15"/>
  <c r="AS141" i="15"/>
  <c r="AN141" i="15"/>
  <c r="AK141" i="15"/>
  <c r="AG141" i="15"/>
  <c r="AF141" i="15"/>
  <c r="AE141" i="15"/>
  <c r="Z141" i="15"/>
  <c r="W141" i="15"/>
  <c r="S141" i="15"/>
  <c r="R141" i="15"/>
  <c r="Q141" i="15"/>
  <c r="K141" i="15"/>
  <c r="J141" i="15"/>
  <c r="H141" i="15"/>
  <c r="EH140" i="15"/>
  <c r="EE140" i="15"/>
  <c r="EA140" i="15"/>
  <c r="DZ140" i="15"/>
  <c r="DY140" i="15"/>
  <c r="DT140" i="15"/>
  <c r="DQ140" i="15"/>
  <c r="DM140" i="15"/>
  <c r="DL140" i="15"/>
  <c r="DK140" i="15"/>
  <c r="DF140" i="15"/>
  <c r="DC140" i="15"/>
  <c r="CY140" i="15"/>
  <c r="CX140" i="15"/>
  <c r="CW140" i="15"/>
  <c r="CR140" i="15"/>
  <c r="CO140" i="15"/>
  <c r="CK140" i="15"/>
  <c r="CJ140" i="15"/>
  <c r="CI140" i="15"/>
  <c r="CD140" i="15"/>
  <c r="CA140" i="15"/>
  <c r="BW140" i="15"/>
  <c r="BV140" i="15"/>
  <c r="BU140" i="15"/>
  <c r="BP140" i="15"/>
  <c r="BM140" i="15"/>
  <c r="BI140" i="15"/>
  <c r="BH140" i="15"/>
  <c r="BG140" i="15"/>
  <c r="BB140" i="15"/>
  <c r="AY140" i="15"/>
  <c r="AU140" i="15"/>
  <c r="AT140" i="15"/>
  <c r="AS140" i="15"/>
  <c r="AN140" i="15"/>
  <c r="AK140" i="15"/>
  <c r="AG140" i="15"/>
  <c r="AF140" i="15"/>
  <c r="AE140" i="15"/>
  <c r="Z140" i="15"/>
  <c r="W140" i="15"/>
  <c r="S140" i="15"/>
  <c r="R140" i="15"/>
  <c r="Q140" i="15"/>
  <c r="K140" i="15"/>
  <c r="J140" i="15"/>
  <c r="H140" i="15"/>
  <c r="EH139" i="15"/>
  <c r="EE139" i="15"/>
  <c r="EA139" i="15"/>
  <c r="DZ139" i="15"/>
  <c r="DY139" i="15"/>
  <c r="DT139" i="15"/>
  <c r="DQ139" i="15"/>
  <c r="DM139" i="15"/>
  <c r="DL139" i="15"/>
  <c r="DK139" i="15"/>
  <c r="DF139" i="15"/>
  <c r="DC139" i="15"/>
  <c r="CY139" i="15"/>
  <c r="CX139" i="15"/>
  <c r="CW139" i="15"/>
  <c r="CR139" i="15"/>
  <c r="CO139" i="15"/>
  <c r="CK139" i="15"/>
  <c r="CJ139" i="15"/>
  <c r="CI139" i="15"/>
  <c r="CD139" i="15"/>
  <c r="CA139" i="15"/>
  <c r="BW139" i="15"/>
  <c r="BV139" i="15"/>
  <c r="BU139" i="15"/>
  <c r="BP139" i="15"/>
  <c r="BM139" i="15"/>
  <c r="BI139" i="15"/>
  <c r="BH139" i="15"/>
  <c r="BG139" i="15"/>
  <c r="BB139" i="15"/>
  <c r="AY139" i="15"/>
  <c r="AU139" i="15"/>
  <c r="AT139" i="15"/>
  <c r="AS139" i="15"/>
  <c r="AN139" i="15"/>
  <c r="AK139" i="15"/>
  <c r="AG139" i="15"/>
  <c r="AF139" i="15"/>
  <c r="AE139" i="15"/>
  <c r="Z139" i="15"/>
  <c r="W139" i="15"/>
  <c r="S139" i="15"/>
  <c r="R139" i="15"/>
  <c r="Q139" i="15"/>
  <c r="K139" i="15"/>
  <c r="J139" i="15"/>
  <c r="H139" i="15"/>
  <c r="EH138" i="15"/>
  <c r="EE138" i="15"/>
  <c r="EA138" i="15"/>
  <c r="DZ138" i="15"/>
  <c r="DY138" i="15"/>
  <c r="DT138" i="15"/>
  <c r="DQ138" i="15"/>
  <c r="DM138" i="15"/>
  <c r="DL138" i="15"/>
  <c r="DK138" i="15"/>
  <c r="DF138" i="15"/>
  <c r="DC138" i="15"/>
  <c r="CY138" i="15"/>
  <c r="CX138" i="15"/>
  <c r="CW138" i="15"/>
  <c r="CR138" i="15"/>
  <c r="CO138" i="15"/>
  <c r="CK138" i="15"/>
  <c r="CJ138" i="15"/>
  <c r="CI138" i="15"/>
  <c r="CD138" i="15"/>
  <c r="CA138" i="15"/>
  <c r="BW138" i="15"/>
  <c r="BV138" i="15"/>
  <c r="BU138" i="15"/>
  <c r="BP138" i="15"/>
  <c r="BM138" i="15"/>
  <c r="BI138" i="15"/>
  <c r="BH138" i="15"/>
  <c r="BG138" i="15"/>
  <c r="BB138" i="15"/>
  <c r="AY138" i="15"/>
  <c r="AU138" i="15"/>
  <c r="AT138" i="15"/>
  <c r="AS138" i="15"/>
  <c r="AN138" i="15"/>
  <c r="AK138" i="15"/>
  <c r="AG138" i="15"/>
  <c r="AF138" i="15"/>
  <c r="AE138" i="15"/>
  <c r="Z138" i="15"/>
  <c r="W138" i="15"/>
  <c r="S138" i="15"/>
  <c r="R138" i="15"/>
  <c r="Q138" i="15"/>
  <c r="K138" i="15"/>
  <c r="J138" i="15"/>
  <c r="H138" i="15"/>
  <c r="EH137" i="15"/>
  <c r="EE137" i="15"/>
  <c r="EA137" i="15"/>
  <c r="DZ137" i="15"/>
  <c r="DY137" i="15"/>
  <c r="DT137" i="15"/>
  <c r="DQ137" i="15"/>
  <c r="DM137" i="15"/>
  <c r="DL137" i="15"/>
  <c r="DK137" i="15"/>
  <c r="DF137" i="15"/>
  <c r="DC137" i="15"/>
  <c r="CY137" i="15"/>
  <c r="CX137" i="15"/>
  <c r="CW137" i="15"/>
  <c r="CR137" i="15"/>
  <c r="CO137" i="15"/>
  <c r="CK137" i="15"/>
  <c r="CJ137" i="15"/>
  <c r="CI137" i="15"/>
  <c r="CD137" i="15"/>
  <c r="CA137" i="15"/>
  <c r="BW137" i="15"/>
  <c r="BV137" i="15"/>
  <c r="BU137" i="15"/>
  <c r="BP137" i="15"/>
  <c r="BM137" i="15"/>
  <c r="BI137" i="15"/>
  <c r="BH137" i="15"/>
  <c r="BG137" i="15"/>
  <c r="BB137" i="15"/>
  <c r="AY137" i="15"/>
  <c r="AU137" i="15"/>
  <c r="AT137" i="15"/>
  <c r="AS137" i="15"/>
  <c r="AN137" i="15"/>
  <c r="AK137" i="15"/>
  <c r="AG137" i="15"/>
  <c r="AF137" i="15"/>
  <c r="AE137" i="15"/>
  <c r="Z137" i="15"/>
  <c r="W137" i="15"/>
  <c r="S137" i="15"/>
  <c r="R137" i="15"/>
  <c r="Q137" i="15"/>
  <c r="K137" i="15"/>
  <c r="J137" i="15"/>
  <c r="H137" i="15"/>
  <c r="EH136" i="15"/>
  <c r="EE136" i="15"/>
  <c r="EA136" i="15"/>
  <c r="DZ136" i="15"/>
  <c r="DY136" i="15"/>
  <c r="DT136" i="15"/>
  <c r="DQ136" i="15"/>
  <c r="DM136" i="15"/>
  <c r="DL136" i="15"/>
  <c r="DK136" i="15"/>
  <c r="DF136" i="15"/>
  <c r="DC136" i="15"/>
  <c r="CY136" i="15"/>
  <c r="CX136" i="15"/>
  <c r="CW136" i="15"/>
  <c r="CR136" i="15"/>
  <c r="CO136" i="15"/>
  <c r="CK136" i="15"/>
  <c r="CJ136" i="15"/>
  <c r="CI136" i="15"/>
  <c r="CD136" i="15"/>
  <c r="CA136" i="15"/>
  <c r="BW136" i="15"/>
  <c r="BV136" i="15"/>
  <c r="BU136" i="15"/>
  <c r="BP136" i="15"/>
  <c r="BM136" i="15"/>
  <c r="BI136" i="15"/>
  <c r="BH136" i="15"/>
  <c r="BG136" i="15"/>
  <c r="BB136" i="15"/>
  <c r="AY136" i="15"/>
  <c r="AU136" i="15"/>
  <c r="AT136" i="15"/>
  <c r="AS136" i="15"/>
  <c r="AN136" i="15"/>
  <c r="AK136" i="15"/>
  <c r="AG136" i="15"/>
  <c r="AF136" i="15"/>
  <c r="AE136" i="15"/>
  <c r="Z136" i="15"/>
  <c r="W136" i="15"/>
  <c r="S136" i="15"/>
  <c r="R136" i="15"/>
  <c r="Q136" i="15"/>
  <c r="K136" i="15"/>
  <c r="J136" i="15"/>
  <c r="H136" i="15"/>
  <c r="EH135" i="15"/>
  <c r="EE135" i="15"/>
  <c r="EA135" i="15"/>
  <c r="DZ135" i="15"/>
  <c r="DY135" i="15"/>
  <c r="DT135" i="15"/>
  <c r="DQ135" i="15"/>
  <c r="DM135" i="15"/>
  <c r="DL135" i="15"/>
  <c r="DK135" i="15"/>
  <c r="DF135" i="15"/>
  <c r="DC135" i="15"/>
  <c r="CY135" i="15"/>
  <c r="CX135" i="15"/>
  <c r="CW135" i="15"/>
  <c r="CR135" i="15"/>
  <c r="CO135" i="15"/>
  <c r="CK135" i="15"/>
  <c r="CJ135" i="15"/>
  <c r="CI135" i="15"/>
  <c r="CD135" i="15"/>
  <c r="CA135" i="15"/>
  <c r="BW135" i="15"/>
  <c r="BV135" i="15"/>
  <c r="BU135" i="15"/>
  <c r="BP135" i="15"/>
  <c r="BM135" i="15"/>
  <c r="BI135" i="15"/>
  <c r="BH135" i="15"/>
  <c r="BG135" i="15"/>
  <c r="BB135" i="15"/>
  <c r="AY135" i="15"/>
  <c r="AU135" i="15"/>
  <c r="AT135" i="15"/>
  <c r="AS135" i="15"/>
  <c r="AN135" i="15"/>
  <c r="AK135" i="15"/>
  <c r="AG135" i="15"/>
  <c r="AF135" i="15"/>
  <c r="AE135" i="15"/>
  <c r="Z135" i="15"/>
  <c r="W135" i="15"/>
  <c r="S135" i="15"/>
  <c r="R135" i="15"/>
  <c r="Q135" i="15"/>
  <c r="K135" i="15"/>
  <c r="J135" i="15"/>
  <c r="H135" i="15"/>
  <c r="EH134" i="15"/>
  <c r="EE134" i="15"/>
  <c r="EA134" i="15"/>
  <c r="DZ134" i="15"/>
  <c r="DY134" i="15"/>
  <c r="DT134" i="15"/>
  <c r="DQ134" i="15"/>
  <c r="DM134" i="15"/>
  <c r="DL134" i="15"/>
  <c r="DK134" i="15"/>
  <c r="DF134" i="15"/>
  <c r="DC134" i="15"/>
  <c r="CY134" i="15"/>
  <c r="CX134" i="15"/>
  <c r="CW134" i="15"/>
  <c r="CR134" i="15"/>
  <c r="CO134" i="15"/>
  <c r="CK134" i="15"/>
  <c r="CJ134" i="15"/>
  <c r="CI134" i="15"/>
  <c r="CD134" i="15"/>
  <c r="CA134" i="15"/>
  <c r="BW134" i="15"/>
  <c r="BV134" i="15"/>
  <c r="BU134" i="15"/>
  <c r="BP134" i="15"/>
  <c r="BM134" i="15"/>
  <c r="BI134" i="15"/>
  <c r="BH134" i="15"/>
  <c r="BG134" i="15"/>
  <c r="BB134" i="15"/>
  <c r="AY134" i="15"/>
  <c r="AU134" i="15"/>
  <c r="AT134" i="15"/>
  <c r="AS134" i="15"/>
  <c r="AN134" i="15"/>
  <c r="AK134" i="15"/>
  <c r="AG134" i="15"/>
  <c r="AF134" i="15"/>
  <c r="AE134" i="15"/>
  <c r="Z134" i="15"/>
  <c r="W134" i="15"/>
  <c r="S134" i="15"/>
  <c r="R134" i="15"/>
  <c r="Q134" i="15"/>
  <c r="K134" i="15"/>
  <c r="J134" i="15"/>
  <c r="H134" i="15"/>
  <c r="L133" i="15"/>
  <c r="I133" i="15"/>
  <c r="E133" i="15"/>
  <c r="D133" i="15"/>
  <c r="C133" i="15"/>
  <c r="L132" i="15"/>
  <c r="I132" i="15"/>
  <c r="E132" i="15"/>
  <c r="D132" i="15"/>
  <c r="C132" i="15"/>
  <c r="L131" i="15"/>
  <c r="I131" i="15"/>
  <c r="E131" i="15"/>
  <c r="D131" i="15"/>
  <c r="C131" i="15"/>
  <c r="L130" i="15"/>
  <c r="I130" i="15"/>
  <c r="E130" i="15"/>
  <c r="D130" i="15"/>
  <c r="C130" i="15"/>
  <c r="L129" i="15"/>
  <c r="I129" i="15"/>
  <c r="E129" i="15"/>
  <c r="D129" i="15"/>
  <c r="C129" i="15"/>
  <c r="K128" i="15"/>
  <c r="J128" i="15"/>
  <c r="H128" i="15"/>
  <c r="K127" i="15"/>
  <c r="J127" i="15"/>
  <c r="H127" i="15"/>
  <c r="K126" i="15"/>
  <c r="J126" i="15"/>
  <c r="H126" i="15"/>
  <c r="L125" i="15"/>
  <c r="I125" i="15"/>
  <c r="E125" i="15"/>
  <c r="D125" i="15"/>
  <c r="C125" i="15"/>
  <c r="L124" i="15"/>
  <c r="I124" i="15"/>
  <c r="E124" i="15"/>
  <c r="D124" i="15"/>
  <c r="C124" i="15"/>
  <c r="L123" i="15"/>
  <c r="I123" i="15"/>
  <c r="E123" i="15"/>
  <c r="D123" i="15"/>
  <c r="C123" i="15"/>
  <c r="L122" i="15"/>
  <c r="I122" i="15"/>
  <c r="E122" i="15"/>
  <c r="D122" i="15"/>
  <c r="C122" i="15"/>
  <c r="L121" i="15"/>
  <c r="I121" i="15"/>
  <c r="E121" i="15"/>
  <c r="D121" i="15"/>
  <c r="C121" i="15"/>
  <c r="L120" i="15"/>
  <c r="I120" i="15"/>
  <c r="E120" i="15"/>
  <c r="D120" i="15"/>
  <c r="C120" i="15"/>
  <c r="L119" i="15"/>
  <c r="I119" i="15"/>
  <c r="E119" i="15"/>
  <c r="D119" i="15"/>
  <c r="C119" i="15"/>
  <c r="L118" i="15"/>
  <c r="I118" i="15"/>
  <c r="E118" i="15"/>
  <c r="D118" i="15"/>
  <c r="C118" i="15"/>
  <c r="L117" i="15"/>
  <c r="I117" i="15"/>
  <c r="E117" i="15"/>
  <c r="D117" i="15"/>
  <c r="C117" i="15"/>
  <c r="L116" i="15"/>
  <c r="I116" i="15"/>
  <c r="E116" i="15"/>
  <c r="D116" i="15"/>
  <c r="C116" i="15"/>
  <c r="L115" i="15"/>
  <c r="I115" i="15"/>
  <c r="E115" i="15"/>
  <c r="D115" i="15"/>
  <c r="C115" i="15"/>
  <c r="L114" i="15"/>
  <c r="I114" i="15"/>
  <c r="E114" i="15"/>
  <c r="D114" i="15"/>
  <c r="C114" i="15"/>
  <c r="L113" i="15"/>
  <c r="I113" i="15"/>
  <c r="E113" i="15"/>
  <c r="D113" i="15"/>
  <c r="C113" i="15"/>
  <c r="L112" i="15"/>
  <c r="I112" i="15"/>
  <c r="E112" i="15"/>
  <c r="D112" i="15"/>
  <c r="C112" i="15"/>
  <c r="L111" i="15"/>
  <c r="I111" i="15"/>
  <c r="E111" i="15"/>
  <c r="D111" i="15"/>
  <c r="C111" i="15"/>
  <c r="L110" i="15"/>
  <c r="I110" i="15"/>
  <c r="E110" i="15"/>
  <c r="D110" i="15"/>
  <c r="C110" i="15"/>
  <c r="L109" i="15"/>
  <c r="I109" i="15"/>
  <c r="E109" i="15"/>
  <c r="D109" i="15"/>
  <c r="C109" i="15"/>
  <c r="L108" i="15"/>
  <c r="I108" i="15"/>
  <c r="E108" i="15"/>
  <c r="D108" i="15"/>
  <c r="C108" i="15"/>
  <c r="L107" i="15"/>
  <c r="I107" i="15"/>
  <c r="E107" i="15"/>
  <c r="D107" i="15"/>
  <c r="C107" i="15"/>
  <c r="L106" i="15"/>
  <c r="I106" i="15"/>
  <c r="E106" i="15"/>
  <c r="D106" i="15"/>
  <c r="C106" i="15"/>
  <c r="L105" i="15"/>
  <c r="I105" i="15"/>
  <c r="E105" i="15"/>
  <c r="D105" i="15"/>
  <c r="C105" i="15"/>
  <c r="L104" i="15"/>
  <c r="I104" i="15"/>
  <c r="E104" i="15"/>
  <c r="D104" i="15"/>
  <c r="C104" i="15"/>
  <c r="L103" i="15"/>
  <c r="I103" i="15"/>
  <c r="E103" i="15"/>
  <c r="D103" i="15"/>
  <c r="C103" i="15"/>
  <c r="L102" i="15"/>
  <c r="I102" i="15"/>
  <c r="E102" i="15"/>
  <c r="D102" i="15"/>
  <c r="C102" i="15"/>
  <c r="L101" i="15"/>
  <c r="I101" i="15"/>
  <c r="E101" i="15"/>
  <c r="D101" i="15"/>
  <c r="C101" i="15"/>
  <c r="L100" i="15"/>
  <c r="I100" i="15"/>
  <c r="E100" i="15"/>
  <c r="D100" i="15"/>
  <c r="C100" i="15"/>
  <c r="L99" i="15"/>
  <c r="I99" i="15"/>
  <c r="E99" i="15"/>
  <c r="D99" i="15"/>
  <c r="C99" i="15"/>
  <c r="L98" i="15"/>
  <c r="I98" i="15"/>
  <c r="E98" i="15"/>
  <c r="D98" i="15"/>
  <c r="C98" i="15"/>
  <c r="L97" i="15"/>
  <c r="I97" i="15"/>
  <c r="E97" i="15"/>
  <c r="D97" i="15"/>
  <c r="C97" i="15"/>
  <c r="L96" i="15"/>
  <c r="I96" i="15"/>
  <c r="E96" i="15"/>
  <c r="D96" i="15"/>
  <c r="C96" i="15"/>
  <c r="L95" i="15"/>
  <c r="I95" i="15"/>
  <c r="E95" i="15"/>
  <c r="D95" i="15"/>
  <c r="C95" i="15"/>
  <c r="L94" i="15"/>
  <c r="I94" i="15"/>
  <c r="E94" i="15"/>
  <c r="D94" i="15"/>
  <c r="C94" i="15"/>
  <c r="L93" i="15"/>
  <c r="I93" i="15"/>
  <c r="E93" i="15"/>
  <c r="D93" i="15"/>
  <c r="C93" i="15"/>
  <c r="L92" i="15"/>
  <c r="I92" i="15"/>
  <c r="E92" i="15"/>
  <c r="D92" i="15"/>
  <c r="C92" i="15"/>
  <c r="L91" i="15"/>
  <c r="I91" i="15"/>
  <c r="E91" i="15"/>
  <c r="D91" i="15"/>
  <c r="C91" i="15"/>
  <c r="L90" i="15"/>
  <c r="I90" i="15"/>
  <c r="E90" i="15"/>
  <c r="D90" i="15"/>
  <c r="C90" i="15"/>
  <c r="L89" i="15"/>
  <c r="I89" i="15"/>
  <c r="E89" i="15"/>
  <c r="D89" i="15"/>
  <c r="C89" i="15"/>
  <c r="L88" i="15"/>
  <c r="I88" i="15"/>
  <c r="E88" i="15"/>
  <c r="D88" i="15"/>
  <c r="C88" i="15"/>
  <c r="L87" i="15"/>
  <c r="I87" i="15"/>
  <c r="E87" i="15"/>
  <c r="D87" i="15"/>
  <c r="C87" i="15"/>
  <c r="L86" i="15"/>
  <c r="I86" i="15"/>
  <c r="E86" i="15"/>
  <c r="D86" i="15"/>
  <c r="C86" i="15"/>
  <c r="L85" i="15"/>
  <c r="I85" i="15"/>
  <c r="E85" i="15"/>
  <c r="D85" i="15"/>
  <c r="C85" i="15"/>
  <c r="L84" i="15"/>
  <c r="I84" i="15"/>
  <c r="E84" i="15"/>
  <c r="D84" i="15"/>
  <c r="C84" i="15"/>
  <c r="L83" i="15"/>
  <c r="I83" i="15"/>
  <c r="E83" i="15"/>
  <c r="D83" i="15"/>
  <c r="C83" i="15"/>
  <c r="L82" i="15"/>
  <c r="I82" i="15"/>
  <c r="E82" i="15"/>
  <c r="D82" i="15"/>
  <c r="C82" i="15"/>
  <c r="L81" i="15"/>
  <c r="I81" i="15"/>
  <c r="E81" i="15"/>
  <c r="D81" i="15"/>
  <c r="C81" i="15"/>
  <c r="L80" i="15"/>
  <c r="I80" i="15"/>
  <c r="E80" i="15"/>
  <c r="D80" i="15"/>
  <c r="C80" i="15"/>
  <c r="L79" i="15"/>
  <c r="I79" i="15"/>
  <c r="E79" i="15"/>
  <c r="D79" i="15"/>
  <c r="C79" i="15"/>
  <c r="L78" i="15"/>
  <c r="I78" i="15"/>
  <c r="E78" i="15"/>
  <c r="D78" i="15"/>
  <c r="C78" i="15"/>
  <c r="L77" i="15"/>
  <c r="I77" i="15"/>
  <c r="E77" i="15"/>
  <c r="D77" i="15"/>
  <c r="C77" i="15"/>
  <c r="L76" i="15"/>
  <c r="I76" i="15"/>
  <c r="E76" i="15"/>
  <c r="D76" i="15"/>
  <c r="C76" i="15"/>
  <c r="L75" i="15"/>
  <c r="I75" i="15"/>
  <c r="E75" i="15"/>
  <c r="D75" i="15"/>
  <c r="C75" i="15"/>
  <c r="L74" i="15"/>
  <c r="I74" i="15"/>
  <c r="E74" i="15"/>
  <c r="D74" i="15"/>
  <c r="C74" i="15"/>
  <c r="L73" i="15"/>
  <c r="I73" i="15"/>
  <c r="E73" i="15"/>
  <c r="D73" i="15"/>
  <c r="C73" i="15"/>
  <c r="L72" i="15"/>
  <c r="I72" i="15"/>
  <c r="E72" i="15"/>
  <c r="D72" i="15"/>
  <c r="C72" i="15"/>
  <c r="L71" i="15"/>
  <c r="I71" i="15"/>
  <c r="E71" i="15"/>
  <c r="D71" i="15"/>
  <c r="C71" i="15"/>
  <c r="L70" i="15"/>
  <c r="I70" i="15"/>
  <c r="E70" i="15"/>
  <c r="D70" i="15"/>
  <c r="C70" i="15"/>
  <c r="L69" i="15"/>
  <c r="I69" i="15"/>
  <c r="E69" i="15"/>
  <c r="D69" i="15"/>
  <c r="C69" i="15"/>
  <c r="L68" i="15"/>
  <c r="I68" i="15"/>
  <c r="E68" i="15"/>
  <c r="D68" i="15"/>
  <c r="C68" i="15"/>
  <c r="L67" i="15"/>
  <c r="I67" i="15"/>
  <c r="E67" i="15"/>
  <c r="D67" i="15"/>
  <c r="C67" i="15"/>
  <c r="L66" i="15"/>
  <c r="I66" i="15"/>
  <c r="E66" i="15"/>
  <c r="D66" i="15"/>
  <c r="C66" i="15"/>
  <c r="L65" i="15"/>
  <c r="I65" i="15"/>
  <c r="E65" i="15"/>
  <c r="D65" i="15"/>
  <c r="C65" i="15"/>
  <c r="L64" i="15"/>
  <c r="I64" i="15"/>
  <c r="E64" i="15"/>
  <c r="D64" i="15"/>
  <c r="C64" i="15"/>
  <c r="L63" i="15"/>
  <c r="I63" i="15"/>
  <c r="E63" i="15"/>
  <c r="D63" i="15"/>
  <c r="C63" i="15"/>
  <c r="L62" i="15"/>
  <c r="I62" i="15"/>
  <c r="E62" i="15"/>
  <c r="D62" i="15"/>
  <c r="C62" i="15"/>
  <c r="L61" i="15"/>
  <c r="I61" i="15"/>
  <c r="E61" i="15"/>
  <c r="D61" i="15"/>
  <c r="C61" i="15"/>
  <c r="L60" i="15"/>
  <c r="I60" i="15"/>
  <c r="E60" i="15"/>
  <c r="D60" i="15"/>
  <c r="C60" i="15"/>
  <c r="L59" i="15"/>
  <c r="I59" i="15"/>
  <c r="E59" i="15"/>
  <c r="D59" i="15"/>
  <c r="C59" i="15"/>
  <c r="L58" i="15"/>
  <c r="I58" i="15"/>
  <c r="E58" i="15"/>
  <c r="D58" i="15"/>
  <c r="C58" i="15"/>
  <c r="L57" i="15"/>
  <c r="I57" i="15"/>
  <c r="E57" i="15"/>
  <c r="D57" i="15"/>
  <c r="C57" i="15"/>
  <c r="L56" i="15"/>
  <c r="I56" i="15"/>
  <c r="E56" i="15"/>
  <c r="D56" i="15"/>
  <c r="C56" i="15"/>
  <c r="L55" i="15"/>
  <c r="I55" i="15"/>
  <c r="E55" i="15"/>
  <c r="D55" i="15"/>
  <c r="C55" i="15"/>
  <c r="L54" i="15"/>
  <c r="I54" i="15"/>
  <c r="E54" i="15"/>
  <c r="D54" i="15"/>
  <c r="C54" i="15"/>
  <c r="L53" i="15"/>
  <c r="I53" i="15"/>
  <c r="E53" i="15"/>
  <c r="D53" i="15"/>
  <c r="C53" i="15"/>
  <c r="L52" i="15"/>
  <c r="I52" i="15"/>
  <c r="E52" i="15"/>
  <c r="D52" i="15"/>
  <c r="C52" i="15"/>
  <c r="L51" i="15"/>
  <c r="I51" i="15"/>
  <c r="E51" i="15"/>
  <c r="D51" i="15"/>
  <c r="C51" i="15"/>
  <c r="L50" i="15"/>
  <c r="I50" i="15"/>
  <c r="E50" i="15"/>
  <c r="D50" i="15"/>
  <c r="C50" i="15"/>
  <c r="L49" i="15"/>
  <c r="I49" i="15"/>
  <c r="E49" i="15"/>
  <c r="D49" i="15"/>
  <c r="C49" i="15"/>
  <c r="L48" i="15"/>
  <c r="I48" i="15"/>
  <c r="E48" i="15"/>
  <c r="D48" i="15"/>
  <c r="C48" i="15"/>
  <c r="L47" i="15"/>
  <c r="I47" i="15"/>
  <c r="E47" i="15"/>
  <c r="D47" i="15"/>
  <c r="C47" i="15"/>
  <c r="L46" i="15"/>
  <c r="I46" i="15"/>
  <c r="E46" i="15"/>
  <c r="D46" i="15"/>
  <c r="C46" i="15"/>
  <c r="L45" i="15"/>
  <c r="I45" i="15"/>
  <c r="E45" i="15"/>
  <c r="D45" i="15"/>
  <c r="C45" i="15"/>
  <c r="L44" i="15"/>
  <c r="I44" i="15"/>
  <c r="E44" i="15"/>
  <c r="D44" i="15"/>
  <c r="C44" i="15"/>
  <c r="L43" i="15"/>
  <c r="I43" i="15"/>
  <c r="E43" i="15"/>
  <c r="D43" i="15"/>
  <c r="C43" i="15"/>
  <c r="L42" i="15"/>
  <c r="I42" i="15"/>
  <c r="E42" i="15"/>
  <c r="D42" i="15"/>
  <c r="C42" i="15"/>
  <c r="L41" i="15"/>
  <c r="I41" i="15"/>
  <c r="E41" i="15"/>
  <c r="D41" i="15"/>
  <c r="C41" i="15"/>
  <c r="L40" i="15"/>
  <c r="I40" i="15"/>
  <c r="E40" i="15"/>
  <c r="D40" i="15"/>
  <c r="C40" i="15"/>
  <c r="L39" i="15"/>
  <c r="I39" i="15"/>
  <c r="E39" i="15"/>
  <c r="D39" i="15"/>
  <c r="C39" i="15"/>
  <c r="K38" i="15"/>
  <c r="J38" i="15"/>
  <c r="H38" i="15"/>
  <c r="K37" i="15"/>
  <c r="J37" i="15"/>
  <c r="J37" i="87" s="1"/>
  <c r="H37" i="15"/>
  <c r="L36" i="15"/>
  <c r="I36" i="15"/>
  <c r="E36" i="15"/>
  <c r="D36" i="15"/>
  <c r="C36" i="15"/>
  <c r="L35" i="15"/>
  <c r="I35" i="15"/>
  <c r="E35" i="15"/>
  <c r="D35" i="15"/>
  <c r="C35" i="15"/>
  <c r="L34" i="15"/>
  <c r="I34" i="15"/>
  <c r="E34" i="15"/>
  <c r="D34" i="15"/>
  <c r="C34" i="15"/>
  <c r="L33" i="15"/>
  <c r="I33" i="15"/>
  <c r="E33" i="15"/>
  <c r="D33" i="15"/>
  <c r="C33" i="15"/>
  <c r="L32" i="15"/>
  <c r="I32" i="15"/>
  <c r="E32" i="15"/>
  <c r="D32" i="15"/>
  <c r="C32" i="15"/>
  <c r="K31" i="15"/>
  <c r="J31" i="15"/>
  <c r="H31" i="15"/>
  <c r="K30" i="15"/>
  <c r="J30" i="15"/>
  <c r="H30" i="15"/>
  <c r="L29" i="15"/>
  <c r="I29" i="15"/>
  <c r="E29" i="15"/>
  <c r="D29" i="15"/>
  <c r="C29" i="15"/>
  <c r="L28" i="15"/>
  <c r="I28" i="15"/>
  <c r="E28" i="15"/>
  <c r="D28" i="15"/>
  <c r="C28" i="15"/>
  <c r="L27" i="15"/>
  <c r="I27" i="15"/>
  <c r="E27" i="15"/>
  <c r="D27" i="15"/>
  <c r="C27" i="15"/>
  <c r="L26" i="15"/>
  <c r="I26" i="15"/>
  <c r="E26" i="15"/>
  <c r="D26" i="15"/>
  <c r="C26" i="15"/>
  <c r="L25" i="15"/>
  <c r="I25" i="15"/>
  <c r="E25" i="15"/>
  <c r="D25" i="15"/>
  <c r="C25" i="15"/>
  <c r="L24" i="15"/>
  <c r="I24" i="15"/>
  <c r="E24" i="15"/>
  <c r="D24" i="15"/>
  <c r="C24" i="15"/>
  <c r="L23" i="15"/>
  <c r="I23" i="15"/>
  <c r="E23" i="15"/>
  <c r="D23" i="15"/>
  <c r="C23" i="15"/>
  <c r="L22" i="15"/>
  <c r="I22" i="15"/>
  <c r="E22" i="15"/>
  <c r="D22" i="15"/>
  <c r="C22" i="15"/>
  <c r="L21" i="15"/>
  <c r="I21" i="15"/>
  <c r="E21" i="15"/>
  <c r="D21" i="15"/>
  <c r="C21" i="15"/>
  <c r="L20" i="15"/>
  <c r="I20" i="15"/>
  <c r="E20" i="15"/>
  <c r="D20" i="15"/>
  <c r="C20" i="15"/>
  <c r="L19" i="15"/>
  <c r="I19" i="15"/>
  <c r="E19" i="15"/>
  <c r="D19" i="15"/>
  <c r="C19" i="15"/>
  <c r="L18" i="15"/>
  <c r="I18" i="15"/>
  <c r="E18" i="15"/>
  <c r="D18" i="15"/>
  <c r="C18" i="15"/>
  <c r="L17" i="15"/>
  <c r="I17" i="15"/>
  <c r="E17" i="15"/>
  <c r="D17" i="15"/>
  <c r="C17" i="15"/>
  <c r="L16" i="15"/>
  <c r="I16" i="15"/>
  <c r="E16" i="15"/>
  <c r="D16" i="15"/>
  <c r="C16" i="15"/>
  <c r="L15" i="15"/>
  <c r="I15" i="15"/>
  <c r="E15" i="15"/>
  <c r="D15" i="15"/>
  <c r="C15" i="15"/>
  <c r="L14" i="15"/>
  <c r="I14" i="15"/>
  <c r="E14" i="15"/>
  <c r="D14" i="15"/>
  <c r="C14" i="15"/>
  <c r="L13" i="15"/>
  <c r="I13" i="15"/>
  <c r="E13" i="15"/>
  <c r="D13" i="15"/>
  <c r="C13" i="15"/>
  <c r="L12" i="15"/>
  <c r="I12" i="15"/>
  <c r="E12" i="15"/>
  <c r="D12" i="15"/>
  <c r="C12" i="15"/>
  <c r="L11" i="15"/>
  <c r="I11" i="15"/>
  <c r="E11" i="15"/>
  <c r="D11" i="15"/>
  <c r="C11" i="15"/>
  <c r="L10" i="15"/>
  <c r="I10" i="15"/>
  <c r="E10" i="15"/>
  <c r="D10" i="15"/>
  <c r="C10" i="15"/>
  <c r="L9" i="15"/>
  <c r="I9" i="15"/>
  <c r="E9" i="15"/>
  <c r="D9" i="15"/>
  <c r="C9" i="15"/>
  <c r="L8" i="15"/>
  <c r="I8" i="15"/>
  <c r="E8" i="15"/>
  <c r="D8" i="15"/>
  <c r="C8" i="15"/>
  <c r="L7" i="15"/>
  <c r="I7" i="15"/>
  <c r="E7" i="15"/>
  <c r="D7" i="15"/>
  <c r="C7" i="15"/>
  <c r="L6" i="15"/>
  <c r="I6" i="15"/>
  <c r="E6" i="15"/>
  <c r="D6" i="15"/>
  <c r="C6" i="15"/>
  <c r="L365" i="1"/>
  <c r="I365" i="1"/>
  <c r="E365" i="1"/>
  <c r="D365" i="1"/>
  <c r="C365" i="1"/>
  <c r="L364" i="1"/>
  <c r="I364" i="1"/>
  <c r="E364" i="1"/>
  <c r="D364" i="1"/>
  <c r="C364" i="1"/>
  <c r="L363" i="1"/>
  <c r="I363" i="1"/>
  <c r="E363" i="1"/>
  <c r="D363" i="1"/>
  <c r="C363" i="1"/>
  <c r="L362" i="1"/>
  <c r="I362" i="1"/>
  <c r="E362" i="1"/>
  <c r="D362" i="1"/>
  <c r="C362" i="1"/>
  <c r="L361" i="1"/>
  <c r="I361" i="1"/>
  <c r="E361" i="1"/>
  <c r="D361" i="1"/>
  <c r="C361" i="1"/>
  <c r="L360" i="1"/>
  <c r="I360" i="1"/>
  <c r="E360" i="1"/>
  <c r="D360" i="1"/>
  <c r="C360" i="1"/>
  <c r="L359" i="1"/>
  <c r="I359" i="1"/>
  <c r="E359" i="1"/>
  <c r="D359" i="1"/>
  <c r="C359" i="1"/>
  <c r="L358" i="1"/>
  <c r="I358" i="1"/>
  <c r="E358" i="1"/>
  <c r="D358" i="1"/>
  <c r="C358" i="1"/>
  <c r="L357" i="1"/>
  <c r="I357" i="1"/>
  <c r="E357" i="1"/>
  <c r="D357" i="1"/>
  <c r="C357" i="1"/>
  <c r="L356" i="1"/>
  <c r="I356" i="1"/>
  <c r="E356" i="1"/>
  <c r="D356" i="1"/>
  <c r="C356" i="1"/>
  <c r="L355" i="1"/>
  <c r="I355" i="1"/>
  <c r="E355" i="1"/>
  <c r="D355" i="1"/>
  <c r="C355" i="1"/>
  <c r="L354" i="1"/>
  <c r="I354" i="1"/>
  <c r="E354" i="1"/>
  <c r="D354" i="1"/>
  <c r="C354" i="1"/>
  <c r="L353" i="1"/>
  <c r="I353" i="1"/>
  <c r="E353" i="1"/>
  <c r="D353" i="1"/>
  <c r="C353" i="1"/>
  <c r="L352" i="1"/>
  <c r="I352" i="1"/>
  <c r="E352" i="1"/>
  <c r="D352" i="1"/>
  <c r="C352" i="1"/>
  <c r="L351" i="1"/>
  <c r="I351" i="1"/>
  <c r="E351" i="1"/>
  <c r="D351" i="1"/>
  <c r="C351" i="1"/>
  <c r="L350" i="1"/>
  <c r="I350" i="1"/>
  <c r="E350" i="1"/>
  <c r="D350" i="1"/>
  <c r="C350" i="1"/>
  <c r="L349" i="1"/>
  <c r="I349" i="1"/>
  <c r="E349" i="1"/>
  <c r="D349" i="1"/>
  <c r="C349" i="1"/>
  <c r="L348" i="1"/>
  <c r="I348" i="1"/>
  <c r="E348" i="1"/>
  <c r="D348" i="1"/>
  <c r="C348" i="1"/>
  <c r="L347" i="1"/>
  <c r="I347" i="1"/>
  <c r="E347" i="1"/>
  <c r="D347" i="1"/>
  <c r="C347" i="1"/>
  <c r="L346" i="1"/>
  <c r="I346" i="1"/>
  <c r="E346" i="1"/>
  <c r="D346" i="1"/>
  <c r="C346" i="1"/>
  <c r="L345" i="1"/>
  <c r="I345" i="1"/>
  <c r="E345" i="1"/>
  <c r="D345" i="1"/>
  <c r="C345" i="1"/>
  <c r="L344" i="1"/>
  <c r="I344" i="1"/>
  <c r="E344" i="1"/>
  <c r="D344" i="1"/>
  <c r="C344" i="1"/>
  <c r="L343" i="1"/>
  <c r="I343" i="1"/>
  <c r="E343" i="1"/>
  <c r="D343" i="1"/>
  <c r="C343" i="1"/>
  <c r="L342" i="1"/>
  <c r="I342" i="1"/>
  <c r="E342" i="1"/>
  <c r="D342" i="1"/>
  <c r="C342" i="1"/>
  <c r="L341" i="1"/>
  <c r="I341" i="1"/>
  <c r="E341" i="1"/>
  <c r="D341" i="1"/>
  <c r="C341" i="1"/>
  <c r="L340" i="1"/>
  <c r="I340" i="1"/>
  <c r="E340" i="1"/>
  <c r="D340" i="1"/>
  <c r="C340" i="1"/>
  <c r="L339" i="1"/>
  <c r="I339" i="1"/>
  <c r="E339" i="1"/>
  <c r="D339" i="1"/>
  <c r="C339" i="1"/>
  <c r="L338" i="1"/>
  <c r="I338" i="1"/>
  <c r="E338" i="1"/>
  <c r="D338" i="1"/>
  <c r="C338" i="1"/>
  <c r="L337" i="1"/>
  <c r="I337" i="1"/>
  <c r="E337" i="1"/>
  <c r="D337" i="1"/>
  <c r="C337" i="1"/>
  <c r="L336" i="1"/>
  <c r="I336" i="1"/>
  <c r="E336" i="1"/>
  <c r="D336" i="1"/>
  <c r="C336" i="1"/>
  <c r="L335" i="1"/>
  <c r="I335" i="1"/>
  <c r="E335" i="1"/>
  <c r="D335" i="1"/>
  <c r="C335" i="1"/>
  <c r="L334" i="1"/>
  <c r="I334" i="1"/>
  <c r="E334" i="1"/>
  <c r="D334" i="1"/>
  <c r="C334" i="1"/>
  <c r="L333" i="1"/>
  <c r="I333" i="1"/>
  <c r="E333" i="1"/>
  <c r="D333" i="1"/>
  <c r="C333" i="1"/>
  <c r="L332" i="1"/>
  <c r="I332" i="1"/>
  <c r="E332" i="1"/>
  <c r="D332" i="1"/>
  <c r="C332" i="1"/>
  <c r="L331" i="1"/>
  <c r="I331" i="1"/>
  <c r="E331" i="1"/>
  <c r="D331" i="1"/>
  <c r="C331" i="1"/>
  <c r="L330" i="1"/>
  <c r="I330" i="1"/>
  <c r="E330" i="1"/>
  <c r="D330" i="1"/>
  <c r="C330" i="1"/>
  <c r="L329" i="1"/>
  <c r="I329" i="1"/>
  <c r="E329" i="1"/>
  <c r="D329" i="1"/>
  <c r="C329" i="1"/>
  <c r="L328" i="1"/>
  <c r="I328" i="1"/>
  <c r="E328" i="1"/>
  <c r="D328" i="1"/>
  <c r="C328" i="1"/>
  <c r="L327" i="1"/>
  <c r="I327" i="1"/>
  <c r="E327" i="1"/>
  <c r="D327" i="1"/>
  <c r="C327" i="1"/>
  <c r="L326" i="1"/>
  <c r="I326" i="1"/>
  <c r="E326" i="1"/>
  <c r="D326" i="1"/>
  <c r="C326" i="1"/>
  <c r="L325" i="1"/>
  <c r="I325" i="1"/>
  <c r="E325" i="1"/>
  <c r="D325" i="1"/>
  <c r="C325" i="1"/>
  <c r="L324" i="1"/>
  <c r="I324" i="1"/>
  <c r="E324" i="1"/>
  <c r="D324" i="1"/>
  <c r="C324" i="1"/>
  <c r="L323" i="1"/>
  <c r="I323" i="1"/>
  <c r="E323" i="1"/>
  <c r="D323" i="1"/>
  <c r="C323" i="1"/>
  <c r="L322" i="1"/>
  <c r="I322" i="1"/>
  <c r="E322" i="1"/>
  <c r="D322" i="1"/>
  <c r="C322" i="1"/>
  <c r="L321" i="1"/>
  <c r="I321" i="1"/>
  <c r="E321" i="1"/>
  <c r="D321" i="1"/>
  <c r="C321" i="1"/>
  <c r="L320" i="1"/>
  <c r="I320" i="1"/>
  <c r="E320" i="1"/>
  <c r="D320" i="1"/>
  <c r="C320" i="1"/>
  <c r="L319" i="1"/>
  <c r="I319" i="1"/>
  <c r="E319" i="1"/>
  <c r="D319" i="1"/>
  <c r="C319" i="1"/>
  <c r="L318" i="1"/>
  <c r="I318" i="1"/>
  <c r="E318" i="1"/>
  <c r="D318" i="1"/>
  <c r="C318" i="1"/>
  <c r="L317" i="1"/>
  <c r="I317" i="1"/>
  <c r="E317" i="1"/>
  <c r="D317" i="1"/>
  <c r="C317" i="1"/>
  <c r="L316" i="1"/>
  <c r="I316" i="1"/>
  <c r="E316" i="1"/>
  <c r="D316" i="1"/>
  <c r="C316" i="1"/>
  <c r="L315" i="1"/>
  <c r="I315" i="1"/>
  <c r="E315" i="1"/>
  <c r="D315" i="1"/>
  <c r="C315" i="1"/>
  <c r="L314" i="1"/>
  <c r="I314" i="1"/>
  <c r="E314" i="1"/>
  <c r="D314" i="1"/>
  <c r="C314" i="1"/>
  <c r="L313" i="1"/>
  <c r="I313" i="1"/>
  <c r="E313" i="1"/>
  <c r="D313" i="1"/>
  <c r="C313" i="1"/>
  <c r="L312" i="1"/>
  <c r="I312" i="1"/>
  <c r="E312" i="1"/>
  <c r="D312" i="1"/>
  <c r="C312" i="1"/>
  <c r="L311" i="1"/>
  <c r="I311" i="1"/>
  <c r="E311" i="1"/>
  <c r="D311" i="1"/>
  <c r="C311" i="1"/>
  <c r="L310" i="1"/>
  <c r="I310" i="1"/>
  <c r="E310" i="1"/>
  <c r="D310" i="1"/>
  <c r="C310" i="1"/>
  <c r="L309" i="1"/>
  <c r="I309" i="1"/>
  <c r="E309" i="1"/>
  <c r="D309" i="1"/>
  <c r="C309" i="1"/>
  <c r="L308" i="1"/>
  <c r="I308" i="1"/>
  <c r="E308" i="1"/>
  <c r="D308" i="1"/>
  <c r="C308" i="1"/>
  <c r="L307" i="1"/>
  <c r="I307" i="1"/>
  <c r="E307" i="1"/>
  <c r="D307" i="1"/>
  <c r="C307" i="1"/>
  <c r="L306" i="1"/>
  <c r="I306" i="1"/>
  <c r="E306" i="1"/>
  <c r="D306" i="1"/>
  <c r="C306" i="1"/>
  <c r="L305" i="1"/>
  <c r="I305" i="1"/>
  <c r="E305" i="1"/>
  <c r="D305" i="1"/>
  <c r="C305" i="1"/>
  <c r="L304" i="1"/>
  <c r="I304" i="1"/>
  <c r="E304" i="1"/>
  <c r="D304" i="1"/>
  <c r="C304" i="1"/>
  <c r="L303" i="1"/>
  <c r="I303" i="1"/>
  <c r="E303" i="1"/>
  <c r="D303" i="1"/>
  <c r="C303" i="1"/>
  <c r="L302" i="1"/>
  <c r="I302" i="1"/>
  <c r="E302" i="1"/>
  <c r="D302" i="1"/>
  <c r="C302" i="1"/>
  <c r="L301" i="1"/>
  <c r="I301" i="1"/>
  <c r="E301" i="1"/>
  <c r="D301" i="1"/>
  <c r="C301" i="1"/>
  <c r="L300" i="1"/>
  <c r="I300" i="1"/>
  <c r="E300" i="1"/>
  <c r="D300" i="1"/>
  <c r="C300" i="1"/>
  <c r="L299" i="1"/>
  <c r="I299" i="1"/>
  <c r="E299" i="1"/>
  <c r="D299" i="1"/>
  <c r="C299" i="1"/>
  <c r="L298" i="1"/>
  <c r="I298" i="1"/>
  <c r="E298" i="1"/>
  <c r="D298" i="1"/>
  <c r="C298" i="1"/>
  <c r="L297" i="1"/>
  <c r="I297" i="1"/>
  <c r="E297" i="1"/>
  <c r="D297" i="1"/>
  <c r="C297" i="1"/>
  <c r="L296" i="1"/>
  <c r="I296" i="1"/>
  <c r="E296" i="1"/>
  <c r="D296" i="1"/>
  <c r="C296" i="1"/>
  <c r="L295" i="1"/>
  <c r="I295" i="1"/>
  <c r="E295" i="1"/>
  <c r="D295" i="1"/>
  <c r="C295" i="1"/>
  <c r="L294" i="1"/>
  <c r="I294" i="1"/>
  <c r="E294" i="1"/>
  <c r="D294" i="1"/>
  <c r="C294" i="1"/>
  <c r="L293" i="1"/>
  <c r="I293" i="1"/>
  <c r="E293" i="1"/>
  <c r="D293" i="1"/>
  <c r="C293" i="1"/>
  <c r="L292" i="1"/>
  <c r="I292" i="1"/>
  <c r="E292" i="1"/>
  <c r="D292" i="1"/>
  <c r="C292" i="1"/>
  <c r="L291" i="1"/>
  <c r="I291" i="1"/>
  <c r="E291" i="1"/>
  <c r="D291" i="1"/>
  <c r="C291" i="1"/>
  <c r="L290" i="1"/>
  <c r="I290" i="1"/>
  <c r="E290" i="1"/>
  <c r="D290" i="1"/>
  <c r="C290" i="1"/>
  <c r="L289" i="1"/>
  <c r="I289" i="1"/>
  <c r="E289" i="1"/>
  <c r="D289" i="1"/>
  <c r="C289" i="1"/>
  <c r="L288" i="1"/>
  <c r="I288" i="1"/>
  <c r="E288" i="1"/>
  <c r="D288" i="1"/>
  <c r="C288" i="1"/>
  <c r="L287" i="1"/>
  <c r="I287" i="1"/>
  <c r="E287" i="1"/>
  <c r="D287" i="1"/>
  <c r="C287" i="1"/>
  <c r="L286" i="1"/>
  <c r="I286" i="1"/>
  <c r="E286" i="1"/>
  <c r="D286" i="1"/>
  <c r="C286" i="1"/>
  <c r="L285" i="1"/>
  <c r="I285" i="1"/>
  <c r="E285" i="1"/>
  <c r="D285" i="1"/>
  <c r="C285" i="1"/>
  <c r="L284" i="1"/>
  <c r="I284" i="1"/>
  <c r="E284" i="1"/>
  <c r="D284" i="1"/>
  <c r="C284" i="1"/>
  <c r="L283" i="1"/>
  <c r="I283" i="1"/>
  <c r="E283" i="1"/>
  <c r="D283" i="1"/>
  <c r="C283" i="1"/>
  <c r="L282" i="1"/>
  <c r="I282" i="1"/>
  <c r="E282" i="1"/>
  <c r="D282" i="1"/>
  <c r="C282" i="1"/>
  <c r="L281" i="1"/>
  <c r="I281" i="1"/>
  <c r="E281" i="1"/>
  <c r="D281" i="1"/>
  <c r="C281" i="1"/>
  <c r="L280" i="1"/>
  <c r="I280" i="1"/>
  <c r="E280" i="1"/>
  <c r="D280" i="1"/>
  <c r="C280" i="1"/>
  <c r="L279" i="1"/>
  <c r="I279" i="1"/>
  <c r="E279" i="1"/>
  <c r="D279" i="1"/>
  <c r="C279" i="1"/>
  <c r="L278" i="1"/>
  <c r="I278" i="1"/>
  <c r="E278" i="1"/>
  <c r="D278" i="1"/>
  <c r="C278" i="1"/>
  <c r="L277" i="1"/>
  <c r="I277" i="1"/>
  <c r="E277" i="1"/>
  <c r="D277" i="1"/>
  <c r="C277" i="1"/>
  <c r="L276" i="1"/>
  <c r="I276" i="1"/>
  <c r="E276" i="1"/>
  <c r="D276" i="1"/>
  <c r="C276" i="1"/>
  <c r="L275" i="1"/>
  <c r="I275" i="1"/>
  <c r="E275" i="1"/>
  <c r="D275" i="1"/>
  <c r="C275" i="1"/>
  <c r="L274" i="1"/>
  <c r="I274" i="1"/>
  <c r="E274" i="1"/>
  <c r="D274" i="1"/>
  <c r="C274" i="1"/>
  <c r="L273" i="1"/>
  <c r="I273" i="1"/>
  <c r="E273" i="1"/>
  <c r="D273" i="1"/>
  <c r="C273" i="1"/>
  <c r="L272" i="1"/>
  <c r="I272" i="1"/>
  <c r="E272" i="1"/>
  <c r="D272" i="1"/>
  <c r="C272" i="1"/>
  <c r="L271" i="1"/>
  <c r="I271" i="1"/>
  <c r="E271" i="1"/>
  <c r="D271" i="1"/>
  <c r="C271" i="1"/>
  <c r="L270" i="1"/>
  <c r="I270" i="1"/>
  <c r="E270" i="1"/>
  <c r="D270" i="1"/>
  <c r="C270" i="1"/>
  <c r="L269" i="1"/>
  <c r="I269" i="1"/>
  <c r="E269" i="1"/>
  <c r="D269" i="1"/>
  <c r="C269" i="1"/>
  <c r="L268" i="1"/>
  <c r="I268" i="1"/>
  <c r="E268" i="1"/>
  <c r="D268" i="1"/>
  <c r="C268" i="1"/>
  <c r="L267" i="1"/>
  <c r="I267" i="1"/>
  <c r="E267" i="1"/>
  <c r="D267" i="1"/>
  <c r="C267" i="1"/>
  <c r="L266" i="1"/>
  <c r="I266" i="1"/>
  <c r="E266" i="1"/>
  <c r="D266" i="1"/>
  <c r="C266" i="1"/>
  <c r="L265" i="1"/>
  <c r="I265" i="1"/>
  <c r="E265" i="1"/>
  <c r="D265" i="1"/>
  <c r="C265" i="1"/>
  <c r="L264" i="1"/>
  <c r="I264" i="1"/>
  <c r="E264" i="1"/>
  <c r="D264" i="1"/>
  <c r="C264" i="1"/>
  <c r="L263" i="1"/>
  <c r="I263" i="1"/>
  <c r="E263" i="1"/>
  <c r="D263" i="1"/>
  <c r="C263" i="1"/>
  <c r="L262" i="1"/>
  <c r="I262" i="1"/>
  <c r="E262" i="1"/>
  <c r="D262" i="1"/>
  <c r="C262" i="1"/>
  <c r="L261" i="1"/>
  <c r="I261" i="1"/>
  <c r="E261" i="1"/>
  <c r="D261" i="1"/>
  <c r="C261" i="1"/>
  <c r="L260" i="1"/>
  <c r="I260" i="1"/>
  <c r="E260" i="1"/>
  <c r="D260" i="1"/>
  <c r="C260" i="1"/>
  <c r="L259" i="1"/>
  <c r="I259" i="1"/>
  <c r="E259" i="1"/>
  <c r="D259" i="1"/>
  <c r="C259" i="1"/>
  <c r="L258" i="1"/>
  <c r="I258" i="1"/>
  <c r="E258" i="1"/>
  <c r="D258" i="1"/>
  <c r="C258" i="1"/>
  <c r="L257" i="1"/>
  <c r="I257" i="1"/>
  <c r="E257" i="1"/>
  <c r="D257" i="1"/>
  <c r="C257" i="1"/>
  <c r="L256" i="1"/>
  <c r="I256" i="1"/>
  <c r="E256" i="1"/>
  <c r="D256" i="1"/>
  <c r="C256" i="1"/>
  <c r="L255" i="1"/>
  <c r="I255" i="1"/>
  <c r="E255" i="1"/>
  <c r="D255" i="1"/>
  <c r="C255" i="1"/>
  <c r="L254" i="1"/>
  <c r="I254" i="1"/>
  <c r="E254" i="1"/>
  <c r="D254" i="1"/>
  <c r="C254" i="1"/>
  <c r="L253" i="1"/>
  <c r="I253" i="1"/>
  <c r="E253" i="1"/>
  <c r="D253" i="1"/>
  <c r="C253" i="1"/>
  <c r="L252" i="1"/>
  <c r="I252" i="1"/>
  <c r="E252" i="1"/>
  <c r="D252" i="1"/>
  <c r="C252" i="1"/>
  <c r="L251" i="1"/>
  <c r="I251" i="1"/>
  <c r="E251" i="1"/>
  <c r="D251" i="1"/>
  <c r="C251" i="1"/>
  <c r="L250" i="1"/>
  <c r="I250" i="1"/>
  <c r="E250" i="1"/>
  <c r="D250" i="1"/>
  <c r="C250" i="1"/>
  <c r="L249" i="1"/>
  <c r="I249" i="1"/>
  <c r="E249" i="1"/>
  <c r="D249" i="1"/>
  <c r="C249" i="1"/>
  <c r="L248" i="1"/>
  <c r="I248" i="1"/>
  <c r="E248" i="1"/>
  <c r="D248" i="1"/>
  <c r="C248" i="1"/>
  <c r="L247" i="1"/>
  <c r="I247" i="1"/>
  <c r="E247" i="1"/>
  <c r="D247" i="1"/>
  <c r="C247" i="1"/>
  <c r="L246" i="1"/>
  <c r="I246" i="1"/>
  <c r="E246" i="1"/>
  <c r="D246" i="1"/>
  <c r="C246" i="1"/>
  <c r="L245" i="1"/>
  <c r="I245" i="1"/>
  <c r="E245" i="1"/>
  <c r="D245" i="1"/>
  <c r="C245" i="1"/>
  <c r="L244" i="1"/>
  <c r="I244" i="1"/>
  <c r="E244" i="1"/>
  <c r="D244" i="1"/>
  <c r="C244" i="1"/>
  <c r="L243" i="1"/>
  <c r="I243" i="1"/>
  <c r="E243" i="1"/>
  <c r="D243" i="1"/>
  <c r="C243" i="1"/>
  <c r="L242" i="1"/>
  <c r="I242" i="1"/>
  <c r="E242" i="1"/>
  <c r="D242" i="1"/>
  <c r="C242" i="1"/>
  <c r="L241" i="1"/>
  <c r="I241" i="1"/>
  <c r="E241" i="1"/>
  <c r="D241" i="1"/>
  <c r="C241" i="1"/>
  <c r="L240" i="1"/>
  <c r="I240" i="1"/>
  <c r="E240" i="1"/>
  <c r="D240" i="1"/>
  <c r="C240" i="1"/>
  <c r="L239" i="1"/>
  <c r="I239" i="1"/>
  <c r="E239" i="1"/>
  <c r="D239" i="1"/>
  <c r="C239" i="1"/>
  <c r="L238" i="1"/>
  <c r="I238" i="1"/>
  <c r="E238" i="1"/>
  <c r="D238" i="1"/>
  <c r="C238" i="1"/>
  <c r="L237" i="1"/>
  <c r="I237" i="1"/>
  <c r="E237" i="1"/>
  <c r="D237" i="1"/>
  <c r="C237" i="1"/>
  <c r="L236" i="1"/>
  <c r="I236" i="1"/>
  <c r="E236" i="1"/>
  <c r="D236" i="1"/>
  <c r="C236" i="1"/>
  <c r="L235" i="1"/>
  <c r="I235" i="1"/>
  <c r="E235" i="1"/>
  <c r="D235" i="1"/>
  <c r="C235" i="1"/>
  <c r="L234" i="1"/>
  <c r="I234" i="1"/>
  <c r="E234" i="1"/>
  <c r="D234" i="1"/>
  <c r="C234" i="1"/>
  <c r="L233" i="1"/>
  <c r="I233" i="1"/>
  <c r="E233" i="1"/>
  <c r="D233" i="1"/>
  <c r="C233" i="1"/>
  <c r="L232" i="1"/>
  <c r="I232" i="1"/>
  <c r="E232" i="1"/>
  <c r="D232" i="1"/>
  <c r="C232" i="1"/>
  <c r="L231" i="1"/>
  <c r="I231" i="1"/>
  <c r="E231" i="1"/>
  <c r="D231" i="1"/>
  <c r="C231" i="1"/>
  <c r="L230" i="1"/>
  <c r="I230" i="1"/>
  <c r="E230" i="1"/>
  <c r="D230" i="1"/>
  <c r="C230" i="1"/>
  <c r="L229" i="1"/>
  <c r="I229" i="1"/>
  <c r="E229" i="1"/>
  <c r="D229" i="1"/>
  <c r="C229" i="1"/>
  <c r="L228" i="1"/>
  <c r="I228" i="1"/>
  <c r="E228" i="1"/>
  <c r="D228" i="1"/>
  <c r="C228" i="1"/>
  <c r="L227" i="1"/>
  <c r="I227" i="1"/>
  <c r="E227" i="1"/>
  <c r="D227" i="1"/>
  <c r="C227" i="1"/>
  <c r="L226" i="1"/>
  <c r="I226" i="1"/>
  <c r="E226" i="1"/>
  <c r="D226" i="1"/>
  <c r="C226" i="1"/>
  <c r="L225" i="1"/>
  <c r="I225" i="1"/>
  <c r="E225" i="1"/>
  <c r="D225" i="1"/>
  <c r="C225" i="1"/>
  <c r="L224" i="1"/>
  <c r="I224" i="1"/>
  <c r="E224" i="1"/>
  <c r="D224" i="1"/>
  <c r="C224" i="1"/>
  <c r="L223" i="1"/>
  <c r="I223" i="1"/>
  <c r="E223" i="1"/>
  <c r="D223" i="1"/>
  <c r="C223" i="1"/>
  <c r="L222" i="1"/>
  <c r="I222" i="1"/>
  <c r="E222" i="1"/>
  <c r="D222" i="1"/>
  <c r="C222" i="1"/>
  <c r="L221" i="1"/>
  <c r="I221" i="1"/>
  <c r="E221" i="1"/>
  <c r="D221" i="1"/>
  <c r="C221" i="1"/>
  <c r="L220" i="1"/>
  <c r="I220" i="1"/>
  <c r="E220" i="1"/>
  <c r="D220" i="1"/>
  <c r="C220" i="1"/>
  <c r="L219" i="1"/>
  <c r="I219" i="1"/>
  <c r="E219" i="1"/>
  <c r="D219" i="1"/>
  <c r="C219" i="1"/>
  <c r="L218" i="1"/>
  <c r="I218" i="1"/>
  <c r="E218" i="1"/>
  <c r="D218" i="1"/>
  <c r="C218" i="1"/>
  <c r="L217" i="1"/>
  <c r="I217" i="1"/>
  <c r="E217" i="1"/>
  <c r="D217" i="1"/>
  <c r="C217" i="1"/>
  <c r="L216" i="1"/>
  <c r="I216" i="1"/>
  <c r="E216" i="1"/>
  <c r="D216" i="1"/>
  <c r="C216" i="1"/>
  <c r="L215" i="1"/>
  <c r="I215" i="1"/>
  <c r="E215" i="1"/>
  <c r="D215" i="1"/>
  <c r="C215" i="1"/>
  <c r="L214" i="1"/>
  <c r="I214" i="1"/>
  <c r="E214" i="1"/>
  <c r="D214" i="1"/>
  <c r="C214" i="1"/>
  <c r="L213" i="1"/>
  <c r="I213" i="1"/>
  <c r="E213" i="1"/>
  <c r="D213" i="1"/>
  <c r="C213" i="1"/>
  <c r="L212" i="1"/>
  <c r="I212" i="1"/>
  <c r="E212" i="1"/>
  <c r="D212" i="1"/>
  <c r="C212" i="1"/>
  <c r="L211" i="1"/>
  <c r="I211" i="1"/>
  <c r="E211" i="1"/>
  <c r="D211" i="1"/>
  <c r="C211" i="1"/>
  <c r="L210" i="1"/>
  <c r="I210" i="1"/>
  <c r="E210" i="1"/>
  <c r="D210" i="1"/>
  <c r="C210" i="1"/>
  <c r="L209" i="1"/>
  <c r="I209" i="1"/>
  <c r="E209" i="1"/>
  <c r="D209" i="1"/>
  <c r="C209" i="1"/>
  <c r="L208" i="1"/>
  <c r="I208" i="1"/>
  <c r="E208" i="1"/>
  <c r="D208" i="1"/>
  <c r="C208" i="1"/>
  <c r="L207" i="1"/>
  <c r="I207" i="1"/>
  <c r="E207" i="1"/>
  <c r="D207" i="1"/>
  <c r="C207" i="1"/>
  <c r="L206" i="1"/>
  <c r="I206" i="1"/>
  <c r="E206" i="1"/>
  <c r="D206" i="1"/>
  <c r="C206" i="1"/>
  <c r="L205" i="1"/>
  <c r="I205" i="1"/>
  <c r="E205" i="1"/>
  <c r="D205" i="1"/>
  <c r="C205" i="1"/>
  <c r="L204" i="1"/>
  <c r="I204" i="1"/>
  <c r="E204" i="1"/>
  <c r="D204" i="1"/>
  <c r="C204" i="1"/>
  <c r="L203" i="1"/>
  <c r="I203" i="1"/>
  <c r="E203" i="1"/>
  <c r="D203" i="1"/>
  <c r="C203" i="1"/>
  <c r="L202" i="1"/>
  <c r="I202" i="1"/>
  <c r="E202" i="1"/>
  <c r="D202" i="1"/>
  <c r="C202" i="1"/>
  <c r="L201" i="1"/>
  <c r="I201" i="1"/>
  <c r="E201" i="1"/>
  <c r="D201" i="1"/>
  <c r="C201" i="1"/>
  <c r="L200" i="1"/>
  <c r="I200" i="1"/>
  <c r="E200" i="1"/>
  <c r="D200" i="1"/>
  <c r="C200" i="1"/>
  <c r="L199" i="1"/>
  <c r="I199" i="1"/>
  <c r="E199" i="1"/>
  <c r="D199" i="1"/>
  <c r="C199" i="1"/>
  <c r="L198" i="1"/>
  <c r="I198" i="1"/>
  <c r="E198" i="1"/>
  <c r="D198" i="1"/>
  <c r="C198" i="1"/>
  <c r="L197" i="1"/>
  <c r="I197" i="1"/>
  <c r="E197" i="1"/>
  <c r="D197" i="1"/>
  <c r="C197" i="1"/>
  <c r="L196" i="1"/>
  <c r="I196" i="1"/>
  <c r="E196" i="1"/>
  <c r="D196" i="1"/>
  <c r="C196" i="1"/>
  <c r="L195" i="1"/>
  <c r="I195" i="1"/>
  <c r="E195" i="1"/>
  <c r="D195" i="1"/>
  <c r="C195" i="1"/>
  <c r="L194" i="1"/>
  <c r="I194" i="1"/>
  <c r="E194" i="1"/>
  <c r="D194" i="1"/>
  <c r="C194" i="1"/>
  <c r="L193" i="1"/>
  <c r="I193" i="1"/>
  <c r="E193" i="1"/>
  <c r="D193" i="1"/>
  <c r="C193" i="1"/>
  <c r="L192" i="1"/>
  <c r="I192" i="1"/>
  <c r="E192" i="1"/>
  <c r="D192" i="1"/>
  <c r="C192" i="1"/>
  <c r="L191" i="1"/>
  <c r="I191" i="1"/>
  <c r="E191" i="1"/>
  <c r="D191" i="1"/>
  <c r="C191" i="1"/>
  <c r="L190" i="1"/>
  <c r="I190" i="1"/>
  <c r="E190" i="1"/>
  <c r="D190" i="1"/>
  <c r="C190" i="1"/>
  <c r="L189" i="1"/>
  <c r="I189" i="1"/>
  <c r="E189" i="1"/>
  <c r="D189" i="1"/>
  <c r="C189" i="1"/>
  <c r="L188" i="1"/>
  <c r="I188" i="1"/>
  <c r="E188" i="1"/>
  <c r="D188" i="1"/>
  <c r="C188" i="1"/>
  <c r="L187" i="1"/>
  <c r="I187" i="1"/>
  <c r="E187" i="1"/>
  <c r="D187" i="1"/>
  <c r="C187" i="1"/>
  <c r="L186" i="1"/>
  <c r="I186" i="1"/>
  <c r="E186" i="1"/>
  <c r="D186" i="1"/>
  <c r="C186" i="1"/>
  <c r="L185" i="1"/>
  <c r="E185" i="1"/>
  <c r="D185" i="1"/>
  <c r="C185" i="1"/>
  <c r="L184" i="1"/>
  <c r="I184" i="1"/>
  <c r="E184" i="1"/>
  <c r="D184" i="1"/>
  <c r="C184" i="1"/>
  <c r="L183" i="1"/>
  <c r="I183" i="1"/>
  <c r="E183" i="1"/>
  <c r="D183" i="1"/>
  <c r="C183" i="1"/>
  <c r="L182" i="1"/>
  <c r="I182" i="1"/>
  <c r="E182" i="1"/>
  <c r="D182" i="1"/>
  <c r="C182" i="1"/>
  <c r="L181" i="1"/>
  <c r="I181" i="1"/>
  <c r="E181" i="1"/>
  <c r="D181" i="1"/>
  <c r="C181" i="1"/>
  <c r="L180" i="1"/>
  <c r="I180" i="1"/>
  <c r="E180" i="1"/>
  <c r="D180" i="1"/>
  <c r="C180" i="1"/>
  <c r="L179" i="1"/>
  <c r="I179" i="1"/>
  <c r="E179" i="1"/>
  <c r="D179" i="1"/>
  <c r="C179" i="1"/>
  <c r="L178" i="1"/>
  <c r="I178" i="1"/>
  <c r="E178" i="1"/>
  <c r="D178" i="1"/>
  <c r="C178" i="1"/>
  <c r="L177" i="1"/>
  <c r="I177" i="1"/>
  <c r="E177" i="1"/>
  <c r="D177" i="1"/>
  <c r="C177" i="1"/>
  <c r="L176" i="1"/>
  <c r="I176" i="1"/>
  <c r="E176" i="1"/>
  <c r="D176" i="1"/>
  <c r="C176" i="1"/>
  <c r="L175" i="1"/>
  <c r="I175" i="1"/>
  <c r="E175" i="1"/>
  <c r="D175" i="1"/>
  <c r="C175" i="1"/>
  <c r="L174" i="1"/>
  <c r="I174" i="1"/>
  <c r="E174" i="1"/>
  <c r="D174" i="1"/>
  <c r="C174" i="1"/>
  <c r="L173" i="1"/>
  <c r="I173" i="1"/>
  <c r="E173" i="1"/>
  <c r="D173" i="1"/>
  <c r="C173" i="1"/>
  <c r="L172" i="1"/>
  <c r="I172" i="1"/>
  <c r="E172" i="1"/>
  <c r="D172" i="1"/>
  <c r="C172" i="1"/>
  <c r="L171" i="1"/>
  <c r="I171" i="1"/>
  <c r="E171" i="1"/>
  <c r="D171" i="1"/>
  <c r="C171" i="1"/>
  <c r="L170" i="1"/>
  <c r="I170" i="1"/>
  <c r="E170" i="1"/>
  <c r="D170" i="1"/>
  <c r="C170" i="1"/>
  <c r="L169" i="1"/>
  <c r="I169" i="1"/>
  <c r="E169" i="1"/>
  <c r="D169" i="1"/>
  <c r="C169" i="1"/>
  <c r="L168" i="1"/>
  <c r="I168" i="1"/>
  <c r="E168" i="1"/>
  <c r="D168" i="1"/>
  <c r="C168" i="1"/>
  <c r="L167" i="1"/>
  <c r="I167" i="1"/>
  <c r="E167" i="1"/>
  <c r="D167" i="1"/>
  <c r="C167" i="1"/>
  <c r="L166" i="1"/>
  <c r="I166" i="1"/>
  <c r="E166" i="1"/>
  <c r="D166" i="1"/>
  <c r="C166" i="1"/>
  <c r="L165" i="1"/>
  <c r="I165" i="1"/>
  <c r="E165" i="1"/>
  <c r="D165" i="1"/>
  <c r="C165" i="1"/>
  <c r="L164" i="1"/>
  <c r="I164" i="1"/>
  <c r="E164" i="1"/>
  <c r="D164" i="1"/>
  <c r="C164" i="1"/>
  <c r="L163" i="1"/>
  <c r="I163" i="1"/>
  <c r="E163" i="1"/>
  <c r="D163" i="1"/>
  <c r="C163" i="1"/>
  <c r="L162" i="1"/>
  <c r="I162" i="1"/>
  <c r="E162" i="1"/>
  <c r="D162" i="1"/>
  <c r="C162" i="1"/>
  <c r="L161" i="1"/>
  <c r="I161" i="1"/>
  <c r="E161" i="1"/>
  <c r="D161" i="1"/>
  <c r="C161" i="1"/>
  <c r="L160" i="1"/>
  <c r="I160" i="1"/>
  <c r="E160" i="1"/>
  <c r="D160" i="1"/>
  <c r="C160" i="1"/>
  <c r="L159" i="1"/>
  <c r="I159" i="1"/>
  <c r="E159" i="1"/>
  <c r="D159" i="1"/>
  <c r="C159" i="1"/>
  <c r="L158" i="1"/>
  <c r="I158" i="1"/>
  <c r="E158" i="1"/>
  <c r="D158" i="1"/>
  <c r="C158" i="1"/>
  <c r="L157" i="1"/>
  <c r="I157" i="1"/>
  <c r="E157" i="1"/>
  <c r="D157" i="1"/>
  <c r="C157" i="1"/>
  <c r="L156" i="1"/>
  <c r="I156" i="1"/>
  <c r="E156" i="1"/>
  <c r="D156" i="1"/>
  <c r="C156" i="1"/>
  <c r="E155" i="1"/>
  <c r="D155" i="1"/>
  <c r="C155" i="1"/>
  <c r="E154" i="1"/>
  <c r="D154" i="1"/>
  <c r="C154" i="1"/>
  <c r="E153" i="1"/>
  <c r="D153" i="1"/>
  <c r="C153" i="1"/>
  <c r="E152" i="1"/>
  <c r="D152" i="1"/>
  <c r="C152" i="1"/>
  <c r="E151" i="1"/>
  <c r="D151" i="1"/>
  <c r="C151" i="1"/>
  <c r="E150" i="1"/>
  <c r="D150" i="1"/>
  <c r="C150" i="1"/>
  <c r="L149" i="1"/>
  <c r="I149" i="1"/>
  <c r="E149" i="1"/>
  <c r="D149" i="1"/>
  <c r="C149" i="1"/>
  <c r="L148" i="1"/>
  <c r="I148" i="1"/>
  <c r="E148" i="1"/>
  <c r="D148" i="1"/>
  <c r="C148" i="1"/>
  <c r="L147" i="1"/>
  <c r="I147" i="1"/>
  <c r="E147" i="1"/>
  <c r="D147" i="1"/>
  <c r="C147" i="1"/>
  <c r="L146" i="1"/>
  <c r="I146" i="1"/>
  <c r="E146" i="1"/>
  <c r="D146" i="1"/>
  <c r="C146" i="1"/>
  <c r="L145" i="1"/>
  <c r="I145" i="1"/>
  <c r="E145" i="1"/>
  <c r="D145" i="1"/>
  <c r="C145" i="1"/>
  <c r="L144" i="1"/>
  <c r="I144" i="1"/>
  <c r="E144" i="1"/>
  <c r="D144" i="1"/>
  <c r="C144" i="1"/>
  <c r="L143" i="1"/>
  <c r="I143" i="1"/>
  <c r="E143" i="1"/>
  <c r="D143" i="1"/>
  <c r="C143" i="1"/>
  <c r="L142" i="1"/>
  <c r="I142" i="1"/>
  <c r="E142" i="1"/>
  <c r="D142" i="1"/>
  <c r="C142" i="1"/>
  <c r="L141" i="1"/>
  <c r="I141" i="1"/>
  <c r="E141" i="1"/>
  <c r="D141" i="1"/>
  <c r="C141" i="1"/>
  <c r="L140" i="1"/>
  <c r="I140" i="1"/>
  <c r="E140" i="1"/>
  <c r="D140" i="1"/>
  <c r="C140" i="1"/>
  <c r="L139" i="1"/>
  <c r="I139" i="1"/>
  <c r="E139" i="1"/>
  <c r="D139" i="1"/>
  <c r="C139" i="1"/>
  <c r="L138" i="1"/>
  <c r="I138" i="1"/>
  <c r="E138" i="1"/>
  <c r="D138" i="1"/>
  <c r="C138" i="1"/>
  <c r="L137" i="1"/>
  <c r="I137" i="1"/>
  <c r="E137" i="1"/>
  <c r="D137" i="1"/>
  <c r="C137" i="1"/>
  <c r="L136" i="1"/>
  <c r="I136" i="1"/>
  <c r="E136" i="1"/>
  <c r="D136" i="1"/>
  <c r="C136" i="1"/>
  <c r="L135" i="1"/>
  <c r="I135" i="1"/>
  <c r="E135" i="1"/>
  <c r="D135" i="1"/>
  <c r="C135" i="1"/>
  <c r="L134" i="1"/>
  <c r="I134" i="1"/>
  <c r="E134" i="1"/>
  <c r="D134" i="1"/>
  <c r="C134" i="1"/>
  <c r="L133" i="1"/>
  <c r="I133" i="1"/>
  <c r="E133" i="1"/>
  <c r="D133" i="1"/>
  <c r="C133" i="1"/>
  <c r="L132" i="1"/>
  <c r="I132" i="1"/>
  <c r="E132" i="1"/>
  <c r="D132" i="1"/>
  <c r="C132" i="1"/>
  <c r="L131" i="1"/>
  <c r="I131" i="1"/>
  <c r="E131" i="1"/>
  <c r="D131" i="1"/>
  <c r="C131" i="1"/>
  <c r="L130" i="1"/>
  <c r="I130" i="1"/>
  <c r="E130" i="1"/>
  <c r="D130" i="1"/>
  <c r="C130" i="1"/>
  <c r="L129" i="1"/>
  <c r="I129" i="1"/>
  <c r="E129" i="1"/>
  <c r="D129" i="1"/>
  <c r="C129" i="1"/>
  <c r="L128" i="1"/>
  <c r="E128" i="1"/>
  <c r="D128" i="1"/>
  <c r="C128" i="1"/>
  <c r="L127" i="1"/>
  <c r="I127" i="1"/>
  <c r="E127" i="1"/>
  <c r="D127" i="1"/>
  <c r="C127" i="1"/>
  <c r="L126" i="1"/>
  <c r="I126" i="1"/>
  <c r="E126" i="1"/>
  <c r="D126" i="1"/>
  <c r="C126" i="1"/>
  <c r="L125" i="1"/>
  <c r="I125" i="1"/>
  <c r="E125" i="1"/>
  <c r="D125" i="1"/>
  <c r="C125" i="1"/>
  <c r="L124" i="1"/>
  <c r="I124" i="1"/>
  <c r="E124" i="1"/>
  <c r="D124" i="1"/>
  <c r="C124" i="1"/>
  <c r="L123" i="1"/>
  <c r="I123" i="1"/>
  <c r="E123" i="1"/>
  <c r="D123" i="1"/>
  <c r="C123" i="1"/>
  <c r="L122" i="1"/>
  <c r="I122" i="1"/>
  <c r="E122" i="1"/>
  <c r="D122" i="1"/>
  <c r="C122" i="1"/>
  <c r="L121" i="1"/>
  <c r="I121" i="1"/>
  <c r="E121" i="1"/>
  <c r="D121" i="1"/>
  <c r="C121" i="1"/>
  <c r="L120" i="1"/>
  <c r="I120" i="1"/>
  <c r="E120" i="1"/>
  <c r="D120" i="1"/>
  <c r="C120" i="1"/>
  <c r="L119" i="1"/>
  <c r="I119" i="1"/>
  <c r="E119" i="1"/>
  <c r="D119" i="1"/>
  <c r="C119" i="1"/>
  <c r="L118" i="1"/>
  <c r="I118" i="1"/>
  <c r="E118" i="1"/>
  <c r="D118" i="1"/>
  <c r="C118" i="1"/>
  <c r="L117" i="1"/>
  <c r="I117" i="1"/>
  <c r="E117" i="1"/>
  <c r="D117" i="1"/>
  <c r="C117" i="1"/>
  <c r="L116" i="1"/>
  <c r="I116" i="1"/>
  <c r="E116" i="1"/>
  <c r="D116" i="1"/>
  <c r="C116" i="1"/>
  <c r="L115" i="1"/>
  <c r="I115" i="1"/>
  <c r="E115" i="1"/>
  <c r="D115" i="1"/>
  <c r="C115" i="1"/>
  <c r="L114" i="1"/>
  <c r="I114" i="1"/>
  <c r="E114" i="1"/>
  <c r="D114" i="1"/>
  <c r="C114" i="1"/>
  <c r="L113" i="1"/>
  <c r="I113" i="1"/>
  <c r="E113" i="1"/>
  <c r="D113" i="1"/>
  <c r="C113" i="1"/>
  <c r="L112" i="1"/>
  <c r="I112" i="1"/>
  <c r="E112" i="1"/>
  <c r="D112" i="1"/>
  <c r="C112" i="1"/>
  <c r="L111" i="1"/>
  <c r="I111" i="1"/>
  <c r="E111" i="1"/>
  <c r="D111" i="1"/>
  <c r="C111" i="1"/>
  <c r="L110" i="1"/>
  <c r="I110" i="1"/>
  <c r="E110" i="1"/>
  <c r="D110" i="1"/>
  <c r="C110" i="1"/>
  <c r="L109" i="1"/>
  <c r="I109" i="1"/>
  <c r="E109" i="1"/>
  <c r="D109" i="1"/>
  <c r="C109" i="1"/>
  <c r="L108" i="1"/>
  <c r="I108" i="1"/>
  <c r="E108" i="1"/>
  <c r="D108" i="1"/>
  <c r="C108" i="1"/>
  <c r="L107" i="1"/>
  <c r="I107" i="1"/>
  <c r="E107" i="1"/>
  <c r="D107" i="1"/>
  <c r="C107" i="1"/>
  <c r="L106" i="1"/>
  <c r="I106" i="1"/>
  <c r="E106" i="1"/>
  <c r="D106" i="1"/>
  <c r="C106" i="1"/>
  <c r="L105" i="1"/>
  <c r="I105" i="1"/>
  <c r="E105" i="1"/>
  <c r="D105" i="1"/>
  <c r="C105" i="1"/>
  <c r="L104" i="1"/>
  <c r="I104" i="1"/>
  <c r="E104" i="1"/>
  <c r="D104" i="1"/>
  <c r="C104" i="1"/>
  <c r="L103" i="1"/>
  <c r="I103" i="1"/>
  <c r="E103" i="1"/>
  <c r="D103" i="1"/>
  <c r="C103" i="1"/>
  <c r="L102" i="1"/>
  <c r="I102" i="1"/>
  <c r="E102" i="1"/>
  <c r="D102" i="1"/>
  <c r="C102" i="1"/>
  <c r="L101" i="1"/>
  <c r="I101" i="1"/>
  <c r="E101" i="1"/>
  <c r="D101" i="1"/>
  <c r="C101" i="1"/>
  <c r="L100" i="1"/>
  <c r="I100" i="1"/>
  <c r="E100" i="1"/>
  <c r="D100" i="1"/>
  <c r="C100" i="1"/>
  <c r="L99" i="1"/>
  <c r="I99" i="1"/>
  <c r="E99" i="1"/>
  <c r="D99" i="1"/>
  <c r="C99" i="1"/>
  <c r="L98" i="1"/>
  <c r="I98" i="1"/>
  <c r="E98" i="1"/>
  <c r="D98" i="1"/>
  <c r="C98" i="1"/>
  <c r="L97" i="1"/>
  <c r="I97" i="1"/>
  <c r="E97" i="1"/>
  <c r="D97" i="1"/>
  <c r="C97" i="1"/>
  <c r="L96" i="1"/>
  <c r="I96" i="1"/>
  <c r="E96" i="1"/>
  <c r="D96" i="1"/>
  <c r="C96" i="1"/>
  <c r="L95" i="1"/>
  <c r="I95" i="1"/>
  <c r="E95" i="1"/>
  <c r="D95" i="1"/>
  <c r="C95" i="1"/>
  <c r="L94" i="1"/>
  <c r="I94" i="1"/>
  <c r="E94" i="1"/>
  <c r="D94" i="1"/>
  <c r="C94" i="1"/>
  <c r="L93" i="1"/>
  <c r="I93" i="1"/>
  <c r="E93" i="1"/>
  <c r="D93" i="1"/>
  <c r="C93" i="1"/>
  <c r="L92" i="1"/>
  <c r="I92" i="1"/>
  <c r="E92" i="1"/>
  <c r="D92" i="1"/>
  <c r="C92" i="1"/>
  <c r="L91" i="1"/>
  <c r="I91" i="1"/>
  <c r="E91" i="1"/>
  <c r="D91" i="1"/>
  <c r="C91" i="1"/>
  <c r="L90" i="1"/>
  <c r="I90" i="1"/>
  <c r="E90" i="1"/>
  <c r="D90" i="1"/>
  <c r="C90" i="1"/>
  <c r="L89" i="1"/>
  <c r="I89" i="1"/>
  <c r="E89" i="1"/>
  <c r="D89" i="1"/>
  <c r="C89" i="1"/>
  <c r="L88" i="1"/>
  <c r="I88" i="1"/>
  <c r="E88" i="1"/>
  <c r="D88" i="1"/>
  <c r="C88" i="1"/>
  <c r="L87" i="1"/>
  <c r="I87" i="1"/>
  <c r="E87" i="1"/>
  <c r="D87" i="1"/>
  <c r="C87" i="1"/>
  <c r="L86" i="1"/>
  <c r="I86" i="1"/>
  <c r="E86" i="1"/>
  <c r="D86" i="1"/>
  <c r="C86" i="1"/>
  <c r="L85" i="1"/>
  <c r="I85" i="1"/>
  <c r="E85" i="1"/>
  <c r="D85" i="1"/>
  <c r="C85" i="1"/>
  <c r="L84" i="1"/>
  <c r="I84" i="1"/>
  <c r="E84" i="1"/>
  <c r="D84" i="1"/>
  <c r="C84" i="1"/>
  <c r="L83" i="1"/>
  <c r="I83" i="1"/>
  <c r="E83" i="1"/>
  <c r="D83" i="1"/>
  <c r="C83" i="1"/>
  <c r="L82" i="1"/>
  <c r="I82" i="1"/>
  <c r="E82" i="1"/>
  <c r="D82" i="1"/>
  <c r="C82" i="1"/>
  <c r="L81" i="1"/>
  <c r="I81" i="1"/>
  <c r="E81" i="1"/>
  <c r="D81" i="1"/>
  <c r="C81" i="1"/>
  <c r="L80" i="1"/>
  <c r="I80" i="1"/>
  <c r="E80" i="1"/>
  <c r="D80" i="1"/>
  <c r="C80" i="1"/>
  <c r="L79" i="1"/>
  <c r="I79" i="1"/>
  <c r="E79" i="1"/>
  <c r="D79" i="1"/>
  <c r="C79" i="1"/>
  <c r="L78" i="1"/>
  <c r="I78" i="1"/>
  <c r="E78" i="1"/>
  <c r="D78" i="1"/>
  <c r="C78" i="1"/>
  <c r="L77" i="1"/>
  <c r="I77" i="1"/>
  <c r="E77" i="1"/>
  <c r="D77" i="1"/>
  <c r="C77" i="1"/>
  <c r="L76" i="1"/>
  <c r="I76" i="1"/>
  <c r="E76" i="1"/>
  <c r="D76" i="1"/>
  <c r="C76" i="1"/>
  <c r="L75" i="1"/>
  <c r="I75" i="1"/>
  <c r="E75" i="1"/>
  <c r="D75" i="1"/>
  <c r="C75" i="1"/>
  <c r="L74" i="1"/>
  <c r="I74" i="1"/>
  <c r="E74" i="1"/>
  <c r="D74" i="1"/>
  <c r="C74" i="1"/>
  <c r="L73" i="1"/>
  <c r="I73" i="1"/>
  <c r="E73" i="1"/>
  <c r="D73" i="1"/>
  <c r="C73" i="1"/>
  <c r="L72" i="1"/>
  <c r="I72" i="1"/>
  <c r="E72" i="1"/>
  <c r="D72" i="1"/>
  <c r="C72" i="1"/>
  <c r="L71" i="1"/>
  <c r="I71" i="1"/>
  <c r="E71" i="1"/>
  <c r="D71" i="1"/>
  <c r="C71" i="1"/>
  <c r="L70" i="1"/>
  <c r="I70" i="1"/>
  <c r="E70" i="1"/>
  <c r="D70" i="1"/>
  <c r="C70" i="1"/>
  <c r="L69" i="1"/>
  <c r="I69" i="1"/>
  <c r="E69" i="1"/>
  <c r="D69" i="1"/>
  <c r="C69" i="1"/>
  <c r="L68" i="1"/>
  <c r="I68" i="1"/>
  <c r="E68" i="1"/>
  <c r="D68" i="1"/>
  <c r="C68" i="1"/>
  <c r="L67" i="1"/>
  <c r="I67" i="1"/>
  <c r="E67" i="1"/>
  <c r="D67" i="1"/>
  <c r="C67" i="1"/>
  <c r="L66" i="1"/>
  <c r="I66" i="1"/>
  <c r="E66" i="1"/>
  <c r="D66" i="1"/>
  <c r="C66" i="1"/>
  <c r="L65" i="1"/>
  <c r="I65" i="1"/>
  <c r="E65" i="1"/>
  <c r="D65" i="1"/>
  <c r="C65" i="1"/>
  <c r="L64" i="1"/>
  <c r="I64" i="1"/>
  <c r="E64" i="1"/>
  <c r="D64" i="1"/>
  <c r="C64" i="1"/>
  <c r="L63" i="1"/>
  <c r="I63" i="1"/>
  <c r="E63" i="1"/>
  <c r="D63" i="1"/>
  <c r="C63" i="1"/>
  <c r="L62" i="1"/>
  <c r="I62" i="1"/>
  <c r="E62" i="1"/>
  <c r="D62" i="1"/>
  <c r="C62" i="1"/>
  <c r="L61" i="1"/>
  <c r="I61" i="1"/>
  <c r="E61" i="1"/>
  <c r="D61" i="1"/>
  <c r="C61" i="1"/>
  <c r="L60" i="1"/>
  <c r="I60" i="1"/>
  <c r="E60" i="1"/>
  <c r="D60" i="1"/>
  <c r="C60" i="1"/>
  <c r="L59" i="1"/>
  <c r="I59" i="1"/>
  <c r="E59" i="1"/>
  <c r="D59" i="1"/>
  <c r="C59" i="1"/>
  <c r="L58" i="1"/>
  <c r="I58" i="1"/>
  <c r="E58" i="1"/>
  <c r="D58" i="1"/>
  <c r="C58" i="1"/>
  <c r="L57" i="1"/>
  <c r="I57" i="1"/>
  <c r="E57" i="1"/>
  <c r="D57" i="1"/>
  <c r="C57" i="1"/>
  <c r="L56" i="1"/>
  <c r="I56" i="1"/>
  <c r="E56" i="1"/>
  <c r="D56" i="1"/>
  <c r="C56" i="1"/>
  <c r="L55" i="1"/>
  <c r="I55" i="1"/>
  <c r="E55" i="1"/>
  <c r="D55" i="1"/>
  <c r="C55" i="1"/>
  <c r="L54" i="1"/>
  <c r="I54" i="1"/>
  <c r="E54" i="1"/>
  <c r="D54" i="1"/>
  <c r="C54" i="1"/>
  <c r="L53" i="1"/>
  <c r="I53" i="1"/>
  <c r="E53" i="1"/>
  <c r="D53" i="1"/>
  <c r="C53" i="1"/>
  <c r="L52" i="1"/>
  <c r="I52" i="1"/>
  <c r="E52" i="1"/>
  <c r="D52" i="1"/>
  <c r="C52" i="1"/>
  <c r="L51" i="1"/>
  <c r="I51" i="1"/>
  <c r="E51" i="1"/>
  <c r="D51" i="1"/>
  <c r="C51" i="1"/>
  <c r="L50" i="1"/>
  <c r="I50" i="1"/>
  <c r="E50" i="1"/>
  <c r="D50" i="1"/>
  <c r="C50" i="1"/>
  <c r="L49" i="1"/>
  <c r="I49" i="1"/>
  <c r="E49" i="1"/>
  <c r="D49" i="1"/>
  <c r="C49" i="1"/>
  <c r="L48" i="1"/>
  <c r="I48" i="1"/>
  <c r="E48" i="1"/>
  <c r="D48" i="1"/>
  <c r="C48" i="1"/>
  <c r="L47" i="1"/>
  <c r="I47" i="1"/>
  <c r="E47" i="1"/>
  <c r="D47" i="1"/>
  <c r="C47" i="1"/>
  <c r="L46" i="1"/>
  <c r="I46" i="1"/>
  <c r="E46" i="1"/>
  <c r="D46" i="1"/>
  <c r="C46" i="1"/>
  <c r="L45" i="1"/>
  <c r="I45" i="1"/>
  <c r="E45" i="1"/>
  <c r="D45" i="1"/>
  <c r="C45" i="1"/>
  <c r="L44" i="1"/>
  <c r="I44" i="1"/>
  <c r="E44" i="1"/>
  <c r="D44" i="1"/>
  <c r="C44" i="1"/>
  <c r="L43" i="1"/>
  <c r="I43" i="1"/>
  <c r="E43" i="1"/>
  <c r="D43" i="1"/>
  <c r="C43" i="1"/>
  <c r="L42" i="1"/>
  <c r="I42" i="1"/>
  <c r="E42" i="1"/>
  <c r="D42" i="1"/>
  <c r="C42" i="1"/>
  <c r="L41" i="1"/>
  <c r="I41" i="1"/>
  <c r="E41" i="1"/>
  <c r="D41" i="1"/>
  <c r="C41" i="1"/>
  <c r="L40" i="1"/>
  <c r="I40" i="1"/>
  <c r="E40" i="1"/>
  <c r="D40" i="1"/>
  <c r="C40" i="1"/>
  <c r="L39" i="1"/>
  <c r="I39" i="1"/>
  <c r="E39" i="1"/>
  <c r="D39" i="1"/>
  <c r="C39" i="1"/>
  <c r="L38" i="1"/>
  <c r="I38" i="1"/>
  <c r="E38" i="1"/>
  <c r="D38" i="1"/>
  <c r="C38" i="1"/>
  <c r="L37" i="1"/>
  <c r="I37" i="1"/>
  <c r="E37" i="1"/>
  <c r="D37" i="1"/>
  <c r="C37" i="1"/>
  <c r="L36" i="1"/>
  <c r="I36" i="1"/>
  <c r="E36" i="1"/>
  <c r="D36" i="1"/>
  <c r="C36" i="1"/>
  <c r="L35" i="1"/>
  <c r="I35" i="1"/>
  <c r="E35" i="1"/>
  <c r="D35" i="1"/>
  <c r="C35" i="1"/>
  <c r="L34" i="1"/>
  <c r="I34" i="1"/>
  <c r="E34" i="1"/>
  <c r="D34" i="1"/>
  <c r="C34" i="1"/>
  <c r="L33" i="1"/>
  <c r="I33" i="1"/>
  <c r="E33" i="1"/>
  <c r="D33" i="1"/>
  <c r="C33" i="1"/>
  <c r="L32" i="1"/>
  <c r="I32" i="1"/>
  <c r="E32" i="1"/>
  <c r="D32" i="1"/>
  <c r="C32" i="1"/>
  <c r="L31" i="1"/>
  <c r="I31" i="1"/>
  <c r="E31" i="1"/>
  <c r="D31" i="1"/>
  <c r="C31" i="1"/>
  <c r="L30" i="1"/>
  <c r="I30" i="1"/>
  <c r="E30" i="1"/>
  <c r="D30" i="1"/>
  <c r="C30" i="1"/>
  <c r="L29" i="1"/>
  <c r="I29" i="1"/>
  <c r="E29" i="1"/>
  <c r="D29" i="1"/>
  <c r="C29" i="1"/>
  <c r="L28" i="1"/>
  <c r="I28" i="1"/>
  <c r="E28" i="1"/>
  <c r="D28" i="1"/>
  <c r="C28" i="1"/>
  <c r="L27" i="1"/>
  <c r="I27" i="1"/>
  <c r="E27" i="1"/>
  <c r="D27" i="1"/>
  <c r="C27" i="1"/>
  <c r="L26" i="1"/>
  <c r="I26" i="1"/>
  <c r="E26" i="1"/>
  <c r="D26" i="1"/>
  <c r="C26" i="1"/>
  <c r="L25" i="1"/>
  <c r="I25" i="1"/>
  <c r="E25" i="1"/>
  <c r="D25" i="1"/>
  <c r="C25" i="1"/>
  <c r="L24" i="1"/>
  <c r="I24" i="1"/>
  <c r="E24" i="1"/>
  <c r="D24" i="1"/>
  <c r="C24" i="1"/>
  <c r="L23" i="1"/>
  <c r="I23" i="1"/>
  <c r="E23" i="1"/>
  <c r="D23" i="1"/>
  <c r="C23" i="1"/>
  <c r="L22" i="1"/>
  <c r="I22" i="1"/>
  <c r="E22" i="1"/>
  <c r="D22" i="1"/>
  <c r="C22" i="1"/>
  <c r="L21" i="1"/>
  <c r="I21" i="1"/>
  <c r="E21" i="1"/>
  <c r="D21" i="1"/>
  <c r="C21" i="1"/>
  <c r="L20" i="1"/>
  <c r="I20" i="1"/>
  <c r="E20" i="1"/>
  <c r="D20" i="1"/>
  <c r="C20" i="1"/>
  <c r="L19" i="1"/>
  <c r="I19" i="1"/>
  <c r="E19" i="1"/>
  <c r="D19" i="1"/>
  <c r="C19" i="1"/>
  <c r="L18" i="1"/>
  <c r="I18" i="1"/>
  <c r="E18" i="1"/>
  <c r="D18" i="1"/>
  <c r="C18" i="1"/>
  <c r="L17" i="1"/>
  <c r="I17" i="1"/>
  <c r="E17" i="1"/>
  <c r="D17" i="1"/>
  <c r="C17" i="1"/>
  <c r="L16" i="1"/>
  <c r="I16" i="1"/>
  <c r="E16" i="1"/>
  <c r="D16" i="1"/>
  <c r="C16" i="1"/>
  <c r="L15" i="1"/>
  <c r="I15" i="1"/>
  <c r="E15" i="1"/>
  <c r="D15" i="1"/>
  <c r="C15" i="1"/>
  <c r="L14" i="1"/>
  <c r="I14" i="1"/>
  <c r="E14" i="1"/>
  <c r="D14" i="1"/>
  <c r="C14" i="1"/>
  <c r="L13" i="1"/>
  <c r="I13" i="1"/>
  <c r="E13" i="1"/>
  <c r="D13" i="1"/>
  <c r="C13" i="1"/>
  <c r="L12" i="1"/>
  <c r="I12" i="1"/>
  <c r="E12" i="1"/>
  <c r="D12" i="1"/>
  <c r="C12" i="1"/>
  <c r="L11" i="1"/>
  <c r="I11" i="1"/>
  <c r="E11" i="1"/>
  <c r="D11" i="1"/>
  <c r="C11" i="1"/>
  <c r="L10" i="1"/>
  <c r="I10" i="1"/>
  <c r="E10" i="1"/>
  <c r="D10" i="1"/>
  <c r="C10" i="1"/>
  <c r="L9" i="1"/>
  <c r="I9" i="1"/>
  <c r="E9" i="1"/>
  <c r="D9" i="1"/>
  <c r="C9" i="1"/>
  <c r="L8" i="1"/>
  <c r="I8" i="1"/>
  <c r="E8" i="1"/>
  <c r="D8" i="1"/>
  <c r="C8" i="1"/>
  <c r="L7" i="1"/>
  <c r="I7" i="1"/>
  <c r="E7" i="1"/>
  <c r="D7" i="1"/>
  <c r="C7" i="1"/>
  <c r="L6" i="1"/>
  <c r="I6" i="1"/>
  <c r="E6" i="1"/>
  <c r="D6" i="1"/>
  <c r="C6" i="1"/>
  <c r="CB410" i="17"/>
  <c r="CB411" i="17" s="1"/>
  <c r="BN410" i="17"/>
  <c r="BN411" i="17" s="1"/>
  <c r="BB365" i="17"/>
  <c r="AY365" i="17"/>
  <c r="AU365" i="17"/>
  <c r="AT365" i="17"/>
  <c r="AS365" i="17"/>
  <c r="AN365" i="17"/>
  <c r="AK365" i="17"/>
  <c r="AG365" i="17"/>
  <c r="AF365" i="17"/>
  <c r="AE365" i="17"/>
  <c r="Z365" i="17"/>
  <c r="W365" i="17"/>
  <c r="S365" i="17"/>
  <c r="R365" i="17"/>
  <c r="Q365" i="17"/>
  <c r="K365" i="17"/>
  <c r="J365" i="17"/>
  <c r="H365" i="17"/>
  <c r="F365" i="17"/>
  <c r="BB364" i="17"/>
  <c r="AY364" i="17"/>
  <c r="AU364" i="17"/>
  <c r="AT364" i="17"/>
  <c r="AS364" i="17"/>
  <c r="AN364" i="17"/>
  <c r="AK364" i="17"/>
  <c r="AG364" i="17"/>
  <c r="AF364" i="17"/>
  <c r="AE364" i="17"/>
  <c r="Z364" i="17"/>
  <c r="W364" i="17"/>
  <c r="S364" i="17"/>
  <c r="R364" i="17"/>
  <c r="Q364" i="17"/>
  <c r="K364" i="17"/>
  <c r="J364" i="17"/>
  <c r="G364" i="17" s="1"/>
  <c r="H364" i="17"/>
  <c r="F364" i="17"/>
  <c r="BB363" i="17"/>
  <c r="AY363" i="17"/>
  <c r="AU363" i="17"/>
  <c r="AT363" i="17"/>
  <c r="AS363" i="17"/>
  <c r="AN363" i="17"/>
  <c r="AK363" i="17"/>
  <c r="AG363" i="17"/>
  <c r="AF363" i="17"/>
  <c r="AE363" i="17"/>
  <c r="Z363" i="17"/>
  <c r="W363" i="17"/>
  <c r="S363" i="17"/>
  <c r="R363" i="17"/>
  <c r="Q363" i="17"/>
  <c r="K363" i="17"/>
  <c r="J363" i="17"/>
  <c r="G363" i="17" s="1"/>
  <c r="H363" i="17"/>
  <c r="F363" i="17"/>
  <c r="BB362" i="17"/>
  <c r="AY362" i="17"/>
  <c r="AU362" i="17"/>
  <c r="AT362" i="17"/>
  <c r="AS362" i="17"/>
  <c r="AN362" i="17"/>
  <c r="AK362" i="17"/>
  <c r="AG362" i="17"/>
  <c r="AF362" i="17"/>
  <c r="AE362" i="17"/>
  <c r="Z362" i="17"/>
  <c r="W362" i="17"/>
  <c r="S362" i="17"/>
  <c r="R362" i="17"/>
  <c r="Q362" i="17"/>
  <c r="K362" i="17"/>
  <c r="C362" i="17" s="1"/>
  <c r="J362" i="17"/>
  <c r="F362" i="17"/>
  <c r="BB361" i="17"/>
  <c r="AY361" i="17"/>
  <c r="AU361" i="17"/>
  <c r="AT361" i="17"/>
  <c r="AS361" i="17"/>
  <c r="AN361" i="17"/>
  <c r="AK361" i="17"/>
  <c r="AG361" i="17"/>
  <c r="AF361" i="17"/>
  <c r="AE361" i="17"/>
  <c r="Z361" i="17"/>
  <c r="W361" i="17"/>
  <c r="S361" i="17"/>
  <c r="R361" i="17"/>
  <c r="Q361" i="17"/>
  <c r="K361" i="17"/>
  <c r="J361" i="17"/>
  <c r="E361" i="17" s="1"/>
  <c r="F361" i="17"/>
  <c r="BB360" i="17"/>
  <c r="AY360" i="17"/>
  <c r="AU360" i="17"/>
  <c r="AT360" i="17"/>
  <c r="AS360" i="17"/>
  <c r="AN360" i="17"/>
  <c r="AK360" i="17"/>
  <c r="AG360" i="17"/>
  <c r="AF360" i="17"/>
  <c r="AE360" i="17"/>
  <c r="Z360" i="17"/>
  <c r="W360" i="17"/>
  <c r="S360" i="17"/>
  <c r="R360" i="17"/>
  <c r="Q360" i="17"/>
  <c r="K360" i="17"/>
  <c r="J360" i="17"/>
  <c r="G360" i="17" s="1"/>
  <c r="F360" i="17"/>
  <c r="BB359" i="17"/>
  <c r="AY359" i="17"/>
  <c r="AU359" i="17"/>
  <c r="AT359" i="17"/>
  <c r="AS359" i="17"/>
  <c r="AN359" i="17"/>
  <c r="AK359" i="17"/>
  <c r="AG359" i="17"/>
  <c r="AF359" i="17"/>
  <c r="AE359" i="17"/>
  <c r="Z359" i="17"/>
  <c r="W359" i="17"/>
  <c r="S359" i="17"/>
  <c r="R359" i="17"/>
  <c r="Q359" i="17"/>
  <c r="K359" i="17"/>
  <c r="J359" i="17"/>
  <c r="G359" i="17" s="1"/>
  <c r="F359" i="17"/>
  <c r="BB358" i="17"/>
  <c r="AY358" i="17"/>
  <c r="AU358" i="17"/>
  <c r="AT358" i="17"/>
  <c r="AS358" i="17"/>
  <c r="AN358" i="17"/>
  <c r="AK358" i="17"/>
  <c r="AG358" i="17"/>
  <c r="AF358" i="17"/>
  <c r="AE358" i="17"/>
  <c r="Z358" i="17"/>
  <c r="W358" i="17"/>
  <c r="S358" i="17"/>
  <c r="R358" i="17"/>
  <c r="Q358" i="17"/>
  <c r="K358" i="17"/>
  <c r="J358" i="17"/>
  <c r="G358" i="17" s="1"/>
  <c r="F358" i="17"/>
  <c r="BB357" i="17"/>
  <c r="AY357" i="17"/>
  <c r="AU357" i="17"/>
  <c r="AT357" i="17"/>
  <c r="AS357" i="17"/>
  <c r="AN357" i="17"/>
  <c r="AK357" i="17"/>
  <c r="AG357" i="17"/>
  <c r="AF357" i="17"/>
  <c r="AE357" i="17"/>
  <c r="Z357" i="17"/>
  <c r="W357" i="17"/>
  <c r="S357" i="17"/>
  <c r="R357" i="17"/>
  <c r="Q357" i="17"/>
  <c r="K357" i="17"/>
  <c r="J357" i="17"/>
  <c r="F357" i="17"/>
  <c r="BB356" i="17"/>
  <c r="AY356" i="17"/>
  <c r="AU356" i="17"/>
  <c r="AT356" i="17"/>
  <c r="AS356" i="17"/>
  <c r="AN356" i="17"/>
  <c r="AK356" i="17"/>
  <c r="AG356" i="17"/>
  <c r="AF356" i="17"/>
  <c r="AE356" i="17"/>
  <c r="Z356" i="17"/>
  <c r="W356" i="17"/>
  <c r="S356" i="17"/>
  <c r="R356" i="17"/>
  <c r="Q356" i="17"/>
  <c r="K356" i="17"/>
  <c r="J356" i="17"/>
  <c r="G356" i="17" s="1"/>
  <c r="F356" i="17"/>
  <c r="BB355" i="17"/>
  <c r="AU355" i="17"/>
  <c r="AT355" i="17"/>
  <c r="AS355" i="17"/>
  <c r="AN355" i="17"/>
  <c r="AG355" i="17"/>
  <c r="AF355" i="17"/>
  <c r="AE355" i="17"/>
  <c r="Z355" i="17"/>
  <c r="S355" i="17"/>
  <c r="R355" i="17"/>
  <c r="Q355" i="17"/>
  <c r="C355" i="17"/>
  <c r="G355" i="17"/>
  <c r="F355" i="17"/>
  <c r="BB354" i="17"/>
  <c r="AY354" i="17"/>
  <c r="AU354" i="17"/>
  <c r="AT354" i="17"/>
  <c r="AS354" i="17"/>
  <c r="AN354" i="17"/>
  <c r="AK354" i="17"/>
  <c r="AG354" i="17"/>
  <c r="AF354" i="17"/>
  <c r="AE354" i="17"/>
  <c r="Z354" i="17"/>
  <c r="W354" i="17"/>
  <c r="S354" i="17"/>
  <c r="R354" i="17"/>
  <c r="Q354" i="17"/>
  <c r="K354" i="17"/>
  <c r="J354" i="17"/>
  <c r="E354" i="17" s="1"/>
  <c r="F354" i="17"/>
  <c r="BB353" i="17"/>
  <c r="AY353" i="17"/>
  <c r="AU353" i="17"/>
  <c r="AT353" i="17"/>
  <c r="AS353" i="17"/>
  <c r="AN353" i="17"/>
  <c r="AK353" i="17"/>
  <c r="AG353" i="17"/>
  <c r="AF353" i="17"/>
  <c r="AE353" i="17"/>
  <c r="Z353" i="17"/>
  <c r="W353" i="17"/>
  <c r="S353" i="17"/>
  <c r="R353" i="17"/>
  <c r="Q353" i="17"/>
  <c r="K353" i="17"/>
  <c r="J353" i="17"/>
  <c r="H353" i="17"/>
  <c r="F353" i="17"/>
  <c r="BB352" i="17"/>
  <c r="AY352" i="17"/>
  <c r="AU352" i="17"/>
  <c r="AT352" i="17"/>
  <c r="AS352" i="17"/>
  <c r="AN352" i="17"/>
  <c r="AK352" i="17"/>
  <c r="AG352" i="17"/>
  <c r="AF352" i="17"/>
  <c r="AE352" i="17"/>
  <c r="Z352" i="17"/>
  <c r="W352" i="17"/>
  <c r="S352" i="17"/>
  <c r="R352" i="17"/>
  <c r="Q352" i="17"/>
  <c r="K352" i="17"/>
  <c r="J352" i="17"/>
  <c r="G352" i="17" s="1"/>
  <c r="H352" i="17"/>
  <c r="F352" i="17"/>
  <c r="BB351" i="17"/>
  <c r="AY351" i="17"/>
  <c r="AU351" i="17"/>
  <c r="AT351" i="17"/>
  <c r="AS351" i="17"/>
  <c r="AN351" i="17"/>
  <c r="AK351" i="17"/>
  <c r="AG351" i="17"/>
  <c r="AF351" i="17"/>
  <c r="AE351" i="17"/>
  <c r="Z351" i="17"/>
  <c r="W351" i="17"/>
  <c r="S351" i="17"/>
  <c r="R351" i="17"/>
  <c r="Q351" i="17"/>
  <c r="K351" i="17"/>
  <c r="J351" i="17"/>
  <c r="G351" i="17" s="1"/>
  <c r="H351" i="17"/>
  <c r="F351" i="17"/>
  <c r="BB350" i="17"/>
  <c r="AY350" i="17"/>
  <c r="AU350" i="17"/>
  <c r="AT350" i="17"/>
  <c r="AS350" i="17"/>
  <c r="AN350" i="17"/>
  <c r="AK350" i="17"/>
  <c r="AG350" i="17"/>
  <c r="AF350" i="17"/>
  <c r="AE350" i="17"/>
  <c r="Z350" i="17"/>
  <c r="W350" i="17"/>
  <c r="S350" i="17"/>
  <c r="R350" i="17"/>
  <c r="Q350" i="17"/>
  <c r="K350" i="17"/>
  <c r="J350" i="17"/>
  <c r="H350" i="17"/>
  <c r="F350" i="17"/>
  <c r="BB349" i="17"/>
  <c r="AY349" i="17"/>
  <c r="AU349" i="17"/>
  <c r="AT349" i="17"/>
  <c r="AS349" i="17"/>
  <c r="AN349" i="17"/>
  <c r="AK349" i="17"/>
  <c r="AG349" i="17"/>
  <c r="AF349" i="17"/>
  <c r="AE349" i="17"/>
  <c r="Z349" i="17"/>
  <c r="W349" i="17"/>
  <c r="S349" i="17"/>
  <c r="R349" i="17"/>
  <c r="Q349" i="17"/>
  <c r="K349" i="17"/>
  <c r="J349" i="17"/>
  <c r="H349" i="17"/>
  <c r="F349" i="17"/>
  <c r="BB348" i="17"/>
  <c r="AY348" i="17"/>
  <c r="AU348" i="17"/>
  <c r="AT348" i="17"/>
  <c r="AS348" i="17"/>
  <c r="AN348" i="17"/>
  <c r="AK348" i="17"/>
  <c r="AG348" i="17"/>
  <c r="AF348" i="17"/>
  <c r="AE348" i="17"/>
  <c r="Z348" i="17"/>
  <c r="W348" i="17"/>
  <c r="S348" i="17"/>
  <c r="R348" i="17"/>
  <c r="Q348" i="17"/>
  <c r="K348" i="17"/>
  <c r="J348" i="17"/>
  <c r="H348" i="17"/>
  <c r="F348" i="17"/>
  <c r="BB347" i="17"/>
  <c r="AY347" i="17"/>
  <c r="AU347" i="17"/>
  <c r="AT347" i="17"/>
  <c r="AS347" i="17"/>
  <c r="AN347" i="17"/>
  <c r="AK347" i="17"/>
  <c r="AG347" i="17"/>
  <c r="AF347" i="17"/>
  <c r="AE347" i="17"/>
  <c r="Z347" i="17"/>
  <c r="W347" i="17"/>
  <c r="S347" i="17"/>
  <c r="R347" i="17"/>
  <c r="Q347" i="17"/>
  <c r="K347" i="17"/>
  <c r="J347" i="17"/>
  <c r="G347" i="17" s="1"/>
  <c r="H347" i="17"/>
  <c r="F347" i="17"/>
  <c r="BB346" i="17"/>
  <c r="AY346" i="17"/>
  <c r="AU346" i="17"/>
  <c r="AT346" i="17"/>
  <c r="AS346" i="17"/>
  <c r="AN346" i="17"/>
  <c r="AK346" i="17"/>
  <c r="AG346" i="17"/>
  <c r="AF346" i="17"/>
  <c r="AE346" i="17"/>
  <c r="Z346" i="17"/>
  <c r="W346" i="17"/>
  <c r="S346" i="17"/>
  <c r="R346" i="17"/>
  <c r="Q346" i="17"/>
  <c r="K346" i="17"/>
  <c r="J346" i="17"/>
  <c r="G346" i="17" s="1"/>
  <c r="H346" i="17"/>
  <c r="F346" i="17"/>
  <c r="BB345" i="17"/>
  <c r="AY345" i="17"/>
  <c r="AU345" i="17"/>
  <c r="AT345" i="17"/>
  <c r="AS345" i="17"/>
  <c r="AN345" i="17"/>
  <c r="AK345" i="17"/>
  <c r="AG345" i="17"/>
  <c r="AF345" i="17"/>
  <c r="AE345" i="17"/>
  <c r="Z345" i="17"/>
  <c r="W345" i="17"/>
  <c r="S345" i="17"/>
  <c r="R345" i="17"/>
  <c r="Q345" i="17"/>
  <c r="K345" i="17"/>
  <c r="J345" i="17"/>
  <c r="H345" i="17"/>
  <c r="F345" i="17"/>
  <c r="BB344" i="17"/>
  <c r="AY344" i="17"/>
  <c r="AU344" i="17"/>
  <c r="AT344" i="17"/>
  <c r="AS344" i="17"/>
  <c r="AN344" i="17"/>
  <c r="AK344" i="17"/>
  <c r="AG344" i="17"/>
  <c r="AF344" i="17"/>
  <c r="AE344" i="17"/>
  <c r="Z344" i="17"/>
  <c r="W344" i="17"/>
  <c r="S344" i="17"/>
  <c r="R344" i="17"/>
  <c r="Q344" i="17"/>
  <c r="K344" i="17"/>
  <c r="J344" i="17"/>
  <c r="G344" i="17" s="1"/>
  <c r="H344" i="17"/>
  <c r="F344" i="17"/>
  <c r="BB343" i="17"/>
  <c r="AY343" i="17"/>
  <c r="AU343" i="17"/>
  <c r="AT343" i="17"/>
  <c r="AS343" i="17"/>
  <c r="AN343" i="17"/>
  <c r="AK343" i="17"/>
  <c r="AG343" i="17"/>
  <c r="AF343" i="17"/>
  <c r="AE343" i="17"/>
  <c r="Z343" i="17"/>
  <c r="W343" i="17"/>
  <c r="S343" i="17"/>
  <c r="R343" i="17"/>
  <c r="Q343" i="17"/>
  <c r="K343" i="17"/>
  <c r="J343" i="17"/>
  <c r="G343" i="17" s="1"/>
  <c r="H343" i="17"/>
  <c r="F343" i="17"/>
  <c r="BB342" i="17"/>
  <c r="AY342" i="17"/>
  <c r="AU342" i="17"/>
  <c r="AT342" i="17"/>
  <c r="AS342" i="17"/>
  <c r="AN342" i="17"/>
  <c r="AK342" i="17"/>
  <c r="AG342" i="17"/>
  <c r="AF342" i="17"/>
  <c r="AE342" i="17"/>
  <c r="Z342" i="17"/>
  <c r="W342" i="17"/>
  <c r="S342" i="17"/>
  <c r="R342" i="17"/>
  <c r="Q342" i="17"/>
  <c r="K342" i="17"/>
  <c r="J342" i="17"/>
  <c r="H342" i="17"/>
  <c r="F342" i="17"/>
  <c r="BB341" i="17"/>
  <c r="AY341" i="17"/>
  <c r="AU341" i="17"/>
  <c r="AT341" i="17"/>
  <c r="AS341" i="17"/>
  <c r="AN341" i="17"/>
  <c r="AK341" i="17"/>
  <c r="AG341" i="17"/>
  <c r="AF341" i="17"/>
  <c r="AE341" i="17"/>
  <c r="Z341" i="17"/>
  <c r="W341" i="17"/>
  <c r="S341" i="17"/>
  <c r="R341" i="17"/>
  <c r="Q341" i="17"/>
  <c r="K341" i="17"/>
  <c r="J341" i="17"/>
  <c r="G341" i="17" s="1"/>
  <c r="H341" i="17"/>
  <c r="F341" i="17"/>
  <c r="BB340" i="17"/>
  <c r="AY340" i="17"/>
  <c r="AU340" i="17"/>
  <c r="AT340" i="17"/>
  <c r="AS340" i="17"/>
  <c r="AN340" i="17"/>
  <c r="AK340" i="17"/>
  <c r="AG340" i="17"/>
  <c r="AF340" i="17"/>
  <c r="AE340" i="17"/>
  <c r="Z340" i="17"/>
  <c r="W340" i="17"/>
  <c r="S340" i="17"/>
  <c r="R340" i="17"/>
  <c r="Q340" i="17"/>
  <c r="K340" i="17"/>
  <c r="J340" i="17"/>
  <c r="G340" i="17" s="1"/>
  <c r="H340" i="17"/>
  <c r="F340" i="17"/>
  <c r="BB339" i="17"/>
  <c r="AY339" i="17"/>
  <c r="AU339" i="17"/>
  <c r="AT339" i="17"/>
  <c r="AS339" i="17"/>
  <c r="AN339" i="17"/>
  <c r="AK339" i="17"/>
  <c r="AG339" i="17"/>
  <c r="AF339" i="17"/>
  <c r="AE339" i="17"/>
  <c r="Z339" i="17"/>
  <c r="W339" i="17"/>
  <c r="S339" i="17"/>
  <c r="R339" i="17"/>
  <c r="Q339" i="17"/>
  <c r="K339" i="17"/>
  <c r="J339" i="17"/>
  <c r="H339" i="17"/>
  <c r="F339" i="17"/>
  <c r="BB338" i="17"/>
  <c r="AY338" i="17"/>
  <c r="AU338" i="17"/>
  <c r="AT338" i="17"/>
  <c r="AS338" i="17"/>
  <c r="AN338" i="17"/>
  <c r="AK338" i="17"/>
  <c r="AG338" i="17"/>
  <c r="AF338" i="17"/>
  <c r="AE338" i="17"/>
  <c r="Z338" i="17"/>
  <c r="W338" i="17"/>
  <c r="S338" i="17"/>
  <c r="R338" i="17"/>
  <c r="Q338" i="17"/>
  <c r="K338" i="17"/>
  <c r="J338" i="17"/>
  <c r="G338" i="17" s="1"/>
  <c r="H338" i="17"/>
  <c r="F338" i="17"/>
  <c r="BB337" i="17"/>
  <c r="AY337" i="17"/>
  <c r="AU337" i="17"/>
  <c r="AT337" i="17"/>
  <c r="AS337" i="17"/>
  <c r="AN337" i="17"/>
  <c r="AK337" i="17"/>
  <c r="AG337" i="17"/>
  <c r="AF337" i="17"/>
  <c r="AE337" i="17"/>
  <c r="Z337" i="17"/>
  <c r="W337" i="17"/>
  <c r="S337" i="17"/>
  <c r="R337" i="17"/>
  <c r="Q337" i="17"/>
  <c r="K337" i="17"/>
  <c r="J337" i="17"/>
  <c r="G337" i="17" s="1"/>
  <c r="H337" i="17"/>
  <c r="F337" i="17"/>
  <c r="BB336" i="17"/>
  <c r="AY336" i="17"/>
  <c r="AU336" i="17"/>
  <c r="AT336" i="17"/>
  <c r="AS336" i="17"/>
  <c r="AN336" i="17"/>
  <c r="AK336" i="17"/>
  <c r="AG336" i="17"/>
  <c r="AF336" i="17"/>
  <c r="AE336" i="17"/>
  <c r="Z336" i="17"/>
  <c r="W336" i="17"/>
  <c r="S336" i="17"/>
  <c r="R336" i="17"/>
  <c r="Q336" i="17"/>
  <c r="K336" i="17"/>
  <c r="J336" i="17"/>
  <c r="G336" i="17" s="1"/>
  <c r="H336" i="17"/>
  <c r="F336" i="17"/>
  <c r="BB335" i="17"/>
  <c r="AY335" i="17"/>
  <c r="AU335" i="17"/>
  <c r="AT335" i="17"/>
  <c r="AS335" i="17"/>
  <c r="AN335" i="17"/>
  <c r="AK335" i="17"/>
  <c r="AG335" i="17"/>
  <c r="AF335" i="17"/>
  <c r="AE335" i="17"/>
  <c r="Z335" i="17"/>
  <c r="V335" i="17"/>
  <c r="S335" i="17" s="1"/>
  <c r="R335" i="17"/>
  <c r="K335" i="17"/>
  <c r="J335" i="17"/>
  <c r="G335" i="17" s="1"/>
  <c r="F335" i="17"/>
  <c r="BB334" i="17"/>
  <c r="AY334" i="17"/>
  <c r="AU334" i="17"/>
  <c r="AT334" i="17"/>
  <c r="AS334" i="17"/>
  <c r="AN334" i="17"/>
  <c r="AK334" i="17"/>
  <c r="AG334" i="17"/>
  <c r="AF334" i="17"/>
  <c r="AE334" i="17"/>
  <c r="Z334" i="17"/>
  <c r="W334" i="17"/>
  <c r="S334" i="17"/>
  <c r="R334" i="17"/>
  <c r="Q334" i="17"/>
  <c r="K334" i="17"/>
  <c r="J334" i="17"/>
  <c r="H334" i="17"/>
  <c r="F334" i="17"/>
  <c r="BB333" i="17"/>
  <c r="AY333" i="17"/>
  <c r="AU333" i="17"/>
  <c r="AT333" i="17"/>
  <c r="AS333" i="17"/>
  <c r="AN333" i="17"/>
  <c r="AK333" i="17"/>
  <c r="AG333" i="17"/>
  <c r="AF333" i="17"/>
  <c r="AE333" i="17"/>
  <c r="Z333" i="17"/>
  <c r="W333" i="17"/>
  <c r="S333" i="17"/>
  <c r="R333" i="17"/>
  <c r="Q333" i="17"/>
  <c r="K333" i="17"/>
  <c r="J333" i="17"/>
  <c r="G333" i="17" s="1"/>
  <c r="H333" i="17"/>
  <c r="F333" i="17"/>
  <c r="BB332" i="17"/>
  <c r="AY332" i="17"/>
  <c r="AU332" i="17"/>
  <c r="AT332" i="17"/>
  <c r="AS332" i="17"/>
  <c r="AN332" i="17"/>
  <c r="AK332" i="17"/>
  <c r="AG332" i="17"/>
  <c r="AF332" i="17"/>
  <c r="AE332" i="17"/>
  <c r="Z332" i="17"/>
  <c r="W332" i="17"/>
  <c r="S332" i="17"/>
  <c r="R332" i="17"/>
  <c r="Q332" i="17"/>
  <c r="K332" i="17"/>
  <c r="J332" i="17"/>
  <c r="H332" i="17"/>
  <c r="F332" i="17"/>
  <c r="BB331" i="17"/>
  <c r="AY331" i="17"/>
  <c r="AU331" i="17"/>
  <c r="AT331" i="17"/>
  <c r="AS331" i="17"/>
  <c r="AN331" i="17"/>
  <c r="AK331" i="17"/>
  <c r="AG331" i="17"/>
  <c r="AF331" i="17"/>
  <c r="AE331" i="17"/>
  <c r="Z331" i="17"/>
  <c r="W331" i="17"/>
  <c r="S331" i="17"/>
  <c r="R331" i="17"/>
  <c r="Q331" i="17"/>
  <c r="K331" i="17"/>
  <c r="J331" i="17"/>
  <c r="G331" i="17" s="1"/>
  <c r="H331" i="17"/>
  <c r="F331" i="17"/>
  <c r="BB330" i="17"/>
  <c r="AY330" i="17"/>
  <c r="AU330" i="17"/>
  <c r="AT330" i="17"/>
  <c r="AS330" i="17"/>
  <c r="AN330" i="17"/>
  <c r="AK330" i="17"/>
  <c r="AG330" i="17"/>
  <c r="AF330" i="17"/>
  <c r="AE330" i="17"/>
  <c r="Z330" i="17"/>
  <c r="W330" i="17"/>
  <c r="S330" i="17"/>
  <c r="R330" i="17"/>
  <c r="Q330" i="17"/>
  <c r="K330" i="17"/>
  <c r="J330" i="17"/>
  <c r="G330" i="17" s="1"/>
  <c r="H330" i="17"/>
  <c r="F330" i="17"/>
  <c r="BB329" i="17"/>
  <c r="AY329" i="17"/>
  <c r="AU329" i="17"/>
  <c r="AT329" i="17"/>
  <c r="AS329" i="17"/>
  <c r="AN329" i="17"/>
  <c r="AK329" i="17"/>
  <c r="AG329" i="17"/>
  <c r="AF329" i="17"/>
  <c r="AE329" i="17"/>
  <c r="Z329" i="17"/>
  <c r="W329" i="17"/>
  <c r="S329" i="17"/>
  <c r="R329" i="17"/>
  <c r="Q329" i="17"/>
  <c r="K329" i="17"/>
  <c r="J329" i="17"/>
  <c r="H329" i="17"/>
  <c r="F329" i="17"/>
  <c r="BB328" i="17"/>
  <c r="AY328" i="17"/>
  <c r="AU328" i="17"/>
  <c r="AT328" i="17"/>
  <c r="AS328" i="17"/>
  <c r="AN328" i="17"/>
  <c r="AK328" i="17"/>
  <c r="AG328" i="17"/>
  <c r="AF328" i="17"/>
  <c r="AE328" i="17"/>
  <c r="Z328" i="17"/>
  <c r="W328" i="17"/>
  <c r="S328" i="17"/>
  <c r="R328" i="17"/>
  <c r="Q328" i="17"/>
  <c r="K328" i="17"/>
  <c r="J328" i="17"/>
  <c r="H328" i="17"/>
  <c r="F328" i="17"/>
  <c r="BB327" i="17"/>
  <c r="AY327" i="17"/>
  <c r="AU327" i="17"/>
  <c r="AT327" i="17"/>
  <c r="AS327" i="17"/>
  <c r="AN327" i="17"/>
  <c r="AK327" i="17"/>
  <c r="AG327" i="17"/>
  <c r="AF327" i="17"/>
  <c r="AE327" i="17"/>
  <c r="Z327" i="17"/>
  <c r="W327" i="17"/>
  <c r="S327" i="17"/>
  <c r="R327" i="17"/>
  <c r="Q327" i="17"/>
  <c r="K327" i="17"/>
  <c r="J327" i="17"/>
  <c r="G327" i="17" s="1"/>
  <c r="H327" i="17"/>
  <c r="F327" i="17"/>
  <c r="BB326" i="17"/>
  <c r="AY326" i="17"/>
  <c r="AU326" i="17"/>
  <c r="AT326" i="17"/>
  <c r="AS326" i="17"/>
  <c r="AN326" i="17"/>
  <c r="AK326" i="17"/>
  <c r="AG326" i="17"/>
  <c r="AF326" i="17"/>
  <c r="AE326" i="17"/>
  <c r="Z326" i="17"/>
  <c r="W326" i="17"/>
  <c r="S326" i="17"/>
  <c r="R326" i="17"/>
  <c r="Q326" i="17"/>
  <c r="K326" i="17"/>
  <c r="J326" i="17"/>
  <c r="G326" i="17" s="1"/>
  <c r="H326" i="17"/>
  <c r="F326" i="17"/>
  <c r="BB325" i="17"/>
  <c r="AY325" i="17"/>
  <c r="AU325" i="17"/>
  <c r="AT325" i="17"/>
  <c r="AS325" i="17"/>
  <c r="AN325" i="17"/>
  <c r="AK325" i="17"/>
  <c r="AG325" i="17"/>
  <c r="AF325" i="17"/>
  <c r="AE325" i="17"/>
  <c r="Z325" i="17"/>
  <c r="W325" i="17"/>
  <c r="S325" i="17"/>
  <c r="R325" i="17"/>
  <c r="Q325" i="17"/>
  <c r="K325" i="17"/>
  <c r="J325" i="17"/>
  <c r="H325" i="17"/>
  <c r="F325" i="17"/>
  <c r="BB324" i="17"/>
  <c r="AY324" i="17"/>
  <c r="AU324" i="17"/>
  <c r="AT324" i="17"/>
  <c r="AS324" i="17"/>
  <c r="AN324" i="17"/>
  <c r="AK324" i="17"/>
  <c r="AG324" i="17"/>
  <c r="AF324" i="17"/>
  <c r="AE324" i="17"/>
  <c r="Z324" i="17"/>
  <c r="W324" i="17"/>
  <c r="S324" i="17"/>
  <c r="R324" i="17"/>
  <c r="Q324" i="17"/>
  <c r="K324" i="17"/>
  <c r="J324" i="17"/>
  <c r="H324" i="17"/>
  <c r="F324" i="17"/>
  <c r="BB323" i="17"/>
  <c r="AY323" i="17"/>
  <c r="AU323" i="17"/>
  <c r="AT323" i="17"/>
  <c r="AS323" i="17"/>
  <c r="AN323" i="17"/>
  <c r="AK323" i="17"/>
  <c r="AG323" i="17"/>
  <c r="AF323" i="17"/>
  <c r="AE323" i="17"/>
  <c r="Z323" i="17"/>
  <c r="W323" i="17"/>
  <c r="S323" i="17"/>
  <c r="R323" i="17"/>
  <c r="Q323" i="17"/>
  <c r="K323" i="17"/>
  <c r="J323" i="17"/>
  <c r="G323" i="17" s="1"/>
  <c r="H323" i="17"/>
  <c r="F323" i="17"/>
  <c r="BB322" i="17"/>
  <c r="AY322" i="17"/>
  <c r="AU322" i="17"/>
  <c r="AT322" i="17"/>
  <c r="AS322" i="17"/>
  <c r="AN322" i="17"/>
  <c r="AK322" i="17"/>
  <c r="AG322" i="17"/>
  <c r="AF322" i="17"/>
  <c r="AE322" i="17"/>
  <c r="Z322" i="17"/>
  <c r="W322" i="17"/>
  <c r="S322" i="17"/>
  <c r="R322" i="17"/>
  <c r="Q322" i="17"/>
  <c r="K322" i="17"/>
  <c r="J322" i="17"/>
  <c r="H322" i="17"/>
  <c r="F322" i="17"/>
  <c r="BB321" i="17"/>
  <c r="AY321" i="17"/>
  <c r="AU321" i="17"/>
  <c r="AT321" i="17"/>
  <c r="AS321" i="17"/>
  <c r="AN321" i="17"/>
  <c r="AK321" i="17"/>
  <c r="AG321" i="17"/>
  <c r="AF321" i="17"/>
  <c r="AE321" i="17"/>
  <c r="Z321" i="17"/>
  <c r="W321" i="17"/>
  <c r="S321" i="17"/>
  <c r="R321" i="17"/>
  <c r="Q321" i="17"/>
  <c r="K321" i="17"/>
  <c r="J321" i="17"/>
  <c r="H321" i="17"/>
  <c r="F321" i="17"/>
  <c r="BB320" i="17"/>
  <c r="AY320" i="17"/>
  <c r="AU320" i="17"/>
  <c r="AT320" i="17"/>
  <c r="AS320" i="17"/>
  <c r="AN320" i="17"/>
  <c r="AK320" i="17"/>
  <c r="AG320" i="17"/>
  <c r="AF320" i="17"/>
  <c r="AE320" i="17"/>
  <c r="Z320" i="17"/>
  <c r="W320" i="17"/>
  <c r="S320" i="17"/>
  <c r="R320" i="17"/>
  <c r="Q320" i="17"/>
  <c r="K320" i="17"/>
  <c r="J320" i="17"/>
  <c r="G320" i="17" s="1"/>
  <c r="H320" i="17"/>
  <c r="F320" i="17"/>
  <c r="BB319" i="17"/>
  <c r="AY319" i="17"/>
  <c r="AU319" i="17"/>
  <c r="AT319" i="17"/>
  <c r="AS319" i="17"/>
  <c r="AN319" i="17"/>
  <c r="AK319" i="17"/>
  <c r="AG319" i="17"/>
  <c r="AF319" i="17"/>
  <c r="AE319" i="17"/>
  <c r="Z319" i="17"/>
  <c r="W319" i="17"/>
  <c r="S319" i="17"/>
  <c r="R319" i="17"/>
  <c r="Q319" i="17"/>
  <c r="K319" i="17"/>
  <c r="J319" i="17"/>
  <c r="G319" i="17" s="1"/>
  <c r="H319" i="17"/>
  <c r="F319" i="17"/>
  <c r="BB318" i="17"/>
  <c r="AY318" i="17"/>
  <c r="AU318" i="17"/>
  <c r="AT318" i="17"/>
  <c r="AS318" i="17"/>
  <c r="AN318" i="17"/>
  <c r="AK318" i="17"/>
  <c r="AG318" i="17"/>
  <c r="AF318" i="17"/>
  <c r="AE318" i="17"/>
  <c r="Z318" i="17"/>
  <c r="W318" i="17"/>
  <c r="S318" i="17"/>
  <c r="R318" i="17"/>
  <c r="Q318" i="17"/>
  <c r="K318" i="17"/>
  <c r="J318" i="17"/>
  <c r="G318" i="17" s="1"/>
  <c r="H318" i="17"/>
  <c r="F318" i="17"/>
  <c r="BB317" i="17"/>
  <c r="AY317" i="17"/>
  <c r="AU317" i="17"/>
  <c r="AT317" i="17"/>
  <c r="AS317" i="17"/>
  <c r="AN317" i="17"/>
  <c r="AK317" i="17"/>
  <c r="AG317" i="17"/>
  <c r="AF317" i="17"/>
  <c r="AE317" i="17"/>
  <c r="Z317" i="17"/>
  <c r="W317" i="17"/>
  <c r="S317" i="17"/>
  <c r="R317" i="17"/>
  <c r="Q317" i="17"/>
  <c r="K317" i="17"/>
  <c r="J317" i="17"/>
  <c r="G317" i="17" s="1"/>
  <c r="H317" i="17"/>
  <c r="F317" i="17"/>
  <c r="BB316" i="17"/>
  <c r="AY316" i="17"/>
  <c r="AU316" i="17"/>
  <c r="AT316" i="17"/>
  <c r="AS316" i="17"/>
  <c r="AN316" i="17"/>
  <c r="AK316" i="17"/>
  <c r="AG316" i="17"/>
  <c r="AF316" i="17"/>
  <c r="AE316" i="17"/>
  <c r="Z316" i="17"/>
  <c r="W316" i="17"/>
  <c r="S316" i="17"/>
  <c r="R316" i="17"/>
  <c r="Q316" i="17"/>
  <c r="K316" i="17"/>
  <c r="J316" i="17"/>
  <c r="G316" i="17" s="1"/>
  <c r="H316" i="17"/>
  <c r="F316" i="17"/>
  <c r="BB315" i="17"/>
  <c r="AY315" i="17"/>
  <c r="AU315" i="17"/>
  <c r="AT315" i="17"/>
  <c r="AS315" i="17"/>
  <c r="AN315" i="17"/>
  <c r="AK315" i="17"/>
  <c r="AG315" i="17"/>
  <c r="AF315" i="17"/>
  <c r="AE315" i="17"/>
  <c r="Z315" i="17"/>
  <c r="W315" i="17"/>
  <c r="S315" i="17"/>
  <c r="R315" i="17"/>
  <c r="Q315" i="17"/>
  <c r="K315" i="17"/>
  <c r="J315" i="17"/>
  <c r="H315" i="17"/>
  <c r="F315" i="17"/>
  <c r="BB314" i="17"/>
  <c r="AY314" i="17"/>
  <c r="AU314" i="17"/>
  <c r="AT314" i="17"/>
  <c r="AS314" i="17"/>
  <c r="AN314" i="17"/>
  <c r="AK314" i="17"/>
  <c r="AG314" i="17"/>
  <c r="AF314" i="17"/>
  <c r="AE314" i="17"/>
  <c r="Z314" i="17"/>
  <c r="W314" i="17"/>
  <c r="S314" i="17"/>
  <c r="R314" i="17"/>
  <c r="Q314" i="17"/>
  <c r="K314" i="17"/>
  <c r="J314" i="17"/>
  <c r="G314" i="17" s="1"/>
  <c r="H314" i="17"/>
  <c r="F314" i="17"/>
  <c r="BB313" i="17"/>
  <c r="AY313" i="17"/>
  <c r="AU313" i="17"/>
  <c r="AT313" i="17"/>
  <c r="AS313" i="17"/>
  <c r="AN313" i="17"/>
  <c r="AK313" i="17"/>
  <c r="AG313" i="17"/>
  <c r="AF313" i="17"/>
  <c r="AE313" i="17"/>
  <c r="Z313" i="17"/>
  <c r="W313" i="17"/>
  <c r="S313" i="17"/>
  <c r="R313" i="17"/>
  <c r="Q313" i="17"/>
  <c r="K313" i="17"/>
  <c r="J313" i="17"/>
  <c r="H313" i="17"/>
  <c r="F313" i="17"/>
  <c r="BB312" i="17"/>
  <c r="AY312" i="17"/>
  <c r="AU312" i="17"/>
  <c r="AT312" i="17"/>
  <c r="AS312" i="17"/>
  <c r="AN312" i="17"/>
  <c r="AK312" i="17"/>
  <c r="AG312" i="17"/>
  <c r="AF312" i="17"/>
  <c r="AE312" i="17"/>
  <c r="Z312" i="17"/>
  <c r="W312" i="17"/>
  <c r="S312" i="17"/>
  <c r="R312" i="17"/>
  <c r="Q312" i="17"/>
  <c r="K312" i="17"/>
  <c r="J312" i="17"/>
  <c r="H312" i="17"/>
  <c r="F312" i="17"/>
  <c r="BB311" i="17"/>
  <c r="AY311" i="17"/>
  <c r="AU311" i="17"/>
  <c r="AT311" i="17"/>
  <c r="AS311" i="17"/>
  <c r="AN311" i="17"/>
  <c r="AK311" i="17"/>
  <c r="AG311" i="17"/>
  <c r="AF311" i="17"/>
  <c r="AE311" i="17"/>
  <c r="Z311" i="17"/>
  <c r="W311" i="17"/>
  <c r="S311" i="17"/>
  <c r="R311" i="17"/>
  <c r="Q311" i="17"/>
  <c r="K311" i="17"/>
  <c r="J311" i="17"/>
  <c r="H311" i="17"/>
  <c r="F311" i="17"/>
  <c r="BB310" i="17"/>
  <c r="AY310" i="17"/>
  <c r="AU310" i="17"/>
  <c r="AT310" i="17"/>
  <c r="AS310" i="17"/>
  <c r="AN310" i="17"/>
  <c r="AK310" i="17"/>
  <c r="AG310" i="17"/>
  <c r="AF310" i="17"/>
  <c r="AE310" i="17"/>
  <c r="Z310" i="17"/>
  <c r="W310" i="17"/>
  <c r="S310" i="17"/>
  <c r="R310" i="17"/>
  <c r="Q310" i="17"/>
  <c r="K310" i="17"/>
  <c r="J310" i="17"/>
  <c r="H310" i="17"/>
  <c r="F310" i="17"/>
  <c r="BB309" i="17"/>
  <c r="AY309" i="17"/>
  <c r="AU309" i="17"/>
  <c r="AT309" i="17"/>
  <c r="AS309" i="17"/>
  <c r="AN309" i="17"/>
  <c r="AK309" i="17"/>
  <c r="AG309" i="17"/>
  <c r="AF309" i="17"/>
  <c r="AE309" i="17"/>
  <c r="Z309" i="17"/>
  <c r="W309" i="17"/>
  <c r="S309" i="17"/>
  <c r="R309" i="17"/>
  <c r="Q309" i="17"/>
  <c r="K309" i="17"/>
  <c r="J309" i="17"/>
  <c r="H309" i="17"/>
  <c r="F309" i="17"/>
  <c r="BB308" i="17"/>
  <c r="AY308" i="17"/>
  <c r="AU308" i="17"/>
  <c r="AT308" i="17"/>
  <c r="AS308" i="17"/>
  <c r="AN308" i="17"/>
  <c r="AK308" i="17"/>
  <c r="AG308" i="17"/>
  <c r="AF308" i="17"/>
  <c r="AE308" i="17"/>
  <c r="Z308" i="17"/>
  <c r="W308" i="17"/>
  <c r="S308" i="17"/>
  <c r="R308" i="17"/>
  <c r="Q308" i="17"/>
  <c r="K308" i="17"/>
  <c r="J308" i="17"/>
  <c r="H308" i="17"/>
  <c r="F308" i="17"/>
  <c r="BB307" i="17"/>
  <c r="AY307" i="17"/>
  <c r="AU307" i="17"/>
  <c r="AT307" i="17"/>
  <c r="AS307" i="17"/>
  <c r="AN307" i="17"/>
  <c r="AK307" i="17"/>
  <c r="AG307" i="17"/>
  <c r="AF307" i="17"/>
  <c r="AE307" i="17"/>
  <c r="Z307" i="17"/>
  <c r="W307" i="17"/>
  <c r="S307" i="17"/>
  <c r="R307" i="17"/>
  <c r="Q307" i="17"/>
  <c r="K307" i="17"/>
  <c r="J307" i="17"/>
  <c r="G307" i="17" s="1"/>
  <c r="H307" i="17"/>
  <c r="F307" i="17"/>
  <c r="BB306" i="17"/>
  <c r="AY306" i="17"/>
  <c r="AU306" i="17"/>
  <c r="AT306" i="17"/>
  <c r="AS306" i="17"/>
  <c r="AN306" i="17"/>
  <c r="AK306" i="17"/>
  <c r="AG306" i="17"/>
  <c r="AF306" i="17"/>
  <c r="AE306" i="17"/>
  <c r="Z306" i="17"/>
  <c r="W306" i="17"/>
  <c r="S306" i="17"/>
  <c r="R306" i="17"/>
  <c r="Q306" i="17"/>
  <c r="K306" i="17"/>
  <c r="J306" i="17"/>
  <c r="H306" i="17"/>
  <c r="F306" i="17"/>
  <c r="BB305" i="17"/>
  <c r="AY305" i="17"/>
  <c r="AU305" i="17"/>
  <c r="AT305" i="17"/>
  <c r="AS305" i="17"/>
  <c r="AN305" i="17"/>
  <c r="AK305" i="17"/>
  <c r="AG305" i="17"/>
  <c r="AF305" i="17"/>
  <c r="AE305" i="17"/>
  <c r="Z305" i="17"/>
  <c r="W305" i="17"/>
  <c r="S305" i="17"/>
  <c r="R305" i="17"/>
  <c r="Q305" i="17"/>
  <c r="K305" i="17"/>
  <c r="J305" i="17"/>
  <c r="G305" i="17" s="1"/>
  <c r="H305" i="17"/>
  <c r="F305" i="17"/>
  <c r="BB304" i="17"/>
  <c r="AY304" i="17"/>
  <c r="AU304" i="17"/>
  <c r="AT304" i="17"/>
  <c r="AS304" i="17"/>
  <c r="AN304" i="17"/>
  <c r="AK304" i="17"/>
  <c r="AG304" i="17"/>
  <c r="AF304" i="17"/>
  <c r="AE304" i="17"/>
  <c r="Z304" i="17"/>
  <c r="W304" i="17"/>
  <c r="S304" i="17"/>
  <c r="R304" i="17"/>
  <c r="Q304" i="17"/>
  <c r="K304" i="17"/>
  <c r="J304" i="17"/>
  <c r="G304" i="17" s="1"/>
  <c r="H304" i="17"/>
  <c r="F304" i="17"/>
  <c r="BB303" i="17"/>
  <c r="AY303" i="17"/>
  <c r="AU303" i="17"/>
  <c r="AT303" i="17"/>
  <c r="AS303" i="17"/>
  <c r="AN303" i="17"/>
  <c r="AK303" i="17"/>
  <c r="AG303" i="17"/>
  <c r="AF303" i="17"/>
  <c r="AE303" i="17"/>
  <c r="Z303" i="17"/>
  <c r="W303" i="17"/>
  <c r="S303" i="17"/>
  <c r="R303" i="17"/>
  <c r="Q303" i="17"/>
  <c r="K303" i="17"/>
  <c r="J303" i="17"/>
  <c r="G303" i="17" s="1"/>
  <c r="H303" i="17"/>
  <c r="F303" i="17"/>
  <c r="BB302" i="17"/>
  <c r="AY302" i="17"/>
  <c r="AU302" i="17"/>
  <c r="AT302" i="17"/>
  <c r="AS302" i="17"/>
  <c r="AN302" i="17"/>
  <c r="AK302" i="17"/>
  <c r="AG302" i="17"/>
  <c r="AF302" i="17"/>
  <c r="AE302" i="17"/>
  <c r="Z302" i="17"/>
  <c r="W302" i="17"/>
  <c r="S302" i="17"/>
  <c r="R302" i="17"/>
  <c r="Q302" i="17"/>
  <c r="K302" i="17"/>
  <c r="J302" i="17"/>
  <c r="G302" i="17" s="1"/>
  <c r="H302" i="17"/>
  <c r="F302" i="17"/>
  <c r="BB301" i="17"/>
  <c r="AY301" i="17"/>
  <c r="AU301" i="17"/>
  <c r="AT301" i="17"/>
  <c r="AS301" i="17"/>
  <c r="AN301" i="17"/>
  <c r="AK301" i="17"/>
  <c r="AG301" i="17"/>
  <c r="AF301" i="17"/>
  <c r="AE301" i="17"/>
  <c r="Z301" i="17"/>
  <c r="W301" i="17"/>
  <c r="S301" i="17"/>
  <c r="R301" i="17"/>
  <c r="Q301" i="17"/>
  <c r="K301" i="17"/>
  <c r="J301" i="17"/>
  <c r="H301" i="17"/>
  <c r="F301" i="17"/>
  <c r="BB300" i="17"/>
  <c r="AY300" i="17"/>
  <c r="AU300" i="17"/>
  <c r="AT300" i="17"/>
  <c r="AS300" i="17"/>
  <c r="AN300" i="17"/>
  <c r="AK300" i="17"/>
  <c r="AG300" i="17"/>
  <c r="AF300" i="17"/>
  <c r="AE300" i="17"/>
  <c r="Z300" i="17"/>
  <c r="W300" i="17"/>
  <c r="S300" i="17"/>
  <c r="R300" i="17"/>
  <c r="Q300" i="17"/>
  <c r="K300" i="17"/>
  <c r="J300" i="17"/>
  <c r="G300" i="17" s="1"/>
  <c r="H300" i="17"/>
  <c r="F300" i="17"/>
  <c r="BB299" i="17"/>
  <c r="AY299" i="17"/>
  <c r="AU299" i="17"/>
  <c r="AT299" i="17"/>
  <c r="AS299" i="17"/>
  <c r="AN299" i="17"/>
  <c r="AK299" i="17"/>
  <c r="AG299" i="17"/>
  <c r="AF299" i="17"/>
  <c r="AE299" i="17"/>
  <c r="Z299" i="17"/>
  <c r="W299" i="17"/>
  <c r="S299" i="17"/>
  <c r="R299" i="17"/>
  <c r="Q299" i="17"/>
  <c r="K299" i="17"/>
  <c r="J299" i="17"/>
  <c r="G299" i="17" s="1"/>
  <c r="H299" i="17"/>
  <c r="F299" i="17"/>
  <c r="BB298" i="17"/>
  <c r="AY298" i="17"/>
  <c r="AU298" i="17"/>
  <c r="AT298" i="17"/>
  <c r="AS298" i="17"/>
  <c r="AN298" i="17"/>
  <c r="AK298" i="17"/>
  <c r="AG298" i="17"/>
  <c r="AF298" i="17"/>
  <c r="AE298" i="17"/>
  <c r="Z298" i="17"/>
  <c r="W298" i="17"/>
  <c r="S298" i="17"/>
  <c r="R298" i="17"/>
  <c r="Q298" i="17"/>
  <c r="K298" i="17"/>
  <c r="J298" i="17"/>
  <c r="H298" i="17"/>
  <c r="F298" i="17"/>
  <c r="BB297" i="17"/>
  <c r="AY297" i="17"/>
  <c r="AU297" i="17"/>
  <c r="AT297" i="17"/>
  <c r="AS297" i="17"/>
  <c r="AN297" i="17"/>
  <c r="AK297" i="17"/>
  <c r="AG297" i="17"/>
  <c r="AF297" i="17"/>
  <c r="AE297" i="17"/>
  <c r="Z297" i="17"/>
  <c r="W297" i="17"/>
  <c r="S297" i="17"/>
  <c r="R297" i="17"/>
  <c r="Q297" i="17"/>
  <c r="K297" i="17"/>
  <c r="J297" i="17"/>
  <c r="H297" i="17"/>
  <c r="F297" i="17"/>
  <c r="BB296" i="17"/>
  <c r="AY296" i="17"/>
  <c r="AU296" i="17"/>
  <c r="AT296" i="17"/>
  <c r="AS296" i="17"/>
  <c r="AN296" i="17"/>
  <c r="AK296" i="17"/>
  <c r="AG296" i="17"/>
  <c r="AF296" i="17"/>
  <c r="AE296" i="17"/>
  <c r="Z296" i="17"/>
  <c r="W296" i="17"/>
  <c r="S296" i="17"/>
  <c r="R296" i="17"/>
  <c r="Q296" i="17"/>
  <c r="K296" i="17"/>
  <c r="J296" i="17"/>
  <c r="H296" i="17"/>
  <c r="F296" i="17"/>
  <c r="BB295" i="17"/>
  <c r="AY295" i="17"/>
  <c r="AU295" i="17"/>
  <c r="AT295" i="17"/>
  <c r="AS295" i="17"/>
  <c r="AN295" i="17"/>
  <c r="AK295" i="17"/>
  <c r="AG295" i="17"/>
  <c r="AF295" i="17"/>
  <c r="AE295" i="17"/>
  <c r="Z295" i="17"/>
  <c r="W295" i="17"/>
  <c r="S295" i="17"/>
  <c r="R295" i="17"/>
  <c r="Q295" i="17"/>
  <c r="K295" i="17"/>
  <c r="J295" i="17"/>
  <c r="G295" i="17" s="1"/>
  <c r="H295" i="17"/>
  <c r="F295" i="17"/>
  <c r="BB294" i="17"/>
  <c r="AY294" i="17"/>
  <c r="AU294" i="17"/>
  <c r="AT294" i="17"/>
  <c r="AS294" i="17"/>
  <c r="AN294" i="17"/>
  <c r="AK294" i="17"/>
  <c r="AG294" i="17"/>
  <c r="AF294" i="17"/>
  <c r="AE294" i="17"/>
  <c r="Z294" i="17"/>
  <c r="W294" i="17"/>
  <c r="S294" i="17"/>
  <c r="R294" i="17"/>
  <c r="Q294" i="17"/>
  <c r="K294" i="17"/>
  <c r="J294" i="17"/>
  <c r="H294" i="17"/>
  <c r="F294" i="17"/>
  <c r="BB293" i="17"/>
  <c r="AY293" i="17"/>
  <c r="AU293" i="17"/>
  <c r="AT293" i="17"/>
  <c r="AS293" i="17"/>
  <c r="AN293" i="17"/>
  <c r="AK293" i="17"/>
  <c r="AG293" i="17"/>
  <c r="AF293" i="17"/>
  <c r="AE293" i="17"/>
  <c r="Z293" i="17"/>
  <c r="W293" i="17"/>
  <c r="S293" i="17"/>
  <c r="R293" i="17"/>
  <c r="Q293" i="17"/>
  <c r="K293" i="17"/>
  <c r="J293" i="17"/>
  <c r="H293" i="17"/>
  <c r="F293" i="17"/>
  <c r="BB292" i="17"/>
  <c r="AY292" i="17"/>
  <c r="AU292" i="17"/>
  <c r="AT292" i="17"/>
  <c r="AS292" i="17"/>
  <c r="AN292" i="17"/>
  <c r="AK292" i="17"/>
  <c r="AG292" i="17"/>
  <c r="AF292" i="17"/>
  <c r="AE292" i="17"/>
  <c r="Z292" i="17"/>
  <c r="W292" i="17"/>
  <c r="S292" i="17"/>
  <c r="R292" i="17"/>
  <c r="Q292" i="17"/>
  <c r="K292" i="17"/>
  <c r="J292" i="17"/>
  <c r="G292" i="17" s="1"/>
  <c r="H292" i="17"/>
  <c r="F292" i="17"/>
  <c r="BB291" i="17"/>
  <c r="AY291" i="17"/>
  <c r="AU291" i="17"/>
  <c r="AT291" i="17"/>
  <c r="AS291" i="17"/>
  <c r="AN291" i="17"/>
  <c r="AK291" i="17"/>
  <c r="AG291" i="17"/>
  <c r="AF291" i="17"/>
  <c r="AE291" i="17"/>
  <c r="Z291" i="17"/>
  <c r="W291" i="17"/>
  <c r="S291" i="17"/>
  <c r="R291" i="17"/>
  <c r="Q291" i="17"/>
  <c r="K291" i="17"/>
  <c r="J291" i="17"/>
  <c r="H291" i="17"/>
  <c r="F291" i="17"/>
  <c r="BB290" i="17"/>
  <c r="AY290" i="17"/>
  <c r="AU290" i="17"/>
  <c r="AT290" i="17"/>
  <c r="AS290" i="17"/>
  <c r="AN290" i="17"/>
  <c r="AK290" i="17"/>
  <c r="AG290" i="17"/>
  <c r="AF290" i="17"/>
  <c r="AE290" i="17"/>
  <c r="Z290" i="17"/>
  <c r="W290" i="17"/>
  <c r="S290" i="17"/>
  <c r="R290" i="17"/>
  <c r="Q290" i="17"/>
  <c r="K290" i="17"/>
  <c r="J290" i="17"/>
  <c r="H290" i="17"/>
  <c r="F290" i="17"/>
  <c r="BB289" i="17"/>
  <c r="AY289" i="17"/>
  <c r="AU289" i="17"/>
  <c r="AT289" i="17"/>
  <c r="AS289" i="17"/>
  <c r="AN289" i="17"/>
  <c r="AK289" i="17"/>
  <c r="AG289" i="17"/>
  <c r="AF289" i="17"/>
  <c r="AE289" i="17"/>
  <c r="Z289" i="17"/>
  <c r="W289" i="17"/>
  <c r="S289" i="17"/>
  <c r="R289" i="17"/>
  <c r="Q289" i="17"/>
  <c r="K289" i="17"/>
  <c r="J289" i="17"/>
  <c r="G289" i="17" s="1"/>
  <c r="H289" i="17"/>
  <c r="F289" i="17"/>
  <c r="BB288" i="17"/>
  <c r="AY288" i="17"/>
  <c r="AU288" i="17"/>
  <c r="AT288" i="17"/>
  <c r="AS288" i="17"/>
  <c r="AN288" i="17"/>
  <c r="AK288" i="17"/>
  <c r="AG288" i="17"/>
  <c r="AF288" i="17"/>
  <c r="AE288" i="17"/>
  <c r="Z288" i="17"/>
  <c r="W288" i="17"/>
  <c r="S288" i="17"/>
  <c r="R288" i="17"/>
  <c r="Q288" i="17"/>
  <c r="K288" i="17"/>
  <c r="J288" i="17"/>
  <c r="G288" i="17" s="1"/>
  <c r="H288" i="17"/>
  <c r="F288" i="17"/>
  <c r="BB287" i="17"/>
  <c r="AY287" i="17"/>
  <c r="AU287" i="17"/>
  <c r="AT287" i="17"/>
  <c r="AS287" i="17"/>
  <c r="AN287" i="17"/>
  <c r="AK287" i="17"/>
  <c r="AG287" i="17"/>
  <c r="AF287" i="17"/>
  <c r="AE287" i="17"/>
  <c r="Z287" i="17"/>
  <c r="W287" i="17"/>
  <c r="S287" i="17"/>
  <c r="R287" i="17"/>
  <c r="Q287" i="17"/>
  <c r="K287" i="17"/>
  <c r="J287" i="17"/>
  <c r="G287" i="17" s="1"/>
  <c r="H287" i="17"/>
  <c r="F287" i="17"/>
  <c r="BB286" i="17"/>
  <c r="AY286" i="17"/>
  <c r="AU286" i="17"/>
  <c r="AT286" i="17"/>
  <c r="AS286" i="17"/>
  <c r="AN286" i="17"/>
  <c r="AK286" i="17"/>
  <c r="AG286" i="17"/>
  <c r="AF286" i="17"/>
  <c r="AE286" i="17"/>
  <c r="Z286" i="17"/>
  <c r="W286" i="17"/>
  <c r="S286" i="17"/>
  <c r="R286" i="17"/>
  <c r="Q286" i="17"/>
  <c r="K286" i="17"/>
  <c r="J286" i="17"/>
  <c r="H286" i="17"/>
  <c r="F286" i="17"/>
  <c r="BB285" i="17"/>
  <c r="AY285" i="17"/>
  <c r="AU285" i="17"/>
  <c r="AT285" i="17"/>
  <c r="AS285" i="17"/>
  <c r="AN285" i="17"/>
  <c r="AK285" i="17"/>
  <c r="AG285" i="17"/>
  <c r="AF285" i="17"/>
  <c r="AE285" i="17"/>
  <c r="Z285" i="17"/>
  <c r="W285" i="17"/>
  <c r="S285" i="17"/>
  <c r="R285" i="17"/>
  <c r="Q285" i="17"/>
  <c r="K285" i="17"/>
  <c r="J285" i="17"/>
  <c r="H285" i="17"/>
  <c r="F285" i="17"/>
  <c r="BB284" i="17"/>
  <c r="AY284" i="17"/>
  <c r="AU284" i="17"/>
  <c r="AT284" i="17"/>
  <c r="AS284" i="17"/>
  <c r="AN284" i="17"/>
  <c r="AK284" i="17"/>
  <c r="AG284" i="17"/>
  <c r="AF284" i="17"/>
  <c r="AE284" i="17"/>
  <c r="Z284" i="17"/>
  <c r="W284" i="17"/>
  <c r="S284" i="17"/>
  <c r="R284" i="17"/>
  <c r="Q284" i="17"/>
  <c r="K284" i="17"/>
  <c r="J284" i="17"/>
  <c r="G284" i="17" s="1"/>
  <c r="H284" i="17"/>
  <c r="F284" i="17"/>
  <c r="BB283" i="17"/>
  <c r="AY283" i="17"/>
  <c r="AU283" i="17"/>
  <c r="AT283" i="17"/>
  <c r="AS283" i="17"/>
  <c r="AN283" i="17"/>
  <c r="AK283" i="17"/>
  <c r="AG283" i="17"/>
  <c r="AF283" i="17"/>
  <c r="AE283" i="17"/>
  <c r="Z283" i="17"/>
  <c r="W283" i="17"/>
  <c r="S283" i="17"/>
  <c r="R283" i="17"/>
  <c r="Q283" i="17"/>
  <c r="K283" i="17"/>
  <c r="J283" i="17"/>
  <c r="H283" i="17"/>
  <c r="F283" i="17"/>
  <c r="BB282" i="17"/>
  <c r="AY282" i="17"/>
  <c r="AU282" i="17"/>
  <c r="AT282" i="17"/>
  <c r="AS282" i="17"/>
  <c r="AN282" i="17"/>
  <c r="AK282" i="17"/>
  <c r="AG282" i="17"/>
  <c r="AF282" i="17"/>
  <c r="AE282" i="17"/>
  <c r="Z282" i="17"/>
  <c r="W282" i="17"/>
  <c r="S282" i="17"/>
  <c r="R282" i="17"/>
  <c r="Q282" i="17"/>
  <c r="K282" i="17"/>
  <c r="J282" i="17"/>
  <c r="H282" i="17"/>
  <c r="F282" i="17"/>
  <c r="BB281" i="17"/>
  <c r="AY281" i="17"/>
  <c r="AU281" i="17"/>
  <c r="AT281" i="17"/>
  <c r="AS281" i="17"/>
  <c r="AN281" i="17"/>
  <c r="AK281" i="17"/>
  <c r="AG281" i="17"/>
  <c r="AF281" i="17"/>
  <c r="AE281" i="17"/>
  <c r="Z281" i="17"/>
  <c r="W281" i="17"/>
  <c r="S281" i="17"/>
  <c r="R281" i="17"/>
  <c r="Q281" i="17"/>
  <c r="K281" i="17"/>
  <c r="J281" i="17"/>
  <c r="G281" i="17" s="1"/>
  <c r="H281" i="17"/>
  <c r="F281" i="17"/>
  <c r="BB280" i="17"/>
  <c r="AY280" i="17"/>
  <c r="AU280" i="17"/>
  <c r="AT280" i="17"/>
  <c r="AS280" i="17"/>
  <c r="AN280" i="17"/>
  <c r="AK280" i="17"/>
  <c r="AG280" i="17"/>
  <c r="AF280" i="17"/>
  <c r="AE280" i="17"/>
  <c r="Z280" i="17"/>
  <c r="W280" i="17"/>
  <c r="S280" i="17"/>
  <c r="R280" i="17"/>
  <c r="Q280" i="17"/>
  <c r="K280" i="17"/>
  <c r="J280" i="17"/>
  <c r="H280" i="17"/>
  <c r="F280" i="17"/>
  <c r="BB279" i="17"/>
  <c r="AY279" i="17"/>
  <c r="AU279" i="17"/>
  <c r="AT279" i="17"/>
  <c r="AS279" i="17"/>
  <c r="AN279" i="17"/>
  <c r="AK279" i="17"/>
  <c r="AG279" i="17"/>
  <c r="AF279" i="17"/>
  <c r="AE279" i="17"/>
  <c r="Z279" i="17"/>
  <c r="W279" i="17"/>
  <c r="S279" i="17"/>
  <c r="R279" i="17"/>
  <c r="Q279" i="17"/>
  <c r="K279" i="17"/>
  <c r="J279" i="17"/>
  <c r="H279" i="17"/>
  <c r="F279" i="17"/>
  <c r="BB278" i="17"/>
  <c r="AY278" i="17"/>
  <c r="AU278" i="17"/>
  <c r="AT278" i="17"/>
  <c r="AS278" i="17"/>
  <c r="AN278" i="17"/>
  <c r="AK278" i="17"/>
  <c r="AG278" i="17"/>
  <c r="AF278" i="17"/>
  <c r="AE278" i="17"/>
  <c r="Z278" i="17"/>
  <c r="W278" i="17"/>
  <c r="S278" i="17"/>
  <c r="R278" i="17"/>
  <c r="Q278" i="17"/>
  <c r="K278" i="17"/>
  <c r="J278" i="17"/>
  <c r="G278" i="17" s="1"/>
  <c r="H278" i="17"/>
  <c r="F278" i="17"/>
  <c r="BB277" i="17"/>
  <c r="AY277" i="17"/>
  <c r="AU277" i="17"/>
  <c r="AT277" i="17"/>
  <c r="AS277" i="17"/>
  <c r="AN277" i="17"/>
  <c r="AK277" i="17"/>
  <c r="AG277" i="17"/>
  <c r="AF277" i="17"/>
  <c r="AE277" i="17"/>
  <c r="Z277" i="17"/>
  <c r="W277" i="17"/>
  <c r="S277" i="17"/>
  <c r="R277" i="17"/>
  <c r="Q277" i="17"/>
  <c r="K277" i="17"/>
  <c r="J277" i="17"/>
  <c r="G277" i="17" s="1"/>
  <c r="H277" i="17"/>
  <c r="F277" i="17"/>
  <c r="BB276" i="17"/>
  <c r="AY276" i="17"/>
  <c r="AU276" i="17"/>
  <c r="AT276" i="17"/>
  <c r="AS276" i="17"/>
  <c r="AN276" i="17"/>
  <c r="AK276" i="17"/>
  <c r="AG276" i="17"/>
  <c r="AF276" i="17"/>
  <c r="AE276" i="17"/>
  <c r="Z276" i="17"/>
  <c r="W276" i="17"/>
  <c r="S276" i="17"/>
  <c r="R276" i="17"/>
  <c r="Q276" i="17"/>
  <c r="K276" i="17"/>
  <c r="J276" i="17"/>
  <c r="H276" i="17"/>
  <c r="F276" i="17"/>
  <c r="BB275" i="17"/>
  <c r="AY275" i="17"/>
  <c r="AU275" i="17"/>
  <c r="AT275" i="17"/>
  <c r="AS275" i="17"/>
  <c r="AN275" i="17"/>
  <c r="AK275" i="17"/>
  <c r="AG275" i="17"/>
  <c r="AF275" i="17"/>
  <c r="AE275" i="17"/>
  <c r="Z275" i="17"/>
  <c r="W275" i="17"/>
  <c r="S275" i="17"/>
  <c r="R275" i="17"/>
  <c r="Q275" i="17"/>
  <c r="K275" i="17"/>
  <c r="J275" i="17"/>
  <c r="G275" i="17" s="1"/>
  <c r="H275" i="17"/>
  <c r="F275" i="17"/>
  <c r="BB274" i="17"/>
  <c r="AY274" i="17"/>
  <c r="AU274" i="17"/>
  <c r="AT274" i="17"/>
  <c r="AS274" i="17"/>
  <c r="AN274" i="17"/>
  <c r="AK274" i="17"/>
  <c r="AG274" i="17"/>
  <c r="AF274" i="17"/>
  <c r="AE274" i="17"/>
  <c r="Z274" i="17"/>
  <c r="W274" i="17"/>
  <c r="S274" i="17"/>
  <c r="R274" i="17"/>
  <c r="Q274" i="17"/>
  <c r="K274" i="17"/>
  <c r="J274" i="17"/>
  <c r="H274" i="17"/>
  <c r="F274" i="17"/>
  <c r="BB273" i="17"/>
  <c r="AY273" i="17"/>
  <c r="AU273" i="17"/>
  <c r="AT273" i="17"/>
  <c r="AS273" i="17"/>
  <c r="AN273" i="17"/>
  <c r="AK273" i="17"/>
  <c r="AG273" i="17"/>
  <c r="AF273" i="17"/>
  <c r="AE273" i="17"/>
  <c r="Z273" i="17"/>
  <c r="W273" i="17"/>
  <c r="S273" i="17"/>
  <c r="R273" i="17"/>
  <c r="Q273" i="17"/>
  <c r="K273" i="17"/>
  <c r="J273" i="17"/>
  <c r="H273" i="17"/>
  <c r="F273" i="17"/>
  <c r="BB272" i="17"/>
  <c r="AY272" i="17"/>
  <c r="AU272" i="17"/>
  <c r="AT272" i="17"/>
  <c r="AS272" i="17"/>
  <c r="AN272" i="17"/>
  <c r="AK272" i="17"/>
  <c r="AG272" i="17"/>
  <c r="AF272" i="17"/>
  <c r="AE272" i="17"/>
  <c r="Z272" i="17"/>
  <c r="W272" i="17"/>
  <c r="S272" i="17"/>
  <c r="R272" i="17"/>
  <c r="Q272" i="17"/>
  <c r="K272" i="17"/>
  <c r="J272" i="17"/>
  <c r="H272" i="17"/>
  <c r="F272" i="17"/>
  <c r="BB271" i="17"/>
  <c r="AY271" i="17"/>
  <c r="AU271" i="17"/>
  <c r="AT271" i="17"/>
  <c r="AS271" i="17"/>
  <c r="AN271" i="17"/>
  <c r="AK271" i="17"/>
  <c r="AG271" i="17"/>
  <c r="AF271" i="17"/>
  <c r="AE271" i="17"/>
  <c r="Z271" i="17"/>
  <c r="W271" i="17"/>
  <c r="S271" i="17"/>
  <c r="R271" i="17"/>
  <c r="Q271" i="17"/>
  <c r="K271" i="17"/>
  <c r="J271" i="17"/>
  <c r="G271" i="17" s="1"/>
  <c r="H271" i="17"/>
  <c r="F271" i="17"/>
  <c r="BB270" i="17"/>
  <c r="AY270" i="17"/>
  <c r="AU270" i="17"/>
  <c r="AT270" i="17"/>
  <c r="AS270" i="17"/>
  <c r="AN270" i="17"/>
  <c r="AK270" i="17"/>
  <c r="AG270" i="17"/>
  <c r="AF270" i="17"/>
  <c r="AE270" i="17"/>
  <c r="Z270" i="17"/>
  <c r="W270" i="17"/>
  <c r="S270" i="17"/>
  <c r="R270" i="17"/>
  <c r="Q270" i="17"/>
  <c r="K270" i="17"/>
  <c r="J270" i="17"/>
  <c r="H270" i="17"/>
  <c r="F270" i="17"/>
  <c r="BB269" i="17"/>
  <c r="AY269" i="17"/>
  <c r="AU269" i="17"/>
  <c r="AT269" i="17"/>
  <c r="AS269" i="17"/>
  <c r="AN269" i="17"/>
  <c r="AK269" i="17"/>
  <c r="AG269" i="17"/>
  <c r="AF269" i="17"/>
  <c r="AE269" i="17"/>
  <c r="Z269" i="17"/>
  <c r="W269" i="17"/>
  <c r="S269" i="17"/>
  <c r="R269" i="17"/>
  <c r="Q269" i="17"/>
  <c r="K269" i="17"/>
  <c r="J269" i="17"/>
  <c r="G269" i="17" s="1"/>
  <c r="H269" i="17"/>
  <c r="F269" i="17"/>
  <c r="BB268" i="17"/>
  <c r="AY268" i="17"/>
  <c r="AU268" i="17"/>
  <c r="AT268" i="17"/>
  <c r="AS268" i="17"/>
  <c r="AN268" i="17"/>
  <c r="AK268" i="17"/>
  <c r="AG268" i="17"/>
  <c r="AF268" i="17"/>
  <c r="AE268" i="17"/>
  <c r="Z268" i="17"/>
  <c r="W268" i="17"/>
  <c r="S268" i="17"/>
  <c r="R268" i="17"/>
  <c r="Q268" i="17"/>
  <c r="K268" i="17"/>
  <c r="J268" i="17"/>
  <c r="H268" i="17"/>
  <c r="F268" i="17"/>
  <c r="BB267" i="17"/>
  <c r="AY267" i="17"/>
  <c r="AU267" i="17"/>
  <c r="AT267" i="17"/>
  <c r="AS267" i="17"/>
  <c r="AN267" i="17"/>
  <c r="AK267" i="17"/>
  <c r="AG267" i="17"/>
  <c r="AF267" i="17"/>
  <c r="AE267" i="17"/>
  <c r="Z267" i="17"/>
  <c r="W267" i="17"/>
  <c r="S267" i="17"/>
  <c r="R267" i="17"/>
  <c r="Q267" i="17"/>
  <c r="K267" i="17"/>
  <c r="J267" i="17"/>
  <c r="H267" i="17"/>
  <c r="F267" i="17"/>
  <c r="BB266" i="17"/>
  <c r="AY266" i="17"/>
  <c r="AU266" i="17"/>
  <c r="AT266" i="17"/>
  <c r="AS266" i="17"/>
  <c r="AN266" i="17"/>
  <c r="AK266" i="17"/>
  <c r="AG266" i="17"/>
  <c r="AF266" i="17"/>
  <c r="AE266" i="17"/>
  <c r="Z266" i="17"/>
  <c r="W266" i="17"/>
  <c r="S266" i="17"/>
  <c r="R266" i="17"/>
  <c r="Q266" i="17"/>
  <c r="K266" i="17"/>
  <c r="J266" i="17"/>
  <c r="G266" i="17" s="1"/>
  <c r="H266" i="17"/>
  <c r="F266" i="17"/>
  <c r="BB265" i="17"/>
  <c r="AY265" i="17"/>
  <c r="AU265" i="17"/>
  <c r="AT265" i="17"/>
  <c r="AS265" i="17"/>
  <c r="AN265" i="17"/>
  <c r="AK265" i="17"/>
  <c r="AG265" i="17"/>
  <c r="AF265" i="17"/>
  <c r="AE265" i="17"/>
  <c r="Z265" i="17"/>
  <c r="W265" i="17"/>
  <c r="S265" i="17"/>
  <c r="R265" i="17"/>
  <c r="Q265" i="17"/>
  <c r="K265" i="17"/>
  <c r="J265" i="17"/>
  <c r="G265" i="17" s="1"/>
  <c r="H265" i="17"/>
  <c r="F265" i="17"/>
  <c r="BB264" i="17"/>
  <c r="AY264" i="17"/>
  <c r="AU264" i="17"/>
  <c r="AT264" i="17"/>
  <c r="AS264" i="17"/>
  <c r="AN264" i="17"/>
  <c r="AK264" i="17"/>
  <c r="AG264" i="17"/>
  <c r="AF264" i="17"/>
  <c r="AE264" i="17"/>
  <c r="Z264" i="17"/>
  <c r="W264" i="17"/>
  <c r="S264" i="17"/>
  <c r="R264" i="17"/>
  <c r="Q264" i="17"/>
  <c r="K264" i="17"/>
  <c r="J264" i="17"/>
  <c r="G264" i="17" s="1"/>
  <c r="H264" i="17"/>
  <c r="F264" i="17"/>
  <c r="BB263" i="17"/>
  <c r="AY263" i="17"/>
  <c r="AU263" i="17"/>
  <c r="AT263" i="17"/>
  <c r="AS263" i="17"/>
  <c r="AN263" i="17"/>
  <c r="AK263" i="17"/>
  <c r="AG263" i="17"/>
  <c r="AF263" i="17"/>
  <c r="AE263" i="17"/>
  <c r="Z263" i="17"/>
  <c r="W263" i="17"/>
  <c r="S263" i="17"/>
  <c r="R263" i="17"/>
  <c r="Q263" i="17"/>
  <c r="K263" i="17"/>
  <c r="J263" i="17"/>
  <c r="H263" i="17"/>
  <c r="F263" i="17"/>
  <c r="BB262" i="17"/>
  <c r="AY262" i="17"/>
  <c r="AU262" i="17"/>
  <c r="AT262" i="17"/>
  <c r="AS262" i="17"/>
  <c r="AN262" i="17"/>
  <c r="AK262" i="17"/>
  <c r="AG262" i="17"/>
  <c r="AF262" i="17"/>
  <c r="AE262" i="17"/>
  <c r="Z262" i="17"/>
  <c r="W262" i="17"/>
  <c r="S262" i="17"/>
  <c r="R262" i="17"/>
  <c r="Q262" i="17"/>
  <c r="K262" i="17"/>
  <c r="J262" i="17"/>
  <c r="H262" i="17"/>
  <c r="F262" i="17"/>
  <c r="BB261" i="17"/>
  <c r="AY261" i="17"/>
  <c r="AU261" i="17"/>
  <c r="AT261" i="17"/>
  <c r="AS261" i="17"/>
  <c r="AN261" i="17"/>
  <c r="AK261" i="17"/>
  <c r="AG261" i="17"/>
  <c r="AF261" i="17"/>
  <c r="AE261" i="17"/>
  <c r="Z261" i="17"/>
  <c r="W261" i="17"/>
  <c r="S261" i="17"/>
  <c r="R261" i="17"/>
  <c r="Q261" i="17"/>
  <c r="K261" i="17"/>
  <c r="J261" i="17"/>
  <c r="G261" i="17" s="1"/>
  <c r="H261" i="17"/>
  <c r="F261" i="17"/>
  <c r="BB260" i="17"/>
  <c r="AY260" i="17"/>
  <c r="AU260" i="17"/>
  <c r="AT260" i="17"/>
  <c r="AS260" i="17"/>
  <c r="AN260" i="17"/>
  <c r="AK260" i="17"/>
  <c r="AG260" i="17"/>
  <c r="AF260" i="17"/>
  <c r="AE260" i="17"/>
  <c r="Z260" i="17"/>
  <c r="W260" i="17"/>
  <c r="S260" i="17"/>
  <c r="R260" i="17"/>
  <c r="Q260" i="17"/>
  <c r="K260" i="17"/>
  <c r="J260" i="17"/>
  <c r="G260" i="17" s="1"/>
  <c r="H260" i="17"/>
  <c r="F260" i="17"/>
  <c r="BB259" i="17"/>
  <c r="AY259" i="17"/>
  <c r="AU259" i="17"/>
  <c r="AT259" i="17"/>
  <c r="AS259" i="17"/>
  <c r="AN259" i="17"/>
  <c r="AK259" i="17"/>
  <c r="AG259" i="17"/>
  <c r="AF259" i="17"/>
  <c r="AE259" i="17"/>
  <c r="Z259" i="17"/>
  <c r="W259" i="17"/>
  <c r="S259" i="17"/>
  <c r="R259" i="17"/>
  <c r="Q259" i="17"/>
  <c r="K259" i="17"/>
  <c r="J259" i="17"/>
  <c r="G259" i="17" s="1"/>
  <c r="H259" i="17"/>
  <c r="F259" i="17"/>
  <c r="BB258" i="17"/>
  <c r="AY258" i="17"/>
  <c r="AU258" i="17"/>
  <c r="AT258" i="17"/>
  <c r="AS258" i="17"/>
  <c r="AN258" i="17"/>
  <c r="AK258" i="17"/>
  <c r="AG258" i="17"/>
  <c r="AF258" i="17"/>
  <c r="AE258" i="17"/>
  <c r="Z258" i="17"/>
  <c r="W258" i="17"/>
  <c r="S258" i="17"/>
  <c r="R258" i="17"/>
  <c r="Q258" i="17"/>
  <c r="K258" i="17"/>
  <c r="J258" i="17"/>
  <c r="H258" i="17"/>
  <c r="F258" i="17"/>
  <c r="BB257" i="17"/>
  <c r="AY257" i="17"/>
  <c r="AU257" i="17"/>
  <c r="AT257" i="17"/>
  <c r="AS257" i="17"/>
  <c r="AN257" i="17"/>
  <c r="AK257" i="17"/>
  <c r="AG257" i="17"/>
  <c r="AF257" i="17"/>
  <c r="AE257" i="17"/>
  <c r="Z257" i="17"/>
  <c r="W257" i="17"/>
  <c r="S257" i="17"/>
  <c r="R257" i="17"/>
  <c r="Q257" i="17"/>
  <c r="K257" i="17"/>
  <c r="J257" i="17"/>
  <c r="H257" i="17"/>
  <c r="F257" i="17"/>
  <c r="BB256" i="17"/>
  <c r="AY256" i="17"/>
  <c r="AU256" i="17"/>
  <c r="AT256" i="17"/>
  <c r="AS256" i="17"/>
  <c r="AN256" i="17"/>
  <c r="AK256" i="17"/>
  <c r="AG256" i="17"/>
  <c r="AF256" i="17"/>
  <c r="AE256" i="17"/>
  <c r="Z256" i="17"/>
  <c r="W256" i="17"/>
  <c r="S256" i="17"/>
  <c r="R256" i="17"/>
  <c r="Q256" i="17"/>
  <c r="K256" i="17"/>
  <c r="J256" i="17"/>
  <c r="H256" i="17"/>
  <c r="F256" i="17"/>
  <c r="BB255" i="17"/>
  <c r="AY255" i="17"/>
  <c r="AU255" i="17"/>
  <c r="AT255" i="17"/>
  <c r="AS255" i="17"/>
  <c r="AN255" i="17"/>
  <c r="AK255" i="17"/>
  <c r="AG255" i="17"/>
  <c r="AF255" i="17"/>
  <c r="AE255" i="17"/>
  <c r="Z255" i="17"/>
  <c r="W255" i="17"/>
  <c r="S255" i="17"/>
  <c r="R255" i="17"/>
  <c r="Q255" i="17"/>
  <c r="K255" i="17"/>
  <c r="J255" i="17"/>
  <c r="H255" i="17"/>
  <c r="F255" i="17"/>
  <c r="BB254" i="17"/>
  <c r="AY254" i="17"/>
  <c r="AU254" i="17"/>
  <c r="AT254" i="17"/>
  <c r="AS254" i="17"/>
  <c r="AN254" i="17"/>
  <c r="AK254" i="17"/>
  <c r="AG254" i="17"/>
  <c r="AF254" i="17"/>
  <c r="AE254" i="17"/>
  <c r="Z254" i="17"/>
  <c r="W254" i="17"/>
  <c r="S254" i="17"/>
  <c r="R254" i="17"/>
  <c r="Q254" i="17"/>
  <c r="K254" i="17"/>
  <c r="J254" i="17"/>
  <c r="G254" i="17" s="1"/>
  <c r="H254" i="17"/>
  <c r="F254" i="17"/>
  <c r="BB253" i="17"/>
  <c r="AY253" i="17"/>
  <c r="AU253" i="17"/>
  <c r="AT253" i="17"/>
  <c r="AS253" i="17"/>
  <c r="AN253" i="17"/>
  <c r="AK253" i="17"/>
  <c r="AG253" i="17"/>
  <c r="AF253" i="17"/>
  <c r="AE253" i="17"/>
  <c r="Z253" i="17"/>
  <c r="W253" i="17"/>
  <c r="S253" i="17"/>
  <c r="R253" i="17"/>
  <c r="Q253" i="17"/>
  <c r="K253" i="17"/>
  <c r="J253" i="17"/>
  <c r="G253" i="17" s="1"/>
  <c r="H253" i="17"/>
  <c r="F253" i="17"/>
  <c r="BB252" i="17"/>
  <c r="AY252" i="17"/>
  <c r="AU252" i="17"/>
  <c r="AT252" i="17"/>
  <c r="AS252" i="17"/>
  <c r="AN252" i="17"/>
  <c r="AK252" i="17"/>
  <c r="AG252" i="17"/>
  <c r="AF252" i="17"/>
  <c r="AE252" i="17"/>
  <c r="Z252" i="17"/>
  <c r="W252" i="17"/>
  <c r="S252" i="17"/>
  <c r="R252" i="17"/>
  <c r="Q252" i="17"/>
  <c r="K252" i="17"/>
  <c r="J252" i="17"/>
  <c r="H252" i="17"/>
  <c r="F252" i="17"/>
  <c r="BB251" i="17"/>
  <c r="AY251" i="17"/>
  <c r="AU251" i="17"/>
  <c r="AT251" i="17"/>
  <c r="AS251" i="17"/>
  <c r="AN251" i="17"/>
  <c r="AK251" i="17"/>
  <c r="AG251" i="17"/>
  <c r="AF251" i="17"/>
  <c r="AE251" i="17"/>
  <c r="Z251" i="17"/>
  <c r="W251" i="17"/>
  <c r="S251" i="17"/>
  <c r="R251" i="17"/>
  <c r="Q251" i="17"/>
  <c r="K251" i="17"/>
  <c r="J251" i="17"/>
  <c r="H251" i="17"/>
  <c r="F251" i="17"/>
  <c r="BB250" i="17"/>
  <c r="AY250" i="17"/>
  <c r="AU250" i="17"/>
  <c r="AT250" i="17"/>
  <c r="AS250" i="17"/>
  <c r="AN250" i="17"/>
  <c r="AK250" i="17"/>
  <c r="AG250" i="17"/>
  <c r="AF250" i="17"/>
  <c r="AE250" i="17"/>
  <c r="Z250" i="17"/>
  <c r="W250" i="17"/>
  <c r="S250" i="17"/>
  <c r="R250" i="17"/>
  <c r="Q250" i="17"/>
  <c r="K250" i="17"/>
  <c r="J250" i="17"/>
  <c r="H250" i="17"/>
  <c r="F250" i="17"/>
  <c r="BB249" i="17"/>
  <c r="AY249" i="17"/>
  <c r="AU249" i="17"/>
  <c r="AT249" i="17"/>
  <c r="AS249" i="17"/>
  <c r="AN249" i="17"/>
  <c r="AK249" i="17"/>
  <c r="AG249" i="17"/>
  <c r="AF249" i="17"/>
  <c r="AE249" i="17"/>
  <c r="Z249" i="17"/>
  <c r="W249" i="17"/>
  <c r="S249" i="17"/>
  <c r="R249" i="17"/>
  <c r="Q249" i="17"/>
  <c r="K249" i="17"/>
  <c r="J249" i="17"/>
  <c r="G249" i="17" s="1"/>
  <c r="H249" i="17"/>
  <c r="F249" i="17"/>
  <c r="BB248" i="17"/>
  <c r="AY248" i="17"/>
  <c r="AU248" i="17"/>
  <c r="AT248" i="17"/>
  <c r="AS248" i="17"/>
  <c r="AN248" i="17"/>
  <c r="AK248" i="17"/>
  <c r="AG248" i="17"/>
  <c r="AF248" i="17"/>
  <c r="AE248" i="17"/>
  <c r="Z248" i="17"/>
  <c r="W248" i="17"/>
  <c r="S248" i="17"/>
  <c r="R248" i="17"/>
  <c r="Q248" i="17"/>
  <c r="K248" i="17"/>
  <c r="J248" i="17"/>
  <c r="G248" i="17" s="1"/>
  <c r="H248" i="17"/>
  <c r="F248" i="17"/>
  <c r="BB247" i="17"/>
  <c r="AY247" i="17"/>
  <c r="AU247" i="17"/>
  <c r="AT247" i="17"/>
  <c r="AS247" i="17"/>
  <c r="AN247" i="17"/>
  <c r="AK247" i="17"/>
  <c r="AG247" i="17"/>
  <c r="AF247" i="17"/>
  <c r="AE247" i="17"/>
  <c r="Z247" i="17"/>
  <c r="W247" i="17"/>
  <c r="S247" i="17"/>
  <c r="R247" i="17"/>
  <c r="Q247" i="17"/>
  <c r="K247" i="17"/>
  <c r="J247" i="17"/>
  <c r="G247" i="17" s="1"/>
  <c r="H247" i="17"/>
  <c r="F247" i="17"/>
  <c r="BB246" i="17"/>
  <c r="AY246" i="17"/>
  <c r="AU246" i="17"/>
  <c r="AT246" i="17"/>
  <c r="AS246" i="17"/>
  <c r="AN246" i="17"/>
  <c r="AK246" i="17"/>
  <c r="AG246" i="17"/>
  <c r="AF246" i="17"/>
  <c r="AE246" i="17"/>
  <c r="Z246" i="17"/>
  <c r="W246" i="17"/>
  <c r="S246" i="17"/>
  <c r="R246" i="17"/>
  <c r="Q246" i="17"/>
  <c r="K246" i="17"/>
  <c r="J246" i="17"/>
  <c r="G246" i="17" s="1"/>
  <c r="H246" i="17"/>
  <c r="F246" i="17"/>
  <c r="BB245" i="17"/>
  <c r="AY245" i="17"/>
  <c r="AU245" i="17"/>
  <c r="AT245" i="17"/>
  <c r="AS245" i="17"/>
  <c r="AN245" i="17"/>
  <c r="AK245" i="17"/>
  <c r="AG245" i="17"/>
  <c r="AF245" i="17"/>
  <c r="AE245" i="17"/>
  <c r="Z245" i="17"/>
  <c r="W245" i="17"/>
  <c r="S245" i="17"/>
  <c r="R245" i="17"/>
  <c r="Q245" i="17"/>
  <c r="K245" i="17"/>
  <c r="J245" i="17"/>
  <c r="G245" i="17" s="1"/>
  <c r="H245" i="17"/>
  <c r="F245" i="17"/>
  <c r="BB244" i="17"/>
  <c r="AY244" i="17"/>
  <c r="AU244" i="17"/>
  <c r="AT244" i="17"/>
  <c r="AS244" i="17"/>
  <c r="AN244" i="17"/>
  <c r="AK244" i="17"/>
  <c r="AG244" i="17"/>
  <c r="AF244" i="17"/>
  <c r="AE244" i="17"/>
  <c r="Z244" i="17"/>
  <c r="W244" i="17"/>
  <c r="S244" i="17"/>
  <c r="R244" i="17"/>
  <c r="Q244" i="17"/>
  <c r="K244" i="17"/>
  <c r="J244" i="17"/>
  <c r="G244" i="17" s="1"/>
  <c r="H244" i="17"/>
  <c r="F244" i="17"/>
  <c r="BB243" i="17"/>
  <c r="AY243" i="17"/>
  <c r="AU243" i="17"/>
  <c r="AT243" i="17"/>
  <c r="AS243" i="17"/>
  <c r="AN243" i="17"/>
  <c r="AK243" i="17"/>
  <c r="AG243" i="17"/>
  <c r="AF243" i="17"/>
  <c r="AE243" i="17"/>
  <c r="Z243" i="17"/>
  <c r="W243" i="17"/>
  <c r="S243" i="17"/>
  <c r="R243" i="17"/>
  <c r="Q243" i="17"/>
  <c r="K243" i="17"/>
  <c r="J243" i="17"/>
  <c r="H243" i="17"/>
  <c r="F243" i="17"/>
  <c r="BB242" i="17"/>
  <c r="AY242" i="17"/>
  <c r="AU242" i="17"/>
  <c r="AT242" i="17"/>
  <c r="AS242" i="17"/>
  <c r="AN242" i="17"/>
  <c r="AK242" i="17"/>
  <c r="AG242" i="17"/>
  <c r="AF242" i="17"/>
  <c r="AE242" i="17"/>
  <c r="Z242" i="17"/>
  <c r="W242" i="17"/>
  <c r="S242" i="17"/>
  <c r="R242" i="17"/>
  <c r="Q242" i="17"/>
  <c r="K242" i="17"/>
  <c r="J242" i="17"/>
  <c r="G242" i="17" s="1"/>
  <c r="H242" i="17"/>
  <c r="F242" i="17"/>
  <c r="BB241" i="17"/>
  <c r="AY241" i="17"/>
  <c r="AU241" i="17"/>
  <c r="AT241" i="17"/>
  <c r="AS241" i="17"/>
  <c r="AN241" i="17"/>
  <c r="AK241" i="17"/>
  <c r="AG241" i="17"/>
  <c r="AF241" i="17"/>
  <c r="AE241" i="17"/>
  <c r="Z241" i="17"/>
  <c r="W241" i="17"/>
  <c r="S241" i="17"/>
  <c r="R241" i="17"/>
  <c r="Q241" i="17"/>
  <c r="K241" i="17"/>
  <c r="J241" i="17"/>
  <c r="H241" i="17"/>
  <c r="F241" i="17"/>
  <c r="BB240" i="17"/>
  <c r="AY240" i="17"/>
  <c r="AU240" i="17"/>
  <c r="AT240" i="17"/>
  <c r="AS240" i="17"/>
  <c r="AN240" i="17"/>
  <c r="AK240" i="17"/>
  <c r="AG240" i="17"/>
  <c r="AF240" i="17"/>
  <c r="AE240" i="17"/>
  <c r="Z240" i="17"/>
  <c r="W240" i="17"/>
  <c r="S240" i="17"/>
  <c r="R240" i="17"/>
  <c r="Q240" i="17"/>
  <c r="K240" i="17"/>
  <c r="J240" i="17"/>
  <c r="G240" i="17" s="1"/>
  <c r="H240" i="17"/>
  <c r="F240" i="17"/>
  <c r="BB239" i="17"/>
  <c r="AY239" i="17"/>
  <c r="AU239" i="17"/>
  <c r="AT239" i="17"/>
  <c r="AS239" i="17"/>
  <c r="AN239" i="17"/>
  <c r="AK239" i="17"/>
  <c r="AG239" i="17"/>
  <c r="AF239" i="17"/>
  <c r="AE239" i="17"/>
  <c r="Z239" i="17"/>
  <c r="W239" i="17"/>
  <c r="S239" i="17"/>
  <c r="R239" i="17"/>
  <c r="Q239" i="17"/>
  <c r="K239" i="17"/>
  <c r="J239" i="17"/>
  <c r="H239" i="17"/>
  <c r="F239" i="17"/>
  <c r="BB238" i="17"/>
  <c r="AY238" i="17"/>
  <c r="AU238" i="17"/>
  <c r="AT238" i="17"/>
  <c r="AS238" i="17"/>
  <c r="AN238" i="17"/>
  <c r="AK238" i="17"/>
  <c r="AG238" i="17"/>
  <c r="AF238" i="17"/>
  <c r="AE238" i="17"/>
  <c r="Z238" i="17"/>
  <c r="W238" i="17"/>
  <c r="S238" i="17"/>
  <c r="R238" i="17"/>
  <c r="Q238" i="17"/>
  <c r="K238" i="17"/>
  <c r="J238" i="17"/>
  <c r="H238" i="17"/>
  <c r="F238" i="17"/>
  <c r="BB237" i="17"/>
  <c r="AY237" i="17"/>
  <c r="AU237" i="17"/>
  <c r="AT237" i="17"/>
  <c r="AS237" i="17"/>
  <c r="AN237" i="17"/>
  <c r="AK237" i="17"/>
  <c r="AG237" i="17"/>
  <c r="AF237" i="17"/>
  <c r="AE237" i="17"/>
  <c r="Z237" i="17"/>
  <c r="W237" i="17"/>
  <c r="S237" i="17"/>
  <c r="R237" i="17"/>
  <c r="Q237" i="17"/>
  <c r="K237" i="17"/>
  <c r="J237" i="17"/>
  <c r="G237" i="17" s="1"/>
  <c r="H237" i="17"/>
  <c r="F237" i="17"/>
  <c r="BB236" i="17"/>
  <c r="AY236" i="17"/>
  <c r="AU236" i="17"/>
  <c r="AT236" i="17"/>
  <c r="AS236" i="17"/>
  <c r="AN236" i="17"/>
  <c r="AK236" i="17"/>
  <c r="AG236" i="17"/>
  <c r="AF236" i="17"/>
  <c r="AE236" i="17"/>
  <c r="Z236" i="17"/>
  <c r="W236" i="17"/>
  <c r="S236" i="17"/>
  <c r="R236" i="17"/>
  <c r="Q236" i="17"/>
  <c r="K236" i="17"/>
  <c r="J236" i="17"/>
  <c r="H236" i="17"/>
  <c r="F236" i="17"/>
  <c r="BB235" i="17"/>
  <c r="AY235" i="17"/>
  <c r="AU235" i="17"/>
  <c r="AT235" i="17"/>
  <c r="AS235" i="17"/>
  <c r="AN235" i="17"/>
  <c r="AK235" i="17"/>
  <c r="AG235" i="17"/>
  <c r="AF235" i="17"/>
  <c r="AE235" i="17"/>
  <c r="Z235" i="17"/>
  <c r="W235" i="17"/>
  <c r="S235" i="17"/>
  <c r="R235" i="17"/>
  <c r="Q235" i="17"/>
  <c r="K235" i="17"/>
  <c r="J235" i="17"/>
  <c r="H235" i="17"/>
  <c r="F235" i="17"/>
  <c r="BB234" i="17"/>
  <c r="AY234" i="17"/>
  <c r="AU234" i="17"/>
  <c r="AT234" i="17"/>
  <c r="AS234" i="17"/>
  <c r="AN234" i="17"/>
  <c r="AK234" i="17"/>
  <c r="AG234" i="17"/>
  <c r="AF234" i="17"/>
  <c r="AE234" i="17"/>
  <c r="Z234" i="17"/>
  <c r="W234" i="17"/>
  <c r="S234" i="17"/>
  <c r="R234" i="17"/>
  <c r="Q234" i="17"/>
  <c r="K234" i="17"/>
  <c r="J234" i="17"/>
  <c r="H234" i="17"/>
  <c r="F234" i="17"/>
  <c r="BB233" i="17"/>
  <c r="AY233" i="17"/>
  <c r="AU233" i="17"/>
  <c r="AT233" i="17"/>
  <c r="AS233" i="17"/>
  <c r="AN233" i="17"/>
  <c r="AK233" i="17"/>
  <c r="AG233" i="17"/>
  <c r="AF233" i="17"/>
  <c r="AE233" i="17"/>
  <c r="Z233" i="17"/>
  <c r="W233" i="17"/>
  <c r="S233" i="17"/>
  <c r="R233" i="17"/>
  <c r="Q233" i="17"/>
  <c r="K233" i="17"/>
  <c r="J233" i="17"/>
  <c r="H233" i="17"/>
  <c r="F233" i="17"/>
  <c r="BB232" i="17"/>
  <c r="AY232" i="17"/>
  <c r="AU232" i="17"/>
  <c r="AT232" i="17"/>
  <c r="AS232" i="17"/>
  <c r="AN232" i="17"/>
  <c r="AK232" i="17"/>
  <c r="AG232" i="17"/>
  <c r="AF232" i="17"/>
  <c r="AE232" i="17"/>
  <c r="Z232" i="17"/>
  <c r="W232" i="17"/>
  <c r="S232" i="17"/>
  <c r="R232" i="17"/>
  <c r="Q232" i="17"/>
  <c r="K232" i="17"/>
  <c r="J232" i="17"/>
  <c r="H232" i="17"/>
  <c r="F232" i="17"/>
  <c r="BB231" i="17"/>
  <c r="AY231" i="17"/>
  <c r="AU231" i="17"/>
  <c r="AT231" i="17"/>
  <c r="AS231" i="17"/>
  <c r="AN231" i="17"/>
  <c r="AK231" i="17"/>
  <c r="AG231" i="17"/>
  <c r="AF231" i="17"/>
  <c r="AE231" i="17"/>
  <c r="Z231" i="17"/>
  <c r="W231" i="17"/>
  <c r="S231" i="17"/>
  <c r="R231" i="17"/>
  <c r="Q231" i="17"/>
  <c r="K231" i="17"/>
  <c r="J231" i="17"/>
  <c r="H231" i="17"/>
  <c r="F231" i="17"/>
  <c r="BB230" i="17"/>
  <c r="AY230" i="17"/>
  <c r="AU230" i="17"/>
  <c r="AT230" i="17"/>
  <c r="AS230" i="17"/>
  <c r="AN230" i="17"/>
  <c r="AK230" i="17"/>
  <c r="AG230" i="17"/>
  <c r="AF230" i="17"/>
  <c r="AE230" i="17"/>
  <c r="Z230" i="17"/>
  <c r="W230" i="17"/>
  <c r="S230" i="17"/>
  <c r="R230" i="17"/>
  <c r="Q230" i="17"/>
  <c r="K230" i="17"/>
  <c r="J230" i="17"/>
  <c r="G230" i="17" s="1"/>
  <c r="H230" i="17"/>
  <c r="F230" i="17"/>
  <c r="BB229" i="17"/>
  <c r="AY229" i="17"/>
  <c r="AU229" i="17"/>
  <c r="AT229" i="17"/>
  <c r="AS229" i="17"/>
  <c r="AN229" i="17"/>
  <c r="AK229" i="17"/>
  <c r="AG229" i="17"/>
  <c r="AF229" i="17"/>
  <c r="AE229" i="17"/>
  <c r="Z229" i="17"/>
  <c r="W229" i="17"/>
  <c r="S229" i="17"/>
  <c r="R229" i="17"/>
  <c r="Q229" i="17"/>
  <c r="K229" i="17"/>
  <c r="J229" i="17"/>
  <c r="G229" i="17" s="1"/>
  <c r="H229" i="17"/>
  <c r="F229" i="17"/>
  <c r="BB228" i="17"/>
  <c r="AY228" i="17"/>
  <c r="AU228" i="17"/>
  <c r="AT228" i="17"/>
  <c r="AS228" i="17"/>
  <c r="AN228" i="17"/>
  <c r="AK228" i="17"/>
  <c r="AG228" i="17"/>
  <c r="AF228" i="17"/>
  <c r="AE228" i="17"/>
  <c r="Z228" i="17"/>
  <c r="W228" i="17"/>
  <c r="S228" i="17"/>
  <c r="R228" i="17"/>
  <c r="Q228" i="17"/>
  <c r="K228" i="17"/>
  <c r="J228" i="17"/>
  <c r="H228" i="17"/>
  <c r="F228" i="17"/>
  <c r="BB227" i="17"/>
  <c r="AY227" i="17"/>
  <c r="AU227" i="17"/>
  <c r="AT227" i="17"/>
  <c r="AS227" i="17"/>
  <c r="AN227" i="17"/>
  <c r="AK227" i="17"/>
  <c r="AG227" i="17"/>
  <c r="AF227" i="17"/>
  <c r="AE227" i="17"/>
  <c r="Z227" i="17"/>
  <c r="W227" i="17"/>
  <c r="S227" i="17"/>
  <c r="R227" i="17"/>
  <c r="Q227" i="17"/>
  <c r="K227" i="17"/>
  <c r="J227" i="17"/>
  <c r="H227" i="17"/>
  <c r="F227" i="17"/>
  <c r="BB226" i="17"/>
  <c r="AY226" i="17"/>
  <c r="AU226" i="17"/>
  <c r="AT226" i="17"/>
  <c r="AS226" i="17"/>
  <c r="AN226" i="17"/>
  <c r="AK226" i="17"/>
  <c r="AG226" i="17"/>
  <c r="AF226" i="17"/>
  <c r="AE226" i="17"/>
  <c r="Z226" i="17"/>
  <c r="W226" i="17"/>
  <c r="S226" i="17"/>
  <c r="R226" i="17"/>
  <c r="Q226" i="17"/>
  <c r="K226" i="17"/>
  <c r="J226" i="17"/>
  <c r="H226" i="17"/>
  <c r="F226" i="17"/>
  <c r="BB225" i="17"/>
  <c r="AY225" i="17"/>
  <c r="AU225" i="17"/>
  <c r="AT225" i="17"/>
  <c r="AS225" i="17"/>
  <c r="AN225" i="17"/>
  <c r="AK225" i="17"/>
  <c r="AG225" i="17"/>
  <c r="AF225" i="17"/>
  <c r="AE225" i="17"/>
  <c r="Z225" i="17"/>
  <c r="W225" i="17"/>
  <c r="S225" i="17"/>
  <c r="R225" i="17"/>
  <c r="Q225" i="17"/>
  <c r="K225" i="17"/>
  <c r="J225" i="17"/>
  <c r="G225" i="17" s="1"/>
  <c r="H225" i="17"/>
  <c r="F225" i="17"/>
  <c r="BB224" i="17"/>
  <c r="AY224" i="17"/>
  <c r="AU224" i="17"/>
  <c r="AT224" i="17"/>
  <c r="AS224" i="17"/>
  <c r="AN224" i="17"/>
  <c r="AK224" i="17"/>
  <c r="AG224" i="17"/>
  <c r="AF224" i="17"/>
  <c r="AE224" i="17"/>
  <c r="Z224" i="17"/>
  <c r="W224" i="17"/>
  <c r="S224" i="17"/>
  <c r="R224" i="17"/>
  <c r="Q224" i="17"/>
  <c r="K224" i="17"/>
  <c r="J224" i="17"/>
  <c r="G224" i="17" s="1"/>
  <c r="H224" i="17"/>
  <c r="F224" i="17"/>
  <c r="BB223" i="17"/>
  <c r="AY223" i="17"/>
  <c r="AU223" i="17"/>
  <c r="AT223" i="17"/>
  <c r="AS223" i="17"/>
  <c r="AN223" i="17"/>
  <c r="AK223" i="17"/>
  <c r="AG223" i="17"/>
  <c r="AF223" i="17"/>
  <c r="AE223" i="17"/>
  <c r="Z223" i="17"/>
  <c r="W223" i="17"/>
  <c r="S223" i="17"/>
  <c r="R223" i="17"/>
  <c r="Q223" i="17"/>
  <c r="K223" i="17"/>
  <c r="J223" i="17"/>
  <c r="H223" i="17"/>
  <c r="F223" i="17"/>
  <c r="BB222" i="17"/>
  <c r="AY222" i="17"/>
  <c r="AU222" i="17"/>
  <c r="AT222" i="17"/>
  <c r="AS222" i="17"/>
  <c r="AN222" i="17"/>
  <c r="AK222" i="17"/>
  <c r="AG222" i="17"/>
  <c r="AF222" i="17"/>
  <c r="AE222" i="17"/>
  <c r="Z222" i="17"/>
  <c r="W222" i="17"/>
  <c r="S222" i="17"/>
  <c r="R222" i="17"/>
  <c r="Q222" i="17"/>
  <c r="K222" i="17"/>
  <c r="J222" i="17"/>
  <c r="G222" i="17" s="1"/>
  <c r="H222" i="17"/>
  <c r="F222" i="17"/>
  <c r="BB221" i="17"/>
  <c r="AY221" i="17"/>
  <c r="AU221" i="17"/>
  <c r="AT221" i="17"/>
  <c r="AS221" i="17"/>
  <c r="AN221" i="17"/>
  <c r="AK221" i="17"/>
  <c r="AG221" i="17"/>
  <c r="AF221" i="17"/>
  <c r="AE221" i="17"/>
  <c r="Z221" i="17"/>
  <c r="W221" i="17"/>
  <c r="S221" i="17"/>
  <c r="R221" i="17"/>
  <c r="Q221" i="17"/>
  <c r="K221" i="17"/>
  <c r="J221" i="17"/>
  <c r="G221" i="17" s="1"/>
  <c r="H221" i="17"/>
  <c r="F221" i="17"/>
  <c r="BB220" i="17"/>
  <c r="AY220" i="17"/>
  <c r="AU220" i="17"/>
  <c r="AT220" i="17"/>
  <c r="AS220" i="17"/>
  <c r="AN220" i="17"/>
  <c r="AK220" i="17"/>
  <c r="AG220" i="17"/>
  <c r="AF220" i="17"/>
  <c r="AE220" i="17"/>
  <c r="Z220" i="17"/>
  <c r="W220" i="17"/>
  <c r="S220" i="17"/>
  <c r="R220" i="17"/>
  <c r="Q220" i="17"/>
  <c r="K220" i="17"/>
  <c r="J220" i="17"/>
  <c r="H220" i="17"/>
  <c r="F220" i="17"/>
  <c r="BB219" i="17"/>
  <c r="AY219" i="17"/>
  <c r="AU219" i="17"/>
  <c r="AT219" i="17"/>
  <c r="AS219" i="17"/>
  <c r="AN219" i="17"/>
  <c r="AK219" i="17"/>
  <c r="AG219" i="17"/>
  <c r="AF219" i="17"/>
  <c r="AE219" i="17"/>
  <c r="Z219" i="17"/>
  <c r="W219" i="17"/>
  <c r="S219" i="17"/>
  <c r="R219" i="17"/>
  <c r="Q219" i="17"/>
  <c r="K219" i="17"/>
  <c r="J219" i="17"/>
  <c r="H219" i="17"/>
  <c r="F219" i="17"/>
  <c r="BB218" i="17"/>
  <c r="AY218" i="17"/>
  <c r="AU218" i="17"/>
  <c r="AT218" i="17"/>
  <c r="AS218" i="17"/>
  <c r="AN218" i="17"/>
  <c r="AK218" i="17"/>
  <c r="AG218" i="17"/>
  <c r="AF218" i="17"/>
  <c r="AE218" i="17"/>
  <c r="Z218" i="17"/>
  <c r="W218" i="17"/>
  <c r="S218" i="17"/>
  <c r="R218" i="17"/>
  <c r="Q218" i="17"/>
  <c r="K218" i="17"/>
  <c r="J218" i="17"/>
  <c r="H218" i="17"/>
  <c r="F218" i="17"/>
  <c r="BB217" i="17"/>
  <c r="AY217" i="17"/>
  <c r="AU217" i="17"/>
  <c r="AT217" i="17"/>
  <c r="AS217" i="17"/>
  <c r="AN217" i="17"/>
  <c r="AK217" i="17"/>
  <c r="AG217" i="17"/>
  <c r="AF217" i="17"/>
  <c r="AE217" i="17"/>
  <c r="Z217" i="17"/>
  <c r="W217" i="17"/>
  <c r="S217" i="17"/>
  <c r="R217" i="17"/>
  <c r="Q217" i="17"/>
  <c r="K217" i="17"/>
  <c r="J217" i="17"/>
  <c r="G217" i="17" s="1"/>
  <c r="H217" i="17"/>
  <c r="F217" i="17"/>
  <c r="BB216" i="17"/>
  <c r="AY216" i="17"/>
  <c r="AU216" i="17"/>
  <c r="AT216" i="17"/>
  <c r="AS216" i="17"/>
  <c r="AN216" i="17"/>
  <c r="AK216" i="17"/>
  <c r="AG216" i="17"/>
  <c r="AF216" i="17"/>
  <c r="AE216" i="17"/>
  <c r="Z216" i="17"/>
  <c r="W216" i="17"/>
  <c r="S216" i="17"/>
  <c r="R216" i="17"/>
  <c r="Q216" i="17"/>
  <c r="K216" i="17"/>
  <c r="J216" i="17"/>
  <c r="G216" i="17" s="1"/>
  <c r="H216" i="17"/>
  <c r="F216" i="17"/>
  <c r="BB215" i="17"/>
  <c r="AY215" i="17"/>
  <c r="AU215" i="17"/>
  <c r="AT215" i="17"/>
  <c r="AS215" i="17"/>
  <c r="AN215" i="17"/>
  <c r="AK215" i="17"/>
  <c r="AG215" i="17"/>
  <c r="AF215" i="17"/>
  <c r="AE215" i="17"/>
  <c r="Z215" i="17"/>
  <c r="W215" i="17"/>
  <c r="S215" i="17"/>
  <c r="R215" i="17"/>
  <c r="Q215" i="17"/>
  <c r="K215" i="17"/>
  <c r="J215" i="17"/>
  <c r="H215" i="17"/>
  <c r="F215" i="17"/>
  <c r="BB214" i="17"/>
  <c r="AY214" i="17"/>
  <c r="AU214" i="17"/>
  <c r="AT214" i="17"/>
  <c r="AS214" i="17"/>
  <c r="AN214" i="17"/>
  <c r="AK214" i="17"/>
  <c r="AG214" i="17"/>
  <c r="AF214" i="17"/>
  <c r="AE214" i="17"/>
  <c r="Z214" i="17"/>
  <c r="W214" i="17"/>
  <c r="S214" i="17"/>
  <c r="R214" i="17"/>
  <c r="Q214" i="17"/>
  <c r="K214" i="17"/>
  <c r="J214" i="17"/>
  <c r="H214" i="17"/>
  <c r="F214" i="17"/>
  <c r="BB213" i="17"/>
  <c r="AY213" i="17"/>
  <c r="AU213" i="17"/>
  <c r="AT213" i="17"/>
  <c r="AS213" i="17"/>
  <c r="AN213" i="17"/>
  <c r="AK213" i="17"/>
  <c r="AG213" i="17"/>
  <c r="AF213" i="17"/>
  <c r="AE213" i="17"/>
  <c r="Z213" i="17"/>
  <c r="W213" i="17"/>
  <c r="S213" i="17"/>
  <c r="R213" i="17"/>
  <c r="Q213" i="17"/>
  <c r="K213" i="17"/>
  <c r="J213" i="17"/>
  <c r="G213" i="17" s="1"/>
  <c r="H213" i="17"/>
  <c r="F213" i="17"/>
  <c r="BB212" i="17"/>
  <c r="AY212" i="17"/>
  <c r="AU212" i="17"/>
  <c r="AT212" i="17"/>
  <c r="AS212" i="17"/>
  <c r="AN212" i="17"/>
  <c r="AK212" i="17"/>
  <c r="AG212" i="17"/>
  <c r="AF212" i="17"/>
  <c r="AE212" i="17"/>
  <c r="Z212" i="17"/>
  <c r="W212" i="17"/>
  <c r="S212" i="17"/>
  <c r="R212" i="17"/>
  <c r="Q212" i="17"/>
  <c r="K212" i="17"/>
  <c r="J212" i="17"/>
  <c r="G212" i="17" s="1"/>
  <c r="H212" i="17"/>
  <c r="F212" i="17"/>
  <c r="BB211" i="17"/>
  <c r="AY211" i="17"/>
  <c r="AU211" i="17"/>
  <c r="AT211" i="17"/>
  <c r="AS211" i="17"/>
  <c r="AN211" i="17"/>
  <c r="AK211" i="17"/>
  <c r="AG211" i="17"/>
  <c r="AF211" i="17"/>
  <c r="AE211" i="17"/>
  <c r="Z211" i="17"/>
  <c r="W211" i="17"/>
  <c r="S211" i="17"/>
  <c r="R211" i="17"/>
  <c r="Q211" i="17"/>
  <c r="K211" i="17"/>
  <c r="J211" i="17"/>
  <c r="H211" i="17"/>
  <c r="F211" i="17"/>
  <c r="BB210" i="17"/>
  <c r="AY210" i="17"/>
  <c r="AU210" i="17"/>
  <c r="AT210" i="17"/>
  <c r="AS210" i="17"/>
  <c r="AN210" i="17"/>
  <c r="AK210" i="17"/>
  <c r="AG210" i="17"/>
  <c r="AF210" i="17"/>
  <c r="AE210" i="17"/>
  <c r="Z210" i="17"/>
  <c r="W210" i="17"/>
  <c r="S210" i="17"/>
  <c r="R210" i="17"/>
  <c r="Q210" i="17"/>
  <c r="K210" i="17"/>
  <c r="J210" i="17"/>
  <c r="G210" i="17" s="1"/>
  <c r="H210" i="17"/>
  <c r="F210" i="17"/>
  <c r="BB209" i="17"/>
  <c r="AY209" i="17"/>
  <c r="AU209" i="17"/>
  <c r="AT209" i="17"/>
  <c r="AS209" i="17"/>
  <c r="AN209" i="17"/>
  <c r="AK209" i="17"/>
  <c r="AG209" i="17"/>
  <c r="AF209" i="17"/>
  <c r="AE209" i="17"/>
  <c r="Z209" i="17"/>
  <c r="W209" i="17"/>
  <c r="S209" i="17"/>
  <c r="R209" i="17"/>
  <c r="Q209" i="17"/>
  <c r="K209" i="17"/>
  <c r="J209" i="17"/>
  <c r="H209" i="17"/>
  <c r="F209" i="17"/>
  <c r="BB208" i="17"/>
  <c r="AY208" i="17"/>
  <c r="AU208" i="17"/>
  <c r="AT208" i="17"/>
  <c r="AS208" i="17"/>
  <c r="AN208" i="17"/>
  <c r="AK208" i="17"/>
  <c r="AG208" i="17"/>
  <c r="AF208" i="17"/>
  <c r="AE208" i="17"/>
  <c r="Z208" i="17"/>
  <c r="W208" i="17"/>
  <c r="S208" i="17"/>
  <c r="R208" i="17"/>
  <c r="Q208" i="17"/>
  <c r="K208" i="17"/>
  <c r="J208" i="17"/>
  <c r="G208" i="17" s="1"/>
  <c r="H208" i="17"/>
  <c r="F208" i="17"/>
  <c r="BB207" i="17"/>
  <c r="AY207" i="17"/>
  <c r="AU207" i="17"/>
  <c r="AT207" i="17"/>
  <c r="AS207" i="17"/>
  <c r="AN207" i="17"/>
  <c r="AK207" i="17"/>
  <c r="AG207" i="17"/>
  <c r="AF207" i="17"/>
  <c r="AE207" i="17"/>
  <c r="Z207" i="17"/>
  <c r="W207" i="17"/>
  <c r="S207" i="17"/>
  <c r="R207" i="17"/>
  <c r="Q207" i="17"/>
  <c r="K207" i="17"/>
  <c r="J207" i="17"/>
  <c r="H207" i="17"/>
  <c r="F207" i="17"/>
  <c r="BB206" i="17"/>
  <c r="AY206" i="17"/>
  <c r="AU206" i="17"/>
  <c r="AT206" i="17"/>
  <c r="AS206" i="17"/>
  <c r="AN206" i="17"/>
  <c r="AK206" i="17"/>
  <c r="AG206" i="17"/>
  <c r="AF206" i="17"/>
  <c r="AE206" i="17"/>
  <c r="Z206" i="17"/>
  <c r="W206" i="17"/>
  <c r="S206" i="17"/>
  <c r="R206" i="17"/>
  <c r="Q206" i="17"/>
  <c r="K206" i="17"/>
  <c r="J206" i="17"/>
  <c r="H206" i="17"/>
  <c r="F206" i="17"/>
  <c r="BB205" i="17"/>
  <c r="AY205" i="17"/>
  <c r="AU205" i="17"/>
  <c r="AT205" i="17"/>
  <c r="AS205" i="17"/>
  <c r="AN205" i="17"/>
  <c r="AK205" i="17"/>
  <c r="AG205" i="17"/>
  <c r="AF205" i="17"/>
  <c r="AE205" i="17"/>
  <c r="Z205" i="17"/>
  <c r="W205" i="17"/>
  <c r="S205" i="17"/>
  <c r="R205" i="17"/>
  <c r="Q205" i="17"/>
  <c r="K205" i="17"/>
  <c r="J205" i="17"/>
  <c r="H205" i="17"/>
  <c r="F205" i="17"/>
  <c r="BB204" i="17"/>
  <c r="AY204" i="17"/>
  <c r="AU204" i="17"/>
  <c r="AT204" i="17"/>
  <c r="AS204" i="17"/>
  <c r="AN204" i="17"/>
  <c r="AK204" i="17"/>
  <c r="AG204" i="17"/>
  <c r="AF204" i="17"/>
  <c r="AE204" i="17"/>
  <c r="Z204" i="17"/>
  <c r="W204" i="17"/>
  <c r="S204" i="17"/>
  <c r="R204" i="17"/>
  <c r="Q204" i="17"/>
  <c r="K204" i="17"/>
  <c r="J204" i="17"/>
  <c r="H204" i="17"/>
  <c r="F204" i="17"/>
  <c r="BB203" i="17"/>
  <c r="AY203" i="17"/>
  <c r="AU203" i="17"/>
  <c r="AT203" i="17"/>
  <c r="AS203" i="17"/>
  <c r="AN203" i="17"/>
  <c r="AK203" i="17"/>
  <c r="AG203" i="17"/>
  <c r="AF203" i="17"/>
  <c r="AE203" i="17"/>
  <c r="Z203" i="17"/>
  <c r="W203" i="17"/>
  <c r="S203" i="17"/>
  <c r="R203" i="17"/>
  <c r="Q203" i="17"/>
  <c r="K203" i="17"/>
  <c r="J203" i="17"/>
  <c r="H203" i="17"/>
  <c r="F203" i="17"/>
  <c r="BB202" i="17"/>
  <c r="AY202" i="17"/>
  <c r="AU202" i="17"/>
  <c r="AT202" i="17"/>
  <c r="AS202" i="17"/>
  <c r="AN202" i="17"/>
  <c r="AK202" i="17"/>
  <c r="AG202" i="17"/>
  <c r="AF202" i="17"/>
  <c r="AE202" i="17"/>
  <c r="Z202" i="17"/>
  <c r="W202" i="17"/>
  <c r="S202" i="17"/>
  <c r="R202" i="17"/>
  <c r="Q202" i="17"/>
  <c r="K202" i="17"/>
  <c r="J202" i="17"/>
  <c r="H202" i="17"/>
  <c r="F202" i="17"/>
  <c r="BB201" i="17"/>
  <c r="AY201" i="17"/>
  <c r="AU201" i="17"/>
  <c r="AT201" i="17"/>
  <c r="AS201" i="17"/>
  <c r="AN201" i="17"/>
  <c r="AK201" i="17"/>
  <c r="AG201" i="17"/>
  <c r="AF201" i="17"/>
  <c r="AE201" i="17"/>
  <c r="Z201" i="17"/>
  <c r="W201" i="17"/>
  <c r="S201" i="17"/>
  <c r="R201" i="17"/>
  <c r="Q201" i="17"/>
  <c r="K201" i="17"/>
  <c r="J201" i="17"/>
  <c r="G201" i="17" s="1"/>
  <c r="H201" i="17"/>
  <c r="F201" i="17"/>
  <c r="BB200" i="17"/>
  <c r="AY200" i="17"/>
  <c r="AU200" i="17"/>
  <c r="AT200" i="17"/>
  <c r="AS200" i="17"/>
  <c r="AN200" i="17"/>
  <c r="AK200" i="17"/>
  <c r="AG200" i="17"/>
  <c r="AF200" i="17"/>
  <c r="AE200" i="17"/>
  <c r="Z200" i="17"/>
  <c r="W200" i="17"/>
  <c r="S200" i="17"/>
  <c r="R200" i="17"/>
  <c r="Q200" i="17"/>
  <c r="K200" i="17"/>
  <c r="J200" i="17"/>
  <c r="G200" i="17" s="1"/>
  <c r="H200" i="17"/>
  <c r="F200" i="17"/>
  <c r="BB199" i="17"/>
  <c r="AY199" i="17"/>
  <c r="AU199" i="17"/>
  <c r="AT199" i="17"/>
  <c r="AS199" i="17"/>
  <c r="AN199" i="17"/>
  <c r="AK199" i="17"/>
  <c r="AG199" i="17"/>
  <c r="AF199" i="17"/>
  <c r="AE199" i="17"/>
  <c r="Z199" i="17"/>
  <c r="W199" i="17"/>
  <c r="S199" i="17"/>
  <c r="R199" i="17"/>
  <c r="Q199" i="17"/>
  <c r="K199" i="17"/>
  <c r="J199" i="17"/>
  <c r="G199" i="17" s="1"/>
  <c r="H199" i="17"/>
  <c r="F199" i="17"/>
  <c r="BB198" i="17"/>
  <c r="AY198" i="17"/>
  <c r="AU198" i="17"/>
  <c r="AT198" i="17"/>
  <c r="AS198" i="17"/>
  <c r="AN198" i="17"/>
  <c r="AK198" i="17"/>
  <c r="AG198" i="17"/>
  <c r="AF198" i="17"/>
  <c r="AE198" i="17"/>
  <c r="Z198" i="17"/>
  <c r="W198" i="17"/>
  <c r="S198" i="17"/>
  <c r="R198" i="17"/>
  <c r="Q198" i="17"/>
  <c r="K198" i="17"/>
  <c r="J198" i="17"/>
  <c r="G198" i="17" s="1"/>
  <c r="H198" i="17"/>
  <c r="F198" i="17"/>
  <c r="BB197" i="17"/>
  <c r="AY197" i="17"/>
  <c r="AU197" i="17"/>
  <c r="AT197" i="17"/>
  <c r="AS197" i="17"/>
  <c r="AN197" i="17"/>
  <c r="AK197" i="17"/>
  <c r="AG197" i="17"/>
  <c r="AF197" i="17"/>
  <c r="AE197" i="17"/>
  <c r="Z197" i="17"/>
  <c r="W197" i="17"/>
  <c r="S197" i="17"/>
  <c r="R197" i="17"/>
  <c r="Q197" i="17"/>
  <c r="K197" i="17"/>
  <c r="J197" i="17"/>
  <c r="H197" i="17"/>
  <c r="F197" i="17"/>
  <c r="BB196" i="17"/>
  <c r="AY196" i="17"/>
  <c r="AU196" i="17"/>
  <c r="AT196" i="17"/>
  <c r="AS196" i="17"/>
  <c r="AN196" i="17"/>
  <c r="AK196" i="17"/>
  <c r="AG196" i="17"/>
  <c r="AF196" i="17"/>
  <c r="AE196" i="17"/>
  <c r="Z196" i="17"/>
  <c r="W196" i="17"/>
  <c r="S196" i="17"/>
  <c r="R196" i="17"/>
  <c r="Q196" i="17"/>
  <c r="K196" i="17"/>
  <c r="J196" i="17"/>
  <c r="H196" i="17"/>
  <c r="F196" i="17"/>
  <c r="BB195" i="17"/>
  <c r="AY195" i="17"/>
  <c r="AU195" i="17"/>
  <c r="AT195" i="17"/>
  <c r="AS195" i="17"/>
  <c r="AN195" i="17"/>
  <c r="AK195" i="17"/>
  <c r="AG195" i="17"/>
  <c r="AF195" i="17"/>
  <c r="AE195" i="17"/>
  <c r="Z195" i="17"/>
  <c r="W195" i="17"/>
  <c r="S195" i="17"/>
  <c r="R195" i="17"/>
  <c r="Q195" i="17"/>
  <c r="K195" i="17"/>
  <c r="J195" i="17"/>
  <c r="H195" i="17"/>
  <c r="F195" i="17"/>
  <c r="BB194" i="17"/>
  <c r="AY194" i="17"/>
  <c r="AU194" i="17"/>
  <c r="AT194" i="17"/>
  <c r="AS194" i="17"/>
  <c r="AN194" i="17"/>
  <c r="AK194" i="17"/>
  <c r="AG194" i="17"/>
  <c r="AF194" i="17"/>
  <c r="AE194" i="17"/>
  <c r="Z194" i="17"/>
  <c r="W194" i="17"/>
  <c r="S194" i="17"/>
  <c r="R194" i="17"/>
  <c r="Q194" i="17"/>
  <c r="K194" i="17"/>
  <c r="J194" i="17"/>
  <c r="H194" i="17"/>
  <c r="F194" i="17"/>
  <c r="BB193" i="17"/>
  <c r="AY193" i="17"/>
  <c r="AU193" i="17"/>
  <c r="AT193" i="17"/>
  <c r="AS193" i="17"/>
  <c r="AN193" i="17"/>
  <c r="AK193" i="17"/>
  <c r="AG193" i="17"/>
  <c r="AF193" i="17"/>
  <c r="AE193" i="17"/>
  <c r="Z193" i="17"/>
  <c r="W193" i="17"/>
  <c r="S193" i="17"/>
  <c r="R193" i="17"/>
  <c r="Q193" i="17"/>
  <c r="K193" i="17"/>
  <c r="J193" i="17"/>
  <c r="H193" i="17"/>
  <c r="F193" i="17"/>
  <c r="BB192" i="17"/>
  <c r="AY192" i="17"/>
  <c r="AU192" i="17"/>
  <c r="AT192" i="17"/>
  <c r="AS192" i="17"/>
  <c r="AN192" i="17"/>
  <c r="AK192" i="17"/>
  <c r="AG192" i="17"/>
  <c r="AF192" i="17"/>
  <c r="AE192" i="17"/>
  <c r="Z192" i="17"/>
  <c r="W192" i="17"/>
  <c r="S192" i="17"/>
  <c r="R192" i="17"/>
  <c r="Q192" i="17"/>
  <c r="K192" i="17"/>
  <c r="J192" i="17"/>
  <c r="G192" i="17" s="1"/>
  <c r="H192" i="17"/>
  <c r="F192" i="17"/>
  <c r="BB191" i="17"/>
  <c r="AY191" i="17"/>
  <c r="AU191" i="17"/>
  <c r="AT191" i="17"/>
  <c r="AS191" i="17"/>
  <c r="AN191" i="17"/>
  <c r="AK191" i="17"/>
  <c r="AG191" i="17"/>
  <c r="AF191" i="17"/>
  <c r="AE191" i="17"/>
  <c r="Z191" i="17"/>
  <c r="W191" i="17"/>
  <c r="S191" i="17"/>
  <c r="R191" i="17"/>
  <c r="Q191" i="17"/>
  <c r="K191" i="17"/>
  <c r="J191" i="17"/>
  <c r="G191" i="17" s="1"/>
  <c r="H191" i="17"/>
  <c r="F191" i="17"/>
  <c r="BB190" i="17"/>
  <c r="AY190" i="17"/>
  <c r="AU190" i="17"/>
  <c r="AT190" i="17"/>
  <c r="AS190" i="17"/>
  <c r="AN190" i="17"/>
  <c r="AK190" i="17"/>
  <c r="AG190" i="17"/>
  <c r="AF190" i="17"/>
  <c r="AE190" i="17"/>
  <c r="Z190" i="17"/>
  <c r="W190" i="17"/>
  <c r="S190" i="17"/>
  <c r="R190" i="17"/>
  <c r="Q190" i="17"/>
  <c r="K190" i="17"/>
  <c r="J190" i="17"/>
  <c r="H190" i="17"/>
  <c r="F190" i="17"/>
  <c r="BB189" i="17"/>
  <c r="AY189" i="17"/>
  <c r="AU189" i="17"/>
  <c r="AT189" i="17"/>
  <c r="AS189" i="17"/>
  <c r="AN189" i="17"/>
  <c r="AK189" i="17"/>
  <c r="AG189" i="17"/>
  <c r="AF189" i="17"/>
  <c r="AE189" i="17"/>
  <c r="Z189" i="17"/>
  <c r="W189" i="17"/>
  <c r="S189" i="17"/>
  <c r="R189" i="17"/>
  <c r="Q189" i="17"/>
  <c r="K189" i="17"/>
  <c r="J189" i="17"/>
  <c r="H189" i="17"/>
  <c r="F189" i="17"/>
  <c r="BB188" i="17"/>
  <c r="AY188" i="17"/>
  <c r="AU188" i="17"/>
  <c r="AT188" i="17"/>
  <c r="AS188" i="17"/>
  <c r="AN188" i="17"/>
  <c r="AK188" i="17"/>
  <c r="AG188" i="17"/>
  <c r="AF188" i="17"/>
  <c r="AE188" i="17"/>
  <c r="Z188" i="17"/>
  <c r="W188" i="17"/>
  <c r="S188" i="17"/>
  <c r="R188" i="17"/>
  <c r="Q188" i="17"/>
  <c r="K188" i="17"/>
  <c r="J188" i="17"/>
  <c r="G188" i="17" s="1"/>
  <c r="H188" i="17"/>
  <c r="F188" i="17"/>
  <c r="BB187" i="17"/>
  <c r="AY187" i="17"/>
  <c r="AU187" i="17"/>
  <c r="AT187" i="17"/>
  <c r="AS187" i="17"/>
  <c r="AN187" i="17"/>
  <c r="AK187" i="17"/>
  <c r="AG187" i="17"/>
  <c r="AF187" i="17"/>
  <c r="AE187" i="17"/>
  <c r="Z187" i="17"/>
  <c r="W187" i="17"/>
  <c r="S187" i="17"/>
  <c r="R187" i="17"/>
  <c r="Q187" i="17"/>
  <c r="K187" i="17"/>
  <c r="J187" i="17"/>
  <c r="H187" i="17"/>
  <c r="F187" i="17"/>
  <c r="BB186" i="17"/>
  <c r="AY186" i="17"/>
  <c r="AU186" i="17"/>
  <c r="AT186" i="17"/>
  <c r="AS186" i="17"/>
  <c r="AN186" i="17"/>
  <c r="AK186" i="17"/>
  <c r="AG186" i="17"/>
  <c r="AF186" i="17"/>
  <c r="AE186" i="17"/>
  <c r="Z186" i="17"/>
  <c r="W186" i="17"/>
  <c r="S186" i="17"/>
  <c r="R186" i="17"/>
  <c r="Q186" i="17"/>
  <c r="K186" i="17"/>
  <c r="J186" i="17"/>
  <c r="H186" i="17"/>
  <c r="F186" i="17"/>
  <c r="BB185" i="17"/>
  <c r="AY185" i="17"/>
  <c r="AU185" i="17"/>
  <c r="AT185" i="17"/>
  <c r="AS185" i="17"/>
  <c r="AN185" i="17"/>
  <c r="AK185" i="17"/>
  <c r="AG185" i="17"/>
  <c r="AF185" i="17"/>
  <c r="AE185" i="17"/>
  <c r="Z185" i="17"/>
  <c r="W185" i="17"/>
  <c r="S185" i="17"/>
  <c r="R185" i="17"/>
  <c r="Q185" i="17"/>
  <c r="K185" i="17"/>
  <c r="J185" i="17"/>
  <c r="H185" i="17"/>
  <c r="F185" i="17"/>
  <c r="BB184" i="17"/>
  <c r="AY184" i="17"/>
  <c r="AU184" i="17"/>
  <c r="AT184" i="17"/>
  <c r="AS184" i="17"/>
  <c r="AN184" i="17"/>
  <c r="AK184" i="17"/>
  <c r="AG184" i="17"/>
  <c r="AF184" i="17"/>
  <c r="AE184" i="17"/>
  <c r="Z184" i="17"/>
  <c r="W184" i="17"/>
  <c r="S184" i="17"/>
  <c r="R184" i="17"/>
  <c r="Q184" i="17"/>
  <c r="K184" i="17"/>
  <c r="J184" i="17"/>
  <c r="G184" i="17" s="1"/>
  <c r="H184" i="17"/>
  <c r="F184" i="17"/>
  <c r="BB183" i="17"/>
  <c r="AY183" i="17"/>
  <c r="AU183" i="17"/>
  <c r="AT183" i="17"/>
  <c r="AS183" i="17"/>
  <c r="AN183" i="17"/>
  <c r="AK183" i="17"/>
  <c r="AG183" i="17"/>
  <c r="AF183" i="17"/>
  <c r="AE183" i="17"/>
  <c r="Z183" i="17"/>
  <c r="W183" i="17"/>
  <c r="S183" i="17"/>
  <c r="R183" i="17"/>
  <c r="Q183" i="17"/>
  <c r="K183" i="17"/>
  <c r="J183" i="17"/>
  <c r="H183" i="17"/>
  <c r="F183" i="17"/>
  <c r="BB182" i="17"/>
  <c r="AY182" i="17"/>
  <c r="AU182" i="17"/>
  <c r="AT182" i="17"/>
  <c r="AS182" i="17"/>
  <c r="AN182" i="17"/>
  <c r="AK182" i="17"/>
  <c r="AG182" i="17"/>
  <c r="AF182" i="17"/>
  <c r="AE182" i="17"/>
  <c r="Z182" i="17"/>
  <c r="W182" i="17"/>
  <c r="S182" i="17"/>
  <c r="R182" i="17"/>
  <c r="Q182" i="17"/>
  <c r="K182" i="17"/>
  <c r="J182" i="17"/>
  <c r="G182" i="17" s="1"/>
  <c r="H182" i="17"/>
  <c r="F182" i="17"/>
  <c r="BB181" i="17"/>
  <c r="AY181" i="17"/>
  <c r="AU181" i="17"/>
  <c r="AT181" i="17"/>
  <c r="AS181" i="17"/>
  <c r="AN181" i="17"/>
  <c r="AK181" i="17"/>
  <c r="AG181" i="17"/>
  <c r="AF181" i="17"/>
  <c r="AE181" i="17"/>
  <c r="Z181" i="17"/>
  <c r="W181" i="17"/>
  <c r="S181" i="17"/>
  <c r="R181" i="17"/>
  <c r="Q181" i="17"/>
  <c r="K181" i="17"/>
  <c r="J181" i="17"/>
  <c r="H181" i="17"/>
  <c r="F181" i="17"/>
  <c r="BB180" i="17"/>
  <c r="AY180" i="17"/>
  <c r="AU180" i="17"/>
  <c r="AT180" i="17"/>
  <c r="AS180" i="17"/>
  <c r="AN180" i="17"/>
  <c r="AK180" i="17"/>
  <c r="AG180" i="17"/>
  <c r="AF180" i="17"/>
  <c r="AE180" i="17"/>
  <c r="Z180" i="17"/>
  <c r="W180" i="17"/>
  <c r="S180" i="17"/>
  <c r="R180" i="17"/>
  <c r="Q180" i="17"/>
  <c r="K180" i="17"/>
  <c r="J180" i="17"/>
  <c r="G180" i="17" s="1"/>
  <c r="H180" i="17"/>
  <c r="F180" i="17"/>
  <c r="BB179" i="17"/>
  <c r="AY179" i="17"/>
  <c r="AU179" i="17"/>
  <c r="AT179" i="17"/>
  <c r="AS179" i="17"/>
  <c r="AN179" i="17"/>
  <c r="AK179" i="17"/>
  <c r="AG179" i="17"/>
  <c r="AF179" i="17"/>
  <c r="AE179" i="17"/>
  <c r="Z179" i="17"/>
  <c r="W179" i="17"/>
  <c r="S179" i="17"/>
  <c r="R179" i="17"/>
  <c r="Q179" i="17"/>
  <c r="K179" i="17"/>
  <c r="J179" i="17"/>
  <c r="G179" i="17" s="1"/>
  <c r="H179" i="17"/>
  <c r="F179" i="17"/>
  <c r="BB178" i="17"/>
  <c r="AY178" i="17"/>
  <c r="AU178" i="17"/>
  <c r="AT178" i="17"/>
  <c r="AS178" i="17"/>
  <c r="AN178" i="17"/>
  <c r="AK178" i="17"/>
  <c r="AG178" i="17"/>
  <c r="AF178" i="17"/>
  <c r="AE178" i="17"/>
  <c r="Z178" i="17"/>
  <c r="W178" i="17"/>
  <c r="S178" i="17"/>
  <c r="R178" i="17"/>
  <c r="Q178" i="17"/>
  <c r="K178" i="17"/>
  <c r="J178" i="17"/>
  <c r="H178" i="17"/>
  <c r="F178" i="17"/>
  <c r="BB177" i="17"/>
  <c r="AY177" i="17"/>
  <c r="AU177" i="17"/>
  <c r="AT177" i="17"/>
  <c r="AS177" i="17"/>
  <c r="AN177" i="17"/>
  <c r="AK177" i="17"/>
  <c r="AG177" i="17"/>
  <c r="AF177" i="17"/>
  <c r="AE177" i="17"/>
  <c r="Z177" i="17"/>
  <c r="W177" i="17"/>
  <c r="S177" i="17"/>
  <c r="R177" i="17"/>
  <c r="Q177" i="17"/>
  <c r="K177" i="17"/>
  <c r="J177" i="17"/>
  <c r="H177" i="17"/>
  <c r="F177" i="17"/>
  <c r="BB176" i="17"/>
  <c r="AY176" i="17"/>
  <c r="AU176" i="17"/>
  <c r="AT176" i="17"/>
  <c r="AS176" i="17"/>
  <c r="AN176" i="17"/>
  <c r="AK176" i="17"/>
  <c r="AG176" i="17"/>
  <c r="AF176" i="17"/>
  <c r="AE176" i="17"/>
  <c r="Z176" i="17"/>
  <c r="W176" i="17"/>
  <c r="S176" i="17"/>
  <c r="R176" i="17"/>
  <c r="Q176" i="17"/>
  <c r="K176" i="17"/>
  <c r="J176" i="17"/>
  <c r="G176" i="17" s="1"/>
  <c r="H176" i="17"/>
  <c r="F176" i="17"/>
  <c r="BB175" i="17"/>
  <c r="AY175" i="17"/>
  <c r="AU175" i="17"/>
  <c r="AT175" i="17"/>
  <c r="AS175" i="17"/>
  <c r="AN175" i="17"/>
  <c r="AK175" i="17"/>
  <c r="AG175" i="17"/>
  <c r="AF175" i="17"/>
  <c r="AE175" i="17"/>
  <c r="Z175" i="17"/>
  <c r="W175" i="17"/>
  <c r="S175" i="17"/>
  <c r="R175" i="17"/>
  <c r="Q175" i="17"/>
  <c r="K175" i="17"/>
  <c r="J175" i="17"/>
  <c r="G175" i="17" s="1"/>
  <c r="H175" i="17"/>
  <c r="F175" i="17"/>
  <c r="BB174" i="17"/>
  <c r="AY174" i="17"/>
  <c r="AU174" i="17"/>
  <c r="AT174" i="17"/>
  <c r="AS174" i="17"/>
  <c r="AN174" i="17"/>
  <c r="AK174" i="17"/>
  <c r="AG174" i="17"/>
  <c r="AF174" i="17"/>
  <c r="AE174" i="17"/>
  <c r="Z174" i="17"/>
  <c r="W174" i="17"/>
  <c r="S174" i="17"/>
  <c r="R174" i="17"/>
  <c r="Q174" i="17"/>
  <c r="K174" i="17"/>
  <c r="J174" i="17"/>
  <c r="G174" i="17" s="1"/>
  <c r="H174" i="17"/>
  <c r="F174" i="17"/>
  <c r="BB173" i="17"/>
  <c r="AY173" i="17"/>
  <c r="AU173" i="17"/>
  <c r="AT173" i="17"/>
  <c r="AS173" i="17"/>
  <c r="AN173" i="17"/>
  <c r="AK173" i="17"/>
  <c r="AG173" i="17"/>
  <c r="AF173" i="17"/>
  <c r="AE173" i="17"/>
  <c r="Z173" i="17"/>
  <c r="W173" i="17"/>
  <c r="S173" i="17"/>
  <c r="R173" i="17"/>
  <c r="Q173" i="17"/>
  <c r="K173" i="17"/>
  <c r="J173" i="17"/>
  <c r="H173" i="17"/>
  <c r="F173" i="17"/>
  <c r="BB172" i="17"/>
  <c r="AY172" i="17"/>
  <c r="AU172" i="17"/>
  <c r="AT172" i="17"/>
  <c r="AS172" i="17"/>
  <c r="AN172" i="17"/>
  <c r="AK172" i="17"/>
  <c r="AG172" i="17"/>
  <c r="AF172" i="17"/>
  <c r="AE172" i="17"/>
  <c r="Z172" i="17"/>
  <c r="W172" i="17"/>
  <c r="S172" i="17"/>
  <c r="R172" i="17"/>
  <c r="Q172" i="17"/>
  <c r="K172" i="17"/>
  <c r="J172" i="17"/>
  <c r="H172" i="17"/>
  <c r="F172" i="17"/>
  <c r="BB171" i="17"/>
  <c r="AY171" i="17"/>
  <c r="AU171" i="17"/>
  <c r="AT171" i="17"/>
  <c r="AS171" i="17"/>
  <c r="AN171" i="17"/>
  <c r="AK171" i="17"/>
  <c r="AG171" i="17"/>
  <c r="AF171" i="17"/>
  <c r="AE171" i="17"/>
  <c r="Z171" i="17"/>
  <c r="W171" i="17"/>
  <c r="S171" i="17"/>
  <c r="R171" i="17"/>
  <c r="Q171" i="17"/>
  <c r="K171" i="17"/>
  <c r="J171" i="17"/>
  <c r="H171" i="17"/>
  <c r="F171" i="17"/>
  <c r="BB170" i="17"/>
  <c r="AY170" i="17"/>
  <c r="AU170" i="17"/>
  <c r="AT170" i="17"/>
  <c r="AS170" i="17"/>
  <c r="AN170" i="17"/>
  <c r="AK170" i="17"/>
  <c r="AG170" i="17"/>
  <c r="AF170" i="17"/>
  <c r="AE170" i="17"/>
  <c r="Z170" i="17"/>
  <c r="W170" i="17"/>
  <c r="S170" i="17"/>
  <c r="R170" i="17"/>
  <c r="Q170" i="17"/>
  <c r="K170" i="17"/>
  <c r="J170" i="17"/>
  <c r="H170" i="17"/>
  <c r="F170" i="17"/>
  <c r="BB169" i="17"/>
  <c r="AY169" i="17"/>
  <c r="AU169" i="17"/>
  <c r="AT169" i="17"/>
  <c r="AS169" i="17"/>
  <c r="AN169" i="17"/>
  <c r="AK169" i="17"/>
  <c r="AG169" i="17"/>
  <c r="AF169" i="17"/>
  <c r="AE169" i="17"/>
  <c r="Z169" i="17"/>
  <c r="W169" i="17"/>
  <c r="S169" i="17"/>
  <c r="R169" i="17"/>
  <c r="Q169" i="17"/>
  <c r="K169" i="17"/>
  <c r="J169" i="17"/>
  <c r="H169" i="17"/>
  <c r="F169" i="17"/>
  <c r="BB168" i="17"/>
  <c r="AY168" i="17"/>
  <c r="AU168" i="17"/>
  <c r="AT168" i="17"/>
  <c r="AS168" i="17"/>
  <c r="AN168" i="17"/>
  <c r="AK168" i="17"/>
  <c r="AG168" i="17"/>
  <c r="AF168" i="17"/>
  <c r="AE168" i="17"/>
  <c r="Z168" i="17"/>
  <c r="W168" i="17"/>
  <c r="S168" i="17"/>
  <c r="R168" i="17"/>
  <c r="Q168" i="17"/>
  <c r="K168" i="17"/>
  <c r="J168" i="17"/>
  <c r="H168" i="17"/>
  <c r="F168" i="17"/>
  <c r="BB167" i="17"/>
  <c r="AY167" i="17"/>
  <c r="AU167" i="17"/>
  <c r="AT167" i="17"/>
  <c r="AS167" i="17"/>
  <c r="AN167" i="17"/>
  <c r="AK167" i="17"/>
  <c r="AG167" i="17"/>
  <c r="AF167" i="17"/>
  <c r="AE167" i="17"/>
  <c r="Z167" i="17"/>
  <c r="W167" i="17"/>
  <c r="S167" i="17"/>
  <c r="R167" i="17"/>
  <c r="Q167" i="17"/>
  <c r="K167" i="17"/>
  <c r="J167" i="17"/>
  <c r="G167" i="17" s="1"/>
  <c r="H167" i="17"/>
  <c r="F167" i="17"/>
  <c r="BB166" i="17"/>
  <c r="AY166" i="17"/>
  <c r="AU166" i="17"/>
  <c r="AT166" i="17"/>
  <c r="AS166" i="17"/>
  <c r="AN166" i="17"/>
  <c r="AK166" i="17"/>
  <c r="AG166" i="17"/>
  <c r="AF166" i="17"/>
  <c r="AE166" i="17"/>
  <c r="Z166" i="17"/>
  <c r="W166" i="17"/>
  <c r="S166" i="17"/>
  <c r="R166" i="17"/>
  <c r="Q166" i="17"/>
  <c r="K166" i="17"/>
  <c r="J166" i="17"/>
  <c r="H166" i="17"/>
  <c r="F166" i="17"/>
  <c r="BB165" i="17"/>
  <c r="AY165" i="17"/>
  <c r="AU165" i="17"/>
  <c r="AT165" i="17"/>
  <c r="AS165" i="17"/>
  <c r="AN165" i="17"/>
  <c r="AK165" i="17"/>
  <c r="AG165" i="17"/>
  <c r="AF165" i="17"/>
  <c r="AE165" i="17"/>
  <c r="Z165" i="17"/>
  <c r="W165" i="17"/>
  <c r="S165" i="17"/>
  <c r="R165" i="17"/>
  <c r="Q165" i="17"/>
  <c r="K165" i="17"/>
  <c r="J165" i="17"/>
  <c r="H165" i="17"/>
  <c r="F165" i="17"/>
  <c r="BB164" i="17"/>
  <c r="AY164" i="17"/>
  <c r="AU164" i="17"/>
  <c r="AT164" i="17"/>
  <c r="AS164" i="17"/>
  <c r="AN164" i="17"/>
  <c r="AK164" i="17"/>
  <c r="AG164" i="17"/>
  <c r="AF164" i="17"/>
  <c r="AE164" i="17"/>
  <c r="Z164" i="17"/>
  <c r="W164" i="17"/>
  <c r="S164" i="17"/>
  <c r="R164" i="17"/>
  <c r="Q164" i="17"/>
  <c r="K164" i="17"/>
  <c r="J164" i="17"/>
  <c r="G164" i="17" s="1"/>
  <c r="H164" i="17"/>
  <c r="F164" i="17"/>
  <c r="BB163" i="17"/>
  <c r="AY163" i="17"/>
  <c r="AU163" i="17"/>
  <c r="AT163" i="17"/>
  <c r="AS163" i="17"/>
  <c r="AN163" i="17"/>
  <c r="AK163" i="17"/>
  <c r="AG163" i="17"/>
  <c r="AF163" i="17"/>
  <c r="AE163" i="17"/>
  <c r="Z163" i="17"/>
  <c r="W163" i="17"/>
  <c r="S163" i="17"/>
  <c r="R163" i="17"/>
  <c r="Q163" i="17"/>
  <c r="K163" i="17"/>
  <c r="J163" i="17"/>
  <c r="G163" i="17" s="1"/>
  <c r="H163" i="17"/>
  <c r="F163" i="17"/>
  <c r="BB162" i="17"/>
  <c r="AY162" i="17"/>
  <c r="AU162" i="17"/>
  <c r="AT162" i="17"/>
  <c r="AS162" i="17"/>
  <c r="AN162" i="17"/>
  <c r="AK162" i="17"/>
  <c r="AG162" i="17"/>
  <c r="AF162" i="17"/>
  <c r="AE162" i="17"/>
  <c r="Z162" i="17"/>
  <c r="W162" i="17"/>
  <c r="S162" i="17"/>
  <c r="R162" i="17"/>
  <c r="Q162" i="17"/>
  <c r="K162" i="17"/>
  <c r="J162" i="17"/>
  <c r="G162" i="17" s="1"/>
  <c r="H162" i="17"/>
  <c r="F162" i="17"/>
  <c r="BB161" i="17"/>
  <c r="AY161" i="17"/>
  <c r="AU161" i="17"/>
  <c r="AT161" i="17"/>
  <c r="AS161" i="17"/>
  <c r="AN161" i="17"/>
  <c r="AK161" i="17"/>
  <c r="AG161" i="17"/>
  <c r="AF161" i="17"/>
  <c r="AE161" i="17"/>
  <c r="Z161" i="17"/>
  <c r="W161" i="17"/>
  <c r="S161" i="17"/>
  <c r="R161" i="17"/>
  <c r="Q161" i="17"/>
  <c r="K161" i="17"/>
  <c r="J161" i="17"/>
  <c r="H161" i="17"/>
  <c r="F161" i="17"/>
  <c r="BB160" i="17"/>
  <c r="AY160" i="17"/>
  <c r="AU160" i="17"/>
  <c r="AT160" i="17"/>
  <c r="AS160" i="17"/>
  <c r="AN160" i="17"/>
  <c r="AK160" i="17"/>
  <c r="AG160" i="17"/>
  <c r="AF160" i="17"/>
  <c r="AE160" i="17"/>
  <c r="Z160" i="17"/>
  <c r="W160" i="17"/>
  <c r="S160" i="17"/>
  <c r="R160" i="17"/>
  <c r="Q160" i="17"/>
  <c r="K160" i="17"/>
  <c r="J160" i="17"/>
  <c r="G160" i="17" s="1"/>
  <c r="H160" i="17"/>
  <c r="F160" i="17"/>
  <c r="BB159" i="17"/>
  <c r="AY159" i="17"/>
  <c r="AU159" i="17"/>
  <c r="AT159" i="17"/>
  <c r="AS159" i="17"/>
  <c r="AN159" i="17"/>
  <c r="AK159" i="17"/>
  <c r="AG159" i="17"/>
  <c r="AF159" i="17"/>
  <c r="AE159" i="17"/>
  <c r="Z159" i="17"/>
  <c r="W159" i="17"/>
  <c r="S159" i="17"/>
  <c r="R159" i="17"/>
  <c r="Q159" i="17"/>
  <c r="K159" i="17"/>
  <c r="J159" i="17"/>
  <c r="H159" i="17"/>
  <c r="F159" i="17"/>
  <c r="BB158" i="17"/>
  <c r="AY158" i="17"/>
  <c r="AU158" i="17"/>
  <c r="AT158" i="17"/>
  <c r="AS158" i="17"/>
  <c r="AN158" i="17"/>
  <c r="AK158" i="17"/>
  <c r="AG158" i="17"/>
  <c r="AF158" i="17"/>
  <c r="AE158" i="17"/>
  <c r="Z158" i="17"/>
  <c r="W158" i="17"/>
  <c r="S158" i="17"/>
  <c r="R158" i="17"/>
  <c r="Q158" i="17"/>
  <c r="K158" i="17"/>
  <c r="J158" i="17"/>
  <c r="H158" i="17"/>
  <c r="F158" i="17"/>
  <c r="BB157" i="17"/>
  <c r="AY157" i="17"/>
  <c r="AU157" i="17"/>
  <c r="AT157" i="17"/>
  <c r="AS157" i="17"/>
  <c r="AN157" i="17"/>
  <c r="AK157" i="17"/>
  <c r="AG157" i="17"/>
  <c r="AF157" i="17"/>
  <c r="AE157" i="17"/>
  <c r="Z157" i="17"/>
  <c r="W157" i="17"/>
  <c r="S157" i="17"/>
  <c r="R157" i="17"/>
  <c r="Q157" i="17"/>
  <c r="K157" i="17"/>
  <c r="J157" i="17"/>
  <c r="G157" i="17" s="1"/>
  <c r="H157" i="17"/>
  <c r="F157" i="17"/>
  <c r="BB156" i="17"/>
  <c r="AY156" i="17"/>
  <c r="AU156" i="17"/>
  <c r="AT156" i="17"/>
  <c r="AS156" i="17"/>
  <c r="AN156" i="17"/>
  <c r="AK156" i="17"/>
  <c r="AG156" i="17"/>
  <c r="AF156" i="17"/>
  <c r="AE156" i="17"/>
  <c r="Z156" i="17"/>
  <c r="W156" i="17"/>
  <c r="S156" i="17"/>
  <c r="R156" i="17"/>
  <c r="Q156" i="17"/>
  <c r="K156" i="17"/>
  <c r="J156" i="17"/>
  <c r="H156" i="17"/>
  <c r="F156" i="17"/>
  <c r="BB155" i="17"/>
  <c r="AY155" i="17"/>
  <c r="AU155" i="17"/>
  <c r="AT155" i="17"/>
  <c r="AS155" i="17"/>
  <c r="AN155" i="17"/>
  <c r="AK155" i="17"/>
  <c r="AG155" i="17"/>
  <c r="AF155" i="17"/>
  <c r="AE155" i="17"/>
  <c r="Z155" i="17"/>
  <c r="W155" i="17"/>
  <c r="S155" i="17"/>
  <c r="R155" i="17"/>
  <c r="Q155" i="17"/>
  <c r="K155" i="17"/>
  <c r="J155" i="17"/>
  <c r="G155" i="17" s="1"/>
  <c r="H155" i="17"/>
  <c r="F155" i="17"/>
  <c r="BB154" i="17"/>
  <c r="AY154" i="17"/>
  <c r="AU154" i="17"/>
  <c r="AT154" i="17"/>
  <c r="AS154" i="17"/>
  <c r="AN154" i="17"/>
  <c r="AK154" i="17"/>
  <c r="AG154" i="17"/>
  <c r="AF154" i="17"/>
  <c r="AE154" i="17"/>
  <c r="Z154" i="17"/>
  <c r="W154" i="17"/>
  <c r="S154" i="17"/>
  <c r="R154" i="17"/>
  <c r="Q154" i="17"/>
  <c r="K154" i="17"/>
  <c r="J154" i="17"/>
  <c r="H154" i="17"/>
  <c r="F154" i="17"/>
  <c r="BB153" i="17"/>
  <c r="AY153" i="17"/>
  <c r="AU153" i="17"/>
  <c r="AT153" i="17"/>
  <c r="AS153" i="17"/>
  <c r="AN153" i="17"/>
  <c r="AK153" i="17"/>
  <c r="AG153" i="17"/>
  <c r="AF153" i="17"/>
  <c r="AE153" i="17"/>
  <c r="Z153" i="17"/>
  <c r="W153" i="17"/>
  <c r="S153" i="17"/>
  <c r="R153" i="17"/>
  <c r="Q153" i="17"/>
  <c r="K153" i="17"/>
  <c r="J153" i="17"/>
  <c r="H153" i="17"/>
  <c r="F153" i="17"/>
  <c r="BB152" i="17"/>
  <c r="AY152" i="17"/>
  <c r="AU152" i="17"/>
  <c r="AT152" i="17"/>
  <c r="AS152" i="17"/>
  <c r="AN152" i="17"/>
  <c r="AK152" i="17"/>
  <c r="AG152" i="17"/>
  <c r="AF152" i="17"/>
  <c r="AE152" i="17"/>
  <c r="Z152" i="17"/>
  <c r="W152" i="17"/>
  <c r="S152" i="17"/>
  <c r="R152" i="17"/>
  <c r="Q152" i="17"/>
  <c r="K152" i="17"/>
  <c r="J152" i="17"/>
  <c r="G152" i="17" s="1"/>
  <c r="H152" i="17"/>
  <c r="F152" i="17"/>
  <c r="BB151" i="17"/>
  <c r="AY151" i="17"/>
  <c r="AU151" i="17"/>
  <c r="AT151" i="17"/>
  <c r="AS151" i="17"/>
  <c r="AN151" i="17"/>
  <c r="AK151" i="17"/>
  <c r="AG151" i="17"/>
  <c r="AF151" i="17"/>
  <c r="AE151" i="17"/>
  <c r="Z151" i="17"/>
  <c r="W151" i="17"/>
  <c r="S151" i="17"/>
  <c r="R151" i="17"/>
  <c r="Q151" i="17"/>
  <c r="K151" i="17"/>
  <c r="J151" i="17"/>
  <c r="H151" i="17"/>
  <c r="F151" i="17"/>
  <c r="BB150" i="17"/>
  <c r="AY150" i="17"/>
  <c r="AU150" i="17"/>
  <c r="AT150" i="17"/>
  <c r="AS150" i="17"/>
  <c r="AN150" i="17"/>
  <c r="AK150" i="17"/>
  <c r="AG150" i="17"/>
  <c r="AF150" i="17"/>
  <c r="AE150" i="17"/>
  <c r="Z150" i="17"/>
  <c r="W150" i="17"/>
  <c r="S150" i="17"/>
  <c r="R150" i="17"/>
  <c r="Q150" i="17"/>
  <c r="K150" i="17"/>
  <c r="J150" i="17"/>
  <c r="H150" i="17"/>
  <c r="F150" i="17"/>
  <c r="BB149" i="17"/>
  <c r="AY149" i="17"/>
  <c r="AU149" i="17"/>
  <c r="AT149" i="17"/>
  <c r="AS149" i="17"/>
  <c r="AN149" i="17"/>
  <c r="AK149" i="17"/>
  <c r="AG149" i="17"/>
  <c r="AF149" i="17"/>
  <c r="AE149" i="17"/>
  <c r="Z149" i="17"/>
  <c r="W149" i="17"/>
  <c r="S149" i="17"/>
  <c r="R149" i="17"/>
  <c r="Q149" i="17"/>
  <c r="K149" i="17"/>
  <c r="J149" i="17"/>
  <c r="H149" i="17"/>
  <c r="F149" i="17"/>
  <c r="BB148" i="17"/>
  <c r="AY148" i="17"/>
  <c r="AU148" i="17"/>
  <c r="AT148" i="17"/>
  <c r="AS148" i="17"/>
  <c r="AN148" i="17"/>
  <c r="AK148" i="17"/>
  <c r="AG148" i="17"/>
  <c r="AF148" i="17"/>
  <c r="AE148" i="17"/>
  <c r="Z148" i="17"/>
  <c r="W148" i="17"/>
  <c r="S148" i="17"/>
  <c r="R148" i="17"/>
  <c r="Q148" i="17"/>
  <c r="K148" i="17"/>
  <c r="J148" i="17"/>
  <c r="G148" i="17" s="1"/>
  <c r="H148" i="17"/>
  <c r="F148" i="17"/>
  <c r="BB147" i="17"/>
  <c r="AY147" i="17"/>
  <c r="AU147" i="17"/>
  <c r="AT147" i="17"/>
  <c r="AS147" i="17"/>
  <c r="AN147" i="17"/>
  <c r="AK147" i="17"/>
  <c r="AG147" i="17"/>
  <c r="AF147" i="17"/>
  <c r="AE147" i="17"/>
  <c r="Z147" i="17"/>
  <c r="W147" i="17"/>
  <c r="S147" i="17"/>
  <c r="R147" i="17"/>
  <c r="Q147" i="17"/>
  <c r="K147" i="17"/>
  <c r="J147" i="17"/>
  <c r="H147" i="17"/>
  <c r="F147" i="17"/>
  <c r="BB146" i="17"/>
  <c r="AY146" i="17"/>
  <c r="AU146" i="17"/>
  <c r="AT146" i="17"/>
  <c r="AS146" i="17"/>
  <c r="AN146" i="17"/>
  <c r="AK146" i="17"/>
  <c r="AG146" i="17"/>
  <c r="AF146" i="17"/>
  <c r="AE146" i="17"/>
  <c r="Z146" i="17"/>
  <c r="W146" i="17"/>
  <c r="S146" i="17"/>
  <c r="R146" i="17"/>
  <c r="Q146" i="17"/>
  <c r="K146" i="17"/>
  <c r="J146" i="17"/>
  <c r="H146" i="17"/>
  <c r="F146" i="17"/>
  <c r="BB145" i="17"/>
  <c r="AY145" i="17"/>
  <c r="AU145" i="17"/>
  <c r="AT145" i="17"/>
  <c r="AS145" i="17"/>
  <c r="AN145" i="17"/>
  <c r="AK145" i="17"/>
  <c r="AG145" i="17"/>
  <c r="AF145" i="17"/>
  <c r="AE145" i="17"/>
  <c r="Z145" i="17"/>
  <c r="W145" i="17"/>
  <c r="S145" i="17"/>
  <c r="R145" i="17"/>
  <c r="Q145" i="17"/>
  <c r="K145" i="17"/>
  <c r="J145" i="17"/>
  <c r="H145" i="17"/>
  <c r="F145" i="17"/>
  <c r="BB144" i="17"/>
  <c r="AY144" i="17"/>
  <c r="AU144" i="17"/>
  <c r="AT144" i="17"/>
  <c r="AS144" i="17"/>
  <c r="AN144" i="17"/>
  <c r="AK144" i="17"/>
  <c r="AG144" i="17"/>
  <c r="AF144" i="17"/>
  <c r="AE144" i="17"/>
  <c r="Z144" i="17"/>
  <c r="W144" i="17"/>
  <c r="S144" i="17"/>
  <c r="R144" i="17"/>
  <c r="Q144" i="17"/>
  <c r="K144" i="17"/>
  <c r="J144" i="17"/>
  <c r="G144" i="17" s="1"/>
  <c r="H144" i="17"/>
  <c r="F144" i="17"/>
  <c r="BB143" i="17"/>
  <c r="AY143" i="17"/>
  <c r="AU143" i="17"/>
  <c r="AT143" i="17"/>
  <c r="AS143" i="17"/>
  <c r="AN143" i="17"/>
  <c r="AK143" i="17"/>
  <c r="AG143" i="17"/>
  <c r="AF143" i="17"/>
  <c r="AE143" i="17"/>
  <c r="Z143" i="17"/>
  <c r="W143" i="17"/>
  <c r="S143" i="17"/>
  <c r="R143" i="17"/>
  <c r="Q143" i="17"/>
  <c r="K143" i="17"/>
  <c r="J143" i="17"/>
  <c r="G143" i="17" s="1"/>
  <c r="H143" i="17"/>
  <c r="F143" i="17"/>
  <c r="BB142" i="17"/>
  <c r="AY142" i="17"/>
  <c r="AU142" i="17"/>
  <c r="AT142" i="17"/>
  <c r="AS142" i="17"/>
  <c r="AN142" i="17"/>
  <c r="AK142" i="17"/>
  <c r="AG142" i="17"/>
  <c r="AF142" i="17"/>
  <c r="AE142" i="17"/>
  <c r="Z142" i="17"/>
  <c r="W142" i="17"/>
  <c r="S142" i="17"/>
  <c r="R142" i="17"/>
  <c r="Q142" i="17"/>
  <c r="K142" i="17"/>
  <c r="J142" i="17"/>
  <c r="H142" i="17"/>
  <c r="F142" i="17"/>
  <c r="BB141" i="17"/>
  <c r="AY141" i="17"/>
  <c r="AU141" i="17"/>
  <c r="AT141" i="17"/>
  <c r="AS141" i="17"/>
  <c r="AN141" i="17"/>
  <c r="AK141" i="17"/>
  <c r="AG141" i="17"/>
  <c r="AF141" i="17"/>
  <c r="AE141" i="17"/>
  <c r="Z141" i="17"/>
  <c r="W141" i="17"/>
  <c r="S141" i="17"/>
  <c r="R141" i="17"/>
  <c r="Q141" i="17"/>
  <c r="K141" i="17"/>
  <c r="J141" i="17"/>
  <c r="H141" i="17"/>
  <c r="F141" i="17"/>
  <c r="BB140" i="17"/>
  <c r="AY140" i="17"/>
  <c r="AU140" i="17"/>
  <c r="AT140" i="17"/>
  <c r="AS140" i="17"/>
  <c r="AN140" i="17"/>
  <c r="AK140" i="17"/>
  <c r="AG140" i="17"/>
  <c r="AF140" i="17"/>
  <c r="AE140" i="17"/>
  <c r="Z140" i="17"/>
  <c r="W140" i="17"/>
  <c r="S140" i="17"/>
  <c r="R140" i="17"/>
  <c r="Q140" i="17"/>
  <c r="K140" i="17"/>
  <c r="J140" i="17"/>
  <c r="G140" i="17" s="1"/>
  <c r="H140" i="17"/>
  <c r="F140" i="17"/>
  <c r="BB139" i="17"/>
  <c r="AY139" i="17"/>
  <c r="AU139" i="17"/>
  <c r="AT139" i="17"/>
  <c r="AS139" i="17"/>
  <c r="AN139" i="17"/>
  <c r="AK139" i="17"/>
  <c r="AG139" i="17"/>
  <c r="AF139" i="17"/>
  <c r="AE139" i="17"/>
  <c r="Z139" i="17"/>
  <c r="W139" i="17"/>
  <c r="S139" i="17"/>
  <c r="R139" i="17"/>
  <c r="Q139" i="17"/>
  <c r="K139" i="17"/>
  <c r="J139" i="17"/>
  <c r="H139" i="17"/>
  <c r="F139" i="17"/>
  <c r="BB138" i="17"/>
  <c r="AY138" i="17"/>
  <c r="AU138" i="17"/>
  <c r="AT138" i="17"/>
  <c r="AS138" i="17"/>
  <c r="AN138" i="17"/>
  <c r="AK138" i="17"/>
  <c r="AG138" i="17"/>
  <c r="AF138" i="17"/>
  <c r="AE138" i="17"/>
  <c r="Z138" i="17"/>
  <c r="W138" i="17"/>
  <c r="S138" i="17"/>
  <c r="R138" i="17"/>
  <c r="Q138" i="17"/>
  <c r="K138" i="17"/>
  <c r="J138" i="17"/>
  <c r="G138" i="17" s="1"/>
  <c r="H138" i="17"/>
  <c r="F138" i="17"/>
  <c r="BB137" i="17"/>
  <c r="AY137" i="17"/>
  <c r="AU137" i="17"/>
  <c r="AT137" i="17"/>
  <c r="AS137" i="17"/>
  <c r="AN137" i="17"/>
  <c r="AK137" i="17"/>
  <c r="AG137" i="17"/>
  <c r="AF137" i="17"/>
  <c r="AE137" i="17"/>
  <c r="Z137" i="17"/>
  <c r="W137" i="17"/>
  <c r="S137" i="17"/>
  <c r="R137" i="17"/>
  <c r="Q137" i="17"/>
  <c r="K137" i="17"/>
  <c r="J137" i="17"/>
  <c r="G137" i="17" s="1"/>
  <c r="H137" i="17"/>
  <c r="F137" i="17"/>
  <c r="BB136" i="17"/>
  <c r="AY136" i="17"/>
  <c r="AU136" i="17"/>
  <c r="AT136" i="17"/>
  <c r="AS136" i="17"/>
  <c r="AN136" i="17"/>
  <c r="AK136" i="17"/>
  <c r="AG136" i="17"/>
  <c r="AF136" i="17"/>
  <c r="AE136" i="17"/>
  <c r="Z136" i="17"/>
  <c r="W136" i="17"/>
  <c r="S136" i="17"/>
  <c r="R136" i="17"/>
  <c r="Q136" i="17"/>
  <c r="K136" i="17"/>
  <c r="J136" i="17"/>
  <c r="H136" i="17"/>
  <c r="F136" i="17"/>
  <c r="BB135" i="17"/>
  <c r="AY135" i="17"/>
  <c r="AU135" i="17"/>
  <c r="AT135" i="17"/>
  <c r="AS135" i="17"/>
  <c r="AN135" i="17"/>
  <c r="AK135" i="17"/>
  <c r="AG135" i="17"/>
  <c r="AF135" i="17"/>
  <c r="AE135" i="17"/>
  <c r="Z135" i="17"/>
  <c r="W135" i="17"/>
  <c r="S135" i="17"/>
  <c r="R135" i="17"/>
  <c r="Q135" i="17"/>
  <c r="K135" i="17"/>
  <c r="J135" i="17"/>
  <c r="H135" i="17"/>
  <c r="F135" i="17"/>
  <c r="BB134" i="17"/>
  <c r="AY134" i="17"/>
  <c r="AU134" i="17"/>
  <c r="AT134" i="17"/>
  <c r="AS134" i="17"/>
  <c r="AN134" i="17"/>
  <c r="AK134" i="17"/>
  <c r="AG134" i="17"/>
  <c r="AF134" i="17"/>
  <c r="AE134" i="17"/>
  <c r="Z134" i="17"/>
  <c r="W134" i="17"/>
  <c r="S134" i="17"/>
  <c r="R134" i="17"/>
  <c r="Q134" i="17"/>
  <c r="K134" i="17"/>
  <c r="J134" i="17"/>
  <c r="H134" i="17"/>
  <c r="F134" i="17"/>
  <c r="F133" i="17"/>
  <c r="E133" i="17"/>
  <c r="D133" i="17"/>
  <c r="C133" i="17"/>
  <c r="F132" i="17"/>
  <c r="E132" i="17"/>
  <c r="D132" i="17"/>
  <c r="C132" i="17"/>
  <c r="F131" i="17"/>
  <c r="E131" i="17"/>
  <c r="D131" i="17"/>
  <c r="C131" i="17"/>
  <c r="L130" i="17"/>
  <c r="I130" i="17"/>
  <c r="F130" i="17"/>
  <c r="E130" i="17"/>
  <c r="D130" i="17"/>
  <c r="C130" i="17"/>
  <c r="L129" i="17"/>
  <c r="I129" i="17"/>
  <c r="F129" i="17"/>
  <c r="E129" i="17"/>
  <c r="D129" i="17"/>
  <c r="C129" i="17"/>
  <c r="K128" i="17"/>
  <c r="J128" i="17"/>
  <c r="H128" i="17"/>
  <c r="F128" i="17"/>
  <c r="K127" i="17"/>
  <c r="J127" i="17"/>
  <c r="H127" i="17"/>
  <c r="F127" i="17"/>
  <c r="K126" i="17"/>
  <c r="J126" i="17"/>
  <c r="H126" i="17"/>
  <c r="F126" i="17"/>
  <c r="K125" i="17"/>
  <c r="J125" i="17"/>
  <c r="H125" i="17"/>
  <c r="F125" i="17"/>
  <c r="K124" i="17"/>
  <c r="J124" i="17"/>
  <c r="H124" i="17"/>
  <c r="F124" i="17"/>
  <c r="K123" i="17"/>
  <c r="J123" i="17"/>
  <c r="H123" i="17"/>
  <c r="F123" i="17"/>
  <c r="L122" i="17"/>
  <c r="H122" i="17"/>
  <c r="E122" i="17" s="1"/>
  <c r="F122" i="17"/>
  <c r="D122" i="17"/>
  <c r="L121" i="17"/>
  <c r="I121" i="17"/>
  <c r="F121" i="17"/>
  <c r="E121" i="17"/>
  <c r="D121" i="17"/>
  <c r="C121" i="17"/>
  <c r="L120" i="17"/>
  <c r="I120" i="17"/>
  <c r="F120" i="17"/>
  <c r="E120" i="17"/>
  <c r="D120" i="17"/>
  <c r="C120" i="17"/>
  <c r="L119" i="17"/>
  <c r="I119" i="17"/>
  <c r="F119" i="17"/>
  <c r="E119" i="17"/>
  <c r="D119" i="17"/>
  <c r="C119" i="17"/>
  <c r="L118" i="17"/>
  <c r="I118" i="17"/>
  <c r="F118" i="17"/>
  <c r="E118" i="17"/>
  <c r="D118" i="17"/>
  <c r="C118" i="17"/>
  <c r="L117" i="17"/>
  <c r="I117" i="17"/>
  <c r="F117" i="17"/>
  <c r="E117" i="17"/>
  <c r="D117" i="17"/>
  <c r="C117" i="17"/>
  <c r="L116" i="17"/>
  <c r="I116" i="17"/>
  <c r="F116" i="17"/>
  <c r="E116" i="17"/>
  <c r="D116" i="17"/>
  <c r="C116" i="17"/>
  <c r="L115" i="17"/>
  <c r="I115" i="17"/>
  <c r="F115" i="17"/>
  <c r="E115" i="17"/>
  <c r="D115" i="17"/>
  <c r="C115" i="17"/>
  <c r="L114" i="17"/>
  <c r="I114" i="17"/>
  <c r="F114" i="17"/>
  <c r="E114" i="17"/>
  <c r="D114" i="17"/>
  <c r="C114" i="17"/>
  <c r="L113" i="17"/>
  <c r="I113" i="17"/>
  <c r="F113" i="17"/>
  <c r="E113" i="17"/>
  <c r="D113" i="17"/>
  <c r="C113" i="17"/>
  <c r="L112" i="17"/>
  <c r="I112" i="17"/>
  <c r="F112" i="17"/>
  <c r="E112" i="17"/>
  <c r="D112" i="17"/>
  <c r="C112" i="17"/>
  <c r="L111" i="17"/>
  <c r="I111" i="17"/>
  <c r="F111" i="17"/>
  <c r="E111" i="17"/>
  <c r="D111" i="17"/>
  <c r="C111" i="17"/>
  <c r="L110" i="17"/>
  <c r="I110" i="17"/>
  <c r="F110" i="17"/>
  <c r="E110" i="17"/>
  <c r="D110" i="17"/>
  <c r="C110" i="17"/>
  <c r="L109" i="17"/>
  <c r="I109" i="17"/>
  <c r="F109" i="17"/>
  <c r="E109" i="17"/>
  <c r="D109" i="17"/>
  <c r="C109" i="17"/>
  <c r="L108" i="17"/>
  <c r="I108" i="17"/>
  <c r="F108" i="17"/>
  <c r="E108" i="17"/>
  <c r="D108" i="17"/>
  <c r="C108" i="17"/>
  <c r="L107" i="17"/>
  <c r="I107" i="17"/>
  <c r="F107" i="17"/>
  <c r="E107" i="17"/>
  <c r="D107" i="17"/>
  <c r="C107" i="17"/>
  <c r="L106" i="17"/>
  <c r="I106" i="17"/>
  <c r="F106" i="17"/>
  <c r="E106" i="17"/>
  <c r="D106" i="17"/>
  <c r="C106" i="17"/>
  <c r="L105" i="17"/>
  <c r="I105" i="17"/>
  <c r="F105" i="17"/>
  <c r="E105" i="17"/>
  <c r="D105" i="17"/>
  <c r="C105" i="17"/>
  <c r="L104" i="17"/>
  <c r="I104" i="17"/>
  <c r="F104" i="17"/>
  <c r="E104" i="17"/>
  <c r="D104" i="17"/>
  <c r="C104" i="17"/>
  <c r="L103" i="17"/>
  <c r="I103" i="17"/>
  <c r="F103" i="17"/>
  <c r="E103" i="17"/>
  <c r="D103" i="17"/>
  <c r="C103" i="17"/>
  <c r="L102" i="17"/>
  <c r="I102" i="17"/>
  <c r="F102" i="17"/>
  <c r="E102" i="17"/>
  <c r="D102" i="17"/>
  <c r="C102" i="17"/>
  <c r="L101" i="17"/>
  <c r="I101" i="17"/>
  <c r="F101" i="17"/>
  <c r="E101" i="17"/>
  <c r="D101" i="17"/>
  <c r="C101" i="17"/>
  <c r="L100" i="17"/>
  <c r="I100" i="17"/>
  <c r="F100" i="17"/>
  <c r="E100" i="17"/>
  <c r="D100" i="17"/>
  <c r="C100" i="17"/>
  <c r="L99" i="17"/>
  <c r="I99" i="17"/>
  <c r="F99" i="17"/>
  <c r="E99" i="17"/>
  <c r="D99" i="17"/>
  <c r="C99" i="17"/>
  <c r="L98" i="17"/>
  <c r="I98" i="17"/>
  <c r="F98" i="17"/>
  <c r="E98" i="17"/>
  <c r="D98" i="17"/>
  <c r="C98" i="17"/>
  <c r="L97" i="17"/>
  <c r="I97" i="17"/>
  <c r="F97" i="17"/>
  <c r="E97" i="17"/>
  <c r="D97" i="17"/>
  <c r="C97" i="17"/>
  <c r="L96" i="17"/>
  <c r="I96" i="17"/>
  <c r="F96" i="17"/>
  <c r="E96" i="17"/>
  <c r="D96" i="17"/>
  <c r="C96" i="17"/>
  <c r="L95" i="17"/>
  <c r="I95" i="17"/>
  <c r="F95" i="17"/>
  <c r="E95" i="17"/>
  <c r="D95" i="17"/>
  <c r="C95" i="17"/>
  <c r="L94" i="17"/>
  <c r="I94" i="17"/>
  <c r="F94" i="17"/>
  <c r="E94" i="17"/>
  <c r="D94" i="17"/>
  <c r="C94" i="17"/>
  <c r="L93" i="17"/>
  <c r="I93" i="17"/>
  <c r="F93" i="17"/>
  <c r="E93" i="17"/>
  <c r="D93" i="17"/>
  <c r="C93" i="17"/>
  <c r="L92" i="17"/>
  <c r="I92" i="17"/>
  <c r="F92" i="17"/>
  <c r="E92" i="17"/>
  <c r="D92" i="17"/>
  <c r="C92" i="17"/>
  <c r="L91" i="17"/>
  <c r="I91" i="17"/>
  <c r="F91" i="17"/>
  <c r="E91" i="17"/>
  <c r="D91" i="17"/>
  <c r="C91" i="17"/>
  <c r="L90" i="17"/>
  <c r="I90" i="17"/>
  <c r="F90" i="17"/>
  <c r="E90" i="17"/>
  <c r="D90" i="17"/>
  <c r="C90" i="17"/>
  <c r="L89" i="17"/>
  <c r="I89" i="17"/>
  <c r="F89" i="17"/>
  <c r="E89" i="17"/>
  <c r="D89" i="17"/>
  <c r="C89" i="17"/>
  <c r="L88" i="17"/>
  <c r="I88" i="17"/>
  <c r="F88" i="17"/>
  <c r="E88" i="17"/>
  <c r="D88" i="17"/>
  <c r="C88" i="17"/>
  <c r="L87" i="17"/>
  <c r="I87" i="17"/>
  <c r="F87" i="17"/>
  <c r="E87" i="17"/>
  <c r="D87" i="17"/>
  <c r="C87" i="17"/>
  <c r="L86" i="17"/>
  <c r="I86" i="17"/>
  <c r="F86" i="17"/>
  <c r="E86" i="17"/>
  <c r="D86" i="17"/>
  <c r="C86" i="17"/>
  <c r="L85" i="17"/>
  <c r="I85" i="17"/>
  <c r="F85" i="17"/>
  <c r="E85" i="17"/>
  <c r="D85" i="17"/>
  <c r="C85" i="17"/>
  <c r="L84" i="17"/>
  <c r="I84" i="17"/>
  <c r="F84" i="17"/>
  <c r="E84" i="17"/>
  <c r="D84" i="17"/>
  <c r="C84" i="17"/>
  <c r="L83" i="17"/>
  <c r="I83" i="17"/>
  <c r="F83" i="17"/>
  <c r="E83" i="17"/>
  <c r="D83" i="17"/>
  <c r="C83" i="17"/>
  <c r="L82" i="17"/>
  <c r="I82" i="17"/>
  <c r="F82" i="17"/>
  <c r="E82" i="17"/>
  <c r="D82" i="17"/>
  <c r="C82" i="17"/>
  <c r="L81" i="17"/>
  <c r="I81" i="17"/>
  <c r="F81" i="17"/>
  <c r="E81" i="17"/>
  <c r="D81" i="17"/>
  <c r="C81" i="17"/>
  <c r="L80" i="17"/>
  <c r="I80" i="17"/>
  <c r="F80" i="17"/>
  <c r="E80" i="17"/>
  <c r="D80" i="17"/>
  <c r="C80" i="17"/>
  <c r="L79" i="17"/>
  <c r="I79" i="17"/>
  <c r="F79" i="17"/>
  <c r="E79" i="17"/>
  <c r="D79" i="17"/>
  <c r="C79" i="17"/>
  <c r="L78" i="17"/>
  <c r="I78" i="17"/>
  <c r="F78" i="17"/>
  <c r="E78" i="17"/>
  <c r="D78" i="17"/>
  <c r="C78" i="17"/>
  <c r="L77" i="17"/>
  <c r="I77" i="17"/>
  <c r="F77" i="17"/>
  <c r="E77" i="17"/>
  <c r="D77" i="17"/>
  <c r="C77" i="17"/>
  <c r="L76" i="17"/>
  <c r="I76" i="17"/>
  <c r="F76" i="17"/>
  <c r="E76" i="17"/>
  <c r="D76" i="17"/>
  <c r="C76" i="17"/>
  <c r="L75" i="17"/>
  <c r="I75" i="17"/>
  <c r="F75" i="17"/>
  <c r="E75" i="17"/>
  <c r="D75" i="17"/>
  <c r="C75" i="17"/>
  <c r="L74" i="17"/>
  <c r="I74" i="17"/>
  <c r="F74" i="17"/>
  <c r="E74" i="17"/>
  <c r="D74" i="17"/>
  <c r="C74" i="17"/>
  <c r="L73" i="17"/>
  <c r="I73" i="17"/>
  <c r="F73" i="17"/>
  <c r="E73" i="17"/>
  <c r="D73" i="17"/>
  <c r="C73" i="17"/>
  <c r="L72" i="17"/>
  <c r="I72" i="17"/>
  <c r="F72" i="17"/>
  <c r="E72" i="17"/>
  <c r="D72" i="17"/>
  <c r="C72" i="17"/>
  <c r="L71" i="17"/>
  <c r="I71" i="17"/>
  <c r="F71" i="17"/>
  <c r="E71" i="17"/>
  <c r="D71" i="17"/>
  <c r="C71" i="17"/>
  <c r="L70" i="17"/>
  <c r="I70" i="17"/>
  <c r="F70" i="17"/>
  <c r="E70" i="17"/>
  <c r="D70" i="17"/>
  <c r="C70" i="17"/>
  <c r="L69" i="17"/>
  <c r="I69" i="17"/>
  <c r="F69" i="17"/>
  <c r="E69" i="17"/>
  <c r="D69" i="17"/>
  <c r="C69" i="17"/>
  <c r="L68" i="17"/>
  <c r="I68" i="17"/>
  <c r="F68" i="17"/>
  <c r="E68" i="17"/>
  <c r="D68" i="17"/>
  <c r="C68" i="17"/>
  <c r="L67" i="17"/>
  <c r="I67" i="17"/>
  <c r="F67" i="17"/>
  <c r="E67" i="17"/>
  <c r="D67" i="17"/>
  <c r="C67" i="17"/>
  <c r="L66" i="17"/>
  <c r="I66" i="17"/>
  <c r="F66" i="17"/>
  <c r="E66" i="17"/>
  <c r="D66" i="17"/>
  <c r="C66" i="17"/>
  <c r="L65" i="17"/>
  <c r="I65" i="17"/>
  <c r="F65" i="17"/>
  <c r="E65" i="17"/>
  <c r="D65" i="17"/>
  <c r="C65" i="17"/>
  <c r="L64" i="17"/>
  <c r="I64" i="17"/>
  <c r="F64" i="17"/>
  <c r="E64" i="17"/>
  <c r="D64" i="17"/>
  <c r="C64" i="17"/>
  <c r="L63" i="17"/>
  <c r="I63" i="17"/>
  <c r="F63" i="17"/>
  <c r="E63" i="17"/>
  <c r="D63" i="17"/>
  <c r="C63" i="17"/>
  <c r="L62" i="17"/>
  <c r="I62" i="17"/>
  <c r="F62" i="17"/>
  <c r="E62" i="17"/>
  <c r="D62" i="17"/>
  <c r="C62" i="17"/>
  <c r="L61" i="17"/>
  <c r="I61" i="17"/>
  <c r="F61" i="17"/>
  <c r="E61" i="17"/>
  <c r="D61" i="17"/>
  <c r="C61" i="17"/>
  <c r="L60" i="17"/>
  <c r="I60" i="17"/>
  <c r="F60" i="17"/>
  <c r="E60" i="17"/>
  <c r="D60" i="17"/>
  <c r="C60" i="17"/>
  <c r="L59" i="17"/>
  <c r="I59" i="17"/>
  <c r="F59" i="17"/>
  <c r="E59" i="17"/>
  <c r="D59" i="17"/>
  <c r="C59" i="17"/>
  <c r="L58" i="17"/>
  <c r="I58" i="17"/>
  <c r="F58" i="17"/>
  <c r="E58" i="17"/>
  <c r="D58" i="17"/>
  <c r="C58" i="17"/>
  <c r="L57" i="17"/>
  <c r="I57" i="17"/>
  <c r="F57" i="17"/>
  <c r="E57" i="17"/>
  <c r="D57" i="17"/>
  <c r="C57" i="17"/>
  <c r="L56" i="17"/>
  <c r="I56" i="17"/>
  <c r="F56" i="17"/>
  <c r="E56" i="17"/>
  <c r="D56" i="17"/>
  <c r="C56" i="17"/>
  <c r="L55" i="17"/>
  <c r="I55" i="17"/>
  <c r="F55" i="17"/>
  <c r="E55" i="17"/>
  <c r="D55" i="17"/>
  <c r="C55" i="17"/>
  <c r="L54" i="17"/>
  <c r="I54" i="17"/>
  <c r="F54" i="17"/>
  <c r="E54" i="17"/>
  <c r="D54" i="17"/>
  <c r="C54" i="17"/>
  <c r="L53" i="17"/>
  <c r="I53" i="17"/>
  <c r="F53" i="17"/>
  <c r="E53" i="17"/>
  <c r="D53" i="17"/>
  <c r="C53" i="17"/>
  <c r="L52" i="17"/>
  <c r="I52" i="17"/>
  <c r="F52" i="17"/>
  <c r="E52" i="17"/>
  <c r="D52" i="17"/>
  <c r="C52" i="17"/>
  <c r="L51" i="17"/>
  <c r="I51" i="17"/>
  <c r="F51" i="17"/>
  <c r="E51" i="17"/>
  <c r="D51" i="17"/>
  <c r="C51" i="17"/>
  <c r="L50" i="17"/>
  <c r="I50" i="17"/>
  <c r="F50" i="17"/>
  <c r="E50" i="17"/>
  <c r="D50" i="17"/>
  <c r="C50" i="17"/>
  <c r="L49" i="17"/>
  <c r="I49" i="17"/>
  <c r="F49" i="17"/>
  <c r="E49" i="17"/>
  <c r="D49" i="17"/>
  <c r="C49" i="17"/>
  <c r="L48" i="17"/>
  <c r="I48" i="17"/>
  <c r="F48" i="17"/>
  <c r="E48" i="17"/>
  <c r="D48" i="17"/>
  <c r="C48" i="17"/>
  <c r="L47" i="17"/>
  <c r="I47" i="17"/>
  <c r="F47" i="17"/>
  <c r="E47" i="17"/>
  <c r="D47" i="17"/>
  <c r="C47" i="17"/>
  <c r="L46" i="17"/>
  <c r="I46" i="17"/>
  <c r="F46" i="17"/>
  <c r="E46" i="17"/>
  <c r="D46" i="17"/>
  <c r="C46" i="17"/>
  <c r="L45" i="17"/>
  <c r="I45" i="17"/>
  <c r="F45" i="17"/>
  <c r="E45" i="17"/>
  <c r="D45" i="17"/>
  <c r="C45" i="17"/>
  <c r="L44" i="17"/>
  <c r="I44" i="17"/>
  <c r="F44" i="17"/>
  <c r="E44" i="17"/>
  <c r="D44" i="17"/>
  <c r="C44" i="17"/>
  <c r="L43" i="17"/>
  <c r="I43" i="17"/>
  <c r="F43" i="17"/>
  <c r="E43" i="17"/>
  <c r="D43" i="17"/>
  <c r="C43" i="17"/>
  <c r="K42" i="17"/>
  <c r="K42" i="87" s="1"/>
  <c r="J42" i="17"/>
  <c r="H42" i="17"/>
  <c r="F42" i="17"/>
  <c r="L41" i="17"/>
  <c r="I41" i="17"/>
  <c r="F41" i="17"/>
  <c r="E41" i="17"/>
  <c r="D41" i="17"/>
  <c r="C41" i="17"/>
  <c r="L40" i="17"/>
  <c r="I40" i="17"/>
  <c r="F40" i="17"/>
  <c r="E40" i="17"/>
  <c r="D40" i="17"/>
  <c r="C40" i="17"/>
  <c r="L39" i="17"/>
  <c r="I39" i="17"/>
  <c r="F39" i="17"/>
  <c r="E39" i="17"/>
  <c r="D39" i="17"/>
  <c r="C39" i="17"/>
  <c r="K38" i="17"/>
  <c r="J38" i="17"/>
  <c r="H38" i="17"/>
  <c r="F38" i="17"/>
  <c r="L37" i="17"/>
  <c r="I37" i="17"/>
  <c r="F37" i="17"/>
  <c r="E37" i="17"/>
  <c r="D37" i="17"/>
  <c r="C37" i="17"/>
  <c r="L36" i="17"/>
  <c r="I36" i="17"/>
  <c r="F36" i="17"/>
  <c r="E36" i="17"/>
  <c r="D36" i="17"/>
  <c r="C36" i="17"/>
  <c r="L35" i="17"/>
  <c r="I35" i="17"/>
  <c r="F35" i="17"/>
  <c r="E35" i="17"/>
  <c r="D35" i="17"/>
  <c r="C35" i="17"/>
  <c r="K34" i="17"/>
  <c r="J34" i="17"/>
  <c r="H34" i="17"/>
  <c r="F34" i="17"/>
  <c r="L33" i="17"/>
  <c r="I33" i="17"/>
  <c r="F33" i="17"/>
  <c r="E33" i="17"/>
  <c r="D33" i="17"/>
  <c r="C33" i="17"/>
  <c r="L32" i="17"/>
  <c r="I32" i="17"/>
  <c r="F32" i="17"/>
  <c r="E32" i="17"/>
  <c r="D32" i="17"/>
  <c r="C32" i="17"/>
  <c r="L31" i="17"/>
  <c r="I31" i="17"/>
  <c r="F31" i="17"/>
  <c r="E31" i="17"/>
  <c r="D31" i="17"/>
  <c r="C31" i="17"/>
  <c r="L30" i="17"/>
  <c r="I30" i="17"/>
  <c r="F30" i="17"/>
  <c r="E30" i="17"/>
  <c r="D30" i="17"/>
  <c r="C30" i="17"/>
  <c r="L29" i="17"/>
  <c r="I29" i="17"/>
  <c r="F29" i="17"/>
  <c r="E29" i="17"/>
  <c r="D29" i="17"/>
  <c r="C29" i="17"/>
  <c r="L28" i="17"/>
  <c r="I28" i="17"/>
  <c r="F28" i="17"/>
  <c r="E28" i="17"/>
  <c r="D28" i="17"/>
  <c r="C28" i="17"/>
  <c r="L27" i="17"/>
  <c r="I27" i="17"/>
  <c r="F27" i="17"/>
  <c r="E27" i="17"/>
  <c r="D27" i="17"/>
  <c r="C27" i="17"/>
  <c r="L26" i="17"/>
  <c r="I26" i="17"/>
  <c r="F26" i="17"/>
  <c r="E26" i="17"/>
  <c r="D26" i="17"/>
  <c r="C26" i="17"/>
  <c r="L25" i="17"/>
  <c r="I25" i="17"/>
  <c r="F25" i="17"/>
  <c r="E25" i="17"/>
  <c r="D25" i="17"/>
  <c r="C25" i="17"/>
  <c r="L24" i="17"/>
  <c r="I24" i="17"/>
  <c r="F24" i="17"/>
  <c r="E24" i="17"/>
  <c r="D24" i="17"/>
  <c r="C24" i="17"/>
  <c r="L23" i="17"/>
  <c r="I23" i="17"/>
  <c r="F23" i="17"/>
  <c r="E23" i="17"/>
  <c r="D23" i="17"/>
  <c r="C23" i="17"/>
  <c r="L22" i="17"/>
  <c r="I22" i="17"/>
  <c r="F22" i="17"/>
  <c r="E22" i="17"/>
  <c r="D22" i="17"/>
  <c r="C22" i="17"/>
  <c r="L21" i="17"/>
  <c r="I21" i="17"/>
  <c r="F21" i="17"/>
  <c r="E21" i="17"/>
  <c r="D21" i="17"/>
  <c r="C21" i="17"/>
  <c r="L20" i="17"/>
  <c r="I20" i="17"/>
  <c r="F20" i="17"/>
  <c r="E20" i="17"/>
  <c r="D20" i="17"/>
  <c r="C20" i="17"/>
  <c r="L19" i="17"/>
  <c r="I19" i="17"/>
  <c r="F19" i="17"/>
  <c r="E19" i="17"/>
  <c r="D19" i="17"/>
  <c r="C19" i="17"/>
  <c r="L18" i="17"/>
  <c r="I18" i="17"/>
  <c r="F18" i="17"/>
  <c r="E18" i="17"/>
  <c r="D18" i="17"/>
  <c r="C18" i="17"/>
  <c r="L17" i="17"/>
  <c r="I17" i="17"/>
  <c r="F17" i="17"/>
  <c r="E17" i="17"/>
  <c r="D17" i="17"/>
  <c r="C17" i="17"/>
  <c r="L16" i="17"/>
  <c r="I16" i="17"/>
  <c r="F16" i="17"/>
  <c r="E16" i="17"/>
  <c r="D16" i="17"/>
  <c r="C16" i="17"/>
  <c r="L15" i="17"/>
  <c r="I15" i="17"/>
  <c r="F15" i="17"/>
  <c r="E15" i="17"/>
  <c r="D15" i="17"/>
  <c r="C15" i="17"/>
  <c r="L14" i="17"/>
  <c r="I14" i="17"/>
  <c r="F14" i="17"/>
  <c r="E14" i="17"/>
  <c r="D14" i="17"/>
  <c r="C14" i="17"/>
  <c r="L13" i="17"/>
  <c r="I13" i="17"/>
  <c r="F13" i="17"/>
  <c r="E13" i="17"/>
  <c r="D13" i="17"/>
  <c r="C13" i="17"/>
  <c r="L12" i="17"/>
  <c r="I12" i="17"/>
  <c r="F12" i="17"/>
  <c r="E12" i="17"/>
  <c r="D12" i="17"/>
  <c r="C12" i="17"/>
  <c r="L11" i="17"/>
  <c r="I11" i="17"/>
  <c r="F11" i="17"/>
  <c r="E11" i="17"/>
  <c r="D11" i="17"/>
  <c r="C11" i="17"/>
  <c r="L10" i="17"/>
  <c r="I10" i="17"/>
  <c r="F10" i="17"/>
  <c r="E10" i="17"/>
  <c r="D10" i="17"/>
  <c r="C10" i="17"/>
  <c r="L9" i="17"/>
  <c r="I9" i="17"/>
  <c r="F9" i="17"/>
  <c r="E9" i="17"/>
  <c r="D9" i="17"/>
  <c r="C9" i="17"/>
  <c r="L8" i="17"/>
  <c r="I8" i="17"/>
  <c r="F8" i="17"/>
  <c r="E8" i="17"/>
  <c r="D8" i="17"/>
  <c r="C8" i="17"/>
  <c r="L7" i="17"/>
  <c r="I7" i="17"/>
  <c r="F7" i="17"/>
  <c r="E7" i="17"/>
  <c r="D7" i="17"/>
  <c r="C7" i="17"/>
  <c r="L6" i="17"/>
  <c r="I6" i="17"/>
  <c r="F6" i="17"/>
  <c r="E6" i="17"/>
  <c r="D6" i="17"/>
  <c r="C6" i="17"/>
  <c r="CD365" i="16"/>
  <c r="CA365" i="16"/>
  <c r="BW365" i="16"/>
  <c r="BV365" i="16"/>
  <c r="BU365" i="16"/>
  <c r="BB365" i="16"/>
  <c r="AY365" i="16"/>
  <c r="AU365" i="16"/>
  <c r="AT365" i="16"/>
  <c r="AS365" i="16"/>
  <c r="AN365" i="16"/>
  <c r="AK365" i="16"/>
  <c r="AG365" i="16"/>
  <c r="AF365" i="16"/>
  <c r="AE365" i="16"/>
  <c r="Z365" i="16"/>
  <c r="W365" i="16"/>
  <c r="S365" i="16"/>
  <c r="R365" i="16"/>
  <c r="Q365" i="16"/>
  <c r="K365" i="16"/>
  <c r="J365" i="16"/>
  <c r="H365" i="16"/>
  <c r="F365" i="16"/>
  <c r="CD364" i="16"/>
  <c r="CA364" i="16"/>
  <c r="BW364" i="16"/>
  <c r="BV364" i="16"/>
  <c r="BU364" i="16"/>
  <c r="BB364" i="16"/>
  <c r="AY364" i="16"/>
  <c r="AU364" i="16"/>
  <c r="AT364" i="16"/>
  <c r="AS364" i="16"/>
  <c r="AN364" i="16"/>
  <c r="AK364" i="16"/>
  <c r="AG364" i="16"/>
  <c r="AF364" i="16"/>
  <c r="AE364" i="16"/>
  <c r="Z364" i="16"/>
  <c r="W364" i="16"/>
  <c r="S364" i="16"/>
  <c r="R364" i="16"/>
  <c r="Q364" i="16"/>
  <c r="K364" i="16"/>
  <c r="J364" i="16"/>
  <c r="H364" i="16"/>
  <c r="F364" i="16"/>
  <c r="CD363" i="16"/>
  <c r="CA363" i="16"/>
  <c r="BW363" i="16"/>
  <c r="BV363" i="16"/>
  <c r="BU363" i="16"/>
  <c r="BP363" i="16"/>
  <c r="BM363" i="16"/>
  <c r="BI363" i="16"/>
  <c r="BH363" i="16"/>
  <c r="BG363" i="16"/>
  <c r="BB363" i="16"/>
  <c r="AY363" i="16"/>
  <c r="AU363" i="16"/>
  <c r="AT363" i="16"/>
  <c r="AS363" i="16"/>
  <c r="AN363" i="16"/>
  <c r="AK363" i="16"/>
  <c r="AG363" i="16"/>
  <c r="AF363" i="16"/>
  <c r="AE363" i="16"/>
  <c r="Z363" i="16"/>
  <c r="W363" i="16"/>
  <c r="S363" i="16"/>
  <c r="R363" i="16"/>
  <c r="Q363" i="16"/>
  <c r="K363" i="16"/>
  <c r="J363" i="16"/>
  <c r="G363" i="16" s="1"/>
  <c r="H363" i="16"/>
  <c r="F363" i="16"/>
  <c r="CD362" i="16"/>
  <c r="CA362" i="16"/>
  <c r="BW362" i="16"/>
  <c r="BV362" i="16"/>
  <c r="BU362" i="16"/>
  <c r="BP362" i="16"/>
  <c r="BM362" i="16"/>
  <c r="BI362" i="16"/>
  <c r="BH362" i="16"/>
  <c r="BG362" i="16"/>
  <c r="BB362" i="16"/>
  <c r="AY362" i="16"/>
  <c r="AU362" i="16"/>
  <c r="AT362" i="16"/>
  <c r="AS362" i="16"/>
  <c r="AN362" i="16"/>
  <c r="AK362" i="16"/>
  <c r="AG362" i="16"/>
  <c r="AF362" i="16"/>
  <c r="AE362" i="16"/>
  <c r="Z362" i="16"/>
  <c r="W362" i="16"/>
  <c r="S362" i="16"/>
  <c r="R362" i="16"/>
  <c r="Q362" i="16"/>
  <c r="K362" i="16"/>
  <c r="J362" i="16"/>
  <c r="J362" i="87" s="1"/>
  <c r="H362" i="16"/>
  <c r="F362" i="16"/>
  <c r="CD361" i="16"/>
  <c r="CA361" i="16"/>
  <c r="BW361" i="16"/>
  <c r="BV361" i="16"/>
  <c r="BU361" i="16"/>
  <c r="BP361" i="16"/>
  <c r="BM361" i="16"/>
  <c r="BI361" i="16"/>
  <c r="BH361" i="16"/>
  <c r="BG361" i="16"/>
  <c r="BB361" i="16"/>
  <c r="AY361" i="16"/>
  <c r="AU361" i="16"/>
  <c r="AT361" i="16"/>
  <c r="AS361" i="16"/>
  <c r="AN361" i="16"/>
  <c r="AK361" i="16"/>
  <c r="AG361" i="16"/>
  <c r="AF361" i="16"/>
  <c r="AE361" i="16"/>
  <c r="Z361" i="16"/>
  <c r="W361" i="16"/>
  <c r="S361" i="16"/>
  <c r="R361" i="16"/>
  <c r="Q361" i="16"/>
  <c r="K361" i="16"/>
  <c r="J361" i="16"/>
  <c r="G361" i="16" s="1"/>
  <c r="H361" i="16"/>
  <c r="F361" i="16"/>
  <c r="CD360" i="16"/>
  <c r="CA360" i="16"/>
  <c r="BW360" i="16"/>
  <c r="BV360" i="16"/>
  <c r="BU360" i="16"/>
  <c r="BP360" i="16"/>
  <c r="BM360" i="16"/>
  <c r="BI360" i="16"/>
  <c r="BH360" i="16"/>
  <c r="BG360" i="16"/>
  <c r="BB360" i="16"/>
  <c r="AY360" i="16"/>
  <c r="AU360" i="16"/>
  <c r="AT360" i="16"/>
  <c r="AS360" i="16"/>
  <c r="AN360" i="16"/>
  <c r="AK360" i="16"/>
  <c r="AG360" i="16"/>
  <c r="AF360" i="16"/>
  <c r="AE360" i="16"/>
  <c r="Z360" i="16"/>
  <c r="W360" i="16"/>
  <c r="S360" i="16"/>
  <c r="R360" i="16"/>
  <c r="Q360" i="16"/>
  <c r="K360" i="16"/>
  <c r="J360" i="16"/>
  <c r="G360" i="16" s="1"/>
  <c r="H360" i="16"/>
  <c r="F360" i="16"/>
  <c r="F360" i="87" s="1"/>
  <c r="CD359" i="16"/>
  <c r="CA359" i="16"/>
  <c r="BW359" i="16"/>
  <c r="BV359" i="16"/>
  <c r="BU359" i="16"/>
  <c r="BP359" i="16"/>
  <c r="BM359" i="16"/>
  <c r="BI359" i="16"/>
  <c r="BH359" i="16"/>
  <c r="BG359" i="16"/>
  <c r="BB359" i="16"/>
  <c r="AY359" i="16"/>
  <c r="AU359" i="16"/>
  <c r="AT359" i="16"/>
  <c r="AS359" i="16"/>
  <c r="AN359" i="16"/>
  <c r="AK359" i="16"/>
  <c r="AG359" i="16"/>
  <c r="AF359" i="16"/>
  <c r="AE359" i="16"/>
  <c r="Z359" i="16"/>
  <c r="W359" i="16"/>
  <c r="S359" i="16"/>
  <c r="R359" i="16"/>
  <c r="Q359" i="16"/>
  <c r="K359" i="16"/>
  <c r="J359" i="16"/>
  <c r="H359" i="16"/>
  <c r="F359" i="16"/>
  <c r="CD358" i="16"/>
  <c r="CA358" i="16"/>
  <c r="BW358" i="16"/>
  <c r="BV358" i="16"/>
  <c r="BU358" i="16"/>
  <c r="BP358" i="16"/>
  <c r="BM358" i="16"/>
  <c r="BI358" i="16"/>
  <c r="BH358" i="16"/>
  <c r="BG358" i="16"/>
  <c r="BB358" i="16"/>
  <c r="AY358" i="16"/>
  <c r="AU358" i="16"/>
  <c r="AT358" i="16"/>
  <c r="AS358" i="16"/>
  <c r="AN358" i="16"/>
  <c r="AK358" i="16"/>
  <c r="AG358" i="16"/>
  <c r="AF358" i="16"/>
  <c r="AE358" i="16"/>
  <c r="Z358" i="16"/>
  <c r="W358" i="16"/>
  <c r="S358" i="16"/>
  <c r="R358" i="16"/>
  <c r="Q358" i="16"/>
  <c r="K358" i="16"/>
  <c r="J358" i="16"/>
  <c r="H358" i="16"/>
  <c r="F358" i="16"/>
  <c r="CD357" i="16"/>
  <c r="CA357" i="16"/>
  <c r="BW357" i="16"/>
  <c r="BV357" i="16"/>
  <c r="BU357" i="16"/>
  <c r="BP357" i="16"/>
  <c r="BM357" i="16"/>
  <c r="BI357" i="16"/>
  <c r="BH357" i="16"/>
  <c r="BG357" i="16"/>
  <c r="BB357" i="16"/>
  <c r="AY357" i="16"/>
  <c r="AU357" i="16"/>
  <c r="AT357" i="16"/>
  <c r="AS357" i="16"/>
  <c r="AN357" i="16"/>
  <c r="AK357" i="16"/>
  <c r="AG357" i="16"/>
  <c r="AF357" i="16"/>
  <c r="AE357" i="16"/>
  <c r="Z357" i="16"/>
  <c r="W357" i="16"/>
  <c r="S357" i="16"/>
  <c r="R357" i="16"/>
  <c r="Q357" i="16"/>
  <c r="K357" i="16"/>
  <c r="J357" i="16"/>
  <c r="G357" i="16" s="1"/>
  <c r="H357" i="16"/>
  <c r="F357" i="16"/>
  <c r="CD356" i="16"/>
  <c r="CA356" i="16"/>
  <c r="BW356" i="16"/>
  <c r="BV356" i="16"/>
  <c r="BU356" i="16"/>
  <c r="BP356" i="16"/>
  <c r="BM356" i="16"/>
  <c r="BI356" i="16"/>
  <c r="BH356" i="16"/>
  <c r="BG356" i="16"/>
  <c r="BB356" i="16"/>
  <c r="AY356" i="16"/>
  <c r="AU356" i="16"/>
  <c r="AT356" i="16"/>
  <c r="AS356" i="16"/>
  <c r="AN356" i="16"/>
  <c r="AK356" i="16"/>
  <c r="AG356" i="16"/>
  <c r="AF356" i="16"/>
  <c r="AE356" i="16"/>
  <c r="Z356" i="16"/>
  <c r="W356" i="16"/>
  <c r="S356" i="16"/>
  <c r="R356" i="16"/>
  <c r="Q356" i="16"/>
  <c r="K356" i="16"/>
  <c r="J356" i="16"/>
  <c r="G356" i="16" s="1"/>
  <c r="H356" i="16"/>
  <c r="F356" i="16"/>
  <c r="CD355" i="16"/>
  <c r="CA355" i="16"/>
  <c r="BW355" i="16"/>
  <c r="BV355" i="16"/>
  <c r="BU355" i="16"/>
  <c r="BP355" i="16"/>
  <c r="BM355" i="16"/>
  <c r="BI355" i="16"/>
  <c r="BH355" i="16"/>
  <c r="BG355" i="16"/>
  <c r="BB355" i="16"/>
  <c r="AY355" i="16"/>
  <c r="AU355" i="16"/>
  <c r="AT355" i="16"/>
  <c r="AS355" i="16"/>
  <c r="AN355" i="16"/>
  <c r="AK355" i="16"/>
  <c r="AG355" i="16"/>
  <c r="AF355" i="16"/>
  <c r="AE355" i="16"/>
  <c r="Z355" i="16"/>
  <c r="W355" i="16"/>
  <c r="S355" i="16"/>
  <c r="R355" i="16"/>
  <c r="Q355" i="16"/>
  <c r="K355" i="16"/>
  <c r="J355" i="16"/>
  <c r="H355" i="16"/>
  <c r="F355" i="16"/>
  <c r="CD354" i="16"/>
  <c r="CA354" i="16"/>
  <c r="BW354" i="16"/>
  <c r="BV354" i="16"/>
  <c r="BU354" i="16"/>
  <c r="BP354" i="16"/>
  <c r="BM354" i="16"/>
  <c r="BI354" i="16"/>
  <c r="BH354" i="16"/>
  <c r="BG354" i="16"/>
  <c r="BB354" i="16"/>
  <c r="AY354" i="16"/>
  <c r="AU354" i="16"/>
  <c r="AT354" i="16"/>
  <c r="AS354" i="16"/>
  <c r="AN354" i="16"/>
  <c r="AK354" i="16"/>
  <c r="AG354" i="16"/>
  <c r="AF354" i="16"/>
  <c r="AE354" i="16"/>
  <c r="Z354" i="16"/>
  <c r="W354" i="16"/>
  <c r="S354" i="16"/>
  <c r="R354" i="16"/>
  <c r="Q354" i="16"/>
  <c r="K354" i="16"/>
  <c r="J354" i="16"/>
  <c r="H354" i="16"/>
  <c r="F354" i="16"/>
  <c r="CD353" i="16"/>
  <c r="CA353" i="16"/>
  <c r="BW353" i="16"/>
  <c r="BV353" i="16"/>
  <c r="BU353" i="16"/>
  <c r="BP353" i="16"/>
  <c r="BM353" i="16"/>
  <c r="BI353" i="16"/>
  <c r="BH353" i="16"/>
  <c r="BG353" i="16"/>
  <c r="BB353" i="16"/>
  <c r="AY353" i="16"/>
  <c r="AU353" i="16"/>
  <c r="AT353" i="16"/>
  <c r="AS353" i="16"/>
  <c r="AN353" i="16"/>
  <c r="AK353" i="16"/>
  <c r="AG353" i="16"/>
  <c r="AF353" i="16"/>
  <c r="AE353" i="16"/>
  <c r="Z353" i="16"/>
  <c r="W353" i="16"/>
  <c r="S353" i="16"/>
  <c r="R353" i="16"/>
  <c r="Q353" i="16"/>
  <c r="K353" i="16"/>
  <c r="J353" i="16"/>
  <c r="H353" i="16"/>
  <c r="F353" i="16"/>
  <c r="CD352" i="16"/>
  <c r="CA352" i="16"/>
  <c r="BW352" i="16"/>
  <c r="BV352" i="16"/>
  <c r="BU352" i="16"/>
  <c r="BP352" i="16"/>
  <c r="BM352" i="16"/>
  <c r="BI352" i="16"/>
  <c r="BH352" i="16"/>
  <c r="BG352" i="16"/>
  <c r="BB352" i="16"/>
  <c r="AY352" i="16"/>
  <c r="AU352" i="16"/>
  <c r="AT352" i="16"/>
  <c r="AS352" i="16"/>
  <c r="AN352" i="16"/>
  <c r="AK352" i="16"/>
  <c r="AG352" i="16"/>
  <c r="AF352" i="16"/>
  <c r="AE352" i="16"/>
  <c r="Z352" i="16"/>
  <c r="W352" i="16"/>
  <c r="S352" i="16"/>
  <c r="R352" i="16"/>
  <c r="Q352" i="16"/>
  <c r="K352" i="16"/>
  <c r="J352" i="16"/>
  <c r="G352" i="16" s="1"/>
  <c r="H352" i="16"/>
  <c r="F352" i="16"/>
  <c r="CD351" i="16"/>
  <c r="CA351" i="16"/>
  <c r="BW351" i="16"/>
  <c r="BV351" i="16"/>
  <c r="BU351" i="16"/>
  <c r="BP351" i="16"/>
  <c r="BM351" i="16"/>
  <c r="BI351" i="16"/>
  <c r="BH351" i="16"/>
  <c r="BG351" i="16"/>
  <c r="BB351" i="16"/>
  <c r="AY351" i="16"/>
  <c r="AU351" i="16"/>
  <c r="AT351" i="16"/>
  <c r="AS351" i="16"/>
  <c r="AN351" i="16"/>
  <c r="AK351" i="16"/>
  <c r="AG351" i="16"/>
  <c r="AF351" i="16"/>
  <c r="AE351" i="16"/>
  <c r="Z351" i="16"/>
  <c r="W351" i="16"/>
  <c r="S351" i="16"/>
  <c r="R351" i="16"/>
  <c r="Q351" i="16"/>
  <c r="K351" i="16"/>
  <c r="J351" i="16"/>
  <c r="G351" i="16" s="1"/>
  <c r="H351" i="16"/>
  <c r="F351" i="16"/>
  <c r="CD350" i="16"/>
  <c r="CA350" i="16"/>
  <c r="BW350" i="16"/>
  <c r="BV350" i="16"/>
  <c r="BU350" i="16"/>
  <c r="BP350" i="16"/>
  <c r="BM350" i="16"/>
  <c r="BI350" i="16"/>
  <c r="BH350" i="16"/>
  <c r="BG350" i="16"/>
  <c r="BB350" i="16"/>
  <c r="AY350" i="16"/>
  <c r="AU350" i="16"/>
  <c r="AT350" i="16"/>
  <c r="AS350" i="16"/>
  <c r="AN350" i="16"/>
  <c r="AK350" i="16"/>
  <c r="AG350" i="16"/>
  <c r="AF350" i="16"/>
  <c r="AE350" i="16"/>
  <c r="Z350" i="16"/>
  <c r="W350" i="16"/>
  <c r="S350" i="16"/>
  <c r="R350" i="16"/>
  <c r="Q350" i="16"/>
  <c r="K350" i="16"/>
  <c r="J350" i="16"/>
  <c r="H350" i="16"/>
  <c r="F350" i="16"/>
  <c r="CD349" i="16"/>
  <c r="CA349" i="16"/>
  <c r="BW349" i="16"/>
  <c r="BV349" i="16"/>
  <c r="BU349" i="16"/>
  <c r="BP349" i="16"/>
  <c r="BM349" i="16"/>
  <c r="BI349" i="16"/>
  <c r="BH349" i="16"/>
  <c r="BG349" i="16"/>
  <c r="BB349" i="16"/>
  <c r="AY349" i="16"/>
  <c r="AU349" i="16"/>
  <c r="AT349" i="16"/>
  <c r="AS349" i="16"/>
  <c r="AN349" i="16"/>
  <c r="AK349" i="16"/>
  <c r="AG349" i="16"/>
  <c r="AF349" i="16"/>
  <c r="AE349" i="16"/>
  <c r="Z349" i="16"/>
  <c r="W349" i="16"/>
  <c r="S349" i="16"/>
  <c r="R349" i="16"/>
  <c r="Q349" i="16"/>
  <c r="K349" i="16"/>
  <c r="J349" i="16"/>
  <c r="G349" i="16" s="1"/>
  <c r="H349" i="16"/>
  <c r="F349" i="16"/>
  <c r="CD348" i="16"/>
  <c r="CA348" i="16"/>
  <c r="BW348" i="16"/>
  <c r="BV348" i="16"/>
  <c r="BU348" i="16"/>
  <c r="BP348" i="16"/>
  <c r="BM348" i="16"/>
  <c r="BI348" i="16"/>
  <c r="BH348" i="16"/>
  <c r="BG348" i="16"/>
  <c r="BB348" i="16"/>
  <c r="AY348" i="16"/>
  <c r="AU348" i="16"/>
  <c r="AT348" i="16"/>
  <c r="AS348" i="16"/>
  <c r="AN348" i="16"/>
  <c r="AK348" i="16"/>
  <c r="AG348" i="16"/>
  <c r="AF348" i="16"/>
  <c r="AE348" i="16"/>
  <c r="Z348" i="16"/>
  <c r="W348" i="16"/>
  <c r="S348" i="16"/>
  <c r="R348" i="16"/>
  <c r="Q348" i="16"/>
  <c r="K348" i="16"/>
  <c r="J348" i="16"/>
  <c r="G348" i="16" s="1"/>
  <c r="H348" i="16"/>
  <c r="F348" i="16"/>
  <c r="CD347" i="16"/>
  <c r="CA347" i="16"/>
  <c r="BW347" i="16"/>
  <c r="BV347" i="16"/>
  <c r="BU347" i="16"/>
  <c r="BP347" i="16"/>
  <c r="BM347" i="16"/>
  <c r="BI347" i="16"/>
  <c r="BH347" i="16"/>
  <c r="BG347" i="16"/>
  <c r="BB347" i="16"/>
  <c r="AY347" i="16"/>
  <c r="AU347" i="16"/>
  <c r="AT347" i="16"/>
  <c r="AS347" i="16"/>
  <c r="AN347" i="16"/>
  <c r="AK347" i="16"/>
  <c r="AG347" i="16"/>
  <c r="AF347" i="16"/>
  <c r="AE347" i="16"/>
  <c r="Z347" i="16"/>
  <c r="W347" i="16"/>
  <c r="S347" i="16"/>
  <c r="R347" i="16"/>
  <c r="Q347" i="16"/>
  <c r="K347" i="16"/>
  <c r="J347" i="16"/>
  <c r="H347" i="16"/>
  <c r="F347" i="16"/>
  <c r="CD346" i="16"/>
  <c r="CA346" i="16"/>
  <c r="BW346" i="16"/>
  <c r="BV346" i="16"/>
  <c r="BU346" i="16"/>
  <c r="BP346" i="16"/>
  <c r="BM346" i="16"/>
  <c r="BI346" i="16"/>
  <c r="BH346" i="16"/>
  <c r="BG346" i="16"/>
  <c r="BB346" i="16"/>
  <c r="AY346" i="16"/>
  <c r="AU346" i="16"/>
  <c r="AT346" i="16"/>
  <c r="AS346" i="16"/>
  <c r="AN346" i="16"/>
  <c r="AK346" i="16"/>
  <c r="AG346" i="16"/>
  <c r="AF346" i="16"/>
  <c r="AE346" i="16"/>
  <c r="Z346" i="16"/>
  <c r="W346" i="16"/>
  <c r="S346" i="16"/>
  <c r="R346" i="16"/>
  <c r="Q346" i="16"/>
  <c r="K346" i="16"/>
  <c r="J346" i="16"/>
  <c r="H346" i="16"/>
  <c r="F346" i="16"/>
  <c r="CD345" i="16"/>
  <c r="CA345" i="16"/>
  <c r="BW345" i="16"/>
  <c r="BV345" i="16"/>
  <c r="BU345" i="16"/>
  <c r="BP345" i="16"/>
  <c r="BM345" i="16"/>
  <c r="BI345" i="16"/>
  <c r="BH345" i="16"/>
  <c r="BG345" i="16"/>
  <c r="BB345" i="16"/>
  <c r="AY345" i="16"/>
  <c r="AU345" i="16"/>
  <c r="AT345" i="16"/>
  <c r="AS345" i="16"/>
  <c r="AN345" i="16"/>
  <c r="AK345" i="16"/>
  <c r="AG345" i="16"/>
  <c r="AF345" i="16"/>
  <c r="AE345" i="16"/>
  <c r="Z345" i="16"/>
  <c r="W345" i="16"/>
  <c r="S345" i="16"/>
  <c r="R345" i="16"/>
  <c r="Q345" i="16"/>
  <c r="K345" i="16"/>
  <c r="J345" i="16"/>
  <c r="G345" i="16" s="1"/>
  <c r="H345" i="16"/>
  <c r="F345" i="16"/>
  <c r="CD344" i="16"/>
  <c r="CA344" i="16"/>
  <c r="BW344" i="16"/>
  <c r="BV344" i="16"/>
  <c r="BU344" i="16"/>
  <c r="BP344" i="16"/>
  <c r="BM344" i="16"/>
  <c r="BI344" i="16"/>
  <c r="BH344" i="16"/>
  <c r="BG344" i="16"/>
  <c r="BB344" i="16"/>
  <c r="AY344" i="16"/>
  <c r="AU344" i="16"/>
  <c r="AT344" i="16"/>
  <c r="AS344" i="16"/>
  <c r="AN344" i="16"/>
  <c r="AK344" i="16"/>
  <c r="AG344" i="16"/>
  <c r="AF344" i="16"/>
  <c r="AE344" i="16"/>
  <c r="Z344" i="16"/>
  <c r="W344" i="16"/>
  <c r="S344" i="16"/>
  <c r="R344" i="16"/>
  <c r="Q344" i="16"/>
  <c r="K344" i="16"/>
  <c r="J344" i="16"/>
  <c r="H344" i="16"/>
  <c r="F344" i="16"/>
  <c r="CD343" i="16"/>
  <c r="CA343" i="16"/>
  <c r="BW343" i="16"/>
  <c r="BV343" i="16"/>
  <c r="BU343" i="16"/>
  <c r="BP343" i="16"/>
  <c r="BM343" i="16"/>
  <c r="BI343" i="16"/>
  <c r="BH343" i="16"/>
  <c r="BG343" i="16"/>
  <c r="BB343" i="16"/>
  <c r="AY343" i="16"/>
  <c r="AU343" i="16"/>
  <c r="AT343" i="16"/>
  <c r="AS343" i="16"/>
  <c r="AN343" i="16"/>
  <c r="AK343" i="16"/>
  <c r="AG343" i="16"/>
  <c r="AF343" i="16"/>
  <c r="AE343" i="16"/>
  <c r="Z343" i="16"/>
  <c r="W343" i="16"/>
  <c r="S343" i="16"/>
  <c r="R343" i="16"/>
  <c r="Q343" i="16"/>
  <c r="K343" i="16"/>
  <c r="J343" i="16"/>
  <c r="J343" i="87" s="1"/>
  <c r="H343" i="16"/>
  <c r="F343" i="16"/>
  <c r="CD342" i="16"/>
  <c r="CA342" i="16"/>
  <c r="BW342" i="16"/>
  <c r="BV342" i="16"/>
  <c r="BU342" i="16"/>
  <c r="BP342" i="16"/>
  <c r="BM342" i="16"/>
  <c r="BI342" i="16"/>
  <c r="BH342" i="16"/>
  <c r="BG342" i="16"/>
  <c r="BB342" i="16"/>
  <c r="AY342" i="16"/>
  <c r="AU342" i="16"/>
  <c r="AT342" i="16"/>
  <c r="AS342" i="16"/>
  <c r="AN342" i="16"/>
  <c r="AK342" i="16"/>
  <c r="AG342" i="16"/>
  <c r="AF342" i="16"/>
  <c r="AE342" i="16"/>
  <c r="Z342" i="16"/>
  <c r="W342" i="16"/>
  <c r="S342" i="16"/>
  <c r="R342" i="16"/>
  <c r="Q342" i="16"/>
  <c r="K342" i="16"/>
  <c r="J342" i="16"/>
  <c r="H342" i="16"/>
  <c r="F342" i="16"/>
  <c r="CD341" i="16"/>
  <c r="CA341" i="16"/>
  <c r="BW341" i="16"/>
  <c r="BV341" i="16"/>
  <c r="BU341" i="16"/>
  <c r="BP341" i="16"/>
  <c r="BM341" i="16"/>
  <c r="BI341" i="16"/>
  <c r="BH341" i="16"/>
  <c r="BG341" i="16"/>
  <c r="BB341" i="16"/>
  <c r="AY341" i="16"/>
  <c r="AU341" i="16"/>
  <c r="AT341" i="16"/>
  <c r="AS341" i="16"/>
  <c r="AN341" i="16"/>
  <c r="AK341" i="16"/>
  <c r="AG341" i="16"/>
  <c r="AF341" i="16"/>
  <c r="AE341" i="16"/>
  <c r="Z341" i="16"/>
  <c r="W341" i="16"/>
  <c r="S341" i="16"/>
  <c r="R341" i="16"/>
  <c r="Q341" i="16"/>
  <c r="K341" i="16"/>
  <c r="J341" i="16"/>
  <c r="G341" i="16" s="1"/>
  <c r="H341" i="16"/>
  <c r="F341" i="16"/>
  <c r="CD340" i="16"/>
  <c r="CA340" i="16"/>
  <c r="BW340" i="16"/>
  <c r="BV340" i="16"/>
  <c r="BU340" i="16"/>
  <c r="BP340" i="16"/>
  <c r="BM340" i="16"/>
  <c r="BI340" i="16"/>
  <c r="BH340" i="16"/>
  <c r="BG340" i="16"/>
  <c r="BB340" i="16"/>
  <c r="AY340" i="16"/>
  <c r="AU340" i="16"/>
  <c r="AT340" i="16"/>
  <c r="AS340" i="16"/>
  <c r="AN340" i="16"/>
  <c r="AK340" i="16"/>
  <c r="AG340" i="16"/>
  <c r="AF340" i="16"/>
  <c r="AE340" i="16"/>
  <c r="Z340" i="16"/>
  <c r="W340" i="16"/>
  <c r="S340" i="16"/>
  <c r="R340" i="16"/>
  <c r="Q340" i="16"/>
  <c r="K340" i="16"/>
  <c r="J340" i="16"/>
  <c r="G340" i="16" s="1"/>
  <c r="H340" i="16"/>
  <c r="F340" i="16"/>
  <c r="CD339" i="16"/>
  <c r="CA339" i="16"/>
  <c r="BW339" i="16"/>
  <c r="BV339" i="16"/>
  <c r="BU339" i="16"/>
  <c r="BP339" i="16"/>
  <c r="BM339" i="16"/>
  <c r="BI339" i="16"/>
  <c r="BH339" i="16"/>
  <c r="BG339" i="16"/>
  <c r="BB339" i="16"/>
  <c r="AY339" i="16"/>
  <c r="AU339" i="16"/>
  <c r="AT339" i="16"/>
  <c r="AS339" i="16"/>
  <c r="AN339" i="16"/>
  <c r="AK339" i="16"/>
  <c r="AG339" i="16"/>
  <c r="AF339" i="16"/>
  <c r="AE339" i="16"/>
  <c r="Z339" i="16"/>
  <c r="W339" i="16"/>
  <c r="S339" i="16"/>
  <c r="R339" i="16"/>
  <c r="Q339" i="16"/>
  <c r="K339" i="16"/>
  <c r="J339" i="16"/>
  <c r="H339" i="16"/>
  <c r="F339" i="16"/>
  <c r="CD338" i="16"/>
  <c r="CA338" i="16"/>
  <c r="BW338" i="16"/>
  <c r="BV338" i="16"/>
  <c r="BU338" i="16"/>
  <c r="BP338" i="16"/>
  <c r="BM338" i="16"/>
  <c r="BI338" i="16"/>
  <c r="BH338" i="16"/>
  <c r="BG338" i="16"/>
  <c r="BB338" i="16"/>
  <c r="AY338" i="16"/>
  <c r="AU338" i="16"/>
  <c r="AT338" i="16"/>
  <c r="AS338" i="16"/>
  <c r="AN338" i="16"/>
  <c r="AK338" i="16"/>
  <c r="AG338" i="16"/>
  <c r="AF338" i="16"/>
  <c r="AE338" i="16"/>
  <c r="Z338" i="16"/>
  <c r="W338" i="16"/>
  <c r="S338" i="16"/>
  <c r="R338" i="16"/>
  <c r="Q338" i="16"/>
  <c r="K338" i="16"/>
  <c r="J338" i="16"/>
  <c r="H338" i="16"/>
  <c r="F338" i="16"/>
  <c r="CD337" i="16"/>
  <c r="CA337" i="16"/>
  <c r="BW337" i="16"/>
  <c r="BV337" i="16"/>
  <c r="BU337" i="16"/>
  <c r="BP337" i="16"/>
  <c r="BM337" i="16"/>
  <c r="BI337" i="16"/>
  <c r="BH337" i="16"/>
  <c r="BG337" i="16"/>
  <c r="BB337" i="16"/>
  <c r="AY337" i="16"/>
  <c r="AU337" i="16"/>
  <c r="AT337" i="16"/>
  <c r="AS337" i="16"/>
  <c r="AN337" i="16"/>
  <c r="AK337" i="16"/>
  <c r="AG337" i="16"/>
  <c r="AF337" i="16"/>
  <c r="AE337" i="16"/>
  <c r="Z337" i="16"/>
  <c r="W337" i="16"/>
  <c r="S337" i="16"/>
  <c r="R337" i="16"/>
  <c r="Q337" i="16"/>
  <c r="K337" i="16"/>
  <c r="J337" i="16"/>
  <c r="H337" i="16"/>
  <c r="F337" i="16"/>
  <c r="CD336" i="16"/>
  <c r="CA336" i="16"/>
  <c r="BW336" i="16"/>
  <c r="BV336" i="16"/>
  <c r="BU336" i="16"/>
  <c r="BP336" i="16"/>
  <c r="BM336" i="16"/>
  <c r="BI336" i="16"/>
  <c r="BH336" i="16"/>
  <c r="BG336" i="16"/>
  <c r="BB336" i="16"/>
  <c r="AY336" i="16"/>
  <c r="AU336" i="16"/>
  <c r="AT336" i="16"/>
  <c r="AS336" i="16"/>
  <c r="AN336" i="16"/>
  <c r="AK336" i="16"/>
  <c r="AG336" i="16"/>
  <c r="AF336" i="16"/>
  <c r="AE336" i="16"/>
  <c r="Z336" i="16"/>
  <c r="W336" i="16"/>
  <c r="S336" i="16"/>
  <c r="R336" i="16"/>
  <c r="Q336" i="16"/>
  <c r="K336" i="16"/>
  <c r="J336" i="16"/>
  <c r="H336" i="16"/>
  <c r="F336" i="16"/>
  <c r="CD335" i="16"/>
  <c r="CA335" i="16"/>
  <c r="BW335" i="16"/>
  <c r="BV335" i="16"/>
  <c r="BU335" i="16"/>
  <c r="BP335" i="16"/>
  <c r="BM335" i="16"/>
  <c r="BI335" i="16"/>
  <c r="BH335" i="16"/>
  <c r="BG335" i="16"/>
  <c r="BB335" i="16"/>
  <c r="AY335" i="16"/>
  <c r="AU335" i="16"/>
  <c r="AT335" i="16"/>
  <c r="AS335" i="16"/>
  <c r="AN335" i="16"/>
  <c r="AK335" i="16"/>
  <c r="AG335" i="16"/>
  <c r="AF335" i="16"/>
  <c r="AE335" i="16"/>
  <c r="Z335" i="16"/>
  <c r="W335" i="16"/>
  <c r="S335" i="16"/>
  <c r="R335" i="16"/>
  <c r="Q335" i="16"/>
  <c r="K335" i="16"/>
  <c r="J335" i="16"/>
  <c r="H335" i="16"/>
  <c r="F335" i="16"/>
  <c r="CD334" i="16"/>
  <c r="CA334" i="16"/>
  <c r="BW334" i="16"/>
  <c r="BV334" i="16"/>
  <c r="BU334" i="16"/>
  <c r="BP334" i="16"/>
  <c r="BM334" i="16"/>
  <c r="BI334" i="16"/>
  <c r="BH334" i="16"/>
  <c r="BG334" i="16"/>
  <c r="BB334" i="16"/>
  <c r="AY334" i="16"/>
  <c r="AU334" i="16"/>
  <c r="AT334" i="16"/>
  <c r="AS334" i="16"/>
  <c r="AN334" i="16"/>
  <c r="AK334" i="16"/>
  <c r="AG334" i="16"/>
  <c r="AF334" i="16"/>
  <c r="AE334" i="16"/>
  <c r="Z334" i="16"/>
  <c r="W334" i="16"/>
  <c r="S334" i="16"/>
  <c r="R334" i="16"/>
  <c r="Q334" i="16"/>
  <c r="K334" i="16"/>
  <c r="J334" i="16"/>
  <c r="H334" i="16"/>
  <c r="F334" i="16"/>
  <c r="CD333" i="16"/>
  <c r="CA333" i="16"/>
  <c r="BW333" i="16"/>
  <c r="BV333" i="16"/>
  <c r="BU333" i="16"/>
  <c r="BP333" i="16"/>
  <c r="BM333" i="16"/>
  <c r="BI333" i="16"/>
  <c r="BH333" i="16"/>
  <c r="BG333" i="16"/>
  <c r="BB333" i="16"/>
  <c r="AY333" i="16"/>
  <c r="AU333" i="16"/>
  <c r="AT333" i="16"/>
  <c r="AS333" i="16"/>
  <c r="AN333" i="16"/>
  <c r="AK333" i="16"/>
  <c r="AG333" i="16"/>
  <c r="AF333" i="16"/>
  <c r="AE333" i="16"/>
  <c r="Z333" i="16"/>
  <c r="W333" i="16"/>
  <c r="S333" i="16"/>
  <c r="R333" i="16"/>
  <c r="Q333" i="16"/>
  <c r="K333" i="16"/>
  <c r="J333" i="16"/>
  <c r="G333" i="16" s="1"/>
  <c r="H333" i="16"/>
  <c r="F333" i="16"/>
  <c r="CD332" i="16"/>
  <c r="CA332" i="16"/>
  <c r="BW332" i="16"/>
  <c r="BV332" i="16"/>
  <c r="BU332" i="16"/>
  <c r="BP332" i="16"/>
  <c r="BM332" i="16"/>
  <c r="BI332" i="16"/>
  <c r="BH332" i="16"/>
  <c r="BG332" i="16"/>
  <c r="BB332" i="16"/>
  <c r="AY332" i="16"/>
  <c r="AU332" i="16"/>
  <c r="AT332" i="16"/>
  <c r="AS332" i="16"/>
  <c r="AN332" i="16"/>
  <c r="AK332" i="16"/>
  <c r="AG332" i="16"/>
  <c r="AF332" i="16"/>
  <c r="AE332" i="16"/>
  <c r="Z332" i="16"/>
  <c r="W332" i="16"/>
  <c r="S332" i="16"/>
  <c r="R332" i="16"/>
  <c r="Q332" i="16"/>
  <c r="K332" i="16"/>
  <c r="J332" i="16"/>
  <c r="G332" i="16" s="1"/>
  <c r="H332" i="16"/>
  <c r="F332" i="16"/>
  <c r="CD331" i="16"/>
  <c r="CA331" i="16"/>
  <c r="BW331" i="16"/>
  <c r="BV331" i="16"/>
  <c r="BU331" i="16"/>
  <c r="BP331" i="16"/>
  <c r="BM331" i="16"/>
  <c r="BI331" i="16"/>
  <c r="BH331" i="16"/>
  <c r="BG331" i="16"/>
  <c r="BB331" i="16"/>
  <c r="AY331" i="16"/>
  <c r="AU331" i="16"/>
  <c r="AT331" i="16"/>
  <c r="AS331" i="16"/>
  <c r="AN331" i="16"/>
  <c r="AK331" i="16"/>
  <c r="AG331" i="16"/>
  <c r="AF331" i="16"/>
  <c r="AE331" i="16"/>
  <c r="Z331" i="16"/>
  <c r="W331" i="16"/>
  <c r="S331" i="16"/>
  <c r="R331" i="16"/>
  <c r="Q331" i="16"/>
  <c r="K331" i="16"/>
  <c r="J331" i="16"/>
  <c r="H331" i="16"/>
  <c r="F331" i="16"/>
  <c r="CD330" i="16"/>
  <c r="CA330" i="16"/>
  <c r="BW330" i="16"/>
  <c r="BV330" i="16"/>
  <c r="BU330" i="16"/>
  <c r="BP330" i="16"/>
  <c r="BM330" i="16"/>
  <c r="BI330" i="16"/>
  <c r="BH330" i="16"/>
  <c r="BG330" i="16"/>
  <c r="BB330" i="16"/>
  <c r="AY330" i="16"/>
  <c r="AU330" i="16"/>
  <c r="AT330" i="16"/>
  <c r="AS330" i="16"/>
  <c r="AN330" i="16"/>
  <c r="AK330" i="16"/>
  <c r="AG330" i="16"/>
  <c r="AF330" i="16"/>
  <c r="AE330" i="16"/>
  <c r="Z330" i="16"/>
  <c r="W330" i="16"/>
  <c r="S330" i="16"/>
  <c r="R330" i="16"/>
  <c r="Q330" i="16"/>
  <c r="K330" i="16"/>
  <c r="J330" i="16"/>
  <c r="H330" i="16"/>
  <c r="F330" i="16"/>
  <c r="CD329" i="16"/>
  <c r="CA329" i="16"/>
  <c r="BW329" i="16"/>
  <c r="BV329" i="16"/>
  <c r="BU329" i="16"/>
  <c r="BP329" i="16"/>
  <c r="BM329" i="16"/>
  <c r="BI329" i="16"/>
  <c r="BH329" i="16"/>
  <c r="BG329" i="16"/>
  <c r="BB329" i="16"/>
  <c r="AY329" i="16"/>
  <c r="AU329" i="16"/>
  <c r="AT329" i="16"/>
  <c r="AS329" i="16"/>
  <c r="AN329" i="16"/>
  <c r="AK329" i="16"/>
  <c r="AG329" i="16"/>
  <c r="AF329" i="16"/>
  <c r="AE329" i="16"/>
  <c r="Z329" i="16"/>
  <c r="W329" i="16"/>
  <c r="S329" i="16"/>
  <c r="R329" i="16"/>
  <c r="Q329" i="16"/>
  <c r="K329" i="16"/>
  <c r="J329" i="16"/>
  <c r="G329" i="16" s="1"/>
  <c r="H329" i="16"/>
  <c r="F329" i="16"/>
  <c r="CD328" i="16"/>
  <c r="CA328" i="16"/>
  <c r="BW328" i="16"/>
  <c r="BV328" i="16"/>
  <c r="BU328" i="16"/>
  <c r="BP328" i="16"/>
  <c r="BM328" i="16"/>
  <c r="BI328" i="16"/>
  <c r="BH328" i="16"/>
  <c r="BG328" i="16"/>
  <c r="BB328" i="16"/>
  <c r="AY328" i="16"/>
  <c r="AU328" i="16"/>
  <c r="AT328" i="16"/>
  <c r="AS328" i="16"/>
  <c r="AN328" i="16"/>
  <c r="AK328" i="16"/>
  <c r="AG328" i="16"/>
  <c r="AF328" i="16"/>
  <c r="AE328" i="16"/>
  <c r="Z328" i="16"/>
  <c r="W328" i="16"/>
  <c r="S328" i="16"/>
  <c r="R328" i="16"/>
  <c r="Q328" i="16"/>
  <c r="K328" i="16"/>
  <c r="J328" i="16"/>
  <c r="G328" i="16" s="1"/>
  <c r="H328" i="16"/>
  <c r="F328" i="16"/>
  <c r="CD327" i="16"/>
  <c r="CA327" i="16"/>
  <c r="BW327" i="16"/>
  <c r="BV327" i="16"/>
  <c r="BU327" i="16"/>
  <c r="BP327" i="16"/>
  <c r="BM327" i="16"/>
  <c r="BI327" i="16"/>
  <c r="BH327" i="16"/>
  <c r="BG327" i="16"/>
  <c r="BB327" i="16"/>
  <c r="AY327" i="16"/>
  <c r="AU327" i="16"/>
  <c r="AT327" i="16"/>
  <c r="AS327" i="16"/>
  <c r="AN327" i="16"/>
  <c r="AK327" i="16"/>
  <c r="AG327" i="16"/>
  <c r="AF327" i="16"/>
  <c r="AE327" i="16"/>
  <c r="Z327" i="16"/>
  <c r="W327" i="16"/>
  <c r="S327" i="16"/>
  <c r="R327" i="16"/>
  <c r="Q327" i="16"/>
  <c r="K327" i="16"/>
  <c r="J327" i="16"/>
  <c r="G327" i="16" s="1"/>
  <c r="H327" i="16"/>
  <c r="F327" i="16"/>
  <c r="CD326" i="16"/>
  <c r="CA326" i="16"/>
  <c r="BW326" i="16"/>
  <c r="BV326" i="16"/>
  <c r="BU326" i="16"/>
  <c r="BP326" i="16"/>
  <c r="BM326" i="16"/>
  <c r="BI326" i="16"/>
  <c r="BH326" i="16"/>
  <c r="BG326" i="16"/>
  <c r="BB326" i="16"/>
  <c r="AY326" i="16"/>
  <c r="AU326" i="16"/>
  <c r="AT326" i="16"/>
  <c r="AS326" i="16"/>
  <c r="AN326" i="16"/>
  <c r="AK326" i="16"/>
  <c r="AG326" i="16"/>
  <c r="AF326" i="16"/>
  <c r="AE326" i="16"/>
  <c r="Z326" i="16"/>
  <c r="W326" i="16"/>
  <c r="S326" i="16"/>
  <c r="R326" i="16"/>
  <c r="Q326" i="16"/>
  <c r="K326" i="16"/>
  <c r="J326" i="16"/>
  <c r="H326" i="16"/>
  <c r="F326" i="16"/>
  <c r="CD325" i="16"/>
  <c r="CA325" i="16"/>
  <c r="BW325" i="16"/>
  <c r="BV325" i="16"/>
  <c r="BU325" i="16"/>
  <c r="BP325" i="16"/>
  <c r="BM325" i="16"/>
  <c r="BI325" i="16"/>
  <c r="BH325" i="16"/>
  <c r="BG325" i="16"/>
  <c r="BB325" i="16"/>
  <c r="AY325" i="16"/>
  <c r="AU325" i="16"/>
  <c r="AT325" i="16"/>
  <c r="AS325" i="16"/>
  <c r="AN325" i="16"/>
  <c r="AK325" i="16"/>
  <c r="AG325" i="16"/>
  <c r="AF325" i="16"/>
  <c r="AE325" i="16"/>
  <c r="Z325" i="16"/>
  <c r="W325" i="16"/>
  <c r="S325" i="16"/>
  <c r="R325" i="16"/>
  <c r="Q325" i="16"/>
  <c r="K325" i="16"/>
  <c r="J325" i="16"/>
  <c r="G325" i="16" s="1"/>
  <c r="H325" i="16"/>
  <c r="F325" i="16"/>
  <c r="CD324" i="16"/>
  <c r="CA324" i="16"/>
  <c r="BW324" i="16"/>
  <c r="BV324" i="16"/>
  <c r="BU324" i="16"/>
  <c r="BP324" i="16"/>
  <c r="BM324" i="16"/>
  <c r="BI324" i="16"/>
  <c r="BH324" i="16"/>
  <c r="BG324" i="16"/>
  <c r="BB324" i="16"/>
  <c r="AY324" i="16"/>
  <c r="AU324" i="16"/>
  <c r="AT324" i="16"/>
  <c r="AS324" i="16"/>
  <c r="AN324" i="16"/>
  <c r="AK324" i="16"/>
  <c r="AG324" i="16"/>
  <c r="AF324" i="16"/>
  <c r="AE324" i="16"/>
  <c r="Z324" i="16"/>
  <c r="W324" i="16"/>
  <c r="S324" i="16"/>
  <c r="R324" i="16"/>
  <c r="Q324" i="16"/>
  <c r="K324" i="16"/>
  <c r="J324" i="16"/>
  <c r="G324" i="16" s="1"/>
  <c r="H324" i="16"/>
  <c r="F324" i="16"/>
  <c r="CD323" i="16"/>
  <c r="CA323" i="16"/>
  <c r="BW323" i="16"/>
  <c r="BV323" i="16"/>
  <c r="BU323" i="16"/>
  <c r="BP323" i="16"/>
  <c r="BM323" i="16"/>
  <c r="BI323" i="16"/>
  <c r="BH323" i="16"/>
  <c r="BG323" i="16"/>
  <c r="BB323" i="16"/>
  <c r="AY323" i="16"/>
  <c r="AU323" i="16"/>
  <c r="AT323" i="16"/>
  <c r="AS323" i="16"/>
  <c r="AN323" i="16"/>
  <c r="AK323" i="16"/>
  <c r="AG323" i="16"/>
  <c r="AF323" i="16"/>
  <c r="AE323" i="16"/>
  <c r="Z323" i="16"/>
  <c r="W323" i="16"/>
  <c r="S323" i="16"/>
  <c r="R323" i="16"/>
  <c r="Q323" i="16"/>
  <c r="K323" i="16"/>
  <c r="J323" i="16"/>
  <c r="H323" i="16"/>
  <c r="F323" i="16"/>
  <c r="CD322" i="16"/>
  <c r="CA322" i="16"/>
  <c r="BW322" i="16"/>
  <c r="BV322" i="16"/>
  <c r="BU322" i="16"/>
  <c r="BP322" i="16"/>
  <c r="BM322" i="16"/>
  <c r="BI322" i="16"/>
  <c r="BH322" i="16"/>
  <c r="BG322" i="16"/>
  <c r="BB322" i="16"/>
  <c r="AY322" i="16"/>
  <c r="AU322" i="16"/>
  <c r="AT322" i="16"/>
  <c r="AS322" i="16"/>
  <c r="AN322" i="16"/>
  <c r="AK322" i="16"/>
  <c r="AG322" i="16"/>
  <c r="AF322" i="16"/>
  <c r="AE322" i="16"/>
  <c r="Z322" i="16"/>
  <c r="W322" i="16"/>
  <c r="S322" i="16"/>
  <c r="R322" i="16"/>
  <c r="Q322" i="16"/>
  <c r="K322" i="16"/>
  <c r="J322" i="16"/>
  <c r="G322" i="16" s="1"/>
  <c r="H322" i="16"/>
  <c r="F322" i="16"/>
  <c r="CD321" i="16"/>
  <c r="CA321" i="16"/>
  <c r="BW321" i="16"/>
  <c r="BV321" i="16"/>
  <c r="BU321" i="16"/>
  <c r="BP321" i="16"/>
  <c r="BM321" i="16"/>
  <c r="BI321" i="16"/>
  <c r="BH321" i="16"/>
  <c r="BG321" i="16"/>
  <c r="BB321" i="16"/>
  <c r="AY321" i="16"/>
  <c r="AU321" i="16"/>
  <c r="AT321" i="16"/>
  <c r="AS321" i="16"/>
  <c r="AN321" i="16"/>
  <c r="AK321" i="16"/>
  <c r="AG321" i="16"/>
  <c r="AF321" i="16"/>
  <c r="AE321" i="16"/>
  <c r="Z321" i="16"/>
  <c r="W321" i="16"/>
  <c r="S321" i="16"/>
  <c r="R321" i="16"/>
  <c r="Q321" i="16"/>
  <c r="K321" i="16"/>
  <c r="J321" i="16"/>
  <c r="G321" i="16" s="1"/>
  <c r="H321" i="16"/>
  <c r="F321" i="16"/>
  <c r="CD320" i="16"/>
  <c r="CA320" i="16"/>
  <c r="BW320" i="16"/>
  <c r="BV320" i="16"/>
  <c r="BU320" i="16"/>
  <c r="BP320" i="16"/>
  <c r="BM320" i="16"/>
  <c r="BI320" i="16"/>
  <c r="BH320" i="16"/>
  <c r="BG320" i="16"/>
  <c r="BB320" i="16"/>
  <c r="AY320" i="16"/>
  <c r="AU320" i="16"/>
  <c r="AT320" i="16"/>
  <c r="AS320" i="16"/>
  <c r="AN320" i="16"/>
  <c r="AK320" i="16"/>
  <c r="AG320" i="16"/>
  <c r="AF320" i="16"/>
  <c r="AE320" i="16"/>
  <c r="Z320" i="16"/>
  <c r="W320" i="16"/>
  <c r="S320" i="16"/>
  <c r="R320" i="16"/>
  <c r="Q320" i="16"/>
  <c r="K320" i="16"/>
  <c r="J320" i="16"/>
  <c r="G320" i="16" s="1"/>
  <c r="H320" i="16"/>
  <c r="F320" i="16"/>
  <c r="CD319" i="16"/>
  <c r="CA319" i="16"/>
  <c r="BW319" i="16"/>
  <c r="BV319" i="16"/>
  <c r="BU319" i="16"/>
  <c r="BP319" i="16"/>
  <c r="BM319" i="16"/>
  <c r="BI319" i="16"/>
  <c r="BH319" i="16"/>
  <c r="BG319" i="16"/>
  <c r="BB319" i="16"/>
  <c r="AY319" i="16"/>
  <c r="AU319" i="16"/>
  <c r="AT319" i="16"/>
  <c r="AS319" i="16"/>
  <c r="AN319" i="16"/>
  <c r="AK319" i="16"/>
  <c r="AG319" i="16"/>
  <c r="AF319" i="16"/>
  <c r="AE319" i="16"/>
  <c r="Z319" i="16"/>
  <c r="W319" i="16"/>
  <c r="S319" i="16"/>
  <c r="R319" i="16"/>
  <c r="Q319" i="16"/>
  <c r="K319" i="16"/>
  <c r="J319" i="16"/>
  <c r="H319" i="16"/>
  <c r="F319" i="16"/>
  <c r="CD318" i="16"/>
  <c r="CA318" i="16"/>
  <c r="BW318" i="16"/>
  <c r="BV318" i="16"/>
  <c r="BU318" i="16"/>
  <c r="BP318" i="16"/>
  <c r="BM318" i="16"/>
  <c r="BI318" i="16"/>
  <c r="BH318" i="16"/>
  <c r="BG318" i="16"/>
  <c r="BB318" i="16"/>
  <c r="AY318" i="16"/>
  <c r="AU318" i="16"/>
  <c r="AT318" i="16"/>
  <c r="AS318" i="16"/>
  <c r="AN318" i="16"/>
  <c r="AK318" i="16"/>
  <c r="AG318" i="16"/>
  <c r="AF318" i="16"/>
  <c r="AE318" i="16"/>
  <c r="Z318" i="16"/>
  <c r="W318" i="16"/>
  <c r="S318" i="16"/>
  <c r="R318" i="16"/>
  <c r="Q318" i="16"/>
  <c r="K318" i="16"/>
  <c r="J318" i="16"/>
  <c r="H318" i="16"/>
  <c r="F318" i="16"/>
  <c r="CD317" i="16"/>
  <c r="CA317" i="16"/>
  <c r="BW317" i="16"/>
  <c r="BV317" i="16"/>
  <c r="BU317" i="16"/>
  <c r="BP317" i="16"/>
  <c r="BM317" i="16"/>
  <c r="BI317" i="16"/>
  <c r="BH317" i="16"/>
  <c r="BG317" i="16"/>
  <c r="BB317" i="16"/>
  <c r="AY317" i="16"/>
  <c r="AU317" i="16"/>
  <c r="AT317" i="16"/>
  <c r="AS317" i="16"/>
  <c r="AN317" i="16"/>
  <c r="AK317" i="16"/>
  <c r="AG317" i="16"/>
  <c r="AF317" i="16"/>
  <c r="AE317" i="16"/>
  <c r="Z317" i="16"/>
  <c r="W317" i="16"/>
  <c r="S317" i="16"/>
  <c r="R317" i="16"/>
  <c r="Q317" i="16"/>
  <c r="K317" i="16"/>
  <c r="K317" i="87" s="1"/>
  <c r="J317" i="16"/>
  <c r="G317" i="16" s="1"/>
  <c r="H317" i="16"/>
  <c r="F317" i="16"/>
  <c r="CD316" i="16"/>
  <c r="CA316" i="16"/>
  <c r="BW316" i="16"/>
  <c r="BV316" i="16"/>
  <c r="BU316" i="16"/>
  <c r="BP316" i="16"/>
  <c r="BM316" i="16"/>
  <c r="BI316" i="16"/>
  <c r="BH316" i="16"/>
  <c r="BG316" i="16"/>
  <c r="BB316" i="16"/>
  <c r="AY316" i="16"/>
  <c r="AU316" i="16"/>
  <c r="AT316" i="16"/>
  <c r="AS316" i="16"/>
  <c r="AN316" i="16"/>
  <c r="AK316" i="16"/>
  <c r="AG316" i="16"/>
  <c r="AF316" i="16"/>
  <c r="AE316" i="16"/>
  <c r="Z316" i="16"/>
  <c r="W316" i="16"/>
  <c r="S316" i="16"/>
  <c r="R316" i="16"/>
  <c r="Q316" i="16"/>
  <c r="K316" i="16"/>
  <c r="J316" i="16"/>
  <c r="H316" i="16"/>
  <c r="F316" i="16"/>
  <c r="CD315" i="16"/>
  <c r="CA315" i="16"/>
  <c r="BW315" i="16"/>
  <c r="BV315" i="16"/>
  <c r="BU315" i="16"/>
  <c r="BP315" i="16"/>
  <c r="BM315" i="16"/>
  <c r="BI315" i="16"/>
  <c r="BH315" i="16"/>
  <c r="BG315" i="16"/>
  <c r="BB315" i="16"/>
  <c r="AY315" i="16"/>
  <c r="AU315" i="16"/>
  <c r="AT315" i="16"/>
  <c r="AS315" i="16"/>
  <c r="AN315" i="16"/>
  <c r="AK315" i="16"/>
  <c r="AG315" i="16"/>
  <c r="AF315" i="16"/>
  <c r="AE315" i="16"/>
  <c r="Z315" i="16"/>
  <c r="W315" i="16"/>
  <c r="S315" i="16"/>
  <c r="R315" i="16"/>
  <c r="Q315" i="16"/>
  <c r="K315" i="16"/>
  <c r="J315" i="16"/>
  <c r="G315" i="16" s="1"/>
  <c r="H315" i="16"/>
  <c r="F315" i="16"/>
  <c r="CD314" i="16"/>
  <c r="CA314" i="16"/>
  <c r="BW314" i="16"/>
  <c r="BV314" i="16"/>
  <c r="BU314" i="16"/>
  <c r="BP314" i="16"/>
  <c r="BM314" i="16"/>
  <c r="BI314" i="16"/>
  <c r="BH314" i="16"/>
  <c r="BG314" i="16"/>
  <c r="BB314" i="16"/>
  <c r="AY314" i="16"/>
  <c r="AU314" i="16"/>
  <c r="AT314" i="16"/>
  <c r="AS314" i="16"/>
  <c r="AN314" i="16"/>
  <c r="AK314" i="16"/>
  <c r="AG314" i="16"/>
  <c r="AF314" i="16"/>
  <c r="AE314" i="16"/>
  <c r="Z314" i="16"/>
  <c r="W314" i="16"/>
  <c r="S314" i="16"/>
  <c r="R314" i="16"/>
  <c r="Q314" i="16"/>
  <c r="K314" i="16"/>
  <c r="J314" i="16"/>
  <c r="H314" i="16"/>
  <c r="F314" i="16"/>
  <c r="CD313" i="16"/>
  <c r="CA313" i="16"/>
  <c r="BW313" i="16"/>
  <c r="BV313" i="16"/>
  <c r="BU313" i="16"/>
  <c r="BP313" i="16"/>
  <c r="BM313" i="16"/>
  <c r="BI313" i="16"/>
  <c r="BH313" i="16"/>
  <c r="BG313" i="16"/>
  <c r="BB313" i="16"/>
  <c r="AY313" i="16"/>
  <c r="AU313" i="16"/>
  <c r="AT313" i="16"/>
  <c r="AS313" i="16"/>
  <c r="AN313" i="16"/>
  <c r="AK313" i="16"/>
  <c r="AG313" i="16"/>
  <c r="AF313" i="16"/>
  <c r="AE313" i="16"/>
  <c r="Z313" i="16"/>
  <c r="W313" i="16"/>
  <c r="S313" i="16"/>
  <c r="R313" i="16"/>
  <c r="Q313" i="16"/>
  <c r="K313" i="16"/>
  <c r="J313" i="16"/>
  <c r="G313" i="16" s="1"/>
  <c r="H313" i="16"/>
  <c r="F313" i="16"/>
  <c r="CD312" i="16"/>
  <c r="CA312" i="16"/>
  <c r="BW312" i="16"/>
  <c r="BV312" i="16"/>
  <c r="BU312" i="16"/>
  <c r="BP312" i="16"/>
  <c r="BM312" i="16"/>
  <c r="BI312" i="16"/>
  <c r="BH312" i="16"/>
  <c r="BG312" i="16"/>
  <c r="BB312" i="16"/>
  <c r="AY312" i="16"/>
  <c r="AU312" i="16"/>
  <c r="AT312" i="16"/>
  <c r="AS312" i="16"/>
  <c r="AN312" i="16"/>
  <c r="AK312" i="16"/>
  <c r="AG312" i="16"/>
  <c r="AF312" i="16"/>
  <c r="AE312" i="16"/>
  <c r="Z312" i="16"/>
  <c r="W312" i="16"/>
  <c r="S312" i="16"/>
  <c r="R312" i="16"/>
  <c r="Q312" i="16"/>
  <c r="K312" i="16"/>
  <c r="J312" i="16"/>
  <c r="G312" i="16" s="1"/>
  <c r="H312" i="16"/>
  <c r="F312" i="16"/>
  <c r="CD311" i="16"/>
  <c r="CA311" i="16"/>
  <c r="BW311" i="16"/>
  <c r="BV311" i="16"/>
  <c r="BU311" i="16"/>
  <c r="BP311" i="16"/>
  <c r="BM311" i="16"/>
  <c r="BI311" i="16"/>
  <c r="BH311" i="16"/>
  <c r="BG311" i="16"/>
  <c r="BB311" i="16"/>
  <c r="AY311" i="16"/>
  <c r="AU311" i="16"/>
  <c r="AT311" i="16"/>
  <c r="AS311" i="16"/>
  <c r="AN311" i="16"/>
  <c r="AK311" i="16"/>
  <c r="AG311" i="16"/>
  <c r="AF311" i="16"/>
  <c r="AE311" i="16"/>
  <c r="Z311" i="16"/>
  <c r="W311" i="16"/>
  <c r="S311" i="16"/>
  <c r="R311" i="16"/>
  <c r="Q311" i="16"/>
  <c r="K311" i="16"/>
  <c r="J311" i="16"/>
  <c r="G311" i="16" s="1"/>
  <c r="H311" i="16"/>
  <c r="F311" i="16"/>
  <c r="CD310" i="16"/>
  <c r="CA310" i="16"/>
  <c r="BW310" i="16"/>
  <c r="BV310" i="16"/>
  <c r="BU310" i="16"/>
  <c r="BP310" i="16"/>
  <c r="BM310" i="16"/>
  <c r="BI310" i="16"/>
  <c r="BH310" i="16"/>
  <c r="BG310" i="16"/>
  <c r="BB310" i="16"/>
  <c r="AY310" i="16"/>
  <c r="AU310" i="16"/>
  <c r="AT310" i="16"/>
  <c r="AS310" i="16"/>
  <c r="AN310" i="16"/>
  <c r="AK310" i="16"/>
  <c r="AG310" i="16"/>
  <c r="AF310" i="16"/>
  <c r="AE310" i="16"/>
  <c r="Z310" i="16"/>
  <c r="W310" i="16"/>
  <c r="S310" i="16"/>
  <c r="R310" i="16"/>
  <c r="Q310" i="16"/>
  <c r="K310" i="16"/>
  <c r="J310" i="16"/>
  <c r="H310" i="16"/>
  <c r="F310" i="16"/>
  <c r="CD309" i="16"/>
  <c r="CA309" i="16"/>
  <c r="BW309" i="16"/>
  <c r="BV309" i="16"/>
  <c r="BU309" i="16"/>
  <c r="BP309" i="16"/>
  <c r="BM309" i="16"/>
  <c r="BI309" i="16"/>
  <c r="BH309" i="16"/>
  <c r="BG309" i="16"/>
  <c r="BB309" i="16"/>
  <c r="AY309" i="16"/>
  <c r="AU309" i="16"/>
  <c r="AT309" i="16"/>
  <c r="AS309" i="16"/>
  <c r="AN309" i="16"/>
  <c r="AK309" i="16"/>
  <c r="AG309" i="16"/>
  <c r="AF309" i="16"/>
  <c r="AE309" i="16"/>
  <c r="Z309" i="16"/>
  <c r="W309" i="16"/>
  <c r="S309" i="16"/>
  <c r="R309" i="16"/>
  <c r="Q309" i="16"/>
  <c r="K309" i="16"/>
  <c r="J309" i="16"/>
  <c r="G309" i="16" s="1"/>
  <c r="H309" i="16"/>
  <c r="F309" i="16"/>
  <c r="CD308" i="16"/>
  <c r="CA308" i="16"/>
  <c r="BW308" i="16"/>
  <c r="BV308" i="16"/>
  <c r="BU308" i="16"/>
  <c r="BP308" i="16"/>
  <c r="BM308" i="16"/>
  <c r="BI308" i="16"/>
  <c r="BH308" i="16"/>
  <c r="BG308" i="16"/>
  <c r="BB308" i="16"/>
  <c r="AY308" i="16"/>
  <c r="AU308" i="16"/>
  <c r="AT308" i="16"/>
  <c r="AS308" i="16"/>
  <c r="AN308" i="16"/>
  <c r="AK308" i="16"/>
  <c r="AG308" i="16"/>
  <c r="AF308" i="16"/>
  <c r="AE308" i="16"/>
  <c r="Z308" i="16"/>
  <c r="W308" i="16"/>
  <c r="S308" i="16"/>
  <c r="R308" i="16"/>
  <c r="Q308" i="16"/>
  <c r="K308" i="16"/>
  <c r="J308" i="16"/>
  <c r="H308" i="16"/>
  <c r="F308" i="16"/>
  <c r="CD307" i="16"/>
  <c r="CA307" i="16"/>
  <c r="BW307" i="16"/>
  <c r="BV307" i="16"/>
  <c r="BU307" i="16"/>
  <c r="BP307" i="16"/>
  <c r="BM307" i="16"/>
  <c r="BI307" i="16"/>
  <c r="BH307" i="16"/>
  <c r="BG307" i="16"/>
  <c r="BB307" i="16"/>
  <c r="AY307" i="16"/>
  <c r="AU307" i="16"/>
  <c r="AT307" i="16"/>
  <c r="AS307" i="16"/>
  <c r="AN307" i="16"/>
  <c r="AK307" i="16"/>
  <c r="AG307" i="16"/>
  <c r="AF307" i="16"/>
  <c r="AE307" i="16"/>
  <c r="Z307" i="16"/>
  <c r="W307" i="16"/>
  <c r="S307" i="16"/>
  <c r="R307" i="16"/>
  <c r="Q307" i="16"/>
  <c r="K307" i="16"/>
  <c r="J307" i="16"/>
  <c r="H307" i="16"/>
  <c r="F307" i="16"/>
  <c r="CD306" i="16"/>
  <c r="CA306" i="16"/>
  <c r="BW306" i="16"/>
  <c r="BV306" i="16"/>
  <c r="BU306" i="16"/>
  <c r="BP306" i="16"/>
  <c r="BM306" i="16"/>
  <c r="BI306" i="16"/>
  <c r="BH306" i="16"/>
  <c r="BG306" i="16"/>
  <c r="BB306" i="16"/>
  <c r="AY306" i="16"/>
  <c r="AU306" i="16"/>
  <c r="AT306" i="16"/>
  <c r="AS306" i="16"/>
  <c r="AN306" i="16"/>
  <c r="AK306" i="16"/>
  <c r="AG306" i="16"/>
  <c r="AF306" i="16"/>
  <c r="AE306" i="16"/>
  <c r="Z306" i="16"/>
  <c r="W306" i="16"/>
  <c r="S306" i="16"/>
  <c r="R306" i="16"/>
  <c r="Q306" i="16"/>
  <c r="K306" i="16"/>
  <c r="J306" i="16"/>
  <c r="H306" i="16"/>
  <c r="F306" i="16"/>
  <c r="CD305" i="16"/>
  <c r="CA305" i="16"/>
  <c r="BW305" i="16"/>
  <c r="BV305" i="16"/>
  <c r="BU305" i="16"/>
  <c r="BP305" i="16"/>
  <c r="BM305" i="16"/>
  <c r="BI305" i="16"/>
  <c r="BH305" i="16"/>
  <c r="BG305" i="16"/>
  <c r="BB305" i="16"/>
  <c r="AY305" i="16"/>
  <c r="AU305" i="16"/>
  <c r="AT305" i="16"/>
  <c r="AS305" i="16"/>
  <c r="AN305" i="16"/>
  <c r="AK305" i="16"/>
  <c r="AG305" i="16"/>
  <c r="AF305" i="16"/>
  <c r="AE305" i="16"/>
  <c r="Z305" i="16"/>
  <c r="W305" i="16"/>
  <c r="S305" i="16"/>
  <c r="R305" i="16"/>
  <c r="Q305" i="16"/>
  <c r="K305" i="16"/>
  <c r="J305" i="16"/>
  <c r="H305" i="16"/>
  <c r="F305" i="16"/>
  <c r="CD304" i="16"/>
  <c r="CA304" i="16"/>
  <c r="BW304" i="16"/>
  <c r="BV304" i="16"/>
  <c r="BU304" i="16"/>
  <c r="BP304" i="16"/>
  <c r="BM304" i="16"/>
  <c r="BI304" i="16"/>
  <c r="BH304" i="16"/>
  <c r="BG304" i="16"/>
  <c r="BB304" i="16"/>
  <c r="AY304" i="16"/>
  <c r="AU304" i="16"/>
  <c r="AT304" i="16"/>
  <c r="AS304" i="16"/>
  <c r="AN304" i="16"/>
  <c r="AK304" i="16"/>
  <c r="AG304" i="16"/>
  <c r="AF304" i="16"/>
  <c r="AE304" i="16"/>
  <c r="Z304" i="16"/>
  <c r="W304" i="16"/>
  <c r="S304" i="16"/>
  <c r="R304" i="16"/>
  <c r="Q304" i="16"/>
  <c r="K304" i="16"/>
  <c r="J304" i="16"/>
  <c r="G304" i="16" s="1"/>
  <c r="H304" i="16"/>
  <c r="F304" i="16"/>
  <c r="CD303" i="16"/>
  <c r="CA303" i="16"/>
  <c r="BW303" i="16"/>
  <c r="BV303" i="16"/>
  <c r="BU303" i="16"/>
  <c r="BP303" i="16"/>
  <c r="BM303" i="16"/>
  <c r="BI303" i="16"/>
  <c r="BH303" i="16"/>
  <c r="BG303" i="16"/>
  <c r="BB303" i="16"/>
  <c r="AY303" i="16"/>
  <c r="AU303" i="16"/>
  <c r="AT303" i="16"/>
  <c r="AS303" i="16"/>
  <c r="AN303" i="16"/>
  <c r="AK303" i="16"/>
  <c r="AG303" i="16"/>
  <c r="AF303" i="16"/>
  <c r="AE303" i="16"/>
  <c r="Z303" i="16"/>
  <c r="W303" i="16"/>
  <c r="S303" i="16"/>
  <c r="R303" i="16"/>
  <c r="Q303" i="16"/>
  <c r="K303" i="16"/>
  <c r="J303" i="16"/>
  <c r="H303" i="16"/>
  <c r="F303" i="16"/>
  <c r="CD302" i="16"/>
  <c r="CA302" i="16"/>
  <c r="BW302" i="16"/>
  <c r="BV302" i="16"/>
  <c r="BU302" i="16"/>
  <c r="BP302" i="16"/>
  <c r="BM302" i="16"/>
  <c r="BI302" i="16"/>
  <c r="BH302" i="16"/>
  <c r="BG302" i="16"/>
  <c r="BB302" i="16"/>
  <c r="AY302" i="16"/>
  <c r="AU302" i="16"/>
  <c r="AT302" i="16"/>
  <c r="AS302" i="16"/>
  <c r="AN302" i="16"/>
  <c r="AK302" i="16"/>
  <c r="AG302" i="16"/>
  <c r="AF302" i="16"/>
  <c r="AE302" i="16"/>
  <c r="Z302" i="16"/>
  <c r="W302" i="16"/>
  <c r="S302" i="16"/>
  <c r="R302" i="16"/>
  <c r="Q302" i="16"/>
  <c r="K302" i="16"/>
  <c r="J302" i="16"/>
  <c r="H302" i="16"/>
  <c r="F302" i="16"/>
  <c r="CD301" i="16"/>
  <c r="CA301" i="16"/>
  <c r="BW301" i="16"/>
  <c r="BV301" i="16"/>
  <c r="BU301" i="16"/>
  <c r="BP301" i="16"/>
  <c r="BM301" i="16"/>
  <c r="BI301" i="16"/>
  <c r="BH301" i="16"/>
  <c r="BG301" i="16"/>
  <c r="BB301" i="16"/>
  <c r="AY301" i="16"/>
  <c r="AU301" i="16"/>
  <c r="AT301" i="16"/>
  <c r="AS301" i="16"/>
  <c r="AN301" i="16"/>
  <c r="AK301" i="16"/>
  <c r="AG301" i="16"/>
  <c r="AF301" i="16"/>
  <c r="AE301" i="16"/>
  <c r="Z301" i="16"/>
  <c r="W301" i="16"/>
  <c r="S301" i="16"/>
  <c r="R301" i="16"/>
  <c r="Q301" i="16"/>
  <c r="K301" i="16"/>
  <c r="J301" i="16"/>
  <c r="G301" i="16" s="1"/>
  <c r="H301" i="16"/>
  <c r="F301" i="16"/>
  <c r="CD300" i="16"/>
  <c r="CA300" i="16"/>
  <c r="BW300" i="16"/>
  <c r="BV300" i="16"/>
  <c r="BU300" i="16"/>
  <c r="BP300" i="16"/>
  <c r="BM300" i="16"/>
  <c r="BI300" i="16"/>
  <c r="BH300" i="16"/>
  <c r="BG300" i="16"/>
  <c r="BB300" i="16"/>
  <c r="AY300" i="16"/>
  <c r="AU300" i="16"/>
  <c r="AT300" i="16"/>
  <c r="AS300" i="16"/>
  <c r="AN300" i="16"/>
  <c r="AK300" i="16"/>
  <c r="AG300" i="16"/>
  <c r="AF300" i="16"/>
  <c r="AE300" i="16"/>
  <c r="Z300" i="16"/>
  <c r="W300" i="16"/>
  <c r="S300" i="16"/>
  <c r="R300" i="16"/>
  <c r="Q300" i="16"/>
  <c r="K300" i="16"/>
  <c r="J300" i="16"/>
  <c r="G300" i="16" s="1"/>
  <c r="H300" i="16"/>
  <c r="F300" i="16"/>
  <c r="CD299" i="16"/>
  <c r="CA299" i="16"/>
  <c r="BW299" i="16"/>
  <c r="BV299" i="16"/>
  <c r="BU299" i="16"/>
  <c r="BP299" i="16"/>
  <c r="BM299" i="16"/>
  <c r="BI299" i="16"/>
  <c r="BH299" i="16"/>
  <c r="BG299" i="16"/>
  <c r="BB299" i="16"/>
  <c r="AY299" i="16"/>
  <c r="AU299" i="16"/>
  <c r="AT299" i="16"/>
  <c r="AS299" i="16"/>
  <c r="AN299" i="16"/>
  <c r="AK299" i="16"/>
  <c r="AG299" i="16"/>
  <c r="AF299" i="16"/>
  <c r="AE299" i="16"/>
  <c r="Z299" i="16"/>
  <c r="W299" i="16"/>
  <c r="S299" i="16"/>
  <c r="R299" i="16"/>
  <c r="Q299" i="16"/>
  <c r="K299" i="16"/>
  <c r="J299" i="16"/>
  <c r="H299" i="16"/>
  <c r="F299" i="16"/>
  <c r="CD298" i="16"/>
  <c r="CA298" i="16"/>
  <c r="BW298" i="16"/>
  <c r="BV298" i="16"/>
  <c r="BU298" i="16"/>
  <c r="BP298" i="16"/>
  <c r="BM298" i="16"/>
  <c r="BI298" i="16"/>
  <c r="BH298" i="16"/>
  <c r="BG298" i="16"/>
  <c r="BB298" i="16"/>
  <c r="AY298" i="16"/>
  <c r="AU298" i="16"/>
  <c r="AT298" i="16"/>
  <c r="AS298" i="16"/>
  <c r="AN298" i="16"/>
  <c r="AK298" i="16"/>
  <c r="AG298" i="16"/>
  <c r="AF298" i="16"/>
  <c r="AE298" i="16"/>
  <c r="Z298" i="16"/>
  <c r="W298" i="16"/>
  <c r="S298" i="16"/>
  <c r="R298" i="16"/>
  <c r="Q298" i="16"/>
  <c r="K298" i="16"/>
  <c r="J298" i="16"/>
  <c r="G298" i="16" s="1"/>
  <c r="H298" i="16"/>
  <c r="F298" i="16"/>
  <c r="CD297" i="16"/>
  <c r="CA297" i="16"/>
  <c r="BW297" i="16"/>
  <c r="BV297" i="16"/>
  <c r="BU297" i="16"/>
  <c r="BP297" i="16"/>
  <c r="BM297" i="16"/>
  <c r="BI297" i="16"/>
  <c r="BH297" i="16"/>
  <c r="BG297" i="16"/>
  <c r="BB297" i="16"/>
  <c r="AY297" i="16"/>
  <c r="AU297" i="16"/>
  <c r="AT297" i="16"/>
  <c r="AS297" i="16"/>
  <c r="AN297" i="16"/>
  <c r="AK297" i="16"/>
  <c r="AG297" i="16"/>
  <c r="AF297" i="16"/>
  <c r="AE297" i="16"/>
  <c r="Z297" i="16"/>
  <c r="W297" i="16"/>
  <c r="S297" i="16"/>
  <c r="R297" i="16"/>
  <c r="Q297" i="16"/>
  <c r="K297" i="16"/>
  <c r="J297" i="16"/>
  <c r="H297" i="16"/>
  <c r="F297" i="16"/>
  <c r="CD296" i="16"/>
  <c r="CA296" i="16"/>
  <c r="BW296" i="16"/>
  <c r="BV296" i="16"/>
  <c r="BU296" i="16"/>
  <c r="BP296" i="16"/>
  <c r="BM296" i="16"/>
  <c r="BI296" i="16"/>
  <c r="BH296" i="16"/>
  <c r="BG296" i="16"/>
  <c r="BB296" i="16"/>
  <c r="AY296" i="16"/>
  <c r="AU296" i="16"/>
  <c r="AT296" i="16"/>
  <c r="AS296" i="16"/>
  <c r="AN296" i="16"/>
  <c r="AK296" i="16"/>
  <c r="AG296" i="16"/>
  <c r="AF296" i="16"/>
  <c r="AE296" i="16"/>
  <c r="Z296" i="16"/>
  <c r="W296" i="16"/>
  <c r="S296" i="16"/>
  <c r="R296" i="16"/>
  <c r="Q296" i="16"/>
  <c r="K296" i="16"/>
  <c r="J296" i="16"/>
  <c r="H296" i="16"/>
  <c r="F296" i="16"/>
  <c r="CD295" i="16"/>
  <c r="CA295" i="16"/>
  <c r="BW295" i="16"/>
  <c r="BV295" i="16"/>
  <c r="BU295" i="16"/>
  <c r="BP295" i="16"/>
  <c r="BM295" i="16"/>
  <c r="BI295" i="16"/>
  <c r="BH295" i="16"/>
  <c r="BG295" i="16"/>
  <c r="BB295" i="16"/>
  <c r="AY295" i="16"/>
  <c r="AU295" i="16"/>
  <c r="AT295" i="16"/>
  <c r="AS295" i="16"/>
  <c r="AN295" i="16"/>
  <c r="AK295" i="16"/>
  <c r="AG295" i="16"/>
  <c r="AF295" i="16"/>
  <c r="AE295" i="16"/>
  <c r="Z295" i="16"/>
  <c r="W295" i="16"/>
  <c r="S295" i="16"/>
  <c r="R295" i="16"/>
  <c r="Q295" i="16"/>
  <c r="K295" i="16"/>
  <c r="J295" i="16"/>
  <c r="H295" i="16"/>
  <c r="F295" i="16"/>
  <c r="CD294" i="16"/>
  <c r="CA294" i="16"/>
  <c r="BW294" i="16"/>
  <c r="BV294" i="16"/>
  <c r="BU294" i="16"/>
  <c r="BP294" i="16"/>
  <c r="BM294" i="16"/>
  <c r="BI294" i="16"/>
  <c r="BH294" i="16"/>
  <c r="BG294" i="16"/>
  <c r="BB294" i="16"/>
  <c r="AY294" i="16"/>
  <c r="AU294" i="16"/>
  <c r="AT294" i="16"/>
  <c r="AS294" i="16"/>
  <c r="AN294" i="16"/>
  <c r="AK294" i="16"/>
  <c r="AG294" i="16"/>
  <c r="AF294" i="16"/>
  <c r="AE294" i="16"/>
  <c r="Z294" i="16"/>
  <c r="W294" i="16"/>
  <c r="S294" i="16"/>
  <c r="R294" i="16"/>
  <c r="Q294" i="16"/>
  <c r="K294" i="16"/>
  <c r="J294" i="16"/>
  <c r="H294" i="16"/>
  <c r="F294" i="16"/>
  <c r="CD293" i="16"/>
  <c r="CA293" i="16"/>
  <c r="BW293" i="16"/>
  <c r="BV293" i="16"/>
  <c r="BU293" i="16"/>
  <c r="BP293" i="16"/>
  <c r="BM293" i="16"/>
  <c r="BI293" i="16"/>
  <c r="BH293" i="16"/>
  <c r="BG293" i="16"/>
  <c r="BB293" i="16"/>
  <c r="AY293" i="16"/>
  <c r="AU293" i="16"/>
  <c r="AT293" i="16"/>
  <c r="AS293" i="16"/>
  <c r="AN293" i="16"/>
  <c r="AK293" i="16"/>
  <c r="AG293" i="16"/>
  <c r="AF293" i="16"/>
  <c r="AE293" i="16"/>
  <c r="Z293" i="16"/>
  <c r="W293" i="16"/>
  <c r="S293" i="16"/>
  <c r="R293" i="16"/>
  <c r="Q293" i="16"/>
  <c r="K293" i="16"/>
  <c r="J293" i="16"/>
  <c r="G293" i="16" s="1"/>
  <c r="H293" i="16"/>
  <c r="F293" i="16"/>
  <c r="CD292" i="16"/>
  <c r="CA292" i="16"/>
  <c r="BW292" i="16"/>
  <c r="BV292" i="16"/>
  <c r="BU292" i="16"/>
  <c r="BP292" i="16"/>
  <c r="BM292" i="16"/>
  <c r="BI292" i="16"/>
  <c r="BH292" i="16"/>
  <c r="BG292" i="16"/>
  <c r="BB292" i="16"/>
  <c r="AY292" i="16"/>
  <c r="AU292" i="16"/>
  <c r="AT292" i="16"/>
  <c r="AS292" i="16"/>
  <c r="AN292" i="16"/>
  <c r="AK292" i="16"/>
  <c r="AG292" i="16"/>
  <c r="AF292" i="16"/>
  <c r="AE292" i="16"/>
  <c r="Z292" i="16"/>
  <c r="W292" i="16"/>
  <c r="S292" i="16"/>
  <c r="R292" i="16"/>
  <c r="Q292" i="16"/>
  <c r="K292" i="16"/>
  <c r="J292" i="16"/>
  <c r="H292" i="16"/>
  <c r="F292" i="16"/>
  <c r="CD291" i="16"/>
  <c r="CA291" i="16"/>
  <c r="BW291" i="16"/>
  <c r="BV291" i="16"/>
  <c r="BU291" i="16"/>
  <c r="BP291" i="16"/>
  <c r="BM291" i="16"/>
  <c r="BI291" i="16"/>
  <c r="BH291" i="16"/>
  <c r="BG291" i="16"/>
  <c r="BB291" i="16"/>
  <c r="AY291" i="16"/>
  <c r="AU291" i="16"/>
  <c r="AT291" i="16"/>
  <c r="AS291" i="16"/>
  <c r="AN291" i="16"/>
  <c r="AK291" i="16"/>
  <c r="AG291" i="16"/>
  <c r="AF291" i="16"/>
  <c r="AE291" i="16"/>
  <c r="Z291" i="16"/>
  <c r="W291" i="16"/>
  <c r="S291" i="16"/>
  <c r="R291" i="16"/>
  <c r="Q291" i="16"/>
  <c r="K291" i="16"/>
  <c r="J291" i="16"/>
  <c r="G291" i="16" s="1"/>
  <c r="H291" i="16"/>
  <c r="F291" i="16"/>
  <c r="CD290" i="16"/>
  <c r="CA290" i="16"/>
  <c r="BW290" i="16"/>
  <c r="BV290" i="16"/>
  <c r="BU290" i="16"/>
  <c r="BP290" i="16"/>
  <c r="BM290" i="16"/>
  <c r="BI290" i="16"/>
  <c r="BH290" i="16"/>
  <c r="BG290" i="16"/>
  <c r="BB290" i="16"/>
  <c r="AY290" i="16"/>
  <c r="AU290" i="16"/>
  <c r="AT290" i="16"/>
  <c r="AS290" i="16"/>
  <c r="AN290" i="16"/>
  <c r="AK290" i="16"/>
  <c r="AG290" i="16"/>
  <c r="AF290" i="16"/>
  <c r="AE290" i="16"/>
  <c r="Z290" i="16"/>
  <c r="W290" i="16"/>
  <c r="S290" i="16"/>
  <c r="R290" i="16"/>
  <c r="Q290" i="16"/>
  <c r="K290" i="16"/>
  <c r="J290" i="16"/>
  <c r="H290" i="16"/>
  <c r="F290" i="16"/>
  <c r="CD289" i="16"/>
  <c r="CA289" i="16"/>
  <c r="BW289" i="16"/>
  <c r="BV289" i="16"/>
  <c r="BU289" i="16"/>
  <c r="BP289" i="16"/>
  <c r="BM289" i="16"/>
  <c r="BI289" i="16"/>
  <c r="BH289" i="16"/>
  <c r="BG289" i="16"/>
  <c r="BB289" i="16"/>
  <c r="AY289" i="16"/>
  <c r="AU289" i="16"/>
  <c r="AT289" i="16"/>
  <c r="AS289" i="16"/>
  <c r="AN289" i="16"/>
  <c r="AK289" i="16"/>
  <c r="AG289" i="16"/>
  <c r="AF289" i="16"/>
  <c r="AE289" i="16"/>
  <c r="Z289" i="16"/>
  <c r="W289" i="16"/>
  <c r="S289" i="16"/>
  <c r="R289" i="16"/>
  <c r="Q289" i="16"/>
  <c r="K289" i="16"/>
  <c r="J289" i="16"/>
  <c r="H289" i="16"/>
  <c r="F289" i="16"/>
  <c r="CD288" i="16"/>
  <c r="CA288" i="16"/>
  <c r="BW288" i="16"/>
  <c r="BV288" i="16"/>
  <c r="BU288" i="16"/>
  <c r="BP288" i="16"/>
  <c r="BM288" i="16"/>
  <c r="BI288" i="16"/>
  <c r="BH288" i="16"/>
  <c r="BG288" i="16"/>
  <c r="BB288" i="16"/>
  <c r="AY288" i="16"/>
  <c r="AU288" i="16"/>
  <c r="AT288" i="16"/>
  <c r="AS288" i="16"/>
  <c r="AN288" i="16"/>
  <c r="AK288" i="16"/>
  <c r="AG288" i="16"/>
  <c r="AF288" i="16"/>
  <c r="AE288" i="16"/>
  <c r="Z288" i="16"/>
  <c r="W288" i="16"/>
  <c r="S288" i="16"/>
  <c r="R288" i="16"/>
  <c r="Q288" i="16"/>
  <c r="K288" i="16"/>
  <c r="J288" i="16"/>
  <c r="G288" i="16" s="1"/>
  <c r="H288" i="16"/>
  <c r="F288" i="16"/>
  <c r="CD287" i="16"/>
  <c r="CA287" i="16"/>
  <c r="BW287" i="16"/>
  <c r="BV287" i="16"/>
  <c r="BU287" i="16"/>
  <c r="BP287" i="16"/>
  <c r="BM287" i="16"/>
  <c r="BI287" i="16"/>
  <c r="BH287" i="16"/>
  <c r="BG287" i="16"/>
  <c r="BB287" i="16"/>
  <c r="AY287" i="16"/>
  <c r="AU287" i="16"/>
  <c r="AT287" i="16"/>
  <c r="AS287" i="16"/>
  <c r="AN287" i="16"/>
  <c r="AK287" i="16"/>
  <c r="AG287" i="16"/>
  <c r="AF287" i="16"/>
  <c r="AE287" i="16"/>
  <c r="Z287" i="16"/>
  <c r="W287" i="16"/>
  <c r="S287" i="16"/>
  <c r="R287" i="16"/>
  <c r="Q287" i="16"/>
  <c r="K287" i="16"/>
  <c r="J287" i="16"/>
  <c r="G287" i="16" s="1"/>
  <c r="H287" i="16"/>
  <c r="F287" i="16"/>
  <c r="CD286" i="16"/>
  <c r="CA286" i="16"/>
  <c r="BW286" i="16"/>
  <c r="BV286" i="16"/>
  <c r="BU286" i="16"/>
  <c r="BP286" i="16"/>
  <c r="BM286" i="16"/>
  <c r="BI286" i="16"/>
  <c r="BH286" i="16"/>
  <c r="BG286" i="16"/>
  <c r="BB286" i="16"/>
  <c r="AY286" i="16"/>
  <c r="AU286" i="16"/>
  <c r="AT286" i="16"/>
  <c r="AS286" i="16"/>
  <c r="AN286" i="16"/>
  <c r="AK286" i="16"/>
  <c r="AG286" i="16"/>
  <c r="AF286" i="16"/>
  <c r="AE286" i="16"/>
  <c r="Z286" i="16"/>
  <c r="W286" i="16"/>
  <c r="S286" i="16"/>
  <c r="R286" i="16"/>
  <c r="Q286" i="16"/>
  <c r="K286" i="16"/>
  <c r="J286" i="16"/>
  <c r="G286" i="16" s="1"/>
  <c r="H286" i="16"/>
  <c r="F286" i="16"/>
  <c r="CD285" i="16"/>
  <c r="CA285" i="16"/>
  <c r="BW285" i="16"/>
  <c r="BV285" i="16"/>
  <c r="BU285" i="16"/>
  <c r="BP285" i="16"/>
  <c r="BM285" i="16"/>
  <c r="BI285" i="16"/>
  <c r="BH285" i="16"/>
  <c r="BG285" i="16"/>
  <c r="BB285" i="16"/>
  <c r="AY285" i="16"/>
  <c r="AU285" i="16"/>
  <c r="AT285" i="16"/>
  <c r="AS285" i="16"/>
  <c r="AN285" i="16"/>
  <c r="AK285" i="16"/>
  <c r="AG285" i="16"/>
  <c r="AF285" i="16"/>
  <c r="AE285" i="16"/>
  <c r="Z285" i="16"/>
  <c r="W285" i="16"/>
  <c r="S285" i="16"/>
  <c r="R285" i="16"/>
  <c r="Q285" i="16"/>
  <c r="K285" i="16"/>
  <c r="J285" i="16"/>
  <c r="G285" i="16" s="1"/>
  <c r="H285" i="16"/>
  <c r="F285" i="16"/>
  <c r="CD284" i="16"/>
  <c r="CA284" i="16"/>
  <c r="BW284" i="16"/>
  <c r="BV284" i="16"/>
  <c r="BU284" i="16"/>
  <c r="BP284" i="16"/>
  <c r="BM284" i="16"/>
  <c r="BI284" i="16"/>
  <c r="BH284" i="16"/>
  <c r="BG284" i="16"/>
  <c r="BB284" i="16"/>
  <c r="AY284" i="16"/>
  <c r="AU284" i="16"/>
  <c r="AT284" i="16"/>
  <c r="AS284" i="16"/>
  <c r="AN284" i="16"/>
  <c r="AK284" i="16"/>
  <c r="AG284" i="16"/>
  <c r="AF284" i="16"/>
  <c r="AE284" i="16"/>
  <c r="Z284" i="16"/>
  <c r="W284" i="16"/>
  <c r="S284" i="16"/>
  <c r="R284" i="16"/>
  <c r="Q284" i="16"/>
  <c r="K284" i="16"/>
  <c r="J284" i="16"/>
  <c r="H284" i="16"/>
  <c r="F284" i="16"/>
  <c r="CD283" i="16"/>
  <c r="CA283" i="16"/>
  <c r="BW283" i="16"/>
  <c r="BV283" i="16"/>
  <c r="BU283" i="16"/>
  <c r="BP283" i="16"/>
  <c r="BM283" i="16"/>
  <c r="BI283" i="16"/>
  <c r="BH283" i="16"/>
  <c r="BG283" i="16"/>
  <c r="BB283" i="16"/>
  <c r="AY283" i="16"/>
  <c r="AU283" i="16"/>
  <c r="AT283" i="16"/>
  <c r="AS283" i="16"/>
  <c r="AN283" i="16"/>
  <c r="AK283" i="16"/>
  <c r="AG283" i="16"/>
  <c r="AF283" i="16"/>
  <c r="AE283" i="16"/>
  <c r="Z283" i="16"/>
  <c r="W283" i="16"/>
  <c r="S283" i="16"/>
  <c r="R283" i="16"/>
  <c r="Q283" i="16"/>
  <c r="K283" i="16"/>
  <c r="J283" i="16"/>
  <c r="H283" i="16"/>
  <c r="F283" i="16"/>
  <c r="CD282" i="16"/>
  <c r="CA282" i="16"/>
  <c r="BW282" i="16"/>
  <c r="BV282" i="16"/>
  <c r="BU282" i="16"/>
  <c r="BP282" i="16"/>
  <c r="BM282" i="16"/>
  <c r="BI282" i="16"/>
  <c r="BH282" i="16"/>
  <c r="BG282" i="16"/>
  <c r="BB282" i="16"/>
  <c r="AY282" i="16"/>
  <c r="AU282" i="16"/>
  <c r="AT282" i="16"/>
  <c r="AS282" i="16"/>
  <c r="AN282" i="16"/>
  <c r="AK282" i="16"/>
  <c r="AG282" i="16"/>
  <c r="AF282" i="16"/>
  <c r="AE282" i="16"/>
  <c r="Z282" i="16"/>
  <c r="W282" i="16"/>
  <c r="S282" i="16"/>
  <c r="R282" i="16"/>
  <c r="Q282" i="16"/>
  <c r="K282" i="16"/>
  <c r="J282" i="16"/>
  <c r="H282" i="16"/>
  <c r="F282" i="16"/>
  <c r="CD281" i="16"/>
  <c r="CA281" i="16"/>
  <c r="BW281" i="16"/>
  <c r="BV281" i="16"/>
  <c r="BU281" i="16"/>
  <c r="BP281" i="16"/>
  <c r="BM281" i="16"/>
  <c r="BI281" i="16"/>
  <c r="BH281" i="16"/>
  <c r="BG281" i="16"/>
  <c r="BB281" i="16"/>
  <c r="AY281" i="16"/>
  <c r="AU281" i="16"/>
  <c r="AT281" i="16"/>
  <c r="AS281" i="16"/>
  <c r="AN281" i="16"/>
  <c r="AK281" i="16"/>
  <c r="AG281" i="16"/>
  <c r="AF281" i="16"/>
  <c r="AE281" i="16"/>
  <c r="Z281" i="16"/>
  <c r="W281" i="16"/>
  <c r="S281" i="16"/>
  <c r="R281" i="16"/>
  <c r="Q281" i="16"/>
  <c r="K281" i="16"/>
  <c r="J281" i="16"/>
  <c r="G281" i="16" s="1"/>
  <c r="H281" i="16"/>
  <c r="F281" i="16"/>
  <c r="CD280" i="16"/>
  <c r="CA280" i="16"/>
  <c r="BW280" i="16"/>
  <c r="BV280" i="16"/>
  <c r="BU280" i="16"/>
  <c r="BP280" i="16"/>
  <c r="BM280" i="16"/>
  <c r="BI280" i="16"/>
  <c r="BH280" i="16"/>
  <c r="BG280" i="16"/>
  <c r="BB280" i="16"/>
  <c r="AY280" i="16"/>
  <c r="AU280" i="16"/>
  <c r="AT280" i="16"/>
  <c r="AS280" i="16"/>
  <c r="AN280" i="16"/>
  <c r="AK280" i="16"/>
  <c r="AG280" i="16"/>
  <c r="AF280" i="16"/>
  <c r="AE280" i="16"/>
  <c r="Z280" i="16"/>
  <c r="W280" i="16"/>
  <c r="S280" i="16"/>
  <c r="R280" i="16"/>
  <c r="Q280" i="16"/>
  <c r="K280" i="16"/>
  <c r="J280" i="16"/>
  <c r="G280" i="16" s="1"/>
  <c r="H280" i="16"/>
  <c r="F280" i="16"/>
  <c r="CD279" i="16"/>
  <c r="CA279" i="16"/>
  <c r="BW279" i="16"/>
  <c r="BV279" i="16"/>
  <c r="BU279" i="16"/>
  <c r="BP279" i="16"/>
  <c r="BM279" i="16"/>
  <c r="BI279" i="16"/>
  <c r="BH279" i="16"/>
  <c r="BG279" i="16"/>
  <c r="BB279" i="16"/>
  <c r="AY279" i="16"/>
  <c r="AU279" i="16"/>
  <c r="AT279" i="16"/>
  <c r="AS279" i="16"/>
  <c r="AN279" i="16"/>
  <c r="AK279" i="16"/>
  <c r="AG279" i="16"/>
  <c r="AF279" i="16"/>
  <c r="AE279" i="16"/>
  <c r="Z279" i="16"/>
  <c r="W279" i="16"/>
  <c r="S279" i="16"/>
  <c r="R279" i="16"/>
  <c r="Q279" i="16"/>
  <c r="K279" i="16"/>
  <c r="J279" i="16"/>
  <c r="G279" i="16" s="1"/>
  <c r="H279" i="16"/>
  <c r="F279" i="16"/>
  <c r="CD278" i="16"/>
  <c r="CA278" i="16"/>
  <c r="BW278" i="16"/>
  <c r="BV278" i="16"/>
  <c r="BU278" i="16"/>
  <c r="BP278" i="16"/>
  <c r="BM278" i="16"/>
  <c r="BI278" i="16"/>
  <c r="BH278" i="16"/>
  <c r="BG278" i="16"/>
  <c r="BB278" i="16"/>
  <c r="AY278" i="16"/>
  <c r="AU278" i="16"/>
  <c r="AT278" i="16"/>
  <c r="AS278" i="16"/>
  <c r="AN278" i="16"/>
  <c r="AK278" i="16"/>
  <c r="AG278" i="16"/>
  <c r="AF278" i="16"/>
  <c r="AE278" i="16"/>
  <c r="Z278" i="16"/>
  <c r="W278" i="16"/>
  <c r="S278" i="16"/>
  <c r="R278" i="16"/>
  <c r="Q278" i="16"/>
  <c r="K278" i="16"/>
  <c r="J278" i="16"/>
  <c r="H278" i="16"/>
  <c r="F278" i="16"/>
  <c r="CD277" i="16"/>
  <c r="CA277" i="16"/>
  <c r="BW277" i="16"/>
  <c r="BV277" i="16"/>
  <c r="BU277" i="16"/>
  <c r="BP277" i="16"/>
  <c r="BM277" i="16"/>
  <c r="BI277" i="16"/>
  <c r="BH277" i="16"/>
  <c r="BG277" i="16"/>
  <c r="BB277" i="16"/>
  <c r="AY277" i="16"/>
  <c r="AU277" i="16"/>
  <c r="AT277" i="16"/>
  <c r="AS277" i="16"/>
  <c r="AN277" i="16"/>
  <c r="AK277" i="16"/>
  <c r="AG277" i="16"/>
  <c r="AF277" i="16"/>
  <c r="AE277" i="16"/>
  <c r="Z277" i="16"/>
  <c r="W277" i="16"/>
  <c r="S277" i="16"/>
  <c r="R277" i="16"/>
  <c r="Q277" i="16"/>
  <c r="K277" i="16"/>
  <c r="J277" i="16"/>
  <c r="H277" i="16"/>
  <c r="F277" i="16"/>
  <c r="CD276" i="16"/>
  <c r="CA276" i="16"/>
  <c r="BW276" i="16"/>
  <c r="BV276" i="16"/>
  <c r="BU276" i="16"/>
  <c r="BP276" i="16"/>
  <c r="BM276" i="16"/>
  <c r="BI276" i="16"/>
  <c r="BH276" i="16"/>
  <c r="BG276" i="16"/>
  <c r="BB276" i="16"/>
  <c r="AY276" i="16"/>
  <c r="AU276" i="16"/>
  <c r="AT276" i="16"/>
  <c r="AS276" i="16"/>
  <c r="AN276" i="16"/>
  <c r="AK276" i="16"/>
  <c r="AG276" i="16"/>
  <c r="AF276" i="16"/>
  <c r="AE276" i="16"/>
  <c r="Z276" i="16"/>
  <c r="W276" i="16"/>
  <c r="S276" i="16"/>
  <c r="R276" i="16"/>
  <c r="Q276" i="16"/>
  <c r="K276" i="16"/>
  <c r="J276" i="16"/>
  <c r="G276" i="16" s="1"/>
  <c r="H276" i="16"/>
  <c r="F276" i="16"/>
  <c r="CD275" i="16"/>
  <c r="CA275" i="16"/>
  <c r="BW275" i="16"/>
  <c r="BV275" i="16"/>
  <c r="BU275" i="16"/>
  <c r="BP275" i="16"/>
  <c r="BM275" i="16"/>
  <c r="BI275" i="16"/>
  <c r="BH275" i="16"/>
  <c r="BG275" i="16"/>
  <c r="BB275" i="16"/>
  <c r="AY275" i="16"/>
  <c r="AU275" i="16"/>
  <c r="AT275" i="16"/>
  <c r="AS275" i="16"/>
  <c r="AN275" i="16"/>
  <c r="AK275" i="16"/>
  <c r="AG275" i="16"/>
  <c r="AF275" i="16"/>
  <c r="AE275" i="16"/>
  <c r="Z275" i="16"/>
  <c r="W275" i="16"/>
  <c r="S275" i="16"/>
  <c r="R275" i="16"/>
  <c r="Q275" i="16"/>
  <c r="K275" i="16"/>
  <c r="J275" i="16"/>
  <c r="G275" i="16" s="1"/>
  <c r="H275" i="16"/>
  <c r="F275" i="16"/>
  <c r="CD274" i="16"/>
  <c r="CA274" i="16"/>
  <c r="BW274" i="16"/>
  <c r="BV274" i="16"/>
  <c r="BU274" i="16"/>
  <c r="BP274" i="16"/>
  <c r="BM274" i="16"/>
  <c r="BI274" i="16"/>
  <c r="BH274" i="16"/>
  <c r="BG274" i="16"/>
  <c r="BB274" i="16"/>
  <c r="AY274" i="16"/>
  <c r="AU274" i="16"/>
  <c r="AT274" i="16"/>
  <c r="AS274" i="16"/>
  <c r="AN274" i="16"/>
  <c r="AK274" i="16"/>
  <c r="AG274" i="16"/>
  <c r="AF274" i="16"/>
  <c r="AE274" i="16"/>
  <c r="Z274" i="16"/>
  <c r="W274" i="16"/>
  <c r="S274" i="16"/>
  <c r="R274" i="16"/>
  <c r="Q274" i="16"/>
  <c r="K274" i="16"/>
  <c r="J274" i="16"/>
  <c r="G274" i="16" s="1"/>
  <c r="H274" i="16"/>
  <c r="F274" i="16"/>
  <c r="CD273" i="16"/>
  <c r="CA273" i="16"/>
  <c r="BW273" i="16"/>
  <c r="BV273" i="16"/>
  <c r="BU273" i="16"/>
  <c r="BP273" i="16"/>
  <c r="BM273" i="16"/>
  <c r="BI273" i="16"/>
  <c r="BH273" i="16"/>
  <c r="BG273" i="16"/>
  <c r="BB273" i="16"/>
  <c r="AY273" i="16"/>
  <c r="AU273" i="16"/>
  <c r="AT273" i="16"/>
  <c r="AS273" i="16"/>
  <c r="AN273" i="16"/>
  <c r="AK273" i="16"/>
  <c r="AG273" i="16"/>
  <c r="AF273" i="16"/>
  <c r="AE273" i="16"/>
  <c r="Z273" i="16"/>
  <c r="W273" i="16"/>
  <c r="S273" i="16"/>
  <c r="R273" i="16"/>
  <c r="Q273" i="16"/>
  <c r="K273" i="16"/>
  <c r="J273" i="16"/>
  <c r="G273" i="16" s="1"/>
  <c r="H273" i="16"/>
  <c r="F273" i="16"/>
  <c r="CD272" i="16"/>
  <c r="CA272" i="16"/>
  <c r="BW272" i="16"/>
  <c r="BV272" i="16"/>
  <c r="BU272" i="16"/>
  <c r="BP272" i="16"/>
  <c r="BM272" i="16"/>
  <c r="BI272" i="16"/>
  <c r="BH272" i="16"/>
  <c r="BG272" i="16"/>
  <c r="BB272" i="16"/>
  <c r="AY272" i="16"/>
  <c r="AU272" i="16"/>
  <c r="AT272" i="16"/>
  <c r="AS272" i="16"/>
  <c r="AN272" i="16"/>
  <c r="AK272" i="16"/>
  <c r="AG272" i="16"/>
  <c r="AF272" i="16"/>
  <c r="AE272" i="16"/>
  <c r="Z272" i="16"/>
  <c r="W272" i="16"/>
  <c r="S272" i="16"/>
  <c r="R272" i="16"/>
  <c r="Q272" i="16"/>
  <c r="K272" i="16"/>
  <c r="J272" i="16"/>
  <c r="G272" i="16" s="1"/>
  <c r="H272" i="16"/>
  <c r="F272" i="16"/>
  <c r="CD271" i="16"/>
  <c r="CA271" i="16"/>
  <c r="BW271" i="16"/>
  <c r="BV271" i="16"/>
  <c r="BU271" i="16"/>
  <c r="BP271" i="16"/>
  <c r="BM271" i="16"/>
  <c r="BI271" i="16"/>
  <c r="BH271" i="16"/>
  <c r="BG271" i="16"/>
  <c r="BB271" i="16"/>
  <c r="AY271" i="16"/>
  <c r="AU271" i="16"/>
  <c r="AT271" i="16"/>
  <c r="AS271" i="16"/>
  <c r="AN271" i="16"/>
  <c r="AK271" i="16"/>
  <c r="AG271" i="16"/>
  <c r="AF271" i="16"/>
  <c r="AE271" i="16"/>
  <c r="Z271" i="16"/>
  <c r="W271" i="16"/>
  <c r="S271" i="16"/>
  <c r="R271" i="16"/>
  <c r="Q271" i="16"/>
  <c r="K271" i="16"/>
  <c r="J271" i="16"/>
  <c r="H271" i="16"/>
  <c r="F271" i="16"/>
  <c r="CD270" i="16"/>
  <c r="CA270" i="16"/>
  <c r="BW270" i="16"/>
  <c r="BV270" i="16"/>
  <c r="BU270" i="16"/>
  <c r="BP270" i="16"/>
  <c r="BM270" i="16"/>
  <c r="BI270" i="16"/>
  <c r="BH270" i="16"/>
  <c r="BG270" i="16"/>
  <c r="BB270" i="16"/>
  <c r="AY270" i="16"/>
  <c r="AU270" i="16"/>
  <c r="AT270" i="16"/>
  <c r="AS270" i="16"/>
  <c r="AN270" i="16"/>
  <c r="AK270" i="16"/>
  <c r="AG270" i="16"/>
  <c r="AF270" i="16"/>
  <c r="AE270" i="16"/>
  <c r="Z270" i="16"/>
  <c r="W270" i="16"/>
  <c r="S270" i="16"/>
  <c r="R270" i="16"/>
  <c r="Q270" i="16"/>
  <c r="K270" i="16"/>
  <c r="J270" i="16"/>
  <c r="G270" i="16" s="1"/>
  <c r="H270" i="16"/>
  <c r="F270" i="16"/>
  <c r="CD269" i="16"/>
  <c r="CA269" i="16"/>
  <c r="BW269" i="16"/>
  <c r="BV269" i="16"/>
  <c r="BU269" i="16"/>
  <c r="BP269" i="16"/>
  <c r="BM269" i="16"/>
  <c r="BI269" i="16"/>
  <c r="BH269" i="16"/>
  <c r="BG269" i="16"/>
  <c r="BB269" i="16"/>
  <c r="AY269" i="16"/>
  <c r="AU269" i="16"/>
  <c r="AT269" i="16"/>
  <c r="AS269" i="16"/>
  <c r="AN269" i="16"/>
  <c r="AK269" i="16"/>
  <c r="AG269" i="16"/>
  <c r="AF269" i="16"/>
  <c r="AE269" i="16"/>
  <c r="Z269" i="16"/>
  <c r="W269" i="16"/>
  <c r="S269" i="16"/>
  <c r="R269" i="16"/>
  <c r="Q269" i="16"/>
  <c r="K269" i="16"/>
  <c r="J269" i="16"/>
  <c r="G269" i="16" s="1"/>
  <c r="H269" i="16"/>
  <c r="F269" i="16"/>
  <c r="CD268" i="16"/>
  <c r="CA268" i="16"/>
  <c r="BW268" i="16"/>
  <c r="BV268" i="16"/>
  <c r="BU268" i="16"/>
  <c r="BP268" i="16"/>
  <c r="BM268" i="16"/>
  <c r="BI268" i="16"/>
  <c r="BH268" i="16"/>
  <c r="BG268" i="16"/>
  <c r="BB268" i="16"/>
  <c r="AY268" i="16"/>
  <c r="AU268" i="16"/>
  <c r="AT268" i="16"/>
  <c r="AS268" i="16"/>
  <c r="AN268" i="16"/>
  <c r="AK268" i="16"/>
  <c r="AG268" i="16"/>
  <c r="AF268" i="16"/>
  <c r="AE268" i="16"/>
  <c r="Z268" i="16"/>
  <c r="W268" i="16"/>
  <c r="S268" i="16"/>
  <c r="R268" i="16"/>
  <c r="Q268" i="16"/>
  <c r="K268" i="16"/>
  <c r="J268" i="16"/>
  <c r="G268" i="16" s="1"/>
  <c r="H268" i="16"/>
  <c r="F268" i="16"/>
  <c r="CD267" i="16"/>
  <c r="CA267" i="16"/>
  <c r="BW267" i="16"/>
  <c r="BV267" i="16"/>
  <c r="BU267" i="16"/>
  <c r="BP267" i="16"/>
  <c r="BM267" i="16"/>
  <c r="BI267" i="16"/>
  <c r="BH267" i="16"/>
  <c r="BG267" i="16"/>
  <c r="BB267" i="16"/>
  <c r="AY267" i="16"/>
  <c r="AU267" i="16"/>
  <c r="AT267" i="16"/>
  <c r="AS267" i="16"/>
  <c r="AN267" i="16"/>
  <c r="AK267" i="16"/>
  <c r="AG267" i="16"/>
  <c r="AF267" i="16"/>
  <c r="AE267" i="16"/>
  <c r="Z267" i="16"/>
  <c r="W267" i="16"/>
  <c r="S267" i="16"/>
  <c r="R267" i="16"/>
  <c r="Q267" i="16"/>
  <c r="K267" i="16"/>
  <c r="J267" i="16"/>
  <c r="H267" i="16"/>
  <c r="F267" i="16"/>
  <c r="CD266" i="16"/>
  <c r="CA266" i="16"/>
  <c r="BW266" i="16"/>
  <c r="BV266" i="16"/>
  <c r="BU266" i="16"/>
  <c r="BP266" i="16"/>
  <c r="BM266" i="16"/>
  <c r="BI266" i="16"/>
  <c r="BH266" i="16"/>
  <c r="BG266" i="16"/>
  <c r="BB266" i="16"/>
  <c r="AY266" i="16"/>
  <c r="AU266" i="16"/>
  <c r="AT266" i="16"/>
  <c r="AS266" i="16"/>
  <c r="AN266" i="16"/>
  <c r="AK266" i="16"/>
  <c r="AG266" i="16"/>
  <c r="AF266" i="16"/>
  <c r="AE266" i="16"/>
  <c r="Z266" i="16"/>
  <c r="W266" i="16"/>
  <c r="S266" i="16"/>
  <c r="R266" i="16"/>
  <c r="Q266" i="16"/>
  <c r="K266" i="16"/>
  <c r="J266" i="16"/>
  <c r="H266" i="16"/>
  <c r="F266" i="16"/>
  <c r="CD265" i="16"/>
  <c r="CA265" i="16"/>
  <c r="BW265" i="16"/>
  <c r="BV265" i="16"/>
  <c r="BU265" i="16"/>
  <c r="BP265" i="16"/>
  <c r="BM265" i="16"/>
  <c r="BI265" i="16"/>
  <c r="BH265" i="16"/>
  <c r="BG265" i="16"/>
  <c r="BB265" i="16"/>
  <c r="AY265" i="16"/>
  <c r="AU265" i="16"/>
  <c r="AT265" i="16"/>
  <c r="AS265" i="16"/>
  <c r="AN265" i="16"/>
  <c r="AK265" i="16"/>
  <c r="AG265" i="16"/>
  <c r="AF265" i="16"/>
  <c r="AE265" i="16"/>
  <c r="Z265" i="16"/>
  <c r="W265" i="16"/>
  <c r="S265" i="16"/>
  <c r="R265" i="16"/>
  <c r="Q265" i="16"/>
  <c r="K265" i="16"/>
  <c r="J265" i="16"/>
  <c r="H265" i="16"/>
  <c r="F265" i="16"/>
  <c r="CD264" i="16"/>
  <c r="CA264" i="16"/>
  <c r="BW264" i="16"/>
  <c r="BV264" i="16"/>
  <c r="BU264" i="16"/>
  <c r="BP264" i="16"/>
  <c r="BM264" i="16"/>
  <c r="BI264" i="16"/>
  <c r="BH264" i="16"/>
  <c r="BG264" i="16"/>
  <c r="BB264" i="16"/>
  <c r="AY264" i="16"/>
  <c r="AU264" i="16"/>
  <c r="AT264" i="16"/>
  <c r="AS264" i="16"/>
  <c r="AN264" i="16"/>
  <c r="AK264" i="16"/>
  <c r="AG264" i="16"/>
  <c r="AF264" i="16"/>
  <c r="AE264" i="16"/>
  <c r="Z264" i="16"/>
  <c r="W264" i="16"/>
  <c r="S264" i="16"/>
  <c r="R264" i="16"/>
  <c r="Q264" i="16"/>
  <c r="K264" i="16"/>
  <c r="J264" i="16"/>
  <c r="G264" i="16" s="1"/>
  <c r="H264" i="16"/>
  <c r="F264" i="16"/>
  <c r="CD263" i="16"/>
  <c r="CA263" i="16"/>
  <c r="BW263" i="16"/>
  <c r="BV263" i="16"/>
  <c r="BU263" i="16"/>
  <c r="BP263" i="16"/>
  <c r="BM263" i="16"/>
  <c r="BI263" i="16"/>
  <c r="BH263" i="16"/>
  <c r="BG263" i="16"/>
  <c r="BB263" i="16"/>
  <c r="AY263" i="16"/>
  <c r="AU263" i="16"/>
  <c r="AT263" i="16"/>
  <c r="AS263" i="16"/>
  <c r="AN263" i="16"/>
  <c r="AK263" i="16"/>
  <c r="AG263" i="16"/>
  <c r="AF263" i="16"/>
  <c r="AE263" i="16"/>
  <c r="Z263" i="16"/>
  <c r="W263" i="16"/>
  <c r="S263" i="16"/>
  <c r="R263" i="16"/>
  <c r="Q263" i="16"/>
  <c r="K263" i="16"/>
  <c r="J263" i="16"/>
  <c r="G263" i="16" s="1"/>
  <c r="H263" i="16"/>
  <c r="F263" i="16"/>
  <c r="CD262" i="16"/>
  <c r="CA262" i="16"/>
  <c r="BW262" i="16"/>
  <c r="BV262" i="16"/>
  <c r="BU262" i="16"/>
  <c r="BP262" i="16"/>
  <c r="BM262" i="16"/>
  <c r="BI262" i="16"/>
  <c r="BH262" i="16"/>
  <c r="BG262" i="16"/>
  <c r="BB262" i="16"/>
  <c r="AY262" i="16"/>
  <c r="AU262" i="16"/>
  <c r="AT262" i="16"/>
  <c r="AS262" i="16"/>
  <c r="AN262" i="16"/>
  <c r="AK262" i="16"/>
  <c r="AG262" i="16"/>
  <c r="AF262" i="16"/>
  <c r="AE262" i="16"/>
  <c r="Z262" i="16"/>
  <c r="W262" i="16"/>
  <c r="S262" i="16"/>
  <c r="R262" i="16"/>
  <c r="Q262" i="16"/>
  <c r="K262" i="16"/>
  <c r="J262" i="16"/>
  <c r="H262" i="16"/>
  <c r="F262" i="16"/>
  <c r="CD261" i="16"/>
  <c r="CA261" i="16"/>
  <c r="BW261" i="16"/>
  <c r="BV261" i="16"/>
  <c r="BU261" i="16"/>
  <c r="BP261" i="16"/>
  <c r="BM261" i="16"/>
  <c r="BI261" i="16"/>
  <c r="BH261" i="16"/>
  <c r="BG261" i="16"/>
  <c r="BB261" i="16"/>
  <c r="AY261" i="16"/>
  <c r="AU261" i="16"/>
  <c r="AT261" i="16"/>
  <c r="AS261" i="16"/>
  <c r="AN261" i="16"/>
  <c r="AK261" i="16"/>
  <c r="AG261" i="16"/>
  <c r="AF261" i="16"/>
  <c r="AE261" i="16"/>
  <c r="Z261" i="16"/>
  <c r="W261" i="16"/>
  <c r="S261" i="16"/>
  <c r="R261" i="16"/>
  <c r="Q261" i="16"/>
  <c r="K261" i="16"/>
  <c r="J261" i="16"/>
  <c r="G261" i="16" s="1"/>
  <c r="H261" i="16"/>
  <c r="F261" i="16"/>
  <c r="CD260" i="16"/>
  <c r="CA260" i="16"/>
  <c r="BW260" i="16"/>
  <c r="BV260" i="16"/>
  <c r="BU260" i="16"/>
  <c r="BP260" i="16"/>
  <c r="BM260" i="16"/>
  <c r="BI260" i="16"/>
  <c r="BH260" i="16"/>
  <c r="BG260" i="16"/>
  <c r="BB260" i="16"/>
  <c r="AY260" i="16"/>
  <c r="AU260" i="16"/>
  <c r="AT260" i="16"/>
  <c r="AS260" i="16"/>
  <c r="AN260" i="16"/>
  <c r="AK260" i="16"/>
  <c r="AG260" i="16"/>
  <c r="AF260" i="16"/>
  <c r="AE260" i="16"/>
  <c r="Z260" i="16"/>
  <c r="W260" i="16"/>
  <c r="S260" i="16"/>
  <c r="R260" i="16"/>
  <c r="Q260" i="16"/>
  <c r="K260" i="16"/>
  <c r="J260" i="16"/>
  <c r="G260" i="16" s="1"/>
  <c r="H260" i="16"/>
  <c r="F260" i="16"/>
  <c r="CD259" i="16"/>
  <c r="CA259" i="16"/>
  <c r="BW259" i="16"/>
  <c r="BV259" i="16"/>
  <c r="BU259" i="16"/>
  <c r="BP259" i="16"/>
  <c r="BM259" i="16"/>
  <c r="BI259" i="16"/>
  <c r="BH259" i="16"/>
  <c r="BG259" i="16"/>
  <c r="BB259" i="16"/>
  <c r="AY259" i="16"/>
  <c r="AU259" i="16"/>
  <c r="AT259" i="16"/>
  <c r="AS259" i="16"/>
  <c r="AN259" i="16"/>
  <c r="AK259" i="16"/>
  <c r="AG259" i="16"/>
  <c r="AF259" i="16"/>
  <c r="AE259" i="16"/>
  <c r="Z259" i="16"/>
  <c r="W259" i="16"/>
  <c r="S259" i="16"/>
  <c r="R259" i="16"/>
  <c r="Q259" i="16"/>
  <c r="K259" i="16"/>
  <c r="J259" i="16"/>
  <c r="H259" i="16"/>
  <c r="F259" i="16"/>
  <c r="CD258" i="16"/>
  <c r="CA258" i="16"/>
  <c r="BW258" i="16"/>
  <c r="BV258" i="16"/>
  <c r="BU258" i="16"/>
  <c r="BP258" i="16"/>
  <c r="BM258" i="16"/>
  <c r="BI258" i="16"/>
  <c r="BH258" i="16"/>
  <c r="BG258" i="16"/>
  <c r="BB258" i="16"/>
  <c r="AY258" i="16"/>
  <c r="AU258" i="16"/>
  <c r="AT258" i="16"/>
  <c r="AS258" i="16"/>
  <c r="AN258" i="16"/>
  <c r="AK258" i="16"/>
  <c r="AG258" i="16"/>
  <c r="AF258" i="16"/>
  <c r="AE258" i="16"/>
  <c r="Z258" i="16"/>
  <c r="W258" i="16"/>
  <c r="S258" i="16"/>
  <c r="R258" i="16"/>
  <c r="Q258" i="16"/>
  <c r="K258" i="16"/>
  <c r="J258" i="16"/>
  <c r="G258" i="16" s="1"/>
  <c r="H258" i="16"/>
  <c r="F258" i="16"/>
  <c r="CD257" i="16"/>
  <c r="CA257" i="16"/>
  <c r="BW257" i="16"/>
  <c r="BV257" i="16"/>
  <c r="BU257" i="16"/>
  <c r="BP257" i="16"/>
  <c r="BM257" i="16"/>
  <c r="BI257" i="16"/>
  <c r="BH257" i="16"/>
  <c r="BG257" i="16"/>
  <c r="BB257" i="16"/>
  <c r="AY257" i="16"/>
  <c r="AU257" i="16"/>
  <c r="AT257" i="16"/>
  <c r="AS257" i="16"/>
  <c r="AN257" i="16"/>
  <c r="AK257" i="16"/>
  <c r="AG257" i="16"/>
  <c r="AF257" i="16"/>
  <c r="AE257" i="16"/>
  <c r="Z257" i="16"/>
  <c r="W257" i="16"/>
  <c r="S257" i="16"/>
  <c r="R257" i="16"/>
  <c r="Q257" i="16"/>
  <c r="K257" i="16"/>
  <c r="J257" i="16"/>
  <c r="H257" i="16"/>
  <c r="F257" i="16"/>
  <c r="CD256" i="16"/>
  <c r="CA256" i="16"/>
  <c r="BW256" i="16"/>
  <c r="BV256" i="16"/>
  <c r="BU256" i="16"/>
  <c r="BP256" i="16"/>
  <c r="BM256" i="16"/>
  <c r="BI256" i="16"/>
  <c r="BH256" i="16"/>
  <c r="BG256" i="16"/>
  <c r="BB256" i="16"/>
  <c r="AY256" i="16"/>
  <c r="AU256" i="16"/>
  <c r="AT256" i="16"/>
  <c r="AS256" i="16"/>
  <c r="AN256" i="16"/>
  <c r="AK256" i="16"/>
  <c r="AG256" i="16"/>
  <c r="AF256" i="16"/>
  <c r="AE256" i="16"/>
  <c r="Z256" i="16"/>
  <c r="W256" i="16"/>
  <c r="S256" i="16"/>
  <c r="R256" i="16"/>
  <c r="Q256" i="16"/>
  <c r="K256" i="16"/>
  <c r="J256" i="16"/>
  <c r="H256" i="16"/>
  <c r="F256" i="16"/>
  <c r="CD255" i="16"/>
  <c r="CA255" i="16"/>
  <c r="BW255" i="16"/>
  <c r="BV255" i="16"/>
  <c r="BU255" i="16"/>
  <c r="BP255" i="16"/>
  <c r="BM255" i="16"/>
  <c r="BI255" i="16"/>
  <c r="BH255" i="16"/>
  <c r="BG255" i="16"/>
  <c r="BB255" i="16"/>
  <c r="AY255" i="16"/>
  <c r="AU255" i="16"/>
  <c r="AT255" i="16"/>
  <c r="AS255" i="16"/>
  <c r="AN255" i="16"/>
  <c r="AK255" i="16"/>
  <c r="AG255" i="16"/>
  <c r="AF255" i="16"/>
  <c r="AE255" i="16"/>
  <c r="Z255" i="16"/>
  <c r="W255" i="16"/>
  <c r="S255" i="16"/>
  <c r="R255" i="16"/>
  <c r="Q255" i="16"/>
  <c r="K255" i="16"/>
  <c r="J255" i="16"/>
  <c r="G255" i="16" s="1"/>
  <c r="H255" i="16"/>
  <c r="F255" i="16"/>
  <c r="CD254" i="16"/>
  <c r="CA254" i="16"/>
  <c r="BW254" i="16"/>
  <c r="BV254" i="16"/>
  <c r="BU254" i="16"/>
  <c r="BP254" i="16"/>
  <c r="BM254" i="16"/>
  <c r="BI254" i="16"/>
  <c r="BH254" i="16"/>
  <c r="BG254" i="16"/>
  <c r="BB254" i="16"/>
  <c r="AY254" i="16"/>
  <c r="AU254" i="16"/>
  <c r="AT254" i="16"/>
  <c r="AS254" i="16"/>
  <c r="AN254" i="16"/>
  <c r="AK254" i="16"/>
  <c r="AG254" i="16"/>
  <c r="AF254" i="16"/>
  <c r="AE254" i="16"/>
  <c r="Z254" i="16"/>
  <c r="W254" i="16"/>
  <c r="S254" i="16"/>
  <c r="R254" i="16"/>
  <c r="Q254" i="16"/>
  <c r="K254" i="16"/>
  <c r="J254" i="16"/>
  <c r="H254" i="16"/>
  <c r="F254" i="16"/>
  <c r="CD253" i="16"/>
  <c r="CA253" i="16"/>
  <c r="BW253" i="16"/>
  <c r="BV253" i="16"/>
  <c r="BU253" i="16"/>
  <c r="BP253" i="16"/>
  <c r="BM253" i="16"/>
  <c r="BI253" i="16"/>
  <c r="BH253" i="16"/>
  <c r="BG253" i="16"/>
  <c r="BB253" i="16"/>
  <c r="AY253" i="16"/>
  <c r="AU253" i="16"/>
  <c r="AT253" i="16"/>
  <c r="AS253" i="16"/>
  <c r="AN253" i="16"/>
  <c r="AK253" i="16"/>
  <c r="AG253" i="16"/>
  <c r="AF253" i="16"/>
  <c r="AE253" i="16"/>
  <c r="Z253" i="16"/>
  <c r="W253" i="16"/>
  <c r="S253" i="16"/>
  <c r="R253" i="16"/>
  <c r="Q253" i="16"/>
  <c r="K253" i="16"/>
  <c r="J253" i="16"/>
  <c r="H253" i="16"/>
  <c r="F253" i="16"/>
  <c r="CD252" i="16"/>
  <c r="CA252" i="16"/>
  <c r="BW252" i="16"/>
  <c r="BV252" i="16"/>
  <c r="BU252" i="16"/>
  <c r="BP252" i="16"/>
  <c r="BM252" i="16"/>
  <c r="BI252" i="16"/>
  <c r="BH252" i="16"/>
  <c r="BG252" i="16"/>
  <c r="BB252" i="16"/>
  <c r="AY252" i="16"/>
  <c r="AU252" i="16"/>
  <c r="AT252" i="16"/>
  <c r="AS252" i="16"/>
  <c r="AN252" i="16"/>
  <c r="AK252" i="16"/>
  <c r="AG252" i="16"/>
  <c r="AF252" i="16"/>
  <c r="AE252" i="16"/>
  <c r="Z252" i="16"/>
  <c r="W252" i="16"/>
  <c r="S252" i="16"/>
  <c r="R252" i="16"/>
  <c r="Q252" i="16"/>
  <c r="K252" i="16"/>
  <c r="J252" i="16"/>
  <c r="G252" i="16" s="1"/>
  <c r="H252" i="16"/>
  <c r="F252" i="16"/>
  <c r="CD251" i="16"/>
  <c r="CA251" i="16"/>
  <c r="BW251" i="16"/>
  <c r="BV251" i="16"/>
  <c r="BU251" i="16"/>
  <c r="BP251" i="16"/>
  <c r="BM251" i="16"/>
  <c r="BI251" i="16"/>
  <c r="BH251" i="16"/>
  <c r="BG251" i="16"/>
  <c r="BB251" i="16"/>
  <c r="AY251" i="16"/>
  <c r="AU251" i="16"/>
  <c r="AT251" i="16"/>
  <c r="AS251" i="16"/>
  <c r="AN251" i="16"/>
  <c r="AK251" i="16"/>
  <c r="AG251" i="16"/>
  <c r="AF251" i="16"/>
  <c r="AE251" i="16"/>
  <c r="Z251" i="16"/>
  <c r="W251" i="16"/>
  <c r="S251" i="16"/>
  <c r="R251" i="16"/>
  <c r="Q251" i="16"/>
  <c r="K251" i="16"/>
  <c r="J251" i="16"/>
  <c r="G251" i="16" s="1"/>
  <c r="H251" i="16"/>
  <c r="F251" i="16"/>
  <c r="CD250" i="16"/>
  <c r="CA250" i="16"/>
  <c r="BW250" i="16"/>
  <c r="BV250" i="16"/>
  <c r="BU250" i="16"/>
  <c r="BP250" i="16"/>
  <c r="BM250" i="16"/>
  <c r="BI250" i="16"/>
  <c r="BH250" i="16"/>
  <c r="BG250" i="16"/>
  <c r="BB250" i="16"/>
  <c r="AY250" i="16"/>
  <c r="AU250" i="16"/>
  <c r="AT250" i="16"/>
  <c r="AS250" i="16"/>
  <c r="AN250" i="16"/>
  <c r="AK250" i="16"/>
  <c r="AG250" i="16"/>
  <c r="AF250" i="16"/>
  <c r="AE250" i="16"/>
  <c r="Z250" i="16"/>
  <c r="W250" i="16"/>
  <c r="S250" i="16"/>
  <c r="R250" i="16"/>
  <c r="Q250" i="16"/>
  <c r="K250" i="16"/>
  <c r="J250" i="16"/>
  <c r="G250" i="16" s="1"/>
  <c r="H250" i="16"/>
  <c r="F250" i="16"/>
  <c r="CD249" i="16"/>
  <c r="CA249" i="16"/>
  <c r="BW249" i="16"/>
  <c r="BV249" i="16"/>
  <c r="BU249" i="16"/>
  <c r="BP249" i="16"/>
  <c r="BM249" i="16"/>
  <c r="BI249" i="16"/>
  <c r="BH249" i="16"/>
  <c r="BG249" i="16"/>
  <c r="BB249" i="16"/>
  <c r="AY249" i="16"/>
  <c r="AU249" i="16"/>
  <c r="AT249" i="16"/>
  <c r="AS249" i="16"/>
  <c r="AN249" i="16"/>
  <c r="AK249" i="16"/>
  <c r="AG249" i="16"/>
  <c r="AF249" i="16"/>
  <c r="AE249" i="16"/>
  <c r="Z249" i="16"/>
  <c r="W249" i="16"/>
  <c r="S249" i="16"/>
  <c r="R249" i="16"/>
  <c r="Q249" i="16"/>
  <c r="K249" i="16"/>
  <c r="J249" i="16"/>
  <c r="H249" i="16"/>
  <c r="F249" i="16"/>
  <c r="CD248" i="16"/>
  <c r="CA248" i="16"/>
  <c r="BW248" i="16"/>
  <c r="BV248" i="16"/>
  <c r="BU248" i="16"/>
  <c r="BP248" i="16"/>
  <c r="BM248" i="16"/>
  <c r="BI248" i="16"/>
  <c r="BH248" i="16"/>
  <c r="BG248" i="16"/>
  <c r="BB248" i="16"/>
  <c r="AY248" i="16"/>
  <c r="AU248" i="16"/>
  <c r="AT248" i="16"/>
  <c r="AS248" i="16"/>
  <c r="AN248" i="16"/>
  <c r="AK248" i="16"/>
  <c r="AG248" i="16"/>
  <c r="AF248" i="16"/>
  <c r="AE248" i="16"/>
  <c r="Z248" i="16"/>
  <c r="W248" i="16"/>
  <c r="S248" i="16"/>
  <c r="R248" i="16"/>
  <c r="Q248" i="16"/>
  <c r="K248" i="16"/>
  <c r="J248" i="16"/>
  <c r="G248" i="16" s="1"/>
  <c r="H248" i="16"/>
  <c r="F248" i="16"/>
  <c r="CD247" i="16"/>
  <c r="CA247" i="16"/>
  <c r="BW247" i="16"/>
  <c r="BV247" i="16"/>
  <c r="BU247" i="16"/>
  <c r="BP247" i="16"/>
  <c r="BM247" i="16"/>
  <c r="BI247" i="16"/>
  <c r="BH247" i="16"/>
  <c r="BG247" i="16"/>
  <c r="BB247" i="16"/>
  <c r="AY247" i="16"/>
  <c r="AU247" i="16"/>
  <c r="AT247" i="16"/>
  <c r="AS247" i="16"/>
  <c r="AN247" i="16"/>
  <c r="AK247" i="16"/>
  <c r="AG247" i="16"/>
  <c r="AF247" i="16"/>
  <c r="AE247" i="16"/>
  <c r="Z247" i="16"/>
  <c r="W247" i="16"/>
  <c r="S247" i="16"/>
  <c r="R247" i="16"/>
  <c r="Q247" i="16"/>
  <c r="K247" i="16"/>
  <c r="J247" i="16"/>
  <c r="H247" i="16"/>
  <c r="F247" i="16"/>
  <c r="CD246" i="16"/>
  <c r="CA246" i="16"/>
  <c r="BW246" i="16"/>
  <c r="BV246" i="16"/>
  <c r="BU246" i="16"/>
  <c r="BP246" i="16"/>
  <c r="BM246" i="16"/>
  <c r="BI246" i="16"/>
  <c r="BH246" i="16"/>
  <c r="BG246" i="16"/>
  <c r="BB246" i="16"/>
  <c r="AY246" i="16"/>
  <c r="AU246" i="16"/>
  <c r="AT246" i="16"/>
  <c r="AS246" i="16"/>
  <c r="AN246" i="16"/>
  <c r="AK246" i="16"/>
  <c r="AG246" i="16"/>
  <c r="AF246" i="16"/>
  <c r="AE246" i="16"/>
  <c r="Z246" i="16"/>
  <c r="W246" i="16"/>
  <c r="S246" i="16"/>
  <c r="R246" i="16"/>
  <c r="Q246" i="16"/>
  <c r="K246" i="16"/>
  <c r="J246" i="16"/>
  <c r="G246" i="16" s="1"/>
  <c r="H246" i="16"/>
  <c r="F246" i="16"/>
  <c r="CD245" i="16"/>
  <c r="CA245" i="16"/>
  <c r="BW245" i="16"/>
  <c r="BV245" i="16"/>
  <c r="BU245" i="16"/>
  <c r="BP245" i="16"/>
  <c r="BM245" i="16"/>
  <c r="BI245" i="16"/>
  <c r="BH245" i="16"/>
  <c r="BG245" i="16"/>
  <c r="BB245" i="16"/>
  <c r="AY245" i="16"/>
  <c r="AU245" i="16"/>
  <c r="AT245" i="16"/>
  <c r="AS245" i="16"/>
  <c r="AN245" i="16"/>
  <c r="AK245" i="16"/>
  <c r="AG245" i="16"/>
  <c r="AF245" i="16"/>
  <c r="AE245" i="16"/>
  <c r="Z245" i="16"/>
  <c r="W245" i="16"/>
  <c r="S245" i="16"/>
  <c r="R245" i="16"/>
  <c r="Q245" i="16"/>
  <c r="K245" i="16"/>
  <c r="J245" i="16"/>
  <c r="G245" i="16" s="1"/>
  <c r="H245" i="16"/>
  <c r="F245" i="16"/>
  <c r="CD244" i="16"/>
  <c r="CA244" i="16"/>
  <c r="BW244" i="16"/>
  <c r="BV244" i="16"/>
  <c r="BU244" i="16"/>
  <c r="BP244" i="16"/>
  <c r="BM244" i="16"/>
  <c r="BI244" i="16"/>
  <c r="BH244" i="16"/>
  <c r="BG244" i="16"/>
  <c r="BB244" i="16"/>
  <c r="AY244" i="16"/>
  <c r="AU244" i="16"/>
  <c r="AT244" i="16"/>
  <c r="AS244" i="16"/>
  <c r="AN244" i="16"/>
  <c r="AK244" i="16"/>
  <c r="AG244" i="16"/>
  <c r="AF244" i="16"/>
  <c r="AE244" i="16"/>
  <c r="Z244" i="16"/>
  <c r="W244" i="16"/>
  <c r="S244" i="16"/>
  <c r="R244" i="16"/>
  <c r="Q244" i="16"/>
  <c r="K244" i="16"/>
  <c r="J244" i="16"/>
  <c r="G244" i="16" s="1"/>
  <c r="H244" i="16"/>
  <c r="F244" i="16"/>
  <c r="CD243" i="16"/>
  <c r="CA243" i="16"/>
  <c r="BW243" i="16"/>
  <c r="BV243" i="16"/>
  <c r="BU243" i="16"/>
  <c r="BP243" i="16"/>
  <c r="BM243" i="16"/>
  <c r="BI243" i="16"/>
  <c r="BH243" i="16"/>
  <c r="BG243" i="16"/>
  <c r="BB243" i="16"/>
  <c r="AY243" i="16"/>
  <c r="AU243" i="16"/>
  <c r="AT243" i="16"/>
  <c r="AS243" i="16"/>
  <c r="AN243" i="16"/>
  <c r="AK243" i="16"/>
  <c r="AG243" i="16"/>
  <c r="AF243" i="16"/>
  <c r="AE243" i="16"/>
  <c r="Z243" i="16"/>
  <c r="W243" i="16"/>
  <c r="S243" i="16"/>
  <c r="R243" i="16"/>
  <c r="Q243" i="16"/>
  <c r="K243" i="16"/>
  <c r="J243" i="16"/>
  <c r="H243" i="16"/>
  <c r="F243" i="16"/>
  <c r="CD242" i="16"/>
  <c r="CA242" i="16"/>
  <c r="BW242" i="16"/>
  <c r="BV242" i="16"/>
  <c r="BU242" i="16"/>
  <c r="BP242" i="16"/>
  <c r="BM242" i="16"/>
  <c r="BI242" i="16"/>
  <c r="BH242" i="16"/>
  <c r="BG242" i="16"/>
  <c r="BB242" i="16"/>
  <c r="AY242" i="16"/>
  <c r="AU242" i="16"/>
  <c r="AT242" i="16"/>
  <c r="AS242" i="16"/>
  <c r="AN242" i="16"/>
  <c r="AK242" i="16"/>
  <c r="AG242" i="16"/>
  <c r="AF242" i="16"/>
  <c r="AE242" i="16"/>
  <c r="Z242" i="16"/>
  <c r="W242" i="16"/>
  <c r="S242" i="16"/>
  <c r="R242" i="16"/>
  <c r="Q242" i="16"/>
  <c r="K242" i="16"/>
  <c r="J242" i="16"/>
  <c r="H242" i="16"/>
  <c r="F242" i="16"/>
  <c r="CD241" i="16"/>
  <c r="CA241" i="16"/>
  <c r="BW241" i="16"/>
  <c r="BV241" i="16"/>
  <c r="BU241" i="16"/>
  <c r="BP241" i="16"/>
  <c r="BM241" i="16"/>
  <c r="BI241" i="16"/>
  <c r="BH241" i="16"/>
  <c r="BG241" i="16"/>
  <c r="BB241" i="16"/>
  <c r="AY241" i="16"/>
  <c r="AU241" i="16"/>
  <c r="AT241" i="16"/>
  <c r="AS241" i="16"/>
  <c r="AN241" i="16"/>
  <c r="AK241" i="16"/>
  <c r="AG241" i="16"/>
  <c r="AF241" i="16"/>
  <c r="AE241" i="16"/>
  <c r="Z241" i="16"/>
  <c r="W241" i="16"/>
  <c r="S241" i="16"/>
  <c r="R241" i="16"/>
  <c r="Q241" i="16"/>
  <c r="K241" i="16"/>
  <c r="J241" i="16"/>
  <c r="G241" i="16" s="1"/>
  <c r="H241" i="16"/>
  <c r="F241" i="16"/>
  <c r="CD240" i="16"/>
  <c r="CA240" i="16"/>
  <c r="BW240" i="16"/>
  <c r="BV240" i="16"/>
  <c r="BU240" i="16"/>
  <c r="BP240" i="16"/>
  <c r="BM240" i="16"/>
  <c r="BI240" i="16"/>
  <c r="BH240" i="16"/>
  <c r="BG240" i="16"/>
  <c r="BB240" i="16"/>
  <c r="AY240" i="16"/>
  <c r="AU240" i="16"/>
  <c r="AT240" i="16"/>
  <c r="AS240" i="16"/>
  <c r="AN240" i="16"/>
  <c r="AK240" i="16"/>
  <c r="AG240" i="16"/>
  <c r="AF240" i="16"/>
  <c r="AE240" i="16"/>
  <c r="Z240" i="16"/>
  <c r="W240" i="16"/>
  <c r="S240" i="16"/>
  <c r="R240" i="16"/>
  <c r="Q240" i="16"/>
  <c r="K240" i="16"/>
  <c r="J240" i="16"/>
  <c r="G240" i="16" s="1"/>
  <c r="H240" i="16"/>
  <c r="F240" i="16"/>
  <c r="CD239" i="16"/>
  <c r="CA239" i="16"/>
  <c r="BW239" i="16"/>
  <c r="BV239" i="16"/>
  <c r="BU239" i="16"/>
  <c r="BP239" i="16"/>
  <c r="BM239" i="16"/>
  <c r="BI239" i="16"/>
  <c r="BH239" i="16"/>
  <c r="BG239" i="16"/>
  <c r="BB239" i="16"/>
  <c r="AY239" i="16"/>
  <c r="AU239" i="16"/>
  <c r="AT239" i="16"/>
  <c r="AS239" i="16"/>
  <c r="AN239" i="16"/>
  <c r="AK239" i="16"/>
  <c r="AG239" i="16"/>
  <c r="AF239" i="16"/>
  <c r="AE239" i="16"/>
  <c r="Z239" i="16"/>
  <c r="W239" i="16"/>
  <c r="S239" i="16"/>
  <c r="R239" i="16"/>
  <c r="Q239" i="16"/>
  <c r="K239" i="16"/>
  <c r="J239" i="16"/>
  <c r="G239" i="16" s="1"/>
  <c r="H239" i="16"/>
  <c r="F239" i="16"/>
  <c r="CD238" i="16"/>
  <c r="CA238" i="16"/>
  <c r="BW238" i="16"/>
  <c r="BV238" i="16"/>
  <c r="BU238" i="16"/>
  <c r="BP238" i="16"/>
  <c r="BM238" i="16"/>
  <c r="BI238" i="16"/>
  <c r="BH238" i="16"/>
  <c r="BG238" i="16"/>
  <c r="BB238" i="16"/>
  <c r="AY238" i="16"/>
  <c r="AU238" i="16"/>
  <c r="AT238" i="16"/>
  <c r="AS238" i="16"/>
  <c r="AN238" i="16"/>
  <c r="AK238" i="16"/>
  <c r="AG238" i="16"/>
  <c r="AF238" i="16"/>
  <c r="AE238" i="16"/>
  <c r="Z238" i="16"/>
  <c r="W238" i="16"/>
  <c r="S238" i="16"/>
  <c r="R238" i="16"/>
  <c r="Q238" i="16"/>
  <c r="K238" i="16"/>
  <c r="J238" i="16"/>
  <c r="G238" i="16" s="1"/>
  <c r="H238" i="16"/>
  <c r="F238" i="16"/>
  <c r="CD237" i="16"/>
  <c r="CA237" i="16"/>
  <c r="BW237" i="16"/>
  <c r="BV237" i="16"/>
  <c r="BU237" i="16"/>
  <c r="BP237" i="16"/>
  <c r="BM237" i="16"/>
  <c r="BI237" i="16"/>
  <c r="BH237" i="16"/>
  <c r="BG237" i="16"/>
  <c r="BB237" i="16"/>
  <c r="AY237" i="16"/>
  <c r="AU237" i="16"/>
  <c r="AT237" i="16"/>
  <c r="AS237" i="16"/>
  <c r="AN237" i="16"/>
  <c r="AK237" i="16"/>
  <c r="AG237" i="16"/>
  <c r="AF237" i="16"/>
  <c r="AE237" i="16"/>
  <c r="Z237" i="16"/>
  <c r="W237" i="16"/>
  <c r="S237" i="16"/>
  <c r="R237" i="16"/>
  <c r="Q237" i="16"/>
  <c r="K237" i="16"/>
  <c r="J237" i="16"/>
  <c r="G237" i="16" s="1"/>
  <c r="H237" i="16"/>
  <c r="F237" i="16"/>
  <c r="CD236" i="16"/>
  <c r="CA236" i="16"/>
  <c r="BW236" i="16"/>
  <c r="BV236" i="16"/>
  <c r="BU236" i="16"/>
  <c r="BP236" i="16"/>
  <c r="BM236" i="16"/>
  <c r="BI236" i="16"/>
  <c r="BH236" i="16"/>
  <c r="BG236" i="16"/>
  <c r="BB236" i="16"/>
  <c r="AY236" i="16"/>
  <c r="AU236" i="16"/>
  <c r="AT236" i="16"/>
  <c r="AS236" i="16"/>
  <c r="AN236" i="16"/>
  <c r="AK236" i="16"/>
  <c r="AG236" i="16"/>
  <c r="AF236" i="16"/>
  <c r="AE236" i="16"/>
  <c r="Z236" i="16"/>
  <c r="W236" i="16"/>
  <c r="S236" i="16"/>
  <c r="R236" i="16"/>
  <c r="Q236" i="16"/>
  <c r="K236" i="16"/>
  <c r="J236" i="16"/>
  <c r="G236" i="16" s="1"/>
  <c r="H236" i="16"/>
  <c r="F236" i="16"/>
  <c r="CD235" i="16"/>
  <c r="CA235" i="16"/>
  <c r="BW235" i="16"/>
  <c r="BV235" i="16"/>
  <c r="BU235" i="16"/>
  <c r="BP235" i="16"/>
  <c r="BM235" i="16"/>
  <c r="BI235" i="16"/>
  <c r="BH235" i="16"/>
  <c r="BG235" i="16"/>
  <c r="BB235" i="16"/>
  <c r="AY235" i="16"/>
  <c r="AU235" i="16"/>
  <c r="AT235" i="16"/>
  <c r="AS235" i="16"/>
  <c r="AN235" i="16"/>
  <c r="AK235" i="16"/>
  <c r="AG235" i="16"/>
  <c r="AF235" i="16"/>
  <c r="AE235" i="16"/>
  <c r="Z235" i="16"/>
  <c r="W235" i="16"/>
  <c r="S235" i="16"/>
  <c r="R235" i="16"/>
  <c r="Q235" i="16"/>
  <c r="K235" i="16"/>
  <c r="J235" i="16"/>
  <c r="H235" i="16"/>
  <c r="F235" i="16"/>
  <c r="CD234" i="16"/>
  <c r="CA234" i="16"/>
  <c r="BW234" i="16"/>
  <c r="BV234" i="16"/>
  <c r="BU234" i="16"/>
  <c r="BP234" i="16"/>
  <c r="BM234" i="16"/>
  <c r="BI234" i="16"/>
  <c r="BH234" i="16"/>
  <c r="BG234" i="16"/>
  <c r="BB234" i="16"/>
  <c r="AY234" i="16"/>
  <c r="AU234" i="16"/>
  <c r="AT234" i="16"/>
  <c r="AS234" i="16"/>
  <c r="AN234" i="16"/>
  <c r="AK234" i="16"/>
  <c r="AG234" i="16"/>
  <c r="AF234" i="16"/>
  <c r="AE234" i="16"/>
  <c r="Z234" i="16"/>
  <c r="W234" i="16"/>
  <c r="S234" i="16"/>
  <c r="R234" i="16"/>
  <c r="Q234" i="16"/>
  <c r="K234" i="16"/>
  <c r="J234" i="16"/>
  <c r="H234" i="16"/>
  <c r="F234" i="16"/>
  <c r="CD233" i="16"/>
  <c r="CA233" i="16"/>
  <c r="BW233" i="16"/>
  <c r="BV233" i="16"/>
  <c r="BU233" i="16"/>
  <c r="BP233" i="16"/>
  <c r="BM233" i="16"/>
  <c r="BI233" i="16"/>
  <c r="BH233" i="16"/>
  <c r="BG233" i="16"/>
  <c r="BB233" i="16"/>
  <c r="AY233" i="16"/>
  <c r="AU233" i="16"/>
  <c r="AT233" i="16"/>
  <c r="AS233" i="16"/>
  <c r="AN233" i="16"/>
  <c r="AK233" i="16"/>
  <c r="AG233" i="16"/>
  <c r="AF233" i="16"/>
  <c r="AE233" i="16"/>
  <c r="Z233" i="16"/>
  <c r="W233" i="16"/>
  <c r="S233" i="16"/>
  <c r="R233" i="16"/>
  <c r="Q233" i="16"/>
  <c r="K233" i="16"/>
  <c r="J233" i="16"/>
  <c r="G233" i="16" s="1"/>
  <c r="H233" i="16"/>
  <c r="F233" i="16"/>
  <c r="CD232" i="16"/>
  <c r="CA232" i="16"/>
  <c r="BW232" i="16"/>
  <c r="BV232" i="16"/>
  <c r="BU232" i="16"/>
  <c r="BP232" i="16"/>
  <c r="BM232" i="16"/>
  <c r="BI232" i="16"/>
  <c r="BH232" i="16"/>
  <c r="BG232" i="16"/>
  <c r="BB232" i="16"/>
  <c r="AY232" i="16"/>
  <c r="AU232" i="16"/>
  <c r="AT232" i="16"/>
  <c r="AS232" i="16"/>
  <c r="AN232" i="16"/>
  <c r="AK232" i="16"/>
  <c r="AG232" i="16"/>
  <c r="AF232" i="16"/>
  <c r="AE232" i="16"/>
  <c r="Z232" i="16"/>
  <c r="W232" i="16"/>
  <c r="S232" i="16"/>
  <c r="R232" i="16"/>
  <c r="Q232" i="16"/>
  <c r="K232" i="16"/>
  <c r="J232" i="16"/>
  <c r="H232" i="16"/>
  <c r="F232" i="16"/>
  <c r="CD231" i="16"/>
  <c r="CA231" i="16"/>
  <c r="BW231" i="16"/>
  <c r="BV231" i="16"/>
  <c r="BU231" i="16"/>
  <c r="BP231" i="16"/>
  <c r="BM231" i="16"/>
  <c r="BI231" i="16"/>
  <c r="BH231" i="16"/>
  <c r="BG231" i="16"/>
  <c r="BB231" i="16"/>
  <c r="AY231" i="16"/>
  <c r="AU231" i="16"/>
  <c r="AT231" i="16"/>
  <c r="AS231" i="16"/>
  <c r="AN231" i="16"/>
  <c r="AK231" i="16"/>
  <c r="AG231" i="16"/>
  <c r="AF231" i="16"/>
  <c r="AE231" i="16"/>
  <c r="Z231" i="16"/>
  <c r="W231" i="16"/>
  <c r="S231" i="16"/>
  <c r="R231" i="16"/>
  <c r="Q231" i="16"/>
  <c r="K231" i="16"/>
  <c r="J231" i="16"/>
  <c r="G231" i="16" s="1"/>
  <c r="H231" i="16"/>
  <c r="F231" i="16"/>
  <c r="CD230" i="16"/>
  <c r="CA230" i="16"/>
  <c r="BW230" i="16"/>
  <c r="BV230" i="16"/>
  <c r="BU230" i="16"/>
  <c r="BP230" i="16"/>
  <c r="BM230" i="16"/>
  <c r="BI230" i="16"/>
  <c r="BH230" i="16"/>
  <c r="BG230" i="16"/>
  <c r="BB230" i="16"/>
  <c r="AY230" i="16"/>
  <c r="AU230" i="16"/>
  <c r="AT230" i="16"/>
  <c r="AS230" i="16"/>
  <c r="AN230" i="16"/>
  <c r="AK230" i="16"/>
  <c r="AG230" i="16"/>
  <c r="AF230" i="16"/>
  <c r="AE230" i="16"/>
  <c r="Z230" i="16"/>
  <c r="W230" i="16"/>
  <c r="S230" i="16"/>
  <c r="R230" i="16"/>
  <c r="Q230" i="16"/>
  <c r="K230" i="16"/>
  <c r="J230" i="16"/>
  <c r="H230" i="16"/>
  <c r="F230" i="16"/>
  <c r="CD229" i="16"/>
  <c r="CA229" i="16"/>
  <c r="BW229" i="16"/>
  <c r="BV229" i="16"/>
  <c r="BU229" i="16"/>
  <c r="BP229" i="16"/>
  <c r="BM229" i="16"/>
  <c r="BI229" i="16"/>
  <c r="BH229" i="16"/>
  <c r="BG229" i="16"/>
  <c r="BB229" i="16"/>
  <c r="AY229" i="16"/>
  <c r="AU229" i="16"/>
  <c r="AT229" i="16"/>
  <c r="AS229" i="16"/>
  <c r="AN229" i="16"/>
  <c r="AK229" i="16"/>
  <c r="AG229" i="16"/>
  <c r="AF229" i="16"/>
  <c r="AE229" i="16"/>
  <c r="Z229" i="16"/>
  <c r="W229" i="16"/>
  <c r="S229" i="16"/>
  <c r="R229" i="16"/>
  <c r="Q229" i="16"/>
  <c r="K229" i="16"/>
  <c r="J229" i="16"/>
  <c r="G229" i="16" s="1"/>
  <c r="H229" i="16"/>
  <c r="F229" i="16"/>
  <c r="CD228" i="16"/>
  <c r="CA228" i="16"/>
  <c r="BW228" i="16"/>
  <c r="BV228" i="16"/>
  <c r="BU228" i="16"/>
  <c r="BP228" i="16"/>
  <c r="BM228" i="16"/>
  <c r="BI228" i="16"/>
  <c r="BH228" i="16"/>
  <c r="BG228" i="16"/>
  <c r="BB228" i="16"/>
  <c r="AY228" i="16"/>
  <c r="AU228" i="16"/>
  <c r="AT228" i="16"/>
  <c r="AS228" i="16"/>
  <c r="AN228" i="16"/>
  <c r="AK228" i="16"/>
  <c r="AG228" i="16"/>
  <c r="AF228" i="16"/>
  <c r="AE228" i="16"/>
  <c r="Z228" i="16"/>
  <c r="W228" i="16"/>
  <c r="S228" i="16"/>
  <c r="R228" i="16"/>
  <c r="Q228" i="16"/>
  <c r="K228" i="16"/>
  <c r="J228" i="16"/>
  <c r="G228" i="16" s="1"/>
  <c r="H228" i="16"/>
  <c r="F228" i="16"/>
  <c r="CD227" i="16"/>
  <c r="CA227" i="16"/>
  <c r="BW227" i="16"/>
  <c r="BV227" i="16"/>
  <c r="BU227" i="16"/>
  <c r="BP227" i="16"/>
  <c r="BM227" i="16"/>
  <c r="BI227" i="16"/>
  <c r="BH227" i="16"/>
  <c r="BG227" i="16"/>
  <c r="BB227" i="16"/>
  <c r="AY227" i="16"/>
  <c r="AU227" i="16"/>
  <c r="AT227" i="16"/>
  <c r="AS227" i="16"/>
  <c r="AN227" i="16"/>
  <c r="AK227" i="16"/>
  <c r="AG227" i="16"/>
  <c r="AF227" i="16"/>
  <c r="AE227" i="16"/>
  <c r="Z227" i="16"/>
  <c r="W227" i="16"/>
  <c r="S227" i="16"/>
  <c r="R227" i="16"/>
  <c r="Q227" i="16"/>
  <c r="K227" i="16"/>
  <c r="J227" i="16"/>
  <c r="H227" i="16"/>
  <c r="F227" i="16"/>
  <c r="CD226" i="16"/>
  <c r="CA226" i="16"/>
  <c r="BW226" i="16"/>
  <c r="BV226" i="16"/>
  <c r="BU226" i="16"/>
  <c r="BP226" i="16"/>
  <c r="BM226" i="16"/>
  <c r="BI226" i="16"/>
  <c r="BH226" i="16"/>
  <c r="BG226" i="16"/>
  <c r="BB226" i="16"/>
  <c r="AY226" i="16"/>
  <c r="AU226" i="16"/>
  <c r="AT226" i="16"/>
  <c r="AS226" i="16"/>
  <c r="AN226" i="16"/>
  <c r="AK226" i="16"/>
  <c r="AG226" i="16"/>
  <c r="AF226" i="16"/>
  <c r="AE226" i="16"/>
  <c r="Z226" i="16"/>
  <c r="W226" i="16"/>
  <c r="S226" i="16"/>
  <c r="R226" i="16"/>
  <c r="Q226" i="16"/>
  <c r="K226" i="16"/>
  <c r="J226" i="16"/>
  <c r="H226" i="16"/>
  <c r="F226" i="16"/>
  <c r="CD225" i="16"/>
  <c r="CA225" i="16"/>
  <c r="BW225" i="16"/>
  <c r="BV225" i="16"/>
  <c r="BU225" i="16"/>
  <c r="BP225" i="16"/>
  <c r="BM225" i="16"/>
  <c r="BI225" i="16"/>
  <c r="BH225" i="16"/>
  <c r="BG225" i="16"/>
  <c r="BB225" i="16"/>
  <c r="AY225" i="16"/>
  <c r="AU225" i="16"/>
  <c r="AT225" i="16"/>
  <c r="AS225" i="16"/>
  <c r="AN225" i="16"/>
  <c r="AK225" i="16"/>
  <c r="AG225" i="16"/>
  <c r="AF225" i="16"/>
  <c r="AE225" i="16"/>
  <c r="Z225" i="16"/>
  <c r="W225" i="16"/>
  <c r="S225" i="16"/>
  <c r="R225" i="16"/>
  <c r="Q225" i="16"/>
  <c r="K225" i="16"/>
  <c r="J225" i="16"/>
  <c r="H225" i="16"/>
  <c r="F225" i="16"/>
  <c r="CD224" i="16"/>
  <c r="CA224" i="16"/>
  <c r="BW224" i="16"/>
  <c r="BV224" i="16"/>
  <c r="BU224" i="16"/>
  <c r="BP224" i="16"/>
  <c r="BM224" i="16"/>
  <c r="BI224" i="16"/>
  <c r="BH224" i="16"/>
  <c r="BG224" i="16"/>
  <c r="BB224" i="16"/>
  <c r="AY224" i="16"/>
  <c r="AU224" i="16"/>
  <c r="AT224" i="16"/>
  <c r="AS224" i="16"/>
  <c r="AN224" i="16"/>
  <c r="AK224" i="16"/>
  <c r="AG224" i="16"/>
  <c r="AF224" i="16"/>
  <c r="AE224" i="16"/>
  <c r="Z224" i="16"/>
  <c r="W224" i="16"/>
  <c r="S224" i="16"/>
  <c r="R224" i="16"/>
  <c r="Q224" i="16"/>
  <c r="K224" i="16"/>
  <c r="J224" i="16"/>
  <c r="H224" i="16"/>
  <c r="F224" i="16"/>
  <c r="CD223" i="16"/>
  <c r="CA223" i="16"/>
  <c r="BW223" i="16"/>
  <c r="BV223" i="16"/>
  <c r="BU223" i="16"/>
  <c r="BP223" i="16"/>
  <c r="BM223" i="16"/>
  <c r="BI223" i="16"/>
  <c r="BH223" i="16"/>
  <c r="BG223" i="16"/>
  <c r="BB223" i="16"/>
  <c r="AY223" i="16"/>
  <c r="AU223" i="16"/>
  <c r="AT223" i="16"/>
  <c r="AS223" i="16"/>
  <c r="AN223" i="16"/>
  <c r="AK223" i="16"/>
  <c r="AG223" i="16"/>
  <c r="AF223" i="16"/>
  <c r="AE223" i="16"/>
  <c r="Z223" i="16"/>
  <c r="W223" i="16"/>
  <c r="S223" i="16"/>
  <c r="R223" i="16"/>
  <c r="Q223" i="16"/>
  <c r="K223" i="16"/>
  <c r="J223" i="16"/>
  <c r="H223" i="16"/>
  <c r="F223" i="16"/>
  <c r="CD222" i="16"/>
  <c r="CA222" i="16"/>
  <c r="BW222" i="16"/>
  <c r="BV222" i="16"/>
  <c r="BU222" i="16"/>
  <c r="BP222" i="16"/>
  <c r="BM222" i="16"/>
  <c r="BI222" i="16"/>
  <c r="BH222" i="16"/>
  <c r="BG222" i="16"/>
  <c r="BB222" i="16"/>
  <c r="AY222" i="16"/>
  <c r="AU222" i="16"/>
  <c r="AT222" i="16"/>
  <c r="AS222" i="16"/>
  <c r="AN222" i="16"/>
  <c r="AK222" i="16"/>
  <c r="AG222" i="16"/>
  <c r="AF222" i="16"/>
  <c r="AE222" i="16"/>
  <c r="Z222" i="16"/>
  <c r="W222" i="16"/>
  <c r="S222" i="16"/>
  <c r="R222" i="16"/>
  <c r="Q222" i="16"/>
  <c r="K222" i="16"/>
  <c r="J222" i="16"/>
  <c r="H222" i="16"/>
  <c r="F222" i="16"/>
  <c r="CD221" i="16"/>
  <c r="BW221" i="16"/>
  <c r="BV221" i="16"/>
  <c r="BU221" i="16"/>
  <c r="BP221" i="16"/>
  <c r="BM221" i="16"/>
  <c r="BI221" i="16"/>
  <c r="BH221" i="16"/>
  <c r="BG221" i="16"/>
  <c r="BB221" i="16"/>
  <c r="AY221" i="16"/>
  <c r="AU221" i="16"/>
  <c r="AT221" i="16"/>
  <c r="AS221" i="16"/>
  <c r="AN221" i="16"/>
  <c r="AK221" i="16"/>
  <c r="AG221" i="16"/>
  <c r="AF221" i="16"/>
  <c r="AE221" i="16"/>
  <c r="Z221" i="16"/>
  <c r="W221" i="16"/>
  <c r="S221" i="16"/>
  <c r="R221" i="16"/>
  <c r="Q221" i="16"/>
  <c r="K221" i="16"/>
  <c r="J221" i="16"/>
  <c r="H221" i="16"/>
  <c r="F221" i="16"/>
  <c r="CD220" i="16"/>
  <c r="BW220" i="16"/>
  <c r="BV220" i="16"/>
  <c r="BU220" i="16"/>
  <c r="BP220" i="16"/>
  <c r="BM220" i="16"/>
  <c r="BI220" i="16"/>
  <c r="BH220" i="16"/>
  <c r="BG220" i="16"/>
  <c r="BB220" i="16"/>
  <c r="AY220" i="16"/>
  <c r="AU220" i="16"/>
  <c r="AT220" i="16"/>
  <c r="AS220" i="16"/>
  <c r="AN220" i="16"/>
  <c r="AK220" i="16"/>
  <c r="AG220" i="16"/>
  <c r="AF220" i="16"/>
  <c r="AE220" i="16"/>
  <c r="Z220" i="16"/>
  <c r="W220" i="16"/>
  <c r="S220" i="16"/>
  <c r="R220" i="16"/>
  <c r="Q220" i="16"/>
  <c r="K220" i="16"/>
  <c r="J220" i="16"/>
  <c r="H220" i="16"/>
  <c r="F220" i="16"/>
  <c r="CD219" i="16"/>
  <c r="BW219" i="16"/>
  <c r="BV219" i="16"/>
  <c r="BU219" i="16"/>
  <c r="BP219" i="16"/>
  <c r="BM219" i="16"/>
  <c r="BI219" i="16"/>
  <c r="BH219" i="16"/>
  <c r="BG219" i="16"/>
  <c r="BB219" i="16"/>
  <c r="AY219" i="16"/>
  <c r="AU219" i="16"/>
  <c r="AT219" i="16"/>
  <c r="AS219" i="16"/>
  <c r="AN219" i="16"/>
  <c r="AK219" i="16"/>
  <c r="AG219" i="16"/>
  <c r="AF219" i="16"/>
  <c r="AE219" i="16"/>
  <c r="Z219" i="16"/>
  <c r="W219" i="16"/>
  <c r="S219" i="16"/>
  <c r="R219" i="16"/>
  <c r="Q219" i="16"/>
  <c r="K219" i="16"/>
  <c r="J219" i="16"/>
  <c r="G219" i="16" s="1"/>
  <c r="H219" i="16"/>
  <c r="F219" i="16"/>
  <c r="CD218" i="16"/>
  <c r="BW218" i="16"/>
  <c r="BV218" i="16"/>
  <c r="BU218" i="16"/>
  <c r="BP218" i="16"/>
  <c r="BM218" i="16"/>
  <c r="BI218" i="16"/>
  <c r="BH218" i="16"/>
  <c r="BG218" i="16"/>
  <c r="BB218" i="16"/>
  <c r="AY218" i="16"/>
  <c r="AU218" i="16"/>
  <c r="AT218" i="16"/>
  <c r="AS218" i="16"/>
  <c r="AN218" i="16"/>
  <c r="AK218" i="16"/>
  <c r="AG218" i="16"/>
  <c r="AF218" i="16"/>
  <c r="AE218" i="16"/>
  <c r="Z218" i="16"/>
  <c r="W218" i="16"/>
  <c r="S218" i="16"/>
  <c r="R218" i="16"/>
  <c r="Q218" i="16"/>
  <c r="K218" i="16"/>
  <c r="J218" i="16"/>
  <c r="H218" i="16"/>
  <c r="F218" i="16"/>
  <c r="CD217" i="16"/>
  <c r="BW217" i="16"/>
  <c r="BV217" i="16"/>
  <c r="BU217" i="16"/>
  <c r="BP217" i="16"/>
  <c r="BM217" i="16"/>
  <c r="BI217" i="16"/>
  <c r="BH217" i="16"/>
  <c r="BG217" i="16"/>
  <c r="BB217" i="16"/>
  <c r="AY217" i="16"/>
  <c r="AU217" i="16"/>
  <c r="AT217" i="16"/>
  <c r="AS217" i="16"/>
  <c r="AN217" i="16"/>
  <c r="AK217" i="16"/>
  <c r="AG217" i="16"/>
  <c r="AF217" i="16"/>
  <c r="AE217" i="16"/>
  <c r="Z217" i="16"/>
  <c r="W217" i="16"/>
  <c r="S217" i="16"/>
  <c r="R217" i="16"/>
  <c r="Q217" i="16"/>
  <c r="K217" i="16"/>
  <c r="J217" i="16"/>
  <c r="H217" i="16"/>
  <c r="F217" i="16"/>
  <c r="CD216" i="16"/>
  <c r="BW216" i="16"/>
  <c r="BV216" i="16"/>
  <c r="BU216" i="16"/>
  <c r="BP216" i="16"/>
  <c r="BM216" i="16"/>
  <c r="BI216" i="16"/>
  <c r="BH216" i="16"/>
  <c r="BG216" i="16"/>
  <c r="BB216" i="16"/>
  <c r="AY216" i="16"/>
  <c r="AU216" i="16"/>
  <c r="AT216" i="16"/>
  <c r="AS216" i="16"/>
  <c r="AN216" i="16"/>
  <c r="AK216" i="16"/>
  <c r="AG216" i="16"/>
  <c r="AF216" i="16"/>
  <c r="AE216" i="16"/>
  <c r="Z216" i="16"/>
  <c r="W216" i="16"/>
  <c r="S216" i="16"/>
  <c r="R216" i="16"/>
  <c r="Q216" i="16"/>
  <c r="K216" i="16"/>
  <c r="J216" i="16"/>
  <c r="H216" i="16"/>
  <c r="F216" i="16"/>
  <c r="CD215" i="16"/>
  <c r="BW215" i="16"/>
  <c r="BV215" i="16"/>
  <c r="BU215" i="16"/>
  <c r="BP215" i="16"/>
  <c r="BM215" i="16"/>
  <c r="BI215" i="16"/>
  <c r="BH215" i="16"/>
  <c r="BG215" i="16"/>
  <c r="BB215" i="16"/>
  <c r="AY215" i="16"/>
  <c r="AU215" i="16"/>
  <c r="AT215" i="16"/>
  <c r="AS215" i="16"/>
  <c r="AN215" i="16"/>
  <c r="AK215" i="16"/>
  <c r="AG215" i="16"/>
  <c r="AF215" i="16"/>
  <c r="AE215" i="16"/>
  <c r="Z215" i="16"/>
  <c r="W215" i="16"/>
  <c r="S215" i="16"/>
  <c r="R215" i="16"/>
  <c r="Q215" i="16"/>
  <c r="K215" i="16"/>
  <c r="J215" i="16"/>
  <c r="H215" i="16"/>
  <c r="F215" i="16"/>
  <c r="CD214" i="16"/>
  <c r="BW214" i="16"/>
  <c r="BV214" i="16"/>
  <c r="BU214" i="16"/>
  <c r="BP214" i="16"/>
  <c r="BM214" i="16"/>
  <c r="BI214" i="16"/>
  <c r="BH214" i="16"/>
  <c r="BG214" i="16"/>
  <c r="BB214" i="16"/>
  <c r="AY214" i="16"/>
  <c r="AU214" i="16"/>
  <c r="AT214" i="16"/>
  <c r="AS214" i="16"/>
  <c r="AN214" i="16"/>
  <c r="AK214" i="16"/>
  <c r="AG214" i="16"/>
  <c r="AF214" i="16"/>
  <c r="AE214" i="16"/>
  <c r="Z214" i="16"/>
  <c r="W214" i="16"/>
  <c r="S214" i="16"/>
  <c r="R214" i="16"/>
  <c r="Q214" i="16"/>
  <c r="K214" i="16"/>
  <c r="J214" i="16"/>
  <c r="H214" i="16"/>
  <c r="F214" i="16"/>
  <c r="CD213" i="16"/>
  <c r="BW213" i="16"/>
  <c r="BV213" i="16"/>
  <c r="BU213" i="16"/>
  <c r="BP213" i="16"/>
  <c r="BM213" i="16"/>
  <c r="BI213" i="16"/>
  <c r="BH213" i="16"/>
  <c r="BG213" i="16"/>
  <c r="BB213" i="16"/>
  <c r="AY213" i="16"/>
  <c r="AU213" i="16"/>
  <c r="AT213" i="16"/>
  <c r="AS213" i="16"/>
  <c r="AN213" i="16"/>
  <c r="AK213" i="16"/>
  <c r="AG213" i="16"/>
  <c r="AF213" i="16"/>
  <c r="AE213" i="16"/>
  <c r="Z213" i="16"/>
  <c r="W213" i="16"/>
  <c r="S213" i="16"/>
  <c r="R213" i="16"/>
  <c r="Q213" i="16"/>
  <c r="K213" i="16"/>
  <c r="J213" i="16"/>
  <c r="G213" i="16" s="1"/>
  <c r="H213" i="16"/>
  <c r="F213" i="16"/>
  <c r="CD212" i="16"/>
  <c r="BW212" i="16"/>
  <c r="BV212" i="16"/>
  <c r="BU212" i="16"/>
  <c r="BP212" i="16"/>
  <c r="BM212" i="16"/>
  <c r="BI212" i="16"/>
  <c r="BH212" i="16"/>
  <c r="BG212" i="16"/>
  <c r="BB212" i="16"/>
  <c r="AY212" i="16"/>
  <c r="AU212" i="16"/>
  <c r="AT212" i="16"/>
  <c r="AS212" i="16"/>
  <c r="AN212" i="16"/>
  <c r="AK212" i="16"/>
  <c r="AG212" i="16"/>
  <c r="AF212" i="16"/>
  <c r="AE212" i="16"/>
  <c r="Z212" i="16"/>
  <c r="W212" i="16"/>
  <c r="S212" i="16"/>
  <c r="R212" i="16"/>
  <c r="Q212" i="16"/>
  <c r="K212" i="16"/>
  <c r="J212" i="16"/>
  <c r="H212" i="16"/>
  <c r="F212" i="16"/>
  <c r="CD211" i="16"/>
  <c r="BW211" i="16"/>
  <c r="BV211" i="16"/>
  <c r="BU211" i="16"/>
  <c r="BP211" i="16"/>
  <c r="BM211" i="16"/>
  <c r="BI211" i="16"/>
  <c r="BH211" i="16"/>
  <c r="BG211" i="16"/>
  <c r="BB211" i="16"/>
  <c r="AY211" i="16"/>
  <c r="AU211" i="16"/>
  <c r="AT211" i="16"/>
  <c r="AS211" i="16"/>
  <c r="AN211" i="16"/>
  <c r="AK211" i="16"/>
  <c r="AG211" i="16"/>
  <c r="AF211" i="16"/>
  <c r="AE211" i="16"/>
  <c r="Z211" i="16"/>
  <c r="W211" i="16"/>
  <c r="S211" i="16"/>
  <c r="R211" i="16"/>
  <c r="Q211" i="16"/>
  <c r="K211" i="16"/>
  <c r="J211" i="16"/>
  <c r="H211" i="16"/>
  <c r="F211" i="16"/>
  <c r="CD210" i="16"/>
  <c r="BW210" i="16"/>
  <c r="BV210" i="16"/>
  <c r="BU210" i="16"/>
  <c r="BP210" i="16"/>
  <c r="BM210" i="16"/>
  <c r="BI210" i="16"/>
  <c r="BH210" i="16"/>
  <c r="BG210" i="16"/>
  <c r="BB210" i="16"/>
  <c r="AY210" i="16"/>
  <c r="AU210" i="16"/>
  <c r="AT210" i="16"/>
  <c r="AS210" i="16"/>
  <c r="AN210" i="16"/>
  <c r="AK210" i="16"/>
  <c r="AG210" i="16"/>
  <c r="AF210" i="16"/>
  <c r="AE210" i="16"/>
  <c r="Z210" i="16"/>
  <c r="W210" i="16"/>
  <c r="S210" i="16"/>
  <c r="R210" i="16"/>
  <c r="Q210" i="16"/>
  <c r="K210" i="16"/>
  <c r="J210" i="16"/>
  <c r="G210" i="16" s="1"/>
  <c r="H210" i="16"/>
  <c r="F210" i="16"/>
  <c r="CD209" i="16"/>
  <c r="CA209" i="16"/>
  <c r="BW209" i="16"/>
  <c r="BV209" i="16"/>
  <c r="BU209" i="16"/>
  <c r="BP209" i="16"/>
  <c r="BM209" i="16"/>
  <c r="BI209" i="16"/>
  <c r="BH209" i="16"/>
  <c r="BG209" i="16"/>
  <c r="BB209" i="16"/>
  <c r="AY209" i="16"/>
  <c r="AU209" i="16"/>
  <c r="AT209" i="16"/>
  <c r="AS209" i="16"/>
  <c r="AN209" i="16"/>
  <c r="AK209" i="16"/>
  <c r="AG209" i="16"/>
  <c r="AF209" i="16"/>
  <c r="AE209" i="16"/>
  <c r="Z209" i="16"/>
  <c r="W209" i="16"/>
  <c r="S209" i="16"/>
  <c r="R209" i="16"/>
  <c r="Q209" i="16"/>
  <c r="K209" i="16"/>
  <c r="J209" i="16"/>
  <c r="G209" i="16" s="1"/>
  <c r="H209" i="16"/>
  <c r="F209" i="16"/>
  <c r="CD208" i="16"/>
  <c r="CA208" i="16"/>
  <c r="BW208" i="16"/>
  <c r="BV208" i="16"/>
  <c r="BU208" i="16"/>
  <c r="BP208" i="16"/>
  <c r="BM208" i="16"/>
  <c r="BI208" i="16"/>
  <c r="BH208" i="16"/>
  <c r="BG208" i="16"/>
  <c r="BB208" i="16"/>
  <c r="AY208" i="16"/>
  <c r="AU208" i="16"/>
  <c r="AT208" i="16"/>
  <c r="AS208" i="16"/>
  <c r="AN208" i="16"/>
  <c r="AK208" i="16"/>
  <c r="AG208" i="16"/>
  <c r="AF208" i="16"/>
  <c r="AE208" i="16"/>
  <c r="Z208" i="16"/>
  <c r="W208" i="16"/>
  <c r="S208" i="16"/>
  <c r="R208" i="16"/>
  <c r="Q208" i="16"/>
  <c r="K208" i="16"/>
  <c r="J208" i="16"/>
  <c r="G208" i="16" s="1"/>
  <c r="H208" i="16"/>
  <c r="F208" i="16"/>
  <c r="CD207" i="16"/>
  <c r="CA207" i="16"/>
  <c r="BW207" i="16"/>
  <c r="BV207" i="16"/>
  <c r="BU207" i="16"/>
  <c r="BP207" i="16"/>
  <c r="BM207" i="16"/>
  <c r="BI207" i="16"/>
  <c r="BH207" i="16"/>
  <c r="BG207" i="16"/>
  <c r="BB207" i="16"/>
  <c r="AY207" i="16"/>
  <c r="AU207" i="16"/>
  <c r="AT207" i="16"/>
  <c r="AS207" i="16"/>
  <c r="AN207" i="16"/>
  <c r="AK207" i="16"/>
  <c r="AG207" i="16"/>
  <c r="AF207" i="16"/>
  <c r="AE207" i="16"/>
  <c r="Z207" i="16"/>
  <c r="W207" i="16"/>
  <c r="S207" i="16"/>
  <c r="R207" i="16"/>
  <c r="Q207" i="16"/>
  <c r="K207" i="16"/>
  <c r="J207" i="16"/>
  <c r="G207" i="16" s="1"/>
  <c r="H207" i="16"/>
  <c r="F207" i="16"/>
  <c r="CD206" i="16"/>
  <c r="CA206" i="16"/>
  <c r="BW206" i="16"/>
  <c r="BV206" i="16"/>
  <c r="BU206" i="16"/>
  <c r="BP206" i="16"/>
  <c r="BM206" i="16"/>
  <c r="BI206" i="16"/>
  <c r="BH206" i="16"/>
  <c r="BG206" i="16"/>
  <c r="BB206" i="16"/>
  <c r="AY206" i="16"/>
  <c r="AU206" i="16"/>
  <c r="AT206" i="16"/>
  <c r="AS206" i="16"/>
  <c r="AN206" i="16"/>
  <c r="AK206" i="16"/>
  <c r="AG206" i="16"/>
  <c r="AF206" i="16"/>
  <c r="AE206" i="16"/>
  <c r="Z206" i="16"/>
  <c r="W206" i="16"/>
  <c r="S206" i="16"/>
  <c r="R206" i="16"/>
  <c r="Q206" i="16"/>
  <c r="K206" i="16"/>
  <c r="J206" i="16"/>
  <c r="H206" i="16"/>
  <c r="F206" i="16"/>
  <c r="CD205" i="16"/>
  <c r="CA205" i="16"/>
  <c r="BW205" i="16"/>
  <c r="BV205" i="16"/>
  <c r="BU205" i="16"/>
  <c r="BP205" i="16"/>
  <c r="BM205" i="16"/>
  <c r="BI205" i="16"/>
  <c r="BH205" i="16"/>
  <c r="BG205" i="16"/>
  <c r="BB205" i="16"/>
  <c r="AY205" i="16"/>
  <c r="AU205" i="16"/>
  <c r="AT205" i="16"/>
  <c r="AS205" i="16"/>
  <c r="AN205" i="16"/>
  <c r="AK205" i="16"/>
  <c r="AG205" i="16"/>
  <c r="AF205" i="16"/>
  <c r="AE205" i="16"/>
  <c r="Z205" i="16"/>
  <c r="W205" i="16"/>
  <c r="S205" i="16"/>
  <c r="R205" i="16"/>
  <c r="Q205" i="16"/>
  <c r="K205" i="16"/>
  <c r="J205" i="16"/>
  <c r="G205" i="16" s="1"/>
  <c r="H205" i="16"/>
  <c r="F205" i="16"/>
  <c r="CD204" i="16"/>
  <c r="CA204" i="16"/>
  <c r="BW204" i="16"/>
  <c r="BV204" i="16"/>
  <c r="BU204" i="16"/>
  <c r="BP204" i="16"/>
  <c r="BM204" i="16"/>
  <c r="BI204" i="16"/>
  <c r="BH204" i="16"/>
  <c r="BG204" i="16"/>
  <c r="BB204" i="16"/>
  <c r="AY204" i="16"/>
  <c r="AU204" i="16"/>
  <c r="AT204" i="16"/>
  <c r="AS204" i="16"/>
  <c r="AN204" i="16"/>
  <c r="AK204" i="16"/>
  <c r="AG204" i="16"/>
  <c r="AF204" i="16"/>
  <c r="AE204" i="16"/>
  <c r="Z204" i="16"/>
  <c r="W204" i="16"/>
  <c r="S204" i="16"/>
  <c r="R204" i="16"/>
  <c r="Q204" i="16"/>
  <c r="K204" i="16"/>
  <c r="J204" i="16"/>
  <c r="G204" i="16" s="1"/>
  <c r="H204" i="16"/>
  <c r="F204" i="16"/>
  <c r="CD203" i="16"/>
  <c r="CA203" i="16"/>
  <c r="BW203" i="16"/>
  <c r="BV203" i="16"/>
  <c r="BU203" i="16"/>
  <c r="BP203" i="16"/>
  <c r="BM203" i="16"/>
  <c r="BI203" i="16"/>
  <c r="BH203" i="16"/>
  <c r="BG203" i="16"/>
  <c r="BB203" i="16"/>
  <c r="AY203" i="16"/>
  <c r="AU203" i="16"/>
  <c r="AT203" i="16"/>
  <c r="AS203" i="16"/>
  <c r="AN203" i="16"/>
  <c r="AK203" i="16"/>
  <c r="AG203" i="16"/>
  <c r="AF203" i="16"/>
  <c r="AE203" i="16"/>
  <c r="Z203" i="16"/>
  <c r="W203" i="16"/>
  <c r="S203" i="16"/>
  <c r="R203" i="16"/>
  <c r="Q203" i="16"/>
  <c r="K203" i="16"/>
  <c r="J203" i="16"/>
  <c r="H203" i="16"/>
  <c r="F203" i="16"/>
  <c r="CD202" i="16"/>
  <c r="CA202" i="16"/>
  <c r="BW202" i="16"/>
  <c r="BV202" i="16"/>
  <c r="BU202" i="16"/>
  <c r="BP202" i="16"/>
  <c r="BM202" i="16"/>
  <c r="BI202" i="16"/>
  <c r="BH202" i="16"/>
  <c r="BG202" i="16"/>
  <c r="BB202" i="16"/>
  <c r="AY202" i="16"/>
  <c r="AU202" i="16"/>
  <c r="AT202" i="16"/>
  <c r="AS202" i="16"/>
  <c r="AN202" i="16"/>
  <c r="AK202" i="16"/>
  <c r="AG202" i="16"/>
  <c r="AF202" i="16"/>
  <c r="AE202" i="16"/>
  <c r="Z202" i="16"/>
  <c r="W202" i="16"/>
  <c r="S202" i="16"/>
  <c r="R202" i="16"/>
  <c r="Q202" i="16"/>
  <c r="K202" i="16"/>
  <c r="J202" i="16"/>
  <c r="H202" i="16"/>
  <c r="F202" i="16"/>
  <c r="CD201" i="16"/>
  <c r="CA201" i="16"/>
  <c r="BW201" i="16"/>
  <c r="BV201" i="16"/>
  <c r="BU201" i="16"/>
  <c r="BP201" i="16"/>
  <c r="BM201" i="16"/>
  <c r="BI201" i="16"/>
  <c r="BH201" i="16"/>
  <c r="BG201" i="16"/>
  <c r="BB201" i="16"/>
  <c r="AY201" i="16"/>
  <c r="AU201" i="16"/>
  <c r="AT201" i="16"/>
  <c r="AS201" i="16"/>
  <c r="AN201" i="16"/>
  <c r="AK201" i="16"/>
  <c r="AG201" i="16"/>
  <c r="AF201" i="16"/>
  <c r="AE201" i="16"/>
  <c r="Z201" i="16"/>
  <c r="W201" i="16"/>
  <c r="S201" i="16"/>
  <c r="R201" i="16"/>
  <c r="Q201" i="16"/>
  <c r="K201" i="16"/>
  <c r="J201" i="16"/>
  <c r="H201" i="16"/>
  <c r="F201" i="16"/>
  <c r="CD200" i="16"/>
  <c r="CA200" i="16"/>
  <c r="BW200" i="16"/>
  <c r="BV200" i="16"/>
  <c r="BU200" i="16"/>
  <c r="BP200" i="16"/>
  <c r="BM200" i="16"/>
  <c r="BI200" i="16"/>
  <c r="BH200" i="16"/>
  <c r="BG200" i="16"/>
  <c r="BB200" i="16"/>
  <c r="AY200" i="16"/>
  <c r="AU200" i="16"/>
  <c r="AT200" i="16"/>
  <c r="AS200" i="16"/>
  <c r="AN200" i="16"/>
  <c r="AK200" i="16"/>
  <c r="AG200" i="16"/>
  <c r="AF200" i="16"/>
  <c r="AE200" i="16"/>
  <c r="Z200" i="16"/>
  <c r="W200" i="16"/>
  <c r="S200" i="16"/>
  <c r="R200" i="16"/>
  <c r="Q200" i="16"/>
  <c r="K200" i="16"/>
  <c r="J200" i="16"/>
  <c r="H200" i="16"/>
  <c r="F200" i="16"/>
  <c r="CD199" i="16"/>
  <c r="CA199" i="16"/>
  <c r="BW199" i="16"/>
  <c r="BV199" i="16"/>
  <c r="BU199" i="16"/>
  <c r="BP199" i="16"/>
  <c r="BM199" i="16"/>
  <c r="BI199" i="16"/>
  <c r="BH199" i="16"/>
  <c r="BG199" i="16"/>
  <c r="BB199" i="16"/>
  <c r="AY199" i="16"/>
  <c r="AU199" i="16"/>
  <c r="AT199" i="16"/>
  <c r="AS199" i="16"/>
  <c r="AN199" i="16"/>
  <c r="AK199" i="16"/>
  <c r="AG199" i="16"/>
  <c r="AF199" i="16"/>
  <c r="AE199" i="16"/>
  <c r="Z199" i="16"/>
  <c r="W199" i="16"/>
  <c r="S199" i="16"/>
  <c r="R199" i="16"/>
  <c r="Q199" i="16"/>
  <c r="K199" i="16"/>
  <c r="J199" i="16"/>
  <c r="H199" i="16"/>
  <c r="F199" i="16"/>
  <c r="CD198" i="16"/>
  <c r="CA198" i="16"/>
  <c r="BW198" i="16"/>
  <c r="BV198" i="16"/>
  <c r="BU198" i="16"/>
  <c r="BP198" i="16"/>
  <c r="BM198" i="16"/>
  <c r="BI198" i="16"/>
  <c r="BH198" i="16"/>
  <c r="BG198" i="16"/>
  <c r="BB198" i="16"/>
  <c r="AY198" i="16"/>
  <c r="AU198" i="16"/>
  <c r="AT198" i="16"/>
  <c r="AS198" i="16"/>
  <c r="AN198" i="16"/>
  <c r="AK198" i="16"/>
  <c r="AG198" i="16"/>
  <c r="AF198" i="16"/>
  <c r="AE198" i="16"/>
  <c r="Z198" i="16"/>
  <c r="W198" i="16"/>
  <c r="S198" i="16"/>
  <c r="R198" i="16"/>
  <c r="Q198" i="16"/>
  <c r="K198" i="16"/>
  <c r="J198" i="16"/>
  <c r="G198" i="16" s="1"/>
  <c r="H198" i="16"/>
  <c r="F198" i="16"/>
  <c r="CD197" i="16"/>
  <c r="CA197" i="16"/>
  <c r="BW197" i="16"/>
  <c r="BV197" i="16"/>
  <c r="BU197" i="16"/>
  <c r="BP197" i="16"/>
  <c r="BM197" i="16"/>
  <c r="BI197" i="16"/>
  <c r="BH197" i="16"/>
  <c r="BG197" i="16"/>
  <c r="BB197" i="16"/>
  <c r="AY197" i="16"/>
  <c r="AU197" i="16"/>
  <c r="AT197" i="16"/>
  <c r="AS197" i="16"/>
  <c r="AN197" i="16"/>
  <c r="AK197" i="16"/>
  <c r="AG197" i="16"/>
  <c r="AF197" i="16"/>
  <c r="AE197" i="16"/>
  <c r="Z197" i="16"/>
  <c r="W197" i="16"/>
  <c r="S197" i="16"/>
  <c r="R197" i="16"/>
  <c r="Q197" i="16"/>
  <c r="K197" i="16"/>
  <c r="J197" i="16"/>
  <c r="G197" i="16" s="1"/>
  <c r="H197" i="16"/>
  <c r="F197" i="16"/>
  <c r="CD196" i="16"/>
  <c r="CA196" i="16"/>
  <c r="BW196" i="16"/>
  <c r="BV196" i="16"/>
  <c r="BU196" i="16"/>
  <c r="BP196" i="16"/>
  <c r="BM196" i="16"/>
  <c r="BI196" i="16"/>
  <c r="BH196" i="16"/>
  <c r="BG196" i="16"/>
  <c r="BB196" i="16"/>
  <c r="AY196" i="16"/>
  <c r="AU196" i="16"/>
  <c r="AT196" i="16"/>
  <c r="AS196" i="16"/>
  <c r="AN196" i="16"/>
  <c r="AK196" i="16"/>
  <c r="AG196" i="16"/>
  <c r="AF196" i="16"/>
  <c r="AE196" i="16"/>
  <c r="Z196" i="16"/>
  <c r="W196" i="16"/>
  <c r="S196" i="16"/>
  <c r="R196" i="16"/>
  <c r="Q196" i="16"/>
  <c r="K196" i="16"/>
  <c r="J196" i="16"/>
  <c r="G196" i="16" s="1"/>
  <c r="H196" i="16"/>
  <c r="F196" i="16"/>
  <c r="CD195" i="16"/>
  <c r="CA195" i="16"/>
  <c r="BW195" i="16"/>
  <c r="BV195" i="16"/>
  <c r="BU195" i="16"/>
  <c r="BP195" i="16"/>
  <c r="BM195" i="16"/>
  <c r="BI195" i="16"/>
  <c r="BH195" i="16"/>
  <c r="BG195" i="16"/>
  <c r="BB195" i="16"/>
  <c r="AY195" i="16"/>
  <c r="AU195" i="16"/>
  <c r="AT195" i="16"/>
  <c r="AS195" i="16"/>
  <c r="AN195" i="16"/>
  <c r="AK195" i="16"/>
  <c r="AG195" i="16"/>
  <c r="AF195" i="16"/>
  <c r="AE195" i="16"/>
  <c r="Z195" i="16"/>
  <c r="W195" i="16"/>
  <c r="S195" i="16"/>
  <c r="R195" i="16"/>
  <c r="Q195" i="16"/>
  <c r="K195" i="16"/>
  <c r="J195" i="16"/>
  <c r="G195" i="16" s="1"/>
  <c r="H195" i="16"/>
  <c r="F195" i="16"/>
  <c r="CD194" i="16"/>
  <c r="CA194" i="16"/>
  <c r="BW194" i="16"/>
  <c r="BV194" i="16"/>
  <c r="BU194" i="16"/>
  <c r="BP194" i="16"/>
  <c r="BM194" i="16"/>
  <c r="BI194" i="16"/>
  <c r="BH194" i="16"/>
  <c r="BG194" i="16"/>
  <c r="BB194" i="16"/>
  <c r="AY194" i="16"/>
  <c r="AU194" i="16"/>
  <c r="AT194" i="16"/>
  <c r="AS194" i="16"/>
  <c r="AN194" i="16"/>
  <c r="AK194" i="16"/>
  <c r="AG194" i="16"/>
  <c r="AF194" i="16"/>
  <c r="AE194" i="16"/>
  <c r="Z194" i="16"/>
  <c r="W194" i="16"/>
  <c r="S194" i="16"/>
  <c r="R194" i="16"/>
  <c r="Q194" i="16"/>
  <c r="K194" i="16"/>
  <c r="J194" i="16"/>
  <c r="H194" i="16"/>
  <c r="F194" i="16"/>
  <c r="CD193" i="16"/>
  <c r="CA193" i="16"/>
  <c r="BW193" i="16"/>
  <c r="BV193" i="16"/>
  <c r="BU193" i="16"/>
  <c r="BP193" i="16"/>
  <c r="BM193" i="16"/>
  <c r="BI193" i="16"/>
  <c r="BH193" i="16"/>
  <c r="BG193" i="16"/>
  <c r="BB193" i="16"/>
  <c r="AY193" i="16"/>
  <c r="AU193" i="16"/>
  <c r="AT193" i="16"/>
  <c r="AS193" i="16"/>
  <c r="AN193" i="16"/>
  <c r="AK193" i="16"/>
  <c r="AG193" i="16"/>
  <c r="AF193" i="16"/>
  <c r="AE193" i="16"/>
  <c r="Z193" i="16"/>
  <c r="W193" i="16"/>
  <c r="S193" i="16"/>
  <c r="R193" i="16"/>
  <c r="Q193" i="16"/>
  <c r="K193" i="16"/>
  <c r="J193" i="16"/>
  <c r="G193" i="16" s="1"/>
  <c r="H193" i="16"/>
  <c r="F193" i="16"/>
  <c r="CD192" i="16"/>
  <c r="CA192" i="16"/>
  <c r="BW192" i="16"/>
  <c r="BV192" i="16"/>
  <c r="BU192" i="16"/>
  <c r="BP192" i="16"/>
  <c r="BM192" i="16"/>
  <c r="BI192" i="16"/>
  <c r="BH192" i="16"/>
  <c r="BG192" i="16"/>
  <c r="BB192" i="16"/>
  <c r="AY192" i="16"/>
  <c r="AU192" i="16"/>
  <c r="AT192" i="16"/>
  <c r="AS192" i="16"/>
  <c r="AN192" i="16"/>
  <c r="AK192" i="16"/>
  <c r="AG192" i="16"/>
  <c r="AF192" i="16"/>
  <c r="AE192" i="16"/>
  <c r="Z192" i="16"/>
  <c r="W192" i="16"/>
  <c r="S192" i="16"/>
  <c r="R192" i="16"/>
  <c r="Q192" i="16"/>
  <c r="K192" i="16"/>
  <c r="J192" i="16"/>
  <c r="G192" i="16" s="1"/>
  <c r="H192" i="16"/>
  <c r="F192" i="16"/>
  <c r="CD191" i="16"/>
  <c r="CA191" i="16"/>
  <c r="BW191" i="16"/>
  <c r="BV191" i="16"/>
  <c r="BU191" i="16"/>
  <c r="BP191" i="16"/>
  <c r="BM191" i="16"/>
  <c r="BI191" i="16"/>
  <c r="BH191" i="16"/>
  <c r="BG191" i="16"/>
  <c r="BB191" i="16"/>
  <c r="AY191" i="16"/>
  <c r="AU191" i="16"/>
  <c r="AT191" i="16"/>
  <c r="AS191" i="16"/>
  <c r="AN191" i="16"/>
  <c r="AK191" i="16"/>
  <c r="AG191" i="16"/>
  <c r="AF191" i="16"/>
  <c r="AE191" i="16"/>
  <c r="Z191" i="16"/>
  <c r="W191" i="16"/>
  <c r="S191" i="16"/>
  <c r="R191" i="16"/>
  <c r="Q191" i="16"/>
  <c r="K191" i="16"/>
  <c r="J191" i="16"/>
  <c r="G191" i="16" s="1"/>
  <c r="H191" i="16"/>
  <c r="F191" i="16"/>
  <c r="CD190" i="16"/>
  <c r="CA190" i="16"/>
  <c r="BW190" i="16"/>
  <c r="BV190" i="16"/>
  <c r="BU190" i="16"/>
  <c r="BP190" i="16"/>
  <c r="BM190" i="16"/>
  <c r="BI190" i="16"/>
  <c r="BH190" i="16"/>
  <c r="BG190" i="16"/>
  <c r="BB190" i="16"/>
  <c r="AY190" i="16"/>
  <c r="AU190" i="16"/>
  <c r="AT190" i="16"/>
  <c r="AS190" i="16"/>
  <c r="AN190" i="16"/>
  <c r="AK190" i="16"/>
  <c r="AG190" i="16"/>
  <c r="AF190" i="16"/>
  <c r="AE190" i="16"/>
  <c r="Z190" i="16"/>
  <c r="W190" i="16"/>
  <c r="S190" i="16"/>
  <c r="R190" i="16"/>
  <c r="Q190" i="16"/>
  <c r="K190" i="16"/>
  <c r="J190" i="16"/>
  <c r="H190" i="16"/>
  <c r="F190" i="16"/>
  <c r="CD189" i="16"/>
  <c r="CA189" i="16"/>
  <c r="BW189" i="16"/>
  <c r="BV189" i="16"/>
  <c r="BU189" i="16"/>
  <c r="BP189" i="16"/>
  <c r="BM189" i="16"/>
  <c r="BI189" i="16"/>
  <c r="BH189" i="16"/>
  <c r="BG189" i="16"/>
  <c r="BB189" i="16"/>
  <c r="AY189" i="16"/>
  <c r="AU189" i="16"/>
  <c r="AT189" i="16"/>
  <c r="AS189" i="16"/>
  <c r="AN189" i="16"/>
  <c r="AK189" i="16"/>
  <c r="AG189" i="16"/>
  <c r="AF189" i="16"/>
  <c r="AE189" i="16"/>
  <c r="Z189" i="16"/>
  <c r="W189" i="16"/>
  <c r="S189" i="16"/>
  <c r="R189" i="16"/>
  <c r="Q189" i="16"/>
  <c r="K189" i="16"/>
  <c r="J189" i="16"/>
  <c r="H189" i="16"/>
  <c r="F189" i="16"/>
  <c r="CD188" i="16"/>
  <c r="CA188" i="16"/>
  <c r="BW188" i="16"/>
  <c r="BV188" i="16"/>
  <c r="BU188" i="16"/>
  <c r="BP188" i="16"/>
  <c r="BM188" i="16"/>
  <c r="BI188" i="16"/>
  <c r="BH188" i="16"/>
  <c r="BG188" i="16"/>
  <c r="BB188" i="16"/>
  <c r="AY188" i="16"/>
  <c r="AU188" i="16"/>
  <c r="AT188" i="16"/>
  <c r="AS188" i="16"/>
  <c r="AN188" i="16"/>
  <c r="AK188" i="16"/>
  <c r="AG188" i="16"/>
  <c r="AF188" i="16"/>
  <c r="AE188" i="16"/>
  <c r="Z188" i="16"/>
  <c r="W188" i="16"/>
  <c r="S188" i="16"/>
  <c r="R188" i="16"/>
  <c r="Q188" i="16"/>
  <c r="K188" i="16"/>
  <c r="J188" i="16"/>
  <c r="G188" i="16" s="1"/>
  <c r="H188" i="16"/>
  <c r="F188" i="16"/>
  <c r="CD187" i="16"/>
  <c r="CA187" i="16"/>
  <c r="BW187" i="16"/>
  <c r="BV187" i="16"/>
  <c r="BU187" i="16"/>
  <c r="BP187" i="16"/>
  <c r="BM187" i="16"/>
  <c r="BI187" i="16"/>
  <c r="BH187" i="16"/>
  <c r="BG187" i="16"/>
  <c r="BB187" i="16"/>
  <c r="AY187" i="16"/>
  <c r="AU187" i="16"/>
  <c r="AT187" i="16"/>
  <c r="AS187" i="16"/>
  <c r="AN187" i="16"/>
  <c r="AK187" i="16"/>
  <c r="AG187" i="16"/>
  <c r="AF187" i="16"/>
  <c r="AE187" i="16"/>
  <c r="Z187" i="16"/>
  <c r="W187" i="16"/>
  <c r="S187" i="16"/>
  <c r="R187" i="16"/>
  <c r="Q187" i="16"/>
  <c r="K187" i="16"/>
  <c r="J187" i="16"/>
  <c r="H187" i="16"/>
  <c r="F187" i="16"/>
  <c r="CD186" i="16"/>
  <c r="CA186" i="16"/>
  <c r="BW186" i="16"/>
  <c r="BV186" i="16"/>
  <c r="BU186" i="16"/>
  <c r="BP186" i="16"/>
  <c r="BM186" i="16"/>
  <c r="BI186" i="16"/>
  <c r="BH186" i="16"/>
  <c r="BG186" i="16"/>
  <c r="BB186" i="16"/>
  <c r="AY186" i="16"/>
  <c r="AU186" i="16"/>
  <c r="AT186" i="16"/>
  <c r="AS186" i="16"/>
  <c r="AN186" i="16"/>
  <c r="AK186" i="16"/>
  <c r="AG186" i="16"/>
  <c r="AF186" i="16"/>
  <c r="AE186" i="16"/>
  <c r="Z186" i="16"/>
  <c r="W186" i="16"/>
  <c r="S186" i="16"/>
  <c r="R186" i="16"/>
  <c r="Q186" i="16"/>
  <c r="K186" i="16"/>
  <c r="J186" i="16"/>
  <c r="H186" i="16"/>
  <c r="F186" i="16"/>
  <c r="CD185" i="16"/>
  <c r="CA185" i="16"/>
  <c r="BW185" i="16"/>
  <c r="BV185" i="16"/>
  <c r="BU185" i="16"/>
  <c r="BP185" i="16"/>
  <c r="BM185" i="16"/>
  <c r="BI185" i="16"/>
  <c r="BH185" i="16"/>
  <c r="BG185" i="16"/>
  <c r="BB185" i="16"/>
  <c r="AY185" i="16"/>
  <c r="AU185" i="16"/>
  <c r="AT185" i="16"/>
  <c r="AS185" i="16"/>
  <c r="AN185" i="16"/>
  <c r="AK185" i="16"/>
  <c r="AG185" i="16"/>
  <c r="AF185" i="16"/>
  <c r="AE185" i="16"/>
  <c r="Z185" i="16"/>
  <c r="W185" i="16"/>
  <c r="S185" i="16"/>
  <c r="R185" i="16"/>
  <c r="Q185" i="16"/>
  <c r="K185" i="16"/>
  <c r="J185" i="16"/>
  <c r="H185" i="16"/>
  <c r="F185" i="16"/>
  <c r="CD184" i="16"/>
  <c r="CA184" i="16"/>
  <c r="BW184" i="16"/>
  <c r="BV184" i="16"/>
  <c r="BU184" i="16"/>
  <c r="BP184" i="16"/>
  <c r="BM184" i="16"/>
  <c r="BI184" i="16"/>
  <c r="BH184" i="16"/>
  <c r="BG184" i="16"/>
  <c r="BB184" i="16"/>
  <c r="AY184" i="16"/>
  <c r="AU184" i="16"/>
  <c r="AT184" i="16"/>
  <c r="AS184" i="16"/>
  <c r="AN184" i="16"/>
  <c r="AK184" i="16"/>
  <c r="AG184" i="16"/>
  <c r="AF184" i="16"/>
  <c r="AE184" i="16"/>
  <c r="Z184" i="16"/>
  <c r="W184" i="16"/>
  <c r="S184" i="16"/>
  <c r="R184" i="16"/>
  <c r="Q184" i="16"/>
  <c r="K184" i="16"/>
  <c r="J184" i="16"/>
  <c r="G184" i="16" s="1"/>
  <c r="H184" i="16"/>
  <c r="F184" i="16"/>
  <c r="CD183" i="16"/>
  <c r="CA183" i="16"/>
  <c r="BW183" i="16"/>
  <c r="BV183" i="16"/>
  <c r="BU183" i="16"/>
  <c r="BP183" i="16"/>
  <c r="BM183" i="16"/>
  <c r="BI183" i="16"/>
  <c r="BH183" i="16"/>
  <c r="BG183" i="16"/>
  <c r="BB183" i="16"/>
  <c r="AY183" i="16"/>
  <c r="AU183" i="16"/>
  <c r="AT183" i="16"/>
  <c r="AS183" i="16"/>
  <c r="AN183" i="16"/>
  <c r="AK183" i="16"/>
  <c r="AG183" i="16"/>
  <c r="AF183" i="16"/>
  <c r="AE183" i="16"/>
  <c r="Z183" i="16"/>
  <c r="W183" i="16"/>
  <c r="S183" i="16"/>
  <c r="R183" i="16"/>
  <c r="Q183" i="16"/>
  <c r="K183" i="16"/>
  <c r="J183" i="16"/>
  <c r="H183" i="16"/>
  <c r="F183" i="16"/>
  <c r="CD182" i="16"/>
  <c r="CA182" i="16"/>
  <c r="BW182" i="16"/>
  <c r="BV182" i="16"/>
  <c r="BU182" i="16"/>
  <c r="BP182" i="16"/>
  <c r="BM182" i="16"/>
  <c r="BI182" i="16"/>
  <c r="BH182" i="16"/>
  <c r="BG182" i="16"/>
  <c r="BB182" i="16"/>
  <c r="AY182" i="16"/>
  <c r="AU182" i="16"/>
  <c r="AT182" i="16"/>
  <c r="AS182" i="16"/>
  <c r="AN182" i="16"/>
  <c r="AK182" i="16"/>
  <c r="AG182" i="16"/>
  <c r="AF182" i="16"/>
  <c r="AE182" i="16"/>
  <c r="Z182" i="16"/>
  <c r="W182" i="16"/>
  <c r="S182" i="16"/>
  <c r="R182" i="16"/>
  <c r="Q182" i="16"/>
  <c r="K182" i="16"/>
  <c r="J182" i="16"/>
  <c r="H182" i="16"/>
  <c r="F182" i="16"/>
  <c r="CD181" i="16"/>
  <c r="CA181" i="16"/>
  <c r="BW181" i="16"/>
  <c r="BV181" i="16"/>
  <c r="BU181" i="16"/>
  <c r="BP181" i="16"/>
  <c r="BM181" i="16"/>
  <c r="BI181" i="16"/>
  <c r="BH181" i="16"/>
  <c r="BG181" i="16"/>
  <c r="BB181" i="16"/>
  <c r="AY181" i="16"/>
  <c r="AU181" i="16"/>
  <c r="AT181" i="16"/>
  <c r="AS181" i="16"/>
  <c r="AN181" i="16"/>
  <c r="AK181" i="16"/>
  <c r="AG181" i="16"/>
  <c r="AF181" i="16"/>
  <c r="AE181" i="16"/>
  <c r="Z181" i="16"/>
  <c r="W181" i="16"/>
  <c r="S181" i="16"/>
  <c r="R181" i="16"/>
  <c r="Q181" i="16"/>
  <c r="K181" i="16"/>
  <c r="J181" i="16"/>
  <c r="G181" i="16" s="1"/>
  <c r="H181" i="16"/>
  <c r="F181" i="16"/>
  <c r="CD180" i="16"/>
  <c r="CA180" i="16"/>
  <c r="BW180" i="16"/>
  <c r="BV180" i="16"/>
  <c r="BU180" i="16"/>
  <c r="BP180" i="16"/>
  <c r="BM180" i="16"/>
  <c r="BI180" i="16"/>
  <c r="BH180" i="16"/>
  <c r="BG180" i="16"/>
  <c r="BB180" i="16"/>
  <c r="AY180" i="16"/>
  <c r="AU180" i="16"/>
  <c r="AT180" i="16"/>
  <c r="AS180" i="16"/>
  <c r="AN180" i="16"/>
  <c r="AK180" i="16"/>
  <c r="AG180" i="16"/>
  <c r="AF180" i="16"/>
  <c r="AE180" i="16"/>
  <c r="Z180" i="16"/>
  <c r="W180" i="16"/>
  <c r="S180" i="16"/>
  <c r="R180" i="16"/>
  <c r="Q180" i="16"/>
  <c r="K180" i="16"/>
  <c r="J180" i="16"/>
  <c r="G180" i="16" s="1"/>
  <c r="H180" i="16"/>
  <c r="F180" i="16"/>
  <c r="CD179" i="16"/>
  <c r="CA179" i="16"/>
  <c r="BW179" i="16"/>
  <c r="BV179" i="16"/>
  <c r="BU179" i="16"/>
  <c r="BP179" i="16"/>
  <c r="BM179" i="16"/>
  <c r="BI179" i="16"/>
  <c r="BH179" i="16"/>
  <c r="BG179" i="16"/>
  <c r="BB179" i="16"/>
  <c r="AY179" i="16"/>
  <c r="AU179" i="16"/>
  <c r="AT179" i="16"/>
  <c r="AS179" i="16"/>
  <c r="AN179" i="16"/>
  <c r="AK179" i="16"/>
  <c r="AG179" i="16"/>
  <c r="AF179" i="16"/>
  <c r="AE179" i="16"/>
  <c r="Z179" i="16"/>
  <c r="W179" i="16"/>
  <c r="S179" i="16"/>
  <c r="R179" i="16"/>
  <c r="Q179" i="16"/>
  <c r="K179" i="16"/>
  <c r="J179" i="16"/>
  <c r="G179" i="16" s="1"/>
  <c r="H179" i="16"/>
  <c r="F179" i="16"/>
  <c r="CD178" i="16"/>
  <c r="CA178" i="16"/>
  <c r="BW178" i="16"/>
  <c r="BV178" i="16"/>
  <c r="BU178" i="16"/>
  <c r="BP178" i="16"/>
  <c r="BM178" i="16"/>
  <c r="BI178" i="16"/>
  <c r="BH178" i="16"/>
  <c r="BG178" i="16"/>
  <c r="BB178" i="16"/>
  <c r="AY178" i="16"/>
  <c r="AU178" i="16"/>
  <c r="AT178" i="16"/>
  <c r="AS178" i="16"/>
  <c r="AN178" i="16"/>
  <c r="AK178" i="16"/>
  <c r="AG178" i="16"/>
  <c r="AF178" i="16"/>
  <c r="AE178" i="16"/>
  <c r="Z178" i="16"/>
  <c r="W178" i="16"/>
  <c r="S178" i="16"/>
  <c r="R178" i="16"/>
  <c r="Q178" i="16"/>
  <c r="K178" i="16"/>
  <c r="J178" i="16"/>
  <c r="H178" i="16"/>
  <c r="F178" i="16"/>
  <c r="CD177" i="16"/>
  <c r="CA177" i="16"/>
  <c r="BW177" i="16"/>
  <c r="BV177" i="16"/>
  <c r="BU177" i="16"/>
  <c r="BP177" i="16"/>
  <c r="BM177" i="16"/>
  <c r="BI177" i="16"/>
  <c r="BH177" i="16"/>
  <c r="BG177" i="16"/>
  <c r="BB177" i="16"/>
  <c r="AY177" i="16"/>
  <c r="AU177" i="16"/>
  <c r="AT177" i="16"/>
  <c r="AS177" i="16"/>
  <c r="AN177" i="16"/>
  <c r="AK177" i="16"/>
  <c r="AG177" i="16"/>
  <c r="AF177" i="16"/>
  <c r="AE177" i="16"/>
  <c r="Z177" i="16"/>
  <c r="W177" i="16"/>
  <c r="S177" i="16"/>
  <c r="R177" i="16"/>
  <c r="Q177" i="16"/>
  <c r="K177" i="16"/>
  <c r="J177" i="16"/>
  <c r="H177" i="16"/>
  <c r="F177" i="16"/>
  <c r="CD176" i="16"/>
  <c r="CA176" i="16"/>
  <c r="BW176" i="16"/>
  <c r="BV176" i="16"/>
  <c r="BU176" i="16"/>
  <c r="BP176" i="16"/>
  <c r="BM176" i="16"/>
  <c r="BI176" i="16"/>
  <c r="BH176" i="16"/>
  <c r="BG176" i="16"/>
  <c r="BB176" i="16"/>
  <c r="AY176" i="16"/>
  <c r="AU176" i="16"/>
  <c r="AT176" i="16"/>
  <c r="AS176" i="16"/>
  <c r="AN176" i="16"/>
  <c r="AK176" i="16"/>
  <c r="AG176" i="16"/>
  <c r="AF176" i="16"/>
  <c r="AE176" i="16"/>
  <c r="Z176" i="16"/>
  <c r="W176" i="16"/>
  <c r="S176" i="16"/>
  <c r="R176" i="16"/>
  <c r="Q176" i="16"/>
  <c r="K176" i="16"/>
  <c r="J176" i="16"/>
  <c r="H176" i="16"/>
  <c r="F176" i="16"/>
  <c r="CD175" i="16"/>
  <c r="CA175" i="16"/>
  <c r="BW175" i="16"/>
  <c r="BV175" i="16"/>
  <c r="BU175" i="16"/>
  <c r="BP175" i="16"/>
  <c r="BM175" i="16"/>
  <c r="BI175" i="16"/>
  <c r="BH175" i="16"/>
  <c r="BG175" i="16"/>
  <c r="BB175" i="16"/>
  <c r="AY175" i="16"/>
  <c r="AU175" i="16"/>
  <c r="AT175" i="16"/>
  <c r="AS175" i="16"/>
  <c r="AN175" i="16"/>
  <c r="AK175" i="16"/>
  <c r="AG175" i="16"/>
  <c r="AF175" i="16"/>
  <c r="AE175" i="16"/>
  <c r="Z175" i="16"/>
  <c r="W175" i="16"/>
  <c r="S175" i="16"/>
  <c r="R175" i="16"/>
  <c r="Q175" i="16"/>
  <c r="K175" i="16"/>
  <c r="J175" i="16"/>
  <c r="G175" i="16" s="1"/>
  <c r="H175" i="16"/>
  <c r="F175" i="16"/>
  <c r="CD174" i="16"/>
  <c r="CA174" i="16"/>
  <c r="BW174" i="16"/>
  <c r="BV174" i="16"/>
  <c r="BU174" i="16"/>
  <c r="BP174" i="16"/>
  <c r="BM174" i="16"/>
  <c r="BI174" i="16"/>
  <c r="BH174" i="16"/>
  <c r="BG174" i="16"/>
  <c r="BB174" i="16"/>
  <c r="AY174" i="16"/>
  <c r="AU174" i="16"/>
  <c r="AT174" i="16"/>
  <c r="AS174" i="16"/>
  <c r="AN174" i="16"/>
  <c r="AK174" i="16"/>
  <c r="AG174" i="16"/>
  <c r="AF174" i="16"/>
  <c r="AE174" i="16"/>
  <c r="Z174" i="16"/>
  <c r="W174" i="16"/>
  <c r="S174" i="16"/>
  <c r="R174" i="16"/>
  <c r="Q174" i="16"/>
  <c r="K174" i="16"/>
  <c r="J174" i="16"/>
  <c r="H174" i="16"/>
  <c r="F174" i="16"/>
  <c r="CD173" i="16"/>
  <c r="CA173" i="16"/>
  <c r="BW173" i="16"/>
  <c r="BV173" i="16"/>
  <c r="BU173" i="16"/>
  <c r="BP173" i="16"/>
  <c r="BM173" i="16"/>
  <c r="BI173" i="16"/>
  <c r="BH173" i="16"/>
  <c r="BG173" i="16"/>
  <c r="BB173" i="16"/>
  <c r="AY173" i="16"/>
  <c r="AU173" i="16"/>
  <c r="AT173" i="16"/>
  <c r="AS173" i="16"/>
  <c r="AN173" i="16"/>
  <c r="AK173" i="16"/>
  <c r="AG173" i="16"/>
  <c r="AF173" i="16"/>
  <c r="AE173" i="16"/>
  <c r="Z173" i="16"/>
  <c r="W173" i="16"/>
  <c r="S173" i="16"/>
  <c r="R173" i="16"/>
  <c r="Q173" i="16"/>
  <c r="K173" i="16"/>
  <c r="J173" i="16"/>
  <c r="H173" i="16"/>
  <c r="F173" i="16"/>
  <c r="CD172" i="16"/>
  <c r="CA172" i="16"/>
  <c r="BW172" i="16"/>
  <c r="BV172" i="16"/>
  <c r="BU172" i="16"/>
  <c r="BP172" i="16"/>
  <c r="BM172" i="16"/>
  <c r="BI172" i="16"/>
  <c r="BH172" i="16"/>
  <c r="BG172" i="16"/>
  <c r="BB172" i="16"/>
  <c r="AY172" i="16"/>
  <c r="AU172" i="16"/>
  <c r="AT172" i="16"/>
  <c r="AS172" i="16"/>
  <c r="AN172" i="16"/>
  <c r="AK172" i="16"/>
  <c r="AG172" i="16"/>
  <c r="AF172" i="16"/>
  <c r="AE172" i="16"/>
  <c r="Z172" i="16"/>
  <c r="W172" i="16"/>
  <c r="S172" i="16"/>
  <c r="R172" i="16"/>
  <c r="Q172" i="16"/>
  <c r="K172" i="16"/>
  <c r="J172" i="16"/>
  <c r="H172" i="16"/>
  <c r="F172" i="16"/>
  <c r="CD171" i="16"/>
  <c r="CA171" i="16"/>
  <c r="BW171" i="16"/>
  <c r="BV171" i="16"/>
  <c r="BU171" i="16"/>
  <c r="BP171" i="16"/>
  <c r="BM171" i="16"/>
  <c r="BI171" i="16"/>
  <c r="BH171" i="16"/>
  <c r="BG171" i="16"/>
  <c r="BB171" i="16"/>
  <c r="AY171" i="16"/>
  <c r="AU171" i="16"/>
  <c r="AT171" i="16"/>
  <c r="AS171" i="16"/>
  <c r="AN171" i="16"/>
  <c r="AK171" i="16"/>
  <c r="AG171" i="16"/>
  <c r="AF171" i="16"/>
  <c r="AE171" i="16"/>
  <c r="Z171" i="16"/>
  <c r="W171" i="16"/>
  <c r="S171" i="16"/>
  <c r="R171" i="16"/>
  <c r="Q171" i="16"/>
  <c r="K171" i="16"/>
  <c r="J171" i="16"/>
  <c r="H171" i="16"/>
  <c r="F171" i="16"/>
  <c r="CD170" i="16"/>
  <c r="CA170" i="16"/>
  <c r="BW170" i="16"/>
  <c r="BV170" i="16"/>
  <c r="BU170" i="16"/>
  <c r="BP170" i="16"/>
  <c r="BM170" i="16"/>
  <c r="BI170" i="16"/>
  <c r="BH170" i="16"/>
  <c r="BG170" i="16"/>
  <c r="BB170" i="16"/>
  <c r="AY170" i="16"/>
  <c r="AU170" i="16"/>
  <c r="AT170" i="16"/>
  <c r="AS170" i="16"/>
  <c r="AN170" i="16"/>
  <c r="AK170" i="16"/>
  <c r="AG170" i="16"/>
  <c r="AF170" i="16"/>
  <c r="AE170" i="16"/>
  <c r="Z170" i="16"/>
  <c r="W170" i="16"/>
  <c r="S170" i="16"/>
  <c r="R170" i="16"/>
  <c r="Q170" i="16"/>
  <c r="K170" i="16"/>
  <c r="J170" i="16"/>
  <c r="G170" i="16" s="1"/>
  <c r="H170" i="16"/>
  <c r="F170" i="16"/>
  <c r="CD169" i="16"/>
  <c r="CA169" i="16"/>
  <c r="BW169" i="16"/>
  <c r="BV169" i="16"/>
  <c r="BU169" i="16"/>
  <c r="BP169" i="16"/>
  <c r="BM169" i="16"/>
  <c r="BI169" i="16"/>
  <c r="BH169" i="16"/>
  <c r="BG169" i="16"/>
  <c r="BB169" i="16"/>
  <c r="AY169" i="16"/>
  <c r="AU169" i="16"/>
  <c r="AT169" i="16"/>
  <c r="AS169" i="16"/>
  <c r="AN169" i="16"/>
  <c r="AK169" i="16"/>
  <c r="AG169" i="16"/>
  <c r="AF169" i="16"/>
  <c r="AE169" i="16"/>
  <c r="Z169" i="16"/>
  <c r="W169" i="16"/>
  <c r="S169" i="16"/>
  <c r="R169" i="16"/>
  <c r="Q169" i="16"/>
  <c r="K169" i="16"/>
  <c r="J169" i="16"/>
  <c r="H169" i="16"/>
  <c r="F169" i="16"/>
  <c r="CD168" i="16"/>
  <c r="CA168" i="16"/>
  <c r="BW168" i="16"/>
  <c r="BV168" i="16"/>
  <c r="BU168" i="16"/>
  <c r="BP168" i="16"/>
  <c r="BM168" i="16"/>
  <c r="BI168" i="16"/>
  <c r="BH168" i="16"/>
  <c r="BG168" i="16"/>
  <c r="BB168" i="16"/>
  <c r="AY168" i="16"/>
  <c r="AU168" i="16"/>
  <c r="AT168" i="16"/>
  <c r="AS168" i="16"/>
  <c r="AN168" i="16"/>
  <c r="AK168" i="16"/>
  <c r="AG168" i="16"/>
  <c r="AF168" i="16"/>
  <c r="AE168" i="16"/>
  <c r="Z168" i="16"/>
  <c r="W168" i="16"/>
  <c r="S168" i="16"/>
  <c r="R168" i="16"/>
  <c r="Q168" i="16"/>
  <c r="K168" i="16"/>
  <c r="J168" i="16"/>
  <c r="G168" i="16" s="1"/>
  <c r="H168" i="16"/>
  <c r="F168" i="16"/>
  <c r="CD167" i="16"/>
  <c r="CA167" i="16"/>
  <c r="BW167" i="16"/>
  <c r="BV167" i="16"/>
  <c r="BU167" i="16"/>
  <c r="BP167" i="16"/>
  <c r="BM167" i="16"/>
  <c r="BI167" i="16"/>
  <c r="BH167" i="16"/>
  <c r="BG167" i="16"/>
  <c r="BB167" i="16"/>
  <c r="AY167" i="16"/>
  <c r="AU167" i="16"/>
  <c r="AT167" i="16"/>
  <c r="AS167" i="16"/>
  <c r="AN167" i="16"/>
  <c r="AK167" i="16"/>
  <c r="AG167" i="16"/>
  <c r="AF167" i="16"/>
  <c r="AE167" i="16"/>
  <c r="Z167" i="16"/>
  <c r="W167" i="16"/>
  <c r="S167" i="16"/>
  <c r="R167" i="16"/>
  <c r="Q167" i="16"/>
  <c r="K167" i="16"/>
  <c r="J167" i="16"/>
  <c r="H167" i="16"/>
  <c r="F167" i="16"/>
  <c r="CD166" i="16"/>
  <c r="CA166" i="16"/>
  <c r="BW166" i="16"/>
  <c r="BV166" i="16"/>
  <c r="BU166" i="16"/>
  <c r="BP166" i="16"/>
  <c r="BM166" i="16"/>
  <c r="BI166" i="16"/>
  <c r="BH166" i="16"/>
  <c r="BG166" i="16"/>
  <c r="BB166" i="16"/>
  <c r="AY166" i="16"/>
  <c r="AU166" i="16"/>
  <c r="AT166" i="16"/>
  <c r="AS166" i="16"/>
  <c r="AN166" i="16"/>
  <c r="AK166" i="16"/>
  <c r="AG166" i="16"/>
  <c r="AF166" i="16"/>
  <c r="AE166" i="16"/>
  <c r="Z166" i="16"/>
  <c r="W166" i="16"/>
  <c r="S166" i="16"/>
  <c r="R166" i="16"/>
  <c r="Q166" i="16"/>
  <c r="K166" i="16"/>
  <c r="J166" i="16"/>
  <c r="H166" i="16"/>
  <c r="F166" i="16"/>
  <c r="CD165" i="16"/>
  <c r="CA165" i="16"/>
  <c r="BW165" i="16"/>
  <c r="BV165" i="16"/>
  <c r="BU165" i="16"/>
  <c r="BP165" i="16"/>
  <c r="BM165" i="16"/>
  <c r="BI165" i="16"/>
  <c r="BH165" i="16"/>
  <c r="BG165" i="16"/>
  <c r="BB165" i="16"/>
  <c r="AY165" i="16"/>
  <c r="AU165" i="16"/>
  <c r="AT165" i="16"/>
  <c r="AS165" i="16"/>
  <c r="AN165" i="16"/>
  <c r="AK165" i="16"/>
  <c r="AG165" i="16"/>
  <c r="AF165" i="16"/>
  <c r="AE165" i="16"/>
  <c r="Z165" i="16"/>
  <c r="W165" i="16"/>
  <c r="S165" i="16"/>
  <c r="R165" i="16"/>
  <c r="Q165" i="16"/>
  <c r="K165" i="16"/>
  <c r="J165" i="16"/>
  <c r="H165" i="16"/>
  <c r="F165" i="16"/>
  <c r="CD164" i="16"/>
  <c r="CA164" i="16"/>
  <c r="BW164" i="16"/>
  <c r="BV164" i="16"/>
  <c r="BU164" i="16"/>
  <c r="BP164" i="16"/>
  <c r="BM164" i="16"/>
  <c r="BI164" i="16"/>
  <c r="BH164" i="16"/>
  <c r="BG164" i="16"/>
  <c r="BB164" i="16"/>
  <c r="AY164" i="16"/>
  <c r="AU164" i="16"/>
  <c r="AT164" i="16"/>
  <c r="AS164" i="16"/>
  <c r="AN164" i="16"/>
  <c r="AK164" i="16"/>
  <c r="AG164" i="16"/>
  <c r="AF164" i="16"/>
  <c r="AE164" i="16"/>
  <c r="Z164" i="16"/>
  <c r="W164" i="16"/>
  <c r="S164" i="16"/>
  <c r="R164" i="16"/>
  <c r="Q164" i="16"/>
  <c r="K164" i="16"/>
  <c r="J164" i="16"/>
  <c r="G164" i="16" s="1"/>
  <c r="H164" i="16"/>
  <c r="F164" i="16"/>
  <c r="CD163" i="16"/>
  <c r="CA163" i="16"/>
  <c r="BW163" i="16"/>
  <c r="BV163" i="16"/>
  <c r="BU163" i="16"/>
  <c r="BP163" i="16"/>
  <c r="BM163" i="16"/>
  <c r="BI163" i="16"/>
  <c r="BH163" i="16"/>
  <c r="BG163" i="16"/>
  <c r="BB163" i="16"/>
  <c r="AY163" i="16"/>
  <c r="AU163" i="16"/>
  <c r="AT163" i="16"/>
  <c r="AS163" i="16"/>
  <c r="AN163" i="16"/>
  <c r="AK163" i="16"/>
  <c r="AG163" i="16"/>
  <c r="AF163" i="16"/>
  <c r="AE163" i="16"/>
  <c r="Z163" i="16"/>
  <c r="W163" i="16"/>
  <c r="S163" i="16"/>
  <c r="R163" i="16"/>
  <c r="Q163" i="16"/>
  <c r="K163" i="16"/>
  <c r="J163" i="16"/>
  <c r="H163" i="16"/>
  <c r="F163" i="16"/>
  <c r="CD162" i="16"/>
  <c r="CA162" i="16"/>
  <c r="BW162" i="16"/>
  <c r="BV162" i="16"/>
  <c r="BU162" i="16"/>
  <c r="BP162" i="16"/>
  <c r="BM162" i="16"/>
  <c r="BI162" i="16"/>
  <c r="BH162" i="16"/>
  <c r="BG162" i="16"/>
  <c r="BB162" i="16"/>
  <c r="AY162" i="16"/>
  <c r="AU162" i="16"/>
  <c r="AT162" i="16"/>
  <c r="AS162" i="16"/>
  <c r="AN162" i="16"/>
  <c r="AK162" i="16"/>
  <c r="AG162" i="16"/>
  <c r="AF162" i="16"/>
  <c r="AE162" i="16"/>
  <c r="Z162" i="16"/>
  <c r="W162" i="16"/>
  <c r="S162" i="16"/>
  <c r="R162" i="16"/>
  <c r="Q162" i="16"/>
  <c r="K162" i="16"/>
  <c r="J162" i="16"/>
  <c r="G162" i="16" s="1"/>
  <c r="H162" i="16"/>
  <c r="F162" i="16"/>
  <c r="CD161" i="16"/>
  <c r="CA161" i="16"/>
  <c r="BW161" i="16"/>
  <c r="BV161" i="16"/>
  <c r="BU161" i="16"/>
  <c r="BP161" i="16"/>
  <c r="BM161" i="16"/>
  <c r="BI161" i="16"/>
  <c r="BH161" i="16"/>
  <c r="BG161" i="16"/>
  <c r="BB161" i="16"/>
  <c r="AY161" i="16"/>
  <c r="AU161" i="16"/>
  <c r="AT161" i="16"/>
  <c r="AS161" i="16"/>
  <c r="AN161" i="16"/>
  <c r="AK161" i="16"/>
  <c r="AG161" i="16"/>
  <c r="AF161" i="16"/>
  <c r="AE161" i="16"/>
  <c r="Z161" i="16"/>
  <c r="W161" i="16"/>
  <c r="S161" i="16"/>
  <c r="R161" i="16"/>
  <c r="Q161" i="16"/>
  <c r="K161" i="16"/>
  <c r="J161" i="16"/>
  <c r="H161" i="16"/>
  <c r="F161" i="16"/>
  <c r="CD160" i="16"/>
  <c r="CA160" i="16"/>
  <c r="BW160" i="16"/>
  <c r="BV160" i="16"/>
  <c r="BU160" i="16"/>
  <c r="BP160" i="16"/>
  <c r="BM160" i="16"/>
  <c r="BI160" i="16"/>
  <c r="BH160" i="16"/>
  <c r="BG160" i="16"/>
  <c r="BB160" i="16"/>
  <c r="AY160" i="16"/>
  <c r="AU160" i="16"/>
  <c r="AT160" i="16"/>
  <c r="AS160" i="16"/>
  <c r="AN160" i="16"/>
  <c r="AK160" i="16"/>
  <c r="AG160" i="16"/>
  <c r="AF160" i="16"/>
  <c r="AE160" i="16"/>
  <c r="Z160" i="16"/>
  <c r="W160" i="16"/>
  <c r="S160" i="16"/>
  <c r="R160" i="16"/>
  <c r="Q160" i="16"/>
  <c r="K160" i="16"/>
  <c r="J160" i="16"/>
  <c r="H160" i="16"/>
  <c r="F160" i="16"/>
  <c r="CD159" i="16"/>
  <c r="CA159" i="16"/>
  <c r="BW159" i="16"/>
  <c r="BV159" i="16"/>
  <c r="BU159" i="16"/>
  <c r="BP159" i="16"/>
  <c r="BM159" i="16"/>
  <c r="BI159" i="16"/>
  <c r="BH159" i="16"/>
  <c r="BG159" i="16"/>
  <c r="BB159" i="16"/>
  <c r="AY159" i="16"/>
  <c r="AU159" i="16"/>
  <c r="AT159" i="16"/>
  <c r="AS159" i="16"/>
  <c r="AN159" i="16"/>
  <c r="AK159" i="16"/>
  <c r="AG159" i="16"/>
  <c r="AF159" i="16"/>
  <c r="AE159" i="16"/>
  <c r="Z159" i="16"/>
  <c r="W159" i="16"/>
  <c r="S159" i="16"/>
  <c r="R159" i="16"/>
  <c r="Q159" i="16"/>
  <c r="K159" i="16"/>
  <c r="J159" i="16"/>
  <c r="H159" i="16"/>
  <c r="F159" i="16"/>
  <c r="CD158" i="16"/>
  <c r="CA158" i="16"/>
  <c r="BW158" i="16"/>
  <c r="BV158" i="16"/>
  <c r="BU158" i="16"/>
  <c r="BP158" i="16"/>
  <c r="BM158" i="16"/>
  <c r="BI158" i="16"/>
  <c r="BH158" i="16"/>
  <c r="BG158" i="16"/>
  <c r="BB158" i="16"/>
  <c r="AY158" i="16"/>
  <c r="AU158" i="16"/>
  <c r="AT158" i="16"/>
  <c r="AS158" i="16"/>
  <c r="AN158" i="16"/>
  <c r="AK158" i="16"/>
  <c r="AG158" i="16"/>
  <c r="AF158" i="16"/>
  <c r="AE158" i="16"/>
  <c r="Z158" i="16"/>
  <c r="W158" i="16"/>
  <c r="S158" i="16"/>
  <c r="R158" i="16"/>
  <c r="Q158" i="16"/>
  <c r="K158" i="16"/>
  <c r="J158" i="16"/>
  <c r="G158" i="16" s="1"/>
  <c r="H158" i="16"/>
  <c r="F158" i="16"/>
  <c r="CD157" i="16"/>
  <c r="CA157" i="16"/>
  <c r="BW157" i="16"/>
  <c r="BV157" i="16"/>
  <c r="BU157" i="16"/>
  <c r="BP157" i="16"/>
  <c r="BM157" i="16"/>
  <c r="BI157" i="16"/>
  <c r="BH157" i="16"/>
  <c r="BG157" i="16"/>
  <c r="BB157" i="16"/>
  <c r="AY157" i="16"/>
  <c r="AU157" i="16"/>
  <c r="AT157" i="16"/>
  <c r="AS157" i="16"/>
  <c r="AN157" i="16"/>
  <c r="AK157" i="16"/>
  <c r="AG157" i="16"/>
  <c r="AF157" i="16"/>
  <c r="AE157" i="16"/>
  <c r="Z157" i="16"/>
  <c r="W157" i="16"/>
  <c r="S157" i="16"/>
  <c r="R157" i="16"/>
  <c r="Q157" i="16"/>
  <c r="K157" i="16"/>
  <c r="J157" i="16"/>
  <c r="H157" i="16"/>
  <c r="F157" i="16"/>
  <c r="CD156" i="16"/>
  <c r="CA156" i="16"/>
  <c r="BW156" i="16"/>
  <c r="BV156" i="16"/>
  <c r="BU156" i="16"/>
  <c r="BP156" i="16"/>
  <c r="BM156" i="16"/>
  <c r="BI156" i="16"/>
  <c r="BH156" i="16"/>
  <c r="BG156" i="16"/>
  <c r="BB156" i="16"/>
  <c r="AY156" i="16"/>
  <c r="AU156" i="16"/>
  <c r="AT156" i="16"/>
  <c r="AS156" i="16"/>
  <c r="AN156" i="16"/>
  <c r="AK156" i="16"/>
  <c r="AG156" i="16"/>
  <c r="AF156" i="16"/>
  <c r="AE156" i="16"/>
  <c r="Z156" i="16"/>
  <c r="W156" i="16"/>
  <c r="S156" i="16"/>
  <c r="R156" i="16"/>
  <c r="Q156" i="16"/>
  <c r="K156" i="16"/>
  <c r="J156" i="16"/>
  <c r="H156" i="16"/>
  <c r="F156" i="16"/>
  <c r="CD155" i="16"/>
  <c r="CA155" i="16"/>
  <c r="BW155" i="16"/>
  <c r="BV155" i="16"/>
  <c r="BU155" i="16"/>
  <c r="BP155" i="16"/>
  <c r="BM155" i="16"/>
  <c r="BI155" i="16"/>
  <c r="BH155" i="16"/>
  <c r="BG155" i="16"/>
  <c r="BB155" i="16"/>
  <c r="AY155" i="16"/>
  <c r="AU155" i="16"/>
  <c r="AT155" i="16"/>
  <c r="AS155" i="16"/>
  <c r="AN155" i="16"/>
  <c r="AK155" i="16"/>
  <c r="AG155" i="16"/>
  <c r="AF155" i="16"/>
  <c r="AE155" i="16"/>
  <c r="Z155" i="16"/>
  <c r="W155" i="16"/>
  <c r="S155" i="16"/>
  <c r="R155" i="16"/>
  <c r="Q155" i="16"/>
  <c r="K155" i="16"/>
  <c r="J155" i="16"/>
  <c r="H155" i="16"/>
  <c r="F155" i="16"/>
  <c r="CD154" i="16"/>
  <c r="CA154" i="16"/>
  <c r="BW154" i="16"/>
  <c r="BV154" i="16"/>
  <c r="BU154" i="16"/>
  <c r="BP154" i="16"/>
  <c r="BM154" i="16"/>
  <c r="BI154" i="16"/>
  <c r="BH154" i="16"/>
  <c r="BG154" i="16"/>
  <c r="BB154" i="16"/>
  <c r="AY154" i="16"/>
  <c r="AU154" i="16"/>
  <c r="AT154" i="16"/>
  <c r="AS154" i="16"/>
  <c r="AN154" i="16"/>
  <c r="AK154" i="16"/>
  <c r="AG154" i="16"/>
  <c r="AF154" i="16"/>
  <c r="AE154" i="16"/>
  <c r="Z154" i="16"/>
  <c r="W154" i="16"/>
  <c r="S154" i="16"/>
  <c r="R154" i="16"/>
  <c r="Q154" i="16"/>
  <c r="K154" i="16"/>
  <c r="J154" i="16"/>
  <c r="H154" i="16"/>
  <c r="H154" i="87" s="1"/>
  <c r="F154" i="16"/>
  <c r="CD153" i="16"/>
  <c r="CA153" i="16"/>
  <c r="BW153" i="16"/>
  <c r="BV153" i="16"/>
  <c r="BU153" i="16"/>
  <c r="BP153" i="16"/>
  <c r="BM153" i="16"/>
  <c r="BI153" i="16"/>
  <c r="BH153" i="16"/>
  <c r="BG153" i="16"/>
  <c r="BB153" i="16"/>
  <c r="AY153" i="16"/>
  <c r="AU153" i="16"/>
  <c r="AT153" i="16"/>
  <c r="AS153" i="16"/>
  <c r="AN153" i="16"/>
  <c r="AK153" i="16"/>
  <c r="AG153" i="16"/>
  <c r="AF153" i="16"/>
  <c r="AE153" i="16"/>
  <c r="Z153" i="16"/>
  <c r="W153" i="16"/>
  <c r="S153" i="16"/>
  <c r="R153" i="16"/>
  <c r="Q153" i="16"/>
  <c r="K153" i="16"/>
  <c r="J153" i="16"/>
  <c r="H153" i="16"/>
  <c r="F153" i="16"/>
  <c r="CD152" i="16"/>
  <c r="CA152" i="16"/>
  <c r="BW152" i="16"/>
  <c r="BV152" i="16"/>
  <c r="BU152" i="16"/>
  <c r="BP152" i="16"/>
  <c r="BM152" i="16"/>
  <c r="BI152" i="16"/>
  <c r="BH152" i="16"/>
  <c r="BG152" i="16"/>
  <c r="BB152" i="16"/>
  <c r="AY152" i="16"/>
  <c r="AU152" i="16"/>
  <c r="AT152" i="16"/>
  <c r="AS152" i="16"/>
  <c r="AN152" i="16"/>
  <c r="AK152" i="16"/>
  <c r="AG152" i="16"/>
  <c r="AF152" i="16"/>
  <c r="AE152" i="16"/>
  <c r="Z152" i="16"/>
  <c r="W152" i="16"/>
  <c r="S152" i="16"/>
  <c r="R152" i="16"/>
  <c r="Q152" i="16"/>
  <c r="K152" i="16"/>
  <c r="J152" i="16"/>
  <c r="G152" i="16" s="1"/>
  <c r="H152" i="16"/>
  <c r="F152" i="16"/>
  <c r="CD151" i="16"/>
  <c r="CA151" i="16"/>
  <c r="BW151" i="16"/>
  <c r="BV151" i="16"/>
  <c r="BU151" i="16"/>
  <c r="BP151" i="16"/>
  <c r="BM151" i="16"/>
  <c r="BI151" i="16"/>
  <c r="BH151" i="16"/>
  <c r="BG151" i="16"/>
  <c r="BB151" i="16"/>
  <c r="AY151" i="16"/>
  <c r="AU151" i="16"/>
  <c r="AT151" i="16"/>
  <c r="AS151" i="16"/>
  <c r="AN151" i="16"/>
  <c r="AK151" i="16"/>
  <c r="AG151" i="16"/>
  <c r="AF151" i="16"/>
  <c r="AE151" i="16"/>
  <c r="Z151" i="16"/>
  <c r="W151" i="16"/>
  <c r="S151" i="16"/>
  <c r="R151" i="16"/>
  <c r="Q151" i="16"/>
  <c r="K151" i="16"/>
  <c r="J151" i="16"/>
  <c r="H151" i="16"/>
  <c r="F151" i="16"/>
  <c r="CD150" i="16"/>
  <c r="CA150" i="16"/>
  <c r="BW150" i="16"/>
  <c r="BV150" i="16"/>
  <c r="BU150" i="16"/>
  <c r="BP150" i="16"/>
  <c r="BM150" i="16"/>
  <c r="BI150" i="16"/>
  <c r="BH150" i="16"/>
  <c r="BG150" i="16"/>
  <c r="BB150" i="16"/>
  <c r="AY150" i="16"/>
  <c r="AU150" i="16"/>
  <c r="AT150" i="16"/>
  <c r="AS150" i="16"/>
  <c r="AN150" i="16"/>
  <c r="AK150" i="16"/>
  <c r="AG150" i="16"/>
  <c r="AF150" i="16"/>
  <c r="AE150" i="16"/>
  <c r="Z150" i="16"/>
  <c r="W150" i="16"/>
  <c r="S150" i="16"/>
  <c r="R150" i="16"/>
  <c r="Q150" i="16"/>
  <c r="K150" i="16"/>
  <c r="J150" i="16"/>
  <c r="H150" i="16"/>
  <c r="F150" i="16"/>
  <c r="CD149" i="16"/>
  <c r="CA149" i="16"/>
  <c r="BW149" i="16"/>
  <c r="BV149" i="16"/>
  <c r="BU149" i="16"/>
  <c r="BP149" i="16"/>
  <c r="BM149" i="16"/>
  <c r="BI149" i="16"/>
  <c r="BH149" i="16"/>
  <c r="BG149" i="16"/>
  <c r="BB149" i="16"/>
  <c r="AY149" i="16"/>
  <c r="AU149" i="16"/>
  <c r="AT149" i="16"/>
  <c r="AS149" i="16"/>
  <c r="AN149" i="16"/>
  <c r="AK149" i="16"/>
  <c r="AG149" i="16"/>
  <c r="AF149" i="16"/>
  <c r="AE149" i="16"/>
  <c r="Z149" i="16"/>
  <c r="W149" i="16"/>
  <c r="S149" i="16"/>
  <c r="R149" i="16"/>
  <c r="Q149" i="16"/>
  <c r="K149" i="16"/>
  <c r="J149" i="16"/>
  <c r="H149" i="16"/>
  <c r="F149" i="16"/>
  <c r="CD148" i="16"/>
  <c r="CA148" i="16"/>
  <c r="BW148" i="16"/>
  <c r="BV148" i="16"/>
  <c r="BU148" i="16"/>
  <c r="BP148" i="16"/>
  <c r="BM148" i="16"/>
  <c r="BI148" i="16"/>
  <c r="BH148" i="16"/>
  <c r="BG148" i="16"/>
  <c r="BB148" i="16"/>
  <c r="AY148" i="16"/>
  <c r="AU148" i="16"/>
  <c r="AT148" i="16"/>
  <c r="AS148" i="16"/>
  <c r="AN148" i="16"/>
  <c r="AK148" i="16"/>
  <c r="AG148" i="16"/>
  <c r="AF148" i="16"/>
  <c r="AE148" i="16"/>
  <c r="Z148" i="16"/>
  <c r="W148" i="16"/>
  <c r="S148" i="16"/>
  <c r="R148" i="16"/>
  <c r="Q148" i="16"/>
  <c r="K148" i="16"/>
  <c r="J148" i="16"/>
  <c r="H148" i="16"/>
  <c r="F148" i="16"/>
  <c r="CD147" i="16"/>
  <c r="CA147" i="16"/>
  <c r="BW147" i="16"/>
  <c r="BV147" i="16"/>
  <c r="BU147" i="16"/>
  <c r="BP147" i="16"/>
  <c r="BM147" i="16"/>
  <c r="BI147" i="16"/>
  <c r="BH147" i="16"/>
  <c r="BG147" i="16"/>
  <c r="BB147" i="16"/>
  <c r="AY147" i="16"/>
  <c r="AU147" i="16"/>
  <c r="AT147" i="16"/>
  <c r="AS147" i="16"/>
  <c r="AN147" i="16"/>
  <c r="AK147" i="16"/>
  <c r="AG147" i="16"/>
  <c r="AF147" i="16"/>
  <c r="AE147" i="16"/>
  <c r="Z147" i="16"/>
  <c r="W147" i="16"/>
  <c r="S147" i="16"/>
  <c r="R147" i="16"/>
  <c r="Q147" i="16"/>
  <c r="K147" i="16"/>
  <c r="J147" i="16"/>
  <c r="G147" i="16" s="1"/>
  <c r="H147" i="16"/>
  <c r="F147" i="16"/>
  <c r="CD146" i="16"/>
  <c r="CA146" i="16"/>
  <c r="BW146" i="16"/>
  <c r="BV146" i="16"/>
  <c r="BU146" i="16"/>
  <c r="BP146" i="16"/>
  <c r="BM146" i="16"/>
  <c r="BI146" i="16"/>
  <c r="BH146" i="16"/>
  <c r="BG146" i="16"/>
  <c r="BB146" i="16"/>
  <c r="AY146" i="16"/>
  <c r="AU146" i="16"/>
  <c r="AT146" i="16"/>
  <c r="AS146" i="16"/>
  <c r="AN146" i="16"/>
  <c r="AK146" i="16"/>
  <c r="AG146" i="16"/>
  <c r="AF146" i="16"/>
  <c r="AE146" i="16"/>
  <c r="Z146" i="16"/>
  <c r="W146" i="16"/>
  <c r="S146" i="16"/>
  <c r="R146" i="16"/>
  <c r="Q146" i="16"/>
  <c r="K146" i="16"/>
  <c r="J146" i="16"/>
  <c r="G146" i="16" s="1"/>
  <c r="H146" i="16"/>
  <c r="F146" i="16"/>
  <c r="CD145" i="16"/>
  <c r="CA145" i="16"/>
  <c r="BW145" i="16"/>
  <c r="BV145" i="16"/>
  <c r="BU145" i="16"/>
  <c r="BP145" i="16"/>
  <c r="BM145" i="16"/>
  <c r="BI145" i="16"/>
  <c r="BH145" i="16"/>
  <c r="BG145" i="16"/>
  <c r="BB145" i="16"/>
  <c r="AY145" i="16"/>
  <c r="AU145" i="16"/>
  <c r="AT145" i="16"/>
  <c r="AS145" i="16"/>
  <c r="AN145" i="16"/>
  <c r="AK145" i="16"/>
  <c r="AG145" i="16"/>
  <c r="AF145" i="16"/>
  <c r="AE145" i="16"/>
  <c r="Z145" i="16"/>
  <c r="W145" i="16"/>
  <c r="S145" i="16"/>
  <c r="R145" i="16"/>
  <c r="Q145" i="16"/>
  <c r="K145" i="16"/>
  <c r="J145" i="16"/>
  <c r="H145" i="16"/>
  <c r="F145" i="16"/>
  <c r="CD144" i="16"/>
  <c r="CA144" i="16"/>
  <c r="BW144" i="16"/>
  <c r="BV144" i="16"/>
  <c r="BU144" i="16"/>
  <c r="BP144" i="16"/>
  <c r="BM144" i="16"/>
  <c r="BI144" i="16"/>
  <c r="BH144" i="16"/>
  <c r="BG144" i="16"/>
  <c r="BB144" i="16"/>
  <c r="AY144" i="16"/>
  <c r="AU144" i="16"/>
  <c r="AT144" i="16"/>
  <c r="AS144" i="16"/>
  <c r="AN144" i="16"/>
  <c r="AK144" i="16"/>
  <c r="AG144" i="16"/>
  <c r="AF144" i="16"/>
  <c r="AE144" i="16"/>
  <c r="Z144" i="16"/>
  <c r="W144" i="16"/>
  <c r="S144" i="16"/>
  <c r="R144" i="16"/>
  <c r="Q144" i="16"/>
  <c r="K144" i="16"/>
  <c r="J144" i="16"/>
  <c r="H144" i="16"/>
  <c r="F144" i="16"/>
  <c r="CD143" i="16"/>
  <c r="CA143" i="16"/>
  <c r="BW143" i="16"/>
  <c r="BV143" i="16"/>
  <c r="BU143" i="16"/>
  <c r="BP143" i="16"/>
  <c r="BM143" i="16"/>
  <c r="BI143" i="16"/>
  <c r="BH143" i="16"/>
  <c r="BG143" i="16"/>
  <c r="BB143" i="16"/>
  <c r="AY143" i="16"/>
  <c r="AU143" i="16"/>
  <c r="AT143" i="16"/>
  <c r="AS143" i="16"/>
  <c r="AN143" i="16"/>
  <c r="AK143" i="16"/>
  <c r="AG143" i="16"/>
  <c r="AF143" i="16"/>
  <c r="AE143" i="16"/>
  <c r="Z143" i="16"/>
  <c r="W143" i="16"/>
  <c r="S143" i="16"/>
  <c r="R143" i="16"/>
  <c r="Q143" i="16"/>
  <c r="K143" i="16"/>
  <c r="J143" i="16"/>
  <c r="H143" i="16"/>
  <c r="F143" i="16"/>
  <c r="CD142" i="16"/>
  <c r="CA142" i="16"/>
  <c r="BW142" i="16"/>
  <c r="BV142" i="16"/>
  <c r="BU142" i="16"/>
  <c r="BP142" i="16"/>
  <c r="BM142" i="16"/>
  <c r="BI142" i="16"/>
  <c r="BH142" i="16"/>
  <c r="BG142" i="16"/>
  <c r="BB142" i="16"/>
  <c r="AY142" i="16"/>
  <c r="AU142" i="16"/>
  <c r="AT142" i="16"/>
  <c r="AS142" i="16"/>
  <c r="AN142" i="16"/>
  <c r="AK142" i="16"/>
  <c r="AG142" i="16"/>
  <c r="AF142" i="16"/>
  <c r="AE142" i="16"/>
  <c r="Z142" i="16"/>
  <c r="W142" i="16"/>
  <c r="S142" i="16"/>
  <c r="R142" i="16"/>
  <c r="Q142" i="16"/>
  <c r="K142" i="16"/>
  <c r="J142" i="16"/>
  <c r="H142" i="16"/>
  <c r="F142" i="16"/>
  <c r="CD141" i="16"/>
  <c r="CA141" i="16"/>
  <c r="BW141" i="16"/>
  <c r="BV141" i="16"/>
  <c r="BU141" i="16"/>
  <c r="BP141" i="16"/>
  <c r="BM141" i="16"/>
  <c r="BI141" i="16"/>
  <c r="BH141" i="16"/>
  <c r="BG141" i="16"/>
  <c r="BB141" i="16"/>
  <c r="AY141" i="16"/>
  <c r="AU141" i="16"/>
  <c r="AT141" i="16"/>
  <c r="AS141" i="16"/>
  <c r="AN141" i="16"/>
  <c r="AK141" i="16"/>
  <c r="AG141" i="16"/>
  <c r="AF141" i="16"/>
  <c r="AE141" i="16"/>
  <c r="Z141" i="16"/>
  <c r="W141" i="16"/>
  <c r="S141" i="16"/>
  <c r="R141" i="16"/>
  <c r="Q141" i="16"/>
  <c r="K141" i="16"/>
  <c r="J141" i="16"/>
  <c r="G141" i="16" s="1"/>
  <c r="H141" i="16"/>
  <c r="F141" i="16"/>
  <c r="CD140" i="16"/>
  <c r="CA140" i="16"/>
  <c r="BW140" i="16"/>
  <c r="BV140" i="16"/>
  <c r="BU140" i="16"/>
  <c r="BP140" i="16"/>
  <c r="BM140" i="16"/>
  <c r="BI140" i="16"/>
  <c r="BH140" i="16"/>
  <c r="BG140" i="16"/>
  <c r="BB140" i="16"/>
  <c r="AY140" i="16"/>
  <c r="AU140" i="16"/>
  <c r="AT140" i="16"/>
  <c r="AS140" i="16"/>
  <c r="AN140" i="16"/>
  <c r="AK140" i="16"/>
  <c r="AG140" i="16"/>
  <c r="AF140" i="16"/>
  <c r="AE140" i="16"/>
  <c r="Z140" i="16"/>
  <c r="W140" i="16"/>
  <c r="S140" i="16"/>
  <c r="R140" i="16"/>
  <c r="Q140" i="16"/>
  <c r="K140" i="16"/>
  <c r="J140" i="16"/>
  <c r="G140" i="16" s="1"/>
  <c r="H140" i="16"/>
  <c r="F140" i="16"/>
  <c r="CD139" i="16"/>
  <c r="CA139" i="16"/>
  <c r="BW139" i="16"/>
  <c r="BV139" i="16"/>
  <c r="BU139" i="16"/>
  <c r="BP139" i="16"/>
  <c r="BM139" i="16"/>
  <c r="BI139" i="16"/>
  <c r="BH139" i="16"/>
  <c r="BG139" i="16"/>
  <c r="BB139" i="16"/>
  <c r="AY139" i="16"/>
  <c r="AU139" i="16"/>
  <c r="AT139" i="16"/>
  <c r="AS139" i="16"/>
  <c r="AN139" i="16"/>
  <c r="AK139" i="16"/>
  <c r="AG139" i="16"/>
  <c r="AF139" i="16"/>
  <c r="AE139" i="16"/>
  <c r="Z139" i="16"/>
  <c r="W139" i="16"/>
  <c r="S139" i="16"/>
  <c r="R139" i="16"/>
  <c r="Q139" i="16"/>
  <c r="K139" i="16"/>
  <c r="J139" i="16"/>
  <c r="G139" i="16" s="1"/>
  <c r="H139" i="16"/>
  <c r="F139" i="16"/>
  <c r="CD138" i="16"/>
  <c r="CA138" i="16"/>
  <c r="BW138" i="16"/>
  <c r="BV138" i="16"/>
  <c r="BU138" i="16"/>
  <c r="BP138" i="16"/>
  <c r="BM138" i="16"/>
  <c r="BI138" i="16"/>
  <c r="BH138" i="16"/>
  <c r="BG138" i="16"/>
  <c r="BB138" i="16"/>
  <c r="AY138" i="16"/>
  <c r="AU138" i="16"/>
  <c r="AT138" i="16"/>
  <c r="AS138" i="16"/>
  <c r="AN138" i="16"/>
  <c r="AK138" i="16"/>
  <c r="AG138" i="16"/>
  <c r="AF138" i="16"/>
  <c r="AE138" i="16"/>
  <c r="Z138" i="16"/>
  <c r="W138" i="16"/>
  <c r="S138" i="16"/>
  <c r="R138" i="16"/>
  <c r="Q138" i="16"/>
  <c r="K138" i="16"/>
  <c r="J138" i="16"/>
  <c r="H138" i="16"/>
  <c r="F138" i="16"/>
  <c r="CD137" i="16"/>
  <c r="CA137" i="16"/>
  <c r="BW137" i="16"/>
  <c r="BV137" i="16"/>
  <c r="BU137" i="16"/>
  <c r="BP137" i="16"/>
  <c r="BM137" i="16"/>
  <c r="BI137" i="16"/>
  <c r="BH137" i="16"/>
  <c r="BG137" i="16"/>
  <c r="BB137" i="16"/>
  <c r="AY137" i="16"/>
  <c r="AU137" i="16"/>
  <c r="AT137" i="16"/>
  <c r="AS137" i="16"/>
  <c r="AN137" i="16"/>
  <c r="AK137" i="16"/>
  <c r="AG137" i="16"/>
  <c r="AF137" i="16"/>
  <c r="AE137" i="16"/>
  <c r="Z137" i="16"/>
  <c r="W137" i="16"/>
  <c r="S137" i="16"/>
  <c r="R137" i="16"/>
  <c r="Q137" i="16"/>
  <c r="K137" i="16"/>
  <c r="J137" i="16"/>
  <c r="H137" i="16"/>
  <c r="F137" i="16"/>
  <c r="CD136" i="16"/>
  <c r="CA136" i="16"/>
  <c r="BW136" i="16"/>
  <c r="BV136" i="16"/>
  <c r="BU136" i="16"/>
  <c r="BP136" i="16"/>
  <c r="BM136" i="16"/>
  <c r="BI136" i="16"/>
  <c r="BH136" i="16"/>
  <c r="BG136" i="16"/>
  <c r="BB136" i="16"/>
  <c r="AY136" i="16"/>
  <c r="AU136" i="16"/>
  <c r="AT136" i="16"/>
  <c r="AS136" i="16"/>
  <c r="AN136" i="16"/>
  <c r="AK136" i="16"/>
  <c r="AG136" i="16"/>
  <c r="AF136" i="16"/>
  <c r="AE136" i="16"/>
  <c r="Z136" i="16"/>
  <c r="W136" i="16"/>
  <c r="S136" i="16"/>
  <c r="R136" i="16"/>
  <c r="Q136" i="16"/>
  <c r="K136" i="16"/>
  <c r="J136" i="16"/>
  <c r="H136" i="16"/>
  <c r="F136" i="16"/>
  <c r="CD135" i="16"/>
  <c r="CA135" i="16"/>
  <c r="BW135" i="16"/>
  <c r="BV135" i="16"/>
  <c r="BU135" i="16"/>
  <c r="BP135" i="16"/>
  <c r="BM135" i="16"/>
  <c r="BI135" i="16"/>
  <c r="BH135" i="16"/>
  <c r="BG135" i="16"/>
  <c r="BB135" i="16"/>
  <c r="AY135" i="16"/>
  <c r="AU135" i="16"/>
  <c r="AT135" i="16"/>
  <c r="AS135" i="16"/>
  <c r="AN135" i="16"/>
  <c r="AK135" i="16"/>
  <c r="AG135" i="16"/>
  <c r="AF135" i="16"/>
  <c r="AE135" i="16"/>
  <c r="Z135" i="16"/>
  <c r="W135" i="16"/>
  <c r="S135" i="16"/>
  <c r="R135" i="16"/>
  <c r="Q135" i="16"/>
  <c r="K135" i="16"/>
  <c r="J135" i="16"/>
  <c r="G135" i="16" s="1"/>
  <c r="H135" i="16"/>
  <c r="F135" i="16"/>
  <c r="CD134" i="16"/>
  <c r="CA134" i="16"/>
  <c r="BW134" i="16"/>
  <c r="BV134" i="16"/>
  <c r="BU134" i="16"/>
  <c r="BP134" i="16"/>
  <c r="BM134" i="16"/>
  <c r="BI134" i="16"/>
  <c r="BH134" i="16"/>
  <c r="BG134" i="16"/>
  <c r="BB134" i="16"/>
  <c r="AY134" i="16"/>
  <c r="AU134" i="16"/>
  <c r="AT134" i="16"/>
  <c r="AS134" i="16"/>
  <c r="AN134" i="16"/>
  <c r="AK134" i="16"/>
  <c r="AG134" i="16"/>
  <c r="AF134" i="16"/>
  <c r="AE134" i="16"/>
  <c r="Z134" i="16"/>
  <c r="W134" i="16"/>
  <c r="S134" i="16"/>
  <c r="R134" i="16"/>
  <c r="Q134" i="16"/>
  <c r="K134" i="16"/>
  <c r="J134" i="16"/>
  <c r="H134" i="16"/>
  <c r="F134" i="16"/>
  <c r="F133" i="16"/>
  <c r="E133" i="16"/>
  <c r="D133" i="16"/>
  <c r="C133" i="16"/>
  <c r="F132" i="16"/>
  <c r="E132" i="16"/>
  <c r="D132" i="16"/>
  <c r="C132" i="16"/>
  <c r="F131" i="16"/>
  <c r="E131" i="16"/>
  <c r="D131" i="16"/>
  <c r="C131" i="16"/>
  <c r="L130" i="16"/>
  <c r="I130" i="16"/>
  <c r="F130" i="16"/>
  <c r="E130" i="16"/>
  <c r="D130" i="16"/>
  <c r="C130" i="16"/>
  <c r="L129" i="16"/>
  <c r="I129" i="16"/>
  <c r="F129" i="16"/>
  <c r="E129" i="16"/>
  <c r="D129" i="16"/>
  <c r="C129" i="16"/>
  <c r="K128" i="16"/>
  <c r="C128" i="16" s="1"/>
  <c r="J128" i="16"/>
  <c r="I128" i="16" s="1"/>
  <c r="F128" i="16"/>
  <c r="K127" i="16"/>
  <c r="J127" i="16"/>
  <c r="I127" i="16" s="1"/>
  <c r="F127" i="16"/>
  <c r="K126" i="16"/>
  <c r="C126" i="16" s="1"/>
  <c r="J126" i="16"/>
  <c r="I126" i="16" s="1"/>
  <c r="F126" i="16"/>
  <c r="K125" i="16"/>
  <c r="C125" i="16" s="1"/>
  <c r="J125" i="16"/>
  <c r="I125" i="16" s="1"/>
  <c r="F125" i="16"/>
  <c r="K124" i="16"/>
  <c r="J124" i="16"/>
  <c r="I124" i="16" s="1"/>
  <c r="F124" i="16"/>
  <c r="K123" i="16"/>
  <c r="J123" i="16"/>
  <c r="I123" i="16" s="1"/>
  <c r="F123" i="16"/>
  <c r="L122" i="16"/>
  <c r="I122" i="16"/>
  <c r="F122" i="16"/>
  <c r="E122" i="16"/>
  <c r="D122" i="16"/>
  <c r="C122" i="16"/>
  <c r="L121" i="16"/>
  <c r="I121" i="16"/>
  <c r="F121" i="16"/>
  <c r="E121" i="16"/>
  <c r="D121" i="16"/>
  <c r="C121" i="16"/>
  <c r="L120" i="16"/>
  <c r="I120" i="16"/>
  <c r="F120" i="16"/>
  <c r="E120" i="16"/>
  <c r="D120" i="16"/>
  <c r="C120" i="16"/>
  <c r="L119" i="16"/>
  <c r="I119" i="16"/>
  <c r="F119" i="16"/>
  <c r="E119" i="16"/>
  <c r="D119" i="16"/>
  <c r="C119" i="16"/>
  <c r="L118" i="16"/>
  <c r="I118" i="16"/>
  <c r="F118" i="16"/>
  <c r="E118" i="16"/>
  <c r="D118" i="16"/>
  <c r="C118" i="16"/>
  <c r="L117" i="16"/>
  <c r="I117" i="16"/>
  <c r="F117" i="16"/>
  <c r="E117" i="16"/>
  <c r="D117" i="16"/>
  <c r="C117" i="16"/>
  <c r="L116" i="16"/>
  <c r="I116" i="16"/>
  <c r="F116" i="16"/>
  <c r="E116" i="16"/>
  <c r="D116" i="16"/>
  <c r="C116" i="16"/>
  <c r="L115" i="16"/>
  <c r="I115" i="16"/>
  <c r="F115" i="16"/>
  <c r="E115" i="16"/>
  <c r="D115" i="16"/>
  <c r="C115" i="16"/>
  <c r="L114" i="16"/>
  <c r="I114" i="16"/>
  <c r="F114" i="16"/>
  <c r="E114" i="16"/>
  <c r="D114" i="16"/>
  <c r="C114" i="16"/>
  <c r="L113" i="16"/>
  <c r="I113" i="16"/>
  <c r="F113" i="16"/>
  <c r="E113" i="16"/>
  <c r="D113" i="16"/>
  <c r="C113" i="16"/>
  <c r="L112" i="16"/>
  <c r="I112" i="16"/>
  <c r="F112" i="16"/>
  <c r="E112" i="16"/>
  <c r="D112" i="16"/>
  <c r="C112" i="16"/>
  <c r="L111" i="16"/>
  <c r="I111" i="16"/>
  <c r="F111" i="16"/>
  <c r="E111" i="16"/>
  <c r="D111" i="16"/>
  <c r="C111" i="16"/>
  <c r="L110" i="16"/>
  <c r="I110" i="16"/>
  <c r="F110" i="16"/>
  <c r="E110" i="16"/>
  <c r="D110" i="16"/>
  <c r="C110" i="16"/>
  <c r="L109" i="16"/>
  <c r="I109" i="16"/>
  <c r="F109" i="16"/>
  <c r="E109" i="16"/>
  <c r="D109" i="16"/>
  <c r="C109" i="16"/>
  <c r="L108" i="16"/>
  <c r="I108" i="16"/>
  <c r="F108" i="16"/>
  <c r="E108" i="16"/>
  <c r="D108" i="16"/>
  <c r="C108" i="16"/>
  <c r="L107" i="16"/>
  <c r="I107" i="16"/>
  <c r="F107" i="16"/>
  <c r="E107" i="16"/>
  <c r="D107" i="16"/>
  <c r="C107" i="16"/>
  <c r="L106" i="16"/>
  <c r="I106" i="16"/>
  <c r="F106" i="16"/>
  <c r="E106" i="16"/>
  <c r="D106" i="16"/>
  <c r="C106" i="16"/>
  <c r="L105" i="16"/>
  <c r="I105" i="16"/>
  <c r="F105" i="16"/>
  <c r="E105" i="16"/>
  <c r="D105" i="16"/>
  <c r="C105" i="16"/>
  <c r="L104" i="16"/>
  <c r="I104" i="16"/>
  <c r="F104" i="16"/>
  <c r="E104" i="16"/>
  <c r="D104" i="16"/>
  <c r="C104" i="16"/>
  <c r="L103" i="16"/>
  <c r="I103" i="16"/>
  <c r="F103" i="16"/>
  <c r="E103" i="16"/>
  <c r="D103" i="16"/>
  <c r="C103" i="16"/>
  <c r="L102" i="16"/>
  <c r="I102" i="16"/>
  <c r="F102" i="16"/>
  <c r="E102" i="16"/>
  <c r="D102" i="16"/>
  <c r="C102" i="16"/>
  <c r="L101" i="16"/>
  <c r="I101" i="16"/>
  <c r="F101" i="16"/>
  <c r="E101" i="16"/>
  <c r="D101" i="16"/>
  <c r="C101" i="16"/>
  <c r="L100" i="16"/>
  <c r="I100" i="16"/>
  <c r="F100" i="16"/>
  <c r="E100" i="16"/>
  <c r="D100" i="16"/>
  <c r="C100" i="16"/>
  <c r="L99" i="16"/>
  <c r="I99" i="16"/>
  <c r="F99" i="16"/>
  <c r="E99" i="16"/>
  <c r="D99" i="16"/>
  <c r="C99" i="16"/>
  <c r="L98" i="16"/>
  <c r="I98" i="16"/>
  <c r="F98" i="16"/>
  <c r="E98" i="16"/>
  <c r="D98" i="16"/>
  <c r="C98" i="16"/>
  <c r="L97" i="16"/>
  <c r="I97" i="16"/>
  <c r="F97" i="16"/>
  <c r="E97" i="16"/>
  <c r="D97" i="16"/>
  <c r="C97" i="16"/>
  <c r="L96" i="16"/>
  <c r="I96" i="16"/>
  <c r="F96" i="16"/>
  <c r="E96" i="16"/>
  <c r="D96" i="16"/>
  <c r="C96" i="16"/>
  <c r="L95" i="16"/>
  <c r="I95" i="16"/>
  <c r="F95" i="16"/>
  <c r="E95" i="16"/>
  <c r="D95" i="16"/>
  <c r="C95" i="16"/>
  <c r="L94" i="16"/>
  <c r="I94" i="16"/>
  <c r="F94" i="16"/>
  <c r="E94" i="16"/>
  <c r="D94" i="16"/>
  <c r="C94" i="16"/>
  <c r="L93" i="16"/>
  <c r="I93" i="16"/>
  <c r="F93" i="16"/>
  <c r="E93" i="16"/>
  <c r="D93" i="16"/>
  <c r="C93" i="16"/>
  <c r="L92" i="16"/>
  <c r="I92" i="16"/>
  <c r="F92" i="16"/>
  <c r="E92" i="16"/>
  <c r="D92" i="16"/>
  <c r="C92" i="16"/>
  <c r="L91" i="16"/>
  <c r="I91" i="16"/>
  <c r="F91" i="16"/>
  <c r="E91" i="16"/>
  <c r="D91" i="16"/>
  <c r="C91" i="16"/>
  <c r="L90" i="16"/>
  <c r="I90" i="16"/>
  <c r="F90" i="16"/>
  <c r="E90" i="16"/>
  <c r="D90" i="16"/>
  <c r="C90" i="16"/>
  <c r="L89" i="16"/>
  <c r="I89" i="16"/>
  <c r="F89" i="16"/>
  <c r="E89" i="16"/>
  <c r="D89" i="16"/>
  <c r="C89" i="16"/>
  <c r="L88" i="16"/>
  <c r="I88" i="16"/>
  <c r="F88" i="16"/>
  <c r="E88" i="16"/>
  <c r="D88" i="16"/>
  <c r="C88" i="16"/>
  <c r="L87" i="16"/>
  <c r="I87" i="16"/>
  <c r="F87" i="16"/>
  <c r="E87" i="16"/>
  <c r="D87" i="16"/>
  <c r="C87" i="16"/>
  <c r="L86" i="16"/>
  <c r="I86" i="16"/>
  <c r="F86" i="16"/>
  <c r="E86" i="16"/>
  <c r="D86" i="16"/>
  <c r="C86" i="16"/>
  <c r="L85" i="16"/>
  <c r="I85" i="16"/>
  <c r="F85" i="16"/>
  <c r="E85" i="16"/>
  <c r="D85" i="16"/>
  <c r="C85" i="16"/>
  <c r="L84" i="16"/>
  <c r="I84" i="16"/>
  <c r="F84" i="16"/>
  <c r="E84" i="16"/>
  <c r="D84" i="16"/>
  <c r="C84" i="16"/>
  <c r="L83" i="16"/>
  <c r="I83" i="16"/>
  <c r="F83" i="16"/>
  <c r="E83" i="16"/>
  <c r="D83" i="16"/>
  <c r="C83" i="16"/>
  <c r="L82" i="16"/>
  <c r="I82" i="16"/>
  <c r="F82" i="16"/>
  <c r="E82" i="16"/>
  <c r="D82" i="16"/>
  <c r="C82" i="16"/>
  <c r="L81" i="16"/>
  <c r="I81" i="16"/>
  <c r="F81" i="16"/>
  <c r="E81" i="16"/>
  <c r="D81" i="16"/>
  <c r="C81" i="16"/>
  <c r="L80" i="16"/>
  <c r="I80" i="16"/>
  <c r="F80" i="16"/>
  <c r="E80" i="16"/>
  <c r="D80" i="16"/>
  <c r="C80" i="16"/>
  <c r="L79" i="16"/>
  <c r="I79" i="16"/>
  <c r="F79" i="16"/>
  <c r="E79" i="16"/>
  <c r="D79" i="16"/>
  <c r="C79" i="16"/>
  <c r="L78" i="16"/>
  <c r="I78" i="16"/>
  <c r="F78" i="16"/>
  <c r="E78" i="16"/>
  <c r="D78" i="16"/>
  <c r="C78" i="16"/>
  <c r="L77" i="16"/>
  <c r="I77" i="16"/>
  <c r="F77" i="16"/>
  <c r="E77" i="16"/>
  <c r="D77" i="16"/>
  <c r="C77" i="16"/>
  <c r="L76" i="16"/>
  <c r="I76" i="16"/>
  <c r="F76" i="16"/>
  <c r="E76" i="16"/>
  <c r="D76" i="16"/>
  <c r="C76" i="16"/>
  <c r="L75" i="16"/>
  <c r="I75" i="16"/>
  <c r="F75" i="16"/>
  <c r="E75" i="16"/>
  <c r="D75" i="16"/>
  <c r="C75" i="16"/>
  <c r="L74" i="16"/>
  <c r="I74" i="16"/>
  <c r="F74" i="16"/>
  <c r="E74" i="16"/>
  <c r="D74" i="16"/>
  <c r="C74" i="16"/>
  <c r="L73" i="16"/>
  <c r="I73" i="16"/>
  <c r="F73" i="16"/>
  <c r="E73" i="16"/>
  <c r="D73" i="16"/>
  <c r="C73" i="16"/>
  <c r="L72" i="16"/>
  <c r="I72" i="16"/>
  <c r="F72" i="16"/>
  <c r="E72" i="16"/>
  <c r="D72" i="16"/>
  <c r="C72" i="16"/>
  <c r="L71" i="16"/>
  <c r="I71" i="16"/>
  <c r="F71" i="16"/>
  <c r="E71" i="16"/>
  <c r="D71" i="16"/>
  <c r="C71" i="16"/>
  <c r="L70" i="16"/>
  <c r="I70" i="16"/>
  <c r="F70" i="16"/>
  <c r="E70" i="16"/>
  <c r="D70" i="16"/>
  <c r="C70" i="16"/>
  <c r="L69" i="16"/>
  <c r="I69" i="16"/>
  <c r="F69" i="16"/>
  <c r="E69" i="16"/>
  <c r="D69" i="16"/>
  <c r="C69" i="16"/>
  <c r="L68" i="16"/>
  <c r="I68" i="16"/>
  <c r="F68" i="16"/>
  <c r="E68" i="16"/>
  <c r="D68" i="16"/>
  <c r="C68" i="16"/>
  <c r="L67" i="16"/>
  <c r="I67" i="16"/>
  <c r="F67" i="16"/>
  <c r="E67" i="16"/>
  <c r="D67" i="16"/>
  <c r="C67" i="16"/>
  <c r="L66" i="16"/>
  <c r="I66" i="16"/>
  <c r="F66" i="16"/>
  <c r="E66" i="16"/>
  <c r="D66" i="16"/>
  <c r="C66" i="16"/>
  <c r="L65" i="16"/>
  <c r="I65" i="16"/>
  <c r="F65" i="16"/>
  <c r="E65" i="16"/>
  <c r="D65" i="16"/>
  <c r="C65" i="16"/>
  <c r="L64" i="16"/>
  <c r="I64" i="16"/>
  <c r="F64" i="16"/>
  <c r="E64" i="16"/>
  <c r="D64" i="16"/>
  <c r="C64" i="16"/>
  <c r="L63" i="16"/>
  <c r="I63" i="16"/>
  <c r="F63" i="16"/>
  <c r="E63" i="16"/>
  <c r="D63" i="16"/>
  <c r="C63" i="16"/>
  <c r="L62" i="16"/>
  <c r="I62" i="16"/>
  <c r="F62" i="16"/>
  <c r="E62" i="16"/>
  <c r="D62" i="16"/>
  <c r="C62" i="16"/>
  <c r="L61" i="16"/>
  <c r="I61" i="16"/>
  <c r="F61" i="16"/>
  <c r="E61" i="16"/>
  <c r="D61" i="16"/>
  <c r="C61" i="16"/>
  <c r="L60" i="16"/>
  <c r="I60" i="16"/>
  <c r="F60" i="16"/>
  <c r="E60" i="16"/>
  <c r="D60" i="16"/>
  <c r="C60" i="16"/>
  <c r="L59" i="16"/>
  <c r="I59" i="16"/>
  <c r="F59" i="16"/>
  <c r="E59" i="16"/>
  <c r="D59" i="16"/>
  <c r="C59" i="16"/>
  <c r="L58" i="16"/>
  <c r="I58" i="16"/>
  <c r="F58" i="16"/>
  <c r="E58" i="16"/>
  <c r="D58" i="16"/>
  <c r="C58" i="16"/>
  <c r="L57" i="16"/>
  <c r="I57" i="16"/>
  <c r="F57" i="16"/>
  <c r="E57" i="16"/>
  <c r="D57" i="16"/>
  <c r="C57" i="16"/>
  <c r="L56" i="16"/>
  <c r="I56" i="16"/>
  <c r="F56" i="16"/>
  <c r="E56" i="16"/>
  <c r="D56" i="16"/>
  <c r="C56" i="16"/>
  <c r="L55" i="16"/>
  <c r="I55" i="16"/>
  <c r="F55" i="16"/>
  <c r="E55" i="16"/>
  <c r="D55" i="16"/>
  <c r="C55" i="16"/>
  <c r="L54" i="16"/>
  <c r="I54" i="16"/>
  <c r="F54" i="16"/>
  <c r="E54" i="16"/>
  <c r="D54" i="16"/>
  <c r="C54" i="16"/>
  <c r="L53" i="16"/>
  <c r="I53" i="16"/>
  <c r="F53" i="16"/>
  <c r="E53" i="16"/>
  <c r="D53" i="16"/>
  <c r="C53" i="16"/>
  <c r="L52" i="16"/>
  <c r="I52" i="16"/>
  <c r="F52" i="16"/>
  <c r="E52" i="16"/>
  <c r="D52" i="16"/>
  <c r="C52" i="16"/>
  <c r="L51" i="16"/>
  <c r="I51" i="16"/>
  <c r="F51" i="16"/>
  <c r="E51" i="16"/>
  <c r="D51" i="16"/>
  <c r="C51" i="16"/>
  <c r="L50" i="16"/>
  <c r="I50" i="16"/>
  <c r="F50" i="16"/>
  <c r="E50" i="16"/>
  <c r="D50" i="16"/>
  <c r="C50" i="16"/>
  <c r="L49" i="16"/>
  <c r="I49" i="16"/>
  <c r="F49" i="16"/>
  <c r="E49" i="16"/>
  <c r="D49" i="16"/>
  <c r="C49" i="16"/>
  <c r="L48" i="16"/>
  <c r="I48" i="16"/>
  <c r="F48" i="16"/>
  <c r="E48" i="16"/>
  <c r="D48" i="16"/>
  <c r="C48" i="16"/>
  <c r="L47" i="16"/>
  <c r="I47" i="16"/>
  <c r="F47" i="16"/>
  <c r="E47" i="16"/>
  <c r="D47" i="16"/>
  <c r="C47" i="16"/>
  <c r="L46" i="16"/>
  <c r="I46" i="16"/>
  <c r="F46" i="16"/>
  <c r="E46" i="16"/>
  <c r="D46" i="16"/>
  <c r="C46" i="16"/>
  <c r="L45" i="16"/>
  <c r="I45" i="16"/>
  <c r="F45" i="16"/>
  <c r="E45" i="16"/>
  <c r="D45" i="16"/>
  <c r="C45" i="16"/>
  <c r="L44" i="16"/>
  <c r="I44" i="16"/>
  <c r="F44" i="16"/>
  <c r="E44" i="16"/>
  <c r="D44" i="16"/>
  <c r="C44" i="16"/>
  <c r="L43" i="16"/>
  <c r="I43" i="16"/>
  <c r="F43" i="16"/>
  <c r="E43" i="16"/>
  <c r="D43" i="16"/>
  <c r="C43" i="16"/>
  <c r="L42" i="16"/>
  <c r="I42" i="16"/>
  <c r="F42" i="16"/>
  <c r="E42" i="16"/>
  <c r="D42" i="16"/>
  <c r="C42" i="16"/>
  <c r="L41" i="16"/>
  <c r="I41" i="16"/>
  <c r="F41" i="16"/>
  <c r="E41" i="16"/>
  <c r="D41" i="16"/>
  <c r="C41" i="16"/>
  <c r="L40" i="16"/>
  <c r="I40" i="16"/>
  <c r="F40" i="16"/>
  <c r="E40" i="16"/>
  <c r="D40" i="16"/>
  <c r="C40" i="16"/>
  <c r="L39" i="16"/>
  <c r="I39" i="16"/>
  <c r="F39" i="16"/>
  <c r="E39" i="16"/>
  <c r="D39" i="16"/>
  <c r="C39" i="16"/>
  <c r="K38" i="16"/>
  <c r="J38" i="16"/>
  <c r="E38" i="16" s="1"/>
  <c r="F38" i="16"/>
  <c r="L37" i="16"/>
  <c r="I37" i="16"/>
  <c r="F37" i="16"/>
  <c r="E37" i="16"/>
  <c r="D37" i="16"/>
  <c r="C37" i="16"/>
  <c r="L36" i="16"/>
  <c r="I36" i="16"/>
  <c r="F36" i="16"/>
  <c r="E36" i="16"/>
  <c r="D36" i="16"/>
  <c r="C36" i="16"/>
  <c r="L35" i="16"/>
  <c r="I35" i="16"/>
  <c r="F35" i="16"/>
  <c r="E35" i="16"/>
  <c r="D35" i="16"/>
  <c r="C35" i="16"/>
  <c r="K34" i="16"/>
  <c r="K34" i="87" s="1"/>
  <c r="J34" i="16"/>
  <c r="F34" i="16"/>
  <c r="L33" i="16"/>
  <c r="I33" i="16"/>
  <c r="F33" i="16"/>
  <c r="E33" i="16"/>
  <c r="D33" i="16"/>
  <c r="C33" i="16"/>
  <c r="L32" i="16"/>
  <c r="I32" i="16"/>
  <c r="F32" i="16"/>
  <c r="E32" i="16"/>
  <c r="D32" i="16"/>
  <c r="C32" i="16"/>
  <c r="L31" i="16"/>
  <c r="I31" i="16"/>
  <c r="F31" i="16"/>
  <c r="E31" i="16"/>
  <c r="D31" i="16"/>
  <c r="C31" i="16"/>
  <c r="L30" i="16"/>
  <c r="I30" i="16"/>
  <c r="F30" i="16"/>
  <c r="E30" i="16"/>
  <c r="D30" i="16"/>
  <c r="C30" i="16"/>
  <c r="L29" i="16"/>
  <c r="I29" i="16"/>
  <c r="F29" i="16"/>
  <c r="E29" i="16"/>
  <c r="D29" i="16"/>
  <c r="C29" i="16"/>
  <c r="L28" i="16"/>
  <c r="I28" i="16"/>
  <c r="F28" i="16"/>
  <c r="E28" i="16"/>
  <c r="D28" i="16"/>
  <c r="C28" i="16"/>
  <c r="L27" i="16"/>
  <c r="I27" i="16"/>
  <c r="F27" i="16"/>
  <c r="E27" i="16"/>
  <c r="D27" i="16"/>
  <c r="C27" i="16"/>
  <c r="L26" i="16"/>
  <c r="I26" i="16"/>
  <c r="F26" i="16"/>
  <c r="E26" i="16"/>
  <c r="D26" i="16"/>
  <c r="C26" i="16"/>
  <c r="L25" i="16"/>
  <c r="I25" i="16"/>
  <c r="F25" i="16"/>
  <c r="E25" i="16"/>
  <c r="D25" i="16"/>
  <c r="C25" i="16"/>
  <c r="L24" i="16"/>
  <c r="I24" i="16"/>
  <c r="F24" i="16"/>
  <c r="E24" i="16"/>
  <c r="D24" i="16"/>
  <c r="C24" i="16"/>
  <c r="L23" i="16"/>
  <c r="I23" i="16"/>
  <c r="F23" i="16"/>
  <c r="E23" i="16"/>
  <c r="D23" i="16"/>
  <c r="C23" i="16"/>
  <c r="L22" i="16"/>
  <c r="I22" i="16"/>
  <c r="F22" i="16"/>
  <c r="E22" i="16"/>
  <c r="D22" i="16"/>
  <c r="C22" i="16"/>
  <c r="L21" i="16"/>
  <c r="I21" i="16"/>
  <c r="F21" i="16"/>
  <c r="E21" i="16"/>
  <c r="D21" i="16"/>
  <c r="C21" i="16"/>
  <c r="L20" i="16"/>
  <c r="I20" i="16"/>
  <c r="F20" i="16"/>
  <c r="E20" i="16"/>
  <c r="D20" i="16"/>
  <c r="C20" i="16"/>
  <c r="L19" i="16"/>
  <c r="I19" i="16"/>
  <c r="F19" i="16"/>
  <c r="E19" i="16"/>
  <c r="D19" i="16"/>
  <c r="C19" i="16"/>
  <c r="L18" i="16"/>
  <c r="I18" i="16"/>
  <c r="F18" i="16"/>
  <c r="E18" i="16"/>
  <c r="D18" i="16"/>
  <c r="C18" i="16"/>
  <c r="L17" i="16"/>
  <c r="I17" i="16"/>
  <c r="F17" i="16"/>
  <c r="E17" i="16"/>
  <c r="D17" i="16"/>
  <c r="C17" i="16"/>
  <c r="L16" i="16"/>
  <c r="I16" i="16"/>
  <c r="F16" i="16"/>
  <c r="E16" i="16"/>
  <c r="D16" i="16"/>
  <c r="C16" i="16"/>
  <c r="L15" i="16"/>
  <c r="I15" i="16"/>
  <c r="F15" i="16"/>
  <c r="E15" i="16"/>
  <c r="D15" i="16"/>
  <c r="C15" i="16"/>
  <c r="L14" i="16"/>
  <c r="I14" i="16"/>
  <c r="F14" i="16"/>
  <c r="E14" i="16"/>
  <c r="D14" i="16"/>
  <c r="C14" i="16"/>
  <c r="L13" i="16"/>
  <c r="I13" i="16"/>
  <c r="F13" i="16"/>
  <c r="E13" i="16"/>
  <c r="D13" i="16"/>
  <c r="C13" i="16"/>
  <c r="L12" i="16"/>
  <c r="I12" i="16"/>
  <c r="F12" i="16"/>
  <c r="E12" i="16"/>
  <c r="D12" i="16"/>
  <c r="C12" i="16"/>
  <c r="L11" i="16"/>
  <c r="I11" i="16"/>
  <c r="F11" i="16"/>
  <c r="E11" i="16"/>
  <c r="D11" i="16"/>
  <c r="C11" i="16"/>
  <c r="L10" i="16"/>
  <c r="I10" i="16"/>
  <c r="F10" i="16"/>
  <c r="E10" i="16"/>
  <c r="D10" i="16"/>
  <c r="C10" i="16"/>
  <c r="L9" i="16"/>
  <c r="I9" i="16"/>
  <c r="F9" i="16"/>
  <c r="E9" i="16"/>
  <c r="D9" i="16"/>
  <c r="C9" i="16"/>
  <c r="L8" i="16"/>
  <c r="I8" i="16"/>
  <c r="F8" i="16"/>
  <c r="E8" i="16"/>
  <c r="D8" i="16"/>
  <c r="C8" i="16"/>
  <c r="L7" i="16"/>
  <c r="I7" i="16"/>
  <c r="F7" i="16"/>
  <c r="E7" i="16"/>
  <c r="D7" i="16"/>
  <c r="C7" i="16"/>
  <c r="L6" i="16"/>
  <c r="I6" i="16"/>
  <c r="F6" i="16"/>
  <c r="E6" i="16"/>
  <c r="D6" i="16"/>
  <c r="C6" i="16"/>
  <c r="J359" i="87"/>
  <c r="K358" i="87"/>
  <c r="J352" i="87"/>
  <c r="J315" i="87"/>
  <c r="K133" i="87"/>
  <c r="J133" i="87"/>
  <c r="H133" i="87"/>
  <c r="K132" i="87"/>
  <c r="J132" i="87"/>
  <c r="H132" i="87"/>
  <c r="K131" i="87"/>
  <c r="J131" i="87"/>
  <c r="H131" i="87"/>
  <c r="K130" i="87"/>
  <c r="J130" i="87"/>
  <c r="H130" i="87"/>
  <c r="K129" i="87"/>
  <c r="J129" i="87"/>
  <c r="H129" i="87"/>
  <c r="H124" i="87"/>
  <c r="K121" i="87"/>
  <c r="J121" i="87"/>
  <c r="J120" i="87"/>
  <c r="H120" i="87"/>
  <c r="J119" i="87"/>
  <c r="H119" i="87"/>
  <c r="K118" i="87"/>
  <c r="H118" i="87"/>
  <c r="K117" i="87"/>
  <c r="J117" i="87"/>
  <c r="H117" i="87"/>
  <c r="K116" i="87"/>
  <c r="J116" i="87"/>
  <c r="H116" i="87"/>
  <c r="K115" i="87"/>
  <c r="J115" i="87"/>
  <c r="H115" i="87"/>
  <c r="K114" i="87"/>
  <c r="J114" i="87"/>
  <c r="H114" i="87"/>
  <c r="K113" i="87"/>
  <c r="J113" i="87"/>
  <c r="H113" i="87"/>
  <c r="K112" i="87"/>
  <c r="J112" i="87"/>
  <c r="H112" i="87"/>
  <c r="K111" i="87"/>
  <c r="J111" i="87"/>
  <c r="H111" i="87"/>
  <c r="K110" i="87"/>
  <c r="J110" i="87"/>
  <c r="H110" i="87"/>
  <c r="K109" i="87"/>
  <c r="J109" i="87"/>
  <c r="H109" i="87"/>
  <c r="K108" i="87"/>
  <c r="J108" i="87"/>
  <c r="H108" i="87"/>
  <c r="K107" i="87"/>
  <c r="J107" i="87"/>
  <c r="H107" i="87"/>
  <c r="K106" i="87"/>
  <c r="J106" i="87"/>
  <c r="H106" i="87"/>
  <c r="K105" i="87"/>
  <c r="J105" i="87"/>
  <c r="H105" i="87"/>
  <c r="K104" i="87"/>
  <c r="J104" i="87"/>
  <c r="H104" i="87"/>
  <c r="K103" i="87"/>
  <c r="J103" i="87"/>
  <c r="H103" i="87"/>
  <c r="K102" i="87"/>
  <c r="J102" i="87"/>
  <c r="H102" i="87"/>
  <c r="K101" i="87"/>
  <c r="J101" i="87"/>
  <c r="H101" i="87"/>
  <c r="K100" i="87"/>
  <c r="J100" i="87"/>
  <c r="H100" i="87"/>
  <c r="K99" i="87"/>
  <c r="J99" i="87"/>
  <c r="H99" i="87"/>
  <c r="K98" i="87"/>
  <c r="J98" i="87"/>
  <c r="H98" i="87"/>
  <c r="K97" i="87"/>
  <c r="J97" i="87"/>
  <c r="H97" i="87"/>
  <c r="K96" i="87"/>
  <c r="J96" i="87"/>
  <c r="H96" i="87"/>
  <c r="K95" i="87"/>
  <c r="J95" i="87"/>
  <c r="H95" i="87"/>
  <c r="K94" i="87"/>
  <c r="J94" i="87"/>
  <c r="H94" i="87"/>
  <c r="K93" i="87"/>
  <c r="J93" i="87"/>
  <c r="H93" i="87"/>
  <c r="K92" i="87"/>
  <c r="J92" i="87"/>
  <c r="H92" i="87"/>
  <c r="K91" i="87"/>
  <c r="J91" i="87"/>
  <c r="H91" i="87"/>
  <c r="K90" i="87"/>
  <c r="J90" i="87"/>
  <c r="H90" i="87"/>
  <c r="K89" i="87"/>
  <c r="J89" i="87"/>
  <c r="H89" i="87"/>
  <c r="K88" i="87"/>
  <c r="J88" i="87"/>
  <c r="H88" i="87"/>
  <c r="K87" i="87"/>
  <c r="J87" i="87"/>
  <c r="H87" i="87"/>
  <c r="K86" i="87"/>
  <c r="J86" i="87"/>
  <c r="H86" i="87"/>
  <c r="K85" i="87"/>
  <c r="J85" i="87"/>
  <c r="H85" i="87"/>
  <c r="K84" i="87"/>
  <c r="J84" i="87"/>
  <c r="H84" i="87"/>
  <c r="K83" i="87"/>
  <c r="J83" i="87"/>
  <c r="H83" i="87"/>
  <c r="K82" i="87"/>
  <c r="J82" i="87"/>
  <c r="H82" i="87"/>
  <c r="K81" i="87"/>
  <c r="J81" i="87"/>
  <c r="H81" i="87"/>
  <c r="K80" i="87"/>
  <c r="J80" i="87"/>
  <c r="H80" i="87"/>
  <c r="K79" i="87"/>
  <c r="J79" i="87"/>
  <c r="H79" i="87"/>
  <c r="K78" i="87"/>
  <c r="J78" i="87"/>
  <c r="H78" i="87"/>
  <c r="K77" i="87"/>
  <c r="J77" i="87"/>
  <c r="H77" i="87"/>
  <c r="K76" i="87"/>
  <c r="J76" i="87"/>
  <c r="H76" i="87"/>
  <c r="K75" i="87"/>
  <c r="J75" i="87"/>
  <c r="H75" i="87"/>
  <c r="K74" i="87"/>
  <c r="J74" i="87"/>
  <c r="H74" i="87"/>
  <c r="K73" i="87"/>
  <c r="J73" i="87"/>
  <c r="H73" i="87"/>
  <c r="K72" i="87"/>
  <c r="J72" i="87"/>
  <c r="H72" i="87"/>
  <c r="K71" i="87"/>
  <c r="J71" i="87"/>
  <c r="H71" i="87"/>
  <c r="K70" i="87"/>
  <c r="J70" i="87"/>
  <c r="H70" i="87"/>
  <c r="K69" i="87"/>
  <c r="J69" i="87"/>
  <c r="H69" i="87"/>
  <c r="K68" i="87"/>
  <c r="J68" i="87"/>
  <c r="H68" i="87"/>
  <c r="K67" i="87"/>
  <c r="J67" i="87"/>
  <c r="H67" i="87"/>
  <c r="K66" i="87"/>
  <c r="J66" i="87"/>
  <c r="H66" i="87"/>
  <c r="K65" i="87"/>
  <c r="J65" i="87"/>
  <c r="H65" i="87"/>
  <c r="K64" i="87"/>
  <c r="J64" i="87"/>
  <c r="H64" i="87"/>
  <c r="K63" i="87"/>
  <c r="J63" i="87"/>
  <c r="H63" i="87"/>
  <c r="K62" i="87"/>
  <c r="J62" i="87"/>
  <c r="H62" i="87"/>
  <c r="K61" i="87"/>
  <c r="J61" i="87"/>
  <c r="H61" i="87"/>
  <c r="K60" i="87"/>
  <c r="J60" i="87"/>
  <c r="H60" i="87"/>
  <c r="K59" i="87"/>
  <c r="J59" i="87"/>
  <c r="H59" i="87"/>
  <c r="K58" i="87"/>
  <c r="J58" i="87"/>
  <c r="H58" i="87"/>
  <c r="K57" i="87"/>
  <c r="J57" i="87"/>
  <c r="H57" i="87"/>
  <c r="K56" i="87"/>
  <c r="J56" i="87"/>
  <c r="H56" i="87"/>
  <c r="K55" i="87"/>
  <c r="J55" i="87"/>
  <c r="H55" i="87"/>
  <c r="K54" i="87"/>
  <c r="J54" i="87"/>
  <c r="H54" i="87"/>
  <c r="K53" i="87"/>
  <c r="J53" i="87"/>
  <c r="H53" i="87"/>
  <c r="K52" i="87"/>
  <c r="J52" i="87"/>
  <c r="H52" i="87"/>
  <c r="K51" i="87"/>
  <c r="J51" i="87"/>
  <c r="H51" i="87"/>
  <c r="K50" i="87"/>
  <c r="J50" i="87"/>
  <c r="H50" i="87"/>
  <c r="K49" i="87"/>
  <c r="J49" i="87"/>
  <c r="H49" i="87"/>
  <c r="K48" i="87"/>
  <c r="J48" i="87"/>
  <c r="H48" i="87"/>
  <c r="K47" i="87"/>
  <c r="J47" i="87"/>
  <c r="H47" i="87"/>
  <c r="K46" i="87"/>
  <c r="J46" i="87"/>
  <c r="H46" i="87"/>
  <c r="K45" i="87"/>
  <c r="J45" i="87"/>
  <c r="H45" i="87"/>
  <c r="K44" i="87"/>
  <c r="J44" i="87"/>
  <c r="H44" i="87"/>
  <c r="K43" i="87"/>
  <c r="J43" i="87"/>
  <c r="H43" i="87"/>
  <c r="H42" i="87"/>
  <c r="K41" i="87"/>
  <c r="J41" i="87"/>
  <c r="H41" i="87"/>
  <c r="K40" i="87"/>
  <c r="J40" i="87"/>
  <c r="H40" i="87"/>
  <c r="K39" i="87"/>
  <c r="J39" i="87"/>
  <c r="H39" i="87"/>
  <c r="K37" i="87"/>
  <c r="K36" i="87"/>
  <c r="J36" i="87"/>
  <c r="H36" i="87"/>
  <c r="K35" i="87"/>
  <c r="J35" i="87"/>
  <c r="H35" i="87"/>
  <c r="H34" i="87"/>
  <c r="K33" i="87"/>
  <c r="J33" i="87"/>
  <c r="H33" i="87"/>
  <c r="K32" i="87"/>
  <c r="J32" i="87"/>
  <c r="H32" i="87"/>
  <c r="H30" i="87"/>
  <c r="K29" i="87"/>
  <c r="J29" i="87"/>
  <c r="H29" i="87"/>
  <c r="K28" i="87"/>
  <c r="J28" i="87"/>
  <c r="H28" i="87"/>
  <c r="K27" i="87"/>
  <c r="J27" i="87"/>
  <c r="H27" i="87"/>
  <c r="K26" i="87"/>
  <c r="J26" i="87"/>
  <c r="H26" i="87"/>
  <c r="K25" i="87"/>
  <c r="J25" i="87"/>
  <c r="H25" i="87"/>
  <c r="K24" i="87"/>
  <c r="J24" i="87"/>
  <c r="H24" i="87"/>
  <c r="K23" i="87"/>
  <c r="J23" i="87"/>
  <c r="H23" i="87"/>
  <c r="K22" i="87"/>
  <c r="J22" i="87"/>
  <c r="H22" i="87"/>
  <c r="K21" i="87"/>
  <c r="J21" i="87"/>
  <c r="H21" i="87"/>
  <c r="K20" i="87"/>
  <c r="J20" i="87"/>
  <c r="H20" i="87"/>
  <c r="K19" i="87"/>
  <c r="J19" i="87"/>
  <c r="H19" i="87"/>
  <c r="K18" i="87"/>
  <c r="J18" i="87"/>
  <c r="H18" i="87"/>
  <c r="K17" i="87"/>
  <c r="J17" i="87"/>
  <c r="H17" i="87"/>
  <c r="K16" i="87"/>
  <c r="J16" i="87"/>
  <c r="H16" i="87"/>
  <c r="K15" i="87"/>
  <c r="J15" i="87"/>
  <c r="H15" i="87"/>
  <c r="K14" i="87"/>
  <c r="J14" i="87"/>
  <c r="H14" i="87"/>
  <c r="K13" i="87"/>
  <c r="J13" i="87"/>
  <c r="H13" i="87"/>
  <c r="K12" i="87"/>
  <c r="J12" i="87"/>
  <c r="H12" i="87"/>
  <c r="K11" i="87"/>
  <c r="J11" i="87"/>
  <c r="H11" i="87"/>
  <c r="K10" i="87"/>
  <c r="J10" i="87"/>
  <c r="H10" i="87"/>
  <c r="K9" i="87"/>
  <c r="J9" i="87"/>
  <c r="H9" i="87"/>
  <c r="K8" i="87"/>
  <c r="J8" i="87"/>
  <c r="H8" i="87"/>
  <c r="K7" i="87"/>
  <c r="J7" i="87"/>
  <c r="H7" i="87"/>
  <c r="K6" i="87"/>
  <c r="J6" i="87"/>
  <c r="H6" i="87"/>
  <c r="D3" i="87"/>
  <c r="K30" i="87" l="1"/>
  <c r="F359" i="87"/>
  <c r="H304" i="87"/>
  <c r="K347" i="87"/>
  <c r="K352" i="87"/>
  <c r="K345" i="87"/>
  <c r="K360" i="87"/>
  <c r="K351" i="87"/>
  <c r="K363" i="87"/>
  <c r="H318" i="87"/>
  <c r="H122" i="87"/>
  <c r="C122" i="87" s="1"/>
  <c r="I38" i="16"/>
  <c r="J128" i="87"/>
  <c r="D307" i="16"/>
  <c r="F362" i="87"/>
  <c r="K128" i="87"/>
  <c r="C38" i="17"/>
  <c r="K290" i="87"/>
  <c r="H347" i="87"/>
  <c r="I387" i="96"/>
  <c r="H262" i="87"/>
  <c r="K336" i="87"/>
  <c r="H358" i="87"/>
  <c r="C358" i="87" s="1"/>
  <c r="H363" i="87"/>
  <c r="H361" i="87"/>
  <c r="H362" i="87"/>
  <c r="E362" i="87" s="1"/>
  <c r="K119" i="87"/>
  <c r="J30" i="87"/>
  <c r="H37" i="87"/>
  <c r="I37" i="87" s="1"/>
  <c r="H127" i="87"/>
  <c r="H125" i="87"/>
  <c r="F325" i="87"/>
  <c r="H344" i="87"/>
  <c r="H230" i="87"/>
  <c r="H305" i="87"/>
  <c r="F310" i="87"/>
  <c r="K319" i="87"/>
  <c r="H341" i="87"/>
  <c r="K343" i="87"/>
  <c r="K297" i="87"/>
  <c r="K309" i="87"/>
  <c r="K333" i="87"/>
  <c r="J126" i="87"/>
  <c r="K350" i="87"/>
  <c r="J355" i="87"/>
  <c r="K355" i="87"/>
  <c r="H268" i="87"/>
  <c r="H280" i="87"/>
  <c r="H316" i="87"/>
  <c r="K318" i="87"/>
  <c r="F333" i="87"/>
  <c r="K342" i="87"/>
  <c r="K31" i="87"/>
  <c r="J200" i="87"/>
  <c r="J224" i="87"/>
  <c r="D120" i="14"/>
  <c r="E30" i="14"/>
  <c r="D30" i="14"/>
  <c r="E31" i="14"/>
  <c r="CA387" i="14"/>
  <c r="K123" i="87"/>
  <c r="L31" i="15"/>
  <c r="L38" i="17"/>
  <c r="I123" i="17"/>
  <c r="I126" i="17"/>
  <c r="D123" i="17"/>
  <c r="D126" i="17"/>
  <c r="H335" i="17"/>
  <c r="C316" i="17"/>
  <c r="E127" i="17"/>
  <c r="C203" i="17"/>
  <c r="I128" i="17"/>
  <c r="D210" i="17"/>
  <c r="Q335" i="17"/>
  <c r="J125" i="87"/>
  <c r="E360" i="16"/>
  <c r="K361" i="87"/>
  <c r="K179" i="87"/>
  <c r="H348" i="87"/>
  <c r="D38" i="16"/>
  <c r="J123" i="87"/>
  <c r="J127" i="87"/>
  <c r="CD387" i="14"/>
  <c r="BM387" i="14"/>
  <c r="E387" i="13"/>
  <c r="C387" i="13"/>
  <c r="I387" i="12"/>
  <c r="L387" i="12"/>
  <c r="AK387" i="15"/>
  <c r="AN387" i="15"/>
  <c r="J203" i="87"/>
  <c r="J267" i="87"/>
  <c r="I220" i="17"/>
  <c r="K286" i="87"/>
  <c r="C222" i="17"/>
  <c r="C234" i="17"/>
  <c r="L149" i="17"/>
  <c r="D185" i="17"/>
  <c r="C263" i="17"/>
  <c r="L328" i="17"/>
  <c r="L257" i="17"/>
  <c r="F353" i="87"/>
  <c r="E186" i="17"/>
  <c r="I254" i="17"/>
  <c r="E169" i="17"/>
  <c r="AY387" i="17"/>
  <c r="I251" i="17"/>
  <c r="BB387" i="17"/>
  <c r="H174" i="87"/>
  <c r="AN387" i="17"/>
  <c r="D253" i="17"/>
  <c r="E160" i="17"/>
  <c r="C199" i="17"/>
  <c r="K346" i="87"/>
  <c r="L232" i="17"/>
  <c r="I266" i="17"/>
  <c r="C149" i="17"/>
  <c r="C212" i="17"/>
  <c r="E348" i="17"/>
  <c r="D363" i="17"/>
  <c r="I248" i="17"/>
  <c r="E365" i="17"/>
  <c r="L258" i="17"/>
  <c r="E270" i="17"/>
  <c r="E172" i="17"/>
  <c r="E228" i="17"/>
  <c r="G354" i="17"/>
  <c r="F48" i="87"/>
  <c r="F56" i="87"/>
  <c r="F60" i="87"/>
  <c r="F68" i="87"/>
  <c r="C160" i="17"/>
  <c r="C184" i="17"/>
  <c r="I164" i="17"/>
  <c r="J212" i="87"/>
  <c r="I183" i="17"/>
  <c r="CA387" i="16"/>
  <c r="CD387" i="16"/>
  <c r="J363" i="87"/>
  <c r="AY387" i="16"/>
  <c r="C310" i="16"/>
  <c r="J356" i="87"/>
  <c r="H350" i="87"/>
  <c r="K176" i="87"/>
  <c r="F30" i="87"/>
  <c r="H337" i="87"/>
  <c r="L387" i="96"/>
  <c r="C387" i="96"/>
  <c r="D387" i="96"/>
  <c r="E387" i="96"/>
  <c r="BP387" i="14"/>
  <c r="E120" i="14"/>
  <c r="AY387" i="14"/>
  <c r="L31" i="14"/>
  <c r="C119" i="14"/>
  <c r="C127" i="14"/>
  <c r="C38" i="14"/>
  <c r="BB387" i="14"/>
  <c r="W387" i="14"/>
  <c r="E128" i="14"/>
  <c r="AK387" i="14"/>
  <c r="L125" i="14"/>
  <c r="AN387" i="14"/>
  <c r="L126" i="14"/>
  <c r="I31" i="14"/>
  <c r="Z387" i="14"/>
  <c r="E124" i="14"/>
  <c r="I121" i="14"/>
  <c r="I30" i="14"/>
  <c r="L38" i="14"/>
  <c r="D121" i="14"/>
  <c r="E122" i="14"/>
  <c r="D122" i="14"/>
  <c r="I123" i="14"/>
  <c r="L119" i="14"/>
  <c r="D124" i="14"/>
  <c r="D127" i="14"/>
  <c r="C30" i="14"/>
  <c r="I118" i="14"/>
  <c r="I125" i="14"/>
  <c r="C128" i="14"/>
  <c r="K120" i="87"/>
  <c r="L120" i="87" s="1"/>
  <c r="L118" i="14"/>
  <c r="D125" i="14"/>
  <c r="D128" i="14"/>
  <c r="E119" i="14"/>
  <c r="L122" i="14"/>
  <c r="E126" i="14"/>
  <c r="D126" i="14"/>
  <c r="I37" i="14"/>
  <c r="D119" i="14"/>
  <c r="E123" i="14"/>
  <c r="D37" i="14"/>
  <c r="I127" i="14"/>
  <c r="L30" i="14"/>
  <c r="L37" i="14"/>
  <c r="L121" i="14"/>
  <c r="D123" i="14"/>
  <c r="I128" i="14"/>
  <c r="C22" i="14"/>
  <c r="C31" i="14"/>
  <c r="I119" i="14"/>
  <c r="C122" i="14"/>
  <c r="I124" i="14"/>
  <c r="D31" i="14"/>
  <c r="L128" i="14"/>
  <c r="I22" i="14"/>
  <c r="H387" i="14"/>
  <c r="D38" i="14"/>
  <c r="D118" i="14"/>
  <c r="I122" i="14"/>
  <c r="L124" i="14"/>
  <c r="K387" i="14"/>
  <c r="L22" i="14"/>
  <c r="L120" i="14"/>
  <c r="E127" i="14"/>
  <c r="J387" i="14"/>
  <c r="C37" i="14"/>
  <c r="C335" i="13"/>
  <c r="L387" i="13"/>
  <c r="E335" i="13"/>
  <c r="I335" i="13"/>
  <c r="I387" i="13" s="1"/>
  <c r="ES387" i="15"/>
  <c r="D30" i="15"/>
  <c r="DC387" i="15"/>
  <c r="DF387" i="15"/>
  <c r="EV387" i="15"/>
  <c r="DT387" i="15"/>
  <c r="H333" i="15"/>
  <c r="H333" i="87" s="1"/>
  <c r="H322" i="15"/>
  <c r="ED387" i="15"/>
  <c r="EF387" i="15"/>
  <c r="EG387" i="15"/>
  <c r="DQ387" i="15"/>
  <c r="CR387" i="15"/>
  <c r="H330" i="87"/>
  <c r="DY332" i="15"/>
  <c r="CO387" i="15"/>
  <c r="I342" i="15"/>
  <c r="E30" i="15"/>
  <c r="CD387" i="15"/>
  <c r="J31" i="87"/>
  <c r="D361" i="15"/>
  <c r="BP387" i="15"/>
  <c r="E127" i="15"/>
  <c r="DY322" i="15"/>
  <c r="DY327" i="15"/>
  <c r="EE324" i="15"/>
  <c r="L128" i="15"/>
  <c r="BM387" i="15"/>
  <c r="D362" i="15"/>
  <c r="I31" i="15"/>
  <c r="DY326" i="15"/>
  <c r="CA387" i="15"/>
  <c r="L37" i="15"/>
  <c r="I38" i="15"/>
  <c r="I128" i="15"/>
  <c r="H324" i="15"/>
  <c r="I324" i="15" s="1"/>
  <c r="D38" i="15"/>
  <c r="D128" i="15"/>
  <c r="E38" i="15"/>
  <c r="EH327" i="15"/>
  <c r="DZ324" i="15"/>
  <c r="DY328" i="15"/>
  <c r="L126" i="15"/>
  <c r="EE326" i="15"/>
  <c r="AY387" i="15"/>
  <c r="DY323" i="15"/>
  <c r="H128" i="87"/>
  <c r="I127" i="15"/>
  <c r="BB387" i="15"/>
  <c r="K322" i="15"/>
  <c r="W387" i="15"/>
  <c r="D37" i="15"/>
  <c r="D127" i="15"/>
  <c r="EA325" i="15"/>
  <c r="L127" i="15"/>
  <c r="Z387" i="15"/>
  <c r="H31" i="87"/>
  <c r="J340" i="87"/>
  <c r="G340" i="87" s="1"/>
  <c r="K224" i="87"/>
  <c r="D31" i="15"/>
  <c r="EE322" i="15"/>
  <c r="EA326" i="15"/>
  <c r="EA322" i="15"/>
  <c r="I37" i="15"/>
  <c r="DY329" i="15"/>
  <c r="D355" i="15"/>
  <c r="C357" i="15"/>
  <c r="L358" i="15"/>
  <c r="C37" i="15"/>
  <c r="D126" i="15"/>
  <c r="K332" i="15"/>
  <c r="K331" i="87" s="1"/>
  <c r="J319" i="87"/>
  <c r="C38" i="15"/>
  <c r="J327" i="15"/>
  <c r="G327" i="15" s="1"/>
  <c r="EA327" i="15"/>
  <c r="EH330" i="15"/>
  <c r="EH323" i="15"/>
  <c r="H326" i="15"/>
  <c r="C326" i="15" s="1"/>
  <c r="EE327" i="15"/>
  <c r="E31" i="15"/>
  <c r="EE325" i="15"/>
  <c r="L38" i="15"/>
  <c r="J323" i="15"/>
  <c r="J323" i="87" s="1"/>
  <c r="DZ323" i="15"/>
  <c r="K329" i="15"/>
  <c r="K329" i="87" s="1"/>
  <c r="DZ330" i="15"/>
  <c r="EH332" i="15"/>
  <c r="I343" i="15"/>
  <c r="EA323" i="15"/>
  <c r="EH325" i="15"/>
  <c r="EE330" i="15"/>
  <c r="EE323" i="15"/>
  <c r="EH324" i="15"/>
  <c r="I354" i="15"/>
  <c r="I356" i="15"/>
  <c r="I358" i="15"/>
  <c r="C30" i="15"/>
  <c r="C126" i="15"/>
  <c r="EA328" i="15"/>
  <c r="D350" i="15"/>
  <c r="D354" i="15"/>
  <c r="DZ322" i="15"/>
  <c r="EA333" i="15"/>
  <c r="L359" i="15"/>
  <c r="I126" i="15"/>
  <c r="H328" i="15"/>
  <c r="H328" i="87" s="1"/>
  <c r="EE331" i="15"/>
  <c r="DZ327" i="15"/>
  <c r="J328" i="15"/>
  <c r="G328" i="15" s="1"/>
  <c r="EE329" i="15"/>
  <c r="EH331" i="15"/>
  <c r="DZ325" i="15"/>
  <c r="D344" i="15"/>
  <c r="J349" i="87"/>
  <c r="EE328" i="15"/>
  <c r="D345" i="15"/>
  <c r="D346" i="15"/>
  <c r="D349" i="15"/>
  <c r="L350" i="15"/>
  <c r="G350" i="15"/>
  <c r="L351" i="15"/>
  <c r="G351" i="15"/>
  <c r="E352" i="15"/>
  <c r="G352" i="15"/>
  <c r="H354" i="87"/>
  <c r="E126" i="15"/>
  <c r="K324" i="15"/>
  <c r="D324" i="15" s="1"/>
  <c r="DY324" i="15"/>
  <c r="EH329" i="15"/>
  <c r="DZ332" i="15"/>
  <c r="E345" i="15"/>
  <c r="G345" i="15"/>
  <c r="J345" i="87"/>
  <c r="L345" i="87" s="1"/>
  <c r="J346" i="87"/>
  <c r="H351" i="87"/>
  <c r="EH322" i="15"/>
  <c r="H325" i="15"/>
  <c r="H325" i="87" s="1"/>
  <c r="EH326" i="15"/>
  <c r="DY331" i="15"/>
  <c r="EA332" i="15"/>
  <c r="EE333" i="15"/>
  <c r="E357" i="15"/>
  <c r="G357" i="15"/>
  <c r="I347" i="15"/>
  <c r="G347" i="15"/>
  <c r="I30" i="15"/>
  <c r="C128" i="15"/>
  <c r="EA324" i="15"/>
  <c r="J325" i="15"/>
  <c r="G325" i="15" s="1"/>
  <c r="EH328" i="15"/>
  <c r="DZ331" i="15"/>
  <c r="D342" i="15"/>
  <c r="D358" i="15"/>
  <c r="I359" i="15"/>
  <c r="G359" i="15"/>
  <c r="DY325" i="15"/>
  <c r="DY330" i="15"/>
  <c r="EA331" i="15"/>
  <c r="J332" i="15"/>
  <c r="G332" i="15" s="1"/>
  <c r="EE332" i="15"/>
  <c r="E362" i="15"/>
  <c r="G362" i="15"/>
  <c r="L363" i="15"/>
  <c r="G363" i="15"/>
  <c r="E364" i="15"/>
  <c r="G364" i="15"/>
  <c r="E128" i="15"/>
  <c r="J347" i="87"/>
  <c r="D347" i="87" s="1"/>
  <c r="L30" i="15"/>
  <c r="E37" i="15"/>
  <c r="J322" i="15"/>
  <c r="J326" i="15"/>
  <c r="G326" i="15" s="1"/>
  <c r="EA330" i="15"/>
  <c r="J331" i="15"/>
  <c r="I331" i="15" s="1"/>
  <c r="C31" i="15"/>
  <c r="C127" i="15"/>
  <c r="DZ329" i="15"/>
  <c r="DZ326" i="15"/>
  <c r="EA329" i="15"/>
  <c r="DZ328" i="15"/>
  <c r="K323" i="15"/>
  <c r="C323" i="15" s="1"/>
  <c r="K327" i="15"/>
  <c r="K327" i="87" s="1"/>
  <c r="I346" i="15"/>
  <c r="I387" i="1"/>
  <c r="L387" i="1"/>
  <c r="K239" i="87"/>
  <c r="E224" i="17"/>
  <c r="I334" i="17"/>
  <c r="D364" i="17"/>
  <c r="I165" i="17"/>
  <c r="C224" i="17"/>
  <c r="D251" i="17"/>
  <c r="D254" i="17"/>
  <c r="L136" i="17"/>
  <c r="I155" i="17"/>
  <c r="L231" i="17"/>
  <c r="C236" i="17"/>
  <c r="I299" i="17"/>
  <c r="J259" i="87"/>
  <c r="F341" i="87"/>
  <c r="H123" i="87"/>
  <c r="F346" i="87"/>
  <c r="D179" i="17"/>
  <c r="I272" i="17"/>
  <c r="C162" i="17"/>
  <c r="K305" i="87"/>
  <c r="L279" i="17"/>
  <c r="C296" i="17"/>
  <c r="D362" i="17"/>
  <c r="E171" i="17"/>
  <c r="I293" i="17"/>
  <c r="L342" i="17"/>
  <c r="K200" i="87"/>
  <c r="J344" i="87"/>
  <c r="H126" i="87"/>
  <c r="AK387" i="17"/>
  <c r="D137" i="17"/>
  <c r="E195" i="17"/>
  <c r="D293" i="17"/>
  <c r="D127" i="17"/>
  <c r="L212" i="17"/>
  <c r="D217" i="17"/>
  <c r="Z387" i="17"/>
  <c r="I135" i="17"/>
  <c r="C257" i="17"/>
  <c r="C269" i="17"/>
  <c r="C274" i="17"/>
  <c r="D359" i="17"/>
  <c r="C157" i="17"/>
  <c r="C187" i="17"/>
  <c r="E123" i="17"/>
  <c r="D125" i="17"/>
  <c r="L128" i="17"/>
  <c r="I184" i="17"/>
  <c r="E283" i="17"/>
  <c r="D303" i="17"/>
  <c r="C320" i="17"/>
  <c r="I325" i="17"/>
  <c r="I345" i="17"/>
  <c r="L268" i="17"/>
  <c r="C317" i="17"/>
  <c r="L320" i="17"/>
  <c r="L350" i="17"/>
  <c r="G365" i="17"/>
  <c r="I134" i="17"/>
  <c r="D149" i="17"/>
  <c r="D196" i="17"/>
  <c r="C287" i="17"/>
  <c r="L307" i="17"/>
  <c r="I324" i="17"/>
  <c r="D360" i="17"/>
  <c r="D183" i="17"/>
  <c r="W335" i="17"/>
  <c r="W387" i="17" s="1"/>
  <c r="V387" i="17"/>
  <c r="C385" i="17" s="1"/>
  <c r="L124" i="17"/>
  <c r="I127" i="17"/>
  <c r="D160" i="17"/>
  <c r="I217" i="17"/>
  <c r="L267" i="17"/>
  <c r="L272" i="17"/>
  <c r="D289" i="17"/>
  <c r="I175" i="17"/>
  <c r="I206" i="17"/>
  <c r="D211" i="17"/>
  <c r="C232" i="17"/>
  <c r="D278" i="17"/>
  <c r="C283" i="17"/>
  <c r="L290" i="17"/>
  <c r="I300" i="17"/>
  <c r="E313" i="17"/>
  <c r="E321" i="17"/>
  <c r="C329" i="17"/>
  <c r="E337" i="17"/>
  <c r="L359" i="17"/>
  <c r="H38" i="87"/>
  <c r="K311" i="87"/>
  <c r="H321" i="87"/>
  <c r="D135" i="17"/>
  <c r="I147" i="17"/>
  <c r="D345" i="17"/>
  <c r="J278" i="87"/>
  <c r="K340" i="87"/>
  <c r="L126" i="17"/>
  <c r="I160" i="17"/>
  <c r="D175" i="17"/>
  <c r="L241" i="17"/>
  <c r="G257" i="17"/>
  <c r="C260" i="17"/>
  <c r="I277" i="17"/>
  <c r="D280" i="17"/>
  <c r="I287" i="17"/>
  <c r="D295" i="17"/>
  <c r="D300" i="17"/>
  <c r="E305" i="17"/>
  <c r="C308" i="17"/>
  <c r="E315" i="17"/>
  <c r="I323" i="17"/>
  <c r="G328" i="17"/>
  <c r="I347" i="17"/>
  <c r="L236" i="17"/>
  <c r="L292" i="17"/>
  <c r="E302" i="17"/>
  <c r="H345" i="87"/>
  <c r="C345" i="87" s="1"/>
  <c r="C127" i="17"/>
  <c r="L152" i="17"/>
  <c r="D172" i="17"/>
  <c r="I218" i="17"/>
  <c r="D277" i="17"/>
  <c r="H353" i="87"/>
  <c r="I124" i="17"/>
  <c r="D136" i="17"/>
  <c r="C185" i="17"/>
  <c r="I200" i="17"/>
  <c r="L205" i="17"/>
  <c r="E212" i="17"/>
  <c r="I333" i="17"/>
  <c r="I365" i="17"/>
  <c r="K125" i="87"/>
  <c r="K173" i="87"/>
  <c r="E184" i="17"/>
  <c r="I330" i="17"/>
  <c r="I338" i="17"/>
  <c r="L341" i="17"/>
  <c r="G136" i="17"/>
  <c r="C174" i="17"/>
  <c r="E207" i="17"/>
  <c r="D259" i="17"/>
  <c r="I136" i="17"/>
  <c r="E151" i="17"/>
  <c r="L164" i="17"/>
  <c r="I166" i="17"/>
  <c r="E235" i="17"/>
  <c r="D248" i="17"/>
  <c r="E301" i="17"/>
  <c r="I319" i="17"/>
  <c r="D338" i="17"/>
  <c r="C351" i="17"/>
  <c r="K359" i="87"/>
  <c r="D359" i="87" s="1"/>
  <c r="E135" i="17"/>
  <c r="E183" i="17"/>
  <c r="G283" i="17"/>
  <c r="G348" i="17"/>
  <c r="E42" i="17"/>
  <c r="C123" i="17"/>
  <c r="C148" i="17"/>
  <c r="D166" i="17"/>
  <c r="E173" i="17"/>
  <c r="D184" i="17"/>
  <c r="I247" i="17"/>
  <c r="I268" i="17"/>
  <c r="I283" i="17"/>
  <c r="D351" i="17"/>
  <c r="J42" i="87"/>
  <c r="I42" i="87" s="1"/>
  <c r="D34" i="17"/>
  <c r="K387" i="17"/>
  <c r="D38" i="17"/>
  <c r="L42" i="17"/>
  <c r="L125" i="17"/>
  <c r="D173" i="17"/>
  <c r="E185" i="17"/>
  <c r="E200" i="17"/>
  <c r="E218" i="17"/>
  <c r="E223" i="17"/>
  <c r="I228" i="17"/>
  <c r="I243" i="17"/>
  <c r="I260" i="17"/>
  <c r="E263" i="17"/>
  <c r="L317" i="17"/>
  <c r="I336" i="17"/>
  <c r="J38" i="87"/>
  <c r="K312" i="87"/>
  <c r="J353" i="87"/>
  <c r="L34" i="17"/>
  <c r="AL37" i="17"/>
  <c r="D218" i="17"/>
  <c r="C223" i="17"/>
  <c r="D266" i="17"/>
  <c r="L347" i="17"/>
  <c r="C363" i="17"/>
  <c r="F24" i="87"/>
  <c r="C126" i="17"/>
  <c r="C137" i="17"/>
  <c r="E140" i="17"/>
  <c r="E148" i="17"/>
  <c r="D163" i="17"/>
  <c r="L220" i="17"/>
  <c r="D233" i="17"/>
  <c r="D243" i="17"/>
  <c r="E254" i="17"/>
  <c r="I271" i="17"/>
  <c r="I292" i="17"/>
  <c r="L295" i="17"/>
  <c r="E325" i="17"/>
  <c r="C306" i="17"/>
  <c r="C352" i="17"/>
  <c r="L123" i="17"/>
  <c r="E126" i="17"/>
  <c r="L127" i="17"/>
  <c r="E136" i="17"/>
  <c r="G151" i="17"/>
  <c r="I167" i="17"/>
  <c r="I204" i="17"/>
  <c r="D209" i="17"/>
  <c r="D212" i="17"/>
  <c r="D235" i="17"/>
  <c r="E248" i="17"/>
  <c r="I253" i="17"/>
  <c r="I259" i="17"/>
  <c r="D271" i="17"/>
  <c r="I281" i="17"/>
  <c r="E297" i="17"/>
  <c r="G313" i="17"/>
  <c r="L319" i="17"/>
  <c r="L330" i="17"/>
  <c r="I335" i="17"/>
  <c r="I346" i="17"/>
  <c r="K296" i="87"/>
  <c r="I140" i="17"/>
  <c r="L159" i="17"/>
  <c r="I162" i="17"/>
  <c r="L211" i="17"/>
  <c r="I237" i="17"/>
  <c r="I242" i="17"/>
  <c r="L245" i="17"/>
  <c r="J361" i="87"/>
  <c r="L148" i="17"/>
  <c r="I151" i="17"/>
  <c r="I340" i="17"/>
  <c r="J342" i="87"/>
  <c r="J350" i="87"/>
  <c r="X17" i="17"/>
  <c r="D42" i="17"/>
  <c r="E137" i="17"/>
  <c r="D242" i="17"/>
  <c r="G258" i="17"/>
  <c r="G315" i="17"/>
  <c r="G315" i="87" s="1"/>
  <c r="G321" i="17"/>
  <c r="E343" i="17"/>
  <c r="E34" i="17"/>
  <c r="E147" i="17"/>
  <c r="C151" i="17"/>
  <c r="D182" i="17"/>
  <c r="I188" i="17"/>
  <c r="I193" i="17"/>
  <c r="L234" i="17"/>
  <c r="E244" i="17"/>
  <c r="I255" i="17"/>
  <c r="L270" i="17"/>
  <c r="E272" i="17"/>
  <c r="C299" i="17"/>
  <c r="D302" i="17"/>
  <c r="L318" i="17"/>
  <c r="L329" i="17"/>
  <c r="D340" i="17"/>
  <c r="D343" i="17"/>
  <c r="L351" i="17"/>
  <c r="J236" i="87"/>
  <c r="K153" i="87"/>
  <c r="K285" i="87"/>
  <c r="D124" i="17"/>
  <c r="D128" i="17"/>
  <c r="E139" i="17"/>
  <c r="C147" i="17"/>
  <c r="C161" i="17"/>
  <c r="G241" i="17"/>
  <c r="G301" i="17"/>
  <c r="G342" i="17"/>
  <c r="K280" i="87"/>
  <c r="I34" i="17"/>
  <c r="I38" i="17"/>
  <c r="I42" i="17"/>
  <c r="D171" i="17"/>
  <c r="I195" i="17"/>
  <c r="D198" i="17"/>
  <c r="I213" i="17"/>
  <c r="G218" i="17"/>
  <c r="L229" i="17"/>
  <c r="D244" i="17"/>
  <c r="G263" i="17"/>
  <c r="G272" i="17"/>
  <c r="E326" i="17"/>
  <c r="C339" i="17"/>
  <c r="I342" i="17"/>
  <c r="D348" i="17"/>
  <c r="BM387" i="16"/>
  <c r="BP387" i="16"/>
  <c r="BB387" i="16"/>
  <c r="D123" i="16"/>
  <c r="C38" i="16"/>
  <c r="AK387" i="16"/>
  <c r="AN387" i="16"/>
  <c r="K126" i="87"/>
  <c r="K38" i="87"/>
  <c r="L38" i="16"/>
  <c r="L171" i="16"/>
  <c r="D128" i="16"/>
  <c r="E123" i="16"/>
  <c r="L364" i="16"/>
  <c r="L354" i="16"/>
  <c r="Z387" i="16"/>
  <c r="C341" i="16"/>
  <c r="J317" i="87"/>
  <c r="D317" i="87" s="1"/>
  <c r="W387" i="16"/>
  <c r="J250" i="87"/>
  <c r="I319" i="16"/>
  <c r="D333" i="16"/>
  <c r="C338" i="16"/>
  <c r="D334" i="16"/>
  <c r="E339" i="16"/>
  <c r="E223" i="16"/>
  <c r="J341" i="87"/>
  <c r="E337" i="16"/>
  <c r="J251" i="87"/>
  <c r="J320" i="87"/>
  <c r="J275" i="87"/>
  <c r="E277" i="16"/>
  <c r="D352" i="16"/>
  <c r="E365" i="16"/>
  <c r="C160" i="16"/>
  <c r="L289" i="16"/>
  <c r="D350" i="16"/>
  <c r="C230" i="16"/>
  <c r="C142" i="16"/>
  <c r="L144" i="16"/>
  <c r="D156" i="16"/>
  <c r="C199" i="16"/>
  <c r="E226" i="16"/>
  <c r="I257" i="16"/>
  <c r="C226" i="16"/>
  <c r="I363" i="16"/>
  <c r="L243" i="16"/>
  <c r="E167" i="16"/>
  <c r="L151" i="16"/>
  <c r="L357" i="16"/>
  <c r="D238" i="16"/>
  <c r="C290" i="16"/>
  <c r="I141" i="16"/>
  <c r="G277" i="16"/>
  <c r="C208" i="16"/>
  <c r="L253" i="16"/>
  <c r="C331" i="16"/>
  <c r="D304" i="16"/>
  <c r="D139" i="16"/>
  <c r="C211" i="16"/>
  <c r="C217" i="16"/>
  <c r="L187" i="16"/>
  <c r="L211" i="16"/>
  <c r="L217" i="16"/>
  <c r="I294" i="16"/>
  <c r="C278" i="16"/>
  <c r="J351" i="87"/>
  <c r="L159" i="16"/>
  <c r="D257" i="16"/>
  <c r="I328" i="16"/>
  <c r="D330" i="16"/>
  <c r="C190" i="16"/>
  <c r="I270" i="16"/>
  <c r="C123" i="16"/>
  <c r="D188" i="16"/>
  <c r="L249" i="16"/>
  <c r="E229" i="16"/>
  <c r="D193" i="16"/>
  <c r="D361" i="16"/>
  <c r="L126" i="16"/>
  <c r="C141" i="16"/>
  <c r="C266" i="16"/>
  <c r="D273" i="16"/>
  <c r="E294" i="16"/>
  <c r="L123" i="16"/>
  <c r="I269" i="16"/>
  <c r="H270" i="87"/>
  <c r="D221" i="16"/>
  <c r="I335" i="16"/>
  <c r="I342" i="16"/>
  <c r="C349" i="16"/>
  <c r="I151" i="16"/>
  <c r="C172" i="16"/>
  <c r="C295" i="16"/>
  <c r="I238" i="16"/>
  <c r="I259" i="16"/>
  <c r="C182" i="16"/>
  <c r="D208" i="16"/>
  <c r="L257" i="16"/>
  <c r="D363" i="16"/>
  <c r="D154" i="16"/>
  <c r="C173" i="16"/>
  <c r="I320" i="16"/>
  <c r="L336" i="16"/>
  <c r="L147" i="16"/>
  <c r="E232" i="16"/>
  <c r="D248" i="16"/>
  <c r="I318" i="16"/>
  <c r="L157" i="16"/>
  <c r="L164" i="16"/>
  <c r="C232" i="16"/>
  <c r="D294" i="16"/>
  <c r="I244" i="16"/>
  <c r="J263" i="87"/>
  <c r="H360" i="87"/>
  <c r="D184" i="16"/>
  <c r="L244" i="16"/>
  <c r="L316" i="16"/>
  <c r="D289" i="16"/>
  <c r="I344" i="16"/>
  <c r="D365" i="16"/>
  <c r="D205" i="16"/>
  <c r="E216" i="16"/>
  <c r="D260" i="16"/>
  <c r="C298" i="16"/>
  <c r="E303" i="16"/>
  <c r="D319" i="16"/>
  <c r="E344" i="16"/>
  <c r="H342" i="87"/>
  <c r="E143" i="16"/>
  <c r="D164" i="16"/>
  <c r="I178" i="16"/>
  <c r="I201" i="16"/>
  <c r="I208" i="16"/>
  <c r="C265" i="16"/>
  <c r="E296" i="16"/>
  <c r="D344" i="16"/>
  <c r="I267" i="16"/>
  <c r="C143" i="16"/>
  <c r="E256" i="16"/>
  <c r="I274" i="16"/>
  <c r="C296" i="16"/>
  <c r="C317" i="16"/>
  <c r="E349" i="16"/>
  <c r="D351" i="16"/>
  <c r="E358" i="16"/>
  <c r="I181" i="16"/>
  <c r="C256" i="16"/>
  <c r="E165" i="16"/>
  <c r="I199" i="16"/>
  <c r="C229" i="16"/>
  <c r="D306" i="16"/>
  <c r="D309" i="16"/>
  <c r="C347" i="16"/>
  <c r="K357" i="87"/>
  <c r="I172" i="16"/>
  <c r="D181" i="16"/>
  <c r="D217" i="16"/>
  <c r="L238" i="16"/>
  <c r="C247" i="16"/>
  <c r="C299" i="16"/>
  <c r="C202" i="16"/>
  <c r="E279" i="16"/>
  <c r="D313" i="16"/>
  <c r="L318" i="16"/>
  <c r="I334" i="16"/>
  <c r="D345" i="16"/>
  <c r="I359" i="16"/>
  <c r="I136" i="16"/>
  <c r="H335" i="87"/>
  <c r="L361" i="16"/>
  <c r="H319" i="87"/>
  <c r="CB7" i="16"/>
  <c r="E198" i="16"/>
  <c r="L215" i="16"/>
  <c r="E218" i="16"/>
  <c r="I221" i="16"/>
  <c r="C241" i="16"/>
  <c r="E284" i="16"/>
  <c r="I138" i="16"/>
  <c r="C166" i="16"/>
  <c r="L200" i="16"/>
  <c r="L221" i="16"/>
  <c r="L232" i="16"/>
  <c r="L271" i="16"/>
  <c r="C284" i="16"/>
  <c r="L309" i="16"/>
  <c r="C323" i="16"/>
  <c r="I337" i="16"/>
  <c r="G344" i="16"/>
  <c r="I365" i="16"/>
  <c r="D124" i="16"/>
  <c r="D159" i="16"/>
  <c r="D168" i="16"/>
  <c r="E184" i="16"/>
  <c r="E197" i="16"/>
  <c r="D258" i="16"/>
  <c r="I272" i="16"/>
  <c r="D325" i="16"/>
  <c r="I343" i="16"/>
  <c r="I34" i="16"/>
  <c r="D125" i="16"/>
  <c r="G171" i="16"/>
  <c r="I175" i="16"/>
  <c r="D177" i="16"/>
  <c r="I186" i="16"/>
  <c r="E195" i="16"/>
  <c r="C220" i="16"/>
  <c r="I233" i="16"/>
  <c r="D235" i="16"/>
  <c r="D280" i="16"/>
  <c r="D285" i="16"/>
  <c r="L286" i="16"/>
  <c r="L298" i="16"/>
  <c r="C314" i="16"/>
  <c r="C362" i="16"/>
  <c r="D34" i="16"/>
  <c r="K387" i="16"/>
  <c r="D127" i="16"/>
  <c r="L139" i="16"/>
  <c r="D141" i="16"/>
  <c r="E155" i="16"/>
  <c r="C157" i="16"/>
  <c r="I171" i="16"/>
  <c r="I229" i="16"/>
  <c r="C238" i="16"/>
  <c r="D244" i="16"/>
  <c r="E285" i="16"/>
  <c r="D343" i="16"/>
  <c r="E356" i="16"/>
  <c r="J318" i="87"/>
  <c r="E318" i="87" s="1"/>
  <c r="C184" i="16"/>
  <c r="G216" i="16"/>
  <c r="I223" i="16"/>
  <c r="G289" i="16"/>
  <c r="E310" i="16"/>
  <c r="C332" i="16"/>
  <c r="G337" i="16"/>
  <c r="K344" i="87"/>
  <c r="C344" i="87" s="1"/>
  <c r="I144" i="16"/>
  <c r="E151" i="16"/>
  <c r="D155" i="16"/>
  <c r="L162" i="16"/>
  <c r="L184" i="16"/>
  <c r="D197" i="16"/>
  <c r="L208" i="16"/>
  <c r="G221" i="16"/>
  <c r="L223" i="16"/>
  <c r="I246" i="16"/>
  <c r="G257" i="16"/>
  <c r="C268" i="16"/>
  <c r="L283" i="16"/>
  <c r="E289" i="16"/>
  <c r="L295" i="16"/>
  <c r="I306" i="16"/>
  <c r="J300" i="87"/>
  <c r="L125" i="16"/>
  <c r="L153" i="16"/>
  <c r="I167" i="16"/>
  <c r="I289" i="16"/>
  <c r="D126" i="16"/>
  <c r="C242" i="16"/>
  <c r="L352" i="16"/>
  <c r="E126" i="16"/>
  <c r="L128" i="16"/>
  <c r="C136" i="16"/>
  <c r="D142" i="16"/>
  <c r="D167" i="16"/>
  <c r="E187" i="16"/>
  <c r="I189" i="16"/>
  <c r="C221" i="16"/>
  <c r="D224" i="16"/>
  <c r="E234" i="16"/>
  <c r="C251" i="16"/>
  <c r="D253" i="16"/>
  <c r="E262" i="16"/>
  <c r="C275" i="16"/>
  <c r="D277" i="16"/>
  <c r="L285" i="16"/>
  <c r="D296" i="16"/>
  <c r="D298" i="16"/>
  <c r="D337" i="16"/>
  <c r="I346" i="16"/>
  <c r="C359" i="16"/>
  <c r="J124" i="87"/>
  <c r="I124" i="87" s="1"/>
  <c r="E156" i="16"/>
  <c r="D165" i="16"/>
  <c r="C187" i="16"/>
  <c r="D189" i="16"/>
  <c r="C196" i="16"/>
  <c r="D234" i="16"/>
  <c r="D247" i="16"/>
  <c r="C262" i="16"/>
  <c r="C271" i="16"/>
  <c r="L273" i="16"/>
  <c r="G284" i="16"/>
  <c r="E298" i="16"/>
  <c r="L331" i="16"/>
  <c r="J364" i="87"/>
  <c r="H387" i="16"/>
  <c r="C194" i="16"/>
  <c r="G217" i="16"/>
  <c r="C224" i="16"/>
  <c r="G243" i="16"/>
  <c r="G256" i="16"/>
  <c r="L269" i="16"/>
  <c r="G296" i="16"/>
  <c r="G336" i="16"/>
  <c r="D349" i="16"/>
  <c r="G364" i="16"/>
  <c r="H365" i="87"/>
  <c r="CB12" i="16"/>
  <c r="D147" i="16"/>
  <c r="E181" i="16"/>
  <c r="D185" i="16"/>
  <c r="D198" i="16"/>
  <c r="I212" i="16"/>
  <c r="L224" i="16"/>
  <c r="C245" i="16"/>
  <c r="I256" i="16"/>
  <c r="E265" i="16"/>
  <c r="I298" i="16"/>
  <c r="C302" i="16"/>
  <c r="G316" i="16"/>
  <c r="I325" i="16"/>
  <c r="E336" i="16"/>
  <c r="D355" i="16"/>
  <c r="E125" i="17"/>
  <c r="D142" i="17"/>
  <c r="D148" i="17"/>
  <c r="C202" i="17"/>
  <c r="E210" i="17"/>
  <c r="E222" i="17"/>
  <c r="I258" i="17"/>
  <c r="D265" i="17"/>
  <c r="D275" i="17"/>
  <c r="D283" i="17"/>
  <c r="D290" i="17"/>
  <c r="C310" i="17"/>
  <c r="D313" i="17"/>
  <c r="D328" i="17"/>
  <c r="E329" i="17"/>
  <c r="D365" i="17"/>
  <c r="C365" i="17"/>
  <c r="H185" i="87"/>
  <c r="H197" i="87"/>
  <c r="H221" i="87"/>
  <c r="K231" i="87"/>
  <c r="K243" i="87"/>
  <c r="H257" i="87"/>
  <c r="H293" i="87"/>
  <c r="K298" i="87"/>
  <c r="H299" i="87"/>
  <c r="K316" i="87"/>
  <c r="K320" i="87"/>
  <c r="K321" i="87"/>
  <c r="AL30" i="17"/>
  <c r="C124" i="17"/>
  <c r="C128" i="17"/>
  <c r="L134" i="17"/>
  <c r="D139" i="17"/>
  <c r="I144" i="17"/>
  <c r="L156" i="17"/>
  <c r="G172" i="17"/>
  <c r="G173" i="17"/>
  <c r="L174" i="17"/>
  <c r="C179" i="17"/>
  <c r="I182" i="17"/>
  <c r="E194" i="17"/>
  <c r="I219" i="17"/>
  <c r="E231" i="17"/>
  <c r="E267" i="17"/>
  <c r="C268" i="17"/>
  <c r="L275" i="17"/>
  <c r="I329" i="17"/>
  <c r="C340" i="17"/>
  <c r="I341" i="17"/>
  <c r="I344" i="17"/>
  <c r="H180" i="87"/>
  <c r="K202" i="87"/>
  <c r="H204" i="87"/>
  <c r="H216" i="87"/>
  <c r="J221" i="87"/>
  <c r="K226" i="87"/>
  <c r="K238" i="87"/>
  <c r="H252" i="87"/>
  <c r="J257" i="87"/>
  <c r="J282" i="87"/>
  <c r="J287" i="87"/>
  <c r="G287" i="87" s="1"/>
  <c r="J299" i="87"/>
  <c r="K310" i="87"/>
  <c r="H312" i="87"/>
  <c r="H327" i="87"/>
  <c r="K335" i="87"/>
  <c r="H336" i="87"/>
  <c r="K341" i="87"/>
  <c r="E38" i="17"/>
  <c r="I122" i="17"/>
  <c r="I150" i="17"/>
  <c r="L160" i="17"/>
  <c r="L182" i="17"/>
  <c r="I199" i="17"/>
  <c r="I207" i="17"/>
  <c r="L219" i="17"/>
  <c r="G234" i="17"/>
  <c r="I246" i="17"/>
  <c r="D255" i="17"/>
  <c r="D258" i="17"/>
  <c r="D270" i="17"/>
  <c r="H187" i="87"/>
  <c r="H199" i="87"/>
  <c r="K209" i="87"/>
  <c r="H211" i="87"/>
  <c r="K221" i="87"/>
  <c r="H223" i="87"/>
  <c r="H235" i="87"/>
  <c r="K245" i="87"/>
  <c r="H247" i="87"/>
  <c r="H259" i="87"/>
  <c r="K264" i="87"/>
  <c r="H265" i="87"/>
  <c r="H271" i="87"/>
  <c r="K287" i="87"/>
  <c r="H288" i="87"/>
  <c r="K293" i="87"/>
  <c r="H294" i="87"/>
  <c r="H300" i="87"/>
  <c r="H307" i="87"/>
  <c r="J312" i="87"/>
  <c r="H329" i="87"/>
  <c r="C42" i="17"/>
  <c r="E124" i="17"/>
  <c r="I125" i="17"/>
  <c r="E128" i="17"/>
  <c r="I138" i="17"/>
  <c r="G146" i="17"/>
  <c r="L150" i="17"/>
  <c r="E162" i="17"/>
  <c r="I163" i="17"/>
  <c r="C171" i="17"/>
  <c r="I172" i="17"/>
  <c r="I186" i="17"/>
  <c r="L207" i="17"/>
  <c r="I210" i="17"/>
  <c r="I231" i="17"/>
  <c r="E277" i="17"/>
  <c r="C292" i="17"/>
  <c r="I294" i="17"/>
  <c r="D306" i="17"/>
  <c r="E312" i="17"/>
  <c r="I315" i="17"/>
  <c r="I318" i="17"/>
  <c r="E327" i="17"/>
  <c r="H194" i="87"/>
  <c r="H206" i="87"/>
  <c r="K216" i="87"/>
  <c r="H218" i="87"/>
  <c r="K240" i="87"/>
  <c r="H242" i="87"/>
  <c r="H254" i="87"/>
  <c r="H281" i="87"/>
  <c r="L138" i="17"/>
  <c r="I146" i="17"/>
  <c r="L168" i="17"/>
  <c r="L171" i="17"/>
  <c r="L186" i="17"/>
  <c r="L196" i="17"/>
  <c r="L204" i="17"/>
  <c r="L222" i="17"/>
  <c r="E271" i="17"/>
  <c r="E279" i="17"/>
  <c r="K175" i="87"/>
  <c r="H177" i="87"/>
  <c r="K187" i="87"/>
  <c r="H201" i="87"/>
  <c r="K211" i="87"/>
  <c r="K223" i="87"/>
  <c r="K247" i="87"/>
  <c r="K259" i="87"/>
  <c r="H260" i="87"/>
  <c r="K271" i="87"/>
  <c r="H272" i="87"/>
  <c r="K288" i="87"/>
  <c r="H301" i="87"/>
  <c r="K307" i="87"/>
  <c r="G270" i="17"/>
  <c r="D315" i="17"/>
  <c r="E324" i="17"/>
  <c r="C328" i="17"/>
  <c r="I331" i="17"/>
  <c r="D337" i="17"/>
  <c r="D346" i="17"/>
  <c r="H135" i="87"/>
  <c r="H136" i="87"/>
  <c r="H139" i="87"/>
  <c r="H140" i="87"/>
  <c r="H141" i="87"/>
  <c r="H143" i="87"/>
  <c r="H144" i="87"/>
  <c r="H145" i="87"/>
  <c r="H147" i="87"/>
  <c r="H150" i="87"/>
  <c r="H152" i="87"/>
  <c r="H153" i="87"/>
  <c r="H157" i="87"/>
  <c r="H159" i="87"/>
  <c r="H160" i="87"/>
  <c r="H162" i="87"/>
  <c r="H163" i="87"/>
  <c r="H165" i="87"/>
  <c r="H166" i="87"/>
  <c r="H167" i="87"/>
  <c r="H169" i="87"/>
  <c r="H171" i="87"/>
  <c r="H172" i="87"/>
  <c r="K182" i="87"/>
  <c r="H184" i="87"/>
  <c r="K194" i="87"/>
  <c r="H196" i="87"/>
  <c r="K206" i="87"/>
  <c r="H208" i="87"/>
  <c r="K218" i="87"/>
  <c r="H220" i="87"/>
  <c r="H232" i="87"/>
  <c r="K242" i="87"/>
  <c r="H244" i="87"/>
  <c r="K254" i="87"/>
  <c r="H256" i="87"/>
  <c r="J289" i="87"/>
  <c r="J309" i="87"/>
  <c r="K337" i="87"/>
  <c r="H338" i="87"/>
  <c r="AZ47" i="17"/>
  <c r="L172" i="17"/>
  <c r="I198" i="17"/>
  <c r="L209" i="17"/>
  <c r="C227" i="17"/>
  <c r="E236" i="17"/>
  <c r="I245" i="17"/>
  <c r="D257" i="17"/>
  <c r="I270" i="17"/>
  <c r="G279" i="17"/>
  <c r="L283" i="17"/>
  <c r="I288" i="17"/>
  <c r="L306" i="17"/>
  <c r="I327" i="17"/>
  <c r="L340" i="17"/>
  <c r="E362" i="17"/>
  <c r="H191" i="87"/>
  <c r="H203" i="87"/>
  <c r="K213" i="87"/>
  <c r="K225" i="87"/>
  <c r="H227" i="87"/>
  <c r="K237" i="87"/>
  <c r="H239" i="87"/>
  <c r="H251" i="87"/>
  <c r="K260" i="87"/>
  <c r="H261" i="87"/>
  <c r="K266" i="87"/>
  <c r="H267" i="87"/>
  <c r="K272" i="87"/>
  <c r="K289" i="87"/>
  <c r="H296" i="87"/>
  <c r="K301" i="87"/>
  <c r="H302" i="87"/>
  <c r="AZ71" i="17"/>
  <c r="I137" i="17"/>
  <c r="I149" i="17"/>
  <c r="I152" i="17"/>
  <c r="L162" i="17"/>
  <c r="I190" i="17"/>
  <c r="L198" i="17"/>
  <c r="C201" i="17"/>
  <c r="I230" i="17"/>
  <c r="C244" i="17"/>
  <c r="K134" i="87"/>
  <c r="K135" i="87"/>
  <c r="K137" i="87"/>
  <c r="K139" i="87"/>
  <c r="K143" i="87"/>
  <c r="K144" i="87"/>
  <c r="K145" i="87"/>
  <c r="K146" i="87"/>
  <c r="K147" i="87"/>
  <c r="K148" i="87"/>
  <c r="K149" i="87"/>
  <c r="K150" i="87"/>
  <c r="K152" i="87"/>
  <c r="K155" i="87"/>
  <c r="K157" i="87"/>
  <c r="K158" i="87"/>
  <c r="K161" i="87"/>
  <c r="K162" i="87"/>
  <c r="K169" i="87"/>
  <c r="K170" i="87"/>
  <c r="K172" i="87"/>
  <c r="K184" i="87"/>
  <c r="H198" i="87"/>
  <c r="H210" i="87"/>
  <c r="K220" i="87"/>
  <c r="H222" i="87"/>
  <c r="H234" i="87"/>
  <c r="H246" i="87"/>
  <c r="K256" i="87"/>
  <c r="H258" i="87"/>
  <c r="H277" i="87"/>
  <c r="H306" i="87"/>
  <c r="H339" i="87"/>
  <c r="C34" i="17"/>
  <c r="AZ95" i="17"/>
  <c r="G236" i="17"/>
  <c r="L248" i="17"/>
  <c r="E266" i="17"/>
  <c r="I269" i="17"/>
  <c r="D288" i="17"/>
  <c r="D327" i="17"/>
  <c r="I362" i="17"/>
  <c r="H181" i="87"/>
  <c r="H193" i="87"/>
  <c r="H205" i="87"/>
  <c r="H217" i="87"/>
  <c r="H229" i="87"/>
  <c r="H253" i="87"/>
  <c r="H274" i="87"/>
  <c r="K302" i="87"/>
  <c r="H313" i="87"/>
  <c r="C122" i="17"/>
  <c r="L137" i="17"/>
  <c r="E157" i="17"/>
  <c r="D159" i="17"/>
  <c r="E161" i="17"/>
  <c r="C172" i="17"/>
  <c r="E174" i="17"/>
  <c r="D215" i="17"/>
  <c r="D223" i="17"/>
  <c r="L263" i="17"/>
  <c r="D279" i="17"/>
  <c r="G290" i="17"/>
  <c r="L293" i="17"/>
  <c r="I302" i="17"/>
  <c r="E320" i="17"/>
  <c r="E338" i="17"/>
  <c r="H188" i="87"/>
  <c r="H200" i="87"/>
  <c r="H212" i="87"/>
  <c r="H224" i="87"/>
  <c r="K234" i="87"/>
  <c r="H236" i="87"/>
  <c r="H248" i="87"/>
  <c r="H279" i="87"/>
  <c r="H283" i="87"/>
  <c r="K306" i="87"/>
  <c r="H308" i="87"/>
  <c r="H334" i="87"/>
  <c r="C125" i="17"/>
  <c r="C136" i="17"/>
  <c r="I148" i="17"/>
  <c r="I154" i="17"/>
  <c r="G169" i="17"/>
  <c r="C173" i="17"/>
  <c r="E182" i="17"/>
  <c r="G205" i="17"/>
  <c r="C208" i="17"/>
  <c r="G232" i="17"/>
  <c r="I265" i="17"/>
  <c r="I275" i="17"/>
  <c r="D299" i="17"/>
  <c r="E323" i="17"/>
  <c r="I359" i="17"/>
  <c r="K181" i="87"/>
  <c r="K193" i="87"/>
  <c r="H195" i="87"/>
  <c r="K205" i="87"/>
  <c r="H207" i="87"/>
  <c r="K229" i="87"/>
  <c r="K253" i="87"/>
  <c r="H255" i="87"/>
  <c r="K268" i="87"/>
  <c r="H275" i="87"/>
  <c r="H286" i="87"/>
  <c r="K291" i="87"/>
  <c r="H292" i="87"/>
  <c r="H298" i="87"/>
  <c r="K313" i="87"/>
  <c r="H315" i="87"/>
  <c r="I315" i="87" s="1"/>
  <c r="I139" i="17"/>
  <c r="I159" i="17"/>
  <c r="C169" i="17"/>
  <c r="L183" i="17"/>
  <c r="L184" i="17"/>
  <c r="L208" i="17"/>
  <c r="C210" i="17"/>
  <c r="I211" i="17"/>
  <c r="D220" i="17"/>
  <c r="D224" i="17"/>
  <c r="E229" i="17"/>
  <c r="I232" i="17"/>
  <c r="D236" i="17"/>
  <c r="E243" i="17"/>
  <c r="L247" i="17"/>
  <c r="C262" i="17"/>
  <c r="D307" i="17"/>
  <c r="D323" i="17"/>
  <c r="G325" i="17"/>
  <c r="G329" i="17"/>
  <c r="K188" i="87"/>
  <c r="H190" i="87"/>
  <c r="K212" i="87"/>
  <c r="H238" i="87"/>
  <c r="H250" i="87"/>
  <c r="K283" i="87"/>
  <c r="H310" i="87"/>
  <c r="F178" i="87"/>
  <c r="F228" i="87"/>
  <c r="F287" i="87"/>
  <c r="F290" i="87"/>
  <c r="F135" i="87"/>
  <c r="F313" i="87"/>
  <c r="F12" i="87"/>
  <c r="E38" i="14"/>
  <c r="L127" i="14"/>
  <c r="I120" i="14"/>
  <c r="C125" i="14"/>
  <c r="I126" i="14"/>
  <c r="I38" i="14"/>
  <c r="F347" i="87"/>
  <c r="E125" i="14"/>
  <c r="F44" i="87"/>
  <c r="E37" i="14"/>
  <c r="L123" i="14"/>
  <c r="C118" i="14"/>
  <c r="C121" i="14"/>
  <c r="C124" i="14"/>
  <c r="E118" i="14"/>
  <c r="E121" i="14"/>
  <c r="F350" i="87"/>
  <c r="C120" i="14"/>
  <c r="C123" i="14"/>
  <c r="C126" i="14"/>
  <c r="J285" i="87"/>
  <c r="J193" i="87"/>
  <c r="J274" i="87"/>
  <c r="J253" i="87"/>
  <c r="J297" i="87"/>
  <c r="D297" i="87" s="1"/>
  <c r="J262" i="87"/>
  <c r="J295" i="87"/>
  <c r="J230" i="87"/>
  <c r="J324" i="87"/>
  <c r="J314" i="87"/>
  <c r="J242" i="87"/>
  <c r="J301" i="87"/>
  <c r="I284" i="15"/>
  <c r="J146" i="87"/>
  <c r="J151" i="87"/>
  <c r="J191" i="87"/>
  <c r="J154" i="87"/>
  <c r="I154" i="87" s="1"/>
  <c r="J246" i="87"/>
  <c r="J166" i="87"/>
  <c r="J217" i="87"/>
  <c r="J229" i="87"/>
  <c r="J241" i="87"/>
  <c r="J313" i="87"/>
  <c r="J244" i="87"/>
  <c r="J188" i="87"/>
  <c r="J169" i="87"/>
  <c r="J183" i="87"/>
  <c r="J231" i="87"/>
  <c r="J243" i="87"/>
  <c r="J321" i="87"/>
  <c r="J304" i="87"/>
  <c r="I304" i="87" s="1"/>
  <c r="J139" i="87"/>
  <c r="J145" i="87"/>
  <c r="J149" i="87"/>
  <c r="J178" i="87"/>
  <c r="J226" i="87"/>
  <c r="J173" i="87"/>
  <c r="J264" i="87"/>
  <c r="J305" i="87"/>
  <c r="J137" i="87"/>
  <c r="J150" i="87"/>
  <c r="J228" i="87"/>
  <c r="J240" i="87"/>
  <c r="G240" i="87" s="1"/>
  <c r="J223" i="87"/>
  <c r="J235" i="87"/>
  <c r="J247" i="87"/>
  <c r="J288" i="87"/>
  <c r="J307" i="87"/>
  <c r="J155" i="87"/>
  <c r="J162" i="87"/>
  <c r="J170" i="87"/>
  <c r="J182" i="87"/>
  <c r="J194" i="87"/>
  <c r="J281" i="87"/>
  <c r="J142" i="87"/>
  <c r="J177" i="87"/>
  <c r="J237" i="87"/>
  <c r="J260" i="87"/>
  <c r="F240" i="87"/>
  <c r="F299" i="87"/>
  <c r="F348" i="87"/>
  <c r="K217" i="87"/>
  <c r="K277" i="87"/>
  <c r="K204" i="87"/>
  <c r="L179" i="14"/>
  <c r="L192" i="14"/>
  <c r="K235" i="87"/>
  <c r="D290" i="14"/>
  <c r="D302" i="14"/>
  <c r="K159" i="87"/>
  <c r="K167" i="87"/>
  <c r="L271" i="14"/>
  <c r="D276" i="14"/>
  <c r="K251" i="87"/>
  <c r="F298" i="87"/>
  <c r="L341" i="15"/>
  <c r="F238" i="87"/>
  <c r="F275" i="87"/>
  <c r="F199" i="87"/>
  <c r="F187" i="87"/>
  <c r="F211" i="87"/>
  <c r="F136" i="87"/>
  <c r="F232" i="87"/>
  <c r="F205" i="87"/>
  <c r="F247" i="87"/>
  <c r="F235" i="87"/>
  <c r="F223" i="87"/>
  <c r="K274" i="87"/>
  <c r="L335" i="15"/>
  <c r="D339" i="15"/>
  <c r="C340" i="15"/>
  <c r="F358" i="87"/>
  <c r="J294" i="87"/>
  <c r="F156" i="87"/>
  <c r="F322" i="87"/>
  <c r="F190" i="87"/>
  <c r="F252" i="87"/>
  <c r="F72" i="87"/>
  <c r="F80" i="87"/>
  <c r="F84" i="87"/>
  <c r="F92" i="87"/>
  <c r="F182" i="87"/>
  <c r="F144" i="87"/>
  <c r="F179" i="87"/>
  <c r="F222" i="87"/>
  <c r="F280" i="87"/>
  <c r="F120" i="87"/>
  <c r="F216" i="87"/>
  <c r="F246" i="87"/>
  <c r="F323" i="87"/>
  <c r="F351" i="87"/>
  <c r="I353" i="15"/>
  <c r="L310" i="15"/>
  <c r="F334" i="87"/>
  <c r="F264" i="87"/>
  <c r="F268" i="87"/>
  <c r="F281" i="87"/>
  <c r="F26" i="87"/>
  <c r="F32" i="87"/>
  <c r="F140" i="87"/>
  <c r="F124" i="87"/>
  <c r="F193" i="87"/>
  <c r="F213" i="87"/>
  <c r="F291" i="87"/>
  <c r="F292" i="87"/>
  <c r="F296" i="87"/>
  <c r="F316" i="87"/>
  <c r="F356" i="87"/>
  <c r="F28" i="87"/>
  <c r="F265" i="87"/>
  <c r="F318" i="87"/>
  <c r="F212" i="87"/>
  <c r="F305" i="87"/>
  <c r="F330" i="87"/>
  <c r="F197" i="87"/>
  <c r="F215" i="87"/>
  <c r="F239" i="87"/>
  <c r="F319" i="87"/>
  <c r="F157" i="87"/>
  <c r="F134" i="87"/>
  <c r="F277" i="87"/>
  <c r="F250" i="87"/>
  <c r="F271" i="87"/>
  <c r="F343" i="87"/>
  <c r="F191" i="87"/>
  <c r="F229" i="87"/>
  <c r="K241" i="87"/>
  <c r="K244" i="87"/>
  <c r="K295" i="87"/>
  <c r="L268" i="14"/>
  <c r="L240" i="14"/>
  <c r="I284" i="14"/>
  <c r="E289" i="14"/>
  <c r="E301" i="14"/>
  <c r="K364" i="87"/>
  <c r="K183" i="87"/>
  <c r="L208" i="14"/>
  <c r="D301" i="14"/>
  <c r="J290" i="87"/>
  <c r="L290" i="87" s="1"/>
  <c r="J302" i="87"/>
  <c r="K154" i="87"/>
  <c r="C154" i="87" s="1"/>
  <c r="K269" i="87"/>
  <c r="K255" i="87"/>
  <c r="D240" i="14"/>
  <c r="L242" i="14"/>
  <c r="L156" i="14"/>
  <c r="L177" i="14"/>
  <c r="L204" i="14"/>
  <c r="C206" i="14"/>
  <c r="L257" i="14"/>
  <c r="L169" i="14"/>
  <c r="L201" i="14"/>
  <c r="L153" i="14"/>
  <c r="L228" i="14"/>
  <c r="L245" i="14"/>
  <c r="C253" i="14"/>
  <c r="L276" i="14"/>
  <c r="L289" i="14"/>
  <c r="I303" i="14"/>
  <c r="I364" i="14"/>
  <c r="D155" i="14"/>
  <c r="I298" i="14"/>
  <c r="C181" i="14"/>
  <c r="L258" i="14"/>
  <c r="I293" i="14"/>
  <c r="L298" i="14"/>
  <c r="E305" i="14"/>
  <c r="D288" i="14"/>
  <c r="L181" i="14"/>
  <c r="L172" i="14"/>
  <c r="D277" i="14"/>
  <c r="L281" i="14"/>
  <c r="L292" i="14"/>
  <c r="C182" i="14"/>
  <c r="C193" i="14"/>
  <c r="L205" i="14"/>
  <c r="L222" i="14"/>
  <c r="L269" i="14"/>
  <c r="L283" i="14"/>
  <c r="I294" i="14"/>
  <c r="C199" i="14"/>
  <c r="C216" i="14"/>
  <c r="C215" i="14"/>
  <c r="L216" i="14"/>
  <c r="C256" i="14"/>
  <c r="C265" i="14"/>
  <c r="L288" i="14"/>
  <c r="I291" i="14"/>
  <c r="D305" i="14"/>
  <c r="L157" i="14"/>
  <c r="L193" i="14"/>
  <c r="L256" i="14"/>
  <c r="I296" i="14"/>
  <c r="D252" i="14"/>
  <c r="L305" i="14"/>
  <c r="C164" i="14"/>
  <c r="L182" i="14"/>
  <c r="L196" i="14"/>
  <c r="D206" i="14"/>
  <c r="L221" i="14"/>
  <c r="C228" i="14"/>
  <c r="L232" i="14"/>
  <c r="L244" i="14"/>
  <c r="E364" i="14"/>
  <c r="D167" i="14"/>
  <c r="D289" i="14"/>
  <c r="L301" i="14"/>
  <c r="L189" i="14"/>
  <c r="C194" i="14"/>
  <c r="D194" i="14"/>
  <c r="C205" i="14"/>
  <c r="L246" i="14"/>
  <c r="I286" i="14"/>
  <c r="L300" i="14"/>
  <c r="F272" i="87"/>
  <c r="F214" i="87"/>
  <c r="F329" i="87"/>
  <c r="F364" i="87"/>
  <c r="F203" i="87"/>
  <c r="F314" i="87"/>
  <c r="F312" i="87"/>
  <c r="F249" i="87"/>
  <c r="F284" i="87"/>
  <c r="F355" i="87"/>
  <c r="F181" i="87"/>
  <c r="F258" i="87"/>
  <c r="F167" i="87"/>
  <c r="J334" i="87"/>
  <c r="L330" i="15"/>
  <c r="D334" i="15"/>
  <c r="J141" i="87"/>
  <c r="J175" i="87"/>
  <c r="D299" i="15"/>
  <c r="E339" i="15"/>
  <c r="J232" i="87"/>
  <c r="J196" i="87"/>
  <c r="J148" i="87"/>
  <c r="J181" i="87"/>
  <c r="I214" i="15"/>
  <c r="K178" i="87"/>
  <c r="J338" i="87"/>
  <c r="J161" i="87"/>
  <c r="F335" i="87"/>
  <c r="H291" i="87"/>
  <c r="I338" i="15"/>
  <c r="F23" i="87"/>
  <c r="K339" i="87"/>
  <c r="I336" i="15"/>
  <c r="F308" i="87"/>
  <c r="C327" i="15"/>
  <c r="J165" i="87"/>
  <c r="E321" i="15"/>
  <c r="L178" i="15"/>
  <c r="D302" i="15"/>
  <c r="J153" i="87"/>
  <c r="F331" i="87"/>
  <c r="F342" i="87"/>
  <c r="F340" i="87"/>
  <c r="C166" i="15"/>
  <c r="J326" i="87"/>
  <c r="F47" i="87"/>
  <c r="F59" i="87"/>
  <c r="F71" i="87"/>
  <c r="F83" i="87"/>
  <c r="F95" i="87"/>
  <c r="F107" i="87"/>
  <c r="F119" i="87"/>
  <c r="D276" i="15"/>
  <c r="D279" i="15"/>
  <c r="I269" i="15"/>
  <c r="C262" i="15"/>
  <c r="C270" i="15"/>
  <c r="F288" i="87"/>
  <c r="F45" i="87"/>
  <c r="F57" i="87"/>
  <c r="F69" i="87"/>
  <c r="F81" i="87"/>
  <c r="F93" i="87"/>
  <c r="F105" i="87"/>
  <c r="F117" i="87"/>
  <c r="F153" i="87"/>
  <c r="J210" i="87"/>
  <c r="F34" i="87"/>
  <c r="F40" i="87"/>
  <c r="F52" i="87"/>
  <c r="F64" i="87"/>
  <c r="F76" i="87"/>
  <c r="F88" i="87"/>
  <c r="K276" i="87"/>
  <c r="L185" i="15"/>
  <c r="J216" i="87"/>
  <c r="J174" i="87"/>
  <c r="J204" i="87"/>
  <c r="J234" i="87"/>
  <c r="F269" i="87"/>
  <c r="K279" i="87"/>
  <c r="F133" i="87"/>
  <c r="I210" i="15"/>
  <c r="F127" i="87"/>
  <c r="F161" i="87"/>
  <c r="F241" i="87"/>
  <c r="I289" i="15"/>
  <c r="H148" i="87"/>
  <c r="L297" i="15"/>
  <c r="I301" i="15"/>
  <c r="E160" i="15"/>
  <c r="E172" i="15"/>
  <c r="D301" i="15"/>
  <c r="E290" i="15"/>
  <c r="F35" i="87"/>
  <c r="F41" i="87"/>
  <c r="F53" i="87"/>
  <c r="F65" i="87"/>
  <c r="F77" i="87"/>
  <c r="F89" i="87"/>
  <c r="F101" i="87"/>
  <c r="F113" i="87"/>
  <c r="F149" i="87"/>
  <c r="F267" i="87"/>
  <c r="I192" i="15"/>
  <c r="F29" i="87"/>
  <c r="F137" i="87"/>
  <c r="E200" i="15"/>
  <c r="I203" i="15"/>
  <c r="J265" i="87"/>
  <c r="F169" i="87"/>
  <c r="K252" i="87"/>
  <c r="F283" i="87"/>
  <c r="L158" i="15"/>
  <c r="C169" i="15"/>
  <c r="C200" i="15"/>
  <c r="L236" i="15"/>
  <c r="D278" i="15"/>
  <c r="D315" i="15"/>
  <c r="E316" i="15"/>
  <c r="H158" i="87"/>
  <c r="J185" i="87"/>
  <c r="J284" i="87"/>
  <c r="J292" i="87"/>
  <c r="F39" i="87"/>
  <c r="F49" i="87"/>
  <c r="F61" i="87"/>
  <c r="F63" i="87"/>
  <c r="F73" i="87"/>
  <c r="F75" i="87"/>
  <c r="F85" i="87"/>
  <c r="F87" i="87"/>
  <c r="F97" i="87"/>
  <c r="F99" i="87"/>
  <c r="F109" i="87"/>
  <c r="F111" i="87"/>
  <c r="F123" i="87"/>
  <c r="F230" i="87"/>
  <c r="F141" i="87"/>
  <c r="F146" i="87"/>
  <c r="L196" i="15"/>
  <c r="H156" i="87"/>
  <c r="H273" i="87"/>
  <c r="F242" i="87"/>
  <c r="I189" i="15"/>
  <c r="J144" i="87"/>
  <c r="J269" i="87"/>
  <c r="H170" i="87"/>
  <c r="F336" i="87"/>
  <c r="F27" i="87"/>
  <c r="F218" i="87"/>
  <c r="F266" i="87"/>
  <c r="F270" i="87"/>
  <c r="J176" i="87"/>
  <c r="H134" i="87"/>
  <c r="F278" i="87"/>
  <c r="F33" i="87"/>
  <c r="F227" i="87"/>
  <c r="C249" i="15"/>
  <c r="J168" i="87"/>
  <c r="H214" i="87"/>
  <c r="E139" i="15"/>
  <c r="D162" i="15"/>
  <c r="L266" i="15"/>
  <c r="F21" i="87"/>
  <c r="F209" i="87"/>
  <c r="F306" i="87"/>
  <c r="C139" i="15"/>
  <c r="E177" i="15"/>
  <c r="D214" i="15"/>
  <c r="C220" i="15"/>
  <c r="C223" i="15"/>
  <c r="C226" i="15"/>
  <c r="C232" i="15"/>
  <c r="J266" i="87"/>
  <c r="F192" i="87"/>
  <c r="I228" i="15"/>
  <c r="C231" i="15"/>
  <c r="I240" i="15"/>
  <c r="E243" i="15"/>
  <c r="I246" i="15"/>
  <c r="F164" i="87"/>
  <c r="C275" i="15"/>
  <c r="E286" i="15"/>
  <c r="I290" i="15"/>
  <c r="E252" i="15"/>
  <c r="E258" i="15"/>
  <c r="D319" i="15"/>
  <c r="J303" i="87"/>
  <c r="F289" i="87"/>
  <c r="I302" i="15"/>
  <c r="K262" i="87"/>
  <c r="C262" i="87" s="1"/>
  <c r="I184" i="15"/>
  <c r="I187" i="15"/>
  <c r="D287" i="15"/>
  <c r="L295" i="15"/>
  <c r="K299" i="87"/>
  <c r="F150" i="87"/>
  <c r="I138" i="15"/>
  <c r="D148" i="15"/>
  <c r="I266" i="15"/>
  <c r="L163" i="15"/>
  <c r="D255" i="15"/>
  <c r="I293" i="15"/>
  <c r="I306" i="15"/>
  <c r="D338" i="15"/>
  <c r="E166" i="15"/>
  <c r="D242" i="15"/>
  <c r="L248" i="15"/>
  <c r="C286" i="15"/>
  <c r="D177" i="15"/>
  <c r="I318" i="15"/>
  <c r="E146" i="15"/>
  <c r="C156" i="15"/>
  <c r="E157" i="15"/>
  <c r="I204" i="15"/>
  <c r="I232" i="15"/>
  <c r="D250" i="15"/>
  <c r="I273" i="15"/>
  <c r="D294" i="15"/>
  <c r="E298" i="15"/>
  <c r="E188" i="15"/>
  <c r="E194" i="15"/>
  <c r="D204" i="15"/>
  <c r="D238" i="15"/>
  <c r="E262" i="15"/>
  <c r="C136" i="15"/>
  <c r="C194" i="15"/>
  <c r="D210" i="15"/>
  <c r="L244" i="15"/>
  <c r="I256" i="15"/>
  <c r="L138" i="15"/>
  <c r="E334" i="15"/>
  <c r="I139" i="15"/>
  <c r="C151" i="15"/>
  <c r="I175" i="15"/>
  <c r="D256" i="15"/>
  <c r="I282" i="15"/>
  <c r="I285" i="15"/>
  <c r="I292" i="15"/>
  <c r="L246" i="15"/>
  <c r="C163" i="15"/>
  <c r="C193" i="15"/>
  <c r="E212" i="15"/>
  <c r="I215" i="15"/>
  <c r="C267" i="15"/>
  <c r="F43" i="87"/>
  <c r="F311" i="87"/>
  <c r="F231" i="87"/>
  <c r="D167" i="15"/>
  <c r="D222" i="15"/>
  <c r="E228" i="15"/>
  <c r="D335" i="15"/>
  <c r="F79" i="87"/>
  <c r="F91" i="87"/>
  <c r="F115" i="87"/>
  <c r="F147" i="87"/>
  <c r="F254" i="87"/>
  <c r="K166" i="87"/>
  <c r="H192" i="87"/>
  <c r="K315" i="87"/>
  <c r="H228" i="87"/>
  <c r="F7" i="87"/>
  <c r="F324" i="87"/>
  <c r="I160" i="15"/>
  <c r="D274" i="15"/>
  <c r="D317" i="15"/>
  <c r="J192" i="87"/>
  <c r="C179" i="15"/>
  <c r="I198" i="15"/>
  <c r="I234" i="15"/>
  <c r="C244" i="15"/>
  <c r="L261" i="15"/>
  <c r="E281" i="15"/>
  <c r="C285" i="15"/>
  <c r="E302" i="15"/>
  <c r="D311" i="15"/>
  <c r="I332" i="15"/>
  <c r="F37" i="87"/>
  <c r="F55" i="87"/>
  <c r="F67" i="87"/>
  <c r="F103" i="87"/>
  <c r="F257" i="87"/>
  <c r="J180" i="87"/>
  <c r="J316" i="87"/>
  <c r="F159" i="87"/>
  <c r="D173" i="15"/>
  <c r="D266" i="15"/>
  <c r="I272" i="15"/>
  <c r="K270" i="87"/>
  <c r="K326" i="87"/>
  <c r="E204" i="15"/>
  <c r="L217" i="15"/>
  <c r="D224" i="15"/>
  <c r="D234" i="15"/>
  <c r="C237" i="15"/>
  <c r="I250" i="15"/>
  <c r="I286" i="15"/>
  <c r="K156" i="87"/>
  <c r="F175" i="87"/>
  <c r="D140" i="15"/>
  <c r="I152" i="15"/>
  <c r="D161" i="15"/>
  <c r="I171" i="15"/>
  <c r="C188" i="15"/>
  <c r="E210" i="15"/>
  <c r="C217" i="15"/>
  <c r="L269" i="15"/>
  <c r="C331" i="15"/>
  <c r="J248" i="87"/>
  <c r="J335" i="87"/>
  <c r="F42" i="87"/>
  <c r="F54" i="87"/>
  <c r="F66" i="87"/>
  <c r="F78" i="87"/>
  <c r="F90" i="87"/>
  <c r="D230" i="15"/>
  <c r="D270" i="15"/>
  <c r="D303" i="15"/>
  <c r="C310" i="15"/>
  <c r="K278" i="87"/>
  <c r="C209" i="15"/>
  <c r="E222" i="15"/>
  <c r="D232" i="15"/>
  <c r="D233" i="15"/>
  <c r="L334" i="15"/>
  <c r="H138" i="87"/>
  <c r="J199" i="87"/>
  <c r="J157" i="87"/>
  <c r="H189" i="87"/>
  <c r="H215" i="87"/>
  <c r="J261" i="87"/>
  <c r="H146" i="87"/>
  <c r="L134" i="15"/>
  <c r="I135" i="15"/>
  <c r="L142" i="15"/>
  <c r="L143" i="15"/>
  <c r="L154" i="15"/>
  <c r="D178" i="15"/>
  <c r="E255" i="15"/>
  <c r="I258" i="15"/>
  <c r="I309" i="15"/>
  <c r="J215" i="87"/>
  <c r="K232" i="87"/>
  <c r="I144" i="15"/>
  <c r="L155" i="15"/>
  <c r="E315" i="15"/>
  <c r="J158" i="87"/>
  <c r="F142" i="87"/>
  <c r="E137" i="15"/>
  <c r="I145" i="15"/>
  <c r="C199" i="15"/>
  <c r="D244" i="15"/>
  <c r="D258" i="15"/>
  <c r="I298" i="15"/>
  <c r="D309" i="15"/>
  <c r="L315" i="15"/>
  <c r="C335" i="15"/>
  <c r="J164" i="87"/>
  <c r="K233" i="87"/>
  <c r="K275" i="87"/>
  <c r="F13" i="87"/>
  <c r="L136" i="15"/>
  <c r="E151" i="15"/>
  <c r="D157" i="15"/>
  <c r="D172" i="15"/>
  <c r="E182" i="15"/>
  <c r="D206" i="15"/>
  <c r="D225" i="15"/>
  <c r="L240" i="15"/>
  <c r="D254" i="15"/>
  <c r="D330" i="15"/>
  <c r="E332" i="15"/>
  <c r="K136" i="87"/>
  <c r="F217" i="87"/>
  <c r="F25" i="87"/>
  <c r="F143" i="87"/>
  <c r="L157" i="15"/>
  <c r="D175" i="15"/>
  <c r="C182" i="15"/>
  <c r="D195" i="15"/>
  <c r="E216" i="15"/>
  <c r="D236" i="15"/>
  <c r="L243" i="15"/>
  <c r="I257" i="15"/>
  <c r="I261" i="15"/>
  <c r="E273" i="15"/>
  <c r="E279" i="15"/>
  <c r="C289" i="15"/>
  <c r="E304" i="15"/>
  <c r="D318" i="15"/>
  <c r="E320" i="15"/>
  <c r="I339" i="15"/>
  <c r="J143" i="87"/>
  <c r="K303" i="87"/>
  <c r="F286" i="87"/>
  <c r="F276" i="87"/>
  <c r="C144" i="15"/>
  <c r="C165" i="15"/>
  <c r="I167" i="15"/>
  <c r="L175" i="15"/>
  <c r="E246" i="15"/>
  <c r="C264" i="15"/>
  <c r="D273" i="15"/>
  <c r="C298" i="15"/>
  <c r="E306" i="15"/>
  <c r="L320" i="15"/>
  <c r="E324" i="15"/>
  <c r="H289" i="87"/>
  <c r="H323" i="87"/>
  <c r="C159" i="15"/>
  <c r="I181" i="15"/>
  <c r="I216" i="15"/>
  <c r="L242" i="15"/>
  <c r="E249" i="15"/>
  <c r="L250" i="15"/>
  <c r="C256" i="15"/>
  <c r="D261" i="15"/>
  <c r="I268" i="15"/>
  <c r="E270" i="15"/>
  <c r="L273" i="15"/>
  <c r="C274" i="15"/>
  <c r="D295" i="15"/>
  <c r="I305" i="15"/>
  <c r="I312" i="15"/>
  <c r="I321" i="15"/>
  <c r="K294" i="87"/>
  <c r="J254" i="87"/>
  <c r="F365" i="87"/>
  <c r="K214" i="87"/>
  <c r="F50" i="87"/>
  <c r="F62" i="87"/>
  <c r="F74" i="87"/>
  <c r="F86" i="87"/>
  <c r="F122" i="87"/>
  <c r="I140" i="15"/>
  <c r="L146" i="15"/>
  <c r="I147" i="15"/>
  <c r="D154" i="15"/>
  <c r="E161" i="15"/>
  <c r="C162" i="15"/>
  <c r="D216" i="15"/>
  <c r="D226" i="15"/>
  <c r="I231" i="15"/>
  <c r="L249" i="15"/>
  <c r="D265" i="15"/>
  <c r="I287" i="15"/>
  <c r="E296" i="15"/>
  <c r="D305" i="15"/>
  <c r="D321" i="15"/>
  <c r="H209" i="87"/>
  <c r="J225" i="87"/>
  <c r="K263" i="87"/>
  <c r="C134" i="15"/>
  <c r="I155" i="15"/>
  <c r="I169" i="15"/>
  <c r="C214" i="15"/>
  <c r="C238" i="15"/>
  <c r="E274" i="15"/>
  <c r="C290" i="15"/>
  <c r="D291" i="15"/>
  <c r="C293" i="15"/>
  <c r="J172" i="87"/>
  <c r="H179" i="87"/>
  <c r="C179" i="87" s="1"/>
  <c r="J330" i="87"/>
  <c r="H182" i="87"/>
  <c r="F295" i="87"/>
  <c r="I148" i="15"/>
  <c r="L169" i="15"/>
  <c r="C187" i="15"/>
  <c r="E196" i="15"/>
  <c r="L204" i="15"/>
  <c r="I222" i="15"/>
  <c r="C225" i="15"/>
  <c r="L238" i="15"/>
  <c r="C271" i="15"/>
  <c r="I316" i="15"/>
  <c r="H331" i="87"/>
  <c r="J206" i="87"/>
  <c r="D141" i="15"/>
  <c r="L162" i="15"/>
  <c r="I163" i="15"/>
  <c r="L170" i="15"/>
  <c r="L173" i="15"/>
  <c r="I176" i="15"/>
  <c r="L183" i="15"/>
  <c r="I186" i="15"/>
  <c r="I196" i="15"/>
  <c r="L222" i="15"/>
  <c r="L230" i="15"/>
  <c r="L237" i="15"/>
  <c r="D248" i="15"/>
  <c r="L252" i="15"/>
  <c r="H151" i="87"/>
  <c r="F202" i="87"/>
  <c r="C243" i="15"/>
  <c r="C255" i="15"/>
  <c r="D269" i="15"/>
  <c r="L282" i="15"/>
  <c r="E288" i="15"/>
  <c r="I291" i="15"/>
  <c r="I294" i="15"/>
  <c r="I300" i="15"/>
  <c r="I317" i="15"/>
  <c r="J329" i="87"/>
  <c r="H175" i="87"/>
  <c r="K210" i="87"/>
  <c r="F304" i="87"/>
  <c r="F138" i="87"/>
  <c r="E136" i="15"/>
  <c r="D142" i="15"/>
  <c r="I143" i="15"/>
  <c r="D149" i="15"/>
  <c r="L150" i="15"/>
  <c r="C157" i="15"/>
  <c r="D165" i="15"/>
  <c r="I172" i="15"/>
  <c r="D186" i="15"/>
  <c r="I206" i="15"/>
  <c r="L210" i="15"/>
  <c r="D218" i="15"/>
  <c r="L221" i="15"/>
  <c r="E240" i="15"/>
  <c r="L251" i="15"/>
  <c r="L255" i="15"/>
  <c r="C260" i="15"/>
  <c r="C261" i="15"/>
  <c r="C280" i="15"/>
  <c r="D286" i="15"/>
  <c r="L294" i="15"/>
  <c r="L317" i="15"/>
  <c r="I329" i="15"/>
  <c r="E330" i="15"/>
  <c r="D341" i="15"/>
  <c r="F38" i="87"/>
  <c r="F129" i="87"/>
  <c r="F131" i="87"/>
  <c r="F125" i="87"/>
  <c r="F204" i="87"/>
  <c r="F51" i="87"/>
  <c r="F185" i="87"/>
  <c r="F309" i="87"/>
  <c r="F327" i="87"/>
  <c r="F152" i="87"/>
  <c r="F201" i="87"/>
  <c r="F233" i="87"/>
  <c r="F148" i="87"/>
  <c r="F155" i="87"/>
  <c r="F162" i="87"/>
  <c r="F206" i="87"/>
  <c r="F208" i="87"/>
  <c r="F245" i="87"/>
  <c r="F282" i="87"/>
  <c r="F248" i="87"/>
  <c r="F339" i="87"/>
  <c r="F132" i="87"/>
  <c r="F160" i="87"/>
  <c r="F285" i="87"/>
  <c r="F317" i="87"/>
  <c r="F128" i="87"/>
  <c r="F165" i="87"/>
  <c r="F200" i="87"/>
  <c r="F262" i="87"/>
  <c r="F273" i="87"/>
  <c r="F196" i="87"/>
  <c r="F294" i="87"/>
  <c r="F237" i="87"/>
  <c r="F300" i="87"/>
  <c r="F11" i="87"/>
  <c r="F17" i="87"/>
  <c r="F168" i="87"/>
  <c r="F220" i="87"/>
  <c r="F349" i="87"/>
  <c r="F36" i="87"/>
  <c r="F96" i="87"/>
  <c r="F98" i="87"/>
  <c r="F100" i="87"/>
  <c r="F102" i="87"/>
  <c r="F104" i="87"/>
  <c r="F108" i="87"/>
  <c r="F110" i="87"/>
  <c r="F112" i="87"/>
  <c r="F114" i="87"/>
  <c r="F116" i="87"/>
  <c r="F303" i="87"/>
  <c r="F184" i="87"/>
  <c r="F321" i="87"/>
  <c r="F345" i="87"/>
  <c r="F180" i="87"/>
  <c r="F259" i="87"/>
  <c r="F297" i="87"/>
  <c r="F326" i="87"/>
  <c r="F236" i="87"/>
  <c r="F130" i="87"/>
  <c r="F176" i="87"/>
  <c r="F251" i="87"/>
  <c r="J348" i="87"/>
  <c r="J358" i="87"/>
  <c r="L358" i="87" s="1"/>
  <c r="L124" i="16"/>
  <c r="L127" i="16"/>
  <c r="D140" i="16"/>
  <c r="L146" i="16"/>
  <c r="D152" i="16"/>
  <c r="L154" i="16"/>
  <c r="I164" i="16"/>
  <c r="L174" i="16"/>
  <c r="C181" i="16"/>
  <c r="E208" i="16"/>
  <c r="I216" i="16"/>
  <c r="D218" i="16"/>
  <c r="E221" i="16"/>
  <c r="G224" i="16"/>
  <c r="I226" i="16"/>
  <c r="E238" i="16"/>
  <c r="C239" i="16"/>
  <c r="E241" i="16"/>
  <c r="I245" i="16"/>
  <c r="C254" i="16"/>
  <c r="G262" i="16"/>
  <c r="L265" i="16"/>
  <c r="C282" i="16"/>
  <c r="I284" i="16"/>
  <c r="C286" i="16"/>
  <c r="C287" i="16"/>
  <c r="I291" i="16"/>
  <c r="D293" i="16"/>
  <c r="L304" i="16"/>
  <c r="C307" i="16"/>
  <c r="E320" i="16"/>
  <c r="C350" i="16"/>
  <c r="I356" i="16"/>
  <c r="D358" i="16"/>
  <c r="H173" i="87"/>
  <c r="K222" i="87"/>
  <c r="K127" i="87"/>
  <c r="J211" i="87"/>
  <c r="CB9" i="16"/>
  <c r="L34" i="16"/>
  <c r="C148" i="16"/>
  <c r="I168" i="16"/>
  <c r="C214" i="16"/>
  <c r="G232" i="16"/>
  <c r="I247" i="16"/>
  <c r="I262" i="16"/>
  <c r="C277" i="16"/>
  <c r="I280" i="16"/>
  <c r="L282" i="16"/>
  <c r="D286" i="16"/>
  <c r="C289" i="16"/>
  <c r="L293" i="16"/>
  <c r="G303" i="16"/>
  <c r="E309" i="16"/>
  <c r="D318" i="16"/>
  <c r="C320" i="16"/>
  <c r="C326" i="16"/>
  <c r="D341" i="16"/>
  <c r="C344" i="16"/>
  <c r="J187" i="87"/>
  <c r="H142" i="87"/>
  <c r="H149" i="87"/>
  <c r="J360" i="87"/>
  <c r="J238" i="87"/>
  <c r="H285" i="87"/>
  <c r="H269" i="87"/>
  <c r="J354" i="87"/>
  <c r="K362" i="87"/>
  <c r="D362" i="87" s="1"/>
  <c r="L156" i="16"/>
  <c r="I160" i="16"/>
  <c r="I184" i="16"/>
  <c r="I196" i="16"/>
  <c r="E202" i="16"/>
  <c r="D215" i="16"/>
  <c r="D216" i="16"/>
  <c r="I232" i="16"/>
  <c r="L247" i="16"/>
  <c r="E253" i="16"/>
  <c r="L280" i="16"/>
  <c r="C301" i="16"/>
  <c r="G339" i="16"/>
  <c r="C355" i="16"/>
  <c r="K180" i="87"/>
  <c r="H263" i="87"/>
  <c r="K124" i="87"/>
  <c r="J152" i="87"/>
  <c r="K265" i="87"/>
  <c r="J310" i="87"/>
  <c r="CB11" i="16"/>
  <c r="E125" i="16"/>
  <c r="E128" i="16"/>
  <c r="I137" i="16"/>
  <c r="D143" i="16"/>
  <c r="G151" i="16"/>
  <c r="D171" i="16"/>
  <c r="C175" i="16"/>
  <c r="C206" i="16"/>
  <c r="E212" i="16"/>
  <c r="G223" i="16"/>
  <c r="C274" i="16"/>
  <c r="D321" i="16"/>
  <c r="I331" i="16"/>
  <c r="I341" i="16"/>
  <c r="L343" i="16"/>
  <c r="J136" i="87"/>
  <c r="J140" i="87"/>
  <c r="H278" i="87"/>
  <c r="K338" i="87"/>
  <c r="CB6" i="16"/>
  <c r="X42" i="16"/>
  <c r="E157" i="16"/>
  <c r="E177" i="16"/>
  <c r="D196" i="16"/>
  <c r="C205" i="16"/>
  <c r="G215" i="16"/>
  <c r="D232" i="16"/>
  <c r="G253" i="16"/>
  <c r="L262" i="16"/>
  <c r="D274" i="16"/>
  <c r="L301" i="16"/>
  <c r="I355" i="16"/>
  <c r="K325" i="87"/>
  <c r="H343" i="87"/>
  <c r="E343" i="87" s="1"/>
  <c r="K248" i="87"/>
  <c r="CB13" i="16"/>
  <c r="X50" i="16"/>
  <c r="C124" i="16"/>
  <c r="C127" i="16"/>
  <c r="E135" i="16"/>
  <c r="G159" i="16"/>
  <c r="C165" i="16"/>
  <c r="L210" i="16"/>
  <c r="E215" i="16"/>
  <c r="C235" i="16"/>
  <c r="C248" i="16"/>
  <c r="I253" i="16"/>
  <c r="E255" i="16"/>
  <c r="E268" i="16"/>
  <c r="L272" i="16"/>
  <c r="E274" i="16"/>
  <c r="C283" i="16"/>
  <c r="E286" i="16"/>
  <c r="C311" i="16"/>
  <c r="L313" i="16"/>
  <c r="E315" i="16"/>
  <c r="L319" i="16"/>
  <c r="I327" i="16"/>
  <c r="L333" i="16"/>
  <c r="K164" i="87"/>
  <c r="J270" i="87"/>
  <c r="J209" i="87"/>
  <c r="J293" i="87"/>
  <c r="K334" i="87"/>
  <c r="CB8" i="16"/>
  <c r="C34" i="16"/>
  <c r="AL50" i="16"/>
  <c r="D135" i="16"/>
  <c r="D151" i="16"/>
  <c r="I159" i="16"/>
  <c r="E250" i="16"/>
  <c r="E259" i="16"/>
  <c r="C263" i="16"/>
  <c r="C270" i="16"/>
  <c r="C304" i="16"/>
  <c r="E325" i="16"/>
  <c r="J198" i="87"/>
  <c r="J249" i="87"/>
  <c r="K261" i="87"/>
  <c r="H346" i="87"/>
  <c r="J34" i="87"/>
  <c r="I34" i="87" s="1"/>
  <c r="H241" i="87"/>
  <c r="H245" i="87"/>
  <c r="K330" i="87"/>
  <c r="H356" i="87"/>
  <c r="X62" i="16"/>
  <c r="E124" i="16"/>
  <c r="E127" i="16"/>
  <c r="E138" i="16"/>
  <c r="L181" i="16"/>
  <c r="G187" i="16"/>
  <c r="D209" i="16"/>
  <c r="D211" i="16"/>
  <c r="D223" i="16"/>
  <c r="E231" i="16"/>
  <c r="I235" i="16"/>
  <c r="D237" i="16"/>
  <c r="C253" i="16"/>
  <c r="C259" i="16"/>
  <c r="L277" i="16"/>
  <c r="I279" i="16"/>
  <c r="I281" i="16"/>
  <c r="D310" i="16"/>
  <c r="L321" i="16"/>
  <c r="D327" i="16"/>
  <c r="E342" i="16"/>
  <c r="I349" i="16"/>
  <c r="I351" i="16"/>
  <c r="K151" i="87"/>
  <c r="K314" i="87"/>
  <c r="CB10" i="16"/>
  <c r="E34" i="16"/>
  <c r="AL62" i="16"/>
  <c r="C154" i="16"/>
  <c r="C169" i="16"/>
  <c r="I187" i="16"/>
  <c r="I195" i="16"/>
  <c r="L201" i="16"/>
  <c r="E205" i="16"/>
  <c r="D229" i="16"/>
  <c r="D241" i="16"/>
  <c r="E243" i="16"/>
  <c r="L246" i="16"/>
  <c r="D256" i="16"/>
  <c r="D261" i="16"/>
  <c r="G265" i="16"/>
  <c r="D269" i="16"/>
  <c r="I308" i="16"/>
  <c r="C316" i="16"/>
  <c r="D320" i="16"/>
  <c r="L325" i="16"/>
  <c r="L345" i="16"/>
  <c r="J205" i="87"/>
  <c r="K292" i="87"/>
  <c r="H243" i="87"/>
  <c r="K199" i="87"/>
  <c r="L165" i="16"/>
  <c r="L167" i="16"/>
  <c r="L193" i="16"/>
  <c r="I197" i="16"/>
  <c r="L205" i="16"/>
  <c r="G211" i="16"/>
  <c r="C260" i="16"/>
  <c r="I265" i="16"/>
  <c r="I304" i="16"/>
  <c r="L306" i="16"/>
  <c r="G310" i="16"/>
  <c r="L349" i="16"/>
  <c r="G358" i="16"/>
  <c r="H168" i="87"/>
  <c r="K203" i="87"/>
  <c r="H231" i="87"/>
  <c r="H297" i="87"/>
  <c r="C297" i="87" s="1"/>
  <c r="J218" i="87"/>
  <c r="J271" i="87"/>
  <c r="H320" i="87"/>
  <c r="E144" i="16"/>
  <c r="I152" i="16"/>
  <c r="E162" i="16"/>
  <c r="L185" i="16"/>
  <c r="I209" i="16"/>
  <c r="I218" i="16"/>
  <c r="L248" i="16"/>
  <c r="L250" i="16"/>
  <c r="L274" i="16"/>
  <c r="C280" i="16"/>
  <c r="I293" i="16"/>
  <c r="I310" i="16"/>
  <c r="I322" i="16"/>
  <c r="L330" i="16"/>
  <c r="L334" i="16"/>
  <c r="I338" i="16"/>
  <c r="L342" i="16"/>
  <c r="I354" i="16"/>
  <c r="I358" i="16"/>
  <c r="L360" i="16"/>
  <c r="C364" i="16"/>
  <c r="L365" i="16"/>
  <c r="K160" i="87"/>
  <c r="K174" i="87"/>
  <c r="H137" i="87"/>
  <c r="H355" i="87"/>
  <c r="H359" i="87"/>
  <c r="E359" i="87" s="1"/>
  <c r="E11" i="87"/>
  <c r="F173" i="87"/>
  <c r="F183" i="87"/>
  <c r="F139" i="87"/>
  <c r="F194" i="87"/>
  <c r="F9" i="87"/>
  <c r="F15" i="87"/>
  <c r="F19" i="87"/>
  <c r="F234" i="87"/>
  <c r="F226" i="87"/>
  <c r="F31" i="87"/>
  <c r="F221" i="87"/>
  <c r="F302" i="87"/>
  <c r="F10" i="87"/>
  <c r="F46" i="87"/>
  <c r="F58" i="87"/>
  <c r="F70" i="87"/>
  <c r="F82" i="87"/>
  <c r="F106" i="87"/>
  <c r="F118" i="87"/>
  <c r="F163" i="87"/>
  <c r="F354" i="87"/>
  <c r="F361" i="87"/>
  <c r="F6" i="87"/>
  <c r="F8" i="87"/>
  <c r="F14" i="87"/>
  <c r="F16" i="87"/>
  <c r="F18" i="87"/>
  <c r="F20" i="87"/>
  <c r="F255" i="87"/>
  <c r="F172" i="87"/>
  <c r="F225" i="87"/>
  <c r="F210" i="87"/>
  <c r="F253" i="87"/>
  <c r="F337" i="87"/>
  <c r="F344" i="87"/>
  <c r="F154" i="87"/>
  <c r="F207" i="87"/>
  <c r="F151" i="87"/>
  <c r="F224" i="87"/>
  <c r="F261" i="87"/>
  <c r="F301" i="87"/>
  <c r="F189" i="87"/>
  <c r="F198" i="87"/>
  <c r="F188" i="87"/>
  <c r="F357" i="87"/>
  <c r="F195" i="87"/>
  <c r="F332" i="87"/>
  <c r="F260" i="87"/>
  <c r="F186" i="87"/>
  <c r="F293" i="87"/>
  <c r="F177" i="87"/>
  <c r="F256" i="87"/>
  <c r="F274" i="87"/>
  <c r="F174" i="87"/>
  <c r="F171" i="87"/>
  <c r="F320" i="87"/>
  <c r="E10" i="87"/>
  <c r="I13" i="87"/>
  <c r="I112" i="87"/>
  <c r="I115" i="87"/>
  <c r="L118" i="87"/>
  <c r="D109" i="87"/>
  <c r="D28" i="87"/>
  <c r="I50" i="87"/>
  <c r="L68" i="87"/>
  <c r="I96" i="87"/>
  <c r="L102" i="87"/>
  <c r="I131" i="87"/>
  <c r="E90" i="87"/>
  <c r="C41" i="87"/>
  <c r="C90" i="87"/>
  <c r="E60" i="87"/>
  <c r="C63" i="87"/>
  <c r="C66" i="87"/>
  <c r="E80" i="87"/>
  <c r="C56" i="87"/>
  <c r="I23" i="87"/>
  <c r="I26" i="87"/>
  <c r="I29" i="87"/>
  <c r="I63" i="87"/>
  <c r="E48" i="87"/>
  <c r="J167" i="87"/>
  <c r="K267" i="87"/>
  <c r="D267" i="87" s="1"/>
  <c r="F307" i="87"/>
  <c r="F166" i="87"/>
  <c r="I137" i="14"/>
  <c r="L147" i="14"/>
  <c r="D160" i="14"/>
  <c r="C170" i="14"/>
  <c r="L191" i="14"/>
  <c r="I202" i="14"/>
  <c r="L203" i="14"/>
  <c r="I231" i="14"/>
  <c r="I243" i="14"/>
  <c r="D273" i="14"/>
  <c r="D300" i="14"/>
  <c r="J279" i="87"/>
  <c r="D134" i="14"/>
  <c r="L141" i="14"/>
  <c r="I146" i="14"/>
  <c r="L155" i="14"/>
  <c r="L160" i="14"/>
  <c r="I166" i="14"/>
  <c r="L167" i="14"/>
  <c r="I171" i="14"/>
  <c r="C178" i="14"/>
  <c r="E183" i="14"/>
  <c r="I195" i="14"/>
  <c r="I207" i="14"/>
  <c r="L214" i="14"/>
  <c r="D217" i="14"/>
  <c r="D224" i="14"/>
  <c r="E231" i="14"/>
  <c r="D241" i="14"/>
  <c r="C243" i="14"/>
  <c r="E265" i="14"/>
  <c r="D266" i="14"/>
  <c r="D278" i="14"/>
  <c r="E288" i="14"/>
  <c r="I290" i="14"/>
  <c r="D293" i="14"/>
  <c r="L294" i="14"/>
  <c r="E300" i="14"/>
  <c r="I302" i="14"/>
  <c r="D318" i="14"/>
  <c r="E333" i="14"/>
  <c r="K142" i="87"/>
  <c r="K250" i="87"/>
  <c r="J298" i="87"/>
  <c r="H309" i="87"/>
  <c r="J336" i="87"/>
  <c r="L134" i="14"/>
  <c r="E144" i="14"/>
  <c r="E146" i="14"/>
  <c r="C190" i="14"/>
  <c r="C202" i="14"/>
  <c r="C226" i="14"/>
  <c r="C231" i="14"/>
  <c r="L266" i="14"/>
  <c r="E308" i="14"/>
  <c r="C309" i="14"/>
  <c r="C333" i="14"/>
  <c r="D53" i="87"/>
  <c r="J156" i="87"/>
  <c r="H202" i="87"/>
  <c r="H213" i="87"/>
  <c r="I139" i="14"/>
  <c r="C143" i="14"/>
  <c r="I145" i="14"/>
  <c r="C154" i="14"/>
  <c r="E159" i="14"/>
  <c r="C166" i="14"/>
  <c r="C169" i="14"/>
  <c r="L171" i="14"/>
  <c r="D189" i="14"/>
  <c r="L195" i="14"/>
  <c r="E206" i="14"/>
  <c r="L207" i="14"/>
  <c r="E216" i="14"/>
  <c r="E221" i="14"/>
  <c r="E230" i="14"/>
  <c r="E236" i="14"/>
  <c r="L254" i="14"/>
  <c r="E260" i="14"/>
  <c r="L265" i="14"/>
  <c r="L278" i="14"/>
  <c r="D303" i="14"/>
  <c r="I305" i="14"/>
  <c r="K168" i="87"/>
  <c r="J258" i="87"/>
  <c r="E143" i="14"/>
  <c r="D153" i="14"/>
  <c r="C157" i="14"/>
  <c r="D165" i="14"/>
  <c r="C176" i="14"/>
  <c r="E180" i="14"/>
  <c r="E182" i="14"/>
  <c r="C188" i="14"/>
  <c r="I194" i="14"/>
  <c r="C200" i="14"/>
  <c r="I206" i="14"/>
  <c r="E223" i="14"/>
  <c r="I233" i="14"/>
  <c r="I241" i="14"/>
  <c r="E248" i="14"/>
  <c r="D250" i="14"/>
  <c r="L253" i="14"/>
  <c r="L264" i="14"/>
  <c r="C269" i="14"/>
  <c r="E272" i="14"/>
  <c r="D274" i="14"/>
  <c r="I276" i="14"/>
  <c r="C280" i="14"/>
  <c r="L290" i="14"/>
  <c r="L302" i="14"/>
  <c r="E311" i="14"/>
  <c r="E326" i="14"/>
  <c r="D328" i="14"/>
  <c r="D341" i="14"/>
  <c r="D344" i="14"/>
  <c r="D347" i="14"/>
  <c r="D350" i="14"/>
  <c r="D353" i="14"/>
  <c r="D356" i="14"/>
  <c r="J160" i="87"/>
  <c r="H237" i="87"/>
  <c r="J163" i="87"/>
  <c r="D136" i="14"/>
  <c r="D142" i="14"/>
  <c r="C152" i="14"/>
  <c r="D156" i="14"/>
  <c r="I158" i="14"/>
  <c r="D168" i="14"/>
  <c r="I173" i="14"/>
  <c r="I181" i="14"/>
  <c r="I188" i="14"/>
  <c r="E192" i="14"/>
  <c r="I193" i="14"/>
  <c r="I197" i="14"/>
  <c r="E204" i="14"/>
  <c r="I205" i="14"/>
  <c r="I209" i="14"/>
  <c r="D214" i="14"/>
  <c r="I217" i="14"/>
  <c r="I224" i="14"/>
  <c r="D238" i="14"/>
  <c r="L252" i="14"/>
  <c r="I259" i="14"/>
  <c r="I268" i="14"/>
  <c r="C281" i="14"/>
  <c r="D286" i="14"/>
  <c r="I288" i="14"/>
  <c r="E296" i="14"/>
  <c r="D298" i="14"/>
  <c r="I300" i="14"/>
  <c r="D306" i="14"/>
  <c r="C314" i="14"/>
  <c r="C323" i="14"/>
  <c r="E328" i="14"/>
  <c r="D338" i="14"/>
  <c r="D361" i="14"/>
  <c r="H266" i="87"/>
  <c r="J306" i="87"/>
  <c r="H317" i="87"/>
  <c r="E156" i="14"/>
  <c r="C203" i="14"/>
  <c r="E214" i="14"/>
  <c r="E238" i="14"/>
  <c r="D267" i="14"/>
  <c r="E286" i="14"/>
  <c r="E298" i="14"/>
  <c r="E306" i="14"/>
  <c r="D336" i="14"/>
  <c r="J222" i="87"/>
  <c r="J255" i="87"/>
  <c r="D148" i="14"/>
  <c r="D152" i="14"/>
  <c r="I157" i="14"/>
  <c r="D158" i="14"/>
  <c r="L170" i="14"/>
  <c r="D178" i="14"/>
  <c r="D188" i="14"/>
  <c r="D202" i="14"/>
  <c r="C224" i="14"/>
  <c r="D226" i="14"/>
  <c r="E229" i="14"/>
  <c r="L233" i="14"/>
  <c r="D255" i="14"/>
  <c r="D259" i="14"/>
  <c r="C266" i="14"/>
  <c r="D268" i="14"/>
  <c r="D279" i="14"/>
  <c r="L280" i="14"/>
  <c r="I292" i="14"/>
  <c r="L293" i="14"/>
  <c r="D309" i="14"/>
  <c r="C317" i="14"/>
  <c r="C144" i="14"/>
  <c r="L148" i="14"/>
  <c r="L152" i="14"/>
  <c r="E155" i="14"/>
  <c r="L158" i="14"/>
  <c r="D164" i="14"/>
  <c r="E167" i="14"/>
  <c r="E178" i="14"/>
  <c r="D190" i="14"/>
  <c r="I199" i="14"/>
  <c r="D223" i="14"/>
  <c r="E226" i="14"/>
  <c r="C229" i="14"/>
  <c r="D231" i="14"/>
  <c r="C254" i="14"/>
  <c r="E266" i="14"/>
  <c r="D291" i="14"/>
  <c r="E317" i="14"/>
  <c r="D321" i="14"/>
  <c r="D333" i="14"/>
  <c r="G134" i="14"/>
  <c r="L143" i="14"/>
  <c r="G147" i="14"/>
  <c r="C151" i="14"/>
  <c r="D154" i="14"/>
  <c r="D166" i="14"/>
  <c r="D179" i="14"/>
  <c r="L180" i="14"/>
  <c r="L223" i="14"/>
  <c r="D232" i="14"/>
  <c r="D243" i="14"/>
  <c r="D244" i="14"/>
  <c r="C264" i="14"/>
  <c r="E278" i="14"/>
  <c r="C290" i="14"/>
  <c r="D292" i="14"/>
  <c r="L303" i="14"/>
  <c r="D312" i="14"/>
  <c r="D322" i="14"/>
  <c r="D332" i="14"/>
  <c r="E339" i="14"/>
  <c r="E342" i="14"/>
  <c r="E345" i="14"/>
  <c r="E348" i="14"/>
  <c r="E351" i="14"/>
  <c r="E354" i="14"/>
  <c r="C357" i="14"/>
  <c r="D360" i="14"/>
  <c r="H282" i="87"/>
  <c r="J286" i="87"/>
  <c r="L135" i="14"/>
  <c r="I147" i="14"/>
  <c r="I151" i="14"/>
  <c r="I160" i="14"/>
  <c r="I167" i="14"/>
  <c r="L168" i="14"/>
  <c r="C175" i="14"/>
  <c r="C180" i="14"/>
  <c r="L184" i="14"/>
  <c r="C187" i="14"/>
  <c r="D191" i="14"/>
  <c r="C192" i="14"/>
  <c r="D203" i="14"/>
  <c r="C204" i="14"/>
  <c r="I219" i="14"/>
  <c r="I222" i="14"/>
  <c r="C242" i="14"/>
  <c r="D253" i="14"/>
  <c r="I255" i="14"/>
  <c r="I258" i="14"/>
  <c r="C262" i="14"/>
  <c r="I270" i="14"/>
  <c r="E290" i="14"/>
  <c r="E302" i="14"/>
  <c r="I304" i="14"/>
  <c r="E312" i="14"/>
  <c r="D314" i="14"/>
  <c r="E320" i="14"/>
  <c r="C339" i="14"/>
  <c r="C342" i="14"/>
  <c r="C345" i="14"/>
  <c r="C348" i="14"/>
  <c r="C351" i="14"/>
  <c r="C354" i="14"/>
  <c r="X119" i="14"/>
  <c r="AL118" i="14"/>
  <c r="AZ117" i="14"/>
  <c r="X116" i="14"/>
  <c r="AZ111" i="14"/>
  <c r="X110" i="14"/>
  <c r="AZ105" i="14"/>
  <c r="X104" i="14"/>
  <c r="AZ99" i="14"/>
  <c r="X98" i="14"/>
  <c r="AZ93" i="14"/>
  <c r="X92" i="14"/>
  <c r="AZ87" i="14"/>
  <c r="X86" i="14"/>
  <c r="AZ81" i="14"/>
  <c r="X80" i="14"/>
  <c r="AZ75" i="14"/>
  <c r="X74" i="14"/>
  <c r="AZ69" i="14"/>
  <c r="X68" i="14"/>
  <c r="AZ63" i="14"/>
  <c r="X62" i="14"/>
  <c r="AZ57" i="14"/>
  <c r="X56" i="14"/>
  <c r="AZ51" i="14"/>
  <c r="X50" i="14"/>
  <c r="AZ45" i="14"/>
  <c r="X44" i="14"/>
  <c r="AZ39" i="14"/>
  <c r="X38" i="14"/>
  <c r="AL37" i="14"/>
  <c r="AZ36" i="14"/>
  <c r="X35" i="14"/>
  <c r="AZ27" i="14"/>
  <c r="X133" i="14"/>
  <c r="AZ128" i="14"/>
  <c r="X118" i="14"/>
  <c r="AL117" i="14"/>
  <c r="AL111" i="14"/>
  <c r="AL105" i="14"/>
  <c r="AL99" i="14"/>
  <c r="AL93" i="14"/>
  <c r="AL87" i="14"/>
  <c r="AL81" i="14"/>
  <c r="AL75" i="14"/>
  <c r="AL69" i="14"/>
  <c r="AL63" i="14"/>
  <c r="AL57" i="14"/>
  <c r="AL51" i="14"/>
  <c r="AL45" i="14"/>
  <c r="AL39" i="14"/>
  <c r="X37" i="14"/>
  <c r="AL36" i="14"/>
  <c r="G138" i="14"/>
  <c r="AZ94" i="14"/>
  <c r="X93" i="14"/>
  <c r="AZ88" i="14"/>
  <c r="X87" i="14"/>
  <c r="AZ82" i="14"/>
  <c r="X81" i="14"/>
  <c r="AZ76" i="14"/>
  <c r="X75" i="14"/>
  <c r="AZ70" i="14"/>
  <c r="X69" i="14"/>
  <c r="AZ64" i="14"/>
  <c r="X63" i="14"/>
  <c r="AZ58" i="14"/>
  <c r="X57" i="14"/>
  <c r="AZ52" i="14"/>
  <c r="X51" i="14"/>
  <c r="AZ46" i="14"/>
  <c r="X45" i="14"/>
  <c r="AZ40" i="14"/>
  <c r="X39" i="14"/>
  <c r="X36" i="14"/>
  <c r="AZ31" i="14"/>
  <c r="AZ28" i="14"/>
  <c r="X27" i="14"/>
  <c r="AZ22" i="14"/>
  <c r="AZ21" i="14"/>
  <c r="X20" i="14"/>
  <c r="AL94" i="14"/>
  <c r="AL88" i="14"/>
  <c r="AL82" i="14"/>
  <c r="AL76" i="14"/>
  <c r="AL70" i="14"/>
  <c r="AL64" i="14"/>
  <c r="AL58" i="14"/>
  <c r="AL52" i="14"/>
  <c r="AL46" i="14"/>
  <c r="AL40" i="14"/>
  <c r="AL31" i="14"/>
  <c r="AZ30" i="14"/>
  <c r="AL28" i="14"/>
  <c r="AL22" i="14"/>
  <c r="AL21" i="14"/>
  <c r="E138" i="14"/>
  <c r="AL129" i="14"/>
  <c r="X127" i="14"/>
  <c r="AL126" i="14"/>
  <c r="AZ125" i="14"/>
  <c r="AZ113" i="14"/>
  <c r="X112" i="14"/>
  <c r="AZ107" i="14"/>
  <c r="X106" i="14"/>
  <c r="AZ101" i="14"/>
  <c r="X100" i="14"/>
  <c r="AZ95" i="14"/>
  <c r="X94" i="14"/>
  <c r="AZ89" i="14"/>
  <c r="X88" i="14"/>
  <c r="AZ83" i="14"/>
  <c r="X82" i="14"/>
  <c r="AZ77" i="14"/>
  <c r="X76" i="14"/>
  <c r="AZ71" i="14"/>
  <c r="X70" i="14"/>
  <c r="AZ65" i="14"/>
  <c r="X64" i="14"/>
  <c r="AZ59" i="14"/>
  <c r="X58" i="14"/>
  <c r="AZ53" i="14"/>
  <c r="X52" i="14"/>
  <c r="AZ47" i="14"/>
  <c r="X46" i="14"/>
  <c r="AZ41" i="14"/>
  <c r="X40" i="14"/>
  <c r="G40" i="14" s="1"/>
  <c r="AZ32" i="14"/>
  <c r="X31" i="14"/>
  <c r="AL30" i="14"/>
  <c r="AL95" i="14"/>
  <c r="AL89" i="14"/>
  <c r="AL83" i="14"/>
  <c r="AL77" i="14"/>
  <c r="AL71" i="14"/>
  <c r="AL65" i="14"/>
  <c r="AL59" i="14"/>
  <c r="AL53" i="14"/>
  <c r="AL47" i="14"/>
  <c r="AL41" i="14"/>
  <c r="AL32" i="14"/>
  <c r="X30" i="14"/>
  <c r="AL29" i="14"/>
  <c r="AL23" i="14"/>
  <c r="X125" i="14"/>
  <c r="AL124" i="14"/>
  <c r="AZ123" i="14"/>
  <c r="AZ114" i="14"/>
  <c r="X113" i="14"/>
  <c r="AZ108" i="14"/>
  <c r="X107" i="14"/>
  <c r="AZ102" i="14"/>
  <c r="X101" i="14"/>
  <c r="AZ96" i="14"/>
  <c r="X95" i="14"/>
  <c r="G95" i="14" s="1"/>
  <c r="AZ90" i="14"/>
  <c r="X89" i="14"/>
  <c r="AZ84" i="14"/>
  <c r="X83" i="14"/>
  <c r="AZ78" i="14"/>
  <c r="X77" i="14"/>
  <c r="AZ72" i="14"/>
  <c r="X71" i="14"/>
  <c r="AZ66" i="14"/>
  <c r="X65" i="14"/>
  <c r="AZ60" i="14"/>
  <c r="X59" i="14"/>
  <c r="AZ54" i="14"/>
  <c r="X53" i="14"/>
  <c r="AZ48" i="14"/>
  <c r="X47" i="14"/>
  <c r="AZ42" i="14"/>
  <c r="X41" i="14"/>
  <c r="AZ33" i="14"/>
  <c r="X32" i="14"/>
  <c r="X29" i="14"/>
  <c r="AZ24" i="14"/>
  <c r="AL96" i="14"/>
  <c r="AL90" i="14"/>
  <c r="AL84" i="14"/>
  <c r="AL78" i="14"/>
  <c r="AL72" i="14"/>
  <c r="AL66" i="14"/>
  <c r="AL60" i="14"/>
  <c r="AL54" i="14"/>
  <c r="AL48" i="14"/>
  <c r="AL42" i="14"/>
  <c r="AL33" i="14"/>
  <c r="AL24" i="14"/>
  <c r="AL17" i="14"/>
  <c r="AZ91" i="14"/>
  <c r="X90" i="14"/>
  <c r="AZ85" i="14"/>
  <c r="X84" i="14"/>
  <c r="AZ79" i="14"/>
  <c r="X78" i="14"/>
  <c r="AZ73" i="14"/>
  <c r="X72" i="14"/>
  <c r="AZ67" i="14"/>
  <c r="X66" i="14"/>
  <c r="AZ61" i="14"/>
  <c r="X60" i="14"/>
  <c r="AZ55" i="14"/>
  <c r="X54" i="14"/>
  <c r="AZ49" i="14"/>
  <c r="X48" i="14"/>
  <c r="AZ43" i="14"/>
  <c r="X42" i="14"/>
  <c r="AZ34" i="14"/>
  <c r="X33" i="14"/>
  <c r="AZ25" i="14"/>
  <c r="X24" i="14"/>
  <c r="AZ18" i="14"/>
  <c r="L138" i="14"/>
  <c r="AL97" i="14"/>
  <c r="AL91" i="14"/>
  <c r="AL85" i="14"/>
  <c r="AL79" i="14"/>
  <c r="AL73" i="14"/>
  <c r="AL67" i="14"/>
  <c r="AL61" i="14"/>
  <c r="AL55" i="14"/>
  <c r="AL49" i="14"/>
  <c r="AL43" i="14"/>
  <c r="AL34" i="14"/>
  <c r="AL25" i="14"/>
  <c r="AL18" i="14"/>
  <c r="X23" i="14"/>
  <c r="G23" i="14" s="1"/>
  <c r="X10" i="14"/>
  <c r="AZ11" i="14"/>
  <c r="X16" i="14"/>
  <c r="AZ20" i="14"/>
  <c r="AZ23" i="14"/>
  <c r="AZ26" i="14"/>
  <c r="AZ38" i="14"/>
  <c r="X49" i="14"/>
  <c r="AZ56" i="14"/>
  <c r="X67" i="14"/>
  <c r="AZ74" i="14"/>
  <c r="X85" i="14"/>
  <c r="AZ92" i="14"/>
  <c r="X103" i="14"/>
  <c r="AZ110" i="14"/>
  <c r="AL132" i="14"/>
  <c r="E141" i="14"/>
  <c r="C141" i="14"/>
  <c r="I141" i="14"/>
  <c r="I164" i="14"/>
  <c r="I176" i="14"/>
  <c r="E210" i="14"/>
  <c r="L210" i="14"/>
  <c r="C337" i="14"/>
  <c r="AZ6" i="14"/>
  <c r="X26" i="14"/>
  <c r="D186" i="14"/>
  <c r="C186" i="14"/>
  <c r="E198" i="14"/>
  <c r="L198" i="14"/>
  <c r="C340" i="14"/>
  <c r="C346" i="14"/>
  <c r="C352" i="14"/>
  <c r="AL11" i="14"/>
  <c r="H340" i="87"/>
  <c r="AL10" i="14"/>
  <c r="AL16" i="14"/>
  <c r="X34" i="14"/>
  <c r="AZ37" i="14"/>
  <c r="E151" i="14"/>
  <c r="D151" i="14"/>
  <c r="L151" i="14"/>
  <c r="D161" i="14"/>
  <c r="C161" i="14"/>
  <c r="E164" i="14"/>
  <c r="D173" i="14"/>
  <c r="C173" i="14"/>
  <c r="E176" i="14"/>
  <c r="D210" i="14"/>
  <c r="C210" i="14"/>
  <c r="E218" i="14"/>
  <c r="L218" i="14"/>
  <c r="D307" i="14"/>
  <c r="C307" i="14"/>
  <c r="AZ17" i="14"/>
  <c r="AL110" i="14"/>
  <c r="X9" i="14"/>
  <c r="AZ10" i="14"/>
  <c r="X15" i="14"/>
  <c r="AZ16" i="14"/>
  <c r="X19" i="14"/>
  <c r="X28" i="14"/>
  <c r="E140" i="14"/>
  <c r="C140" i="14"/>
  <c r="L161" i="14"/>
  <c r="L173" i="14"/>
  <c r="D185" i="14"/>
  <c r="C185" i="14"/>
  <c r="I200" i="14"/>
  <c r="D218" i="14"/>
  <c r="C263" i="14"/>
  <c r="I263" i="14"/>
  <c r="AL9" i="14"/>
  <c r="AL15" i="14"/>
  <c r="AL19" i="14"/>
  <c r="X25" i="14"/>
  <c r="AL44" i="14"/>
  <c r="AL62" i="14"/>
  <c r="AL80" i="14"/>
  <c r="AL98" i="14"/>
  <c r="AL116" i="14"/>
  <c r="D137" i="14"/>
  <c r="C137" i="14"/>
  <c r="D197" i="14"/>
  <c r="C197" i="14"/>
  <c r="C251" i="14"/>
  <c r="I251" i="14"/>
  <c r="D260" i="14"/>
  <c r="C260" i="14"/>
  <c r="C275" i="14"/>
  <c r="I275" i="14"/>
  <c r="AL38" i="14"/>
  <c r="C219" i="14"/>
  <c r="L219" i="14"/>
  <c r="D219" i="14"/>
  <c r="F22" i="87"/>
  <c r="X8" i="14"/>
  <c r="AZ9" i="14"/>
  <c r="X14" i="14"/>
  <c r="AZ15" i="14"/>
  <c r="AZ19" i="14"/>
  <c r="X22" i="14"/>
  <c r="AZ44" i="14"/>
  <c r="X55" i="14"/>
  <c r="AZ62" i="14"/>
  <c r="X73" i="14"/>
  <c r="AZ80" i="14"/>
  <c r="X91" i="14"/>
  <c r="AZ98" i="14"/>
  <c r="X109" i="14"/>
  <c r="AZ116" i="14"/>
  <c r="X121" i="14"/>
  <c r="L137" i="14"/>
  <c r="E163" i="14"/>
  <c r="D163" i="14"/>
  <c r="L163" i="14"/>
  <c r="E175" i="14"/>
  <c r="D175" i="14"/>
  <c r="L175" i="14"/>
  <c r="L197" i="14"/>
  <c r="D248" i="14"/>
  <c r="C248" i="14"/>
  <c r="X132" i="14"/>
  <c r="AL8" i="14"/>
  <c r="AL14" i="14"/>
  <c r="X120" i="14"/>
  <c r="AL133" i="14"/>
  <c r="E150" i="14"/>
  <c r="L150" i="14"/>
  <c r="E187" i="14"/>
  <c r="D187" i="14"/>
  <c r="L187" i="14"/>
  <c r="D209" i="14"/>
  <c r="C209" i="14"/>
  <c r="C212" i="14"/>
  <c r="D212" i="14"/>
  <c r="C236" i="14"/>
  <c r="D236" i="14"/>
  <c r="C239" i="14"/>
  <c r="I239" i="14"/>
  <c r="AZ12" i="14"/>
  <c r="C343" i="14"/>
  <c r="E355" i="14"/>
  <c r="C355" i="14"/>
  <c r="AL20" i="14"/>
  <c r="AL74" i="14"/>
  <c r="D138" i="14"/>
  <c r="C138" i="14"/>
  <c r="X7" i="14"/>
  <c r="AZ8" i="14"/>
  <c r="X13" i="14"/>
  <c r="AZ14" i="14"/>
  <c r="AL119" i="14"/>
  <c r="AL120" i="14"/>
  <c r="G139" i="14"/>
  <c r="E139" i="14"/>
  <c r="D139" i="14"/>
  <c r="L139" i="14"/>
  <c r="D150" i="14"/>
  <c r="C150" i="14"/>
  <c r="E153" i="14"/>
  <c r="I153" i="14"/>
  <c r="E199" i="14"/>
  <c r="D199" i="14"/>
  <c r="L199" i="14"/>
  <c r="L209" i="14"/>
  <c r="I211" i="14"/>
  <c r="AL26" i="14"/>
  <c r="AL56" i="14"/>
  <c r="AL92" i="14"/>
  <c r="D198" i="14"/>
  <c r="C198" i="14"/>
  <c r="D222" i="14"/>
  <c r="C222" i="14"/>
  <c r="J138" i="87"/>
  <c r="K219" i="87"/>
  <c r="AL7" i="14"/>
  <c r="AL13" i="14"/>
  <c r="X18" i="14"/>
  <c r="X21" i="14"/>
  <c r="AL27" i="14"/>
  <c r="AL50" i="14"/>
  <c r="AL68" i="14"/>
  <c r="AL86" i="14"/>
  <c r="AL104" i="14"/>
  <c r="AZ119" i="14"/>
  <c r="AZ133" i="14"/>
  <c r="E211" i="14"/>
  <c r="L211" i="14"/>
  <c r="E235" i="14"/>
  <c r="L235" i="14"/>
  <c r="K138" i="87"/>
  <c r="H352" i="87"/>
  <c r="E352" i="87" s="1"/>
  <c r="X6" i="14"/>
  <c r="AZ7" i="14"/>
  <c r="X12" i="14"/>
  <c r="AZ13" i="14"/>
  <c r="AL35" i="14"/>
  <c r="X43" i="14"/>
  <c r="AZ50" i="14"/>
  <c r="X61" i="14"/>
  <c r="AZ68" i="14"/>
  <c r="X79" i="14"/>
  <c r="AZ86" i="14"/>
  <c r="X97" i="14"/>
  <c r="AZ104" i="14"/>
  <c r="X115" i="14"/>
  <c r="AZ118" i="14"/>
  <c r="E162" i="14"/>
  <c r="L162" i="14"/>
  <c r="E165" i="14"/>
  <c r="I165" i="14"/>
  <c r="E174" i="14"/>
  <c r="L174" i="14"/>
  <c r="E177" i="14"/>
  <c r="I177" i="14"/>
  <c r="I186" i="14"/>
  <c r="D211" i="14"/>
  <c r="C211" i="14"/>
  <c r="D235" i="14"/>
  <c r="X11" i="14"/>
  <c r="X17" i="14"/>
  <c r="E201" i="14"/>
  <c r="I201" i="14"/>
  <c r="C349" i="14"/>
  <c r="H164" i="87"/>
  <c r="H176" i="87"/>
  <c r="AL6" i="14"/>
  <c r="AL12" i="14"/>
  <c r="AZ29" i="14"/>
  <c r="AZ35" i="14"/>
  <c r="I138" i="14"/>
  <c r="I152" i="14"/>
  <c r="D162" i="14"/>
  <c r="C162" i="14"/>
  <c r="D174" i="14"/>
  <c r="C174" i="14"/>
  <c r="E186" i="14"/>
  <c r="L186" i="14"/>
  <c r="E189" i="14"/>
  <c r="I189" i="14"/>
  <c r="I198" i="14"/>
  <c r="AL103" i="14"/>
  <c r="AL109" i="14"/>
  <c r="AL115" i="14"/>
  <c r="AZ120" i="14"/>
  <c r="AL121" i="14"/>
  <c r="X122" i="14"/>
  <c r="X131" i="14"/>
  <c r="AZ132" i="14"/>
  <c r="C135" i="14"/>
  <c r="G143" i="14"/>
  <c r="E145" i="14"/>
  <c r="C147" i="14"/>
  <c r="E157" i="14"/>
  <c r="C159" i="14"/>
  <c r="E169" i="14"/>
  <c r="C171" i="14"/>
  <c r="E181" i="14"/>
  <c r="C183" i="14"/>
  <c r="E193" i="14"/>
  <c r="C195" i="14"/>
  <c r="E205" i="14"/>
  <c r="C207" i="14"/>
  <c r="I225" i="14"/>
  <c r="E247" i="14"/>
  <c r="E259" i="14"/>
  <c r="I271" i="14"/>
  <c r="D272" i="14"/>
  <c r="C272" i="14"/>
  <c r="C287" i="14"/>
  <c r="I287" i="14"/>
  <c r="D310" i="14"/>
  <c r="C310" i="14"/>
  <c r="C334" i="14"/>
  <c r="C365" i="14"/>
  <c r="I365" i="14"/>
  <c r="X96" i="14"/>
  <c r="AZ97" i="14"/>
  <c r="X102" i="14"/>
  <c r="AZ103" i="14"/>
  <c r="X108" i="14"/>
  <c r="AZ109" i="14"/>
  <c r="X114" i="14"/>
  <c r="AZ115" i="14"/>
  <c r="AZ121" i="14"/>
  <c r="AL122" i="14"/>
  <c r="X123" i="14"/>
  <c r="AL131" i="14"/>
  <c r="D135" i="14"/>
  <c r="C136" i="14"/>
  <c r="D147" i="14"/>
  <c r="C148" i="14"/>
  <c r="D159" i="14"/>
  <c r="C160" i="14"/>
  <c r="D171" i="14"/>
  <c r="C172" i="14"/>
  <c r="D183" i="14"/>
  <c r="C184" i="14"/>
  <c r="D195" i="14"/>
  <c r="C196" i="14"/>
  <c r="D207" i="14"/>
  <c r="C208" i="14"/>
  <c r="E225" i="14"/>
  <c r="L225" i="14"/>
  <c r="E271" i="14"/>
  <c r="D284" i="14"/>
  <c r="C284" i="14"/>
  <c r="C299" i="14"/>
  <c r="I299" i="14"/>
  <c r="C329" i="14"/>
  <c r="D362" i="14"/>
  <c r="C362" i="14"/>
  <c r="AL102" i="14"/>
  <c r="AL108" i="14"/>
  <c r="AL114" i="14"/>
  <c r="AZ122" i="14"/>
  <c r="AL123" i="14"/>
  <c r="X124" i="14"/>
  <c r="X130" i="14"/>
  <c r="AZ131" i="14"/>
  <c r="G145" i="14"/>
  <c r="I155" i="14"/>
  <c r="L164" i="14"/>
  <c r="L176" i="14"/>
  <c r="L188" i="14"/>
  <c r="E195" i="14"/>
  <c r="L200" i="14"/>
  <c r="E207" i="14"/>
  <c r="C213" i="14"/>
  <c r="D216" i="14"/>
  <c r="I216" i="14"/>
  <c r="C217" i="14"/>
  <c r="L217" i="14"/>
  <c r="D225" i="14"/>
  <c r="I230" i="14"/>
  <c r="L234" i="14"/>
  <c r="L247" i="14"/>
  <c r="L259" i="14"/>
  <c r="D271" i="14"/>
  <c r="E283" i="14"/>
  <c r="I295" i="14"/>
  <c r="D296" i="14"/>
  <c r="C296" i="14"/>
  <c r="D313" i="14"/>
  <c r="C313" i="14"/>
  <c r="D326" i="14"/>
  <c r="C326" i="14"/>
  <c r="E338" i="14"/>
  <c r="AL130" i="14"/>
  <c r="E136" i="14"/>
  <c r="E148" i="14"/>
  <c r="E172" i="14"/>
  <c r="E184" i="14"/>
  <c r="E196" i="14"/>
  <c r="E208" i="14"/>
  <c r="E213" i="14"/>
  <c r="L230" i="14"/>
  <c r="D234" i="14"/>
  <c r="C234" i="14"/>
  <c r="E295" i="14"/>
  <c r="E325" i="14"/>
  <c r="E335" i="14"/>
  <c r="AL101" i="14"/>
  <c r="AL107" i="14"/>
  <c r="AL113" i="14"/>
  <c r="AZ124" i="14"/>
  <c r="AL125" i="14"/>
  <c r="X126" i="14"/>
  <c r="X129" i="14"/>
  <c r="AZ130" i="14"/>
  <c r="E137" i="14"/>
  <c r="L142" i="14"/>
  <c r="L154" i="14"/>
  <c r="E161" i="14"/>
  <c r="L166" i="14"/>
  <c r="E173" i="14"/>
  <c r="L178" i="14"/>
  <c r="E185" i="14"/>
  <c r="L190" i="14"/>
  <c r="E197" i="14"/>
  <c r="L202" i="14"/>
  <c r="E209" i="14"/>
  <c r="E215" i="14"/>
  <c r="I220" i="14"/>
  <c r="D230" i="14"/>
  <c r="I237" i="14"/>
  <c r="I249" i="14"/>
  <c r="I261" i="14"/>
  <c r="C261" i="14"/>
  <c r="D295" i="14"/>
  <c r="D316" i="14"/>
  <c r="C316" i="14"/>
  <c r="D325" i="14"/>
  <c r="D335" i="14"/>
  <c r="G136" i="14"/>
  <c r="G148" i="14"/>
  <c r="L220" i="14"/>
  <c r="E220" i="14"/>
  <c r="E237" i="14"/>
  <c r="D237" i="14"/>
  <c r="L237" i="14"/>
  <c r="E249" i="14"/>
  <c r="L249" i="14"/>
  <c r="E261" i="14"/>
  <c r="D261" i="14"/>
  <c r="L261" i="14"/>
  <c r="I273" i="14"/>
  <c r="C273" i="14"/>
  <c r="L295" i="14"/>
  <c r="AL100" i="14"/>
  <c r="AL106" i="14"/>
  <c r="AL112" i="14"/>
  <c r="AZ126" i="14"/>
  <c r="AL127" i="14"/>
  <c r="X128" i="14"/>
  <c r="AZ129" i="14"/>
  <c r="C153" i="14"/>
  <c r="C165" i="14"/>
  <c r="C177" i="14"/>
  <c r="C189" i="14"/>
  <c r="C201" i="14"/>
  <c r="L213" i="14"/>
  <c r="D220" i="14"/>
  <c r="C232" i="14"/>
  <c r="D246" i="14"/>
  <c r="C246" i="14"/>
  <c r="D249" i="14"/>
  <c r="D258" i="14"/>
  <c r="C258" i="14"/>
  <c r="L270" i="14"/>
  <c r="E273" i="14"/>
  <c r="L273" i="14"/>
  <c r="I285" i="14"/>
  <c r="C285" i="14"/>
  <c r="D319" i="14"/>
  <c r="C319" i="14"/>
  <c r="X99" i="14"/>
  <c r="AZ100" i="14"/>
  <c r="X105" i="14"/>
  <c r="AZ106" i="14"/>
  <c r="X111" i="14"/>
  <c r="AZ112" i="14"/>
  <c r="X117" i="14"/>
  <c r="AZ127" i="14"/>
  <c r="AL128" i="14"/>
  <c r="I136" i="14"/>
  <c r="D213" i="14"/>
  <c r="C227" i="14"/>
  <c r="I227" i="14"/>
  <c r="D270" i="14"/>
  <c r="C270" i="14"/>
  <c r="L282" i="14"/>
  <c r="E285" i="14"/>
  <c r="D285" i="14"/>
  <c r="L285" i="14"/>
  <c r="I297" i="14"/>
  <c r="C297" i="14"/>
  <c r="L304" i="14"/>
  <c r="C327" i="14"/>
  <c r="D282" i="14"/>
  <c r="C282" i="14"/>
  <c r="E297" i="14"/>
  <c r="D297" i="14"/>
  <c r="L297" i="14"/>
  <c r="D304" i="14"/>
  <c r="C304" i="14"/>
  <c r="E327" i="14"/>
  <c r="D327" i="14"/>
  <c r="E363" i="14"/>
  <c r="I218" i="14"/>
  <c r="I235" i="14"/>
  <c r="L236" i="14"/>
  <c r="D294" i="14"/>
  <c r="C294" i="14"/>
  <c r="D324" i="14"/>
  <c r="C324" i="14"/>
  <c r="D363" i="14"/>
  <c r="L212" i="14"/>
  <c r="C221" i="14"/>
  <c r="L224" i="14"/>
  <c r="C233" i="14"/>
  <c r="E243" i="14"/>
  <c r="C245" i="14"/>
  <c r="L248" i="14"/>
  <c r="C257" i="14"/>
  <c r="L260" i="14"/>
  <c r="E267" i="14"/>
  <c r="L272" i="14"/>
  <c r="E279" i="14"/>
  <c r="L284" i="14"/>
  <c r="E291" i="14"/>
  <c r="L296" i="14"/>
  <c r="E321" i="14"/>
  <c r="E357" i="14"/>
  <c r="C359" i="14"/>
  <c r="E232" i="14"/>
  <c r="E244" i="14"/>
  <c r="E256" i="14"/>
  <c r="E268" i="14"/>
  <c r="E280" i="14"/>
  <c r="E292" i="14"/>
  <c r="E322" i="14"/>
  <c r="D323" i="14"/>
  <c r="E358" i="14"/>
  <c r="C223" i="14"/>
  <c r="L226" i="14"/>
  <c r="C235" i="14"/>
  <c r="L238" i="14"/>
  <c r="E245" i="14"/>
  <c r="C247" i="14"/>
  <c r="L250" i="14"/>
  <c r="I253" i="14"/>
  <c r="E257" i="14"/>
  <c r="C259" i="14"/>
  <c r="L262" i="14"/>
  <c r="I265" i="14"/>
  <c r="E269" i="14"/>
  <c r="C271" i="14"/>
  <c r="L274" i="14"/>
  <c r="I277" i="14"/>
  <c r="E281" i="14"/>
  <c r="C283" i="14"/>
  <c r="I289" i="14"/>
  <c r="E293" i="14"/>
  <c r="C295" i="14"/>
  <c r="I301" i="14"/>
  <c r="E323" i="14"/>
  <c r="C325" i="14"/>
  <c r="C335" i="14"/>
  <c r="C338" i="14"/>
  <c r="C341" i="14"/>
  <c r="C344" i="14"/>
  <c r="C347" i="14"/>
  <c r="C350" i="14"/>
  <c r="C353" i="14"/>
  <c r="C356" i="14"/>
  <c r="E359" i="14"/>
  <c r="C361" i="14"/>
  <c r="L364" i="14"/>
  <c r="L215" i="14"/>
  <c r="E222" i="14"/>
  <c r="L227" i="14"/>
  <c r="E234" i="14"/>
  <c r="L239" i="14"/>
  <c r="E246" i="14"/>
  <c r="L251" i="14"/>
  <c r="E258" i="14"/>
  <c r="L263" i="14"/>
  <c r="E270" i="14"/>
  <c r="L275" i="14"/>
  <c r="E282" i="14"/>
  <c r="L287" i="14"/>
  <c r="E294" i="14"/>
  <c r="L299" i="14"/>
  <c r="E304" i="14"/>
  <c r="E307" i="14"/>
  <c r="E310" i="14"/>
  <c r="E313" i="14"/>
  <c r="E316" i="14"/>
  <c r="E319" i="14"/>
  <c r="E324" i="14"/>
  <c r="E360" i="14"/>
  <c r="L365" i="14"/>
  <c r="C249" i="14"/>
  <c r="E341" i="14"/>
  <c r="E344" i="14"/>
  <c r="E347" i="14"/>
  <c r="E350" i="14"/>
  <c r="E353" i="14"/>
  <c r="E356" i="14"/>
  <c r="E361" i="14"/>
  <c r="L229" i="14"/>
  <c r="L241" i="14"/>
  <c r="I244" i="14"/>
  <c r="I256" i="14"/>
  <c r="C364" i="14"/>
  <c r="L231" i="14"/>
  <c r="L243" i="14"/>
  <c r="D251" i="14"/>
  <c r="L255" i="14"/>
  <c r="D263" i="14"/>
  <c r="L267" i="14"/>
  <c r="D275" i="14"/>
  <c r="L279" i="14"/>
  <c r="D287" i="14"/>
  <c r="L291" i="14"/>
  <c r="D299" i="14"/>
  <c r="D329" i="14"/>
  <c r="D365" i="14"/>
  <c r="E227" i="14"/>
  <c r="E239" i="14"/>
  <c r="E251" i="14"/>
  <c r="E263" i="14"/>
  <c r="E275" i="14"/>
  <c r="C277" i="14"/>
  <c r="E287" i="14"/>
  <c r="C289" i="14"/>
  <c r="E299" i="14"/>
  <c r="C301" i="14"/>
  <c r="E329" i="14"/>
  <c r="C331" i="14"/>
  <c r="E334" i="14"/>
  <c r="E337" i="14"/>
  <c r="E340" i="14"/>
  <c r="E343" i="14"/>
  <c r="E346" i="14"/>
  <c r="E349" i="14"/>
  <c r="E352" i="14"/>
  <c r="E365" i="14"/>
  <c r="I9" i="87"/>
  <c r="D6" i="87"/>
  <c r="D9" i="87"/>
  <c r="D80" i="87"/>
  <c r="D74" i="87"/>
  <c r="D24" i="87"/>
  <c r="L27" i="87"/>
  <c r="L30" i="87"/>
  <c r="L33" i="87"/>
  <c r="I64" i="87"/>
  <c r="I67" i="87"/>
  <c r="L70" i="87"/>
  <c r="I104" i="87"/>
  <c r="L116" i="87"/>
  <c r="E59" i="87"/>
  <c r="C77" i="87"/>
  <c r="C39" i="87"/>
  <c r="C61" i="87"/>
  <c r="E73" i="87"/>
  <c r="D85" i="87"/>
  <c r="E12" i="87"/>
  <c r="L18" i="87"/>
  <c r="L58" i="87"/>
  <c r="L64" i="87"/>
  <c r="C107" i="87"/>
  <c r="C113" i="87"/>
  <c r="I133" i="87"/>
  <c r="L12" i="87"/>
  <c r="D95" i="87"/>
  <c r="C83" i="87"/>
  <c r="L14" i="87"/>
  <c r="I45" i="87"/>
  <c r="I82" i="87"/>
  <c r="L97" i="87"/>
  <c r="D103" i="87"/>
  <c r="L208" i="15"/>
  <c r="E208" i="15"/>
  <c r="J208" i="87"/>
  <c r="D73" i="87"/>
  <c r="D220" i="15"/>
  <c r="L46" i="87"/>
  <c r="C64" i="87"/>
  <c r="E92" i="87"/>
  <c r="C104" i="87"/>
  <c r="I142" i="15"/>
  <c r="J184" i="87"/>
  <c r="L184" i="15"/>
  <c r="J201" i="87"/>
  <c r="L219" i="15"/>
  <c r="J219" i="87"/>
  <c r="L227" i="15"/>
  <c r="J227" i="87"/>
  <c r="D228" i="15"/>
  <c r="K228" i="87"/>
  <c r="D257" i="15"/>
  <c r="K257" i="87"/>
  <c r="I168" i="15"/>
  <c r="C168" i="15"/>
  <c r="C348" i="15"/>
  <c r="K348" i="87"/>
  <c r="K208" i="87"/>
  <c r="D208" i="15"/>
  <c r="C208" i="15"/>
  <c r="L149" i="15"/>
  <c r="I150" i="15"/>
  <c r="J190" i="87"/>
  <c r="L190" i="15"/>
  <c r="D201" i="15"/>
  <c r="K201" i="87"/>
  <c r="D227" i="15"/>
  <c r="K227" i="87"/>
  <c r="L228" i="15"/>
  <c r="L268" i="15"/>
  <c r="J268" i="87"/>
  <c r="E268" i="87" s="1"/>
  <c r="L337" i="15"/>
  <c r="J337" i="87"/>
  <c r="D160" i="15"/>
  <c r="C160" i="15"/>
  <c r="D191" i="15"/>
  <c r="K191" i="87"/>
  <c r="C191" i="15"/>
  <c r="L160" i="15"/>
  <c r="L239" i="15"/>
  <c r="J239" i="87"/>
  <c r="C59" i="87"/>
  <c r="L71" i="87"/>
  <c r="L80" i="87"/>
  <c r="D92" i="87"/>
  <c r="E114" i="87"/>
  <c r="I183" i="15"/>
  <c r="H183" i="87"/>
  <c r="D190" i="15"/>
  <c r="C190" i="15"/>
  <c r="K190" i="87"/>
  <c r="E207" i="15"/>
  <c r="J207" i="87"/>
  <c r="D312" i="15"/>
  <c r="L312" i="15"/>
  <c r="L322" i="15"/>
  <c r="J322" i="87"/>
  <c r="C53" i="87"/>
  <c r="C111" i="87"/>
  <c r="L137" i="15"/>
  <c r="I157" i="15"/>
  <c r="D197" i="15"/>
  <c r="C197" i="15"/>
  <c r="K197" i="87"/>
  <c r="D207" i="15"/>
  <c r="C207" i="15"/>
  <c r="K207" i="87"/>
  <c r="C215" i="15"/>
  <c r="D215" i="15"/>
  <c r="K215" i="87"/>
  <c r="H226" i="87"/>
  <c r="I226" i="15"/>
  <c r="L245" i="15"/>
  <c r="J245" i="87"/>
  <c r="H311" i="87"/>
  <c r="I311" i="15"/>
  <c r="D16" i="87"/>
  <c r="I41" i="87"/>
  <c r="I44" i="87"/>
  <c r="D59" i="87"/>
  <c r="D68" i="87"/>
  <c r="I84" i="87"/>
  <c r="I90" i="87"/>
  <c r="I118" i="87"/>
  <c r="K141" i="87"/>
  <c r="K171" i="87"/>
  <c r="C171" i="15"/>
  <c r="J283" i="87"/>
  <c r="D308" i="15"/>
  <c r="K308" i="87"/>
  <c r="L189" i="15"/>
  <c r="E189" i="15"/>
  <c r="D196" i="15"/>
  <c r="C196" i="15"/>
  <c r="K196" i="87"/>
  <c r="L214" i="15"/>
  <c r="E214" i="15"/>
  <c r="J214" i="87"/>
  <c r="L234" i="15"/>
  <c r="L220" i="15"/>
  <c r="E220" i="15"/>
  <c r="J220" i="87"/>
  <c r="D356" i="15"/>
  <c r="C356" i="15"/>
  <c r="I17" i="87"/>
  <c r="I20" i="87"/>
  <c r="E35" i="87"/>
  <c r="I100" i="87"/>
  <c r="I103" i="87"/>
  <c r="L112" i="87"/>
  <c r="I125" i="87"/>
  <c r="I233" i="15"/>
  <c r="H233" i="87"/>
  <c r="J272" i="87"/>
  <c r="L272" i="15"/>
  <c r="E277" i="15"/>
  <c r="J277" i="87"/>
  <c r="D79" i="87"/>
  <c r="C23" i="87"/>
  <c r="C29" i="87"/>
  <c r="C32" i="87"/>
  <c r="C35" i="87"/>
  <c r="I54" i="87"/>
  <c r="I94" i="87"/>
  <c r="I97" i="87"/>
  <c r="E132" i="87"/>
  <c r="J365" i="87"/>
  <c r="E145" i="15"/>
  <c r="L145" i="15"/>
  <c r="D153" i="15"/>
  <c r="C153" i="15"/>
  <c r="C154" i="15"/>
  <c r="I154" i="15"/>
  <c r="L179" i="15"/>
  <c r="D179" i="15"/>
  <c r="J179" i="87"/>
  <c r="D179" i="87" s="1"/>
  <c r="L195" i="15"/>
  <c r="J195" i="87"/>
  <c r="E195" i="15"/>
  <c r="I202" i="15"/>
  <c r="L213" i="15"/>
  <c r="J213" i="87"/>
  <c r="D282" i="15"/>
  <c r="C282" i="15"/>
  <c r="K282" i="87"/>
  <c r="C178" i="15"/>
  <c r="H178" i="87"/>
  <c r="L202" i="15"/>
  <c r="J202" i="87"/>
  <c r="E202" i="15"/>
  <c r="L333" i="15"/>
  <c r="J333" i="87"/>
  <c r="L333" i="87" s="1"/>
  <c r="C11" i="87"/>
  <c r="C48" i="87"/>
  <c r="D54" i="87"/>
  <c r="I70" i="87"/>
  <c r="I79" i="87"/>
  <c r="L88" i="87"/>
  <c r="I107" i="87"/>
  <c r="E116" i="87"/>
  <c r="L119" i="87"/>
  <c r="D122" i="87"/>
  <c r="D132" i="87"/>
  <c r="I178" i="15"/>
  <c r="D185" i="15"/>
  <c r="C185" i="15"/>
  <c r="K185" i="87"/>
  <c r="C202" i="15"/>
  <c r="D202" i="15"/>
  <c r="I208" i="15"/>
  <c r="I220" i="15"/>
  <c r="C276" i="15"/>
  <c r="H276" i="87"/>
  <c r="I276" i="15"/>
  <c r="I349" i="15"/>
  <c r="C349" i="15"/>
  <c r="H349" i="87"/>
  <c r="E231" i="15"/>
  <c r="E232" i="15"/>
  <c r="L233" i="15"/>
  <c r="D239" i="15"/>
  <c r="D245" i="15"/>
  <c r="D251" i="15"/>
  <c r="C268" i="15"/>
  <c r="I270" i="15"/>
  <c r="L283" i="15"/>
  <c r="L303" i="15"/>
  <c r="D322" i="15"/>
  <c r="D337" i="15"/>
  <c r="L339" i="15"/>
  <c r="I345" i="15"/>
  <c r="L349" i="15"/>
  <c r="E134" i="15"/>
  <c r="D137" i="15"/>
  <c r="E142" i="15"/>
  <c r="E143" i="15"/>
  <c r="D145" i="15"/>
  <c r="C150" i="15"/>
  <c r="E158" i="15"/>
  <c r="L161" i="15"/>
  <c r="E168" i="15"/>
  <c r="E169" i="15"/>
  <c r="I177" i="15"/>
  <c r="E178" i="15"/>
  <c r="D184" i="15"/>
  <c r="D189" i="15"/>
  <c r="I194" i="15"/>
  <c r="I200" i="15"/>
  <c r="E206" i="15"/>
  <c r="D213" i="15"/>
  <c r="D219" i="15"/>
  <c r="E237" i="15"/>
  <c r="I238" i="15"/>
  <c r="I244" i="15"/>
  <c r="C263" i="15"/>
  <c r="C269" i="15"/>
  <c r="C273" i="15"/>
  <c r="L285" i="15"/>
  <c r="L290" i="15"/>
  <c r="L293" i="15"/>
  <c r="L298" i="15"/>
  <c r="L301" i="15"/>
  <c r="D310" i="15"/>
  <c r="L311" i="15"/>
  <c r="C319" i="15"/>
  <c r="I335" i="15"/>
  <c r="I344" i="15"/>
  <c r="C355" i="15"/>
  <c r="I357" i="15"/>
  <c r="L361" i="15"/>
  <c r="C138" i="15"/>
  <c r="E154" i="15"/>
  <c r="E155" i="15"/>
  <c r="C173" i="15"/>
  <c r="L177" i="15"/>
  <c r="C181" i="15"/>
  <c r="D183" i="15"/>
  <c r="I188" i="15"/>
  <c r="I218" i="15"/>
  <c r="L225" i="15"/>
  <c r="L226" i="15"/>
  <c r="E261" i="15"/>
  <c r="I274" i="15"/>
  <c r="C279" i="15"/>
  <c r="I319" i="15"/>
  <c r="F121" i="87"/>
  <c r="F126" i="87"/>
  <c r="I146" i="15"/>
  <c r="I151" i="15"/>
  <c r="I158" i="15"/>
  <c r="L165" i="15"/>
  <c r="C175" i="15"/>
  <c r="I182" i="15"/>
  <c r="I193" i="15"/>
  <c r="I199" i="15"/>
  <c r="L224" i="15"/>
  <c r="I237" i="15"/>
  <c r="D243" i="15"/>
  <c r="D249" i="15"/>
  <c r="L256" i="15"/>
  <c r="L264" i="15"/>
  <c r="E266" i="15"/>
  <c r="L270" i="15"/>
  <c r="L276" i="15"/>
  <c r="I288" i="15"/>
  <c r="E294" i="15"/>
  <c r="I296" i="15"/>
  <c r="I304" i="15"/>
  <c r="I310" i="15"/>
  <c r="L319" i="15"/>
  <c r="L326" i="15"/>
  <c r="E329" i="15"/>
  <c r="E338" i="15"/>
  <c r="I340" i="15"/>
  <c r="L345" i="15"/>
  <c r="C354" i="15"/>
  <c r="E355" i="15"/>
  <c r="L357" i="15"/>
  <c r="K356" i="87"/>
  <c r="C148" i="15"/>
  <c r="E163" i="15"/>
  <c r="C265" i="15"/>
  <c r="D340" i="15"/>
  <c r="E347" i="15"/>
  <c r="I351" i="15"/>
  <c r="D146" i="15"/>
  <c r="D151" i="15"/>
  <c r="D158" i="15"/>
  <c r="I166" i="15"/>
  <c r="L172" i="15"/>
  <c r="E176" i="15"/>
  <c r="D193" i="15"/>
  <c r="D199" i="15"/>
  <c r="D231" i="15"/>
  <c r="L232" i="15"/>
  <c r="D237" i="15"/>
  <c r="L254" i="15"/>
  <c r="D262" i="15"/>
  <c r="L274" i="15"/>
  <c r="D314" i="15"/>
  <c r="L338" i="15"/>
  <c r="C339" i="15"/>
  <c r="E359" i="15"/>
  <c r="E363" i="15"/>
  <c r="D134" i="15"/>
  <c r="D139" i="15"/>
  <c r="D143" i="15"/>
  <c r="L151" i="15"/>
  <c r="I159" i="15"/>
  <c r="E167" i="15"/>
  <c r="E170" i="15"/>
  <c r="C176" i="15"/>
  <c r="D187" i="15"/>
  <c r="L193" i="15"/>
  <c r="L199" i="15"/>
  <c r="C259" i="15"/>
  <c r="E269" i="15"/>
  <c r="E278" i="15"/>
  <c r="I297" i="15"/>
  <c r="L299" i="15"/>
  <c r="D306" i="15"/>
  <c r="D320" i="15"/>
  <c r="C330" i="15"/>
  <c r="C334" i="15"/>
  <c r="D336" i="15"/>
  <c r="L340" i="15"/>
  <c r="C341" i="15"/>
  <c r="L342" i="15"/>
  <c r="L346" i="15"/>
  <c r="D351" i="15"/>
  <c r="I352" i="15"/>
  <c r="E353" i="15"/>
  <c r="I355" i="15"/>
  <c r="C358" i="15"/>
  <c r="I363" i="15"/>
  <c r="D135" i="15"/>
  <c r="E140" i="15"/>
  <c r="C145" i="15"/>
  <c r="D152" i="15"/>
  <c r="D155" i="15"/>
  <c r="D166" i="15"/>
  <c r="D169" i="15"/>
  <c r="I180" i="15"/>
  <c r="D181" i="15"/>
  <c r="C184" i="15"/>
  <c r="L187" i="15"/>
  <c r="D192" i="15"/>
  <c r="D198" i="15"/>
  <c r="D217" i="15"/>
  <c r="D223" i="15"/>
  <c r="D241" i="15"/>
  <c r="D247" i="15"/>
  <c r="C253" i="15"/>
  <c r="I265" i="15"/>
  <c r="C272" i="15"/>
  <c r="I278" i="15"/>
  <c r="I279" i="15"/>
  <c r="I281" i="15"/>
  <c r="C283" i="15"/>
  <c r="L286" i="15"/>
  <c r="L289" i="15"/>
  <c r="L305" i="15"/>
  <c r="L306" i="15"/>
  <c r="E309" i="15"/>
  <c r="C318" i="15"/>
  <c r="D333" i="15"/>
  <c r="C336" i="15"/>
  <c r="I136" i="15"/>
  <c r="E144" i="15"/>
  <c r="E148" i="15"/>
  <c r="E156" i="15"/>
  <c r="L166" i="15"/>
  <c r="I170" i="15"/>
  <c r="I174" i="15"/>
  <c r="L181" i="15"/>
  <c r="I209" i="15"/>
  <c r="I221" i="15"/>
  <c r="D229" i="15"/>
  <c r="D235" i="15"/>
  <c r="I252" i="15"/>
  <c r="L260" i="15"/>
  <c r="I262" i="15"/>
  <c r="I280" i="15"/>
  <c r="D290" i="15"/>
  <c r="C294" i="15"/>
  <c r="D297" i="15"/>
  <c r="D298" i="15"/>
  <c r="C302" i="15"/>
  <c r="L336" i="15"/>
  <c r="C337" i="15"/>
  <c r="C345" i="15"/>
  <c r="D347" i="15"/>
  <c r="D352" i="15"/>
  <c r="D363" i="15"/>
  <c r="I364" i="15"/>
  <c r="C141" i="15"/>
  <c r="E190" i="15"/>
  <c r="C317" i="15"/>
  <c r="L321" i="15"/>
  <c r="E335" i="15"/>
  <c r="C344" i="15"/>
  <c r="L347" i="15"/>
  <c r="D136" i="15"/>
  <c r="L141" i="15"/>
  <c r="L148" i="15"/>
  <c r="L153" i="15"/>
  <c r="D163" i="15"/>
  <c r="I164" i="15"/>
  <c r="L167" i="15"/>
  <c r="D170" i="15"/>
  <c r="C172" i="15"/>
  <c r="E183" i="15"/>
  <c r="E184" i="15"/>
  <c r="I190" i="15"/>
  <c r="L191" i="15"/>
  <c r="I195" i="15"/>
  <c r="L197" i="15"/>
  <c r="I201" i="15"/>
  <c r="D203" i="15"/>
  <c r="I207" i="15"/>
  <c r="D209" i="15"/>
  <c r="L215" i="15"/>
  <c r="L216" i="15"/>
  <c r="D221" i="15"/>
  <c r="E225" i="15"/>
  <c r="E226" i="15"/>
  <c r="I227" i="15"/>
  <c r="E234" i="15"/>
  <c r="I239" i="15"/>
  <c r="D240" i="15"/>
  <c r="I245" i="15"/>
  <c r="D246" i="15"/>
  <c r="C250" i="15"/>
  <c r="I251" i="15"/>
  <c r="D252" i="15"/>
  <c r="L257" i="15"/>
  <c r="L258" i="15"/>
  <c r="L265" i="15"/>
  <c r="C266" i="15"/>
  <c r="I277" i="15"/>
  <c r="L279" i="15"/>
  <c r="L280" i="15"/>
  <c r="E282" i="15"/>
  <c r="I283" i="15"/>
  <c r="E284" i="15"/>
  <c r="E292" i="15"/>
  <c r="E300" i="15"/>
  <c r="E312" i="15"/>
  <c r="C315" i="15"/>
  <c r="E354" i="15"/>
  <c r="L356" i="15"/>
  <c r="D357" i="15"/>
  <c r="D359" i="15"/>
  <c r="C361" i="15"/>
  <c r="D364" i="15"/>
  <c r="I365" i="15"/>
  <c r="D300" i="15"/>
  <c r="C300" i="15"/>
  <c r="D353" i="15"/>
  <c r="C353" i="15"/>
  <c r="L353" i="15"/>
  <c r="D8" i="87"/>
  <c r="D14" i="87"/>
  <c r="E96" i="87"/>
  <c r="D105" i="87"/>
  <c r="J159" i="87"/>
  <c r="I137" i="15"/>
  <c r="L140" i="15"/>
  <c r="E141" i="15"/>
  <c r="C143" i="15"/>
  <c r="I149" i="15"/>
  <c r="L152" i="15"/>
  <c r="E153" i="15"/>
  <c r="C155" i="15"/>
  <c r="I161" i="15"/>
  <c r="L164" i="15"/>
  <c r="E165" i="15"/>
  <c r="C167" i="15"/>
  <c r="L174" i="15"/>
  <c r="L180" i="15"/>
  <c r="L186" i="15"/>
  <c r="L192" i="15"/>
  <c r="L198" i="15"/>
  <c r="D205" i="15"/>
  <c r="I263" i="15"/>
  <c r="E263" i="15"/>
  <c r="D263" i="15"/>
  <c r="L263" i="15"/>
  <c r="D277" i="15"/>
  <c r="C277" i="15"/>
  <c r="E287" i="15"/>
  <c r="D360" i="15"/>
  <c r="D365" i="15"/>
  <c r="C365" i="15"/>
  <c r="L365" i="15"/>
  <c r="E303" i="15"/>
  <c r="C303" i="15"/>
  <c r="I303" i="15"/>
  <c r="C96" i="87"/>
  <c r="F315" i="87"/>
  <c r="L135" i="15"/>
  <c r="L147" i="15"/>
  <c r="I156" i="15"/>
  <c r="L159" i="15"/>
  <c r="L171" i="15"/>
  <c r="E201" i="15"/>
  <c r="L203" i="15"/>
  <c r="L205" i="15"/>
  <c r="I212" i="15"/>
  <c r="C287" i="15"/>
  <c r="C295" i="15"/>
  <c r="J147" i="87"/>
  <c r="K198" i="87"/>
  <c r="D138" i="15"/>
  <c r="D150" i="15"/>
  <c r="L212" i="15"/>
  <c r="E224" i="15"/>
  <c r="I224" i="15"/>
  <c r="I307" i="15"/>
  <c r="E307" i="15"/>
  <c r="L307" i="15"/>
  <c r="E350" i="15"/>
  <c r="C350" i="15"/>
  <c r="I350" i="15"/>
  <c r="D284" i="15"/>
  <c r="C284" i="15"/>
  <c r="I360" i="15"/>
  <c r="E360" i="15"/>
  <c r="L360" i="15"/>
  <c r="L6" i="87"/>
  <c r="K353" i="87"/>
  <c r="I134" i="15"/>
  <c r="E138" i="15"/>
  <c r="C140" i="15"/>
  <c r="E150" i="15"/>
  <c r="C152" i="15"/>
  <c r="E162" i="15"/>
  <c r="C164" i="15"/>
  <c r="E173" i="15"/>
  <c r="C174" i="15"/>
  <c r="E179" i="15"/>
  <c r="C180" i="15"/>
  <c r="E185" i="15"/>
  <c r="C186" i="15"/>
  <c r="E191" i="15"/>
  <c r="C192" i="15"/>
  <c r="E197" i="15"/>
  <c r="C198" i="15"/>
  <c r="D212" i="15"/>
  <c r="E218" i="15"/>
  <c r="L218" i="15"/>
  <c r="E242" i="15"/>
  <c r="C242" i="15"/>
  <c r="I242" i="15"/>
  <c r="E248" i="15"/>
  <c r="C248" i="15"/>
  <c r="I248" i="15"/>
  <c r="E254" i="15"/>
  <c r="C254" i="15"/>
  <c r="I254" i="15"/>
  <c r="D307" i="15"/>
  <c r="C314" i="15"/>
  <c r="I314" i="15"/>
  <c r="C362" i="15"/>
  <c r="I362" i="15"/>
  <c r="I88" i="87"/>
  <c r="D118" i="87"/>
  <c r="J135" i="87"/>
  <c r="K186" i="87"/>
  <c r="K192" i="87"/>
  <c r="C135" i="15"/>
  <c r="I141" i="15"/>
  <c r="L144" i="15"/>
  <c r="C147" i="15"/>
  <c r="I153" i="15"/>
  <c r="L156" i="15"/>
  <c r="D164" i="15"/>
  <c r="I165" i="15"/>
  <c r="L168" i="15"/>
  <c r="D174" i="15"/>
  <c r="L176" i="15"/>
  <c r="D180" i="15"/>
  <c r="L182" i="15"/>
  <c r="L188" i="15"/>
  <c r="L194" i="15"/>
  <c r="L200" i="15"/>
  <c r="I211" i="15"/>
  <c r="E211" i="15"/>
  <c r="E230" i="15"/>
  <c r="I230" i="15"/>
  <c r="E236" i="15"/>
  <c r="C236" i="15"/>
  <c r="I236" i="15"/>
  <c r="E314" i="15"/>
  <c r="D343" i="15"/>
  <c r="C343" i="15"/>
  <c r="L343" i="15"/>
  <c r="F94" i="87"/>
  <c r="L139" i="15"/>
  <c r="C142" i="15"/>
  <c r="D147" i="15"/>
  <c r="E152" i="15"/>
  <c r="D159" i="15"/>
  <c r="E164" i="15"/>
  <c r="D171" i="15"/>
  <c r="E174" i="15"/>
  <c r="E180" i="15"/>
  <c r="E186" i="15"/>
  <c r="E192" i="15"/>
  <c r="E198" i="15"/>
  <c r="D211" i="15"/>
  <c r="I259" i="15"/>
  <c r="E259" i="15"/>
  <c r="D259" i="15"/>
  <c r="L259" i="15"/>
  <c r="D288" i="15"/>
  <c r="C288" i="15"/>
  <c r="D296" i="15"/>
  <c r="C296" i="15"/>
  <c r="E299" i="15"/>
  <c r="C299" i="15"/>
  <c r="I299" i="15"/>
  <c r="D304" i="15"/>
  <c r="C304" i="15"/>
  <c r="E213" i="15"/>
  <c r="I213" i="15"/>
  <c r="L325" i="15"/>
  <c r="E135" i="15"/>
  <c r="C137" i="15"/>
  <c r="E147" i="15"/>
  <c r="C149" i="15"/>
  <c r="E159" i="15"/>
  <c r="C161" i="15"/>
  <c r="E171" i="15"/>
  <c r="L211" i="15"/>
  <c r="I217" i="15"/>
  <c r="E217" i="15"/>
  <c r="I223" i="15"/>
  <c r="E223" i="15"/>
  <c r="L223" i="15"/>
  <c r="C230" i="15"/>
  <c r="I241" i="15"/>
  <c r="E241" i="15"/>
  <c r="L241" i="15"/>
  <c r="I247" i="15"/>
  <c r="E247" i="15"/>
  <c r="L247" i="15"/>
  <c r="I253" i="15"/>
  <c r="E253" i="15"/>
  <c r="D253" i="15"/>
  <c r="L253" i="15"/>
  <c r="I271" i="15"/>
  <c r="E271" i="15"/>
  <c r="D271" i="15"/>
  <c r="L271" i="15"/>
  <c r="E291" i="15"/>
  <c r="I313" i="15"/>
  <c r="L316" i="15"/>
  <c r="E219" i="15"/>
  <c r="C219" i="15"/>
  <c r="I219" i="15"/>
  <c r="E295" i="15"/>
  <c r="I295" i="15"/>
  <c r="H161" i="87"/>
  <c r="J171" i="87"/>
  <c r="H287" i="87"/>
  <c r="I162" i="15"/>
  <c r="I173" i="15"/>
  <c r="E175" i="15"/>
  <c r="I179" i="15"/>
  <c r="E181" i="15"/>
  <c r="I185" i="15"/>
  <c r="E187" i="15"/>
  <c r="I191" i="15"/>
  <c r="E193" i="15"/>
  <c r="I197" i="15"/>
  <c r="E199" i="15"/>
  <c r="C203" i="15"/>
  <c r="C205" i="15"/>
  <c r="L209" i="15"/>
  <c r="I229" i="15"/>
  <c r="E229" i="15"/>
  <c r="L229" i="15"/>
  <c r="I235" i="15"/>
  <c r="E235" i="15"/>
  <c r="L235" i="15"/>
  <c r="I267" i="15"/>
  <c r="E267" i="15"/>
  <c r="D267" i="15"/>
  <c r="L267" i="15"/>
  <c r="C291" i="15"/>
  <c r="E313" i="15"/>
  <c r="L313" i="15"/>
  <c r="D316" i="15"/>
  <c r="C316" i="15"/>
  <c r="I47" i="87"/>
  <c r="D98" i="87"/>
  <c r="D144" i="15"/>
  <c r="E149" i="15"/>
  <c r="D156" i="15"/>
  <c r="D168" i="15"/>
  <c r="D176" i="15"/>
  <c r="D182" i="15"/>
  <c r="D188" i="15"/>
  <c r="D194" i="15"/>
  <c r="D200" i="15"/>
  <c r="C213" i="15"/>
  <c r="I275" i="15"/>
  <c r="E275" i="15"/>
  <c r="D275" i="15"/>
  <c r="L275" i="15"/>
  <c r="D313" i="15"/>
  <c r="I205" i="15"/>
  <c r="E205" i="15"/>
  <c r="D292" i="15"/>
  <c r="C292" i="15"/>
  <c r="K300" i="87"/>
  <c r="C146" i="15"/>
  <c r="C158" i="15"/>
  <c r="C170" i="15"/>
  <c r="C177" i="15"/>
  <c r="C183" i="15"/>
  <c r="C189" i="15"/>
  <c r="C195" i="15"/>
  <c r="C201" i="15"/>
  <c r="D281" i="15"/>
  <c r="C281" i="15"/>
  <c r="C308" i="15"/>
  <c r="I308" i="15"/>
  <c r="I8" i="87"/>
  <c r="I14" i="87"/>
  <c r="D20" i="87"/>
  <c r="L26" i="87"/>
  <c r="I117" i="87"/>
  <c r="I130" i="87"/>
  <c r="H219" i="87"/>
  <c r="K284" i="87"/>
  <c r="L206" i="15"/>
  <c r="I348" i="15"/>
  <c r="E348" i="15"/>
  <c r="D348" i="15"/>
  <c r="L348" i="15"/>
  <c r="C221" i="15"/>
  <c r="C227" i="15"/>
  <c r="C233" i="15"/>
  <c r="E238" i="15"/>
  <c r="C239" i="15"/>
  <c r="E244" i="15"/>
  <c r="C245" i="15"/>
  <c r="E250" i="15"/>
  <c r="C251" i="15"/>
  <c r="E256" i="15"/>
  <c r="C257" i="15"/>
  <c r="E265" i="15"/>
  <c r="L277" i="15"/>
  <c r="D280" i="15"/>
  <c r="L281" i="15"/>
  <c r="D283" i="15"/>
  <c r="L284" i="15"/>
  <c r="L288" i="15"/>
  <c r="L292" i="15"/>
  <c r="L296" i="15"/>
  <c r="C297" i="15"/>
  <c r="L300" i="15"/>
  <c r="C301" i="15"/>
  <c r="L304" i="15"/>
  <c r="C305" i="15"/>
  <c r="E310" i="15"/>
  <c r="C311" i="15"/>
  <c r="E317" i="15"/>
  <c r="E280" i="15"/>
  <c r="E283" i="15"/>
  <c r="D285" i="15"/>
  <c r="D289" i="15"/>
  <c r="D293" i="15"/>
  <c r="I320" i="15"/>
  <c r="I330" i="15"/>
  <c r="E337" i="15"/>
  <c r="E341" i="15"/>
  <c r="C342" i="15"/>
  <c r="E349" i="15"/>
  <c r="C351" i="15"/>
  <c r="E361" i="15"/>
  <c r="C363" i="15"/>
  <c r="E203" i="15"/>
  <c r="C204" i="15"/>
  <c r="E209" i="15"/>
  <c r="C210" i="15"/>
  <c r="E215" i="15"/>
  <c r="C216" i="15"/>
  <c r="E221" i="15"/>
  <c r="C222" i="15"/>
  <c r="I225" i="15"/>
  <c r="E227" i="15"/>
  <c r="C228" i="15"/>
  <c r="E233" i="15"/>
  <c r="C234" i="15"/>
  <c r="E239" i="15"/>
  <c r="C240" i="15"/>
  <c r="I243" i="15"/>
  <c r="E245" i="15"/>
  <c r="C246" i="15"/>
  <c r="I249" i="15"/>
  <c r="E251" i="15"/>
  <c r="C252" i="15"/>
  <c r="I255" i="15"/>
  <c r="E257" i="15"/>
  <c r="C258" i="15"/>
  <c r="D260" i="15"/>
  <c r="D264" i="15"/>
  <c r="D268" i="15"/>
  <c r="D272" i="15"/>
  <c r="L278" i="15"/>
  <c r="E285" i="15"/>
  <c r="E289" i="15"/>
  <c r="E293" i="15"/>
  <c r="E297" i="15"/>
  <c r="E301" i="15"/>
  <c r="E305" i="15"/>
  <c r="C306" i="15"/>
  <c r="E311" i="15"/>
  <c r="C312" i="15"/>
  <c r="I315" i="15"/>
  <c r="L318" i="15"/>
  <c r="E319" i="15"/>
  <c r="C321" i="15"/>
  <c r="C329" i="15"/>
  <c r="I334" i="15"/>
  <c r="L344" i="15"/>
  <c r="C346" i="15"/>
  <c r="L355" i="15"/>
  <c r="E356" i="15"/>
  <c r="E260" i="15"/>
  <c r="E264" i="15"/>
  <c r="E268" i="15"/>
  <c r="E272" i="15"/>
  <c r="E276" i="15"/>
  <c r="L287" i="15"/>
  <c r="L291" i="15"/>
  <c r="L308" i="15"/>
  <c r="L314" i="15"/>
  <c r="E342" i="15"/>
  <c r="E351" i="15"/>
  <c r="L362" i="15"/>
  <c r="C211" i="15"/>
  <c r="C229" i="15"/>
  <c r="C235" i="15"/>
  <c r="C241" i="15"/>
  <c r="C247" i="15"/>
  <c r="L262" i="15"/>
  <c r="C307" i="15"/>
  <c r="C313" i="15"/>
  <c r="E336" i="15"/>
  <c r="E340" i="15"/>
  <c r="E346" i="15"/>
  <c r="E358" i="15"/>
  <c r="C360" i="15"/>
  <c r="L201" i="15"/>
  <c r="L207" i="15"/>
  <c r="L231" i="15"/>
  <c r="C278" i="15"/>
  <c r="L309" i="15"/>
  <c r="I337" i="15"/>
  <c r="I341" i="15"/>
  <c r="E343" i="15"/>
  <c r="L352" i="15"/>
  <c r="I361" i="15"/>
  <c r="L364" i="15"/>
  <c r="E365" i="15"/>
  <c r="C206" i="15"/>
  <c r="C212" i="15"/>
  <c r="C218" i="15"/>
  <c r="C224" i="15"/>
  <c r="L302" i="15"/>
  <c r="I260" i="15"/>
  <c r="I264" i="15"/>
  <c r="E318" i="15"/>
  <c r="C320" i="15"/>
  <c r="E344" i="15"/>
  <c r="L354" i="15"/>
  <c r="E308" i="15"/>
  <c r="C309" i="15"/>
  <c r="C338" i="15"/>
  <c r="C352" i="15"/>
  <c r="C364" i="15"/>
  <c r="C328" i="15"/>
  <c r="C347" i="15"/>
  <c r="C359" i="15"/>
  <c r="D18" i="87"/>
  <c r="C33" i="87"/>
  <c r="E106" i="87"/>
  <c r="E109" i="87"/>
  <c r="E121" i="87"/>
  <c r="C15" i="87"/>
  <c r="C106" i="87"/>
  <c r="C121" i="87"/>
  <c r="D97" i="87"/>
  <c r="D17" i="87"/>
  <c r="C347" i="87"/>
  <c r="I21" i="87"/>
  <c r="E24" i="87"/>
  <c r="I27" i="87"/>
  <c r="I30" i="87"/>
  <c r="L39" i="87"/>
  <c r="L57" i="87"/>
  <c r="L78" i="87"/>
  <c r="D328" i="16"/>
  <c r="C328" i="16"/>
  <c r="D7" i="87"/>
  <c r="CB81" i="16"/>
  <c r="BN76" i="16"/>
  <c r="CB64" i="16"/>
  <c r="AL63" i="16"/>
  <c r="CB58" i="16"/>
  <c r="AL57" i="16"/>
  <c r="CB52" i="16"/>
  <c r="AL51" i="16"/>
  <c r="CB46" i="16"/>
  <c r="AL45" i="16"/>
  <c r="X44" i="16"/>
  <c r="CB35" i="16"/>
  <c r="BN34" i="16"/>
  <c r="CB33" i="16"/>
  <c r="CB32" i="16"/>
  <c r="CB31" i="16"/>
  <c r="CB30" i="16"/>
  <c r="CB29" i="16"/>
  <c r="CB28" i="16"/>
  <c r="CB27" i="16"/>
  <c r="CB26" i="16"/>
  <c r="CB25" i="16"/>
  <c r="CB24" i="16"/>
  <c r="CB23" i="16"/>
  <c r="CB22" i="16"/>
  <c r="CB21" i="16"/>
  <c r="CB20" i="16"/>
  <c r="CB19" i="16"/>
  <c r="CB74" i="16"/>
  <c r="BN69" i="16"/>
  <c r="BN64" i="16"/>
  <c r="X63" i="16"/>
  <c r="BN58" i="16"/>
  <c r="X57" i="16"/>
  <c r="BN52" i="16"/>
  <c r="X51" i="16"/>
  <c r="BN46" i="16"/>
  <c r="X45" i="16"/>
  <c r="CB36" i="16"/>
  <c r="BN35" i="16"/>
  <c r="AZ34" i="16"/>
  <c r="BN33" i="16"/>
  <c r="BN32" i="16"/>
  <c r="BN31" i="16"/>
  <c r="BN30" i="16"/>
  <c r="BN29" i="16"/>
  <c r="BN28" i="16"/>
  <c r="BN27" i="16"/>
  <c r="BN26" i="16"/>
  <c r="BN25" i="16"/>
  <c r="BN24" i="16"/>
  <c r="BN23" i="16"/>
  <c r="BN22" i="16"/>
  <c r="BN21" i="16"/>
  <c r="BN20" i="16"/>
  <c r="BN19" i="16"/>
  <c r="BN18" i="16"/>
  <c r="BN17" i="16"/>
  <c r="BN16" i="16"/>
  <c r="BN15" i="16"/>
  <c r="BN14" i="16"/>
  <c r="CB122" i="16"/>
  <c r="CB113" i="16"/>
  <c r="CB104" i="16"/>
  <c r="CB95" i="16"/>
  <c r="CB86" i="16"/>
  <c r="BN74" i="16"/>
  <c r="AZ69" i="16"/>
  <c r="CB65" i="16"/>
  <c r="AL64" i="16"/>
  <c r="CB59" i="16"/>
  <c r="AL58" i="16"/>
  <c r="CB53" i="16"/>
  <c r="AL52" i="16"/>
  <c r="CB47" i="16"/>
  <c r="AL46" i="16"/>
  <c r="CB38" i="16"/>
  <c r="BN36" i="16"/>
  <c r="AZ35" i="16"/>
  <c r="AL34" i="16"/>
  <c r="AZ33" i="16"/>
  <c r="AZ32" i="16"/>
  <c r="AZ31" i="16"/>
  <c r="AZ30" i="16"/>
  <c r="AZ29" i="16"/>
  <c r="AZ28" i="16"/>
  <c r="AZ27" i="16"/>
  <c r="AZ26" i="16"/>
  <c r="AZ25" i="16"/>
  <c r="AZ24" i="16"/>
  <c r="AZ23" i="16"/>
  <c r="AZ22" i="16"/>
  <c r="AZ21" i="16"/>
  <c r="AZ20" i="16"/>
  <c r="AZ19" i="16"/>
  <c r="CB120" i="16"/>
  <c r="CB111" i="16"/>
  <c r="CB102" i="16"/>
  <c r="CB93" i="16"/>
  <c r="CB84" i="16"/>
  <c r="BN65" i="16"/>
  <c r="X64" i="16"/>
  <c r="BN59" i="16"/>
  <c r="X58" i="16"/>
  <c r="BN53" i="16"/>
  <c r="X52" i="16"/>
  <c r="BN47" i="16"/>
  <c r="X46" i="16"/>
  <c r="CB39" i="16"/>
  <c r="BN38" i="16"/>
  <c r="CB37" i="16"/>
  <c r="AZ36" i="16"/>
  <c r="AL35" i="16"/>
  <c r="X34" i="16"/>
  <c r="AL33" i="16"/>
  <c r="AL32" i="16"/>
  <c r="AL31" i="16"/>
  <c r="AL30" i="16"/>
  <c r="AL29" i="16"/>
  <c r="AL28" i="16"/>
  <c r="AL27" i="16"/>
  <c r="AL26" i="16"/>
  <c r="AL25" i="16"/>
  <c r="AL24" i="16"/>
  <c r="AL23" i="16"/>
  <c r="AL22" i="16"/>
  <c r="AL21" i="16"/>
  <c r="AL20" i="16"/>
  <c r="AL19" i="16"/>
  <c r="AL18" i="16"/>
  <c r="CB77" i="16"/>
  <c r="CB66" i="16"/>
  <c r="AL65" i="16"/>
  <c r="CB60" i="16"/>
  <c r="AL59" i="16"/>
  <c r="CB54" i="16"/>
  <c r="AL53" i="16"/>
  <c r="CB48" i="16"/>
  <c r="AL47" i="16"/>
  <c r="CB40" i="16"/>
  <c r="BN39" i="16"/>
  <c r="AZ38" i="16"/>
  <c r="BN37" i="16"/>
  <c r="AL36" i="16"/>
  <c r="X35" i="16"/>
  <c r="X33" i="16"/>
  <c r="X32" i="16"/>
  <c r="X31" i="16"/>
  <c r="X30" i="16"/>
  <c r="X29" i="16"/>
  <c r="X28" i="16"/>
  <c r="X27" i="16"/>
  <c r="X26" i="16"/>
  <c r="X25" i="16"/>
  <c r="X24" i="16"/>
  <c r="X23" i="16"/>
  <c r="X22" i="16"/>
  <c r="X21" i="16"/>
  <c r="BN77" i="16"/>
  <c r="BN72" i="16"/>
  <c r="BN66" i="16"/>
  <c r="X65" i="16"/>
  <c r="BN60" i="16"/>
  <c r="X59" i="16"/>
  <c r="BN54" i="16"/>
  <c r="X53" i="16"/>
  <c r="BN48" i="16"/>
  <c r="X47" i="16"/>
  <c r="CB41" i="16"/>
  <c r="BN40" i="16"/>
  <c r="AZ39" i="16"/>
  <c r="AL38" i="16"/>
  <c r="AZ37" i="16"/>
  <c r="X36" i="16"/>
  <c r="CB116" i="16"/>
  <c r="CB107" i="16"/>
  <c r="CB98" i="16"/>
  <c r="CB89" i="16"/>
  <c r="CB70" i="16"/>
  <c r="CB67" i="16"/>
  <c r="AL66" i="16"/>
  <c r="CB61" i="16"/>
  <c r="AL60" i="16"/>
  <c r="CB55" i="16"/>
  <c r="AL54" i="16"/>
  <c r="CB49" i="16"/>
  <c r="AL48" i="16"/>
  <c r="CB42" i="16"/>
  <c r="BN41" i="16"/>
  <c r="AZ40" i="16"/>
  <c r="AL39" i="16"/>
  <c r="X38" i="16"/>
  <c r="AL37" i="16"/>
  <c r="L134" i="16"/>
  <c r="BN129" i="16"/>
  <c r="CB114" i="16"/>
  <c r="CB105" i="16"/>
  <c r="CB96" i="16"/>
  <c r="CB87" i="16"/>
  <c r="CB80" i="16"/>
  <c r="BN67" i="16"/>
  <c r="X66" i="16"/>
  <c r="BN61" i="16"/>
  <c r="X60" i="16"/>
  <c r="BN55" i="16"/>
  <c r="X54" i="16"/>
  <c r="BN49" i="16"/>
  <c r="X48" i="16"/>
  <c r="CB43" i="16"/>
  <c r="BN42" i="16"/>
  <c r="AZ41" i="16"/>
  <c r="AL40" i="16"/>
  <c r="X39" i="16"/>
  <c r="BN80" i="16"/>
  <c r="AL67" i="16"/>
  <c r="CB62" i="16"/>
  <c r="AL61" i="16"/>
  <c r="CB56" i="16"/>
  <c r="AL55" i="16"/>
  <c r="CB50" i="16"/>
  <c r="AL49" i="16"/>
  <c r="CB44" i="16"/>
  <c r="BN43" i="16"/>
  <c r="AZ42" i="16"/>
  <c r="AL41" i="16"/>
  <c r="X40" i="16"/>
  <c r="D43" i="87"/>
  <c r="C72" i="87"/>
  <c r="C84" i="87"/>
  <c r="E133" i="87"/>
  <c r="X18" i="16"/>
  <c r="AL42" i="16"/>
  <c r="BN50" i="16"/>
  <c r="BN62" i="16"/>
  <c r="CB90" i="16"/>
  <c r="CB117" i="16"/>
  <c r="I142" i="16"/>
  <c r="I150" i="16"/>
  <c r="G150" i="16"/>
  <c r="E150" i="16"/>
  <c r="I169" i="16"/>
  <c r="G169" i="16"/>
  <c r="E169" i="16"/>
  <c r="G183" i="16"/>
  <c r="E183" i="16"/>
  <c r="I43" i="87"/>
  <c r="L186" i="16"/>
  <c r="E186" i="16"/>
  <c r="C116" i="87"/>
  <c r="AZ18" i="16"/>
  <c r="BN45" i="16"/>
  <c r="BN57" i="16"/>
  <c r="BN73" i="16"/>
  <c r="CB92" i="16"/>
  <c r="CB119" i="16"/>
  <c r="D183" i="16"/>
  <c r="C183" i="16"/>
  <c r="E305" i="16"/>
  <c r="G305" i="16"/>
  <c r="D305" i="16"/>
  <c r="L305" i="16"/>
  <c r="C313" i="16"/>
  <c r="E313" i="16"/>
  <c r="I313" i="16"/>
  <c r="C163" i="16"/>
  <c r="D163" i="16"/>
  <c r="D236" i="16"/>
  <c r="C236" i="16"/>
  <c r="X17" i="16"/>
  <c r="CB18" i="16"/>
  <c r="CB45" i="16"/>
  <c r="CB57" i="16"/>
  <c r="CB73" i="16"/>
  <c r="BN122" i="16"/>
  <c r="I148" i="16"/>
  <c r="L169" i="16"/>
  <c r="E292" i="16"/>
  <c r="G292" i="16"/>
  <c r="L292" i="16"/>
  <c r="I56" i="87"/>
  <c r="L79" i="87"/>
  <c r="E82" i="87"/>
  <c r="E85" i="87"/>
  <c r="AL17" i="16"/>
  <c r="X49" i="16"/>
  <c r="X61" i="16"/>
  <c r="G353" i="16"/>
  <c r="D353" i="16"/>
  <c r="L353" i="16"/>
  <c r="E72" i="87"/>
  <c r="I65" i="87"/>
  <c r="E68" i="87"/>
  <c r="C82" i="87"/>
  <c r="J134" i="87"/>
  <c r="K163" i="87"/>
  <c r="X16" i="16"/>
  <c r="AZ17" i="16"/>
  <c r="X20" i="16"/>
  <c r="X41" i="16"/>
  <c r="AL44" i="16"/>
  <c r="X56" i="16"/>
  <c r="X68" i="16"/>
  <c r="BN83" i="16"/>
  <c r="CB108" i="16"/>
  <c r="I139" i="16"/>
  <c r="E139" i="16"/>
  <c r="C139" i="16"/>
  <c r="D158" i="16"/>
  <c r="E168" i="16"/>
  <c r="L225" i="16"/>
  <c r="E225" i="16"/>
  <c r="C88" i="87"/>
  <c r="X15" i="16"/>
  <c r="AL16" i="16"/>
  <c r="CB17" i="16"/>
  <c r="AZ44" i="16"/>
  <c r="AL56" i="16"/>
  <c r="AZ68" i="16"/>
  <c r="CB83" i="16"/>
  <c r="CB110" i="16"/>
  <c r="L158" i="16"/>
  <c r="E193" i="16"/>
  <c r="I193" i="16"/>
  <c r="X6" i="16"/>
  <c r="X7" i="16"/>
  <c r="X8" i="16"/>
  <c r="X9" i="16"/>
  <c r="X10" i="16"/>
  <c r="X11" i="16"/>
  <c r="X12" i="16"/>
  <c r="X13" i="16"/>
  <c r="X14" i="16"/>
  <c r="AL15" i="16"/>
  <c r="AZ16" i="16"/>
  <c r="BN44" i="16"/>
  <c r="BN56" i="16"/>
  <c r="CB68" i="16"/>
  <c r="E153" i="16"/>
  <c r="I153" i="16"/>
  <c r="G153" i="16"/>
  <c r="L166" i="16"/>
  <c r="D166" i="16"/>
  <c r="D178" i="16"/>
  <c r="C178" i="16"/>
  <c r="C281" i="16"/>
  <c r="D281" i="16"/>
  <c r="L281" i="16"/>
  <c r="E330" i="16"/>
  <c r="I330" i="16"/>
  <c r="I340" i="16"/>
  <c r="C340" i="16"/>
  <c r="G163" i="16"/>
  <c r="E163" i="16"/>
  <c r="L163" i="16"/>
  <c r="G297" i="16"/>
  <c r="E297" i="16"/>
  <c r="D297" i="16"/>
  <c r="L297" i="16"/>
  <c r="AL6" i="16"/>
  <c r="AL7" i="16"/>
  <c r="AL8" i="16"/>
  <c r="AL9" i="16"/>
  <c r="AL10" i="16"/>
  <c r="AL11" i="16"/>
  <c r="AL12" i="16"/>
  <c r="AL13" i="16"/>
  <c r="AL14" i="16"/>
  <c r="AZ15" i="16"/>
  <c r="CB16" i="16"/>
  <c r="CB34" i="16"/>
  <c r="X43" i="16"/>
  <c r="BN51" i="16"/>
  <c r="BN63" i="16"/>
  <c r="G145" i="16"/>
  <c r="E145" i="16"/>
  <c r="C147" i="16"/>
  <c r="I147" i="16"/>
  <c r="D153" i="16"/>
  <c r="C153" i="16"/>
  <c r="L189" i="16"/>
  <c r="E189" i="16"/>
  <c r="L222" i="16"/>
  <c r="G222" i="16"/>
  <c r="E222" i="16"/>
  <c r="H186" i="87"/>
  <c r="K230" i="87"/>
  <c r="K236" i="87"/>
  <c r="K258" i="87"/>
  <c r="AZ6" i="16"/>
  <c r="AZ7" i="16"/>
  <c r="AZ8" i="16"/>
  <c r="AZ9" i="16"/>
  <c r="AZ10" i="16"/>
  <c r="AZ11" i="16"/>
  <c r="AZ12" i="16"/>
  <c r="AZ13" i="16"/>
  <c r="AZ14" i="16"/>
  <c r="CB15" i="16"/>
  <c r="AL43" i="16"/>
  <c r="CB51" i="16"/>
  <c r="CB63" i="16"/>
  <c r="CB99" i="16"/>
  <c r="C145" i="16"/>
  <c r="D145" i="16"/>
  <c r="C356" i="16"/>
  <c r="D356" i="16"/>
  <c r="C10" i="87"/>
  <c r="C22" i="87"/>
  <c r="E40" i="87"/>
  <c r="D116" i="87"/>
  <c r="J186" i="87"/>
  <c r="K328" i="87"/>
  <c r="BN6" i="16"/>
  <c r="BN7" i="16"/>
  <c r="BN8" i="16"/>
  <c r="BN9" i="16"/>
  <c r="BN10" i="16"/>
  <c r="BN11" i="16"/>
  <c r="BN12" i="16"/>
  <c r="BN13" i="16"/>
  <c r="CB14" i="16"/>
  <c r="X19" i="16"/>
  <c r="AZ43" i="16"/>
  <c r="X55" i="16"/>
  <c r="X67" i="16"/>
  <c r="CB78" i="16"/>
  <c r="CB101" i="16"/>
  <c r="G134" i="16"/>
  <c r="L145" i="16"/>
  <c r="I163" i="16"/>
  <c r="G186" i="16"/>
  <c r="L328" i="16"/>
  <c r="G346" i="16"/>
  <c r="E346" i="16"/>
  <c r="D346" i="16"/>
  <c r="E199" i="16"/>
  <c r="D222" i="16"/>
  <c r="D225" i="16"/>
  <c r="D227" i="16"/>
  <c r="L258" i="16"/>
  <c r="L270" i="16"/>
  <c r="D292" i="16"/>
  <c r="C305" i="16"/>
  <c r="C322" i="16"/>
  <c r="C325" i="16"/>
  <c r="E340" i="16"/>
  <c r="L346" i="16"/>
  <c r="C352" i="16"/>
  <c r="C353" i="16"/>
  <c r="F219" i="87"/>
  <c r="F243" i="87"/>
  <c r="D134" i="16"/>
  <c r="G138" i="16"/>
  <c r="L142" i="16"/>
  <c r="L155" i="16"/>
  <c r="G157" i="16"/>
  <c r="E185" i="16"/>
  <c r="D186" i="16"/>
  <c r="L209" i="16"/>
  <c r="I215" i="16"/>
  <c r="C233" i="16"/>
  <c r="I241" i="16"/>
  <c r="C272" i="16"/>
  <c r="D283" i="16"/>
  <c r="D301" i="16"/>
  <c r="L307" i="16"/>
  <c r="I315" i="16"/>
  <c r="D317" i="16"/>
  <c r="E322" i="16"/>
  <c r="E332" i="16"/>
  <c r="C334" i="16"/>
  <c r="D340" i="16"/>
  <c r="L355" i="16"/>
  <c r="D357" i="16"/>
  <c r="E364" i="16"/>
  <c r="F328" i="87"/>
  <c r="E147" i="16"/>
  <c r="C155" i="16"/>
  <c r="I157" i="16"/>
  <c r="G165" i="16"/>
  <c r="L196" i="16"/>
  <c r="L199" i="16"/>
  <c r="D201" i="16"/>
  <c r="E207" i="16"/>
  <c r="C223" i="16"/>
  <c r="L233" i="16"/>
  <c r="L235" i="16"/>
  <c r="L245" i="16"/>
  <c r="E247" i="16"/>
  <c r="I260" i="16"/>
  <c r="D262" i="16"/>
  <c r="D265" i="16"/>
  <c r="C269" i="16"/>
  <c r="E282" i="16"/>
  <c r="I286" i="16"/>
  <c r="E301" i="16"/>
  <c r="D329" i="16"/>
  <c r="I332" i="16"/>
  <c r="C337" i="16"/>
  <c r="L340" i="16"/>
  <c r="F158" i="87"/>
  <c r="K322" i="87"/>
  <c r="F352" i="87"/>
  <c r="F363" i="87"/>
  <c r="I177" i="16"/>
  <c r="I179" i="16"/>
  <c r="G185" i="16"/>
  <c r="I198" i="16"/>
  <c r="I205" i="16"/>
  <c r="I243" i="16"/>
  <c r="I250" i="16"/>
  <c r="L260" i="16"/>
  <c r="D284" i="16"/>
  <c r="L294" i="16"/>
  <c r="I296" i="16"/>
  <c r="E306" i="16"/>
  <c r="I317" i="16"/>
  <c r="C319" i="16"/>
  <c r="E327" i="16"/>
  <c r="E334" i="16"/>
  <c r="I350" i="16"/>
  <c r="I352" i="16"/>
  <c r="E354" i="16"/>
  <c r="I165" i="16"/>
  <c r="L168" i="16"/>
  <c r="E175" i="16"/>
  <c r="L177" i="16"/>
  <c r="I185" i="16"/>
  <c r="L188" i="16"/>
  <c r="L198" i="16"/>
  <c r="D200" i="16"/>
  <c r="I207" i="16"/>
  <c r="E210" i="16"/>
  <c r="I231" i="16"/>
  <c r="I237" i="16"/>
  <c r="L241" i="16"/>
  <c r="D246" i="16"/>
  <c r="I268" i="16"/>
  <c r="I277" i="16"/>
  <c r="D308" i="16"/>
  <c r="L310" i="16"/>
  <c r="E324" i="16"/>
  <c r="I329" i="16"/>
  <c r="I339" i="16"/>
  <c r="D342" i="16"/>
  <c r="C346" i="16"/>
  <c r="I362" i="16"/>
  <c r="I364" i="16"/>
  <c r="F263" i="87"/>
  <c r="L138" i="16"/>
  <c r="E140" i="16"/>
  <c r="L141" i="16"/>
  <c r="C218" i="16"/>
  <c r="L229" i="16"/>
  <c r="E246" i="16"/>
  <c r="E249" i="16"/>
  <c r="D250" i="16"/>
  <c r="L256" i="16"/>
  <c r="I282" i="16"/>
  <c r="F170" i="87"/>
  <c r="F279" i="87"/>
  <c r="D146" i="16"/>
  <c r="D170" i="16"/>
  <c r="G174" i="16"/>
  <c r="L175" i="16"/>
  <c r="G200" i="16"/>
  <c r="D233" i="16"/>
  <c r="I234" i="16"/>
  <c r="D245" i="16"/>
  <c r="I255" i="16"/>
  <c r="E258" i="16"/>
  <c r="E267" i="16"/>
  <c r="D268" i="16"/>
  <c r="E270" i="16"/>
  <c r="I301" i="16"/>
  <c r="G308" i="16"/>
  <c r="L317" i="16"/>
  <c r="D322" i="16"/>
  <c r="C329" i="16"/>
  <c r="L337" i="16"/>
  <c r="D339" i="16"/>
  <c r="C343" i="16"/>
  <c r="D364" i="16"/>
  <c r="C135" i="16"/>
  <c r="C151" i="16"/>
  <c r="I156" i="16"/>
  <c r="I174" i="16"/>
  <c r="C193" i="16"/>
  <c r="E196" i="16"/>
  <c r="C200" i="16"/>
  <c r="I202" i="16"/>
  <c r="C209" i="16"/>
  <c r="I210" i="16"/>
  <c r="C215" i="16"/>
  <c r="E233" i="16"/>
  <c r="L234" i="16"/>
  <c r="C244" i="16"/>
  <c r="E245" i="16"/>
  <c r="I249" i="16"/>
  <c r="C257" i="16"/>
  <c r="L259" i="16"/>
  <c r="L268" i="16"/>
  <c r="C292" i="16"/>
  <c r="E293" i="16"/>
  <c r="I303" i="16"/>
  <c r="L329" i="16"/>
  <c r="E361" i="16"/>
  <c r="F145" i="87"/>
  <c r="I135" i="16"/>
  <c r="I140" i="16"/>
  <c r="L143" i="16"/>
  <c r="C167" i="16"/>
  <c r="D212" i="16"/>
  <c r="G267" i="16"/>
  <c r="D272" i="16"/>
  <c r="C293" i="16"/>
  <c r="I316" i="16"/>
  <c r="E318" i="16"/>
  <c r="D331" i="16"/>
  <c r="D354" i="16"/>
  <c r="I361" i="16"/>
  <c r="F244" i="87"/>
  <c r="I145" i="16"/>
  <c r="I176" i="16"/>
  <c r="I183" i="16"/>
  <c r="L197" i="16"/>
  <c r="G199" i="16"/>
  <c r="D202" i="16"/>
  <c r="E209" i="16"/>
  <c r="D210" i="16"/>
  <c r="L216" i="16"/>
  <c r="E244" i="16"/>
  <c r="D249" i="16"/>
  <c r="E257" i="16"/>
  <c r="I258" i="16"/>
  <c r="I261" i="16"/>
  <c r="C308" i="16"/>
  <c r="I326" i="16"/>
  <c r="L341" i="16"/>
  <c r="I222" i="16"/>
  <c r="I225" i="16"/>
  <c r="L236" i="16"/>
  <c r="L264" i="16"/>
  <c r="I292" i="16"/>
  <c r="D295" i="16"/>
  <c r="I305" i="16"/>
  <c r="D316" i="16"/>
  <c r="D332" i="16"/>
  <c r="C335" i="16"/>
  <c r="E348" i="16"/>
  <c r="I353" i="16"/>
  <c r="F338" i="87"/>
  <c r="I284" i="17"/>
  <c r="H284" i="87"/>
  <c r="D30" i="87"/>
  <c r="D12" i="87"/>
  <c r="D19" i="87"/>
  <c r="D22" i="87"/>
  <c r="D36" i="87"/>
  <c r="D49" i="87"/>
  <c r="I58" i="87"/>
  <c r="C86" i="87"/>
  <c r="I89" i="87"/>
  <c r="E94" i="87"/>
  <c r="C99" i="87"/>
  <c r="D102" i="87"/>
  <c r="C110" i="87"/>
  <c r="D133" i="87"/>
  <c r="I240" i="17"/>
  <c r="H240" i="87"/>
  <c r="E252" i="17"/>
  <c r="J252" i="87"/>
  <c r="G252" i="17"/>
  <c r="I364" i="17"/>
  <c r="C364" i="17"/>
  <c r="H364" i="87"/>
  <c r="K365" i="87"/>
  <c r="I36" i="87"/>
  <c r="D281" i="17"/>
  <c r="K281" i="87"/>
  <c r="C281" i="17"/>
  <c r="H295" i="87"/>
  <c r="C295" i="17"/>
  <c r="I295" i="17"/>
  <c r="C55" i="87"/>
  <c r="D60" i="87"/>
  <c r="L65" i="87"/>
  <c r="I76" i="87"/>
  <c r="L89" i="87"/>
  <c r="C94" i="87"/>
  <c r="C103" i="87"/>
  <c r="E108" i="87"/>
  <c r="D111" i="87"/>
  <c r="I113" i="87"/>
  <c r="I249" i="17"/>
  <c r="H249" i="87"/>
  <c r="I158" i="17"/>
  <c r="C196" i="17"/>
  <c r="I196" i="17"/>
  <c r="L280" i="17"/>
  <c r="J280" i="87"/>
  <c r="D304" i="17"/>
  <c r="C304" i="17"/>
  <c r="K304" i="87"/>
  <c r="L197" i="17"/>
  <c r="G197" i="17"/>
  <c r="G308" i="17"/>
  <c r="L308" i="17"/>
  <c r="J308" i="87"/>
  <c r="D197" i="17"/>
  <c r="C85" i="87"/>
  <c r="C109" i="87"/>
  <c r="G158" i="17"/>
  <c r="E158" i="17"/>
  <c r="I225" i="17"/>
  <c r="H225" i="87"/>
  <c r="D246" i="17"/>
  <c r="K246" i="87"/>
  <c r="C246" i="17"/>
  <c r="I357" i="17"/>
  <c r="C357" i="17"/>
  <c r="H357" i="87"/>
  <c r="C87" i="87"/>
  <c r="L121" i="87"/>
  <c r="E181" i="17"/>
  <c r="G181" i="17"/>
  <c r="I303" i="17"/>
  <c r="H303" i="87"/>
  <c r="E303" i="17"/>
  <c r="D349" i="17"/>
  <c r="K349" i="87"/>
  <c r="E18" i="87"/>
  <c r="C21" i="87"/>
  <c r="L291" i="17"/>
  <c r="G291" i="17"/>
  <c r="E291" i="17"/>
  <c r="J291" i="87"/>
  <c r="H314" i="87"/>
  <c r="I314" i="17"/>
  <c r="D46" i="87"/>
  <c r="I332" i="17"/>
  <c r="H332" i="87"/>
  <c r="L353" i="17"/>
  <c r="G353" i="17"/>
  <c r="D353" i="17"/>
  <c r="L15" i="87"/>
  <c r="L32" i="87"/>
  <c r="C43" i="87"/>
  <c r="L74" i="87"/>
  <c r="I77" i="87"/>
  <c r="I85" i="87"/>
  <c r="I93" i="87"/>
  <c r="E98" i="87"/>
  <c r="I101" i="87"/>
  <c r="L170" i="17"/>
  <c r="I170" i="17"/>
  <c r="G170" i="17"/>
  <c r="E170" i="17"/>
  <c r="D221" i="17"/>
  <c r="C221" i="17"/>
  <c r="L233" i="17"/>
  <c r="J233" i="87"/>
  <c r="G276" i="17"/>
  <c r="J276" i="87"/>
  <c r="C133" i="87"/>
  <c r="L256" i="17"/>
  <c r="G256" i="17"/>
  <c r="J256" i="87"/>
  <c r="G273" i="17"/>
  <c r="J273" i="87"/>
  <c r="G311" i="17"/>
  <c r="I311" i="17"/>
  <c r="J311" i="87"/>
  <c r="L311" i="17"/>
  <c r="L339" i="17"/>
  <c r="G339" i="17"/>
  <c r="J339" i="87"/>
  <c r="D77" i="87"/>
  <c r="L85" i="87"/>
  <c r="L98" i="87"/>
  <c r="E112" i="87"/>
  <c r="E130" i="87"/>
  <c r="E145" i="17"/>
  <c r="G145" i="17"/>
  <c r="AL128" i="17"/>
  <c r="X112" i="17"/>
  <c r="X88" i="17"/>
  <c r="X64" i="17"/>
  <c r="AZ30" i="17"/>
  <c r="AL6" i="17"/>
  <c r="D256" i="17"/>
  <c r="D339" i="17"/>
  <c r="D354" i="17"/>
  <c r="C354" i="17"/>
  <c r="K354" i="87"/>
  <c r="G187" i="17"/>
  <c r="L187" i="17"/>
  <c r="C8" i="87"/>
  <c r="C16" i="87"/>
  <c r="D21" i="87"/>
  <c r="I33" i="87"/>
  <c r="I46" i="87"/>
  <c r="C54" i="87"/>
  <c r="L59" i="87"/>
  <c r="L62" i="87"/>
  <c r="C65" i="87"/>
  <c r="C67" i="87"/>
  <c r="L72" i="87"/>
  <c r="L83" i="87"/>
  <c r="I91" i="87"/>
  <c r="L104" i="87"/>
  <c r="L107" i="87"/>
  <c r="C130" i="87"/>
  <c r="J197" i="87"/>
  <c r="I187" i="17"/>
  <c r="E290" i="17"/>
  <c r="H290" i="87"/>
  <c r="I290" i="17"/>
  <c r="E296" i="17"/>
  <c r="G296" i="17"/>
  <c r="J296" i="87"/>
  <c r="L296" i="17"/>
  <c r="I142" i="17"/>
  <c r="G150" i="17"/>
  <c r="D158" i="17"/>
  <c r="D170" i="17"/>
  <c r="I178" i="17"/>
  <c r="D216" i="17"/>
  <c r="D252" i="17"/>
  <c r="D276" i="17"/>
  <c r="D291" i="17"/>
  <c r="D296" i="17"/>
  <c r="L303" i="17"/>
  <c r="D308" i="17"/>
  <c r="D311" i="17"/>
  <c r="E332" i="17"/>
  <c r="L343" i="17"/>
  <c r="C353" i="17"/>
  <c r="L364" i="17"/>
  <c r="AZ6" i="17"/>
  <c r="AL64" i="17"/>
  <c r="AL88" i="17"/>
  <c r="AL112" i="17"/>
  <c r="AZ128" i="17"/>
  <c r="D204" i="17"/>
  <c r="I208" i="17"/>
  <c r="D228" i="17"/>
  <c r="D240" i="17"/>
  <c r="C251" i="17"/>
  <c r="L255" i="17"/>
  <c r="L259" i="17"/>
  <c r="D260" i="17"/>
  <c r="D264" i="17"/>
  <c r="I267" i="17"/>
  <c r="I279" i="17"/>
  <c r="D284" i="17"/>
  <c r="D287" i="17"/>
  <c r="E295" i="17"/>
  <c r="E314" i="17"/>
  <c r="G324" i="17"/>
  <c r="D325" i="17"/>
  <c r="I328" i="17"/>
  <c r="D329" i="17"/>
  <c r="D332" i="17"/>
  <c r="D335" i="17"/>
  <c r="I352" i="17"/>
  <c r="E360" i="17"/>
  <c r="X23" i="17"/>
  <c r="AZ53" i="17"/>
  <c r="AZ77" i="17"/>
  <c r="AZ101" i="17"/>
  <c r="L139" i="17"/>
  <c r="D147" i="17"/>
  <c r="L151" i="17"/>
  <c r="D192" i="17"/>
  <c r="I203" i="17"/>
  <c r="L213" i="17"/>
  <c r="D219" i="17"/>
  <c r="I227" i="17"/>
  <c r="L237" i="17"/>
  <c r="C239" i="17"/>
  <c r="E242" i="17"/>
  <c r="I244" i="17"/>
  <c r="C259" i="17"/>
  <c r="L260" i="17"/>
  <c r="I263" i="17"/>
  <c r="L284" i="17"/>
  <c r="C293" i="17"/>
  <c r="L294" i="17"/>
  <c r="L299" i="17"/>
  <c r="D314" i="17"/>
  <c r="I321" i="17"/>
  <c r="L332" i="17"/>
  <c r="L338" i="17"/>
  <c r="C342" i="17"/>
  <c r="I348" i="17"/>
  <c r="L363" i="17"/>
  <c r="AL12" i="17"/>
  <c r="X46" i="17"/>
  <c r="X70" i="17"/>
  <c r="X94" i="17"/>
  <c r="AL118" i="17"/>
  <c r="E134" i="17"/>
  <c r="D138" i="17"/>
  <c r="E144" i="17"/>
  <c r="D150" i="17"/>
  <c r="G156" i="17"/>
  <c r="D161" i="17"/>
  <c r="C163" i="17"/>
  <c r="G168" i="17"/>
  <c r="C175" i="17"/>
  <c r="G185" i="17"/>
  <c r="D186" i="17"/>
  <c r="G194" i="17"/>
  <c r="D195" i="17"/>
  <c r="D200" i="17"/>
  <c r="G206" i="17"/>
  <c r="D207" i="17"/>
  <c r="I212" i="17"/>
  <c r="I215" i="17"/>
  <c r="G223" i="17"/>
  <c r="I224" i="17"/>
  <c r="D231" i="17"/>
  <c r="G235" i="17"/>
  <c r="I236" i="17"/>
  <c r="I239" i="17"/>
  <c r="L243" i="17"/>
  <c r="L244" i="17"/>
  <c r="D267" i="17"/>
  <c r="C289" i="17"/>
  <c r="E293" i="17"/>
  <c r="C305" i="17"/>
  <c r="G306" i="17"/>
  <c r="I307" i="17"/>
  <c r="I313" i="17"/>
  <c r="D316" i="17"/>
  <c r="I317" i="17"/>
  <c r="E350" i="17"/>
  <c r="L352" i="17"/>
  <c r="I356" i="17"/>
  <c r="AZ12" i="17"/>
  <c r="AL39" i="17"/>
  <c r="AL46" i="17"/>
  <c r="AL70" i="17"/>
  <c r="AL94" i="17"/>
  <c r="D144" i="17"/>
  <c r="E146" i="17"/>
  <c r="L163" i="17"/>
  <c r="I174" i="17"/>
  <c r="L175" i="17"/>
  <c r="D180" i="17"/>
  <c r="I185" i="17"/>
  <c r="C191" i="17"/>
  <c r="C198" i="17"/>
  <c r="L199" i="17"/>
  <c r="L200" i="17"/>
  <c r="E206" i="17"/>
  <c r="G211" i="17"/>
  <c r="I223" i="17"/>
  <c r="E230" i="17"/>
  <c r="I235" i="17"/>
  <c r="D263" i="17"/>
  <c r="D272" i="17"/>
  <c r="E278" i="17"/>
  <c r="I282" i="17"/>
  <c r="C286" i="17"/>
  <c r="E289" i="17"/>
  <c r="C298" i="17"/>
  <c r="C301" i="17"/>
  <c r="L302" i="17"/>
  <c r="I306" i="17"/>
  <c r="D324" i="17"/>
  <c r="L331" i="17"/>
  <c r="I337" i="17"/>
  <c r="D355" i="17"/>
  <c r="AZ39" i="17"/>
  <c r="AZ59" i="17"/>
  <c r="AZ83" i="17"/>
  <c r="AZ107" i="17"/>
  <c r="G134" i="17"/>
  <c r="E159" i="17"/>
  <c r="G161" i="17"/>
  <c r="I194" i="17"/>
  <c r="E281" i="17"/>
  <c r="L282" i="17"/>
  <c r="D292" i="17"/>
  <c r="I320" i="17"/>
  <c r="L327" i="17"/>
  <c r="G350" i="17"/>
  <c r="E355" i="17"/>
  <c r="AL18" i="17"/>
  <c r="X52" i="17"/>
  <c r="X76" i="17"/>
  <c r="X100" i="17"/>
  <c r="C135" i="17"/>
  <c r="C143" i="17"/>
  <c r="L147" i="17"/>
  <c r="D156" i="17"/>
  <c r="I161" i="17"/>
  <c r="D162" i="17"/>
  <c r="D168" i="17"/>
  <c r="I173" i="17"/>
  <c r="D174" i="17"/>
  <c r="L185" i="17"/>
  <c r="C197" i="17"/>
  <c r="L224" i="17"/>
  <c r="L271" i="17"/>
  <c r="G312" i="17"/>
  <c r="D341" i="17"/>
  <c r="E347" i="17"/>
  <c r="AZ18" i="17"/>
  <c r="AL52" i="17"/>
  <c r="AL76" i="17"/>
  <c r="AL100" i="17"/>
  <c r="D151" i="17"/>
  <c r="C183" i="17"/>
  <c r="D187" i="17"/>
  <c r="D206" i="17"/>
  <c r="C209" i="17"/>
  <c r="E217" i="17"/>
  <c r="E220" i="17"/>
  <c r="I222" i="17"/>
  <c r="L223" i="17"/>
  <c r="D230" i="17"/>
  <c r="C233" i="17"/>
  <c r="I234" i="17"/>
  <c r="L235" i="17"/>
  <c r="C247" i="17"/>
  <c r="E253" i="17"/>
  <c r="I257" i="17"/>
  <c r="E260" i="17"/>
  <c r="D268" i="17"/>
  <c r="C280" i="17"/>
  <c r="I305" i="17"/>
  <c r="I309" i="17"/>
  <c r="I312" i="17"/>
  <c r="L316" i="17"/>
  <c r="D320" i="17"/>
  <c r="I326" i="17"/>
  <c r="E344" i="17"/>
  <c r="D347" i="17"/>
  <c r="I350" i="17"/>
  <c r="I355" i="17"/>
  <c r="I358" i="17"/>
  <c r="X11" i="17"/>
  <c r="AZ65" i="17"/>
  <c r="AZ89" i="17"/>
  <c r="AZ113" i="17"/>
  <c r="D143" i="17"/>
  <c r="L161" i="17"/>
  <c r="L173" i="17"/>
  <c r="E196" i="17"/>
  <c r="D201" i="17"/>
  <c r="D208" i="17"/>
  <c r="D232" i="17"/>
  <c r="C245" i="17"/>
  <c r="I261" i="17"/>
  <c r="E265" i="17"/>
  <c r="I285" i="17"/>
  <c r="E288" i="17"/>
  <c r="I297" i="17"/>
  <c r="AL24" i="17"/>
  <c r="X38" i="17"/>
  <c r="X58" i="17"/>
  <c r="X82" i="17"/>
  <c r="X106" i="17"/>
  <c r="D134" i="17"/>
  <c r="C138" i="17"/>
  <c r="G139" i="17"/>
  <c r="C150" i="17"/>
  <c r="C159" i="17"/>
  <c r="I176" i="17"/>
  <c r="G204" i="17"/>
  <c r="E208" i="17"/>
  <c r="L210" i="17"/>
  <c r="L217" i="17"/>
  <c r="G220" i="17"/>
  <c r="I221" i="17"/>
  <c r="D222" i="17"/>
  <c r="G228" i="17"/>
  <c r="D229" i="17"/>
  <c r="E232" i="17"/>
  <c r="D234" i="17"/>
  <c r="D245" i="17"/>
  <c r="L253" i="17"/>
  <c r="C256" i="17"/>
  <c r="G268" i="17"/>
  <c r="L269" i="17"/>
  <c r="L305" i="17"/>
  <c r="D312" i="17"/>
  <c r="D318" i="17"/>
  <c r="C322" i="17"/>
  <c r="D326" i="17"/>
  <c r="D330" i="17"/>
  <c r="E336" i="17"/>
  <c r="I343" i="17"/>
  <c r="D350" i="17"/>
  <c r="I354" i="17"/>
  <c r="D358" i="17"/>
  <c r="D361" i="17"/>
  <c r="D343" i="87"/>
  <c r="AZ24" i="17"/>
  <c r="X37" i="17"/>
  <c r="AL58" i="17"/>
  <c r="AL82" i="17"/>
  <c r="AL106" i="17"/>
  <c r="AZ119" i="17"/>
  <c r="AZ132" i="17"/>
  <c r="E138" i="17"/>
  <c r="C139" i="17"/>
  <c r="C145" i="17"/>
  <c r="D146" i="17"/>
  <c r="E150" i="17"/>
  <c r="D167" i="17"/>
  <c r="C181" i="17"/>
  <c r="C186" i="17"/>
  <c r="G196" i="17"/>
  <c r="I197" i="17"/>
  <c r="I201" i="17"/>
  <c r="E204" i="17"/>
  <c r="I209" i="17"/>
  <c r="I216" i="17"/>
  <c r="E219" i="17"/>
  <c r="C220" i="17"/>
  <c r="L221" i="17"/>
  <c r="I233" i="17"/>
  <c r="L246" i="17"/>
  <c r="I252" i="17"/>
  <c r="E255" i="17"/>
  <c r="I256" i="17"/>
  <c r="L265" i="17"/>
  <c r="C272" i="17"/>
  <c r="I273" i="17"/>
  <c r="I276" i="17"/>
  <c r="L277" i="17"/>
  <c r="I280" i="17"/>
  <c r="L281" i="17"/>
  <c r="I291" i="17"/>
  <c r="I296" i="17"/>
  <c r="L304" i="17"/>
  <c r="I308" i="17"/>
  <c r="L315" i="17"/>
  <c r="D319" i="17"/>
  <c r="G332" i="17"/>
  <c r="D336" i="17"/>
  <c r="E349" i="17"/>
  <c r="I353" i="17"/>
  <c r="L354" i="17"/>
  <c r="L355" i="17"/>
  <c r="L358" i="17"/>
  <c r="L365" i="17"/>
  <c r="E55" i="87"/>
  <c r="L130" i="87"/>
  <c r="D273" i="17"/>
  <c r="C273" i="17"/>
  <c r="K273" i="87"/>
  <c r="G357" i="17"/>
  <c r="E357" i="17"/>
  <c r="L357" i="17"/>
  <c r="J357" i="87"/>
  <c r="E76" i="87"/>
  <c r="D249" i="17"/>
  <c r="C249" i="17"/>
  <c r="K249" i="87"/>
  <c r="L249" i="17"/>
  <c r="D71" i="87"/>
  <c r="L82" i="87"/>
  <c r="L86" i="87"/>
  <c r="C26" i="87"/>
  <c r="E67" i="87"/>
  <c r="C78" i="87"/>
  <c r="E91" i="87"/>
  <c r="E115" i="87"/>
  <c r="E6" i="87"/>
  <c r="D10" i="87"/>
  <c r="I12" i="87"/>
  <c r="C20" i="87"/>
  <c r="E41" i="87"/>
  <c r="C45" i="87"/>
  <c r="E53" i="87"/>
  <c r="C69" i="87"/>
  <c r="C76" i="87"/>
  <c r="C79" i="87"/>
  <c r="C100" i="87"/>
  <c r="G189" i="17"/>
  <c r="E189" i="17"/>
  <c r="L189" i="17"/>
  <c r="J189" i="87"/>
  <c r="D119" i="87"/>
  <c r="L47" i="87"/>
  <c r="C93" i="87"/>
  <c r="E100" i="87"/>
  <c r="L106" i="87"/>
  <c r="C117" i="87"/>
  <c r="I6" i="87"/>
  <c r="C14" i="87"/>
  <c r="C17" i="87"/>
  <c r="L20" i="87"/>
  <c r="L24" i="87"/>
  <c r="C27" i="87"/>
  <c r="I35" i="87"/>
  <c r="I39" i="87"/>
  <c r="D41" i="87"/>
  <c r="C60" i="87"/>
  <c r="L67" i="87"/>
  <c r="E74" i="87"/>
  <c r="L76" i="87"/>
  <c r="I83" i="87"/>
  <c r="D89" i="87"/>
  <c r="L91" i="87"/>
  <c r="L96" i="87"/>
  <c r="L100" i="87"/>
  <c r="I109" i="87"/>
  <c r="L113" i="87"/>
  <c r="L115" i="87"/>
  <c r="L122" i="87"/>
  <c r="I129" i="87"/>
  <c r="E131" i="87"/>
  <c r="D189" i="17"/>
  <c r="C189" i="17"/>
  <c r="K189" i="87"/>
  <c r="L131" i="87"/>
  <c r="C131" i="87"/>
  <c r="I18" i="87"/>
  <c r="D39" i="87"/>
  <c r="D83" i="87"/>
  <c r="D88" i="87"/>
  <c r="C97" i="87"/>
  <c r="E103" i="87"/>
  <c r="L133" i="87"/>
  <c r="G177" i="17"/>
  <c r="E177" i="17"/>
  <c r="L177" i="17"/>
  <c r="I24" i="87"/>
  <c r="D35" i="87"/>
  <c r="C9" i="87"/>
  <c r="E23" i="87"/>
  <c r="I25" i="87"/>
  <c r="D29" i="87"/>
  <c r="D33" i="87"/>
  <c r="E44" i="87"/>
  <c r="C51" i="87"/>
  <c r="E61" i="87"/>
  <c r="E70" i="87"/>
  <c r="C73" i="87"/>
  <c r="E79" i="87"/>
  <c r="C81" i="87"/>
  <c r="D84" i="87"/>
  <c r="D86" i="87"/>
  <c r="D107" i="87"/>
  <c r="L109" i="87"/>
  <c r="C114" i="87"/>
  <c r="E118" i="87"/>
  <c r="D130" i="87"/>
  <c r="D177" i="17"/>
  <c r="C177" i="17"/>
  <c r="K177" i="87"/>
  <c r="I264" i="17"/>
  <c r="H264" i="87"/>
  <c r="L73" i="87"/>
  <c r="L36" i="87"/>
  <c r="D37" i="87"/>
  <c r="E51" i="87"/>
  <c r="D64" i="87"/>
  <c r="I11" i="87"/>
  <c r="I15" i="87"/>
  <c r="E17" i="87"/>
  <c r="I19" i="87"/>
  <c r="L21" i="87"/>
  <c r="D23" i="87"/>
  <c r="D25" i="87"/>
  <c r="D27" i="87"/>
  <c r="D32" i="87"/>
  <c r="C46" i="87"/>
  <c r="L51" i="87"/>
  <c r="L54" i="87"/>
  <c r="I57" i="87"/>
  <c r="E66" i="87"/>
  <c r="I68" i="87"/>
  <c r="C70" i="87"/>
  <c r="L77" i="87"/>
  <c r="L90" i="87"/>
  <c r="L92" i="87"/>
  <c r="L94" i="87"/>
  <c r="I99" i="87"/>
  <c r="L101" i="87"/>
  <c r="L103" i="87"/>
  <c r="C105" i="87"/>
  <c r="D110" i="87"/>
  <c r="L114" i="87"/>
  <c r="C118" i="87"/>
  <c r="I121" i="87"/>
  <c r="C155" i="17"/>
  <c r="H155" i="87"/>
  <c r="D165" i="17"/>
  <c r="C165" i="17"/>
  <c r="K165" i="87"/>
  <c r="D26" i="87"/>
  <c r="E28" i="87"/>
  <c r="C49" i="87"/>
  <c r="E62" i="87"/>
  <c r="E86" i="87"/>
  <c r="D104" i="87"/>
  <c r="C132" i="87"/>
  <c r="D140" i="17"/>
  <c r="C140" i="17"/>
  <c r="K140" i="87"/>
  <c r="L140" i="17"/>
  <c r="E50" i="87"/>
  <c r="L8" i="87"/>
  <c r="E29" i="87"/>
  <c r="C40" i="87"/>
  <c r="I7" i="87"/>
  <c r="L9" i="87"/>
  <c r="D11" i="87"/>
  <c r="D13" i="87"/>
  <c r="D15" i="87"/>
  <c r="E22" i="87"/>
  <c r="C34" i="87"/>
  <c r="E36" i="87"/>
  <c r="D40" i="87"/>
  <c r="C47" i="87"/>
  <c r="E49" i="87"/>
  <c r="C52" i="87"/>
  <c r="D57" i="87"/>
  <c r="I73" i="87"/>
  <c r="C75" i="87"/>
  <c r="E78" i="87"/>
  <c r="L84" i="87"/>
  <c r="I86" i="87"/>
  <c r="E88" i="87"/>
  <c r="C91" i="87"/>
  <c r="D93" i="87"/>
  <c r="I95" i="87"/>
  <c r="E97" i="87"/>
  <c r="C108" i="87"/>
  <c r="E110" i="87"/>
  <c r="C112" i="87"/>
  <c r="C115" i="87"/>
  <c r="D121" i="87"/>
  <c r="L132" i="87"/>
  <c r="E264" i="17"/>
  <c r="E16" i="87"/>
  <c r="C28" i="87"/>
  <c r="E30" i="87"/>
  <c r="I32" i="87"/>
  <c r="D52" i="87"/>
  <c r="I62" i="87"/>
  <c r="D67" i="87"/>
  <c r="I71" i="87"/>
  <c r="D91" i="87"/>
  <c r="L95" i="87"/>
  <c r="C102" i="87"/>
  <c r="E104" i="87"/>
  <c r="I106" i="87"/>
  <c r="L108" i="87"/>
  <c r="L110" i="87"/>
  <c r="D115" i="87"/>
  <c r="I119" i="87"/>
  <c r="AZ127" i="17"/>
  <c r="D152" i="17"/>
  <c r="C152" i="17"/>
  <c r="I179" i="17"/>
  <c r="I191" i="17"/>
  <c r="G227" i="17"/>
  <c r="E227" i="17"/>
  <c r="D227" i="17"/>
  <c r="L227" i="17"/>
  <c r="G142" i="17"/>
  <c r="E142" i="17"/>
  <c r="L142" i="17"/>
  <c r="D164" i="17"/>
  <c r="C164" i="17"/>
  <c r="D176" i="17"/>
  <c r="C176" i="17"/>
  <c r="D188" i="17"/>
  <c r="C188" i="17"/>
  <c r="L317" i="87"/>
  <c r="G154" i="17"/>
  <c r="E154" i="17"/>
  <c r="L154" i="17"/>
  <c r="L176" i="17"/>
  <c r="L188" i="17"/>
  <c r="D194" i="17"/>
  <c r="C194" i="17"/>
  <c r="X132" i="17"/>
  <c r="I141" i="17"/>
  <c r="D154" i="17"/>
  <c r="G166" i="17"/>
  <c r="E166" i="17"/>
  <c r="L166" i="17"/>
  <c r="L194" i="17"/>
  <c r="AL127" i="17"/>
  <c r="AZ126" i="17"/>
  <c r="AL119" i="17"/>
  <c r="AL113" i="17"/>
  <c r="AL107" i="17"/>
  <c r="AL101" i="17"/>
  <c r="AL95" i="17"/>
  <c r="AL89" i="17"/>
  <c r="AL83" i="17"/>
  <c r="AL77" i="17"/>
  <c r="AL71" i="17"/>
  <c r="AL65" i="17"/>
  <c r="AL59" i="17"/>
  <c r="AL53" i="17"/>
  <c r="AL47" i="17"/>
  <c r="AZ40" i="17"/>
  <c r="X39" i="17"/>
  <c r="AZ31" i="17"/>
  <c r="X30" i="17"/>
  <c r="AZ25" i="17"/>
  <c r="X24" i="17"/>
  <c r="AZ19" i="17"/>
  <c r="X18" i="17"/>
  <c r="AZ13" i="17"/>
  <c r="X12" i="17"/>
  <c r="AZ7" i="17"/>
  <c r="X6" i="17"/>
  <c r="AL129" i="17"/>
  <c r="X127" i="17"/>
  <c r="AL126" i="17"/>
  <c r="AZ125" i="17"/>
  <c r="AZ120" i="17"/>
  <c r="X119" i="17"/>
  <c r="AZ114" i="17"/>
  <c r="X113" i="17"/>
  <c r="AZ108" i="17"/>
  <c r="X107" i="17"/>
  <c r="AZ102" i="17"/>
  <c r="X101" i="17"/>
  <c r="AZ96" i="17"/>
  <c r="X95" i="17"/>
  <c r="AZ90" i="17"/>
  <c r="X89" i="17"/>
  <c r="AZ84" i="17"/>
  <c r="X83" i="17"/>
  <c r="AZ78" i="17"/>
  <c r="X77" i="17"/>
  <c r="AZ72" i="17"/>
  <c r="X71" i="17"/>
  <c r="AZ66" i="17"/>
  <c r="X65" i="17"/>
  <c r="AZ60" i="17"/>
  <c r="X59" i="17"/>
  <c r="AZ54" i="17"/>
  <c r="X53" i="17"/>
  <c r="AZ48" i="17"/>
  <c r="X47" i="17"/>
  <c r="AZ42" i="17"/>
  <c r="AL40" i="17"/>
  <c r="AL31" i="17"/>
  <c r="AL25" i="17"/>
  <c r="AL19" i="17"/>
  <c r="AL13" i="17"/>
  <c r="AL7" i="17"/>
  <c r="G141" i="17"/>
  <c r="AZ130" i="17"/>
  <c r="X129" i="17"/>
  <c r="X126" i="17"/>
  <c r="AL125" i="17"/>
  <c r="AZ124" i="17"/>
  <c r="AL120" i="17"/>
  <c r="AL114" i="17"/>
  <c r="AL108" i="17"/>
  <c r="AL102" i="17"/>
  <c r="AL96" i="17"/>
  <c r="AL90" i="17"/>
  <c r="AL84" i="17"/>
  <c r="AL78" i="17"/>
  <c r="AL72" i="17"/>
  <c r="AL66" i="17"/>
  <c r="AL60" i="17"/>
  <c r="AL54" i="17"/>
  <c r="AL48" i="17"/>
  <c r="AL42" i="17"/>
  <c r="AZ41" i="17"/>
  <c r="X40" i="17"/>
  <c r="AZ32" i="17"/>
  <c r="X31" i="17"/>
  <c r="AZ26" i="17"/>
  <c r="X25" i="17"/>
  <c r="AZ20" i="17"/>
  <c r="X19" i="17"/>
  <c r="AZ14" i="17"/>
  <c r="X13" i="17"/>
  <c r="AZ8" i="17"/>
  <c r="X7" i="17"/>
  <c r="X125" i="17"/>
  <c r="AL124" i="17"/>
  <c r="AZ123" i="17"/>
  <c r="AZ121" i="17"/>
  <c r="X120" i="17"/>
  <c r="AZ115" i="17"/>
  <c r="X114" i="17"/>
  <c r="AZ109" i="17"/>
  <c r="X108" i="17"/>
  <c r="AZ103" i="17"/>
  <c r="X102" i="17"/>
  <c r="AZ97" i="17"/>
  <c r="X96" i="17"/>
  <c r="AZ91" i="17"/>
  <c r="X90" i="17"/>
  <c r="AZ85" i="17"/>
  <c r="X84" i="17"/>
  <c r="AZ79" i="17"/>
  <c r="X78" i="17"/>
  <c r="AZ73" i="17"/>
  <c r="X72" i="17"/>
  <c r="AZ67" i="17"/>
  <c r="X66" i="17"/>
  <c r="AZ61" i="17"/>
  <c r="X60" i="17"/>
  <c r="AZ55" i="17"/>
  <c r="X54" i="17"/>
  <c r="AZ49" i="17"/>
  <c r="X48" i="17"/>
  <c r="AZ43" i="17"/>
  <c r="X42" i="17"/>
  <c r="AL41" i="17"/>
  <c r="AZ34" i="17"/>
  <c r="AL32" i="17"/>
  <c r="AL26" i="17"/>
  <c r="AL20" i="17"/>
  <c r="AL14" i="17"/>
  <c r="AL8" i="17"/>
  <c r="E141" i="17"/>
  <c r="X130" i="17"/>
  <c r="X124" i="17"/>
  <c r="AL123" i="17"/>
  <c r="AZ122" i="17"/>
  <c r="AL121" i="17"/>
  <c r="AL115" i="17"/>
  <c r="AL109" i="17"/>
  <c r="AL103" i="17"/>
  <c r="AL97" i="17"/>
  <c r="AL91" i="17"/>
  <c r="AL85" i="17"/>
  <c r="AL79" i="17"/>
  <c r="AL73" i="17"/>
  <c r="AL67" i="17"/>
  <c r="AL61" i="17"/>
  <c r="AL55" i="17"/>
  <c r="AL49" i="17"/>
  <c r="AL43" i="17"/>
  <c r="X41" i="17"/>
  <c r="AL34" i="17"/>
  <c r="AZ33" i="17"/>
  <c r="X32" i="17"/>
  <c r="AZ27" i="17"/>
  <c r="X26" i="17"/>
  <c r="AZ21" i="17"/>
  <c r="X20" i="17"/>
  <c r="AZ15" i="17"/>
  <c r="X14" i="17"/>
  <c r="AZ9" i="17"/>
  <c r="X8" i="17"/>
  <c r="X123" i="17"/>
  <c r="AL122" i="17"/>
  <c r="X121" i="17"/>
  <c r="AZ116" i="17"/>
  <c r="X115" i="17"/>
  <c r="AZ110" i="17"/>
  <c r="X109" i="17"/>
  <c r="AZ104" i="17"/>
  <c r="X103" i="17"/>
  <c r="AZ98" i="17"/>
  <c r="X97" i="17"/>
  <c r="AZ92" i="17"/>
  <c r="X91" i="17"/>
  <c r="AZ86" i="17"/>
  <c r="X85" i="17"/>
  <c r="AZ80" i="17"/>
  <c r="X79" i="17"/>
  <c r="AZ74" i="17"/>
  <c r="X73" i="17"/>
  <c r="AZ68" i="17"/>
  <c r="X67" i="17"/>
  <c r="AZ62" i="17"/>
  <c r="X61" i="17"/>
  <c r="AZ56" i="17"/>
  <c r="X55" i="17"/>
  <c r="AZ50" i="17"/>
  <c r="X49" i="17"/>
  <c r="AZ44" i="17"/>
  <c r="X43" i="17"/>
  <c r="AZ35" i="17"/>
  <c r="X34" i="17"/>
  <c r="AL33" i="17"/>
  <c r="AL27" i="17"/>
  <c r="AL21" i="17"/>
  <c r="AL15" i="17"/>
  <c r="AL9" i="17"/>
  <c r="X122" i="17"/>
  <c r="AL116" i="17"/>
  <c r="AL110" i="17"/>
  <c r="AL104" i="17"/>
  <c r="AL98" i="17"/>
  <c r="AL92" i="17"/>
  <c r="AL86" i="17"/>
  <c r="AL80" i="17"/>
  <c r="AL74" i="17"/>
  <c r="AL68" i="17"/>
  <c r="AL62" i="17"/>
  <c r="AL56" i="17"/>
  <c r="AL50" i="17"/>
  <c r="AL44" i="17"/>
  <c r="AL35" i="17"/>
  <c r="X33" i="17"/>
  <c r="AZ28" i="17"/>
  <c r="X27" i="17"/>
  <c r="AZ22" i="17"/>
  <c r="X21" i="17"/>
  <c r="AZ16" i="17"/>
  <c r="X15" i="17"/>
  <c r="AZ10" i="17"/>
  <c r="X9" i="17"/>
  <c r="AL131" i="17"/>
  <c r="AZ117" i="17"/>
  <c r="X116" i="17"/>
  <c r="AZ111" i="17"/>
  <c r="X110" i="17"/>
  <c r="AZ105" i="17"/>
  <c r="X104" i="17"/>
  <c r="AZ99" i="17"/>
  <c r="X98" i="17"/>
  <c r="AZ93" i="17"/>
  <c r="X92" i="17"/>
  <c r="AZ87" i="17"/>
  <c r="X86" i="17"/>
  <c r="AZ81" i="17"/>
  <c r="X80" i="17"/>
  <c r="AZ75" i="17"/>
  <c r="X74" i="17"/>
  <c r="AZ69" i="17"/>
  <c r="X68" i="17"/>
  <c r="AZ63" i="17"/>
  <c r="X62" i="17"/>
  <c r="AZ57" i="17"/>
  <c r="X56" i="17"/>
  <c r="AZ51" i="17"/>
  <c r="X50" i="17"/>
  <c r="AZ45" i="17"/>
  <c r="X44" i="17"/>
  <c r="AZ36" i="17"/>
  <c r="X35" i="17"/>
  <c r="AL28" i="17"/>
  <c r="AL22" i="17"/>
  <c r="AL16" i="17"/>
  <c r="AL10" i="17"/>
  <c r="AL117" i="17"/>
  <c r="AL111" i="17"/>
  <c r="AL105" i="17"/>
  <c r="AL99" i="17"/>
  <c r="AL93" i="17"/>
  <c r="AL87" i="17"/>
  <c r="AL81" i="17"/>
  <c r="AL75" i="17"/>
  <c r="AL69" i="17"/>
  <c r="AL63" i="17"/>
  <c r="AL57" i="17"/>
  <c r="AL51" i="17"/>
  <c r="AL45" i="17"/>
  <c r="AZ38" i="17"/>
  <c r="AL36" i="17"/>
  <c r="AZ29" i="17"/>
  <c r="X28" i="17"/>
  <c r="AZ23" i="17"/>
  <c r="X22" i="17"/>
  <c r="AZ17" i="17"/>
  <c r="X16" i="17"/>
  <c r="AZ11" i="17"/>
  <c r="X10" i="17"/>
  <c r="L141" i="17"/>
  <c r="AZ118" i="17"/>
  <c r="X117" i="17"/>
  <c r="AZ112" i="17"/>
  <c r="X111" i="17"/>
  <c r="AZ106" i="17"/>
  <c r="X105" i="17"/>
  <c r="AZ100" i="17"/>
  <c r="X99" i="17"/>
  <c r="AZ94" i="17"/>
  <c r="X93" i="17"/>
  <c r="AZ88" i="17"/>
  <c r="X87" i="17"/>
  <c r="AZ82" i="17"/>
  <c r="X81" i="17"/>
  <c r="AZ76" i="17"/>
  <c r="X75" i="17"/>
  <c r="AZ70" i="17"/>
  <c r="X69" i="17"/>
  <c r="AZ64" i="17"/>
  <c r="X63" i="17"/>
  <c r="AZ58" i="17"/>
  <c r="X57" i="17"/>
  <c r="AZ52" i="17"/>
  <c r="X51" i="17"/>
  <c r="AZ46" i="17"/>
  <c r="X45" i="17"/>
  <c r="AL38" i="17"/>
  <c r="AZ37" i="17"/>
  <c r="X36" i="17"/>
  <c r="AL29" i="17"/>
  <c r="AL23" i="17"/>
  <c r="AL17" i="17"/>
  <c r="G17" i="17" s="1"/>
  <c r="AL11" i="17"/>
  <c r="G178" i="17"/>
  <c r="E178" i="17"/>
  <c r="L178" i="17"/>
  <c r="G190" i="17"/>
  <c r="E190" i="17"/>
  <c r="L190" i="17"/>
  <c r="E193" i="17"/>
  <c r="G193" i="17"/>
  <c r="L193" i="17"/>
  <c r="X29" i="17"/>
  <c r="D141" i="17"/>
  <c r="C141" i="17"/>
  <c r="I153" i="17"/>
  <c r="E156" i="17"/>
  <c r="I156" i="17"/>
  <c r="D178" i="17"/>
  <c r="D190" i="17"/>
  <c r="G153" i="17"/>
  <c r="E153" i="17"/>
  <c r="L153" i="17"/>
  <c r="E168" i="17"/>
  <c r="I168" i="17"/>
  <c r="X118" i="17"/>
  <c r="AL132" i="17"/>
  <c r="I143" i="17"/>
  <c r="D153" i="17"/>
  <c r="C153" i="17"/>
  <c r="G165" i="17"/>
  <c r="E165" i="17"/>
  <c r="L165" i="17"/>
  <c r="I177" i="17"/>
  <c r="E180" i="17"/>
  <c r="I180" i="17"/>
  <c r="I189" i="17"/>
  <c r="E192" i="17"/>
  <c r="I192" i="17"/>
  <c r="D193" i="17"/>
  <c r="C193" i="17"/>
  <c r="I202" i="17"/>
  <c r="G202" i="17"/>
  <c r="E202" i="17"/>
  <c r="L202" i="17"/>
  <c r="C205" i="17"/>
  <c r="I205" i="17"/>
  <c r="G239" i="17"/>
  <c r="E239" i="17"/>
  <c r="L239" i="17"/>
  <c r="D357" i="17"/>
  <c r="X131" i="17"/>
  <c r="G135" i="17"/>
  <c r="I145" i="17"/>
  <c r="G147" i="17"/>
  <c r="E149" i="17"/>
  <c r="I157" i="17"/>
  <c r="G159" i="17"/>
  <c r="I169" i="17"/>
  <c r="G171" i="17"/>
  <c r="I181" i="17"/>
  <c r="G183" i="17"/>
  <c r="D202" i="17"/>
  <c r="E205" i="17"/>
  <c r="I214" i="17"/>
  <c r="G214" i="17"/>
  <c r="E214" i="17"/>
  <c r="L214" i="17"/>
  <c r="D239" i="17"/>
  <c r="G251" i="17"/>
  <c r="E251" i="17"/>
  <c r="L251" i="17"/>
  <c r="I310" i="17"/>
  <c r="G345" i="17"/>
  <c r="E345" i="17"/>
  <c r="L345" i="17"/>
  <c r="L143" i="17"/>
  <c r="L155" i="17"/>
  <c r="L167" i="17"/>
  <c r="L179" i="17"/>
  <c r="L191" i="17"/>
  <c r="D214" i="17"/>
  <c r="C214" i="17"/>
  <c r="I286" i="17"/>
  <c r="G286" i="17"/>
  <c r="E286" i="17"/>
  <c r="D286" i="17"/>
  <c r="L286" i="17"/>
  <c r="I298" i="17"/>
  <c r="G298" i="17"/>
  <c r="E298" i="17"/>
  <c r="D298" i="17"/>
  <c r="L298" i="17"/>
  <c r="G310" i="17"/>
  <c r="E310" i="17"/>
  <c r="L310" i="17"/>
  <c r="AZ131" i="17"/>
  <c r="L144" i="17"/>
  <c r="G149" i="17"/>
  <c r="E163" i="17"/>
  <c r="I171" i="17"/>
  <c r="E175" i="17"/>
  <c r="L180" i="17"/>
  <c r="E187" i="17"/>
  <c r="L192" i="17"/>
  <c r="I226" i="17"/>
  <c r="G226" i="17"/>
  <c r="E226" i="17"/>
  <c r="L226" i="17"/>
  <c r="C229" i="17"/>
  <c r="I229" i="17"/>
  <c r="I262" i="17"/>
  <c r="D310" i="17"/>
  <c r="D321" i="17"/>
  <c r="C321" i="17"/>
  <c r="G334" i="17"/>
  <c r="E334" i="17"/>
  <c r="L334" i="17"/>
  <c r="C142" i="17"/>
  <c r="L145" i="17"/>
  <c r="E152" i="17"/>
  <c r="C154" i="17"/>
  <c r="L157" i="17"/>
  <c r="E164" i="17"/>
  <c r="C166" i="17"/>
  <c r="L169" i="17"/>
  <c r="E176" i="17"/>
  <c r="C178" i="17"/>
  <c r="L181" i="17"/>
  <c r="G186" i="17"/>
  <c r="E188" i="17"/>
  <c r="C190" i="17"/>
  <c r="D226" i="17"/>
  <c r="C226" i="17"/>
  <c r="I238" i="17"/>
  <c r="G238" i="17"/>
  <c r="E238" i="17"/>
  <c r="L238" i="17"/>
  <c r="C241" i="17"/>
  <c r="I241" i="17"/>
  <c r="G262" i="17"/>
  <c r="E262" i="17"/>
  <c r="L262" i="17"/>
  <c r="D334" i="17"/>
  <c r="D356" i="17"/>
  <c r="C356" i="17"/>
  <c r="X133" i="17"/>
  <c r="L146" i="17"/>
  <c r="L158" i="17"/>
  <c r="C167" i="17"/>
  <c r="L201" i="17"/>
  <c r="D238" i="17"/>
  <c r="C238" i="17"/>
  <c r="E241" i="17"/>
  <c r="I250" i="17"/>
  <c r="G250" i="17"/>
  <c r="E250" i="17"/>
  <c r="L250" i="17"/>
  <c r="D262" i="17"/>
  <c r="AL130" i="17"/>
  <c r="AL133" i="17"/>
  <c r="L135" i="17"/>
  <c r="C144" i="17"/>
  <c r="D155" i="17"/>
  <c r="C156" i="17"/>
  <c r="C168" i="17"/>
  <c r="C180" i="17"/>
  <c r="D191" i="17"/>
  <c r="C192" i="17"/>
  <c r="L195" i="17"/>
  <c r="G195" i="17"/>
  <c r="D213" i="17"/>
  <c r="C213" i="17"/>
  <c r="E216" i="17"/>
  <c r="D250" i="17"/>
  <c r="C250" i="17"/>
  <c r="I274" i="17"/>
  <c r="G274" i="17"/>
  <c r="E274" i="17"/>
  <c r="D274" i="17"/>
  <c r="L274" i="17"/>
  <c r="AZ133" i="17"/>
  <c r="E143" i="17"/>
  <c r="E155" i="17"/>
  <c r="E167" i="17"/>
  <c r="E179" i="17"/>
  <c r="E191" i="17"/>
  <c r="D309" i="17"/>
  <c r="C309" i="17"/>
  <c r="D344" i="17"/>
  <c r="C344" i="17"/>
  <c r="L344" i="17"/>
  <c r="D352" i="87"/>
  <c r="C134" i="17"/>
  <c r="D145" i="17"/>
  <c r="C146" i="17"/>
  <c r="D157" i="17"/>
  <c r="C158" i="17"/>
  <c r="D169" i="17"/>
  <c r="C170" i="17"/>
  <c r="D181" i="17"/>
  <c r="C182" i="17"/>
  <c r="G203" i="17"/>
  <c r="E203" i="17"/>
  <c r="D203" i="17"/>
  <c r="L203" i="17"/>
  <c r="D225" i="17"/>
  <c r="C225" i="17"/>
  <c r="D285" i="17"/>
  <c r="C285" i="17"/>
  <c r="D297" i="17"/>
  <c r="C297" i="17"/>
  <c r="E300" i="17"/>
  <c r="L333" i="17"/>
  <c r="X128" i="17"/>
  <c r="AZ129" i="17"/>
  <c r="G215" i="17"/>
  <c r="E215" i="17"/>
  <c r="L215" i="17"/>
  <c r="L225" i="17"/>
  <c r="D237" i="17"/>
  <c r="C237" i="17"/>
  <c r="E240" i="17"/>
  <c r="D261" i="17"/>
  <c r="C261" i="17"/>
  <c r="L261" i="17"/>
  <c r="I322" i="17"/>
  <c r="G322" i="17"/>
  <c r="E322" i="17"/>
  <c r="D322" i="17"/>
  <c r="L322" i="17"/>
  <c r="D333" i="17"/>
  <c r="C333" i="17"/>
  <c r="E256" i="17"/>
  <c r="C258" i="17"/>
  <c r="E268" i="17"/>
  <c r="D269" i="17"/>
  <c r="C270" i="17"/>
  <c r="L273" i="17"/>
  <c r="E280" i="17"/>
  <c r="C282" i="17"/>
  <c r="L285" i="17"/>
  <c r="E292" i="17"/>
  <c r="C294" i="17"/>
  <c r="L297" i="17"/>
  <c r="E304" i="17"/>
  <c r="D305" i="17"/>
  <c r="L309" i="17"/>
  <c r="E316" i="17"/>
  <c r="D317" i="17"/>
  <c r="C318" i="17"/>
  <c r="L321" i="17"/>
  <c r="E328" i="17"/>
  <c r="C330" i="17"/>
  <c r="E339" i="17"/>
  <c r="C341" i="17"/>
  <c r="G349" i="17"/>
  <c r="E351" i="17"/>
  <c r="D352" i="17"/>
  <c r="L356" i="17"/>
  <c r="G361" i="17"/>
  <c r="E363" i="17"/>
  <c r="E197" i="17"/>
  <c r="G207" i="17"/>
  <c r="E209" i="17"/>
  <c r="C211" i="17"/>
  <c r="G219" i="17"/>
  <c r="E221" i="17"/>
  <c r="G231" i="17"/>
  <c r="E233" i="17"/>
  <c r="C235" i="17"/>
  <c r="G243" i="17"/>
  <c r="E245" i="17"/>
  <c r="G255" i="17"/>
  <c r="E257" i="17"/>
  <c r="G267" i="17"/>
  <c r="E269" i="17"/>
  <c r="C271" i="17"/>
  <c r="D282" i="17"/>
  <c r="I289" i="17"/>
  <c r="D294" i="17"/>
  <c r="I301" i="17"/>
  <c r="C307" i="17"/>
  <c r="E317" i="17"/>
  <c r="C319" i="17"/>
  <c r="C331" i="17"/>
  <c r="E340" i="17"/>
  <c r="E352" i="17"/>
  <c r="I360" i="17"/>
  <c r="G362" i="17"/>
  <c r="E364" i="17"/>
  <c r="E198" i="17"/>
  <c r="D199" i="17"/>
  <c r="C200" i="17"/>
  <c r="E234" i="17"/>
  <c r="E246" i="17"/>
  <c r="D247" i="17"/>
  <c r="C248" i="17"/>
  <c r="E258" i="17"/>
  <c r="I278" i="17"/>
  <c r="G280" i="17"/>
  <c r="E282" i="17"/>
  <c r="C284" i="17"/>
  <c r="L287" i="17"/>
  <c r="E294" i="17"/>
  <c r="E306" i="17"/>
  <c r="E318" i="17"/>
  <c r="L323" i="17"/>
  <c r="E330" i="17"/>
  <c r="D331" i="17"/>
  <c r="C332" i="17"/>
  <c r="L335" i="17"/>
  <c r="E341" i="17"/>
  <c r="D342" i="17"/>
  <c r="C343" i="17"/>
  <c r="L346" i="17"/>
  <c r="I349" i="17"/>
  <c r="E353" i="17"/>
  <c r="I361" i="17"/>
  <c r="E199" i="17"/>
  <c r="G209" i="17"/>
  <c r="E211" i="17"/>
  <c r="L216" i="17"/>
  <c r="L228" i="17"/>
  <c r="G233" i="17"/>
  <c r="L240" i="17"/>
  <c r="E247" i="17"/>
  <c r="L252" i="17"/>
  <c r="E259" i="17"/>
  <c r="L264" i="17"/>
  <c r="L276" i="17"/>
  <c r="L288" i="17"/>
  <c r="G293" i="17"/>
  <c r="L300" i="17"/>
  <c r="E307" i="17"/>
  <c r="L312" i="17"/>
  <c r="E319" i="17"/>
  <c r="L324" i="17"/>
  <c r="E331" i="17"/>
  <c r="E342" i="17"/>
  <c r="G282" i="17"/>
  <c r="E284" i="17"/>
  <c r="L289" i="17"/>
  <c r="G294" i="17"/>
  <c r="L301" i="17"/>
  <c r="I304" i="17"/>
  <c r="E308" i="17"/>
  <c r="L313" i="17"/>
  <c r="I316" i="17"/>
  <c r="L325" i="17"/>
  <c r="C334" i="17"/>
  <c r="L336" i="17"/>
  <c r="I339" i="17"/>
  <c r="C345" i="17"/>
  <c r="L348" i="17"/>
  <c r="I351" i="17"/>
  <c r="L360" i="17"/>
  <c r="I363" i="17"/>
  <c r="E201" i="17"/>
  <c r="L206" i="17"/>
  <c r="E213" i="17"/>
  <c r="C215" i="17"/>
  <c r="L218" i="17"/>
  <c r="E225" i="17"/>
  <c r="L230" i="17"/>
  <c r="E237" i="17"/>
  <c r="L242" i="17"/>
  <c r="E249" i="17"/>
  <c r="L254" i="17"/>
  <c r="E261" i="17"/>
  <c r="L266" i="17"/>
  <c r="E273" i="17"/>
  <c r="C275" i="17"/>
  <c r="L278" i="17"/>
  <c r="E285" i="17"/>
  <c r="E309" i="17"/>
  <c r="C311" i="17"/>
  <c r="L314" i="17"/>
  <c r="C323" i="17"/>
  <c r="L326" i="17"/>
  <c r="E333" i="17"/>
  <c r="C335" i="17"/>
  <c r="L337" i="17"/>
  <c r="C346" i="17"/>
  <c r="L349" i="17"/>
  <c r="E356" i="17"/>
  <c r="C358" i="17"/>
  <c r="L361" i="17"/>
  <c r="C204" i="17"/>
  <c r="C216" i="17"/>
  <c r="C228" i="17"/>
  <c r="C240" i="17"/>
  <c r="C252" i="17"/>
  <c r="C264" i="17"/>
  <c r="C276" i="17"/>
  <c r="C288" i="17"/>
  <c r="C300" i="17"/>
  <c r="C312" i="17"/>
  <c r="C324" i="17"/>
  <c r="C347" i="17"/>
  <c r="C359" i="17"/>
  <c r="L362" i="17"/>
  <c r="C217" i="17"/>
  <c r="C253" i="17"/>
  <c r="C265" i="17"/>
  <c r="E275" i="17"/>
  <c r="C277" i="17"/>
  <c r="G285" i="17"/>
  <c r="E287" i="17"/>
  <c r="G297" i="17"/>
  <c r="E299" i="17"/>
  <c r="G309" i="17"/>
  <c r="E311" i="17"/>
  <c r="C313" i="17"/>
  <c r="C325" i="17"/>
  <c r="E335" i="17"/>
  <c r="C336" i="17"/>
  <c r="E346" i="17"/>
  <c r="C348" i="17"/>
  <c r="E358" i="17"/>
  <c r="C360" i="17"/>
  <c r="D205" i="17"/>
  <c r="C206" i="17"/>
  <c r="C218" i="17"/>
  <c r="C230" i="17"/>
  <c r="D241" i="17"/>
  <c r="C242" i="17"/>
  <c r="C254" i="17"/>
  <c r="C266" i="17"/>
  <c r="E276" i="17"/>
  <c r="C278" i="17"/>
  <c r="C290" i="17"/>
  <c r="D301" i="17"/>
  <c r="C302" i="17"/>
  <c r="C314" i="17"/>
  <c r="C326" i="17"/>
  <c r="C337" i="17"/>
  <c r="C349" i="17"/>
  <c r="E359" i="17"/>
  <c r="C361" i="17"/>
  <c r="C195" i="17"/>
  <c r="C207" i="17"/>
  <c r="C219" i="17"/>
  <c r="C231" i="17"/>
  <c r="C243" i="17"/>
  <c r="C255" i="17"/>
  <c r="C267" i="17"/>
  <c r="C279" i="17"/>
  <c r="C291" i="17"/>
  <c r="C303" i="17"/>
  <c r="C315" i="17"/>
  <c r="C327" i="17"/>
  <c r="C338" i="17"/>
  <c r="C350" i="17"/>
  <c r="L7" i="87"/>
  <c r="L13" i="87"/>
  <c r="L19" i="87"/>
  <c r="L25" i="87"/>
  <c r="L37" i="87"/>
  <c r="L43" i="87"/>
  <c r="D47" i="87"/>
  <c r="L48" i="87"/>
  <c r="L56" i="87"/>
  <c r="E58" i="87"/>
  <c r="L61" i="87"/>
  <c r="D65" i="87"/>
  <c r="L66" i="87"/>
  <c r="E84" i="87"/>
  <c r="E93" i="87"/>
  <c r="L93" i="87"/>
  <c r="E101" i="87"/>
  <c r="D117" i="87"/>
  <c r="C119" i="87"/>
  <c r="E9" i="87"/>
  <c r="E15" i="87"/>
  <c r="E21" i="87"/>
  <c r="E27" i="87"/>
  <c r="E33" i="87"/>
  <c r="E39" i="87"/>
  <c r="D44" i="87"/>
  <c r="E45" i="87"/>
  <c r="L53" i="87"/>
  <c r="I55" i="87"/>
  <c r="C58" i="87"/>
  <c r="I60" i="87"/>
  <c r="D62" i="87"/>
  <c r="E63" i="87"/>
  <c r="I72" i="87"/>
  <c r="I78" i="87"/>
  <c r="D90" i="87"/>
  <c r="D96" i="87"/>
  <c r="E99" i="87"/>
  <c r="L99" i="87"/>
  <c r="I105" i="87"/>
  <c r="I111" i="87"/>
  <c r="E113" i="87"/>
  <c r="E105" i="87"/>
  <c r="L105" i="87"/>
  <c r="C7" i="87"/>
  <c r="E8" i="87"/>
  <c r="I10" i="87"/>
  <c r="C13" i="87"/>
  <c r="E14" i="87"/>
  <c r="I16" i="87"/>
  <c r="C19" i="87"/>
  <c r="E20" i="87"/>
  <c r="I22" i="87"/>
  <c r="C25" i="87"/>
  <c r="E26" i="87"/>
  <c r="I28" i="87"/>
  <c r="E32" i="87"/>
  <c r="I40" i="87"/>
  <c r="L45" i="87"/>
  <c r="E47" i="87"/>
  <c r="C50" i="87"/>
  <c r="I52" i="87"/>
  <c r="E54" i="87"/>
  <c r="L63" i="87"/>
  <c r="E65" i="87"/>
  <c r="C68" i="87"/>
  <c r="I74" i="87"/>
  <c r="I80" i="87"/>
  <c r="E102" i="87"/>
  <c r="D108" i="87"/>
  <c r="D114" i="87"/>
  <c r="E117" i="87"/>
  <c r="L117" i="87"/>
  <c r="L29" i="87"/>
  <c r="L50" i="87"/>
  <c r="L17" i="87"/>
  <c r="L35" i="87"/>
  <c r="C12" i="87"/>
  <c r="E13" i="87"/>
  <c r="C18" i="87"/>
  <c r="E19" i="87"/>
  <c r="C24" i="87"/>
  <c r="E25" i="87"/>
  <c r="C30" i="87"/>
  <c r="C36" i="87"/>
  <c r="C42" i="87"/>
  <c r="E43" i="87"/>
  <c r="I49" i="87"/>
  <c r="D51" i="87"/>
  <c r="D56" i="87"/>
  <c r="E57" i="87"/>
  <c r="D69" i="87"/>
  <c r="C71" i="87"/>
  <c r="C74" i="87"/>
  <c r="C80" i="87"/>
  <c r="L23" i="87"/>
  <c r="E52" i="87"/>
  <c r="L55" i="87"/>
  <c r="C6" i="87"/>
  <c r="L16" i="87"/>
  <c r="L22" i="87"/>
  <c r="L28" i="87"/>
  <c r="L40" i="87"/>
  <c r="D48" i="87"/>
  <c r="L52" i="87"/>
  <c r="E56" i="87"/>
  <c r="C57" i="87"/>
  <c r="I59" i="87"/>
  <c r="D61" i="87"/>
  <c r="D66" i="87"/>
  <c r="D75" i="87"/>
  <c r="I92" i="87"/>
  <c r="I98" i="87"/>
  <c r="E120" i="87"/>
  <c r="E129" i="87"/>
  <c r="L129" i="87"/>
  <c r="D195" i="16"/>
  <c r="C195" i="16"/>
  <c r="K195" i="87"/>
  <c r="L60" i="87"/>
  <c r="E7" i="87"/>
  <c r="L10" i="87"/>
  <c r="C44" i="87"/>
  <c r="C62" i="87"/>
  <c r="D81" i="87"/>
  <c r="D129" i="87"/>
  <c r="C129" i="87"/>
  <c r="L11" i="87"/>
  <c r="L44" i="87"/>
  <c r="E46" i="87"/>
  <c r="L49" i="87"/>
  <c r="I51" i="87"/>
  <c r="D58" i="87"/>
  <c r="E64" i="87"/>
  <c r="I69" i="87"/>
  <c r="I75" i="87"/>
  <c r="D87" i="87"/>
  <c r="C89" i="87"/>
  <c r="C92" i="87"/>
  <c r="C95" i="87"/>
  <c r="C98" i="87"/>
  <c r="I110" i="87"/>
  <c r="I116" i="87"/>
  <c r="E87" i="87"/>
  <c r="L87" i="87"/>
  <c r="L41" i="87"/>
  <c r="D45" i="87"/>
  <c r="I48" i="87"/>
  <c r="D50" i="87"/>
  <c r="I61" i="87"/>
  <c r="D63" i="87"/>
  <c r="I66" i="87"/>
  <c r="E69" i="87"/>
  <c r="L69" i="87"/>
  <c r="E75" i="87"/>
  <c r="L75" i="87"/>
  <c r="I81" i="87"/>
  <c r="C101" i="87"/>
  <c r="E111" i="87"/>
  <c r="L111" i="87"/>
  <c r="I53" i="87"/>
  <c r="D55" i="87"/>
  <c r="D72" i="87"/>
  <c r="D78" i="87"/>
  <c r="E81" i="87"/>
  <c r="L81" i="87"/>
  <c r="I87" i="87"/>
  <c r="D99" i="87"/>
  <c r="D101" i="87"/>
  <c r="D113" i="87"/>
  <c r="D131" i="87"/>
  <c r="E71" i="87"/>
  <c r="E77" i="87"/>
  <c r="E83" i="87"/>
  <c r="E89" i="87"/>
  <c r="E95" i="87"/>
  <c r="E107" i="87"/>
  <c r="E119" i="87"/>
  <c r="E125" i="87"/>
  <c r="D70" i="87"/>
  <c r="D76" i="87"/>
  <c r="D82" i="87"/>
  <c r="D94" i="87"/>
  <c r="D100" i="87"/>
  <c r="D106" i="87"/>
  <c r="D112" i="87"/>
  <c r="I102" i="87"/>
  <c r="I108" i="87"/>
  <c r="I114" i="87"/>
  <c r="I120" i="87"/>
  <c r="I132" i="87"/>
  <c r="I170" i="16"/>
  <c r="E170" i="16"/>
  <c r="L352" i="87"/>
  <c r="AZ45" i="16"/>
  <c r="AZ46" i="16"/>
  <c r="AZ47" i="16"/>
  <c r="AZ48" i="16"/>
  <c r="AZ49" i="16"/>
  <c r="AZ50" i="16"/>
  <c r="AZ51" i="16"/>
  <c r="AZ52" i="16"/>
  <c r="AZ53" i="16"/>
  <c r="AZ54" i="16"/>
  <c r="AZ55" i="16"/>
  <c r="AZ56" i="16"/>
  <c r="AZ57" i="16"/>
  <c r="AZ58" i="16"/>
  <c r="AZ59" i="16"/>
  <c r="AZ60" i="16"/>
  <c r="AZ61" i="16"/>
  <c r="AZ62" i="16"/>
  <c r="AZ63" i="16"/>
  <c r="AZ64" i="16"/>
  <c r="AZ65" i="16"/>
  <c r="AZ66" i="16"/>
  <c r="AZ67" i="16"/>
  <c r="BN68" i="16"/>
  <c r="CB69" i="16"/>
  <c r="AL123" i="16"/>
  <c r="BN130" i="16"/>
  <c r="E159" i="16"/>
  <c r="C159" i="16"/>
  <c r="AZ123" i="16"/>
  <c r="CB130" i="16"/>
  <c r="E190" i="16"/>
  <c r="L190" i="16"/>
  <c r="G190" i="16"/>
  <c r="I190" i="16"/>
  <c r="D192" i="16"/>
  <c r="C192" i="16"/>
  <c r="L192" i="16"/>
  <c r="D312" i="16"/>
  <c r="C312" i="16"/>
  <c r="L312" i="16"/>
  <c r="E347" i="16"/>
  <c r="D347" i="16"/>
  <c r="L347" i="16"/>
  <c r="G347" i="16"/>
  <c r="BN86" i="16"/>
  <c r="BN89" i="16"/>
  <c r="BN92" i="16"/>
  <c r="BN95" i="16"/>
  <c r="BN98" i="16"/>
  <c r="BN101" i="16"/>
  <c r="BN104" i="16"/>
  <c r="BN107" i="16"/>
  <c r="BN110" i="16"/>
  <c r="BN113" i="16"/>
  <c r="BN116" i="16"/>
  <c r="BN119" i="16"/>
  <c r="G137" i="16"/>
  <c r="E137" i="16"/>
  <c r="L137" i="16"/>
  <c r="D190" i="16"/>
  <c r="E276" i="16"/>
  <c r="I276" i="16"/>
  <c r="D288" i="16"/>
  <c r="C288" i="16"/>
  <c r="L288" i="16"/>
  <c r="D137" i="16"/>
  <c r="C137" i="16"/>
  <c r="G161" i="16"/>
  <c r="E161" i="16"/>
  <c r="L161" i="16"/>
  <c r="I161" i="16"/>
  <c r="C134" i="16"/>
  <c r="I134" i="16"/>
  <c r="E134" i="16"/>
  <c r="E148" i="16"/>
  <c r="D148" i="16"/>
  <c r="L148" i="16"/>
  <c r="G148" i="16"/>
  <c r="I158" i="16"/>
  <c r="E158" i="16"/>
  <c r="D161" i="16"/>
  <c r="C161" i="16"/>
  <c r="E172" i="16"/>
  <c r="D172" i="16"/>
  <c r="L172" i="16"/>
  <c r="G172" i="16"/>
  <c r="CB72" i="16"/>
  <c r="CB76" i="16"/>
  <c r="CB129" i="16"/>
  <c r="D150" i="16"/>
  <c r="C150" i="16"/>
  <c r="I242" i="16"/>
  <c r="G242" i="16"/>
  <c r="E242" i="16"/>
  <c r="D242" i="16"/>
  <c r="L242" i="16"/>
  <c r="L343" i="87"/>
  <c r="X71" i="16"/>
  <c r="BN79" i="16"/>
  <c r="BN82" i="16"/>
  <c r="BN85" i="16"/>
  <c r="BN88" i="16"/>
  <c r="BN91" i="16"/>
  <c r="BN94" i="16"/>
  <c r="BN97" i="16"/>
  <c r="BN100" i="16"/>
  <c r="BN103" i="16"/>
  <c r="BN106" i="16"/>
  <c r="BN109" i="16"/>
  <c r="BN112" i="16"/>
  <c r="BN115" i="16"/>
  <c r="BN118" i="16"/>
  <c r="BN121" i="16"/>
  <c r="L150" i="16"/>
  <c r="E171" i="16"/>
  <c r="C171" i="16"/>
  <c r="L176" i="16"/>
  <c r="E176" i="16"/>
  <c r="D176" i="16"/>
  <c r="G176" i="16"/>
  <c r="BN71" i="16"/>
  <c r="BN75" i="16"/>
  <c r="CB79" i="16"/>
  <c r="CB82" i="16"/>
  <c r="CB85" i="16"/>
  <c r="CB88" i="16"/>
  <c r="CB91" i="16"/>
  <c r="CB94" i="16"/>
  <c r="CB97" i="16"/>
  <c r="CB100" i="16"/>
  <c r="CB103" i="16"/>
  <c r="CB106" i="16"/>
  <c r="CB109" i="16"/>
  <c r="CB112" i="16"/>
  <c r="CB115" i="16"/>
  <c r="CB118" i="16"/>
  <c r="CB121" i="16"/>
  <c r="E227" i="16"/>
  <c r="L227" i="16"/>
  <c r="G227" i="16"/>
  <c r="X37" i="16"/>
  <c r="X70" i="16"/>
  <c r="CB71" i="16"/>
  <c r="CB75" i="16"/>
  <c r="BN128" i="16"/>
  <c r="I149" i="16"/>
  <c r="I203" i="16"/>
  <c r="X69" i="16"/>
  <c r="BN70" i="16"/>
  <c r="CB128" i="16"/>
  <c r="CB132" i="16"/>
  <c r="AZ131" i="16"/>
  <c r="X130" i="16"/>
  <c r="X129" i="16"/>
  <c r="X128" i="16"/>
  <c r="AZ127" i="16"/>
  <c r="CB126" i="16"/>
  <c r="X122" i="16"/>
  <c r="X121" i="16"/>
  <c r="X120" i="16"/>
  <c r="X119" i="16"/>
  <c r="X118" i="16"/>
  <c r="X117" i="16"/>
  <c r="X116" i="16"/>
  <c r="X115" i="16"/>
  <c r="X114" i="16"/>
  <c r="X113" i="16"/>
  <c r="X112" i="16"/>
  <c r="X111" i="16"/>
  <c r="X110" i="16"/>
  <c r="X109" i="16"/>
  <c r="X108" i="16"/>
  <c r="X107" i="16"/>
  <c r="X106" i="16"/>
  <c r="X105" i="16"/>
  <c r="X104" i="16"/>
  <c r="X103" i="16"/>
  <c r="X102" i="16"/>
  <c r="X101" i="16"/>
  <c r="X100" i="16"/>
  <c r="X99" i="16"/>
  <c r="X98" i="16"/>
  <c r="X97" i="16"/>
  <c r="X96" i="16"/>
  <c r="X95" i="16"/>
  <c r="X94" i="16"/>
  <c r="X93" i="16"/>
  <c r="X92" i="16"/>
  <c r="X91" i="16"/>
  <c r="X90" i="16"/>
  <c r="X89" i="16"/>
  <c r="X88" i="16"/>
  <c r="X87" i="16"/>
  <c r="X86" i="16"/>
  <c r="X85" i="16"/>
  <c r="X84" i="16"/>
  <c r="X83" i="16"/>
  <c r="X82" i="16"/>
  <c r="X81" i="16"/>
  <c r="X80" i="16"/>
  <c r="X79" i="16"/>
  <c r="X78" i="16"/>
  <c r="X77" i="16"/>
  <c r="X76" i="16"/>
  <c r="X75" i="16"/>
  <c r="X74" i="16"/>
  <c r="X73" i="16"/>
  <c r="X72" i="16"/>
  <c r="E136" i="16"/>
  <c r="BN132" i="16"/>
  <c r="AL131" i="16"/>
  <c r="AL127" i="16"/>
  <c r="BN126" i="16"/>
  <c r="D136" i="16"/>
  <c r="CB133" i="16"/>
  <c r="AZ132" i="16"/>
  <c r="X131" i="16"/>
  <c r="X127" i="16"/>
  <c r="AZ126" i="16"/>
  <c r="CB125" i="16"/>
  <c r="BN133" i="16"/>
  <c r="AL132" i="16"/>
  <c r="AL126" i="16"/>
  <c r="BN125" i="16"/>
  <c r="AZ133" i="16"/>
  <c r="X132" i="16"/>
  <c r="X126" i="16"/>
  <c r="AZ125" i="16"/>
  <c r="CB124" i="16"/>
  <c r="AL133" i="16"/>
  <c r="AL125" i="16"/>
  <c r="BN124" i="16"/>
  <c r="L136" i="16"/>
  <c r="X133" i="16"/>
  <c r="X125" i="16"/>
  <c r="AZ124" i="16"/>
  <c r="CB123" i="16"/>
  <c r="AL124" i="16"/>
  <c r="BN123" i="16"/>
  <c r="CB131" i="16"/>
  <c r="AZ130" i="16"/>
  <c r="AZ129" i="16"/>
  <c r="AZ128" i="16"/>
  <c r="CB127" i="16"/>
  <c r="X123" i="16"/>
  <c r="AZ122" i="16"/>
  <c r="AZ121" i="16"/>
  <c r="AZ120" i="16"/>
  <c r="AZ119" i="16"/>
  <c r="AZ118" i="16"/>
  <c r="AZ117" i="16"/>
  <c r="AZ116" i="16"/>
  <c r="AZ115" i="16"/>
  <c r="AZ114" i="16"/>
  <c r="AZ113" i="16"/>
  <c r="AZ112" i="16"/>
  <c r="AZ111" i="16"/>
  <c r="AZ110" i="16"/>
  <c r="AZ109" i="16"/>
  <c r="AZ108" i="16"/>
  <c r="AZ107" i="16"/>
  <c r="AZ106" i="16"/>
  <c r="AZ105" i="16"/>
  <c r="AZ104" i="16"/>
  <c r="AZ103" i="16"/>
  <c r="AZ102" i="16"/>
  <c r="AZ101" i="16"/>
  <c r="AZ100" i="16"/>
  <c r="AZ99" i="16"/>
  <c r="AZ98" i="16"/>
  <c r="AZ97" i="16"/>
  <c r="AZ96" i="16"/>
  <c r="AZ95" i="16"/>
  <c r="AZ94" i="16"/>
  <c r="AZ93" i="16"/>
  <c r="AZ92" i="16"/>
  <c r="AZ91" i="16"/>
  <c r="AZ90" i="16"/>
  <c r="AZ89" i="16"/>
  <c r="AZ88" i="16"/>
  <c r="AZ87" i="16"/>
  <c r="AZ86" i="16"/>
  <c r="AZ85" i="16"/>
  <c r="AZ84" i="16"/>
  <c r="AZ83" i="16"/>
  <c r="AZ82" i="16"/>
  <c r="AZ81" i="16"/>
  <c r="AZ80" i="16"/>
  <c r="AZ79" i="16"/>
  <c r="AZ78" i="16"/>
  <c r="AZ77" i="16"/>
  <c r="AZ76" i="16"/>
  <c r="AZ75" i="16"/>
  <c r="AZ74" i="16"/>
  <c r="AZ73" i="16"/>
  <c r="AZ72" i="16"/>
  <c r="AZ71" i="16"/>
  <c r="AZ70" i="16"/>
  <c r="G136" i="16"/>
  <c r="BN131" i="16"/>
  <c r="AL130" i="16"/>
  <c r="AL129" i="16"/>
  <c r="AL128" i="16"/>
  <c r="BN127" i="16"/>
  <c r="AL122" i="16"/>
  <c r="AL121" i="16"/>
  <c r="AL120" i="16"/>
  <c r="AL119" i="16"/>
  <c r="AL118" i="16"/>
  <c r="AL117" i="16"/>
  <c r="AL116" i="16"/>
  <c r="AL115"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9" i="16"/>
  <c r="AL88" i="16"/>
  <c r="AL87" i="16"/>
  <c r="AL86" i="16"/>
  <c r="AL85" i="16"/>
  <c r="AL84" i="16"/>
  <c r="AL83" i="16"/>
  <c r="AL82" i="16"/>
  <c r="AL81" i="16"/>
  <c r="AL80" i="16"/>
  <c r="AL79" i="16"/>
  <c r="AL78" i="16"/>
  <c r="AL77" i="16"/>
  <c r="AL76" i="16"/>
  <c r="AL75" i="16"/>
  <c r="AL74" i="16"/>
  <c r="AL73" i="16"/>
  <c r="AL72" i="16"/>
  <c r="AL71" i="16"/>
  <c r="AL70" i="16"/>
  <c r="AL69" i="16"/>
  <c r="AL68" i="16"/>
  <c r="G149" i="16"/>
  <c r="E149" i="16"/>
  <c r="L149" i="16"/>
  <c r="E203" i="16"/>
  <c r="L203" i="16"/>
  <c r="G203" i="16"/>
  <c r="D213" i="16"/>
  <c r="C213" i="16"/>
  <c r="L213" i="16"/>
  <c r="E219" i="16"/>
  <c r="I219" i="16"/>
  <c r="BN78" i="16"/>
  <c r="BN81" i="16"/>
  <c r="BN84" i="16"/>
  <c r="BN87" i="16"/>
  <c r="BN90" i="16"/>
  <c r="BN93" i="16"/>
  <c r="BN96" i="16"/>
  <c r="BN99" i="16"/>
  <c r="BN102" i="16"/>
  <c r="BN105" i="16"/>
  <c r="BN108" i="16"/>
  <c r="BN111" i="16"/>
  <c r="BN114" i="16"/>
  <c r="BN117" i="16"/>
  <c r="BN120" i="16"/>
  <c r="X124" i="16"/>
  <c r="D138" i="16"/>
  <c r="C138" i="16"/>
  <c r="I146" i="16"/>
  <c r="E146" i="16"/>
  <c r="D149" i="16"/>
  <c r="C149" i="16"/>
  <c r="E160" i="16"/>
  <c r="D160" i="16"/>
  <c r="L160" i="16"/>
  <c r="G160" i="16"/>
  <c r="D162" i="16"/>
  <c r="C162" i="16"/>
  <c r="G173" i="16"/>
  <c r="E173" i="16"/>
  <c r="D173" i="16"/>
  <c r="L173" i="16"/>
  <c r="I173" i="16"/>
  <c r="C144" i="16"/>
  <c r="C156" i="16"/>
  <c r="D157" i="16"/>
  <c r="I162" i="16"/>
  <c r="C168" i="16"/>
  <c r="D169" i="16"/>
  <c r="D174" i="16"/>
  <c r="C174" i="16"/>
  <c r="D179" i="16"/>
  <c r="C179" i="16"/>
  <c r="I230" i="16"/>
  <c r="D252" i="16"/>
  <c r="C252" i="16"/>
  <c r="D255" i="16"/>
  <c r="C255" i="16"/>
  <c r="E261" i="16"/>
  <c r="E288" i="16"/>
  <c r="I288" i="16"/>
  <c r="E312" i="16"/>
  <c r="I312" i="16"/>
  <c r="D315" i="16"/>
  <c r="C315" i="16"/>
  <c r="C357" i="16"/>
  <c r="I357" i="16"/>
  <c r="E357" i="16"/>
  <c r="L140" i="16"/>
  <c r="D144" i="16"/>
  <c r="L152" i="16"/>
  <c r="E192" i="16"/>
  <c r="I192" i="16"/>
  <c r="I206" i="16"/>
  <c r="G206" i="16"/>
  <c r="E206" i="16"/>
  <c r="D206" i="16"/>
  <c r="L206" i="16"/>
  <c r="E213" i="16"/>
  <c r="I213" i="16"/>
  <c r="I227" i="16"/>
  <c r="G230" i="16"/>
  <c r="E230" i="16"/>
  <c r="D230" i="16"/>
  <c r="L230" i="16"/>
  <c r="C273" i="16"/>
  <c r="I273" i="16"/>
  <c r="D291" i="16"/>
  <c r="C291" i="16"/>
  <c r="E299" i="16"/>
  <c r="D299" i="16"/>
  <c r="L299" i="16"/>
  <c r="I299" i="16"/>
  <c r="I347" i="16"/>
  <c r="E239" i="16"/>
  <c r="D239" i="16"/>
  <c r="L239" i="16"/>
  <c r="I239" i="16"/>
  <c r="E264" i="16"/>
  <c r="I264" i="16"/>
  <c r="D324" i="16"/>
  <c r="C324" i="16"/>
  <c r="L324" i="16"/>
  <c r="C140" i="16"/>
  <c r="E142" i="16"/>
  <c r="G144" i="16"/>
  <c r="C152" i="16"/>
  <c r="E154" i="16"/>
  <c r="G156" i="16"/>
  <c r="C164" i="16"/>
  <c r="E166" i="16"/>
  <c r="C176" i="16"/>
  <c r="E180" i="16"/>
  <c r="I180" i="16"/>
  <c r="D203" i="16"/>
  <c r="I254" i="16"/>
  <c r="G254" i="16"/>
  <c r="E254" i="16"/>
  <c r="D254" i="16"/>
  <c r="L254" i="16"/>
  <c r="D276" i="16"/>
  <c r="C276" i="16"/>
  <c r="L276" i="16"/>
  <c r="D279" i="16"/>
  <c r="C279" i="16"/>
  <c r="C321" i="16"/>
  <c r="I321" i="16"/>
  <c r="E321" i="16"/>
  <c r="E359" i="16"/>
  <c r="D359" i="16"/>
  <c r="L359" i="16"/>
  <c r="G359" i="16"/>
  <c r="E141" i="16"/>
  <c r="G143" i="16"/>
  <c r="G155" i="16"/>
  <c r="G167" i="16"/>
  <c r="E178" i="16"/>
  <c r="L178" i="16"/>
  <c r="G178" i="16"/>
  <c r="D219" i="16"/>
  <c r="C219" i="16"/>
  <c r="L219" i="16"/>
  <c r="E237" i="16"/>
  <c r="E251" i="16"/>
  <c r="D251" i="16"/>
  <c r="L251" i="16"/>
  <c r="I251" i="16"/>
  <c r="C261" i="16"/>
  <c r="D264" i="16"/>
  <c r="C264" i="16"/>
  <c r="D267" i="16"/>
  <c r="C267" i="16"/>
  <c r="I314" i="16"/>
  <c r="G314" i="16"/>
  <c r="E314" i="16"/>
  <c r="D314" i="16"/>
  <c r="L314" i="16"/>
  <c r="C333" i="16"/>
  <c r="I333" i="16"/>
  <c r="E333" i="16"/>
  <c r="D336" i="16"/>
  <c r="C336" i="16"/>
  <c r="L135" i="16"/>
  <c r="G142" i="16"/>
  <c r="E152" i="16"/>
  <c r="G154" i="16"/>
  <c r="E164" i="16"/>
  <c r="G166" i="16"/>
  <c r="E174" i="16"/>
  <c r="D180" i="16"/>
  <c r="C180" i="16"/>
  <c r="I287" i="16"/>
  <c r="I290" i="16"/>
  <c r="G290" i="16"/>
  <c r="E290" i="16"/>
  <c r="D290" i="16"/>
  <c r="L290" i="16"/>
  <c r="C297" i="16"/>
  <c r="I297" i="16"/>
  <c r="E300" i="16"/>
  <c r="I300" i="16"/>
  <c r="D303" i="16"/>
  <c r="C303" i="16"/>
  <c r="I311" i="16"/>
  <c r="I143" i="16"/>
  <c r="I155" i="16"/>
  <c r="L170" i="16"/>
  <c r="L180" i="16"/>
  <c r="I191" i="16"/>
  <c r="I194" i="16"/>
  <c r="G194" i="16"/>
  <c r="E194" i="16"/>
  <c r="D194" i="16"/>
  <c r="L194" i="16"/>
  <c r="I214" i="16"/>
  <c r="G214" i="16"/>
  <c r="E214" i="16"/>
  <c r="D214" i="16"/>
  <c r="L214" i="16"/>
  <c r="E228" i="16"/>
  <c r="I228" i="16"/>
  <c r="E287" i="16"/>
  <c r="D287" i="16"/>
  <c r="L287" i="16"/>
  <c r="E311" i="16"/>
  <c r="D311" i="16"/>
  <c r="L311" i="16"/>
  <c r="I323" i="16"/>
  <c r="I154" i="16"/>
  <c r="I166" i="16"/>
  <c r="E191" i="16"/>
  <c r="L191" i="16"/>
  <c r="E204" i="16"/>
  <c r="I204" i="16"/>
  <c r="D207" i="16"/>
  <c r="C207" i="16"/>
  <c r="I220" i="16"/>
  <c r="L231" i="16"/>
  <c r="E240" i="16"/>
  <c r="I240" i="16"/>
  <c r="I275" i="16"/>
  <c r="I278" i="16"/>
  <c r="G278" i="16"/>
  <c r="E278" i="16"/>
  <c r="D278" i="16"/>
  <c r="L278" i="16"/>
  <c r="D300" i="16"/>
  <c r="C300" i="16"/>
  <c r="L300" i="16"/>
  <c r="E323" i="16"/>
  <c r="D323" i="16"/>
  <c r="L323" i="16"/>
  <c r="G323" i="16"/>
  <c r="C345" i="16"/>
  <c r="I345" i="16"/>
  <c r="E345" i="16"/>
  <c r="D191" i="16"/>
  <c r="C191" i="16"/>
  <c r="G220" i="16"/>
  <c r="E220" i="16"/>
  <c r="D220" i="16"/>
  <c r="L220" i="16"/>
  <c r="D228" i="16"/>
  <c r="C228" i="16"/>
  <c r="L228" i="16"/>
  <c r="D231" i="16"/>
  <c r="C231" i="16"/>
  <c r="I266" i="16"/>
  <c r="G266" i="16"/>
  <c r="E266" i="16"/>
  <c r="D266" i="16"/>
  <c r="L266" i="16"/>
  <c r="E275" i="16"/>
  <c r="D275" i="16"/>
  <c r="L275" i="16"/>
  <c r="D348" i="16"/>
  <c r="C348" i="16"/>
  <c r="L348" i="16"/>
  <c r="C146" i="16"/>
  <c r="C158" i="16"/>
  <c r="C170" i="16"/>
  <c r="D204" i="16"/>
  <c r="C204" i="16"/>
  <c r="L204" i="16"/>
  <c r="C237" i="16"/>
  <c r="D240" i="16"/>
  <c r="C240" i="16"/>
  <c r="L240" i="16"/>
  <c r="D243" i="16"/>
  <c r="C243" i="16"/>
  <c r="E252" i="16"/>
  <c r="I252" i="16"/>
  <c r="E263" i="16"/>
  <c r="D263" i="16"/>
  <c r="L263" i="16"/>
  <c r="I263" i="16"/>
  <c r="E273" i="16"/>
  <c r="E335" i="16"/>
  <c r="D335" i="16"/>
  <c r="L335" i="16"/>
  <c r="G335" i="16"/>
  <c r="E179" i="16"/>
  <c r="L179" i="16"/>
  <c r="I182" i="16"/>
  <c r="G182" i="16"/>
  <c r="E182" i="16"/>
  <c r="D182" i="16"/>
  <c r="L182" i="16"/>
  <c r="C188" i="16"/>
  <c r="I188" i="16"/>
  <c r="E201" i="16"/>
  <c r="L252" i="16"/>
  <c r="C285" i="16"/>
  <c r="I285" i="16"/>
  <c r="G299" i="16"/>
  <c r="I302" i="16"/>
  <c r="G302" i="16"/>
  <c r="E302" i="16"/>
  <c r="D302" i="16"/>
  <c r="L302" i="16"/>
  <c r="C309" i="16"/>
  <c r="I309" i="16"/>
  <c r="D360" i="16"/>
  <c r="C360" i="16"/>
  <c r="D175" i="16"/>
  <c r="L183" i="16"/>
  <c r="C186" i="16"/>
  <c r="D187" i="16"/>
  <c r="E188" i="16"/>
  <c r="L195" i="16"/>
  <c r="C198" i="16"/>
  <c r="D199" i="16"/>
  <c r="E200" i="16"/>
  <c r="G202" i="16"/>
  <c r="L207" i="16"/>
  <c r="C210" i="16"/>
  <c r="E211" i="16"/>
  <c r="G212" i="16"/>
  <c r="C216" i="16"/>
  <c r="E217" i="16"/>
  <c r="G218" i="16"/>
  <c r="C222" i="16"/>
  <c r="E224" i="16"/>
  <c r="G226" i="16"/>
  <c r="C234" i="16"/>
  <c r="E236" i="16"/>
  <c r="C246" i="16"/>
  <c r="E248" i="16"/>
  <c r="L255" i="16"/>
  <c r="C258" i="16"/>
  <c r="D259" i="16"/>
  <c r="E260" i="16"/>
  <c r="L267" i="16"/>
  <c r="D271" i="16"/>
  <c r="E272" i="16"/>
  <c r="L279" i="16"/>
  <c r="L291" i="16"/>
  <c r="C294" i="16"/>
  <c r="L303" i="16"/>
  <c r="C306" i="16"/>
  <c r="E308" i="16"/>
  <c r="L315" i="16"/>
  <c r="C318" i="16"/>
  <c r="I324" i="16"/>
  <c r="L327" i="16"/>
  <c r="C330" i="16"/>
  <c r="G334" i="16"/>
  <c r="I336" i="16"/>
  <c r="L339" i="16"/>
  <c r="C342" i="16"/>
  <c r="I348" i="16"/>
  <c r="L351" i="16"/>
  <c r="C354" i="16"/>
  <c r="I360" i="16"/>
  <c r="L363" i="16"/>
  <c r="G365" i="16"/>
  <c r="G177" i="16"/>
  <c r="C185" i="16"/>
  <c r="G189" i="16"/>
  <c r="C197" i="16"/>
  <c r="G201" i="16"/>
  <c r="G225" i="16"/>
  <c r="E235" i="16"/>
  <c r="G249" i="16"/>
  <c r="D270" i="16"/>
  <c r="E271" i="16"/>
  <c r="D282" i="16"/>
  <c r="E283" i="16"/>
  <c r="E295" i="16"/>
  <c r="E307" i="16"/>
  <c r="E319" i="16"/>
  <c r="L326" i="16"/>
  <c r="E331" i="16"/>
  <c r="L338" i="16"/>
  <c r="E343" i="16"/>
  <c r="L350" i="16"/>
  <c r="E355" i="16"/>
  <c r="L362" i="16"/>
  <c r="G235" i="16"/>
  <c r="G247" i="16"/>
  <c r="G259" i="16"/>
  <c r="E269" i="16"/>
  <c r="G271" i="16"/>
  <c r="E281" i="16"/>
  <c r="G283" i="16"/>
  <c r="G295" i="16"/>
  <c r="G307" i="16"/>
  <c r="E317" i="16"/>
  <c r="G319" i="16"/>
  <c r="C327" i="16"/>
  <c r="E329" i="16"/>
  <c r="G331" i="16"/>
  <c r="C339" i="16"/>
  <c r="E341" i="16"/>
  <c r="G343" i="16"/>
  <c r="G343" i="87" s="1"/>
  <c r="C351" i="16"/>
  <c r="E353" i="16"/>
  <c r="G355" i="16"/>
  <c r="G355" i="87" s="1"/>
  <c r="C363" i="16"/>
  <c r="I200" i="16"/>
  <c r="I211" i="16"/>
  <c r="I217" i="16"/>
  <c r="I224" i="16"/>
  <c r="G234" i="16"/>
  <c r="I236" i="16"/>
  <c r="I248" i="16"/>
  <c r="E280" i="16"/>
  <c r="G282" i="16"/>
  <c r="G294" i="16"/>
  <c r="E304" i="16"/>
  <c r="G306" i="16"/>
  <c r="E316" i="16"/>
  <c r="G318" i="16"/>
  <c r="E328" i="16"/>
  <c r="G330" i="16"/>
  <c r="G342" i="16"/>
  <c r="E352" i="16"/>
  <c r="G354" i="16"/>
  <c r="L202" i="16"/>
  <c r="L212" i="16"/>
  <c r="L218" i="16"/>
  <c r="L226" i="16"/>
  <c r="I271" i="16"/>
  <c r="I283" i="16"/>
  <c r="E291" i="16"/>
  <c r="I295" i="16"/>
  <c r="I307" i="16"/>
  <c r="L322" i="16"/>
  <c r="D326" i="16"/>
  <c r="D338" i="16"/>
  <c r="E351" i="16"/>
  <c r="L358" i="16"/>
  <c r="C361" i="16"/>
  <c r="D362" i="16"/>
  <c r="E363" i="16"/>
  <c r="L237" i="16"/>
  <c r="L261" i="16"/>
  <c r="E326" i="16"/>
  <c r="E338" i="16"/>
  <c r="E350" i="16"/>
  <c r="E362" i="16"/>
  <c r="C203" i="16"/>
  <c r="C227" i="16"/>
  <c r="L284" i="16"/>
  <c r="L296" i="16"/>
  <c r="L308" i="16"/>
  <c r="L320" i="16"/>
  <c r="L332" i="16"/>
  <c r="L344" i="16"/>
  <c r="L356" i="16"/>
  <c r="C212" i="16"/>
  <c r="C250" i="16"/>
  <c r="G326" i="16"/>
  <c r="G338" i="16"/>
  <c r="G350" i="16"/>
  <c r="C358" i="16"/>
  <c r="G362" i="16"/>
  <c r="C365" i="16"/>
  <c r="C177" i="16"/>
  <c r="C189" i="16"/>
  <c r="C201" i="16"/>
  <c r="C225" i="16"/>
  <c r="D226" i="16"/>
  <c r="C249" i="16"/>
  <c r="L359" i="87" l="1"/>
  <c r="L126" i="87"/>
  <c r="L331" i="15"/>
  <c r="G70" i="17"/>
  <c r="C351" i="87"/>
  <c r="L125" i="87"/>
  <c r="D212" i="87"/>
  <c r="I212" i="87"/>
  <c r="E267" i="87"/>
  <c r="D350" i="87"/>
  <c r="J325" i="87"/>
  <c r="C325" i="15"/>
  <c r="E122" i="87"/>
  <c r="D325" i="15"/>
  <c r="E325" i="15"/>
  <c r="I122" i="87"/>
  <c r="I325" i="15"/>
  <c r="D128" i="87"/>
  <c r="G117" i="14"/>
  <c r="C305" i="87"/>
  <c r="C268" i="87"/>
  <c r="C324" i="15"/>
  <c r="I333" i="15"/>
  <c r="E333" i="15"/>
  <c r="L128" i="87"/>
  <c r="L123" i="87"/>
  <c r="J332" i="87"/>
  <c r="G332" i="87" s="1"/>
  <c r="C174" i="87"/>
  <c r="I174" i="87"/>
  <c r="C139" i="87"/>
  <c r="E322" i="15"/>
  <c r="L324" i="15"/>
  <c r="C333" i="15"/>
  <c r="D259" i="87"/>
  <c r="I259" i="87"/>
  <c r="K324" i="87"/>
  <c r="D324" i="87" s="1"/>
  <c r="E128" i="87"/>
  <c r="C316" i="87"/>
  <c r="I322" i="15"/>
  <c r="H322" i="87"/>
  <c r="I322" i="87" s="1"/>
  <c r="C322" i="15"/>
  <c r="I362" i="87"/>
  <c r="E162" i="87"/>
  <c r="C318" i="87"/>
  <c r="C361" i="87"/>
  <c r="C363" i="87"/>
  <c r="D355" i="87"/>
  <c r="D363" i="87"/>
  <c r="D319" i="87"/>
  <c r="D123" i="87"/>
  <c r="D342" i="87"/>
  <c r="I323" i="15"/>
  <c r="E323" i="15"/>
  <c r="K332" i="87"/>
  <c r="L332" i="15"/>
  <c r="D332" i="15"/>
  <c r="C332" i="15"/>
  <c r="C336" i="87"/>
  <c r="L355" i="87"/>
  <c r="I355" i="87"/>
  <c r="E230" i="87"/>
  <c r="I344" i="87"/>
  <c r="I123" i="87"/>
  <c r="D356" i="87"/>
  <c r="I262" i="87"/>
  <c r="G124" i="14"/>
  <c r="D326" i="15"/>
  <c r="L173" i="87"/>
  <c r="E154" i="87"/>
  <c r="E170" i="87"/>
  <c r="G94" i="17"/>
  <c r="G263" i="87"/>
  <c r="L178" i="87"/>
  <c r="L176" i="87"/>
  <c r="C280" i="87"/>
  <c r="C31" i="87"/>
  <c r="C37" i="87"/>
  <c r="E37" i="87"/>
  <c r="E326" i="15"/>
  <c r="E331" i="15"/>
  <c r="D125" i="87"/>
  <c r="I326" i="15"/>
  <c r="H326" i="87"/>
  <c r="D331" i="15"/>
  <c r="C125" i="87"/>
  <c r="L239" i="87"/>
  <c r="L31" i="87"/>
  <c r="C309" i="87"/>
  <c r="L309" i="87"/>
  <c r="D361" i="87"/>
  <c r="C350" i="87"/>
  <c r="H324" i="87"/>
  <c r="D329" i="15"/>
  <c r="K323" i="87"/>
  <c r="E126" i="87"/>
  <c r="L224" i="87"/>
  <c r="L329" i="15"/>
  <c r="I224" i="87"/>
  <c r="C337" i="87"/>
  <c r="D318" i="87"/>
  <c r="I341" i="87"/>
  <c r="C341" i="87"/>
  <c r="G129" i="14"/>
  <c r="D200" i="87"/>
  <c r="C333" i="87"/>
  <c r="I127" i="87"/>
  <c r="G360" i="87"/>
  <c r="G352" i="87"/>
  <c r="G348" i="87"/>
  <c r="G275" i="87"/>
  <c r="G321" i="87"/>
  <c r="G320" i="87"/>
  <c r="G224" i="87"/>
  <c r="G329" i="87"/>
  <c r="L200" i="87"/>
  <c r="C353" i="87"/>
  <c r="E163" i="87"/>
  <c r="I327" i="15"/>
  <c r="E327" i="15"/>
  <c r="I328" i="15"/>
  <c r="L124" i="87"/>
  <c r="D328" i="15"/>
  <c r="G345" i="87"/>
  <c r="D323" i="15"/>
  <c r="D327" i="15"/>
  <c r="L323" i="15"/>
  <c r="D346" i="87"/>
  <c r="I348" i="87"/>
  <c r="E363" i="87"/>
  <c r="C348" i="87"/>
  <c r="C286" i="87"/>
  <c r="I356" i="87"/>
  <c r="I172" i="87"/>
  <c r="C357" i="87"/>
  <c r="C197" i="87"/>
  <c r="C285" i="87"/>
  <c r="D285" i="87"/>
  <c r="C247" i="87"/>
  <c r="L286" i="87"/>
  <c r="E127" i="87"/>
  <c r="D305" i="87"/>
  <c r="D127" i="87"/>
  <c r="E38" i="87"/>
  <c r="Q387" i="17"/>
  <c r="G221" i="87"/>
  <c r="C123" i="87"/>
  <c r="E123" i="87"/>
  <c r="G344" i="87"/>
  <c r="E317" i="87"/>
  <c r="E308" i="87"/>
  <c r="E203" i="87"/>
  <c r="E262" i="87"/>
  <c r="D203" i="87"/>
  <c r="EA387" i="15"/>
  <c r="C200" i="87"/>
  <c r="E155" i="87"/>
  <c r="E305" i="87"/>
  <c r="G257" i="87"/>
  <c r="I319" i="87"/>
  <c r="I363" i="87"/>
  <c r="I183" i="87"/>
  <c r="I305" i="87"/>
  <c r="L297" i="87"/>
  <c r="L363" i="87"/>
  <c r="G106" i="17"/>
  <c r="AZ387" i="17"/>
  <c r="L346" i="87"/>
  <c r="G236" i="87"/>
  <c r="G46" i="17"/>
  <c r="C120" i="87"/>
  <c r="D120" i="87"/>
  <c r="I162" i="87"/>
  <c r="C293" i="87"/>
  <c r="CB387" i="16"/>
  <c r="I345" i="87"/>
  <c r="C162" i="87"/>
  <c r="C311" i="87"/>
  <c r="D345" i="87"/>
  <c r="E211" i="87"/>
  <c r="D360" i="87"/>
  <c r="E345" i="87"/>
  <c r="L287" i="87"/>
  <c r="E287" i="87"/>
  <c r="I263" i="87"/>
  <c r="D161" i="87"/>
  <c r="C161" i="87"/>
  <c r="I140" i="87"/>
  <c r="L206" i="87"/>
  <c r="I330" i="87"/>
  <c r="D263" i="87"/>
  <c r="C299" i="87"/>
  <c r="L229" i="87"/>
  <c r="L360" i="87"/>
  <c r="L311" i="87"/>
  <c r="E320" i="87"/>
  <c r="C330" i="87"/>
  <c r="L320" i="87"/>
  <c r="C143" i="87"/>
  <c r="C310" i="87"/>
  <c r="E250" i="87"/>
  <c r="D126" i="87"/>
  <c r="C277" i="87"/>
  <c r="E351" i="87"/>
  <c r="L236" i="87"/>
  <c r="E201" i="87"/>
  <c r="D169" i="87"/>
  <c r="C180" i="87"/>
  <c r="D320" i="87"/>
  <c r="G250" i="87"/>
  <c r="C308" i="87"/>
  <c r="C255" i="87"/>
  <c r="D250" i="87"/>
  <c r="C169" i="87"/>
  <c r="E197" i="87"/>
  <c r="I205" i="87"/>
  <c r="D349" i="87"/>
  <c r="I349" i="87"/>
  <c r="C329" i="87"/>
  <c r="D278" i="87"/>
  <c r="I200" i="87"/>
  <c r="E200" i="87"/>
  <c r="C205" i="87"/>
  <c r="C194" i="87"/>
  <c r="G278" i="87"/>
  <c r="L357" i="87"/>
  <c r="D272" i="87"/>
  <c r="E278" i="87"/>
  <c r="I364" i="87"/>
  <c r="E221" i="87"/>
  <c r="L137" i="87"/>
  <c r="C242" i="87"/>
  <c r="I318" i="87"/>
  <c r="L212" i="87"/>
  <c r="D287" i="87"/>
  <c r="C319" i="87"/>
  <c r="L288" i="87"/>
  <c r="D137" i="87"/>
  <c r="L342" i="87"/>
  <c r="C126" i="87"/>
  <c r="C199" i="87"/>
  <c r="I136" i="87"/>
  <c r="I293" i="87"/>
  <c r="L319" i="87"/>
  <c r="G342" i="87"/>
  <c r="E319" i="87"/>
  <c r="G309" i="87"/>
  <c r="E315" i="87"/>
  <c r="L318" i="87"/>
  <c r="I126" i="87"/>
  <c r="D309" i="87"/>
  <c r="I353" i="87"/>
  <c r="G318" i="87"/>
  <c r="C237" i="87"/>
  <c r="AZ387" i="14"/>
  <c r="AL387" i="14"/>
  <c r="AG387" i="14" s="1"/>
  <c r="C283" i="87"/>
  <c r="D162" i="87"/>
  <c r="E299" i="87"/>
  <c r="E360" i="87"/>
  <c r="E258" i="87"/>
  <c r="D316" i="87"/>
  <c r="G299" i="87"/>
  <c r="D280" i="87"/>
  <c r="G351" i="87"/>
  <c r="D144" i="87"/>
  <c r="L162" i="87"/>
  <c r="L351" i="87"/>
  <c r="I346" i="87"/>
  <c r="I351" i="87"/>
  <c r="C360" i="87"/>
  <c r="D351" i="87"/>
  <c r="I360" i="87"/>
  <c r="L387" i="14"/>
  <c r="E353" i="87"/>
  <c r="L283" i="87"/>
  <c r="L275" i="87"/>
  <c r="G99" i="14"/>
  <c r="C206" i="87"/>
  <c r="I299" i="87"/>
  <c r="L305" i="87"/>
  <c r="C208" i="87"/>
  <c r="I387" i="14"/>
  <c r="I295" i="87"/>
  <c r="G346" i="87"/>
  <c r="X387" i="14"/>
  <c r="D224" i="87"/>
  <c r="E150" i="87"/>
  <c r="I221" i="87"/>
  <c r="L364" i="87"/>
  <c r="L340" i="87"/>
  <c r="L259" i="87"/>
  <c r="I128" i="87"/>
  <c r="E387" i="14"/>
  <c r="C128" i="87"/>
  <c r="G274" i="87"/>
  <c r="D225" i="87"/>
  <c r="D288" i="87"/>
  <c r="D387" i="14"/>
  <c r="C387" i="14"/>
  <c r="E348" i="87"/>
  <c r="E259" i="87"/>
  <c r="D340" i="87"/>
  <c r="C259" i="87"/>
  <c r="E361" i="87"/>
  <c r="I203" i="87"/>
  <c r="E365" i="87"/>
  <c r="L221" i="87"/>
  <c r="C221" i="87"/>
  <c r="I31" i="87"/>
  <c r="L42" i="87"/>
  <c r="E42" i="87"/>
  <c r="G79" i="14"/>
  <c r="C340" i="87"/>
  <c r="G64" i="14"/>
  <c r="C244" i="87"/>
  <c r="D221" i="87"/>
  <c r="D31" i="87"/>
  <c r="L291" i="87"/>
  <c r="G111" i="14"/>
  <c r="I150" i="87"/>
  <c r="E31" i="87"/>
  <c r="E212" i="87"/>
  <c r="I361" i="87"/>
  <c r="C212" i="87"/>
  <c r="L361" i="87"/>
  <c r="C171" i="87"/>
  <c r="D42" i="87"/>
  <c r="D364" i="87"/>
  <c r="L177" i="87"/>
  <c r="C365" i="87"/>
  <c r="E198" i="87"/>
  <c r="EE387" i="15"/>
  <c r="J387" i="15"/>
  <c r="E257" i="87"/>
  <c r="D142" i="87"/>
  <c r="EH387" i="15"/>
  <c r="DZ387" i="15"/>
  <c r="DY387" i="15"/>
  <c r="K387" i="15"/>
  <c r="H387" i="15"/>
  <c r="C239" i="87"/>
  <c r="I142" i="87"/>
  <c r="D148" i="87"/>
  <c r="C339" i="87"/>
  <c r="C148" i="87"/>
  <c r="E216" i="87"/>
  <c r="I169" i="87"/>
  <c r="E191" i="87"/>
  <c r="L247" i="87"/>
  <c r="I244" i="87"/>
  <c r="C147" i="87"/>
  <c r="C216" i="87"/>
  <c r="I338" i="87"/>
  <c r="C296" i="87"/>
  <c r="C135" i="87"/>
  <c r="L344" i="87"/>
  <c r="L328" i="15"/>
  <c r="D344" i="87"/>
  <c r="E328" i="15"/>
  <c r="J327" i="87"/>
  <c r="I327" i="87" s="1"/>
  <c r="L135" i="87"/>
  <c r="E344" i="87"/>
  <c r="J328" i="87"/>
  <c r="I328" i="87" s="1"/>
  <c r="L327" i="15"/>
  <c r="D253" i="87"/>
  <c r="C288" i="87"/>
  <c r="C251" i="87"/>
  <c r="I246" i="87"/>
  <c r="E300" i="87"/>
  <c r="E251" i="87"/>
  <c r="I38" i="87"/>
  <c r="L161" i="87"/>
  <c r="E177" i="87"/>
  <c r="E281" i="87"/>
  <c r="E350" i="87"/>
  <c r="I288" i="87"/>
  <c r="E288" i="87"/>
  <c r="E246" i="87"/>
  <c r="C207" i="87"/>
  <c r="E282" i="87"/>
  <c r="D209" i="87"/>
  <c r="E354" i="87"/>
  <c r="L350" i="87"/>
  <c r="I251" i="87"/>
  <c r="I254" i="87"/>
  <c r="I350" i="87"/>
  <c r="L337" i="87"/>
  <c r="C160" i="87"/>
  <c r="C209" i="87"/>
  <c r="E301" i="87"/>
  <c r="D282" i="87"/>
  <c r="E238" i="87"/>
  <c r="I300" i="87"/>
  <c r="G300" i="87"/>
  <c r="G331" i="15"/>
  <c r="J331" i="87"/>
  <c r="I331" i="87" s="1"/>
  <c r="L347" i="87"/>
  <c r="E196" i="87"/>
  <c r="L169" i="87"/>
  <c r="L253" i="87"/>
  <c r="D300" i="87"/>
  <c r="E347" i="87"/>
  <c r="D298" i="87"/>
  <c r="I347" i="87"/>
  <c r="E169" i="87"/>
  <c r="C246" i="87"/>
  <c r="D312" i="87"/>
  <c r="C312" i="87"/>
  <c r="D173" i="87"/>
  <c r="L158" i="87"/>
  <c r="C175" i="87"/>
  <c r="L237" i="87"/>
  <c r="C291" i="87"/>
  <c r="D149" i="87"/>
  <c r="C321" i="87"/>
  <c r="I342" i="87"/>
  <c r="L38" i="87"/>
  <c r="I250" i="87"/>
  <c r="G112" i="17"/>
  <c r="AL387" i="17"/>
  <c r="I313" i="87"/>
  <c r="C298" i="87"/>
  <c r="C254" i="87"/>
  <c r="G142" i="87"/>
  <c r="G58" i="17"/>
  <c r="C279" i="87"/>
  <c r="I261" i="87"/>
  <c r="C217" i="87"/>
  <c r="E180" i="87"/>
  <c r="I255" i="87"/>
  <c r="E143" i="87"/>
  <c r="E236" i="87"/>
  <c r="X387" i="17"/>
  <c r="I165" i="87"/>
  <c r="E310" i="87"/>
  <c r="L218" i="87"/>
  <c r="G118" i="17"/>
  <c r="G18" i="17"/>
  <c r="G64" i="17"/>
  <c r="C223" i="87"/>
  <c r="G76" i="17"/>
  <c r="G88" i="17"/>
  <c r="C38" i="87"/>
  <c r="I230" i="87"/>
  <c r="E342" i="87"/>
  <c r="L153" i="87"/>
  <c r="C342" i="87"/>
  <c r="G23" i="17"/>
  <c r="G12" i="17"/>
  <c r="L146" i="87"/>
  <c r="D38" i="87"/>
  <c r="C153" i="87"/>
  <c r="G37" i="17"/>
  <c r="G72" i="17"/>
  <c r="G83" i="17"/>
  <c r="D204" i="87"/>
  <c r="I275" i="87"/>
  <c r="BN387" i="16"/>
  <c r="E141" i="87"/>
  <c r="D260" i="87"/>
  <c r="E294" i="87"/>
  <c r="AZ387" i="16"/>
  <c r="C229" i="87"/>
  <c r="C260" i="87"/>
  <c r="AL387" i="16"/>
  <c r="C167" i="87"/>
  <c r="C145" i="87"/>
  <c r="E275" i="87"/>
  <c r="D147" i="87"/>
  <c r="I267" i="87"/>
  <c r="E124" i="87"/>
  <c r="I193" i="87"/>
  <c r="C327" i="87"/>
  <c r="L312" i="87"/>
  <c r="G312" i="87"/>
  <c r="L245" i="87"/>
  <c r="C245" i="87"/>
  <c r="D223" i="87"/>
  <c r="D150" i="87"/>
  <c r="C172" i="87"/>
  <c r="D231" i="87"/>
  <c r="E167" i="87"/>
  <c r="L213" i="87"/>
  <c r="I177" i="87"/>
  <c r="L231" i="87"/>
  <c r="L150" i="87"/>
  <c r="G301" i="87"/>
  <c r="E152" i="87"/>
  <c r="E149" i="87"/>
  <c r="L149" i="87"/>
  <c r="I301" i="87"/>
  <c r="C231" i="87"/>
  <c r="E210" i="87"/>
  <c r="C150" i="87"/>
  <c r="L223" i="87"/>
  <c r="L285" i="87"/>
  <c r="E296" i="87"/>
  <c r="D334" i="87"/>
  <c r="C224" i="87"/>
  <c r="E224" i="87"/>
  <c r="E223" i="87"/>
  <c r="C213" i="87"/>
  <c r="C292" i="87"/>
  <c r="C264" i="87"/>
  <c r="I223" i="87"/>
  <c r="L226" i="87"/>
  <c r="D289" i="87"/>
  <c r="C253" i="87"/>
  <c r="D237" i="87"/>
  <c r="D313" i="87"/>
  <c r="E274" i="87"/>
  <c r="L155" i="87"/>
  <c r="C302" i="87"/>
  <c r="C184" i="87"/>
  <c r="C157" i="87"/>
  <c r="C272" i="87"/>
  <c r="C187" i="87"/>
  <c r="I257" i="87"/>
  <c r="E193" i="87"/>
  <c r="D226" i="87"/>
  <c r="G341" i="87"/>
  <c r="C190" i="87"/>
  <c r="D235" i="87"/>
  <c r="C188" i="87"/>
  <c r="C234" i="87"/>
  <c r="C152" i="87"/>
  <c r="I260" i="87"/>
  <c r="I236" i="87"/>
  <c r="G146" i="87"/>
  <c r="G289" i="87"/>
  <c r="E260" i="87"/>
  <c r="C270" i="87"/>
  <c r="E341" i="87"/>
  <c r="D341" i="87"/>
  <c r="L341" i="87"/>
  <c r="I226" i="87"/>
  <c r="C227" i="87"/>
  <c r="I217" i="87"/>
  <c r="D155" i="87"/>
  <c r="C313" i="87"/>
  <c r="X387" i="16"/>
  <c r="I184" i="87"/>
  <c r="E187" i="87"/>
  <c r="C222" i="87"/>
  <c r="I302" i="87"/>
  <c r="L260" i="87"/>
  <c r="I195" i="87"/>
  <c r="C257" i="87"/>
  <c r="E146" i="87"/>
  <c r="C252" i="87"/>
  <c r="I274" i="87"/>
  <c r="I289" i="87"/>
  <c r="E190" i="87"/>
  <c r="L289" i="87"/>
  <c r="I157" i="87"/>
  <c r="I139" i="87"/>
  <c r="E313" i="87"/>
  <c r="C271" i="87"/>
  <c r="D193" i="87"/>
  <c r="E253" i="87"/>
  <c r="D301" i="87"/>
  <c r="C256" i="87"/>
  <c r="C218" i="87"/>
  <c r="C238" i="87"/>
  <c r="C335" i="87"/>
  <c r="L235" i="87"/>
  <c r="D178" i="87"/>
  <c r="D271" i="87"/>
  <c r="L301" i="87"/>
  <c r="C301" i="87"/>
  <c r="I253" i="87"/>
  <c r="I294" i="87"/>
  <c r="L193" i="87"/>
  <c r="C193" i="87"/>
  <c r="E335" i="87"/>
  <c r="C274" i="87"/>
  <c r="L182" i="87"/>
  <c r="C211" i="87"/>
  <c r="L134" i="87"/>
  <c r="D243" i="87"/>
  <c r="L313" i="87"/>
  <c r="E265" i="87"/>
  <c r="C182" i="87"/>
  <c r="C134" i="87"/>
  <c r="L188" i="87"/>
  <c r="I232" i="87"/>
  <c r="C204" i="87"/>
  <c r="E334" i="87"/>
  <c r="C181" i="87"/>
  <c r="C306" i="87"/>
  <c r="L170" i="87"/>
  <c r="D146" i="87"/>
  <c r="C220" i="87"/>
  <c r="C144" i="87"/>
  <c r="C307" i="87"/>
  <c r="I235" i="87"/>
  <c r="I325" i="87"/>
  <c r="E185" i="87"/>
  <c r="I145" i="87"/>
  <c r="L321" i="87"/>
  <c r="E220" i="87"/>
  <c r="C235" i="87"/>
  <c r="E232" i="87"/>
  <c r="E306" i="87"/>
  <c r="I334" i="87"/>
  <c r="I358" i="87"/>
  <c r="E358" i="87"/>
  <c r="E312" i="87"/>
  <c r="E235" i="87"/>
  <c r="E321" i="87"/>
  <c r="D170" i="87"/>
  <c r="I307" i="87"/>
  <c r="I312" i="87"/>
  <c r="C202" i="87"/>
  <c r="D321" i="87"/>
  <c r="D358" i="87"/>
  <c r="C387" i="16"/>
  <c r="D230" i="87"/>
  <c r="D266" i="87"/>
  <c r="I181" i="87"/>
  <c r="E229" i="87"/>
  <c r="I321" i="87"/>
  <c r="I166" i="87"/>
  <c r="E199" i="87"/>
  <c r="C159" i="87"/>
  <c r="I242" i="87"/>
  <c r="E151" i="87"/>
  <c r="I234" i="87"/>
  <c r="D194" i="87"/>
  <c r="I173" i="87"/>
  <c r="E248" i="87"/>
  <c r="C315" i="87"/>
  <c r="G20" i="17"/>
  <c r="G59" i="17"/>
  <c r="G95" i="17"/>
  <c r="G31" i="17"/>
  <c r="G66" i="17"/>
  <c r="G102" i="17"/>
  <c r="G38" i="17"/>
  <c r="G108" i="17"/>
  <c r="L194" i="87"/>
  <c r="E194" i="87"/>
  <c r="L240" i="87"/>
  <c r="I240" i="87"/>
  <c r="E166" i="87"/>
  <c r="D240" i="87"/>
  <c r="I194" i="87"/>
  <c r="G196" i="87"/>
  <c r="D295" i="87"/>
  <c r="D294" i="87"/>
  <c r="G31" i="14"/>
  <c r="E217" i="87"/>
  <c r="L166" i="87"/>
  <c r="I175" i="87"/>
  <c r="I228" i="87"/>
  <c r="D156" i="87"/>
  <c r="L183" i="87"/>
  <c r="I229" i="87"/>
  <c r="G229" i="87"/>
  <c r="D145" i="87"/>
  <c r="D229" i="87"/>
  <c r="L145" i="87"/>
  <c r="E145" i="87"/>
  <c r="L232" i="87"/>
  <c r="I137" i="87"/>
  <c r="I359" i="87"/>
  <c r="C359" i="87"/>
  <c r="G13" i="14"/>
  <c r="G17" i="14"/>
  <c r="G11" i="14"/>
  <c r="G260" i="87"/>
  <c r="G30" i="14"/>
  <c r="L217" i="87"/>
  <c r="G115" i="14"/>
  <c r="G96" i="14"/>
  <c r="G28" i="14"/>
  <c r="G59" i="14"/>
  <c r="E139" i="87"/>
  <c r="G241" i="87"/>
  <c r="E304" i="87"/>
  <c r="G281" i="87"/>
  <c r="G264" i="87"/>
  <c r="E244" i="87"/>
  <c r="E314" i="87"/>
  <c r="L304" i="87"/>
  <c r="D251" i="87"/>
  <c r="G244" i="87"/>
  <c r="L314" i="87"/>
  <c r="G314" i="87"/>
  <c r="L307" i="87"/>
  <c r="I281" i="87"/>
  <c r="D217" i="87"/>
  <c r="E307" i="87"/>
  <c r="D307" i="87"/>
  <c r="L251" i="87"/>
  <c r="L281" i="87"/>
  <c r="E261" i="87"/>
  <c r="C232" i="87"/>
  <c r="L139" i="87"/>
  <c r="E242" i="87"/>
  <c r="E188" i="87"/>
  <c r="D188" i="87"/>
  <c r="D264" i="87"/>
  <c r="D139" i="87"/>
  <c r="D242" i="87"/>
  <c r="G188" i="87"/>
  <c r="E325" i="87"/>
  <c r="I188" i="87"/>
  <c r="L242" i="87"/>
  <c r="C170" i="87"/>
  <c r="D323" i="87"/>
  <c r="L277" i="87"/>
  <c r="L325" i="87"/>
  <c r="L264" i="87"/>
  <c r="I191" i="87"/>
  <c r="D247" i="87"/>
  <c r="E247" i="87"/>
  <c r="E241" i="87"/>
  <c r="D182" i="87"/>
  <c r="I247" i="87"/>
  <c r="D159" i="87"/>
  <c r="L191" i="87"/>
  <c r="E285" i="87"/>
  <c r="D241" i="87"/>
  <c r="C275" i="87"/>
  <c r="I243" i="87"/>
  <c r="L243" i="87"/>
  <c r="D244" i="87"/>
  <c r="G84" i="17"/>
  <c r="G9" i="17"/>
  <c r="G132" i="14"/>
  <c r="G8" i="14"/>
  <c r="G19" i="14"/>
  <c r="G126" i="14"/>
  <c r="G65" i="14"/>
  <c r="G70" i="14"/>
  <c r="G105" i="14"/>
  <c r="G114" i="14"/>
  <c r="E293" i="87"/>
  <c r="I343" i="87"/>
  <c r="C343" i="87"/>
  <c r="E215" i="87"/>
  <c r="E355" i="87"/>
  <c r="G61" i="14"/>
  <c r="G71" i="14"/>
  <c r="G52" i="14"/>
  <c r="G73" i="14"/>
  <c r="G54" i="14"/>
  <c r="G284" i="87"/>
  <c r="E175" i="87"/>
  <c r="E290" i="87"/>
  <c r="I249" i="87"/>
  <c r="I141" i="87"/>
  <c r="I182" i="87"/>
  <c r="L244" i="87"/>
  <c r="G175" i="87"/>
  <c r="L175" i="87"/>
  <c r="D274" i="87"/>
  <c r="D290" i="87"/>
  <c r="I278" i="87"/>
  <c r="E173" i="87"/>
  <c r="G141" i="87"/>
  <c r="L274" i="87"/>
  <c r="L141" i="87"/>
  <c r="L241" i="87"/>
  <c r="C173" i="87"/>
  <c r="D175" i="87"/>
  <c r="L249" i="87"/>
  <c r="E182" i="87"/>
  <c r="I185" i="87"/>
  <c r="D216" i="87"/>
  <c r="D154" i="87"/>
  <c r="L154" i="87"/>
  <c r="I215" i="87"/>
  <c r="I210" i="87"/>
  <c r="D275" i="87"/>
  <c r="E234" i="87"/>
  <c r="I196" i="87"/>
  <c r="I320" i="87"/>
  <c r="L143" i="87"/>
  <c r="I285" i="87"/>
  <c r="D143" i="87"/>
  <c r="G215" i="87"/>
  <c r="L234" i="87"/>
  <c r="I143" i="87"/>
  <c r="L339" i="87"/>
  <c r="G232" i="87"/>
  <c r="L210" i="87"/>
  <c r="D234" i="87"/>
  <c r="C320" i="87"/>
  <c r="D258" i="87"/>
  <c r="D196" i="87"/>
  <c r="I258" i="87"/>
  <c r="D215" i="87"/>
  <c r="G210" i="87"/>
  <c r="G62" i="17"/>
  <c r="G57" i="17"/>
  <c r="G68" i="17"/>
  <c r="G104" i="17"/>
  <c r="G107" i="17"/>
  <c r="G24" i="17"/>
  <c r="G170" i="87"/>
  <c r="G30" i="17"/>
  <c r="G325" i="87"/>
  <c r="D232" i="87"/>
  <c r="L269" i="87"/>
  <c r="G144" i="87"/>
  <c r="L127" i="87"/>
  <c r="E138" i="87"/>
  <c r="E346" i="87"/>
  <c r="D158" i="87"/>
  <c r="D302" i="87"/>
  <c r="C346" i="87"/>
  <c r="E302" i="87"/>
  <c r="E144" i="87"/>
  <c r="I144" i="87"/>
  <c r="L302" i="87"/>
  <c r="C127" i="87"/>
  <c r="D262" i="87"/>
  <c r="C124" i="87"/>
  <c r="G265" i="87"/>
  <c r="D124" i="87"/>
  <c r="I153" i="87"/>
  <c r="D166" i="87"/>
  <c r="C166" i="87"/>
  <c r="E153" i="87"/>
  <c r="L262" i="87"/>
  <c r="D185" i="87"/>
  <c r="I265" i="87"/>
  <c r="D153" i="87"/>
  <c r="L295" i="87"/>
  <c r="L144" i="87"/>
  <c r="L265" i="87"/>
  <c r="G153" i="87"/>
  <c r="G57" i="16"/>
  <c r="G56" i="16"/>
  <c r="G19" i="16"/>
  <c r="G67" i="16"/>
  <c r="G55" i="16"/>
  <c r="G64" i="16"/>
  <c r="G52" i="16"/>
  <c r="G51" i="16"/>
  <c r="G50" i="16"/>
  <c r="G60" i="16"/>
  <c r="G48" i="16"/>
  <c r="G59" i="16"/>
  <c r="G47" i="16"/>
  <c r="G30" i="16"/>
  <c r="E165" i="87"/>
  <c r="G176" i="87"/>
  <c r="L362" i="87"/>
  <c r="C362" i="87"/>
  <c r="C355" i="87"/>
  <c r="D183" i="87"/>
  <c r="D176" i="87"/>
  <c r="L263" i="87"/>
  <c r="C334" i="87"/>
  <c r="D165" i="87"/>
  <c r="G7" i="14"/>
  <c r="G48" i="14"/>
  <c r="G39" i="14"/>
  <c r="G55" i="14"/>
  <c r="G122" i="14"/>
  <c r="C156" i="87"/>
  <c r="G25" i="14"/>
  <c r="G49" i="14"/>
  <c r="G66" i="14"/>
  <c r="G93" i="14"/>
  <c r="G76" i="14"/>
  <c r="G15" i="14"/>
  <c r="G69" i="14"/>
  <c r="L329" i="87"/>
  <c r="E330" i="87"/>
  <c r="E338" i="87"/>
  <c r="L330" i="87"/>
  <c r="G200" i="87"/>
  <c r="L338" i="87"/>
  <c r="G302" i="87"/>
  <c r="L326" i="87"/>
  <c r="G231" i="87"/>
  <c r="G246" i="87"/>
  <c r="G217" i="87"/>
  <c r="G356" i="87"/>
  <c r="G243" i="87"/>
  <c r="G162" i="87"/>
  <c r="G317" i="87"/>
  <c r="G304" i="87"/>
  <c r="G148" i="87"/>
  <c r="G192" i="87"/>
  <c r="G143" i="87"/>
  <c r="G191" i="87"/>
  <c r="G288" i="87"/>
  <c r="G336" i="87"/>
  <c r="G270" i="87"/>
  <c r="G168" i="87"/>
  <c r="E34" i="87"/>
  <c r="D34" i="87"/>
  <c r="L34" i="87"/>
  <c r="D314" i="87"/>
  <c r="D354" i="87"/>
  <c r="C303" i="87"/>
  <c r="C294" i="87"/>
  <c r="I354" i="87"/>
  <c r="L148" i="87"/>
  <c r="L294" i="87"/>
  <c r="L278" i="87"/>
  <c r="D261" i="87"/>
  <c r="E254" i="87"/>
  <c r="G261" i="87"/>
  <c r="C278" i="87"/>
  <c r="G354" i="87"/>
  <c r="D326" i="87"/>
  <c r="G155" i="87"/>
  <c r="G173" i="87"/>
  <c r="L254" i="87"/>
  <c r="I151" i="87"/>
  <c r="L209" i="87"/>
  <c r="L266" i="87"/>
  <c r="E209" i="87"/>
  <c r="I209" i="87"/>
  <c r="D248" i="87"/>
  <c r="E181" i="87"/>
  <c r="G228" i="87"/>
  <c r="I146" i="87"/>
  <c r="G248" i="87"/>
  <c r="L279" i="87"/>
  <c r="C146" i="87"/>
  <c r="I248" i="87"/>
  <c r="D254" i="87"/>
  <c r="G326" i="87"/>
  <c r="G266" i="87"/>
  <c r="G254" i="87"/>
  <c r="L181" i="87"/>
  <c r="E137" i="87"/>
  <c r="C137" i="87"/>
  <c r="G209" i="87"/>
  <c r="D181" i="87"/>
  <c r="G181" i="87"/>
  <c r="I266" i="87"/>
  <c r="L334" i="87"/>
  <c r="E136" i="87"/>
  <c r="D136" i="87"/>
  <c r="L306" i="87"/>
  <c r="D292" i="87"/>
  <c r="I326" i="87"/>
  <c r="C178" i="87"/>
  <c r="I176" i="87"/>
  <c r="E286" i="87"/>
  <c r="L225" i="87"/>
  <c r="D172" i="87"/>
  <c r="C243" i="87"/>
  <c r="L172" i="87"/>
  <c r="L136" i="87"/>
  <c r="E172" i="87"/>
  <c r="E202" i="87"/>
  <c r="G225" i="87"/>
  <c r="C136" i="87"/>
  <c r="D293" i="87"/>
  <c r="E243" i="87"/>
  <c r="D299" i="87"/>
  <c r="L293" i="87"/>
  <c r="L299" i="87"/>
  <c r="L335" i="87"/>
  <c r="D335" i="87"/>
  <c r="I225" i="87"/>
  <c r="I335" i="87"/>
  <c r="I279" i="87"/>
  <c r="E174" i="87"/>
  <c r="I292" i="87"/>
  <c r="I138" i="87"/>
  <c r="I170" i="87"/>
  <c r="G137" i="87"/>
  <c r="G359" i="87"/>
  <c r="G293" i="87"/>
  <c r="G139" i="87"/>
  <c r="E158" i="87"/>
  <c r="C214" i="87"/>
  <c r="L292" i="87"/>
  <c r="D187" i="87"/>
  <c r="I158" i="87"/>
  <c r="E289" i="87"/>
  <c r="C338" i="87"/>
  <c r="C158" i="87"/>
  <c r="D276" i="87"/>
  <c r="C276" i="87"/>
  <c r="G174" i="87"/>
  <c r="E279" i="87"/>
  <c r="I168" i="87"/>
  <c r="I317" i="87"/>
  <c r="E168" i="87"/>
  <c r="G157" i="87"/>
  <c r="G279" i="87"/>
  <c r="D252" i="87"/>
  <c r="C265" i="87"/>
  <c r="D279" i="87"/>
  <c r="E292" i="87"/>
  <c r="G285" i="87"/>
  <c r="G169" i="87"/>
  <c r="L168" i="87"/>
  <c r="G204" i="87"/>
  <c r="E316" i="87"/>
  <c r="E228" i="87"/>
  <c r="G295" i="87"/>
  <c r="L316" i="87"/>
  <c r="I271" i="87"/>
  <c r="I189" i="87"/>
  <c r="L271" i="87"/>
  <c r="C248" i="87"/>
  <c r="E271" i="87"/>
  <c r="E204" i="87"/>
  <c r="C233" i="87"/>
  <c r="G136" i="87"/>
  <c r="I316" i="87"/>
  <c r="G238" i="87"/>
  <c r="I310" i="87"/>
  <c r="L204" i="87"/>
  <c r="L310" i="87"/>
  <c r="I204" i="87"/>
  <c r="I214" i="87"/>
  <c r="G316" i="87"/>
  <c r="D310" i="87"/>
  <c r="D233" i="87"/>
  <c r="D238" i="87"/>
  <c r="I238" i="87"/>
  <c r="L248" i="87"/>
  <c r="L238" i="87"/>
  <c r="C228" i="87"/>
  <c r="G361" i="87"/>
  <c r="L216" i="87"/>
  <c r="D269" i="87"/>
  <c r="E148" i="87"/>
  <c r="I216" i="87"/>
  <c r="G269" i="87"/>
  <c r="D284" i="87"/>
  <c r="I148" i="87"/>
  <c r="G242" i="87"/>
  <c r="E269" i="87"/>
  <c r="G216" i="87"/>
  <c r="E326" i="87"/>
  <c r="D201" i="87"/>
  <c r="L303" i="87"/>
  <c r="G135" i="87"/>
  <c r="G218" i="87"/>
  <c r="G182" i="87"/>
  <c r="D303" i="87"/>
  <c r="E329" i="87"/>
  <c r="D329" i="87"/>
  <c r="G330" i="87"/>
  <c r="D330" i="87"/>
  <c r="E135" i="87"/>
  <c r="G303" i="87"/>
  <c r="I329" i="87"/>
  <c r="L164" i="87"/>
  <c r="D180" i="87"/>
  <c r="L270" i="87"/>
  <c r="E140" i="87"/>
  <c r="E192" i="87"/>
  <c r="E134" i="87"/>
  <c r="G172" i="87"/>
  <c r="C241" i="87"/>
  <c r="L180" i="87"/>
  <c r="C323" i="87"/>
  <c r="G180" i="87"/>
  <c r="G290" i="87"/>
  <c r="I241" i="87"/>
  <c r="L315" i="87"/>
  <c r="E164" i="87"/>
  <c r="D218" i="87"/>
  <c r="D315" i="87"/>
  <c r="E157" i="87"/>
  <c r="I180" i="87"/>
  <c r="I218" i="87"/>
  <c r="I199" i="87"/>
  <c r="L157" i="87"/>
  <c r="C326" i="87"/>
  <c r="L199" i="87"/>
  <c r="C191" i="87"/>
  <c r="G251" i="87"/>
  <c r="L201" i="87"/>
  <c r="C201" i="87"/>
  <c r="C192" i="87"/>
  <c r="D157" i="87"/>
  <c r="D191" i="87"/>
  <c r="D199" i="87"/>
  <c r="G349" i="87"/>
  <c r="I201" i="87"/>
  <c r="I192" i="87"/>
  <c r="G164" i="87"/>
  <c r="E218" i="87"/>
  <c r="C151" i="87"/>
  <c r="G307" i="87"/>
  <c r="D164" i="87"/>
  <c r="D265" i="87"/>
  <c r="D338" i="87"/>
  <c r="E255" i="87"/>
  <c r="L187" i="87"/>
  <c r="G255" i="87"/>
  <c r="D210" i="87"/>
  <c r="L222" i="87"/>
  <c r="C210" i="87"/>
  <c r="C289" i="87"/>
  <c r="C263" i="87"/>
  <c r="L255" i="87"/>
  <c r="D306" i="87"/>
  <c r="I306" i="87"/>
  <c r="L261" i="87"/>
  <c r="D255" i="87"/>
  <c r="I163" i="87"/>
  <c r="D167" i="87"/>
  <c r="I187" i="87"/>
  <c r="G335" i="87"/>
  <c r="G167" i="87"/>
  <c r="L203" i="87"/>
  <c r="I167" i="87"/>
  <c r="G163" i="87"/>
  <c r="C261" i="87"/>
  <c r="C203" i="87"/>
  <c r="L167" i="87"/>
  <c r="E263" i="87"/>
  <c r="G152" i="87"/>
  <c r="G208" i="87"/>
  <c r="C331" i="87"/>
  <c r="L211" i="87"/>
  <c r="L152" i="87"/>
  <c r="I152" i="87"/>
  <c r="I340" i="87"/>
  <c r="I206" i="87"/>
  <c r="D152" i="87"/>
  <c r="E142" i="87"/>
  <c r="G212" i="87"/>
  <c r="E340" i="87"/>
  <c r="E231" i="87"/>
  <c r="C149" i="87"/>
  <c r="G313" i="87"/>
  <c r="G364" i="87"/>
  <c r="C317" i="87"/>
  <c r="G323" i="87"/>
  <c r="I211" i="87"/>
  <c r="E297" i="87"/>
  <c r="I149" i="87"/>
  <c r="E323" i="87"/>
  <c r="I323" i="87"/>
  <c r="C325" i="87"/>
  <c r="I231" i="87"/>
  <c r="E206" i="87"/>
  <c r="D211" i="87"/>
  <c r="G201" i="87"/>
  <c r="D206" i="87"/>
  <c r="I297" i="87"/>
  <c r="G347" i="87"/>
  <c r="G211" i="87"/>
  <c r="D325" i="87"/>
  <c r="C269" i="87"/>
  <c r="I269" i="87"/>
  <c r="D205" i="87"/>
  <c r="E356" i="87"/>
  <c r="L151" i="87"/>
  <c r="I270" i="87"/>
  <c r="E205" i="87"/>
  <c r="C250" i="87"/>
  <c r="L174" i="87"/>
  <c r="E270" i="87"/>
  <c r="D151" i="87"/>
  <c r="D270" i="87"/>
  <c r="D174" i="87"/>
  <c r="L250" i="87"/>
  <c r="L205" i="87"/>
  <c r="L202" i="87"/>
  <c r="L196" i="87"/>
  <c r="L267" i="87"/>
  <c r="E195" i="87"/>
  <c r="D277" i="87"/>
  <c r="G365" i="87"/>
  <c r="E277" i="87"/>
  <c r="I277" i="87"/>
  <c r="D202" i="87"/>
  <c r="D160" i="87"/>
  <c r="C267" i="87"/>
  <c r="C196" i="87"/>
  <c r="G195" i="87"/>
  <c r="L246" i="87"/>
  <c r="I202" i="87"/>
  <c r="G75" i="17"/>
  <c r="G111" i="17"/>
  <c r="G55" i="17"/>
  <c r="G91" i="17"/>
  <c r="G41" i="17"/>
  <c r="G82" i="17"/>
  <c r="G100" i="17"/>
  <c r="G350" i="87"/>
  <c r="G194" i="87"/>
  <c r="G161" i="87"/>
  <c r="G306" i="87"/>
  <c r="G145" i="87"/>
  <c r="G158" i="87"/>
  <c r="G256" i="87"/>
  <c r="G166" i="87"/>
  <c r="G334" i="87"/>
  <c r="G41" i="16"/>
  <c r="G253" i="87"/>
  <c r="L140" i="87"/>
  <c r="G358" i="87"/>
  <c r="I156" i="87"/>
  <c r="E156" i="87"/>
  <c r="G73" i="16"/>
  <c r="G85" i="16"/>
  <c r="G121" i="16"/>
  <c r="G62" i="16"/>
  <c r="G140" i="87"/>
  <c r="G27" i="16"/>
  <c r="G198" i="87"/>
  <c r="G156" i="87"/>
  <c r="G61" i="16"/>
  <c r="I198" i="87"/>
  <c r="G151" i="87"/>
  <c r="L156" i="87"/>
  <c r="G35" i="16"/>
  <c r="D198" i="87"/>
  <c r="G66" i="16"/>
  <c r="G46" i="16"/>
  <c r="G45" i="16"/>
  <c r="G80" i="16"/>
  <c r="G21" i="16"/>
  <c r="G33" i="16"/>
  <c r="G267" i="87"/>
  <c r="G165" i="87"/>
  <c r="G17" i="16"/>
  <c r="G103" i="16"/>
  <c r="G130" i="16"/>
  <c r="G42" i="16"/>
  <c r="G39" i="16"/>
  <c r="G92" i="16"/>
  <c r="G104" i="16"/>
  <c r="G116" i="16"/>
  <c r="G8" i="16"/>
  <c r="G29" i="16"/>
  <c r="G49" i="16"/>
  <c r="G43" i="16"/>
  <c r="G53" i="16"/>
  <c r="G65" i="16"/>
  <c r="G86" i="16"/>
  <c r="G98" i="16"/>
  <c r="G110" i="16"/>
  <c r="G122" i="16"/>
  <c r="G15" i="16"/>
  <c r="G16" i="16"/>
  <c r="G185" i="87"/>
  <c r="G183" i="87"/>
  <c r="G138" i="87"/>
  <c r="G292" i="87"/>
  <c r="E309" i="87"/>
  <c r="I309" i="87"/>
  <c r="D246" i="87"/>
  <c r="G171" i="87"/>
  <c r="D365" i="87"/>
  <c r="I365" i="87"/>
  <c r="E160" i="87"/>
  <c r="L160" i="87"/>
  <c r="D138" i="87"/>
  <c r="D163" i="87"/>
  <c r="L159" i="87"/>
  <c r="E159" i="87"/>
  <c r="E245" i="87"/>
  <c r="L356" i="87"/>
  <c r="C356" i="87"/>
  <c r="L147" i="87"/>
  <c r="E147" i="87"/>
  <c r="G147" i="87"/>
  <c r="I147" i="87"/>
  <c r="I298" i="87"/>
  <c r="D171" i="87"/>
  <c r="E298" i="87"/>
  <c r="E208" i="87"/>
  <c r="G298" i="87"/>
  <c r="D357" i="87"/>
  <c r="L298" i="87"/>
  <c r="L233" i="87"/>
  <c r="G233" i="87"/>
  <c r="E184" i="87"/>
  <c r="C328" i="87"/>
  <c r="L336" i="87"/>
  <c r="I290" i="87"/>
  <c r="I308" i="87"/>
  <c r="G258" i="87"/>
  <c r="E266" i="87"/>
  <c r="C219" i="87"/>
  <c r="C266" i="87"/>
  <c r="L284" i="87"/>
  <c r="D322" i="87"/>
  <c r="C168" i="87"/>
  <c r="E171" i="87"/>
  <c r="D336" i="87"/>
  <c r="C290" i="87"/>
  <c r="L219" i="87"/>
  <c r="L300" i="87"/>
  <c r="I178" i="87"/>
  <c r="E272" i="87"/>
  <c r="G222" i="87"/>
  <c r="D337" i="87"/>
  <c r="I222" i="87"/>
  <c r="D168" i="87"/>
  <c r="D184" i="87"/>
  <c r="D222" i="87"/>
  <c r="D239" i="87"/>
  <c r="C284" i="87"/>
  <c r="L171" i="87"/>
  <c r="E222" i="87"/>
  <c r="E336" i="87"/>
  <c r="I287" i="87"/>
  <c r="I336" i="87"/>
  <c r="E239" i="87"/>
  <c r="G150" i="87"/>
  <c r="G32" i="14"/>
  <c r="C352" i="87"/>
  <c r="L198" i="87"/>
  <c r="I282" i="87"/>
  <c r="I286" i="87"/>
  <c r="C138" i="87"/>
  <c r="G128" i="14"/>
  <c r="G120" i="14"/>
  <c r="G33" i="14"/>
  <c r="G72" i="14"/>
  <c r="L322" i="87"/>
  <c r="D286" i="87"/>
  <c r="G160" i="87"/>
  <c r="E252" i="87"/>
  <c r="I352" i="87"/>
  <c r="E237" i="87"/>
  <c r="I135" i="87"/>
  <c r="G41" i="14"/>
  <c r="G77" i="14"/>
  <c r="G310" i="87"/>
  <c r="L142" i="87"/>
  <c r="G252" i="87"/>
  <c r="G42" i="14"/>
  <c r="G78" i="14"/>
  <c r="G37" i="14"/>
  <c r="I164" i="87"/>
  <c r="G193" i="87"/>
  <c r="I237" i="87"/>
  <c r="G43" i="14"/>
  <c r="G47" i="14"/>
  <c r="G83" i="14"/>
  <c r="G259" i="87"/>
  <c r="C164" i="87"/>
  <c r="G297" i="87"/>
  <c r="G353" i="87"/>
  <c r="G75" i="14"/>
  <c r="L138" i="87"/>
  <c r="G118" i="14"/>
  <c r="G247" i="87"/>
  <c r="I160" i="87"/>
  <c r="G85" i="14"/>
  <c r="G90" i="14"/>
  <c r="G45" i="14"/>
  <c r="G81" i="14"/>
  <c r="G56" i="14"/>
  <c r="G92" i="14"/>
  <c r="C304" i="87"/>
  <c r="C142" i="87"/>
  <c r="G363" i="87"/>
  <c r="G100" i="14"/>
  <c r="G133" i="14"/>
  <c r="G24" i="14"/>
  <c r="G286" i="87"/>
  <c r="G237" i="87"/>
  <c r="G234" i="87"/>
  <c r="D348" i="87"/>
  <c r="G130" i="14"/>
  <c r="G34" i="14"/>
  <c r="G67" i="14"/>
  <c r="G60" i="14"/>
  <c r="G51" i="14"/>
  <c r="G87" i="14"/>
  <c r="D256" i="87"/>
  <c r="L252" i="87"/>
  <c r="C186" i="87"/>
  <c r="G131" i="14"/>
  <c r="G97" i="14"/>
  <c r="G62" i="14"/>
  <c r="G98" i="14"/>
  <c r="G6" i="14"/>
  <c r="G91" i="14"/>
  <c r="G322" i="87"/>
  <c r="G123" i="14"/>
  <c r="G101" i="14"/>
  <c r="G106" i="14"/>
  <c r="G20" i="14"/>
  <c r="G35" i="14"/>
  <c r="G230" i="87"/>
  <c r="L365" i="87"/>
  <c r="G187" i="87"/>
  <c r="G9" i="14"/>
  <c r="G29" i="14"/>
  <c r="G57" i="14"/>
  <c r="G68" i="14"/>
  <c r="G104" i="14"/>
  <c r="G338" i="87"/>
  <c r="C183" i="87"/>
  <c r="G21" i="14"/>
  <c r="G107" i="14"/>
  <c r="G112" i="14"/>
  <c r="E183" i="87"/>
  <c r="G18" i="14"/>
  <c r="G27" i="14"/>
  <c r="G63" i="14"/>
  <c r="G38" i="14"/>
  <c r="G74" i="14"/>
  <c r="G110" i="14"/>
  <c r="E176" i="87"/>
  <c r="G22" i="14"/>
  <c r="G113" i="14"/>
  <c r="G46" i="14"/>
  <c r="G82" i="14"/>
  <c r="C176" i="87"/>
  <c r="L230" i="87"/>
  <c r="G199" i="87"/>
  <c r="G205" i="87"/>
  <c r="G26" i="14"/>
  <c r="G44" i="14"/>
  <c r="G80" i="14"/>
  <c r="G116" i="14"/>
  <c r="G319" i="87"/>
  <c r="G108" i="14"/>
  <c r="G121" i="14"/>
  <c r="G16" i="14"/>
  <c r="G88" i="14"/>
  <c r="G127" i="14"/>
  <c r="G36" i="14"/>
  <c r="I252" i="87"/>
  <c r="G14" i="14"/>
  <c r="G103" i="14"/>
  <c r="G84" i="14"/>
  <c r="G50" i="14"/>
  <c r="G86" i="14"/>
  <c r="G102" i="14"/>
  <c r="G12" i="14"/>
  <c r="G109" i="14"/>
  <c r="G10" i="14"/>
  <c r="G53" i="14"/>
  <c r="G89" i="14"/>
  <c r="G125" i="14"/>
  <c r="G58" i="14"/>
  <c r="G94" i="14"/>
  <c r="G119" i="14"/>
  <c r="E283" i="87"/>
  <c r="D283" i="87"/>
  <c r="I283" i="87"/>
  <c r="E214" i="87"/>
  <c r="E219" i="87"/>
  <c r="L348" i="87"/>
  <c r="C198" i="87"/>
  <c r="D214" i="87"/>
  <c r="L214" i="87"/>
  <c r="D135" i="87"/>
  <c r="G283" i="87"/>
  <c r="G219" i="87"/>
  <c r="I219" i="87"/>
  <c r="D219" i="87"/>
  <c r="L186" i="87"/>
  <c r="I171" i="87"/>
  <c r="L228" i="87"/>
  <c r="D304" i="87"/>
  <c r="E349" i="87"/>
  <c r="E284" i="87"/>
  <c r="I284" i="87"/>
  <c r="I268" i="87"/>
  <c r="D268" i="87"/>
  <c r="D311" i="87"/>
  <c r="D228" i="87"/>
  <c r="G280" i="87"/>
  <c r="L282" i="87"/>
  <c r="I311" i="87"/>
  <c r="C282" i="87"/>
  <c r="D207" i="87"/>
  <c r="E311" i="87"/>
  <c r="L208" i="87"/>
  <c r="I303" i="87"/>
  <c r="E179" i="87"/>
  <c r="I245" i="87"/>
  <c r="D257" i="87"/>
  <c r="E303" i="87"/>
  <c r="L207" i="87"/>
  <c r="I190" i="87"/>
  <c r="I179" i="87"/>
  <c r="D245" i="87"/>
  <c r="L256" i="87"/>
  <c r="D186" i="87"/>
  <c r="G272" i="87"/>
  <c r="D227" i="87"/>
  <c r="E178" i="87"/>
  <c r="G207" i="87"/>
  <c r="G186" i="87"/>
  <c r="L179" i="87"/>
  <c r="I186" i="87"/>
  <c r="I207" i="87"/>
  <c r="L257" i="87"/>
  <c r="E207" i="87"/>
  <c r="G245" i="87"/>
  <c r="G179" i="87"/>
  <c r="G190" i="87"/>
  <c r="L258" i="87"/>
  <c r="I272" i="87"/>
  <c r="G308" i="87"/>
  <c r="L192" i="87"/>
  <c r="G268" i="87"/>
  <c r="L190" i="87"/>
  <c r="D190" i="87"/>
  <c r="D141" i="87"/>
  <c r="L184" i="87"/>
  <c r="I239" i="87"/>
  <c r="L268" i="87"/>
  <c r="C141" i="87"/>
  <c r="L163" i="87"/>
  <c r="D192" i="87"/>
  <c r="E226" i="87"/>
  <c r="G184" i="87"/>
  <c r="L185" i="87"/>
  <c r="C226" i="87"/>
  <c r="C163" i="87"/>
  <c r="E186" i="87"/>
  <c r="G277" i="87"/>
  <c r="C185" i="87"/>
  <c r="I337" i="87"/>
  <c r="D208" i="87"/>
  <c r="E233" i="87"/>
  <c r="E337" i="87"/>
  <c r="G337" i="87"/>
  <c r="I208" i="87"/>
  <c r="L272" i="87"/>
  <c r="C258" i="87"/>
  <c r="G239" i="87"/>
  <c r="I233" i="87"/>
  <c r="I161" i="87"/>
  <c r="C230" i="87"/>
  <c r="I213" i="87"/>
  <c r="I333" i="87"/>
  <c r="G213" i="87"/>
  <c r="G235" i="87"/>
  <c r="E291" i="87"/>
  <c r="E357" i="87"/>
  <c r="E161" i="87"/>
  <c r="G262" i="87"/>
  <c r="C364" i="87"/>
  <c r="E189" i="87"/>
  <c r="D333" i="87"/>
  <c r="D220" i="87"/>
  <c r="G333" i="87"/>
  <c r="L220" i="87"/>
  <c r="I227" i="87"/>
  <c r="L227" i="87"/>
  <c r="L215" i="87"/>
  <c r="E333" i="87"/>
  <c r="E227" i="87"/>
  <c r="G324" i="87"/>
  <c r="I291" i="87"/>
  <c r="C215" i="87"/>
  <c r="D308" i="87"/>
  <c r="D213" i="87"/>
  <c r="L353" i="87"/>
  <c r="C314" i="87"/>
  <c r="D291" i="87"/>
  <c r="G249" i="87"/>
  <c r="G362" i="87"/>
  <c r="I314" i="87"/>
  <c r="E213" i="87"/>
  <c r="I220" i="87"/>
  <c r="D353" i="87"/>
  <c r="G214" i="87"/>
  <c r="L308" i="87"/>
  <c r="G271" i="87"/>
  <c r="C287" i="87"/>
  <c r="G189" i="87"/>
  <c r="C300" i="87"/>
  <c r="G223" i="87"/>
  <c r="I280" i="87"/>
  <c r="G305" i="87"/>
  <c r="E364" i="87"/>
  <c r="I159" i="87"/>
  <c r="C140" i="87"/>
  <c r="G159" i="87"/>
  <c r="L276" i="87"/>
  <c r="E276" i="87"/>
  <c r="E240" i="87"/>
  <c r="I276" i="87"/>
  <c r="E225" i="87"/>
  <c r="I134" i="87"/>
  <c r="G339" i="87"/>
  <c r="L197" i="87"/>
  <c r="I296" i="87"/>
  <c r="D197" i="87"/>
  <c r="L296" i="87"/>
  <c r="C240" i="87"/>
  <c r="C236" i="87"/>
  <c r="I339" i="87"/>
  <c r="D236" i="87"/>
  <c r="D339" i="87"/>
  <c r="D134" i="87"/>
  <c r="G134" i="87"/>
  <c r="G74" i="16"/>
  <c r="G311" i="87"/>
  <c r="G291" i="87"/>
  <c r="G7" i="16"/>
  <c r="G31" i="16"/>
  <c r="D140" i="87"/>
  <c r="C349" i="87"/>
  <c r="E339" i="87"/>
  <c r="L273" i="87"/>
  <c r="G276" i="87"/>
  <c r="G6" i="16"/>
  <c r="G32" i="16"/>
  <c r="G54" i="16"/>
  <c r="G68" i="16"/>
  <c r="C165" i="87"/>
  <c r="C225" i="87"/>
  <c r="G22" i="16"/>
  <c r="G34" i="16"/>
  <c r="G38" i="16"/>
  <c r="G23" i="16"/>
  <c r="G36" i="16"/>
  <c r="G79" i="16"/>
  <c r="G91" i="16"/>
  <c r="G115" i="16"/>
  <c r="G37" i="16"/>
  <c r="G63" i="16"/>
  <c r="G14" i="16"/>
  <c r="G20" i="16"/>
  <c r="G24" i="16"/>
  <c r="G44" i="16"/>
  <c r="G13" i="16"/>
  <c r="G18" i="16"/>
  <c r="G40" i="16"/>
  <c r="G25" i="16"/>
  <c r="L349" i="87"/>
  <c r="G296" i="87"/>
  <c r="G12" i="16"/>
  <c r="G26" i="16"/>
  <c r="L165" i="87"/>
  <c r="G11" i="16"/>
  <c r="G10" i="16"/>
  <c r="G28" i="16"/>
  <c r="G69" i="16"/>
  <c r="G58" i="16"/>
  <c r="G9" i="16"/>
  <c r="G203" i="87"/>
  <c r="C295" i="87"/>
  <c r="G50" i="17"/>
  <c r="G122" i="17"/>
  <c r="G273" i="87"/>
  <c r="G206" i="87"/>
  <c r="D296" i="87"/>
  <c r="G357" i="87"/>
  <c r="L280" i="87"/>
  <c r="E280" i="87"/>
  <c r="I273" i="87"/>
  <c r="C354" i="87"/>
  <c r="G51" i="17"/>
  <c r="G87" i="17"/>
  <c r="G98" i="17"/>
  <c r="G67" i="17"/>
  <c r="G103" i="17"/>
  <c r="G25" i="17"/>
  <c r="G52" i="17"/>
  <c r="G39" i="17"/>
  <c r="D189" i="87"/>
  <c r="I256" i="87"/>
  <c r="G8" i="17"/>
  <c r="G282" i="87"/>
  <c r="G220" i="87"/>
  <c r="G128" i="17"/>
  <c r="G93" i="17"/>
  <c r="G34" i="17"/>
  <c r="G109" i="17"/>
  <c r="G130" i="17"/>
  <c r="E249" i="87"/>
  <c r="G11" i="17"/>
  <c r="G16" i="17"/>
  <c r="G27" i="17"/>
  <c r="G26" i="17"/>
  <c r="G54" i="17"/>
  <c r="G65" i="17"/>
  <c r="G101" i="17"/>
  <c r="G6" i="17"/>
  <c r="G132" i="17"/>
  <c r="I357" i="87"/>
  <c r="G226" i="87"/>
  <c r="E273" i="87"/>
  <c r="I197" i="87"/>
  <c r="D281" i="87"/>
  <c r="C281" i="87"/>
  <c r="G227" i="87"/>
  <c r="G33" i="17"/>
  <c r="G71" i="17"/>
  <c r="E256" i="87"/>
  <c r="E295" i="87"/>
  <c r="G177" i="87"/>
  <c r="L354" i="87"/>
  <c r="G80" i="17"/>
  <c r="G197" i="87"/>
  <c r="G90" i="17"/>
  <c r="G63" i="17"/>
  <c r="G99" i="17"/>
  <c r="G35" i="17"/>
  <c r="G74" i="17"/>
  <c r="G110" i="17"/>
  <c r="G43" i="17"/>
  <c r="G79" i="17"/>
  <c r="G115" i="17"/>
  <c r="G40" i="17"/>
  <c r="I264" i="87"/>
  <c r="E264" i="87"/>
  <c r="G22" i="17"/>
  <c r="G32" i="17"/>
  <c r="G60" i="17"/>
  <c r="G96" i="17"/>
  <c r="G125" i="17"/>
  <c r="G69" i="17"/>
  <c r="G105" i="17"/>
  <c r="G44" i="17"/>
  <c r="G116" i="17"/>
  <c r="G49" i="17"/>
  <c r="G85" i="17"/>
  <c r="G121" i="17"/>
  <c r="G7" i="17"/>
  <c r="G29" i="17"/>
  <c r="G36" i="17"/>
  <c r="G28" i="17"/>
  <c r="G77" i="17"/>
  <c r="G113" i="17"/>
  <c r="G73" i="17"/>
  <c r="L189" i="87"/>
  <c r="C189" i="87"/>
  <c r="G133" i="17"/>
  <c r="G86" i="17"/>
  <c r="G123" i="17"/>
  <c r="G13" i="17"/>
  <c r="D177" i="87"/>
  <c r="C177" i="87"/>
  <c r="G47" i="17"/>
  <c r="G119" i="17"/>
  <c r="I155" i="87"/>
  <c r="C155" i="87"/>
  <c r="D249" i="87"/>
  <c r="C249" i="87"/>
  <c r="G178" i="87"/>
  <c r="G294" i="87"/>
  <c r="G149" i="87"/>
  <c r="G45" i="17"/>
  <c r="G81" i="17"/>
  <c r="G117" i="17"/>
  <c r="G56" i="17"/>
  <c r="G92" i="17"/>
  <c r="G61" i="17"/>
  <c r="G97" i="17"/>
  <c r="G19" i="17"/>
  <c r="G126" i="17"/>
  <c r="G202" i="87"/>
  <c r="G131" i="17"/>
  <c r="G15" i="17"/>
  <c r="G14" i="17"/>
  <c r="G42" i="17"/>
  <c r="G78" i="17"/>
  <c r="G114" i="17"/>
  <c r="G129" i="17"/>
  <c r="G53" i="17"/>
  <c r="G89" i="17"/>
  <c r="G154" i="87"/>
  <c r="G10" i="17"/>
  <c r="G21" i="17"/>
  <c r="G124" i="17"/>
  <c r="G48" i="17"/>
  <c r="G120" i="17"/>
  <c r="G127" i="17"/>
  <c r="D273" i="87"/>
  <c r="C273" i="87"/>
  <c r="G71" i="16"/>
  <c r="G125" i="16"/>
  <c r="G81" i="16"/>
  <c r="G93" i="16"/>
  <c r="G105" i="16"/>
  <c r="G117" i="16"/>
  <c r="G133" i="16"/>
  <c r="G82" i="16"/>
  <c r="G94" i="16"/>
  <c r="G106" i="16"/>
  <c r="G118" i="16"/>
  <c r="D195" i="87"/>
  <c r="C195" i="87"/>
  <c r="G123" i="16"/>
  <c r="G83" i="16"/>
  <c r="G95" i="16"/>
  <c r="G107" i="16"/>
  <c r="G119" i="16"/>
  <c r="G96" i="16"/>
  <c r="G97" i="16"/>
  <c r="G109" i="16"/>
  <c r="G72" i="16"/>
  <c r="G124" i="16"/>
  <c r="G127" i="16"/>
  <c r="G120" i="16"/>
  <c r="G131" i="16"/>
  <c r="G75" i="16"/>
  <c r="G87" i="16"/>
  <c r="G99" i="16"/>
  <c r="G111" i="16"/>
  <c r="L195" i="87"/>
  <c r="G84" i="16"/>
  <c r="G76" i="16"/>
  <c r="G88" i="16"/>
  <c r="G100" i="16"/>
  <c r="G112" i="16"/>
  <c r="G126" i="16"/>
  <c r="G77" i="16"/>
  <c r="G89" i="16"/>
  <c r="G101" i="16"/>
  <c r="G113" i="16"/>
  <c r="G128" i="16"/>
  <c r="G108" i="16"/>
  <c r="G132" i="16"/>
  <c r="G78" i="16"/>
  <c r="G90" i="16"/>
  <c r="G102" i="16"/>
  <c r="G114" i="16"/>
  <c r="G129" i="16"/>
  <c r="G70" i="16"/>
  <c r="I332" i="87" l="1"/>
  <c r="E332" i="87"/>
  <c r="I387" i="15"/>
  <c r="I607" i="15" s="1"/>
  <c r="K607" i="15" s="1"/>
  <c r="E322" i="87"/>
  <c r="D332" i="87"/>
  <c r="L324" i="87"/>
  <c r="C322" i="87"/>
  <c r="G70" i="87"/>
  <c r="C324" i="87"/>
  <c r="H387" i="87"/>
  <c r="L332" i="87"/>
  <c r="I324" i="87"/>
  <c r="E324" i="87"/>
  <c r="K387" i="87"/>
  <c r="C332" i="87"/>
  <c r="L323" i="87"/>
  <c r="G95" i="87"/>
  <c r="D387" i="15"/>
  <c r="E387" i="15"/>
  <c r="J387" i="17"/>
  <c r="H387" i="17"/>
  <c r="C387" i="17" s="1"/>
  <c r="G30" i="87"/>
  <c r="G23" i="87"/>
  <c r="AU387" i="17"/>
  <c r="AT387" i="17"/>
  <c r="BW387" i="16"/>
  <c r="BV387" i="16"/>
  <c r="AF387" i="14"/>
  <c r="AU387" i="14"/>
  <c r="AT387" i="14"/>
  <c r="S387" i="14"/>
  <c r="R387" i="14"/>
  <c r="G111" i="87"/>
  <c r="G20" i="87"/>
  <c r="G327" i="87"/>
  <c r="E328" i="87"/>
  <c r="D328" i="87"/>
  <c r="C387" i="15"/>
  <c r="G331" i="87"/>
  <c r="E331" i="87"/>
  <c r="G328" i="87"/>
  <c r="L328" i="87"/>
  <c r="L387" i="15"/>
  <c r="D327" i="87"/>
  <c r="L327" i="87"/>
  <c r="E327" i="87"/>
  <c r="D331" i="87"/>
  <c r="L331" i="87"/>
  <c r="AG387" i="17"/>
  <c r="AF387" i="17"/>
  <c r="G64" i="87"/>
  <c r="S387" i="17"/>
  <c r="R387" i="17"/>
  <c r="G31" i="87"/>
  <c r="BI387" i="16"/>
  <c r="BH387" i="16"/>
  <c r="AU387" i="16"/>
  <c r="AT387" i="16"/>
  <c r="AG387" i="16"/>
  <c r="AF387" i="16"/>
  <c r="S387" i="16"/>
  <c r="R387" i="16"/>
  <c r="G48" i="87"/>
  <c r="G65" i="87"/>
  <c r="G47" i="87"/>
  <c r="G57" i="87"/>
  <c r="G61" i="87"/>
  <c r="G55" i="87"/>
  <c r="G52" i="87"/>
  <c r="G19" i="87"/>
  <c r="G17" i="87"/>
  <c r="G49" i="87"/>
  <c r="G46" i="87"/>
  <c r="G122" i="87"/>
  <c r="G66" i="87"/>
  <c r="G59" i="87"/>
  <c r="G118" i="87"/>
  <c r="G100" i="87"/>
  <c r="G76" i="87"/>
  <c r="G103" i="87"/>
  <c r="G104" i="87"/>
  <c r="G83" i="87"/>
  <c r="G85" i="87"/>
  <c r="G90" i="87"/>
  <c r="G62" i="87"/>
  <c r="G15" i="87"/>
  <c r="G16" i="87"/>
  <c r="G80" i="87"/>
  <c r="G35" i="87"/>
  <c r="G73" i="87"/>
  <c r="G41" i="87"/>
  <c r="G106" i="87"/>
  <c r="G45" i="87"/>
  <c r="G24" i="87"/>
  <c r="G121" i="87"/>
  <c r="G38" i="87"/>
  <c r="G50" i="87"/>
  <c r="G37" i="87"/>
  <c r="G36" i="87"/>
  <c r="G60" i="87"/>
  <c r="G94" i="87"/>
  <c r="G107" i="87"/>
  <c r="G75" i="87"/>
  <c r="G67" i="87"/>
  <c r="G110" i="87"/>
  <c r="G12" i="87"/>
  <c r="G51" i="87"/>
  <c r="G9" i="87"/>
  <c r="G84" i="87"/>
  <c r="G58" i="87"/>
  <c r="G43" i="87"/>
  <c r="G98" i="87"/>
  <c r="G72" i="87"/>
  <c r="G18" i="87"/>
  <c r="G54" i="87"/>
  <c r="G128" i="87"/>
  <c r="G101" i="87"/>
  <c r="G87" i="87"/>
  <c r="G132" i="87"/>
  <c r="G96" i="87"/>
  <c r="G78" i="87"/>
  <c r="G113" i="87"/>
  <c r="G86" i="87"/>
  <c r="G77" i="87"/>
  <c r="G131" i="87"/>
  <c r="G123" i="87"/>
  <c r="G126" i="87"/>
  <c r="G79" i="87"/>
  <c r="G14" i="87"/>
  <c r="G13" i="87"/>
  <c r="G28" i="87"/>
  <c r="G21" i="87"/>
  <c r="G92" i="87"/>
  <c r="G33" i="87"/>
  <c r="G116" i="87"/>
  <c r="G34" i="87"/>
  <c r="G74" i="87"/>
  <c r="G29" i="87"/>
  <c r="G8" i="87"/>
  <c r="G26" i="87"/>
  <c r="G39" i="87"/>
  <c r="G44" i="87"/>
  <c r="G10" i="87"/>
  <c r="G11" i="87"/>
  <c r="G22" i="87"/>
  <c r="G115" i="87"/>
  <c r="G32" i="87"/>
  <c r="G69" i="87"/>
  <c r="G63" i="87"/>
  <c r="G40" i="87"/>
  <c r="G82" i="87"/>
  <c r="G56" i="87"/>
  <c r="G108" i="87"/>
  <c r="G42" i="87"/>
  <c r="G130" i="87"/>
  <c r="G112" i="87"/>
  <c r="G102" i="87"/>
  <c r="G88" i="87"/>
  <c r="G53" i="87"/>
  <c r="G27" i="87"/>
  <c r="G68" i="87"/>
  <c r="G91" i="87"/>
  <c r="G89" i="87"/>
  <c r="G7" i="87"/>
  <c r="G25" i="87"/>
  <c r="G6" i="87"/>
  <c r="G99" i="87"/>
  <c r="G81" i="87"/>
  <c r="G125" i="87"/>
  <c r="G129" i="87"/>
  <c r="G120" i="87"/>
  <c r="G71" i="87"/>
  <c r="G93" i="87"/>
  <c r="G114" i="87"/>
  <c r="G124" i="87"/>
  <c r="G109" i="87"/>
  <c r="G97" i="87"/>
  <c r="G127" i="87"/>
  <c r="G133" i="87"/>
  <c r="G119" i="87"/>
  <c r="G117" i="87"/>
  <c r="G105" i="87"/>
  <c r="E385" i="17" l="1"/>
  <c r="D385" i="17"/>
  <c r="C387" i="87"/>
  <c r="I387" i="17"/>
  <c r="L387" i="17"/>
  <c r="J387" i="87"/>
  <c r="E387" i="87" s="1"/>
  <c r="D387" i="17"/>
  <c r="E387" i="17"/>
  <c r="I387" i="16"/>
  <c r="E373" i="16"/>
  <c r="G373" i="16"/>
  <c r="L387" i="16"/>
  <c r="D373" i="16"/>
  <c r="J387" i="16"/>
  <c r="D374" i="87" l="1"/>
  <c r="I387" i="87"/>
  <c r="D387" i="87"/>
  <c r="E374" i="87"/>
  <c r="L387" i="87"/>
  <c r="G373" i="87"/>
  <c r="G372" i="87"/>
  <c r="E387" i="16"/>
  <c r="D387" i="16"/>
</calcChain>
</file>

<file path=xl/comments1.xml><?xml version="1.0" encoding="utf-8"?>
<comments xmlns="http://schemas.openxmlformats.org/spreadsheetml/2006/main">
  <authors>
    <author>Martin Ralph</author>
  </authors>
  <commentList>
    <comment ref="T384" authorId="0" shapeId="0">
      <text>
        <r>
          <rPr>
            <b/>
            <sz val="9"/>
            <color indexed="81"/>
            <rFont val="Tahoma"/>
            <family val="2"/>
          </rPr>
          <t>Martin Ralph:</t>
        </r>
        <r>
          <rPr>
            <sz val="9"/>
            <color indexed="81"/>
            <rFont val="Tahoma"/>
            <family val="2"/>
          </rPr>
          <t xml:space="preserve">
El 15/07/2024 se implementa un nuevo cronograma. Del 01 al 14 son 140, del 15 al 31 son 142
</t>
        </r>
      </text>
    </comment>
    <comment ref="AH384" authorId="0" shapeId="0">
      <text>
        <r>
          <rPr>
            <b/>
            <sz val="9"/>
            <color indexed="81"/>
            <rFont val="Tahoma"/>
            <family val="2"/>
          </rPr>
          <t>Martin Ralph:</t>
        </r>
        <r>
          <rPr>
            <sz val="9"/>
            <color indexed="81"/>
            <rFont val="Tahoma"/>
            <family val="2"/>
          </rPr>
          <t xml:space="preserve">
El 22/07/2024 se implementa un nuevo cronograma. Del 01 al 21 son 123, del 22 al 31 son 124</t>
        </r>
      </text>
    </comment>
    <comment ref="AV384" authorId="0" shapeId="0">
      <text>
        <r>
          <rPr>
            <b/>
            <sz val="9"/>
            <color indexed="81"/>
            <rFont val="Tahoma"/>
            <family val="2"/>
          </rPr>
          <t>Martin Ralph:</t>
        </r>
        <r>
          <rPr>
            <sz val="9"/>
            <color indexed="81"/>
            <rFont val="Tahoma"/>
            <family val="2"/>
          </rPr>
          <t xml:space="preserve">
El 22/07/2024 se implementa un nuevo cronograma. Del 01 al 21 son 67, del 22 al 31 son 66</t>
        </r>
      </text>
    </comment>
    <comment ref="T386" authorId="0" shapeId="0">
      <text>
        <r>
          <rPr>
            <b/>
            <sz val="9"/>
            <color indexed="81"/>
            <rFont val="Tahoma"/>
            <family val="2"/>
          </rPr>
          <t>Martin Ralph:</t>
        </r>
        <r>
          <rPr>
            <sz val="9"/>
            <color indexed="81"/>
            <rFont val="Tahoma"/>
            <family val="2"/>
          </rPr>
          <t xml:space="preserve">
140-142</t>
        </r>
      </text>
    </comment>
    <comment ref="AH386" authorId="0" shapeId="0">
      <text>
        <r>
          <rPr>
            <b/>
            <sz val="9"/>
            <color indexed="81"/>
            <rFont val="Tahoma"/>
            <family val="2"/>
          </rPr>
          <t>Martin Ralph:</t>
        </r>
        <r>
          <rPr>
            <sz val="9"/>
            <color indexed="81"/>
            <rFont val="Tahoma"/>
            <family val="2"/>
          </rPr>
          <t xml:space="preserve">
123-124</t>
        </r>
      </text>
    </comment>
    <comment ref="AV386" authorId="0" shapeId="0">
      <text>
        <r>
          <rPr>
            <b/>
            <sz val="9"/>
            <color indexed="81"/>
            <rFont val="Tahoma"/>
            <family val="2"/>
          </rPr>
          <t>Martin Ralph:</t>
        </r>
        <r>
          <rPr>
            <sz val="9"/>
            <color indexed="81"/>
            <rFont val="Tahoma"/>
            <family val="2"/>
          </rPr>
          <t xml:space="preserve">
66-67</t>
        </r>
      </text>
    </comment>
  </commentList>
</comments>
</file>

<file path=xl/comments2.xml><?xml version="1.0" encoding="utf-8"?>
<comments xmlns="http://schemas.openxmlformats.org/spreadsheetml/2006/main">
  <authors>
    <author>Martin Ralph</author>
  </authors>
  <commentList>
    <comment ref="BX386" authorId="0" shapeId="0">
      <text>
        <r>
          <rPr>
            <b/>
            <sz val="9"/>
            <color indexed="81"/>
            <rFont val="Tahoma"/>
            <family val="2"/>
          </rPr>
          <t>Martin Ralph:</t>
        </r>
        <r>
          <rPr>
            <sz val="9"/>
            <color indexed="81"/>
            <rFont val="Tahoma"/>
            <family val="2"/>
          </rPr>
          <t xml:space="preserve">
81-77</t>
        </r>
      </text>
    </comment>
  </commentList>
</comments>
</file>

<file path=xl/comments3.xml><?xml version="1.0" encoding="utf-8"?>
<comments xmlns="http://schemas.openxmlformats.org/spreadsheetml/2006/main">
  <authors>
    <author>Martin Ralph</author>
  </authors>
  <commentList>
    <comment ref="F384" authorId="0" shapeId="0">
      <text>
        <r>
          <rPr>
            <b/>
            <sz val="9"/>
            <color indexed="81"/>
            <rFont val="Tahoma"/>
            <family val="2"/>
          </rPr>
          <t>Martin Ralph:</t>
        </r>
        <r>
          <rPr>
            <sz val="9"/>
            <color indexed="81"/>
            <rFont val="Tahoma"/>
            <family val="2"/>
          </rPr>
          <t xml:space="preserve">
Desde el 10/07/2024
166 promedio
(141 + 22) - (151 + 22)</t>
        </r>
      </text>
    </comment>
    <comment ref="F385" authorId="0" shapeId="0">
      <text>
        <r>
          <rPr>
            <b/>
            <sz val="9"/>
            <color indexed="81"/>
            <rFont val="Tahoma"/>
            <family val="2"/>
          </rPr>
          <t>Martin Ralph:</t>
        </r>
        <r>
          <rPr>
            <sz val="9"/>
            <color indexed="81"/>
            <rFont val="Tahoma"/>
            <family val="2"/>
          </rPr>
          <t xml:space="preserve">
Desde el 10/07/2024
166 promedio
(141 + 22) - (151 + 22)</t>
        </r>
      </text>
    </comment>
    <comment ref="F386" authorId="0" shapeId="0">
      <text>
        <r>
          <rPr>
            <b/>
            <sz val="9"/>
            <color indexed="81"/>
            <rFont val="Tahoma"/>
            <family val="2"/>
          </rPr>
          <t>Martin Ralph:</t>
        </r>
        <r>
          <rPr>
            <sz val="9"/>
            <color indexed="81"/>
            <rFont val="Tahoma"/>
            <family val="2"/>
          </rPr>
          <t xml:space="preserve">
151+22</t>
        </r>
      </text>
    </comment>
    <comment ref="G386" authorId="0" shapeId="0">
      <text>
        <r>
          <rPr>
            <b/>
            <sz val="9"/>
            <color indexed="81"/>
            <rFont val="Tahoma"/>
            <family val="2"/>
          </rPr>
          <t>Martin Ralph:</t>
        </r>
        <r>
          <rPr>
            <sz val="9"/>
            <color indexed="81"/>
            <rFont val="Tahoma"/>
            <family val="2"/>
          </rPr>
          <t xml:space="preserve">
7-2
</t>
        </r>
      </text>
    </comment>
  </commentList>
</comments>
</file>

<file path=xl/sharedStrings.xml><?xml version="1.0" encoding="utf-8"?>
<sst xmlns="http://schemas.openxmlformats.org/spreadsheetml/2006/main" count="10917" uniqueCount="231">
  <si>
    <t>Línea Urquiza</t>
  </si>
  <si>
    <t>Línea San Martin</t>
  </si>
  <si>
    <t>Línea Belgrano Norte</t>
  </si>
  <si>
    <t>Línea Belgrano Sur</t>
  </si>
  <si>
    <t>Línea Roca</t>
  </si>
  <si>
    <t>Línea Mitre</t>
  </si>
  <si>
    <t>Línea Sarmiento</t>
  </si>
  <si>
    <t>Cumplimiento del Servicio de Trenes</t>
  </si>
  <si>
    <t>Regularidad Absoluta</t>
  </si>
  <si>
    <t>Cumplimiento de Programa</t>
  </si>
  <si>
    <t>Regularidad Relativa</t>
  </si>
  <si>
    <t>Ramal Once-Moreno (eléctrico)</t>
  </si>
  <si>
    <t>Ramal Moreno-Mercedes (diesel)</t>
  </si>
  <si>
    <t>Ramal Merlo-Lobos (diesel)</t>
  </si>
  <si>
    <t>Ramal Retiro-Tigre (eléctrico)</t>
  </si>
  <si>
    <t>Ramal Retiro-José León Suarez (eléctrico)</t>
  </si>
  <si>
    <t>Ramal Retiro-Mitre (eléctrico)</t>
  </si>
  <si>
    <t>Ramal Victoria-Capilla (diesel)</t>
  </si>
  <si>
    <t>Ramal Villa Ballester-Zárate (diesel)</t>
  </si>
  <si>
    <t>Ramal Plaza Constitución-Ezeiza (eléctrico)</t>
  </si>
  <si>
    <t>Ramal Temperley-Haedo (diesel)</t>
  </si>
  <si>
    <t>Ramal Federico Lacroze-Gral. Lemos (eléctrico)</t>
  </si>
  <si>
    <t>Ramal Retiro-Villa Rosa (diesel)</t>
  </si>
  <si>
    <t>Ramal Buenos Aires-Mnos. C. G. Belgrano (diesel)</t>
  </si>
  <si>
    <t>Ramal P. Alsina-Marinos C. G. Belgrano (diesel)</t>
  </si>
  <si>
    <t>Línea Tren de la Costa</t>
  </si>
  <si>
    <t>Ramal Maipu-Delta (eléctrico)</t>
  </si>
  <si>
    <t>Trenes Corridos</t>
  </si>
  <si>
    <t xml:space="preserve">Sector Puente Alsina - Aldo Bonzi: El servicio se encuentra suspendido desde el 2 de agosto de 2017 por anegamiento de cambios en Puente Alsina. </t>
  </si>
  <si>
    <t>Ramal Alejandro Korn-Chascomus (diesel)</t>
  </si>
  <si>
    <t>Ramal Km.12-Libertad (diesel)</t>
  </si>
  <si>
    <t>Mes</t>
  </si>
  <si>
    <t>Año</t>
  </si>
  <si>
    <t xml:space="preserve"> Desde el 18/06/2019 el servicio se encuentra supendido por obras de mejoramiento de Vía en todo el ramal (ME-2019-64464627-APN-GLM#SOFSE).</t>
  </si>
  <si>
    <t>Observaciones</t>
  </si>
  <si>
    <t>Toda la Línea</t>
  </si>
  <si>
    <t>Enero</t>
  </si>
  <si>
    <t>Febrero</t>
  </si>
  <si>
    <t>Marzo</t>
  </si>
  <si>
    <t>Abril</t>
  </si>
  <si>
    <t>Mayo</t>
  </si>
  <si>
    <t>Junio</t>
  </si>
  <si>
    <t>Julio</t>
  </si>
  <si>
    <t>Agosto</t>
  </si>
  <si>
    <t>Septiembre</t>
  </si>
  <si>
    <t>Octubre</t>
  </si>
  <si>
    <t>Noviembre</t>
  </si>
  <si>
    <t>Diciembre</t>
  </si>
  <si>
    <t>Servicio limitado entre Tigre y Nuñez desde el 04/02 hasta el 10/05 por obras viaducto.</t>
  </si>
  <si>
    <t>Dias 1,2,8 y 9 sin servicio por obras en el viaducto.</t>
  </si>
  <si>
    <t>Desde el día 26/09/2018, servicio suspendido por obras en puente ubicado en el Km 30 - Palo 5. Dicha situación continua sobre el final del mes.</t>
  </si>
  <si>
    <t>A partir del 17 de marzo la programación de lunes a viernes es de 14 trenes diarios.</t>
  </si>
  <si>
    <t>Trenes Programados</t>
  </si>
  <si>
    <t>Trenes Cancelados</t>
  </si>
  <si>
    <t>Trenes Puntuales</t>
  </si>
  <si>
    <t>Trenes Atrasados</t>
  </si>
  <si>
    <t>Servicios eléctricos hasta Glew y Diesel de Glew a A. Korn. En noviembre de 2006 todo el ramal es eléctrico.</t>
  </si>
  <si>
    <t>Plaza Constitución-Bosques (via Temperley) (desde 04/10/2017)</t>
  </si>
  <si>
    <t>A partir del 07/09/2015 dejan de correr los trenes Plaza Constitución-La Plata y Plaza Constitución-Bosques (Vía Quilmes), por obras de electrificación, todos los días de la semana.</t>
  </si>
  <si>
    <t>Se inaugura servicio eléctrico en el tramo Constitución-Quilmes</t>
  </si>
  <si>
    <t>El 13/06/2016 se inaugura servicio eléctrico en el tramo Constitución-Berazategui</t>
  </si>
  <si>
    <t>A partir del 11/03/2017 los servicios se extienden a Villa Elisa y City Bell</t>
  </si>
  <si>
    <t>A partir del 18/10/2017 quedan inaugurados los servicios entre Constitución y La Plata</t>
  </si>
  <si>
    <t>A partir del 07/09/2015 dejan de correr los trenes en Plaza Constitución-Bosques (Vía Quilmes), por obras de electrificación, todos los días de la semana.</t>
  </si>
  <si>
    <t>A partir del día 13/10/2018 comienzan a circular los servicios Plaza Constitución-Bosques por vía Quilmes ELECTRICOS</t>
  </si>
  <si>
    <t>Ramal Plaza Constitución-Bosques (Via Quilmes) (eléctrico desde el 13/10/2018)</t>
  </si>
  <si>
    <t>Ramal Plaza Constitución-La Plata (eléctrico desde el 18/10/17 todo el ramal)</t>
  </si>
  <si>
    <t>Servicio suspendido desde el 24/10/19 por el socavamiento de via en km.35</t>
  </si>
  <si>
    <t>Extensión del ramal Ezeiza-Cañuelas agregando las estación Abbott y Monte mas allá de Cañuelas. Estaciones en servicio desde Marzo/Septiembre de 2018</t>
  </si>
  <si>
    <t>Extensión del ramal Ezeiza-Cañuelas agregando las estación Uribelarrea, Empalme Lobos y Lobos mas allá de Cañuelas. Estaciones en servicio desde Noviembre de 2018</t>
  </si>
  <si>
    <t>A partir del día 02/12/2017 se comienza a prestar servicio</t>
  </si>
  <si>
    <t>Servicio suspendido desde el 20/03/2020 por la cuarentena Covid-19</t>
  </si>
  <si>
    <t>Servicios extendidos a Cabred desde el 25/05/2014</t>
  </si>
  <si>
    <t>Ramal Retiro-Pilar-Cabred (diesel)</t>
  </si>
  <si>
    <t>Con motivo de la revisión de los andenes provisorios, durantre junio se despacharon 2717 trenes especiales.</t>
  </si>
  <si>
    <t>Cancelación de trenes por robo de cables.</t>
  </si>
  <si>
    <t>A partir del día 01/03/2019 circulan como trenes programados los trenes que hasta ahora circulaban como especiales entre la estación de Libertad y el apeadero KM. 12.</t>
  </si>
  <si>
    <t>Servicios Especiales a partir del 19/03/2018</t>
  </si>
  <si>
    <t>TODA LA RED</t>
  </si>
  <si>
    <t>A partir de Mayo de 2015 se suman los servicios de Tren de la Costa</t>
  </si>
  <si>
    <t>Se redujeron los servicios por el aislamiento social preventivo y obligatorio COVID-19</t>
  </si>
  <si>
    <t>Se redujeron los servicios por el aislamiento social preventivo y obligatorio COVID-19.</t>
  </si>
  <si>
    <t>Desde el viernes 28/08 hasta el viernes 11/09 servicio interrumpido por usuarpación de terrenos. Se redujeron los servicios por el aislamiento social preventivo y obligatorio COVID-19.</t>
  </si>
  <si>
    <t>Servicio G.Catán-20 de Junio suspendido por Cuarentena Covid-19</t>
  </si>
  <si>
    <t>Servicios Cañuelas-Lobos y Cañuelas-Monte suspendidos por Cuarentena Covid-19</t>
  </si>
  <si>
    <t>Servicios Cañuelas-Lobos y Cañuelas-Monte reahbilitados a partir del 23/11</t>
  </si>
  <si>
    <t>Sin Datos</t>
  </si>
  <si>
    <t>SECTOR DIÉSEL GLEW-KORN</t>
  </si>
  <si>
    <t>SECTOR ELÉCTRICO CONSTITUCIÓN-GLEW</t>
  </si>
  <si>
    <t>Un incendio en el Puesto Central de Operaciones ocasionó una reducción en la cantidad de servicios</t>
  </si>
  <si>
    <t>A partir del 29/08/2015 P. Constitución-Gutiérrez y P. Const.-TY-Bosques no presta mas servicio.</t>
  </si>
  <si>
    <t>A partir del 04/10/2017 el servicio eléctrico se extiende cuatro estaciones mas hasta Bosques, incorporando las estaciones Ardigo, Florencio Varela, Zeballos y Bosques. Desde esa fecha el servicio diesel anterior de Temperley-Bosques y Temperley-Claypole-Gutierrez se reduce a Bosques-Gutierrez</t>
  </si>
  <si>
    <t>Original cero</t>
  </si>
  <si>
    <t>Se incorporaron los nuevos coches CCEE Chinos el 09/02/2015</t>
  </si>
  <si>
    <t>Se incorporaron los nuevos coches CCEE Chinos el 26/01/2015</t>
  </si>
  <si>
    <t>Se incorporaron los nuevos coches CCEE Chinos el 25/11/2014</t>
  </si>
  <si>
    <t>Reinaugurado el 13/04/2021</t>
  </si>
  <si>
    <t>A partir del 26/05/2021 se realizará el servicio en forma limitada entre las estaciones Mitre y Belgrano R, por obras en la parrilla de vias de la estación Retiro.</t>
  </si>
  <si>
    <t>Coches por Tren Día Hábil</t>
  </si>
  <si>
    <t>Trenes Programados por Día Hábil</t>
  </si>
  <si>
    <t>Desde el sábado 20/11/21 vuelven a circular los trenes de Korn a Chascomus todos los días, volviendo al servicio normal.</t>
  </si>
  <si>
    <t>Alejandro Korn-Chascomús comenzará a funcionar el martes 24/11/20, pero con servicio limitado hasta Brandsen los viernes, sábados, domingos y feriados, debido a que “su municipio no ha permitido el ingreso de las formaciones” dada “la situación epidemiológica” en esa localidad. El resto de los días si hay servicios Kor-Chascomus.</t>
  </si>
  <si>
    <t>7</t>
  </si>
  <si>
    <t>Servicio G.Catán -Marcos Paz desde el 29/07/2021</t>
  </si>
  <si>
    <t>Servicios G.Catán-Marcos Paz son 16 por dia hábil, aproximadamente</t>
  </si>
  <si>
    <t>Todos los ramales de la línea Roca sin servicios el día 04/06/2022 por trabajos en infraestructura.</t>
  </si>
  <si>
    <t>Desde el sábado 16/07 y hasta el domingo 31/07 inclusive, los trenes no llegarán a la estación Retiro debido a las obras de renovación de la parrilla de vías. El ramal José León Suárez funcionará limitado hasta 3 de Febrero, mientras que el ramal Tigre funcionará limitado hasta Lisandro de la Torre.</t>
  </si>
  <si>
    <t>Etiquetas de fila</t>
  </si>
  <si>
    <t>Suspendido por razones operativas (Covid-19)</t>
  </si>
  <si>
    <t xml:space="preserve"> Se implementa un itinerarioa partir del 09 de mayo de 2022, con servicios comerciales programados. </t>
  </si>
  <si>
    <t>ÚLTIMA ACTUALIZACIÓN:</t>
  </si>
  <si>
    <t>Servicios suspendidos por obras de renovación de vías comenzadas el día xx de octubre de 2022, hasta nuevo aviso.</t>
  </si>
  <si>
    <t>Ramal Victoria-Capilla: Servicios suspendidos por obras de renovación de vías comenzadas el día xx de octubre de 2022, hasta nuevo aviso.</t>
  </si>
  <si>
    <t>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t>
  </si>
  <si>
    <t>Desde el 23/12/2022 los trenes prestan servicio hasta la estación Villars</t>
  </si>
  <si>
    <t>(en blanco)</t>
  </si>
  <si>
    <t xml:space="preserve">Trenes Programados </t>
  </si>
  <si>
    <t xml:space="preserve">Trenes Cancelados </t>
  </si>
  <si>
    <t xml:space="preserve">Trenes Corridos </t>
  </si>
  <si>
    <t xml:space="preserve">Trenes Atrasados </t>
  </si>
  <si>
    <t xml:space="preserve">Trenes Puntuales </t>
  </si>
  <si>
    <t>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t>
  </si>
  <si>
    <t>Desde enero de 2023 se discrimina la información de los ramales Ezeiza-Cañuelas, Cañuelas-Monte y Cañuelas-Lobos</t>
  </si>
  <si>
    <t xml:space="preserve"> </t>
  </si>
  <si>
    <t>Frecuencia de Servicios</t>
  </si>
  <si>
    <t>Modificación de horarios desde 01/03/2023</t>
  </si>
  <si>
    <t>El Tren Universitario se inauguró el 25 de abril de 2013. Tramo estaciones La Plata-Policlínico.</t>
  </si>
  <si>
    <t>De acuerdo a lo informado en memo ME-2023-14148436-APN-GLSM#SOFSE de fecha 07 de febrero de 2023, brinda sevicio de emergencia por falta de material rodante. De lunes a domingo/feriados circulan 115 trenes.</t>
  </si>
  <si>
    <t>Desde el 01/03/23 y hasta nuevo aviso el Servicio circulara limitado entre Merlo y Las Heras por obras de renovación de vías.</t>
  </si>
  <si>
    <t xml:space="preserve">CNRT - PAS-AMBA-01  CNRT - Trenes Programados </t>
  </si>
  <si>
    <t xml:space="preserve">CNRT - PAS-AMBA-02  CNRT - Trenes Cancelados </t>
  </si>
  <si>
    <t xml:space="preserve">CNRT - PAS-AMBA-03  CNRT - Trenes Corridos </t>
  </si>
  <si>
    <t xml:space="preserve">CNRT - PAS-AMBA-04  CNRT - Trenes Puntuales </t>
  </si>
  <si>
    <t xml:space="preserve">CNRT - PAS-AMBA-05  CNRT - Trenes Atrasados </t>
  </si>
  <si>
    <t xml:space="preserve">CNRT - PAS-AMBA-27  CNRT - Regularidad Absoluta  </t>
  </si>
  <si>
    <t xml:space="preserve">CNRT - PAS-AMBA-28  CNRT - Regularidad Relativa  </t>
  </si>
  <si>
    <t xml:space="preserve">CNRT - PAS-AMBA-29  CNRT - Cumplimiento de Programa  </t>
  </si>
  <si>
    <r>
      <t>Ramal Plaza Constitución-Glew-A. Korn (eléctrico)</t>
    </r>
    <r>
      <rPr>
        <sz val="14"/>
        <color theme="0" tint="-0.499984740745262"/>
        <rFont val="Arial"/>
        <family val="2"/>
      </rPr>
      <t xml:space="preserve"> (Servicios eléctricos hasta Glew y Diesel de Glew a A. Korn. A partir de noviembre de 2006 todo el ramal es eléctrico.)</t>
    </r>
  </si>
  <si>
    <r>
      <t>Ramal Plaza Constitución-Bosques (via Temperley) (desde 04/10/2017) (eléctrico)</t>
    </r>
    <r>
      <rPr>
        <sz val="14"/>
        <color theme="0" tint="-0.499984740745262"/>
        <rFont val="Arial"/>
        <family val="2"/>
      </rPr>
      <t xml:space="preserve">  (anterior Const.-Temperley-Claypole)</t>
    </r>
  </si>
  <si>
    <r>
      <t>Ramal Bosques-Gutiérrez (diésel)</t>
    </r>
    <r>
      <rPr>
        <sz val="14"/>
        <color theme="0" tint="-0.499984740745262"/>
        <rFont val="Arial"/>
        <family val="2"/>
      </rPr>
      <t xml:space="preserve"> (desde 04/10/17) (anterior 1995-2015ago P. Constitución-Gutiérrez y P. Const.-TY-Bosques / 2015ago-2017oct Temperley-Bosques y Temperley-Claypole-Gutierrez) </t>
    </r>
  </si>
  <si>
    <r>
      <t>Ramal Ezeiza-Cañuelas (Entre 2018 y diciembre de 2022 Ezeiza/Cañuelas+Monte+Lobos (diesel)</t>
    </r>
    <r>
      <rPr>
        <sz val="14"/>
        <color theme="0" tint="-0.499984740745262"/>
        <rFont val="Arial"/>
        <family val="2"/>
      </rPr>
      <t xml:space="preserve"> (aterior Ezeiza-Cañuelas)</t>
    </r>
  </si>
  <si>
    <r>
      <t>Ramal Cañuelas-Monte (diesel)</t>
    </r>
    <r>
      <rPr>
        <sz val="14"/>
        <color theme="0" tint="-0.499984740745262"/>
        <rFont val="Arial"/>
        <family val="2"/>
      </rPr>
      <t xml:space="preserve"> (servicio desde marzo 2018 - Datos desde enero 2023)</t>
    </r>
  </si>
  <si>
    <r>
      <t>Ramal Cañuelas-Lobos (diesel)</t>
    </r>
    <r>
      <rPr>
        <sz val="14"/>
        <color theme="0" tint="-0.499984740745262"/>
        <rFont val="Arial"/>
        <family val="2"/>
      </rPr>
      <t xml:space="preserve"> (servicio desde noviembre 2018 - Datos desde enero 2023)</t>
    </r>
  </si>
  <si>
    <t>Desde enero de 2023 se discrimina la información de los ramales Ezeiza-Cañuelas, Cañuelas-Monte y Cañuelas-Lobos / Desde Enero de 2023 se incorpora a la red ferroviaria metropolitana del AMBA el Tren Universitario de La Plata,  inaugurado el 25 de abril de 2013. Tramo estaciones La Plata-Policlínico.</t>
  </si>
  <si>
    <t>Desde el 26/06 los servicios retornan hasta la estación Retiro.</t>
  </si>
  <si>
    <t>Desde el 26/06 los servicios retornan hasta la estación Retiro. Trenes programados por dia hábil  121/150</t>
  </si>
  <si>
    <t>Desde el 26/06 los servicios retornan hasta la estación Retiro. Trenes programados por dia hábil  112/126</t>
  </si>
  <si>
    <r>
      <t>Ramal Tren Universitario de La Plata</t>
    </r>
    <r>
      <rPr>
        <sz val="14"/>
        <color theme="0" tint="-0.499984740745262"/>
        <rFont val="Arial"/>
        <family val="2"/>
      </rPr>
      <t xml:space="preserve"> (servicios desde abril de 2013 - Información desde enero de 2023)</t>
    </r>
  </si>
  <si>
    <r>
      <t>Ramal Buenos Aires-G. Catán (diesel)</t>
    </r>
    <r>
      <rPr>
        <sz val="14"/>
        <color theme="0" tint="-0.499984740745262"/>
        <rFont val="Arial"/>
        <family val="2"/>
      </rPr>
      <t xml:space="preserve"> (20 de Junio-Marco Paz información agregada desde el 02/12/2019 a 03/2022. Con posterioridad la información se encuentra discriminada)</t>
    </r>
  </si>
  <si>
    <t>Trenes programados por dia hábil 57/60</t>
  </si>
  <si>
    <t>Desde el 05/07/23 retoma servicio completo entre cabeceras. Lunes a viernes 42 servicios (8 servicios a Lobos), sábados 38 servicios (8 servicios a Lobos), domingos/feriados 24 servicios (8 servicios a Lobos). El resto circula de Merlo a Las Heras.</t>
  </si>
  <si>
    <t xml:space="preserve">Regularidad Absoluta </t>
  </si>
  <si>
    <t>Total</t>
  </si>
  <si>
    <t>Línea Belgrano Sur: A partir del 03-07-23 modifica su itinerario de servicios, con motivo de las obras de inversión que se encuentran desarrollandose, viendose modificados los diagramas de sus tres ramales activos:
   - Ramal G. Catán: De lunes a viernes brindara servicio especial con 91 trenes y un servicio adicional programado entre cabeceras. Sábados 91 trenes y Domingos/Feriados 74 trenes.
   - Ramal Marinos del C. G. Belgrano: De lunes a viernes brindara servicio especial con 33 trenes. Sábados 33 trenes y Domingos/Feriados 32.
   - Ramal Villars: De lunes a viernes brindara servicio especial con 18 trenes. Sábados 18 y Domingos/Feriados 16.</t>
  </si>
  <si>
    <t>Domingos</t>
  </si>
  <si>
    <r>
      <t xml:space="preserve">Tomás Jofré-Altamira-Mercedes (diesel) </t>
    </r>
    <r>
      <rPr>
        <sz val="14"/>
        <color theme="0" tint="-0.499984740745262"/>
        <rFont val="Arial"/>
        <family val="2"/>
      </rPr>
      <t>(desde el 27/05/2023) Tren turístico operado por DECAHF</t>
    </r>
  </si>
  <si>
    <t>NO SUMADO A LOS SERVICIOS METROPOLITANOS</t>
  </si>
  <si>
    <t>COMISION NACIONAL DE REGULACION DEL TRANSPORTE/GERENCIA DE FISCALIZACION DE GESTION FERROVIARIA - ARGENTINA</t>
  </si>
  <si>
    <t>A partir del 06/11/2023 los trenes del ramal Retiro-Mitre vuelven a realizar el recorrido completo</t>
  </si>
  <si>
    <t>A Partir del 22-09-2023, se incorpora a al regimen de paradas del servicio la estación Hospital Htal. Cuenca Alta - Néstor Kirchner.</t>
  </si>
  <si>
    <t>A partir del 06/11/2023 se reanudan los servicios en el tramo Victoria-Matheu.</t>
  </si>
  <si>
    <t>A partir del 06/11/2023 los trenes del ramal Retiro-Mitre vuelven a realizar el recorrido completo / A partir del 06/11/2023 se reanudan los servicios en el tramo Victoria-Matheu.</t>
  </si>
  <si>
    <t>Desde el 01/10/2023 Ramal G. Catán - Villars / Lozano: Extiende su servicio los días sábados y domingos hasta estación Lozano con dos servicios díarios (1 servicio ascendente y 1 descendente). Mantiene cantidad de servicios a Villars</t>
  </si>
  <si>
    <r>
      <t xml:space="preserve">González Catán-Marco Paz-Villars (Lozano) (diesel) </t>
    </r>
    <r>
      <rPr>
        <sz val="14"/>
        <color theme="0" tint="-0.499984740745262"/>
        <rFont val="Arial"/>
        <family val="2"/>
      </rPr>
      <t>(a Villars desde el 23/12/2022)</t>
    </r>
  </si>
  <si>
    <t>A Partir del 12-12-2023, entra en vigencia un nuevo itinerario de trenes, a partir del cual se divide la traza en dos ramales para los servicios brindados de lunes a sábados habiles. 
- En el primero de ellos, los trenes circulan entre Retiro - J. C. Paz - Pilar: Lunes a Viernes habiles 151 trenes, Sábados habiles 156 trenes. (entre 5 y 7 coches)
- En el segundo de ellos, circulan entre Pilar - Dr. Cabred: Lunes a Viernes habiles 22 trenes, Sábados habiles 22 trenes (2 coches)
Para los días Domingos/Feriados, el servicio se presta entre las cabeceras Retiro y Dr. Cabred: 115 trenes.</t>
  </si>
  <si>
    <t>Se produjeron mayores atrasos a causa de precauciones por el estado de la vía y/o infraestructura.</t>
  </si>
  <si>
    <t>Desde el 27/05/2023. Servicio turístico con servicios sólo los domingos. Gratuito.</t>
  </si>
  <si>
    <t>El servicio deja de ser gratuito.</t>
  </si>
  <si>
    <t>Valores provisorios hasta tanto no se expida la autoridad de aplicación. Los valores de trenes programados corresponden a los estipulados en el itinerio 16 (vigente desde el 01/08/2022) que fuera aprobado por la autoridad de aplicación. Los valores de trenes corridos y de trenes impuntuales, corresponden a los valores alcanzados por Ferovias SAC en su operación, de acuerdo al itinerario 18 implementado unilateralmente por el operador. Por tal motivo, los valores de cumplimiento de programación y de regularidad absoluta se corresponderan a la prestación de servicios realizada respecto de la ultima programación de trenes aprobada (itinerario 16).</t>
  </si>
  <si>
    <t>A partir del 12-02-2024, entra en vigencia un nuevo itinerario de trenes en los ramales:
Plaza. Constitución - La Plata: De Lunes a Viernes 81 trenes, sábados 73 trenes y domingos/feriados 51 trenes. 
Plaza. Constitucion - Ezeiza: De Lunes a Viernes 174 trenes, sábados 138 trenes y domingos/feriados 92 trenes.
Ezeiza - Cañuelas: De Lunes a Viernes 57 trenes, sábados 46 trenes y domingos/feriados 42 trenes.
Plaza. Constitución - Glew-A. Korn: De Lunes a Viernes 181 trenes, sábados 140 trenes y domingos/feriados 91 trenes. 
Plaza. Constitución - Bosques (vía Temperley): De Lunes a Viernes 134 trenes, sábados 140 trenes y domingos/feriados 106 trenes.
Plaza. Constitución - Bosques (vía Quilmes): De Lunes a Viernes 67 trenes, sábados 60 trenes y domingos/feriados 44 trenes. 
Temperley - Bosques - J. Gutierrez: De Lunes a Viernes 37 trenes, sábados 37 trenes y domingos/feriados 36 trenes.</t>
  </si>
  <si>
    <t>La baja cantidad de trenes puntuales se corresponde a las afectaciones de los servicios como consecuencia de la modificación de velocidades permanentes en distintos puntos de la línea, las precauciones en las vías principales, y la demora incrementada por afluencia de clientes en intermedias. (De acuerdo a lo informado en los partes P15 del mes).</t>
  </si>
  <si>
    <t>El 10/05/2024 se produjo el choque de una formaciòn de pasajeros contra otra formaciòn sin pasajeros en el puente sobre la aveniza Figueroa Alcorta. En un principio los servicios fueron reducidos entre las estaciones Pilar y Villa del Parque y luego entre Pilar y Palermo. Con motivo de la colisión de dos formaciones en puente ferroviario de Figueroa Alcorta y Dorrego del viaducto Palermo el día 10 de mayo de 2024 y consecuentemente con los trabajos de reparación de las consecuencias de dicha colisión, en la línea San Martín se implementa un itinerario de emergencia. En el mismo se establece como estaciones cabecera provisorias, las estaciones Palermo y Villa del Parque en lugar de la estación cabecera Retiro. De lunes a sábados habiles 141 trenes, domingos/feriados 105 trenes.</t>
  </si>
  <si>
    <t>Valores provisorios hasta tanto no se expida la autoridad de aplicación. Los valores de trenes programados corresponden a los estipulados en el itinerario 16 (vigente desde el 01/08/2022) que fuera aprobado por la autoridad de aplicación. Los valores de trenes corridos y de trenes puntuales, corresponden a los valores alcanzados por Ferrovias SAC en su operación, de acuerdo al itinerario implementado unilateralmente. Por tal motivo, los valores de cumplimiento de programación y de regularidad absoluta se corresponderá a la prestación de servicios realizada respecto de la última programación de trenes aprobada.</t>
  </si>
  <si>
    <t>El servicio está suspendido desde el 8 de mayo, luego de que un camión derribara el puente ferroviario de la ruta 41.</t>
  </si>
  <si>
    <t>El 10/07 volvió el tren a Retiro</t>
  </si>
  <si>
    <t>A partir del dia 15 de julio de 2024, se implementa un nuevo itinerario en la linea Mitre en su ramal Retiro - Tigre.</t>
  </si>
  <si>
    <t>A partir del dia 22 de julio de 2024, se implementa un nuevo itinerario en la linea Mitre para sus ramales Retiro - JL Suarez / Retiro - B. Mitre y Villa Ballester - Zarate.</t>
  </si>
  <si>
    <t>A partir del 08-01-2024, entra en vigencia un nuevo itinerario de trenes en los ramales:
Once - Moreno: De Lunes a Viernes 250 trenes, sábados 209 trenes y domingos/feriados 157 trenes.
A partir del 17-01-2024, entra en vigencia un nuevo itinerario de trenes en los ramales:
Merlo - Lobos: De Lunes a Viernes 24 trenes, Sábados 26 trenes, Domingos/Feriados 24 trenes.
Moreno - Mercedes: De Lunes a Sábados 28 trenes, Domingos/Feriados 24 trenes.</t>
  </si>
  <si>
    <t>A partir del 22-01-2024, entra en vigencia un nuevo itinerario de trenes en los ramales:
Retiro - Tigre: De Lunes a Viernes 140 trenes, sábados, domingos/feriados 104 trenes.
Retiro - José L. Suarez: De Lunes a Viernes 123 trenes, sábados, domingos/feriados 89 trenes.
Retiro - Bme. Mitre: De Lunes a Viernes 67 trenes, sábados, domingos/feriados 62 trenes.</t>
  </si>
  <si>
    <t>A partir del xx-01-2024, entra en vigencia un nuevo itinerario de trenes en los ramales:
Plza. Constitución - La Plata: De Lunes a Viernes 79 trenes, sábados 73 trenes y domingos/feriados 51 trenes.
Plza. Constitución - Ezeiza: De Lunes a Viernes 176 trenes, sábados 138 trenes y domingos/feriados 92 trenes.
Ezeiza - Cañuelas: De Lunes a Viernes 57 trenes, sábados 46 trenes y domingos/feriados 42 trenes.
Plza. Constitución - Glew-A. Korn: De Lunes a Viernes 182 trenes, sábados 141 trenes y domingos/feriados 91 trenes.
Plza. Constitución - Bosques (vía Temperley): De Lunes a Viernes 135 trenes, sábados 140 trenes y domingos/feriados 106 trenes.
Plza. Constitución - Bosques (vía Quilmes): De Lunes a Viernes 112 trenes, sábados 99 trenes y domingos/feriados 73 trenes.
Temperley - Bosques - J. Gutierrez: De Lunes a Viernes 37 trenes, sábados 37 trenes y domingos/feriados 36 trenes.</t>
  </si>
  <si>
    <t>A partir del 08-01-2024, entra en vigencia un nuevo itinerario de trenes en los ramales:
Dr. Saenz - Gonzalez Catan: De Lunes a Viernes 108 trenes, sábados 92 trenes y domingos/feriados 74 trenes.
Dr. Saenz - Marinos del Crucero Gral. Belgrano (reducido a Tapiales): De Lunes a Viernes 36 trenes, sábados 36 trenes y domingos/feriados 34 trenes.</t>
  </si>
  <si>
    <t>A partir del 18-12-2023, entra en vigencia un nuevo itinerario de trenes:
De Lunes a Viernes 171 trenes, sábados 114 trenes y domingos/feriados 77 trenes.</t>
  </si>
  <si>
    <t>A partir del 02-01-2024, entra en vigencia un nuevo itinerario de trenes:
De Lunes a Viernes 80 trenes, sábados, domingos/feriados 58 trenes.</t>
  </si>
  <si>
    <t>Los valores de trenes programados corresponden a los estipulados en el itinerio 16 (vigente desde el 01/08/2022) que fuera aprobado por la autoridad de aplicación. Los valores de trenes corridos y de trenes impuntuales, corresponden a los valores alcanzados por Ferovias SAC en su operación, de acuerdo al itinerario implementado unilateralmente. Por tal motivo, los valores de cumplimiento de programación y de regularidad absoluta se corresponderan a la prestación de servicios realizada respecto de la ultima programación de trenes aprobada.
Asimismo, los datos correspondientes a Enero 2024, se encuentran provistos provisoriamente, ya que no hay sido remitido aún los datos oficialmente mediante el Informe Mensual Operativo.</t>
  </si>
  <si>
    <t>A partir del día 1° de mayo de 2024, se implementan nuevos itinerarios en la línea Belgrano Sur, en los ramales:
Dr. Saenz - Gonzales Catán: Lunes a Viernes habiles 86 trenes, sábados 75 trenes y domingos/feriados 77 trenes.
Dr. Saenz - Marinos del Crucero Gral. Belgrano: Lunes a Viernes habiles 46 trenes, sábados 44 trenes y domingos/feriados 38 trenes.
Gonzales Catán - Villars - Lozano: Lunes a Viernes habiles 14 trenes, sábados 16 trenes y domingos/feriados 15 trenes.</t>
  </si>
  <si>
    <t>El dia 10 de julio de 2024 la linea San Martin deja de prestar el cronograma de servicios de emergencia y vuelve a su cronogrma previo. Luego del accidente de mayo, el 10/07 volvió el tren a Retiro.</t>
  </si>
  <si>
    <t>Valores respecto IT 18 c/autorización provisional</t>
  </si>
  <si>
    <t>OBSERVACIONES SOBRE LA INFORMACIÓN ESTADÍSTICA PRESENTADA</t>
  </si>
  <si>
    <t>La información contenida en este archivo ha sido recopilada a partir de datos suministrados por los operadores ferroviarios, por esta CNRT y de análisis internos.</t>
  </si>
  <si>
    <t>Es posible que los datos aquí presentados difieran de informes previos debido a un proceso de revisión continua, el cual busca garantizar la precisión y confiabilidad de la información.</t>
  </si>
  <si>
    <t>Las definiciones vertidas en este glosario corresponden al Manual de Indicadores CNRT de Gestión del Sistema Ferroviario Argentino, aprobado por la disposición DI-2023-334-APN-CNRT#MTR, de fecha 5 de junio de 2023.</t>
  </si>
  <si>
    <t>Glosario</t>
  </si>
  <si>
    <t>NOMENCLADOR</t>
  </si>
  <si>
    <t>INDICADOR</t>
  </si>
  <si>
    <t>DEFINICIÓN</t>
  </si>
  <si>
    <t>CNRT - PAS-AMBA-01</t>
  </si>
  <si>
    <t>TRENES PROGRAMADOS</t>
  </si>
  <si>
    <t>Cantidad de servicios programados conforme lo aprobado para un período determinado.</t>
  </si>
  <si>
    <t>CNRT - PAS-AMBA-02</t>
  </si>
  <si>
    <t>TRENES CANCELADOS</t>
  </si>
  <si>
    <t>Es la cantidad de trenes que no han llegado a realizar total o parcialmente los recorridos programados.</t>
  </si>
  <si>
    <t>CNRT - PAS-AMBA-03</t>
  </si>
  <si>
    <t>TRENES CORRIDOS (TC)</t>
  </si>
  <si>
    <t>Cantidad de servicios completos realizados, entre las estaciones de origen y destino, de acuerdo a lo programado para un período determinado. Se corresponde con indicador BID (Banco Interamericano de Desarrollo).</t>
  </si>
  <si>
    <t>CNRT - PAS-AMBA-04</t>
  </si>
  <si>
    <t>TRENES PUNTUALES</t>
  </si>
  <si>
    <t>Cantidad de trenes corridos, que llegaron hasta con un atraso menor a 5 minutos.</t>
  </si>
  <si>
    <t>CNRT - PAS-AMBA-05</t>
  </si>
  <si>
    <t>TRENES ATRASADOS</t>
  </si>
  <si>
    <t>Cantidad de trenes corridos, que llegaron a destino con un atraso superior a 5 minutos.</t>
  </si>
  <si>
    <t>CNRT - PAS-AMBA-27</t>
  </si>
  <si>
    <t>REGULARIDAD ABSOLUTA</t>
  </si>
  <si>
    <r>
      <t xml:space="preserve">Porcentaje de trenes que llegaron puntuales sobre los programados de una determinada línea en un período. </t>
    </r>
    <r>
      <rPr>
        <i/>
        <sz val="10"/>
        <color rgb="FF000000"/>
        <rFont val="Calibri"/>
        <family val="2"/>
      </rPr>
      <t>La Regularidad Absoluta de los servicios puede variar entre 0 (ningún tren puntual) y 1 (todos los trenes puntuales) De acuerdo a los parámetros establecidos en los contratos de concesión de la década de 1990, la regularidad absoluta debería ser mayor o igual a 0,95 o 95%</t>
    </r>
  </si>
  <si>
    <t>CNRT - PAS-AMBA-28</t>
  </si>
  <si>
    <t>REGULARIDAD RELATIVA</t>
  </si>
  <si>
    <r>
      <t xml:space="preserve">Porcentaje de trenes que llegaron puntuales sobre los trenes corridos de una determinada línea en un período. </t>
    </r>
    <r>
      <rPr>
        <i/>
        <sz val="10"/>
        <color rgb="FF000000"/>
        <rFont val="Calibri"/>
        <family val="2"/>
      </rPr>
      <t>La Regularidad Relativa de los servicios puede variar entre 0 (ningún tren puntual) y 1 (todos los trenes corridos puntuales) De acuerdo a los parámetros establecidos en los contratos de concesión de la década de 1990, la regularidad absoluta debería ser mayor o igual a 0,96 o 96%</t>
    </r>
  </si>
  <si>
    <t>CNRT - PAS-AMBA-29</t>
  </si>
  <si>
    <t>CUMPLIMIENTO DE LA PROGRAMACIÓN</t>
  </si>
  <si>
    <t>Porcentaje de trenes corridos que completaron el servicio entre cabeceras, en forma puntual o no, sobre los programados de una determinada línea en un período.</t>
  </si>
  <si>
    <t>Cambio Prog. X obra parrilla</t>
  </si>
  <si>
    <t>Cambio en la programación 22/12/2019</t>
  </si>
  <si>
    <t>Cambio en la programación 20/05/2020 - Cambio Prog. X COVID</t>
  </si>
  <si>
    <t>Cambio en la programación 8/11/2021</t>
  </si>
  <si>
    <t>Cambio en la programación 3/10/2022</t>
  </si>
  <si>
    <t>Cambio en la programación 16/1/2023</t>
  </si>
  <si>
    <t>Cambio en la programación 26/6/2023</t>
  </si>
  <si>
    <t>Cambio en la programación 6/11/2023</t>
  </si>
  <si>
    <t>Cambio en la programación 22/7/2024</t>
  </si>
  <si>
    <t xml:space="preserve">Regularidad Absoluta  </t>
  </si>
  <si>
    <t xml:space="preserve">Cumplimiento de Programa   </t>
  </si>
  <si>
    <t xml:space="preserve">Año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</si>
</sst>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quot;$&quot;#,##0_);\(&quot;$&quot;#,##0\)"/>
    <numFmt numFmtId="165" formatCode="&quot;$&quot;#,##0.00_);\(&quot;$&quot;#,##0.00\)"/>
    <numFmt numFmtId="166" formatCode="#,##0_ ;[Red]\-#,##0\ "/>
    <numFmt numFmtId="167" formatCode="#,##0.0"/>
    <numFmt numFmtId="168" formatCode="#,##0.0000"/>
  </numFmts>
  <fonts count="67">
    <font>
      <sz val="12"/>
      <name val="Arial"/>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b/>
      <sz val="18"/>
      <name val="Arial"/>
      <family val="2"/>
    </font>
    <font>
      <sz val="10"/>
      <name val="Arial"/>
      <family val="2"/>
    </font>
    <font>
      <sz val="10"/>
      <name val="Abadi MT Condensed Light"/>
      <family val="2"/>
    </font>
    <font>
      <b/>
      <sz val="10"/>
      <name val="Abadi MT Condensed Light"/>
      <family val="2"/>
    </font>
    <font>
      <b/>
      <sz val="16"/>
      <name val="Arial"/>
      <family val="2"/>
    </font>
    <font>
      <sz val="12"/>
      <name val="Arial"/>
      <family val="2"/>
    </font>
    <font>
      <b/>
      <sz val="12"/>
      <name val="Arial"/>
      <family val="2"/>
    </font>
    <font>
      <b/>
      <sz val="12"/>
      <name val="Abadi MT Condensed Light"/>
      <family val="2"/>
    </font>
    <font>
      <sz val="8"/>
      <name val="Arial"/>
      <family val="2"/>
    </font>
    <font>
      <sz val="11"/>
      <color theme="0"/>
      <name val="Calibri"/>
      <family val="2"/>
      <scheme val="minor"/>
    </font>
    <font>
      <b/>
      <sz val="12"/>
      <color theme="0"/>
      <name val="Calibri"/>
      <family val="2"/>
      <scheme val="minor"/>
    </font>
    <font>
      <b/>
      <sz val="10"/>
      <color theme="0"/>
      <name val="Calibri"/>
      <family val="2"/>
      <scheme val="minor"/>
    </font>
    <font>
      <sz val="10"/>
      <name val="Calibri"/>
      <family val="2"/>
      <scheme val="minor"/>
    </font>
    <font>
      <i/>
      <sz val="10"/>
      <name val="Calibri"/>
      <family val="2"/>
      <scheme val="minor"/>
    </font>
    <font>
      <b/>
      <sz val="10"/>
      <color rgb="FFC00000"/>
      <name val="Arial"/>
      <family val="2"/>
    </font>
    <font>
      <sz val="10"/>
      <color rgb="FFFF0000"/>
      <name val="Calibri"/>
      <family val="2"/>
      <scheme val="minor"/>
    </font>
    <font>
      <b/>
      <sz val="10"/>
      <name val="Calibri"/>
      <family val="2"/>
      <scheme val="minor"/>
    </font>
    <font>
      <i/>
      <sz val="10"/>
      <color rgb="FFFF0000"/>
      <name val="Calibri"/>
      <family val="2"/>
      <scheme val="minor"/>
    </font>
    <font>
      <b/>
      <sz val="24"/>
      <color theme="3"/>
      <name val="Franklin Gothic Demi Cond"/>
      <family val="2"/>
    </font>
    <font>
      <sz val="22"/>
      <color theme="0" tint="-0.499984740745262"/>
      <name val="Franklin Gothic Demi Cond"/>
      <family val="2"/>
    </font>
    <font>
      <sz val="22"/>
      <color theme="4"/>
      <name val="Franklin Gothic Demi Cond"/>
      <family val="2"/>
    </font>
    <font>
      <b/>
      <sz val="14"/>
      <color theme="0" tint="-0.499984740745262"/>
      <name val="Arial"/>
      <family val="2"/>
    </font>
    <font>
      <sz val="14"/>
      <color theme="0" tint="-0.499984740745262"/>
      <name val="Arial"/>
      <family val="2"/>
    </font>
    <font>
      <sz val="10"/>
      <name val="Abadi MT Condensed Light"/>
    </font>
    <font>
      <sz val="10"/>
      <color theme="0"/>
      <name val="Abadi MT Condensed Light"/>
    </font>
    <font>
      <sz val="10"/>
      <color theme="1"/>
      <name val="Abadi MT Condensed Light"/>
    </font>
    <font>
      <sz val="10"/>
      <name val="Calibri"/>
      <family val="2"/>
      <scheme val="minor"/>
    </font>
    <font>
      <sz val="10"/>
      <color theme="1"/>
      <name val="Calibri"/>
      <family val="2"/>
      <scheme val="minor"/>
    </font>
    <font>
      <sz val="10"/>
      <name val="Calibri"/>
      <family val="2"/>
      <scheme val="minor"/>
    </font>
    <font>
      <sz val="10"/>
      <color theme="0"/>
      <name val="Calibri"/>
      <family val="2"/>
      <scheme val="minor"/>
    </font>
    <font>
      <sz val="10"/>
      <color theme="1"/>
      <name val="Calibri"/>
      <family val="2"/>
      <scheme val="minor"/>
    </font>
    <font>
      <sz val="12"/>
      <color rgb="FFA6A6A6"/>
      <name val="Franklin Gothic Demi Cond"/>
      <family val="2"/>
    </font>
    <font>
      <b/>
      <sz val="24"/>
      <color theme="4"/>
      <name val="Franklin Gothic Demi Cond"/>
      <family val="2"/>
    </font>
    <font>
      <sz val="22"/>
      <name val="Franklin Gothic Demi Cond"/>
      <family val="2"/>
    </font>
    <font>
      <sz val="10"/>
      <name val="Calibri"/>
      <family val="2"/>
      <scheme val="minor"/>
    </font>
    <font>
      <sz val="9"/>
      <color indexed="81"/>
      <name val="Tahoma"/>
      <family val="2"/>
    </font>
    <font>
      <b/>
      <sz val="9"/>
      <color indexed="81"/>
      <name val="Tahoma"/>
      <family val="2"/>
    </font>
    <font>
      <sz val="26"/>
      <color theme="3"/>
      <name val="Franklin Gothic Demi Cond"/>
      <family val="2"/>
    </font>
    <font>
      <sz val="14"/>
      <name val="Franklin Gothic Demi Cond"/>
      <family val="2"/>
    </font>
    <font>
      <b/>
      <sz val="10"/>
      <color rgb="FF000000"/>
      <name val="Calibri"/>
      <family val="2"/>
    </font>
    <font>
      <sz val="10"/>
      <color rgb="FF000000"/>
      <name val="Calibri"/>
      <family val="2"/>
    </font>
    <font>
      <i/>
      <sz val="10"/>
      <color rgb="FF000000"/>
      <name val="Calibri"/>
      <family val="2"/>
    </font>
  </fonts>
  <fills count="18">
    <fill>
      <patternFill patternType="none"/>
    </fill>
    <fill>
      <patternFill patternType="gray125"/>
    </fill>
    <fill>
      <patternFill patternType="solid">
        <fgColor indexed="65"/>
        <bgColor indexed="8"/>
      </patternFill>
    </fill>
    <fill>
      <patternFill patternType="solid">
        <fgColor rgb="FFFFFF00"/>
        <bgColor indexed="8"/>
      </patternFill>
    </fill>
    <fill>
      <patternFill patternType="solid">
        <fgColor theme="0"/>
        <bgColor indexed="8"/>
      </patternFill>
    </fill>
    <fill>
      <patternFill patternType="solid">
        <fgColor theme="4" tint="0.79998168889431442"/>
        <bgColor theme="4" tint="0.79998168889431442"/>
      </patternFill>
    </fill>
    <fill>
      <patternFill patternType="solid">
        <fgColor theme="4"/>
        <bgColor theme="4"/>
      </patternFill>
    </fill>
    <fill>
      <patternFill patternType="solid">
        <fgColor theme="4" tint="0.59999389629810485"/>
        <bgColor theme="4" tint="0.59999389629810485"/>
      </patternFill>
    </fill>
    <fill>
      <patternFill patternType="solid">
        <fgColor theme="5"/>
      </patternFill>
    </fill>
    <fill>
      <patternFill patternType="solid">
        <fgColor rgb="FFFFC000"/>
        <bgColor indexed="64"/>
      </patternFill>
    </fill>
    <fill>
      <patternFill patternType="solid">
        <fgColor rgb="FFFFC000"/>
        <bgColor theme="4" tint="0.59999389629810485"/>
      </patternFill>
    </fill>
    <fill>
      <patternFill patternType="solid">
        <fgColor rgb="FFFFC000"/>
        <bgColor theme="4" tint="0.79998168889431442"/>
      </patternFill>
    </fill>
    <fill>
      <patternFill patternType="solid">
        <fgColor theme="0" tint="-0.14999847407452621"/>
        <bgColor indexed="64"/>
      </patternFill>
    </fill>
    <fill>
      <patternFill patternType="solid">
        <fgColor rgb="FF92D050"/>
        <bgColor indexed="8"/>
      </patternFill>
    </fill>
    <fill>
      <patternFill patternType="solid">
        <fgColor theme="6"/>
        <bgColor indexed="64"/>
      </patternFill>
    </fill>
    <fill>
      <patternFill patternType="solid">
        <fgColor theme="2"/>
        <bgColor indexed="64"/>
      </patternFill>
    </fill>
    <fill>
      <patternFill patternType="solid">
        <fgColor rgb="FFFFFF00"/>
        <bgColor indexed="64"/>
      </patternFill>
    </fill>
    <fill>
      <patternFill patternType="solid">
        <fgColor theme="2" tint="-9.9978637043366805E-2"/>
        <bgColor indexed="64"/>
      </patternFill>
    </fill>
  </fills>
  <borders count="15">
    <border>
      <left/>
      <right/>
      <top/>
      <bottom/>
      <diagonal/>
    </border>
    <border>
      <left/>
      <right/>
      <top style="double">
        <color indexed="8"/>
      </top>
      <bottom/>
      <diagonal/>
    </border>
    <border>
      <left style="thin">
        <color theme="0"/>
      </left>
      <right style="thin">
        <color theme="0"/>
      </right>
      <top/>
      <bottom style="thick">
        <color theme="0"/>
      </bottom>
      <diagonal/>
    </border>
    <border>
      <left style="thin">
        <color theme="0"/>
      </left>
      <right/>
      <top/>
      <bottom style="thick">
        <color theme="0"/>
      </bottom>
      <diagonal/>
    </border>
    <border>
      <left/>
      <right style="thin">
        <color theme="0"/>
      </right>
      <top/>
      <bottom style="thick">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right/>
      <top/>
      <bottom style="thick">
        <color theme="0"/>
      </bottom>
      <diagonal/>
    </border>
    <border>
      <left/>
      <right style="thin">
        <color theme="0"/>
      </right>
      <top/>
      <bottom/>
      <diagonal/>
    </border>
    <border>
      <left style="thin">
        <color theme="0"/>
      </left>
      <right style="thin">
        <color theme="0"/>
      </right>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s>
  <cellStyleXfs count="14">
    <xf numFmtId="0" fontId="0" fillId="0" borderId="0">
      <alignment vertical="top"/>
    </xf>
    <xf numFmtId="0" fontId="25" fillId="0" borderId="0" applyNumberFormat="0" applyFill="0" applyBorder="0" applyAlignment="0" applyProtection="0"/>
    <xf numFmtId="0" fontId="26" fillId="0" borderId="0" applyNumberFormat="0" applyFill="0" applyBorder="0" applyAlignment="0" applyProtection="0"/>
    <xf numFmtId="0" fontId="30" fillId="0" borderId="0" applyFont="0" applyFill="0" applyBorder="0" applyAlignment="0" applyProtection="0"/>
    <xf numFmtId="2" fontId="30" fillId="0" borderId="0" applyFont="0" applyFill="0" applyBorder="0" applyAlignment="0" applyProtection="0"/>
    <xf numFmtId="4" fontId="30" fillId="0" borderId="0" applyFont="0" applyFill="0" applyBorder="0" applyAlignment="0" applyProtection="0"/>
    <xf numFmtId="165" fontId="30" fillId="0" borderId="0" applyFont="0" applyFill="0" applyBorder="0" applyAlignment="0" applyProtection="0"/>
    <xf numFmtId="164" fontId="30" fillId="0" borderId="0" applyFont="0" applyFill="0" applyBorder="0" applyAlignment="0" applyProtection="0"/>
    <xf numFmtId="10" fontId="30" fillId="0" borderId="0" applyFont="0" applyFill="0" applyBorder="0" applyAlignment="0" applyProtection="0"/>
    <xf numFmtId="3" fontId="30" fillId="0" borderId="0" applyFont="0" applyFill="0" applyBorder="0" applyAlignment="0" applyProtection="0"/>
    <xf numFmtId="0" fontId="30" fillId="0" borderId="1" applyNumberFormat="0" applyFont="0" applyFill="0" applyAlignment="0" applyProtection="0"/>
    <xf numFmtId="0" fontId="24" fillId="0" borderId="0"/>
    <xf numFmtId="0" fontId="30" fillId="0" borderId="0" applyNumberFormat="0" applyFont="0" applyFill="0" applyBorder="0" applyAlignment="0" applyProtection="0"/>
    <xf numFmtId="0" fontId="34" fillId="8" borderId="0" applyNumberFormat="0" applyBorder="0" applyAlignment="0" applyProtection="0"/>
  </cellStyleXfs>
  <cellXfs count="299">
    <xf numFmtId="0" fontId="0" fillId="0" borderId="0" xfId="0" applyAlignment="1"/>
    <xf numFmtId="0" fontId="27" fillId="0" borderId="0" xfId="0" applyFont="1" applyAlignment="1">
      <alignment vertical="center"/>
    </xf>
    <xf numFmtId="0" fontId="26" fillId="0" borderId="0" xfId="0" applyFont="1" applyAlignment="1">
      <alignment vertical="center"/>
    </xf>
    <xf numFmtId="0" fontId="26" fillId="0" borderId="0" xfId="0" applyFont="1" applyAlignment="1">
      <alignment horizontal="center" vertical="center"/>
    </xf>
    <xf numFmtId="0" fontId="31" fillId="0" borderId="0" xfId="0" applyFont="1" applyAlignment="1">
      <alignment vertical="center"/>
    </xf>
    <xf numFmtId="0" fontId="31" fillId="2" borderId="0" xfId="0" applyFont="1" applyFill="1" applyAlignment="1">
      <alignment horizontal="center" vertical="center"/>
    </xf>
    <xf numFmtId="0" fontId="31" fillId="2" borderId="0" xfId="0" applyFont="1" applyFill="1" applyAlignment="1">
      <alignment horizontal="left" vertical="center"/>
    </xf>
    <xf numFmtId="0" fontId="31" fillId="2" borderId="0" xfId="0" applyFont="1" applyFill="1" applyAlignment="1">
      <alignment vertical="center"/>
    </xf>
    <xf numFmtId="0" fontId="31" fillId="0" borderId="0" xfId="0" applyFont="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0" fontId="0" fillId="0" borderId="0" xfId="0" applyAlignment="1">
      <alignment horizontal="left" vertical="center"/>
    </xf>
    <xf numFmtId="0" fontId="36" fillId="0" borderId="0" xfId="0" applyFont="1" applyAlignment="1">
      <alignment horizontal="center" vertical="top" wrapText="1"/>
    </xf>
    <xf numFmtId="0" fontId="37" fillId="2" borderId="0" xfId="0" applyFont="1" applyFill="1" applyAlignment="1">
      <alignment horizontal="center" vertical="top" wrapText="1"/>
    </xf>
    <xf numFmtId="0" fontId="37" fillId="0" borderId="0" xfId="0" applyFont="1" applyAlignment="1">
      <alignment horizontal="center" vertical="top" wrapText="1"/>
    </xf>
    <xf numFmtId="10" fontId="37" fillId="0" borderId="0" xfId="8" applyFont="1" applyFill="1" applyBorder="1" applyAlignment="1">
      <alignment horizontal="center" vertical="center"/>
    </xf>
    <xf numFmtId="3" fontId="37" fillId="0" borderId="0" xfId="0" applyNumberFormat="1" applyFont="1" applyAlignment="1">
      <alignment horizontal="center" vertical="center"/>
    </xf>
    <xf numFmtId="3" fontId="37" fillId="2" borderId="0" xfId="0" applyNumberFormat="1" applyFont="1" applyFill="1" applyAlignment="1">
      <alignment horizontal="center" vertical="center"/>
    </xf>
    <xf numFmtId="0" fontId="37" fillId="0" borderId="0" xfId="0" applyFont="1" applyAlignment="1">
      <alignment vertical="center"/>
    </xf>
    <xf numFmtId="3" fontId="37" fillId="0" borderId="0" xfId="0" applyNumberFormat="1" applyFont="1" applyAlignment="1">
      <alignment horizontal="left" vertical="center"/>
    </xf>
    <xf numFmtId="0" fontId="37" fillId="0" borderId="0" xfId="0" applyFont="1" applyAlignment="1">
      <alignment horizontal="left" vertical="center" wrapText="1"/>
    </xf>
    <xf numFmtId="0" fontId="37" fillId="0" borderId="0" xfId="0" applyFont="1" applyAlignment="1">
      <alignment horizontal="left" vertical="center"/>
    </xf>
    <xf numFmtId="0" fontId="36" fillId="6" borderId="4" xfId="0" applyFont="1" applyFill="1" applyBorder="1" applyAlignment="1">
      <alignment horizontal="center" vertical="top" wrapText="1"/>
    </xf>
    <xf numFmtId="0" fontId="36" fillId="6" borderId="2" xfId="0" applyFont="1" applyFill="1" applyBorder="1" applyAlignment="1">
      <alignment horizontal="center" vertical="top" wrapText="1"/>
    </xf>
    <xf numFmtId="0" fontId="36" fillId="6" borderId="3" xfId="0" applyFont="1" applyFill="1" applyBorder="1" applyAlignment="1">
      <alignment horizontal="center" vertical="top" wrapText="1"/>
    </xf>
    <xf numFmtId="3" fontId="37" fillId="4" borderId="0" xfId="0" applyNumberFormat="1" applyFont="1" applyFill="1" applyAlignment="1">
      <alignment horizontal="center" vertical="center"/>
    </xf>
    <xf numFmtId="3" fontId="37" fillId="0" borderId="0" xfId="8" applyNumberFormat="1" applyFont="1" applyFill="1" applyBorder="1" applyAlignment="1">
      <alignment horizontal="center" vertical="center"/>
    </xf>
    <xf numFmtId="167" fontId="36" fillId="6" borderId="2" xfId="0" applyNumberFormat="1" applyFont="1" applyFill="1" applyBorder="1" applyAlignment="1">
      <alignment horizontal="center" vertical="top" wrapText="1"/>
    </xf>
    <xf numFmtId="3" fontId="36" fillId="0" borderId="0" xfId="0" applyNumberFormat="1" applyFont="1" applyAlignment="1">
      <alignment horizontal="center" vertical="top" wrapText="1"/>
    </xf>
    <xf numFmtId="0" fontId="36" fillId="0" borderId="9" xfId="0" applyFont="1" applyBorder="1" applyAlignment="1">
      <alignment horizontal="center" vertical="top" wrapText="1"/>
    </xf>
    <xf numFmtId="3" fontId="37" fillId="9" borderId="0" xfId="0" applyNumberFormat="1" applyFont="1" applyFill="1" applyAlignment="1">
      <alignment horizontal="center" vertical="center"/>
    </xf>
    <xf numFmtId="3" fontId="37" fillId="9" borderId="0" xfId="0" applyNumberFormat="1" applyFont="1" applyFill="1" applyAlignment="1">
      <alignment horizontal="left" vertical="center"/>
    </xf>
    <xf numFmtId="3" fontId="37" fillId="0" borderId="0" xfId="5" applyNumberFormat="1" applyFont="1" applyFill="1" applyBorder="1" applyAlignment="1">
      <alignment horizontal="center" vertical="center"/>
    </xf>
    <xf numFmtId="167" fontId="37" fillId="0" borderId="0" xfId="0" applyNumberFormat="1" applyFont="1" applyAlignment="1">
      <alignment horizontal="center" vertical="center"/>
    </xf>
    <xf numFmtId="167" fontId="37" fillId="0" borderId="0" xfId="8" applyNumberFormat="1" applyFont="1" applyFill="1" applyBorder="1" applyAlignment="1">
      <alignment horizontal="center" vertical="center"/>
    </xf>
    <xf numFmtId="3" fontId="38" fillId="0" borderId="0" xfId="0" applyNumberFormat="1" applyFont="1" applyAlignment="1">
      <alignment horizontal="center" vertical="center"/>
    </xf>
    <xf numFmtId="0" fontId="29" fillId="0" borderId="0" xfId="0" applyFont="1" applyAlignment="1">
      <alignment vertical="center"/>
    </xf>
    <xf numFmtId="0" fontId="29" fillId="0" borderId="0" xfId="0" applyFont="1" applyAlignment="1">
      <alignment horizontal="center" vertical="center"/>
    </xf>
    <xf numFmtId="0" fontId="28" fillId="0" borderId="0" xfId="0" applyFont="1" applyAlignment="1">
      <alignment vertical="center"/>
    </xf>
    <xf numFmtId="0" fontId="27" fillId="0" borderId="0" xfId="0" applyFont="1" applyAlignment="1">
      <alignment horizontal="center" vertical="center"/>
    </xf>
    <xf numFmtId="0" fontId="37" fillId="0" borderId="0" xfId="0" applyFont="1" applyAlignment="1">
      <alignment horizontal="center" vertical="center"/>
    </xf>
    <xf numFmtId="4" fontId="37" fillId="0" borderId="0" xfId="0" applyNumberFormat="1" applyFont="1" applyAlignment="1">
      <alignment horizontal="center" vertical="center"/>
    </xf>
    <xf numFmtId="10" fontId="37" fillId="9" borderId="0" xfId="8" applyFont="1" applyFill="1" applyBorder="1" applyAlignment="1">
      <alignment horizontal="center" vertical="center"/>
    </xf>
    <xf numFmtId="3" fontId="37" fillId="9" borderId="0" xfId="8" applyNumberFormat="1" applyFont="1" applyFill="1" applyBorder="1" applyAlignment="1">
      <alignment horizontal="center" vertical="center"/>
    </xf>
    <xf numFmtId="10" fontId="37" fillId="0" borderId="0" xfId="0" applyNumberFormat="1" applyFont="1" applyAlignment="1">
      <alignment horizontal="center" vertical="center"/>
    </xf>
    <xf numFmtId="3" fontId="37" fillId="0" borderId="0" xfId="0" applyNumberFormat="1" applyFont="1" applyAlignment="1">
      <alignment vertical="center"/>
    </xf>
    <xf numFmtId="0" fontId="0" fillId="0" borderId="0" xfId="0" applyAlignment="1">
      <alignment vertical="center"/>
    </xf>
    <xf numFmtId="4" fontId="27" fillId="0" borderId="0" xfId="5" applyFont="1" applyFill="1" applyBorder="1" applyAlignment="1">
      <alignment horizontal="center" vertical="center"/>
    </xf>
    <xf numFmtId="0" fontId="29" fillId="2" borderId="0" xfId="0" applyFont="1" applyFill="1" applyAlignment="1">
      <alignment vertical="center"/>
    </xf>
    <xf numFmtId="0" fontId="28" fillId="2" borderId="0" xfId="0" applyFont="1" applyFill="1" applyAlignment="1">
      <alignment vertical="center"/>
    </xf>
    <xf numFmtId="0" fontId="27" fillId="2" borderId="0" xfId="0" applyFont="1" applyFill="1" applyAlignment="1">
      <alignment horizontal="center" vertical="center"/>
    </xf>
    <xf numFmtId="0" fontId="27" fillId="2" borderId="0" xfId="0" applyFont="1" applyFill="1" applyAlignment="1">
      <alignment vertical="center"/>
    </xf>
    <xf numFmtId="3" fontId="37" fillId="3" borderId="0" xfId="0" applyNumberFormat="1" applyFont="1" applyFill="1" applyAlignment="1">
      <alignment horizontal="center" vertical="center"/>
    </xf>
    <xf numFmtId="0" fontId="29" fillId="0" borderId="0" xfId="0" applyFont="1" applyAlignment="1">
      <alignment horizontal="left" vertical="center"/>
    </xf>
    <xf numFmtId="0" fontId="29" fillId="2" borderId="0" xfId="0" applyFont="1" applyFill="1" applyAlignment="1">
      <alignment horizontal="center" vertical="center"/>
    </xf>
    <xf numFmtId="0" fontId="28" fillId="2" borderId="0" xfId="0" applyFont="1" applyFill="1" applyAlignment="1">
      <alignment horizontal="left" vertical="center"/>
    </xf>
    <xf numFmtId="0" fontId="37" fillId="0" borderId="0" xfId="0" applyFont="1" applyAlignment="1">
      <alignment horizontal="right" vertical="center"/>
    </xf>
    <xf numFmtId="166" fontId="37" fillId="0" borderId="0" xfId="0" applyNumberFormat="1" applyFont="1" applyAlignment="1">
      <alignment horizontal="center" vertical="center"/>
    </xf>
    <xf numFmtId="166" fontId="37" fillId="0" borderId="0" xfId="8" applyNumberFormat="1" applyFont="1" applyFill="1" applyBorder="1" applyAlignment="1">
      <alignment horizontal="center" vertical="center"/>
    </xf>
    <xf numFmtId="4" fontId="37" fillId="0" borderId="0" xfId="5" applyFont="1" applyFill="1" applyBorder="1" applyAlignment="1">
      <alignment horizontal="center" vertical="center"/>
    </xf>
    <xf numFmtId="4" fontId="37" fillId="0" borderId="0" xfId="5" applyFont="1" applyFill="1" applyBorder="1" applyAlignment="1">
      <alignment vertical="center"/>
    </xf>
    <xf numFmtId="10" fontId="37" fillId="0" borderId="0" xfId="8" applyFont="1" applyAlignment="1">
      <alignment horizontal="center" vertical="center"/>
    </xf>
    <xf numFmtId="3" fontId="37" fillId="0" borderId="0" xfId="5" applyNumberFormat="1" applyFont="1" applyAlignment="1">
      <alignment horizontal="center" vertical="center"/>
    </xf>
    <xf numFmtId="167" fontId="37" fillId="0" borderId="0" xfId="5" applyNumberFormat="1" applyFont="1" applyAlignment="1">
      <alignment horizontal="center" vertical="center"/>
    </xf>
    <xf numFmtId="10" fontId="37" fillId="0" borderId="0" xfId="8" applyFont="1" applyAlignment="1">
      <alignment vertical="center"/>
    </xf>
    <xf numFmtId="0" fontId="37" fillId="0" borderId="0" xfId="0" applyFont="1">
      <alignment vertical="top"/>
    </xf>
    <xf numFmtId="0" fontId="37" fillId="0" borderId="0" xfId="0" applyFont="1" applyAlignment="1">
      <alignment horizontal="center" vertical="top"/>
    </xf>
    <xf numFmtId="0" fontId="39" fillId="12" borderId="0" xfId="0" applyFont="1" applyFill="1" applyAlignment="1">
      <alignment horizontal="right" vertical="center"/>
    </xf>
    <xf numFmtId="14" fontId="39" fillId="12" borderId="0" xfId="0" applyNumberFormat="1" applyFont="1" applyFill="1" applyAlignment="1">
      <alignment horizontal="left" vertical="center"/>
    </xf>
    <xf numFmtId="3" fontId="37" fillId="14" borderId="0" xfId="0" applyNumberFormat="1" applyFont="1" applyFill="1" applyAlignment="1">
      <alignment horizontal="center" vertical="center"/>
    </xf>
    <xf numFmtId="0" fontId="26" fillId="0" borderId="0" xfId="0" applyFont="1" applyAlignment="1"/>
    <xf numFmtId="0" fontId="26" fillId="0" borderId="0" xfId="0" applyFont="1" applyAlignment="1">
      <alignment horizontal="center" vertical="center" wrapText="1"/>
    </xf>
    <xf numFmtId="0" fontId="37" fillId="0" borderId="0" xfId="0" applyFont="1" applyAlignment="1">
      <alignment horizontal="center"/>
    </xf>
    <xf numFmtId="0" fontId="41" fillId="0" borderId="0" xfId="0" applyFont="1" applyAlignment="1">
      <alignment vertical="center"/>
    </xf>
    <xf numFmtId="0" fontId="37" fillId="0" borderId="0" xfId="0" applyFont="1" applyAlignment="1">
      <alignment horizontal="center" vertical="center" wrapText="1"/>
    </xf>
    <xf numFmtId="0" fontId="40" fillId="0" borderId="0" xfId="0" applyFont="1" applyAlignment="1">
      <alignment vertical="center"/>
    </xf>
    <xf numFmtId="0" fontId="37" fillId="15" borderId="0" xfId="0" applyFont="1" applyFill="1" applyAlignment="1">
      <alignment horizontal="center" vertical="center" wrapText="1"/>
    </xf>
    <xf numFmtId="0" fontId="37" fillId="15" borderId="0" xfId="0" applyFont="1" applyFill="1" applyAlignment="1">
      <alignment vertical="center" wrapText="1"/>
    </xf>
    <xf numFmtId="0" fontId="23" fillId="7" borderId="6" xfId="0" applyFont="1" applyFill="1" applyBorder="1" applyAlignment="1">
      <alignment vertical="center"/>
    </xf>
    <xf numFmtId="0" fontId="23" fillId="7" borderId="5" xfId="0" applyFont="1" applyFill="1" applyBorder="1" applyAlignment="1">
      <alignment horizontal="left" vertical="center"/>
    </xf>
    <xf numFmtId="0" fontId="23" fillId="5" borderId="6" xfId="0" applyFont="1" applyFill="1" applyBorder="1" applyAlignment="1">
      <alignment vertical="center"/>
    </xf>
    <xf numFmtId="0" fontId="23" fillId="5" borderId="5" xfId="0" applyFont="1" applyFill="1" applyBorder="1" applyAlignment="1">
      <alignment horizontal="left" vertical="center"/>
    </xf>
    <xf numFmtId="0" fontId="23" fillId="0" borderId="0" xfId="0" applyFont="1" applyAlignment="1">
      <alignment vertical="center"/>
    </xf>
    <xf numFmtId="0" fontId="23" fillId="0" borderId="0" xfId="0" applyFont="1" applyAlignment="1">
      <alignment horizontal="left" vertical="center"/>
    </xf>
    <xf numFmtId="0" fontId="23" fillId="0" borderId="6" xfId="0" applyFont="1" applyBorder="1" applyAlignment="1">
      <alignment vertical="center"/>
    </xf>
    <xf numFmtId="0" fontId="23" fillId="0" borderId="5" xfId="0" applyFont="1" applyBorder="1" applyAlignment="1">
      <alignment horizontal="left" vertical="center"/>
    </xf>
    <xf numFmtId="0" fontId="23" fillId="0" borderId="8" xfId="0" applyFont="1" applyBorder="1" applyAlignment="1">
      <alignment vertical="center"/>
    </xf>
    <xf numFmtId="0" fontId="23" fillId="0" borderId="7" xfId="0" applyFont="1" applyBorder="1" applyAlignment="1">
      <alignment horizontal="left" vertical="center"/>
    </xf>
    <xf numFmtId="0" fontId="23" fillId="7" borderId="8" xfId="0" applyFont="1" applyFill="1" applyBorder="1" applyAlignment="1">
      <alignment vertical="center"/>
    </xf>
    <xf numFmtId="0" fontId="23" fillId="7" borderId="7" xfId="0" applyFont="1" applyFill="1" applyBorder="1" applyAlignment="1">
      <alignment horizontal="left" vertical="center"/>
    </xf>
    <xf numFmtId="0" fontId="23" fillId="10" borderId="6" xfId="0" applyFont="1" applyFill="1" applyBorder="1" applyAlignment="1">
      <alignment vertical="center"/>
    </xf>
    <xf numFmtId="0" fontId="23" fillId="10" borderId="5" xfId="0" applyFont="1" applyFill="1" applyBorder="1" applyAlignment="1">
      <alignment horizontal="left" vertical="center"/>
    </xf>
    <xf numFmtId="0" fontId="23" fillId="11" borderId="6" xfId="0" applyFont="1" applyFill="1" applyBorder="1" applyAlignment="1">
      <alignment vertical="center"/>
    </xf>
    <xf numFmtId="0" fontId="23" fillId="11" borderId="5" xfId="0" applyFont="1" applyFill="1" applyBorder="1" applyAlignment="1">
      <alignment horizontal="left" vertical="center"/>
    </xf>
    <xf numFmtId="0" fontId="23" fillId="7" borderId="0" xfId="0" applyFont="1" applyFill="1" applyAlignment="1">
      <alignment vertical="center"/>
    </xf>
    <xf numFmtId="0" fontId="23" fillId="7" borderId="0" xfId="0" applyFont="1" applyFill="1" applyAlignment="1">
      <alignment horizontal="left" vertical="center"/>
    </xf>
    <xf numFmtId="0" fontId="23" fillId="5" borderId="0" xfId="0" applyFont="1" applyFill="1" applyAlignment="1">
      <alignment vertical="center"/>
    </xf>
    <xf numFmtId="0" fontId="23" fillId="5" borderId="0" xfId="0" applyFont="1" applyFill="1" applyAlignment="1">
      <alignment horizontal="left" vertical="center"/>
    </xf>
    <xf numFmtId="3" fontId="38" fillId="0" borderId="0" xfId="0" applyNumberFormat="1" applyFont="1" applyAlignment="1">
      <alignment vertical="center"/>
    </xf>
    <xf numFmtId="3" fontId="38" fillId="13" borderId="0" xfId="0" applyNumberFormat="1" applyFont="1" applyFill="1" applyAlignment="1">
      <alignment vertical="center"/>
    </xf>
    <xf numFmtId="168" fontId="38" fillId="0" borderId="0" xfId="0" applyNumberFormat="1" applyFont="1" applyAlignment="1">
      <alignment horizontal="center" vertical="center"/>
    </xf>
    <xf numFmtId="168" fontId="38" fillId="13" borderId="0" xfId="0" applyNumberFormat="1" applyFont="1" applyFill="1" applyAlignment="1">
      <alignment horizontal="center" vertical="center"/>
    </xf>
    <xf numFmtId="3" fontId="42" fillId="0" borderId="0" xfId="0" applyNumberFormat="1" applyFont="1" applyAlignment="1">
      <alignment vertical="center"/>
    </xf>
    <xf numFmtId="168" fontId="42" fillId="0" borderId="0" xfId="0" applyNumberFormat="1" applyFont="1" applyAlignment="1">
      <alignment horizontal="center" vertical="center"/>
    </xf>
    <xf numFmtId="0" fontId="40" fillId="0" borderId="0" xfId="0" applyFont="1" applyAlignment="1">
      <alignment horizontal="left" vertical="center"/>
    </xf>
    <xf numFmtId="0" fontId="22" fillId="0" borderId="0" xfId="0" applyFont="1" applyAlignment="1">
      <alignment vertical="center"/>
    </xf>
    <xf numFmtId="0" fontId="22" fillId="0" borderId="0" xfId="0" applyFont="1" applyAlignment="1">
      <alignment horizontal="left" vertical="center"/>
    </xf>
    <xf numFmtId="0" fontId="21" fillId="0" borderId="0" xfId="0" applyFont="1" applyAlignment="1">
      <alignment vertical="center"/>
    </xf>
    <xf numFmtId="0" fontId="21" fillId="0" borderId="0" xfId="0" applyFont="1" applyAlignment="1">
      <alignment horizontal="left" vertical="center"/>
    </xf>
    <xf numFmtId="0" fontId="22" fillId="0" borderId="8" xfId="0" applyFont="1" applyBorder="1" applyAlignment="1">
      <alignment vertical="center"/>
    </xf>
    <xf numFmtId="0" fontId="22" fillId="0" borderId="7" xfId="0" applyFont="1" applyBorder="1" applyAlignment="1">
      <alignment horizontal="left" vertical="center"/>
    </xf>
    <xf numFmtId="0" fontId="21" fillId="0" borderId="8" xfId="0" applyFont="1" applyBorder="1" applyAlignment="1">
      <alignment vertical="center"/>
    </xf>
    <xf numFmtId="0" fontId="21" fillId="0" borderId="7" xfId="0" applyFont="1" applyBorder="1" applyAlignment="1">
      <alignment horizontal="left" vertical="center"/>
    </xf>
    <xf numFmtId="0" fontId="43" fillId="0" borderId="0" xfId="0" applyFont="1" applyAlignment="1">
      <alignment vertical="center"/>
    </xf>
    <xf numFmtId="0" fontId="44" fillId="0" borderId="0" xfId="0" applyFont="1" applyAlignment="1">
      <alignment vertical="center"/>
    </xf>
    <xf numFmtId="0" fontId="45" fillId="0" borderId="0" xfId="0" applyFont="1" applyAlignment="1">
      <alignment vertical="center"/>
    </xf>
    <xf numFmtId="0" fontId="44" fillId="0" borderId="0" xfId="0" applyFont="1">
      <alignment vertical="top"/>
    </xf>
    <xf numFmtId="0" fontId="31" fillId="0" borderId="0" xfId="0" applyFont="1" applyAlignment="1">
      <alignment horizontal="center" vertical="top"/>
    </xf>
    <xf numFmtId="0" fontId="31" fillId="0" borderId="0" xfId="0" applyFont="1" applyAlignment="1">
      <alignment horizontal="left" vertical="top" wrapText="1"/>
    </xf>
    <xf numFmtId="0" fontId="31" fillId="0" borderId="0" xfId="0" applyFont="1">
      <alignment vertical="top"/>
    </xf>
    <xf numFmtId="0" fontId="20" fillId="7" borderId="8" xfId="0" applyFont="1" applyFill="1" applyBorder="1" applyAlignment="1">
      <alignment vertical="center"/>
    </xf>
    <xf numFmtId="0" fontId="20" fillId="7" borderId="7" xfId="0" applyFont="1" applyFill="1" applyBorder="1" applyAlignment="1">
      <alignment horizontal="left" vertical="center"/>
    </xf>
    <xf numFmtId="0" fontId="20" fillId="7" borderId="0" xfId="0" applyFont="1" applyFill="1" applyAlignment="1">
      <alignment vertical="center"/>
    </xf>
    <xf numFmtId="0" fontId="20" fillId="7" borderId="0" xfId="0" applyFont="1" applyFill="1" applyAlignment="1">
      <alignment horizontal="left" vertical="center"/>
    </xf>
    <xf numFmtId="0" fontId="20" fillId="0" borderId="0" xfId="0" applyFont="1" applyAlignment="1">
      <alignment vertical="center"/>
    </xf>
    <xf numFmtId="0" fontId="20" fillId="0" borderId="0" xfId="0" applyFont="1" applyAlignment="1">
      <alignment horizontal="left" vertical="center"/>
    </xf>
    <xf numFmtId="3" fontId="37" fillId="16" borderId="0" xfId="0" applyNumberFormat="1" applyFont="1" applyFill="1" applyAlignment="1">
      <alignment horizontal="left" vertical="center"/>
    </xf>
    <xf numFmtId="0" fontId="19" fillId="0" borderId="0" xfId="0" applyFont="1" applyAlignment="1">
      <alignment vertical="center"/>
    </xf>
    <xf numFmtId="0" fontId="19" fillId="0" borderId="0" xfId="0" applyFont="1" applyAlignment="1">
      <alignment horizontal="left" vertical="center"/>
    </xf>
    <xf numFmtId="0" fontId="18" fillId="7" borderId="8" xfId="0" applyFont="1" applyFill="1" applyBorder="1" applyAlignment="1">
      <alignment vertical="center"/>
    </xf>
    <xf numFmtId="0" fontId="18" fillId="7" borderId="7" xfId="0" applyFont="1" applyFill="1" applyBorder="1" applyAlignment="1">
      <alignment horizontal="left" vertical="center"/>
    </xf>
    <xf numFmtId="3" fontId="37" fillId="16" borderId="0" xfId="0" applyNumberFormat="1" applyFont="1" applyFill="1" applyAlignment="1">
      <alignment horizontal="center" vertical="center"/>
    </xf>
    <xf numFmtId="0" fontId="18" fillId="0" borderId="0" xfId="0" applyFont="1" applyAlignment="1">
      <alignment vertical="center"/>
    </xf>
    <xf numFmtId="0" fontId="18" fillId="0" borderId="0" xfId="0" applyFont="1" applyAlignment="1">
      <alignment horizontal="left" vertical="center"/>
    </xf>
    <xf numFmtId="0" fontId="17" fillId="7" borderId="8" xfId="0" applyFont="1" applyFill="1" applyBorder="1" applyAlignment="1">
      <alignment vertical="center"/>
    </xf>
    <xf numFmtId="0" fontId="17" fillId="7" borderId="7" xfId="0" applyFont="1" applyFill="1" applyBorder="1" applyAlignment="1">
      <alignment horizontal="left" vertical="center"/>
    </xf>
    <xf numFmtId="0" fontId="17" fillId="7" borderId="0" xfId="0" applyFont="1" applyFill="1" applyAlignment="1">
      <alignment vertical="center"/>
    </xf>
    <xf numFmtId="0" fontId="17" fillId="7" borderId="0" xfId="0" applyFont="1" applyFill="1" applyAlignment="1">
      <alignment horizontal="left" vertical="center"/>
    </xf>
    <xf numFmtId="0" fontId="17" fillId="0" borderId="0" xfId="0" applyFont="1" applyAlignment="1">
      <alignment vertical="center"/>
    </xf>
    <xf numFmtId="0" fontId="17" fillId="0" borderId="0" xfId="0" applyFont="1" applyAlignment="1">
      <alignment horizontal="left" vertical="center"/>
    </xf>
    <xf numFmtId="10" fontId="48" fillId="0" borderId="0" xfId="0" applyNumberFormat="1" applyFont="1" applyAlignment="1">
      <alignment horizontal="center" vertical="center"/>
    </xf>
    <xf numFmtId="3" fontId="48" fillId="0" borderId="0" xfId="0" applyNumberFormat="1" applyFont="1" applyAlignment="1">
      <alignment horizontal="center" vertical="center"/>
    </xf>
    <xf numFmtId="0" fontId="48" fillId="0" borderId="0" xfId="0" applyFont="1" applyAlignment="1">
      <alignment horizontal="center" vertical="center"/>
    </xf>
    <xf numFmtId="0" fontId="49" fillId="0" borderId="0" xfId="0" applyFont="1" applyAlignment="1">
      <alignment vertical="center"/>
    </xf>
    <xf numFmtId="0" fontId="50"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left" vertical="center"/>
    </xf>
    <xf numFmtId="3" fontId="0" fillId="0" borderId="0" xfId="0" applyNumberFormat="1" applyAlignment="1">
      <alignment vertical="center"/>
    </xf>
    <xf numFmtId="0" fontId="49" fillId="0" borderId="10" xfId="0" applyFont="1" applyBorder="1" applyAlignment="1">
      <alignment vertical="center"/>
    </xf>
    <xf numFmtId="0" fontId="50" fillId="0" borderId="11" xfId="0" applyFont="1" applyBorder="1" applyAlignment="1">
      <alignment horizontal="left" vertical="center"/>
    </xf>
    <xf numFmtId="3" fontId="37" fillId="0" borderId="0" xfId="0" applyNumberFormat="1" applyFont="1" applyAlignment="1">
      <alignment horizontal="left" vertical="top" wrapText="1"/>
    </xf>
    <xf numFmtId="0" fontId="51" fillId="0" borderId="0" xfId="0" applyFont="1" applyAlignment="1">
      <alignment vertical="center"/>
    </xf>
    <xf numFmtId="0" fontId="51" fillId="0" borderId="0" xfId="0" applyFont="1" applyAlignment="1">
      <alignment horizontal="left" vertical="center"/>
    </xf>
    <xf numFmtId="10" fontId="51" fillId="0" borderId="0" xfId="8" applyFont="1" applyFill="1" applyBorder="1" applyAlignment="1">
      <alignment horizontal="center" vertical="center"/>
    </xf>
    <xf numFmtId="3" fontId="51" fillId="0" borderId="0" xfId="8" applyNumberFormat="1" applyFont="1" applyFill="1" applyBorder="1" applyAlignment="1">
      <alignment horizontal="center" vertical="center"/>
    </xf>
    <xf numFmtId="167" fontId="51" fillId="0" borderId="0" xfId="8" applyNumberFormat="1" applyFont="1" applyFill="1" applyBorder="1" applyAlignment="1">
      <alignment horizontal="center" vertical="center"/>
    </xf>
    <xf numFmtId="3" fontId="51" fillId="0" borderId="0" xfId="0" applyNumberFormat="1" applyFont="1" applyAlignment="1">
      <alignment horizontal="center" vertical="center"/>
    </xf>
    <xf numFmtId="0" fontId="52" fillId="0" borderId="0" xfId="0" applyFont="1" applyAlignment="1">
      <alignment vertical="center"/>
    </xf>
    <xf numFmtId="0" fontId="52" fillId="0" borderId="0" xfId="0" applyFont="1" applyAlignment="1">
      <alignment horizontal="left" vertical="center"/>
    </xf>
    <xf numFmtId="0" fontId="52" fillId="0" borderId="8" xfId="0" applyFont="1" applyBorder="1" applyAlignment="1">
      <alignment vertical="center"/>
    </xf>
    <xf numFmtId="0" fontId="52" fillId="0" borderId="7" xfId="0" applyFont="1" applyBorder="1" applyAlignment="1">
      <alignment horizontal="left" vertical="center"/>
    </xf>
    <xf numFmtId="10" fontId="51" fillId="0" borderId="0" xfId="0" applyNumberFormat="1" applyFont="1" applyAlignment="1">
      <alignment horizontal="center" vertical="center"/>
    </xf>
    <xf numFmtId="0" fontId="16" fillId="0" borderId="0" xfId="0" applyFont="1" applyAlignment="1">
      <alignment vertical="center"/>
    </xf>
    <xf numFmtId="0" fontId="16" fillId="0" borderId="0" xfId="0" applyFont="1" applyAlignment="1">
      <alignment horizontal="left" vertical="center"/>
    </xf>
    <xf numFmtId="0" fontId="54" fillId="0" borderId="0" xfId="0" applyFont="1" applyAlignment="1">
      <alignment horizontal="center" vertical="center"/>
    </xf>
    <xf numFmtId="10" fontId="54" fillId="0" borderId="0" xfId="0" applyNumberFormat="1" applyFont="1" applyAlignment="1">
      <alignment horizontal="center" vertical="center"/>
    </xf>
    <xf numFmtId="3" fontId="54" fillId="0" borderId="0" xfId="0" applyNumberFormat="1" applyFont="1" applyAlignment="1">
      <alignment horizontal="center" vertical="center"/>
    </xf>
    <xf numFmtId="0" fontId="53" fillId="0" borderId="0" xfId="0" applyFont="1" applyAlignment="1">
      <alignment vertical="center"/>
    </xf>
    <xf numFmtId="3" fontId="53" fillId="0" borderId="0" xfId="0" applyNumberFormat="1" applyFont="1" applyAlignment="1">
      <alignment horizontal="center" vertical="center"/>
    </xf>
    <xf numFmtId="10" fontId="53" fillId="0" borderId="0" xfId="8" applyFont="1" applyFill="1" applyBorder="1" applyAlignment="1">
      <alignment horizontal="center" vertical="center"/>
    </xf>
    <xf numFmtId="0" fontId="53" fillId="0" borderId="0" xfId="0" applyFont="1" applyAlignment="1">
      <alignment horizontal="left" vertical="center"/>
    </xf>
    <xf numFmtId="3" fontId="53" fillId="0" borderId="0" xfId="8" applyNumberFormat="1" applyFont="1" applyFill="1" applyBorder="1" applyAlignment="1">
      <alignment horizontal="center" vertical="center"/>
    </xf>
    <xf numFmtId="167" fontId="53" fillId="0" borderId="0" xfId="8" applyNumberFormat="1" applyFont="1" applyFill="1" applyBorder="1" applyAlignment="1">
      <alignment horizontal="center" vertical="center"/>
    </xf>
    <xf numFmtId="0" fontId="55" fillId="7" borderId="0" xfId="0" applyFont="1" applyFill="1" applyAlignment="1">
      <alignment vertical="center"/>
    </xf>
    <xf numFmtId="0" fontId="55" fillId="7" borderId="0" xfId="0" applyFont="1" applyFill="1" applyAlignment="1">
      <alignment horizontal="left" vertical="center"/>
    </xf>
    <xf numFmtId="0" fontId="55" fillId="0" borderId="0" xfId="0" applyFont="1" applyAlignment="1">
      <alignment vertical="center"/>
    </xf>
    <xf numFmtId="0" fontId="55" fillId="0" borderId="0" xfId="0" applyFont="1" applyAlignment="1">
      <alignment horizontal="left" vertical="center"/>
    </xf>
    <xf numFmtId="0" fontId="55" fillId="0" borderId="8" xfId="0" applyFont="1" applyBorder="1" applyAlignment="1">
      <alignment vertical="center"/>
    </xf>
    <xf numFmtId="0" fontId="55" fillId="0" borderId="7" xfId="0" applyFont="1" applyBorder="1" applyAlignment="1">
      <alignment horizontal="left" vertical="center"/>
    </xf>
    <xf numFmtId="10" fontId="53" fillId="0" borderId="0" xfId="0" applyNumberFormat="1" applyFont="1" applyAlignment="1">
      <alignment horizontal="center" vertical="center"/>
    </xf>
    <xf numFmtId="10" fontId="53" fillId="0" borderId="0" xfId="8" applyFont="1" applyAlignment="1">
      <alignment horizontal="center" vertical="center"/>
    </xf>
    <xf numFmtId="3" fontId="53" fillId="0" borderId="0" xfId="5" applyNumberFormat="1" applyFont="1" applyAlignment="1">
      <alignment horizontal="center" vertical="center"/>
    </xf>
    <xf numFmtId="167" fontId="53" fillId="0" borderId="0" xfId="5" applyNumberFormat="1" applyFont="1" applyAlignment="1">
      <alignment horizontal="center" vertical="center"/>
    </xf>
    <xf numFmtId="0" fontId="56" fillId="0" borderId="0" xfId="0" applyFont="1" applyAlignment="1"/>
    <xf numFmtId="0" fontId="57" fillId="0" borderId="0" xfId="0" applyFont="1" applyAlignment="1">
      <alignment vertical="center"/>
    </xf>
    <xf numFmtId="0" fontId="58" fillId="0" borderId="0" xfId="0" applyFont="1" applyAlignment="1">
      <alignment vertical="center"/>
    </xf>
    <xf numFmtId="3" fontId="26" fillId="0" borderId="0" xfId="0" applyNumberFormat="1" applyFont="1" applyAlignment="1"/>
    <xf numFmtId="0" fontId="26" fillId="0" borderId="0" xfId="0" pivotButton="1" applyFont="1" applyAlignment="1">
      <alignment horizontal="center" vertical="center" wrapText="1"/>
    </xf>
    <xf numFmtId="0" fontId="26" fillId="0" borderId="0" xfId="0" applyFont="1" applyAlignment="1">
      <alignment horizontal="left"/>
    </xf>
    <xf numFmtId="10" fontId="26" fillId="0" borderId="0" xfId="0" applyNumberFormat="1" applyFont="1" applyAlignment="1"/>
    <xf numFmtId="0" fontId="15" fillId="0" borderId="0" xfId="0" applyFont="1" applyAlignment="1">
      <alignment vertical="center"/>
    </xf>
    <xf numFmtId="0" fontId="15" fillId="0" borderId="0" xfId="0" applyFont="1" applyAlignment="1">
      <alignment horizontal="left" vertical="center"/>
    </xf>
    <xf numFmtId="3" fontId="26" fillId="0" borderId="0" xfId="0" applyNumberFormat="1" applyFont="1" applyAlignment="1">
      <alignment horizontal="left"/>
    </xf>
    <xf numFmtId="3" fontId="26" fillId="0" borderId="0" xfId="0" pivotButton="1" applyNumberFormat="1" applyFont="1" applyAlignment="1">
      <alignment horizontal="center" vertical="center" wrapText="1"/>
    </xf>
    <xf numFmtId="3" fontId="26" fillId="0" borderId="0" xfId="0" applyNumberFormat="1" applyFont="1" applyAlignment="1">
      <alignment horizontal="center" vertical="center" wrapText="1"/>
    </xf>
    <xf numFmtId="10" fontId="26" fillId="0" borderId="0" xfId="0" applyNumberFormat="1" applyFont="1" applyAlignment="1">
      <alignment horizontal="center" vertical="center"/>
    </xf>
    <xf numFmtId="166" fontId="26" fillId="0" borderId="0" xfId="0" applyNumberFormat="1" applyFont="1" applyAlignment="1">
      <alignment horizontal="center" vertical="center"/>
    </xf>
    <xf numFmtId="3" fontId="26" fillId="0" borderId="0" xfId="0" applyNumberFormat="1" applyFont="1" applyAlignment="1">
      <alignment horizontal="center" vertical="center"/>
    </xf>
    <xf numFmtId="0" fontId="56" fillId="0" borderId="0" xfId="0" applyFont="1" applyAlignment="1">
      <alignment vertical="center"/>
    </xf>
    <xf numFmtId="0" fontId="14" fillId="7" borderId="0" xfId="0" applyFont="1" applyFill="1" applyAlignment="1">
      <alignment vertical="center"/>
    </xf>
    <xf numFmtId="0" fontId="14" fillId="7" borderId="0" xfId="0" applyFont="1" applyFill="1" applyAlignment="1">
      <alignment horizontal="left" vertical="center"/>
    </xf>
    <xf numFmtId="0" fontId="14" fillId="0" borderId="0" xfId="0" applyFont="1" applyAlignment="1">
      <alignment vertical="center"/>
    </xf>
    <xf numFmtId="0" fontId="14" fillId="0" borderId="0" xfId="0" applyFont="1" applyAlignment="1">
      <alignment horizontal="left" vertical="center"/>
    </xf>
    <xf numFmtId="0" fontId="13" fillId="0" borderId="0" xfId="0" applyFont="1" applyAlignment="1">
      <alignment vertical="center"/>
    </xf>
    <xf numFmtId="0" fontId="13" fillId="0" borderId="0" xfId="0" applyFont="1" applyAlignment="1">
      <alignment horizontal="left" vertical="center"/>
    </xf>
    <xf numFmtId="0" fontId="37" fillId="0" borderId="0" xfId="0" applyFont="1" applyAlignment="1">
      <alignment horizontal="left" vertical="top" wrapText="1"/>
    </xf>
    <xf numFmtId="0" fontId="12" fillId="0" borderId="0" xfId="0" applyFont="1" applyAlignment="1">
      <alignment horizontal="left" vertical="center"/>
    </xf>
    <xf numFmtId="0" fontId="11" fillId="0" borderId="0" xfId="0" applyFont="1" applyAlignment="1">
      <alignment horizontal="left" vertical="center"/>
    </xf>
    <xf numFmtId="10" fontId="37" fillId="0" borderId="0" xfId="8" applyFont="1" applyFill="1" applyAlignment="1">
      <alignment horizontal="center" vertical="center"/>
    </xf>
    <xf numFmtId="3" fontId="37" fillId="0" borderId="0" xfId="8" applyNumberFormat="1" applyFont="1" applyFill="1" applyAlignment="1">
      <alignment horizontal="center" vertical="center"/>
    </xf>
    <xf numFmtId="0" fontId="11" fillId="0" borderId="0" xfId="0" applyFont="1" applyAlignment="1">
      <alignment vertical="center"/>
    </xf>
    <xf numFmtId="0" fontId="37" fillId="0" borderId="0" xfId="0" pivotButton="1" applyFont="1" applyAlignment="1"/>
    <xf numFmtId="0" fontId="37" fillId="0" borderId="0" xfId="0" applyFont="1" applyAlignment="1">
      <alignment horizontal="left"/>
    </xf>
    <xf numFmtId="3" fontId="37" fillId="0" borderId="0" xfId="0" applyNumberFormat="1" applyFont="1" applyAlignment="1"/>
    <xf numFmtId="10" fontId="37" fillId="0" borderId="0" xfId="0" applyNumberFormat="1" applyFont="1" applyAlignment="1"/>
    <xf numFmtId="0" fontId="37" fillId="0" borderId="0" xfId="0" applyFont="1" applyAlignment="1">
      <alignment horizontal="left" indent="1"/>
    </xf>
    <xf numFmtId="0" fontId="37" fillId="0" borderId="0" xfId="0" applyFont="1" applyFill="1" applyAlignment="1">
      <alignment vertical="center"/>
    </xf>
    <xf numFmtId="3" fontId="37" fillId="0" borderId="0" xfId="0" applyNumberFormat="1" applyFont="1" applyFill="1" applyAlignment="1">
      <alignment horizontal="center" vertical="center"/>
    </xf>
    <xf numFmtId="10" fontId="37" fillId="0" borderId="0" xfId="8" applyNumberFormat="1" applyFont="1" applyFill="1" applyAlignment="1">
      <alignment horizontal="center" vertical="center"/>
    </xf>
    <xf numFmtId="167" fontId="37" fillId="0" borderId="0" xfId="8" applyNumberFormat="1" applyFont="1" applyFill="1" applyAlignment="1">
      <alignment horizontal="center" vertical="center"/>
    </xf>
    <xf numFmtId="0" fontId="10" fillId="0" borderId="0" xfId="0" applyFont="1" applyFill="1" applyAlignment="1">
      <alignment vertical="center"/>
    </xf>
    <xf numFmtId="0" fontId="10" fillId="0" borderId="0" xfId="0" applyFont="1" applyFill="1" applyAlignment="1">
      <alignment horizontal="left" vertical="center"/>
    </xf>
    <xf numFmtId="0" fontId="9" fillId="0" borderId="0" xfId="0" applyFont="1" applyFill="1" applyAlignment="1">
      <alignment vertical="center"/>
    </xf>
    <xf numFmtId="0" fontId="9" fillId="0" borderId="0" xfId="0" applyFont="1" applyFill="1" applyAlignment="1">
      <alignment horizontal="left" vertical="center"/>
    </xf>
    <xf numFmtId="0" fontId="37" fillId="0" borderId="0" xfId="0" applyFont="1" applyAlignment="1">
      <alignment vertical="top" wrapText="1"/>
    </xf>
    <xf numFmtId="0" fontId="8" fillId="0" borderId="0" xfId="0" applyFont="1" applyFill="1" applyAlignment="1">
      <alignment vertical="center"/>
    </xf>
    <xf numFmtId="0" fontId="8" fillId="0" borderId="0" xfId="0" applyFont="1" applyFill="1" applyAlignment="1">
      <alignment horizontal="left" vertical="center"/>
    </xf>
    <xf numFmtId="3" fontId="37" fillId="0" borderId="0" xfId="0" applyNumberFormat="1" applyFont="1" applyFill="1" applyAlignment="1">
      <alignment horizontal="left" vertical="center"/>
    </xf>
    <xf numFmtId="0" fontId="7" fillId="0" borderId="0" xfId="0" applyFont="1" applyFill="1" applyAlignment="1">
      <alignment vertical="center"/>
    </xf>
    <xf numFmtId="0" fontId="7" fillId="0" borderId="0" xfId="0" applyFont="1" applyFill="1" applyAlignment="1">
      <alignment horizontal="left" vertical="center"/>
    </xf>
    <xf numFmtId="0" fontId="6" fillId="0" borderId="0" xfId="0" applyFont="1" applyFill="1" applyAlignment="1">
      <alignment vertical="center"/>
    </xf>
    <xf numFmtId="0" fontId="6" fillId="0" borderId="0" xfId="0" applyFont="1" applyFill="1" applyAlignment="1">
      <alignment horizontal="left" vertical="center"/>
    </xf>
    <xf numFmtId="0" fontId="6" fillId="7" borderId="0" xfId="0" applyFont="1" applyFill="1" applyAlignment="1">
      <alignment vertical="center"/>
    </xf>
    <xf numFmtId="0" fontId="6" fillId="7" borderId="0" xfId="0" applyFont="1" applyFill="1" applyAlignment="1">
      <alignment horizontal="left" vertical="center"/>
    </xf>
    <xf numFmtId="0" fontId="49" fillId="0" borderId="0" xfId="0" applyFont="1" applyBorder="1" applyAlignment="1">
      <alignment vertical="center"/>
    </xf>
    <xf numFmtId="0" fontId="50" fillId="0" borderId="0" xfId="0" applyFont="1" applyBorder="1" applyAlignment="1">
      <alignment horizontal="left" vertical="center"/>
    </xf>
    <xf numFmtId="0" fontId="37" fillId="0" borderId="0" xfId="0" applyFont="1" applyFill="1" applyAlignment="1">
      <alignment horizontal="left" vertical="center"/>
    </xf>
    <xf numFmtId="0" fontId="5" fillId="0" borderId="0" xfId="0" applyFont="1" applyFill="1" applyAlignment="1">
      <alignment vertical="center"/>
    </xf>
    <xf numFmtId="0" fontId="5" fillId="0" borderId="0" xfId="0" applyFont="1" applyFill="1" applyAlignment="1">
      <alignment horizontal="left" vertical="center"/>
    </xf>
    <xf numFmtId="10" fontId="37" fillId="0" borderId="0" xfId="0" applyNumberFormat="1" applyFont="1" applyFill="1" applyAlignment="1">
      <alignment horizontal="center" vertical="center"/>
    </xf>
    <xf numFmtId="0" fontId="48" fillId="0" borderId="0" xfId="0" applyFont="1" applyBorder="1" applyAlignment="1">
      <alignment vertical="center"/>
    </xf>
    <xf numFmtId="0" fontId="48" fillId="0" borderId="0" xfId="0" applyFont="1" applyBorder="1" applyAlignment="1">
      <alignment horizontal="left" vertical="center"/>
    </xf>
    <xf numFmtId="0" fontId="37" fillId="0" borderId="8" xfId="0" applyFont="1" applyFill="1" applyBorder="1" applyAlignment="1">
      <alignment vertical="center"/>
    </xf>
    <xf numFmtId="0" fontId="37" fillId="0" borderId="7" xfId="0" applyFont="1" applyFill="1" applyBorder="1" applyAlignment="1">
      <alignment horizontal="left" vertical="center"/>
    </xf>
    <xf numFmtId="0" fontId="59" fillId="0" borderId="0" xfId="0" applyFont="1" applyAlignment="1">
      <alignment vertical="center"/>
    </xf>
    <xf numFmtId="0" fontId="59" fillId="0" borderId="0" xfId="0" applyFont="1" applyFill="1" applyAlignment="1">
      <alignment horizontal="left" vertical="center"/>
    </xf>
    <xf numFmtId="3" fontId="59" fillId="0" borderId="0" xfId="0" applyNumberFormat="1" applyFont="1" applyFill="1" applyAlignment="1">
      <alignment horizontal="center" vertical="center"/>
    </xf>
    <xf numFmtId="10" fontId="59" fillId="0" borderId="0" xfId="8" applyNumberFormat="1" applyFont="1" applyFill="1" applyAlignment="1">
      <alignment horizontal="center" vertical="center"/>
    </xf>
    <xf numFmtId="3" fontId="37" fillId="0" borderId="0" xfId="0" applyNumberFormat="1" applyFont="1" applyFill="1" applyAlignment="1">
      <alignment horizontal="left" vertical="top" wrapText="1"/>
    </xf>
    <xf numFmtId="0" fontId="4" fillId="0" borderId="8" xfId="0" applyFont="1" applyFill="1" applyBorder="1" applyAlignment="1">
      <alignment vertical="center"/>
    </xf>
    <xf numFmtId="0" fontId="4" fillId="0" borderId="7" xfId="0" applyFont="1" applyFill="1" applyBorder="1" applyAlignment="1">
      <alignment horizontal="left" vertical="center"/>
    </xf>
    <xf numFmtId="10" fontId="3" fillId="7" borderId="5" xfId="8" applyNumberFormat="1" applyFont="1" applyFill="1" applyBorder="1" applyAlignment="1">
      <alignment horizontal="center" vertical="center"/>
    </xf>
    <xf numFmtId="0" fontId="62" fillId="17" borderId="0" xfId="0" applyFont="1" applyFill="1" applyAlignment="1"/>
    <xf numFmtId="0" fontId="0" fillId="17" borderId="0" xfId="0" applyFill="1" applyAlignment="1"/>
    <xf numFmtId="0" fontId="0" fillId="17" borderId="0" xfId="0" applyFill="1" applyAlignment="1">
      <alignment horizontal="left" vertical="center" wrapText="1"/>
    </xf>
    <xf numFmtId="0" fontId="0" fillId="0" borderId="0" xfId="0" applyAlignment="1">
      <alignment horizontal="left" vertical="center" wrapText="1"/>
    </xf>
    <xf numFmtId="0" fontId="0" fillId="0" borderId="0" xfId="0" applyAlignment="1">
      <alignment horizontal="left" vertical="top" wrapText="1"/>
    </xf>
    <xf numFmtId="0" fontId="63" fillId="17" borderId="0" xfId="0" applyFont="1" applyFill="1" applyAlignment="1">
      <alignment horizontal="left" vertical="center" wrapText="1"/>
    </xf>
    <xf numFmtId="0" fontId="0" fillId="0" borderId="0" xfId="0" applyFill="1" applyAlignment="1"/>
    <xf numFmtId="0" fontId="0" fillId="17" borderId="0" xfId="0" applyFill="1" applyAlignment="1">
      <alignment vertical="center" wrapText="1"/>
    </xf>
    <xf numFmtId="0" fontId="0" fillId="0" borderId="0" xfId="0" applyFill="1" applyAlignment="1">
      <alignment horizontal="left" vertical="center" wrapText="1"/>
    </xf>
    <xf numFmtId="0" fontId="63" fillId="17" borderId="0" xfId="0" applyFont="1" applyFill="1" applyAlignment="1">
      <alignment vertical="center" wrapText="1"/>
    </xf>
    <xf numFmtId="0" fontId="63" fillId="0" borderId="0" xfId="0" applyFont="1" applyFill="1" applyAlignment="1">
      <alignment vertical="center" wrapText="1"/>
    </xf>
    <xf numFmtId="0" fontId="31" fillId="17" borderId="0" xfId="0" applyFont="1" applyFill="1" applyAlignment="1">
      <alignment horizontal="left" vertical="top" wrapText="1"/>
    </xf>
    <xf numFmtId="0" fontId="64" fillId="17" borderId="12" xfId="0" applyFont="1" applyFill="1" applyBorder="1" applyAlignment="1">
      <alignment horizontal="center" vertical="center" wrapText="1"/>
    </xf>
    <xf numFmtId="0" fontId="64" fillId="17" borderId="13" xfId="0" applyFont="1" applyFill="1" applyBorder="1" applyAlignment="1">
      <alignment horizontal="center" vertical="center" wrapText="1"/>
    </xf>
    <xf numFmtId="0" fontId="64" fillId="17" borderId="14" xfId="0" applyFont="1" applyFill="1" applyBorder="1" applyAlignment="1">
      <alignment horizontal="left" vertical="center" wrapText="1"/>
    </xf>
    <xf numFmtId="0" fontId="0" fillId="17" borderId="0" xfId="0" applyFill="1" applyAlignment="1">
      <alignment horizontal="left" vertical="top" wrapText="1"/>
    </xf>
    <xf numFmtId="0" fontId="65" fillId="17" borderId="12" xfId="0" applyFont="1" applyFill="1" applyBorder="1" applyAlignment="1">
      <alignment horizontal="center" vertical="top"/>
    </xf>
    <xf numFmtId="0" fontId="65" fillId="17" borderId="13" xfId="0" applyFont="1" applyFill="1" applyBorder="1" applyAlignment="1">
      <alignment horizontal="left" vertical="top" wrapText="1"/>
    </xf>
    <xf numFmtId="0" fontId="65" fillId="17" borderId="14" xfId="0" applyFont="1" applyFill="1" applyBorder="1" applyAlignment="1">
      <alignment horizontal="left" vertical="top" wrapText="1"/>
    </xf>
    <xf numFmtId="167" fontId="37" fillId="0" borderId="0" xfId="5" applyNumberFormat="1" applyFont="1" applyAlignment="1">
      <alignment vertical="center"/>
    </xf>
    <xf numFmtId="0" fontId="2" fillId="0" borderId="0" xfId="0" applyFont="1" applyFill="1" applyAlignment="1">
      <alignment vertical="center"/>
    </xf>
    <xf numFmtId="0" fontId="2" fillId="0" borderId="0" xfId="0" applyFont="1" applyFill="1" applyAlignment="1">
      <alignment horizontal="left" vertical="center"/>
    </xf>
    <xf numFmtId="0" fontId="2" fillId="0" borderId="8" xfId="0" applyFont="1" applyFill="1" applyBorder="1" applyAlignment="1">
      <alignment vertical="center"/>
    </xf>
    <xf numFmtId="0" fontId="2" fillId="0" borderId="7" xfId="0" applyFont="1" applyFill="1" applyBorder="1" applyAlignment="1">
      <alignment horizontal="left" vertical="center"/>
    </xf>
    <xf numFmtId="0" fontId="37" fillId="0" borderId="0" xfId="0" applyFont="1" applyAlignment="1"/>
    <xf numFmtId="14" fontId="37" fillId="0" borderId="0" xfId="0" applyNumberFormat="1" applyFont="1" applyAlignment="1">
      <alignment horizontal="center" vertical="center"/>
    </xf>
    <xf numFmtId="14" fontId="37" fillId="0" borderId="0" xfId="0" applyNumberFormat="1" applyFont="1" applyAlignment="1">
      <alignment vertical="center"/>
    </xf>
    <xf numFmtId="14" fontId="37" fillId="0" borderId="0" xfId="0" applyNumberFormat="1" applyFont="1" applyAlignment="1">
      <alignment horizontal="left" vertical="center"/>
    </xf>
    <xf numFmtId="14" fontId="51" fillId="0" borderId="0" xfId="0" applyNumberFormat="1" applyFont="1" applyAlignment="1">
      <alignment vertical="center"/>
    </xf>
    <xf numFmtId="14" fontId="53" fillId="0" borderId="0" xfId="0" applyNumberFormat="1" applyFont="1" applyAlignment="1">
      <alignment vertical="center"/>
    </xf>
    <xf numFmtId="14" fontId="37" fillId="0" borderId="0" xfId="0" applyNumberFormat="1" applyFont="1" applyFill="1" applyAlignment="1">
      <alignment vertical="center"/>
    </xf>
    <xf numFmtId="14" fontId="37" fillId="0" borderId="0" xfId="0" applyNumberFormat="1" applyFont="1" applyFill="1" applyAlignment="1">
      <alignment horizontal="left" vertical="center"/>
    </xf>
    <xf numFmtId="0" fontId="37" fillId="0" borderId="0" xfId="0" pivotButton="1" applyFont="1" applyAlignment="1">
      <alignment horizontal="center" vertical="top" wrapText="1"/>
    </xf>
    <xf numFmtId="0" fontId="37" fillId="0" borderId="0" xfId="0" applyFont="1" applyAlignment="1">
      <alignment horizontal="center" wrapText="1"/>
    </xf>
    <xf numFmtId="0" fontId="1" fillId="0" borderId="0" xfId="0" applyFont="1" applyFill="1" applyAlignment="1">
      <alignment vertical="center"/>
    </xf>
    <xf numFmtId="0" fontId="1" fillId="0" borderId="0" xfId="0" applyFont="1" applyFill="1" applyAlignment="1">
      <alignment horizontal="left" vertical="center"/>
    </xf>
    <xf numFmtId="0" fontId="1" fillId="7" borderId="0" xfId="0" applyFont="1" applyFill="1" applyAlignment="1">
      <alignment vertical="center"/>
    </xf>
    <xf numFmtId="0" fontId="1" fillId="7" borderId="0" xfId="0" applyFont="1" applyFill="1" applyAlignment="1">
      <alignment horizontal="left" vertical="center"/>
    </xf>
    <xf numFmtId="0" fontId="1" fillId="0" borderId="8" xfId="0" applyFont="1" applyFill="1" applyBorder="1" applyAlignment="1">
      <alignment vertical="center"/>
    </xf>
    <xf numFmtId="0" fontId="1" fillId="0" borderId="7" xfId="0" applyFont="1" applyFill="1" applyBorder="1" applyAlignment="1">
      <alignment horizontal="left" vertical="center"/>
    </xf>
    <xf numFmtId="0" fontId="62" fillId="17" borderId="0" xfId="0" applyFont="1" applyFill="1" applyAlignment="1">
      <alignment horizontal="left" vertical="center"/>
    </xf>
    <xf numFmtId="0" fontId="63" fillId="17" borderId="0" xfId="0" applyFont="1" applyFill="1" applyAlignment="1">
      <alignment horizontal="left" vertical="center" wrapText="1"/>
    </xf>
    <xf numFmtId="0" fontId="63" fillId="17" borderId="0" xfId="0" applyFont="1" applyFill="1" applyAlignment="1">
      <alignment horizontal="left" wrapText="1"/>
    </xf>
    <xf numFmtId="0" fontId="37" fillId="15" borderId="0" xfId="0" applyFont="1" applyFill="1" applyAlignment="1">
      <alignment horizontal="center" textRotation="90" wrapText="1"/>
    </xf>
    <xf numFmtId="0" fontId="41" fillId="15" borderId="0" xfId="0" applyFont="1" applyFill="1" applyAlignment="1">
      <alignment horizontal="center" vertical="center" wrapText="1"/>
    </xf>
    <xf numFmtId="0" fontId="46" fillId="0" borderId="0" xfId="0" applyFont="1" applyAlignment="1">
      <alignment horizontal="left" vertical="top" wrapText="1"/>
    </xf>
    <xf numFmtId="0" fontId="35" fillId="8" borderId="0" xfId="13" applyFont="1" applyBorder="1" applyAlignment="1">
      <alignment horizontal="center" vertical="center"/>
    </xf>
  </cellXfs>
  <cellStyles count="14">
    <cellStyle name="Cabecera 1" xfId="1"/>
    <cellStyle name="Cabecera 2" xfId="2"/>
    <cellStyle name="Énfasis2" xfId="13" builtinId="33"/>
    <cellStyle name="F3" xfId="12"/>
    <cellStyle name="Fecha" xfId="3"/>
    <cellStyle name="Fijo" xfId="4"/>
    <cellStyle name="Millares" xfId="5" builtinId="3"/>
    <cellStyle name="Monetario" xfId="6"/>
    <cellStyle name="Monetario0" xfId="7"/>
    <cellStyle name="Normal" xfId="0" builtinId="0"/>
    <cellStyle name="Normal 2" xfId="11"/>
    <cellStyle name="Porcentaje" xfId="8" builtinId="5"/>
    <cellStyle name="Punto0" xfId="9"/>
    <cellStyle name="Total" xfId="10" builtinId="25" customBuiltin="1"/>
  </cellStyles>
  <dxfs count="1147">
    <dxf>
      <font>
        <b val="0"/>
        <i val="0"/>
        <strike val="0"/>
        <condense val="0"/>
        <extend val="0"/>
        <outline val="0"/>
        <shadow val="0"/>
        <u val="none"/>
        <vertAlign val="baseline"/>
        <sz val="10"/>
        <color auto="1"/>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_ ;[Red]\-#,##0\ "/>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6" formatCode="#,##0_ ;[Red]\-#,##0\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_ ;[Red]\-#,##0\ "/>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6" formatCode="#,##0_ ;[Red]\-#,##0\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_ ;[Red]\-#,##0\ "/>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6" formatCode="#,##0_ ;[Red]\-#,##0\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_ ;[Red]\-#,##0\ "/>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6" formatCode="#,##0_ ;[Red]\-#,##0\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3" formatCode="#,##0"/>
    </dxf>
    <dxf>
      <numFmt numFmtId="3" formatCode="#,##0"/>
    </dxf>
    <dxf>
      <numFmt numFmtId="3" formatCode="#,##0"/>
    </dxf>
    <dxf>
      <numFmt numFmtId="3" formatCode="#,##0"/>
    </dxf>
    <dxf>
      <numFmt numFmtId="3" formatCode="#,##0"/>
    </dxf>
    <dxf>
      <font>
        <sz val="10"/>
      </font>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numFmt numFmtId="3" formatCode="#,##0"/>
    </dxf>
    <dxf>
      <numFmt numFmtId="3" formatCode="#,##0"/>
    </dxf>
    <dxf>
      <numFmt numFmtId="3" formatCode="#,##0"/>
    </dxf>
    <dxf>
      <numFmt numFmtId="3" formatCode="#,##0"/>
    </dxf>
    <dxf>
      <numFmt numFmtId="3" formatCode="#,##0"/>
    </dxf>
    <dxf>
      <numFmt numFmtId="3" formatCode="#,##0"/>
    </dxf>
    <dxf>
      <numFmt numFmtId="167" formatCode="#,##0.0"/>
    </dxf>
    <dxf>
      <numFmt numFmtId="167" formatCode="#,##0.0"/>
    </dxf>
    <dxf>
      <numFmt numFmtId="167" formatCode="#,##0.0"/>
    </dxf>
    <dxf>
      <numFmt numFmtId="167" formatCode="#,##0.0"/>
    </dxf>
    <dxf>
      <numFmt numFmtId="167" formatCode="#,##0.0"/>
    </dxf>
    <dxf>
      <numFmt numFmtId="167" formatCode="#,##0.0"/>
    </dxf>
    <dxf>
      <numFmt numFmtId="4" formatCode="#,##0.00"/>
    </dxf>
    <dxf>
      <numFmt numFmtId="4" formatCode="#,##0.00"/>
    </dxf>
    <dxf>
      <numFmt numFmtId="4" formatCode="#,##0.00"/>
    </dxf>
    <dxf>
      <numFmt numFmtId="4" formatCode="#,##0.00"/>
    </dxf>
    <dxf>
      <numFmt numFmtId="4" formatCode="#,##0.00"/>
    </dxf>
    <dxf>
      <numFmt numFmtId="4" formatCode="#,##0.0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vertical/>
        <horizontal/>
      </border>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Abadi MT Condensed Light"/>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8"/>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8"/>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Abadi MT Condensed Light"/>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theme="4" tint="0.59999389629810485"/>
          <bgColor theme="4" tint="0.5999938962981048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theme="4" tint="0.59999389629810485"/>
          <bgColor theme="4" tint="0.5999938962981048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8"/>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Abadi MT Condensed Light"/>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
      <fill>
        <patternFill patternType="none">
          <fgColor indexed="64"/>
          <bgColor indexed="65"/>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8"/>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sz val="10"/>
      </font>
    </dxf>
    <dxf>
      <font>
        <sz val="10"/>
      </font>
    </dxf>
    <dxf>
      <font>
        <sz val="11"/>
      </font>
    </dxf>
    <dxf>
      <font>
        <sz val="11"/>
      </font>
    </dxf>
    <dxf>
      <numFmt numFmtId="14" formatCode="0.00%"/>
    </dxf>
    <dxf>
      <font>
        <sz val="10"/>
      </font>
    </dxf>
    <dxf>
      <font>
        <sz val="10"/>
      </font>
    </dxf>
    <dxf>
      <font>
        <sz val="10"/>
      </font>
    </dxf>
    <dxf>
      <font>
        <sz val="11"/>
      </font>
    </dxf>
    <dxf>
      <font>
        <sz val="11"/>
      </font>
    </dxf>
    <dxf>
      <font>
        <sz val="11"/>
      </font>
    </dxf>
    <dxf>
      <font>
        <sz val="10"/>
      </font>
    </dxf>
    <dxf>
      <font>
        <sz val="11"/>
      </font>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color theme="5"/>
      </font>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Calibri"/>
        <scheme val="minor"/>
      </font>
      <alignment vertical="center" textRotation="0" indent="0" justifyLastLine="0" shrinkToFit="0" readingOrder="0"/>
    </dxf>
    <dxf>
      <font>
        <strike val="0"/>
        <outline val="0"/>
        <shadow val="0"/>
        <u val="none"/>
        <vertAlign val="baseline"/>
        <sz val="10"/>
        <color auto="1"/>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color auto="1"/>
        <name val="Calibri"/>
        <scheme val="minor"/>
      </font>
      <alignment horizontal="center" vertical="top" textRotation="0" wrapText="1" indent="0" justifyLastLine="0" shrinkToFit="0" readingOrder="0"/>
    </dxf>
    <dxf>
      <alignment vertical="top" readingOrder="0"/>
    </dxf>
    <dxf>
      <alignment horizontal="center" wrapText="1" readingOrder="0"/>
    </dxf>
    <dxf>
      <numFmt numFmtId="14" formatCode="0.00%"/>
    </dxf>
    <dxf>
      <numFmt numFmtId="14" formatCode="0.00%"/>
    </dxf>
    <dxf>
      <alignment horizontal="center" wrapText="1" readingOrder="0"/>
    </dxf>
    <dxf>
      <numFmt numFmtId="169" formatCode="0.0%"/>
    </dxf>
    <dxf>
      <alignment horizontal="center" readingOrder="0"/>
    </dxf>
    <dxf>
      <alignment horizontal="center" readingOrder="0"/>
    </dxf>
    <dxf>
      <alignment wrapText="1" readingOrder="0"/>
    </dxf>
    <dxf>
      <alignment wrapText="1" readingOrder="0"/>
    </dxf>
    <dxf>
      <alignment vertical="top" readingOrder="0"/>
    </dxf>
    <dxf>
      <alignment vertical="top" readingOrder="0"/>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1"/>
      </font>
    </dxf>
    <dxf>
      <font>
        <name val="Calibri Light"/>
        <scheme val="none"/>
      </font>
    </dxf>
    <dxf>
      <font>
        <name val="Calibri"/>
        <scheme val="minor"/>
      </font>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vertical="center" wrapText="1" readingOrder="0"/>
    </dxf>
    <dxf>
      <numFmt numFmtId="14" formatCode="0.00%"/>
    </dxf>
    <dxf>
      <numFmt numFmtId="14" formatCode="0.00%"/>
    </dxf>
    <dxf>
      <numFmt numFmtId="14" formatCode="0.00%"/>
    </dxf>
    <dxf>
      <alignment horizontal="center" readingOrder="0"/>
    </dxf>
    <dxf>
      <alignment vertical="center" readingOrder="0"/>
    </dxf>
    <dxf>
      <alignment wrapText="1" readingOrder="0"/>
    </dxf>
    <dxf>
      <font>
        <b val="0"/>
      </font>
    </dxf>
    <dxf>
      <font>
        <b val="0"/>
      </font>
    </dxf>
    <dxf>
      <font>
        <b val="0"/>
      </font>
    </dxf>
    <dxf>
      <font>
        <b val="0"/>
      </font>
    </dxf>
    <dxf>
      <numFmt numFmtId="3" formatCode="#,##0"/>
    </dxf>
    <dxf>
      <numFmt numFmtId="3" formatCode="#,##0"/>
    </dxf>
    <dxf>
      <numFmt numFmtId="3" formatCode="#,##0"/>
    </dxf>
    <dxf>
      <numFmt numFmtId="3" formatCode="#,##0"/>
    </dxf>
    <dxf>
      <numFmt numFmtId="3" formatCode="#,##0"/>
    </dxf>
    <dxf>
      <font>
        <b/>
      </font>
    </dxf>
    <dxf>
      <font>
        <b/>
      </font>
    </dxf>
    <dxf>
      <font>
        <b/>
      </font>
    </dxf>
    <dxf>
      <font>
        <b/>
      </font>
    </dxf>
    <dxf>
      <font>
        <sz val="10"/>
      </font>
    </dxf>
    <dxf>
      <font>
        <sz val="10"/>
      </font>
    </dxf>
    <dxf>
      <font>
        <sz val="10"/>
      </font>
    </dxf>
    <dxf>
      <font>
        <sz val="10"/>
      </font>
    </dxf>
    <dxf>
      <font>
        <sz val="11"/>
      </font>
    </dxf>
    <dxf>
      <font>
        <sz val="11"/>
      </font>
    </dxf>
    <dxf>
      <font>
        <sz val="11"/>
      </font>
    </dxf>
    <dxf>
      <font>
        <sz val="11"/>
      </font>
    </dxf>
    <dxf>
      <font>
        <b/>
        <color theme="1"/>
      </font>
      <border>
        <bottom style="thin">
          <color theme="4"/>
        </bottom>
        <vertical/>
        <horizontal/>
      </border>
    </dxf>
    <dxf>
      <font>
        <sz val="9"/>
        <color theme="1"/>
      </font>
      <border>
        <left style="thin">
          <color theme="4"/>
        </left>
        <right style="thin">
          <color theme="4"/>
        </right>
        <top style="thin">
          <color theme="4"/>
        </top>
        <bottom style="thin">
          <color theme="4"/>
        </bottom>
        <vertical/>
        <horizontal/>
      </border>
    </dxf>
  </dxfs>
  <tableStyles count="1" defaultTableStyle="TableStyleMedium9" defaultPivotStyle="PivotStyleLight16">
    <tableStyle name="SlicerStyleDark1 2" pivot="0" table="0" count="10">
      <tableStyleElement type="wholeTable" dxfId="1146"/>
      <tableStyleElement type="headerRow" dxfId="114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0" Type="http://schemas.openxmlformats.org/officeDocument/2006/relationships/pivotCacheDefinition" Target="pivotCache/pivotCacheDefinition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microsoft.com/office/2007/relationships/slicerCache" Target="slicerCaches/slicerCache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63500</xdr:rowOff>
    </xdr:from>
    <xdr:to>
      <xdr:col>5</xdr:col>
      <xdr:colOff>179916</xdr:colOff>
      <xdr:row>11</xdr:row>
      <xdr:rowOff>584</xdr:rowOff>
    </xdr:to>
    <mc:AlternateContent xmlns:mc="http://schemas.openxmlformats.org/markup-compatibility/2006" xmlns:a14="http://schemas.microsoft.com/office/drawing/2010/main">
      <mc:Choice Requires="a14">
        <xdr:graphicFrame macro="">
          <xdr:nvGraphicFramePr>
            <xdr:cNvPr id="2" name="Año">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0" y="1259417"/>
              <a:ext cx="5312833"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243416</xdr:colOff>
      <xdr:row>4</xdr:row>
      <xdr:rowOff>63500</xdr:rowOff>
    </xdr:from>
    <xdr:to>
      <xdr:col>8</xdr:col>
      <xdr:colOff>994833</xdr:colOff>
      <xdr:row>11</xdr:row>
      <xdr:rowOff>584</xdr:rowOff>
    </xdr:to>
    <mc:AlternateContent xmlns:mc="http://schemas.openxmlformats.org/markup-compatibility/2006" xmlns:a14="http://schemas.microsoft.com/office/drawing/2010/main">
      <mc:Choice Requires="a14">
        <xdr:graphicFrame macro="">
          <xdr:nvGraphicFramePr>
            <xdr:cNvPr id="3" name="Mes">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Mes"/>
            </a:graphicData>
          </a:graphic>
        </xdr:graphicFrame>
      </mc:Choice>
      <mc:Fallback xmlns="">
        <xdr:sp macro="" textlink="">
          <xdr:nvSpPr>
            <xdr:cNvPr id="0" name=""/>
            <xdr:cNvSpPr>
              <a:spLocks noTextEdit="1"/>
            </xdr:cNvSpPr>
          </xdr:nvSpPr>
          <xdr:spPr>
            <a:xfrm>
              <a:off x="5376333" y="1259417"/>
              <a:ext cx="3767667"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Martin Ralph" refreshedDate="45583.436035185186" createdVersion="6" refreshedVersion="6" minRefreshableVersion="3" recordCount="381">
  <cacheSource type="worksheet">
    <worksheetSource name="MITRE"/>
  </cacheSource>
  <cacheFields count="14">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emiMixedTypes="0" containsString="0" containsNumber="1" minValue="0.16965368548713111" maxValue="0.98577944727663003"/>
    </cacheField>
    <cacheField name="Regularidad Relativa" numFmtId="10">
      <sharedItems containsSemiMixedTypes="0" containsString="0" containsNumber="1" minValue="0.25408678102926335" maxValue="0.98752530860165899"/>
    </cacheField>
    <cacheField name="Cumplimiento de Programa" numFmtId="10">
      <sharedItems containsSemiMixedTypes="0" containsString="0" containsNumber="1" minValue="0.66769977092036115" maxValue="0.99937402190923319"/>
    </cacheField>
    <cacheField name="Trenes Programados por Día Hábil" numFmtId="3">
      <sharedItems containsSemiMixedTypes="0" containsString="0" containsNumber="1" minValue="0" maxValue="433"/>
    </cacheField>
    <cacheField name="Coches por Tren Día Hábil" numFmtId="167">
      <sharedItems containsSemiMixedTypes="0" containsString="0" containsNumber="1" minValue="0" maxValue="5.8404205388153576"/>
    </cacheField>
    <cacheField name="Trenes Programados" numFmtId="3">
      <sharedItems containsSemiMixedTypes="0" containsString="0" containsNumber="1" containsInteger="1" minValue="5182" maxValue="16499"/>
    </cacheField>
    <cacheField name="Trenes Cancelados" numFmtId="3">
      <sharedItems containsSemiMixedTypes="0" containsString="0" containsNumber="1" containsInteger="1" minValue="10" maxValue="4932"/>
    </cacheField>
    <cacheField name="Trenes Corridos" numFmtId="3">
      <sharedItems containsSemiMixedTypes="0" containsString="0" containsNumber="1" containsInteger="1" minValue="4773" maxValue="16470"/>
    </cacheField>
    <cacheField name="Trenes Puntuales" numFmtId="3">
      <sharedItems containsSemiMixedTypes="0" containsString="0" containsNumber="1" containsInteger="1" minValue="2413" maxValue="16246"/>
    </cacheField>
    <cacheField name="Trenes Atrasados" numFmtId="3">
      <sharedItems containsSemiMixedTypes="0" containsString="0" containsNumber="1" containsInteger="1" minValue="191" maxValue="7392"/>
    </cacheField>
    <cacheField name="Observaciones" numFmtId="3">
      <sharedItems containsBlank="1" longText="1"/>
    </cacheField>
    <cacheField name="Regularidad Absoluta CC" numFmtId="0" formula="'Trenes Puntuales'/'Trenes Programados'"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rtin Ralph" refreshedDate="45583.438753125003" createdVersion="6" refreshedVersion="6" minRefreshableVersion="3" recordCount="381">
  <cacheSource type="worksheet">
    <worksheetSource name="SARM"/>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emiMixedTypes="0" containsString="0" containsNumber="1" minValue="0.10781932977173385" maxValue="0.97636363636363632"/>
    </cacheField>
    <cacheField name="Regularidad Relativa" numFmtId="10">
      <sharedItems containsSemiMixedTypes="0" containsString="0" containsNumber="1" minValue="0.17018014564967421" maxValue="0.9830163734363877"/>
    </cacheField>
    <cacheField name="Cumplimiento de Programa" numFmtId="10">
      <sharedItems containsSemiMixedTypes="0" containsString="0" containsNumber="1" minValue="0.5737609892763984" maxValue="0.99682674000423099"/>
    </cacheField>
    <cacheField name="Trenes Programados por Día Hábil" numFmtId="3">
      <sharedItems containsSemiMixedTypes="0" containsString="0" containsNumber="1" containsInteger="1" minValue="0" maxValue="337"/>
    </cacheField>
    <cacheField name="Coches por Tren Día Hábil" numFmtId="167">
      <sharedItems containsSemiMixedTypes="0" containsString="0" containsNumber="1" minValue="0" maxValue="8.3644505683775403"/>
    </cacheField>
    <cacheField name="Trenes Programados" numFmtId="3">
      <sharedItems containsSemiMixedTypes="0" containsString="0" containsNumber="1" containsInteger="1" minValue="5332" maxValue="10959"/>
    </cacheField>
    <cacheField name="Trenes Cancelados" numFmtId="3">
      <sharedItems containsSemiMixedTypes="0" containsString="0" containsNumber="1" containsInteger="1" minValue="24" maxValue="4412"/>
    </cacheField>
    <cacheField name="Trenes Corridos" numFmtId="3">
      <sharedItems containsSemiMixedTypes="0" containsString="0" containsNumber="1" containsInteger="1" minValue="4580" maxValue="10629"/>
    </cacheField>
    <cacheField name="Trenes Puntuales" numFmtId="3">
      <sharedItems containsSemiMixedTypes="0" containsString="0" containsNumber="1" containsInteger="1" minValue="888" maxValue="9963"/>
    </cacheField>
    <cacheField name="Trenes Atrasados" numFmtId="3">
      <sharedItems containsSemiMixedTypes="0" containsString="0" containsNumber="1" containsInteger="1" minValue="166" maxValue="4857"/>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artin Ralph" refreshedDate="45583.450254282405" createdVersion="6" refreshedVersion="6" minRefreshableVersion="3" recordCount="381">
  <cacheSource type="worksheet">
    <worksheetSource name="URQ"/>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emiMixedTypes="0" containsString="0" containsNumber="1" minValue="0.37448933272809803" maxValue="1.020506329113924"/>
    </cacheField>
    <cacheField name="Regularidad Relativa" numFmtId="10">
      <sharedItems containsSemiMixedTypes="0" containsString="0" containsNumber="1" minValue="0.45575548434804042" maxValue="0.99749812359269452"/>
    </cacheField>
    <cacheField name="Cumplimiento de Programa" numFmtId="10">
      <sharedItems containsSemiMixedTypes="0" containsString="0" containsNumber="1" minValue="0.39718565592374033" maxValue="1.0448101265822785"/>
    </cacheField>
    <cacheField name="Trenes Programados por Día Hábil" numFmtId="3">
      <sharedItems containsString="0" containsBlank="1" containsNumber="1" containsInteger="1" minValue="171" maxValue="185"/>
    </cacheField>
    <cacheField name="Coches por Tren Día Hábil" numFmtId="3">
      <sharedItems containsString="0" containsBlank="1" containsNumber="1" containsInteger="1" minValue="6" maxValue="6"/>
    </cacheField>
    <cacheField name="Trenes Programados" numFmtId="3">
      <sharedItems containsSemiMixedTypes="0" containsString="0" containsNumber="1" containsInteger="1" minValue="3489" maxValue="6262"/>
    </cacheField>
    <cacheField name="Trenes Cancelados" numFmtId="3">
      <sharedItems containsSemiMixedTypes="0" containsString="0" containsNumber="1" containsInteger="1" minValue="0" maxValue="2656"/>
    </cacheField>
    <cacheField name="Trenes Corridos" numFmtId="3">
      <sharedItems containsSemiMixedTypes="0" containsString="0" containsNumber="1" containsInteger="1" minValue="1750" maxValue="6187"/>
    </cacheField>
    <cacheField name="Trenes Puntuales" numFmtId="3">
      <sharedItems containsSemiMixedTypes="0" containsString="0" containsNumber="1" containsInteger="1" minValue="1650" maxValue="6095"/>
    </cacheField>
    <cacheField name="Trenes Atrasados" numFmtId="3">
      <sharedItems containsSemiMixedTypes="0" containsString="0" containsNumber="1" containsInteger="1" minValue="10" maxValue="2208"/>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Martin Ralph" refreshedDate="45583.456740277776" createdVersion="6" refreshedVersion="6" minRefreshableVersion="3" recordCount="381">
  <cacheSource type="worksheet">
    <worksheetSource name="ROCA"/>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emiMixedTypes="0" containsString="0" containsNumber="1" minValue="0.44858093903293622" maxValue="0.9826515116653628"/>
    </cacheField>
    <cacheField name="Regularidad Relativa" numFmtId="10">
      <sharedItems containsSemiMixedTypes="0" containsString="0" containsNumber="1" minValue="0.57083937130754658" maxValue="0.98614343135180871"/>
    </cacheField>
    <cacheField name="Cumplimiento de Programa" numFmtId="10">
      <sharedItems containsSemiMixedTypes="0" containsString="0" containsNumber="1" minValue="0.74757823198255313" maxValue="0.99820532879296853"/>
    </cacheField>
    <cacheField name="Trenes Programados por Día Hábil" numFmtId="3">
      <sharedItems containsString="0" containsBlank="1" containsNumber="1" containsInteger="1" minValue="793" maxValue="869"/>
    </cacheField>
    <cacheField name="Coches por Tren Día Hábil" numFmtId="167">
      <sharedItems containsString="0" containsBlank="1" containsNumber="1" minValue="6.1044519628376568" maxValue="6.8195060164661179"/>
    </cacheField>
    <cacheField name="Trenes Programados" numFmtId="3">
      <sharedItems containsSemiMixedTypes="0" containsString="0" containsNumber="1" containsInteger="1" minValue="15222" maxValue="28933"/>
    </cacheField>
    <cacheField name="Trenes Cancelados" numFmtId="3">
      <sharedItems containsSemiMixedTypes="0" containsString="0" containsNumber="1" containsInteger="1" minValue="35" maxValue="4977"/>
    </cacheField>
    <cacheField name="Trenes Corridos" numFmtId="3">
      <sharedItems containsSemiMixedTypes="0" containsString="0" containsNumber="1" containsInteger="1" minValue="13307" maxValue="28380"/>
    </cacheField>
    <cacheField name="Trenes Puntuales" numFmtId="3">
      <sharedItems containsSemiMixedTypes="0" containsString="0" containsNumber="1" containsInteger="1" minValue="9809" maxValue="27221"/>
    </cacheField>
    <cacheField name="Trenes Atrasados" numFmtId="3">
      <sharedItems containsSemiMixedTypes="0" containsString="0" containsNumber="1" containsInteger="1" minValue="262" maxValue="7700"/>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Martin Ralph" refreshedDate="45583.461494560186" createdVersion="6" refreshedVersion="6" minRefreshableVersion="3" recordCount="381">
  <cacheSource type="worksheet">
    <worksheetSource name="SM"/>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emiMixedTypes="0" containsString="0" containsNumber="1" minValue="0.29546253957087582" maxValue="0.99010640283740903"/>
    </cacheField>
    <cacheField name="Regularidad Relativa" numFmtId="10">
      <sharedItems containsSemiMixedTypes="0" containsString="0" containsNumber="1" minValue="0.46028839551384754" maxValue="0.99307245834113467"/>
    </cacheField>
    <cacheField name="Cumplimiento de Programa" numFmtId="10">
      <sharedItems containsSemiMixedTypes="0" containsString="0" containsNumber="1" minValue="0.60683381406700687" maxValue="0.99816883354696939"/>
    </cacheField>
    <cacheField name="Trenes Programados por Día Hábil" numFmtId="3">
      <sharedItems containsString="0" containsBlank="1" containsNumber="1" containsInteger="1" minValue="112" maxValue="183"/>
    </cacheField>
    <cacheField name="Coches por Tren Día Hábil" numFmtId="3">
      <sharedItems containsBlank="1" containsMixedTypes="1" containsNumber="1" containsInteger="1" minValue="5" maxValue="7"/>
    </cacheField>
    <cacheField name="Trenes Programados" numFmtId="3">
      <sharedItems containsSemiMixedTypes="0" containsString="0" containsNumber="1" containsInteger="1" minValue="3136" maxValue="5866"/>
    </cacheField>
    <cacheField name="Trenes Cancelados" numFmtId="3">
      <sharedItems containsString="0" containsBlank="1" containsNumber="1" containsInteger="1" minValue="10" maxValue="2057"/>
    </cacheField>
    <cacheField name="Trenes Corridos" numFmtId="3">
      <sharedItems containsSemiMixedTypes="0" containsString="0" containsNumber="1" containsInteger="1" minValue="2735" maxValue="5518"/>
    </cacheField>
    <cacheField name="Trenes Puntuales" numFmtId="3">
      <sharedItems containsSemiMixedTypes="0" containsString="0" containsNumber="1" containsInteger="1" minValue="1680" maxValue="5395"/>
    </cacheField>
    <cacheField name="Trenes Atrasados" numFmtId="3">
      <sharedItems containsSemiMixedTypes="0" containsString="0" containsNumber="1" containsInteger="1" minValue="37" maxValue="2358"/>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Martin Ralph" refreshedDate="45583.462111226851" createdVersion="6" refreshedVersion="6" minRefreshableVersion="3" recordCount="381">
  <cacheSource type="worksheet">
    <worksheetSource name="BN"/>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tring="0" containsBlank="1" containsNumber="1" minValue="0.36667337492453211" maxValue="0.98992020159596805"/>
    </cacheField>
    <cacheField name="Regularidad Relativa" numFmtId="10">
      <sharedItems containsString="0" containsBlank="1" containsNumber="1" minValue="0.44462719298245612" maxValue="0.9942196531791907"/>
    </cacheField>
    <cacheField name="Cumplimiento de Programa" numFmtId="10">
      <sharedItems containsString="0" containsBlank="1" containsNumber="1" minValue="0.62850417290819605" maxValue="0.99769004619907597"/>
    </cacheField>
    <cacheField name="Trenes Programados por Día Hábil" numFmtId="3">
      <sharedItems containsString="0" containsBlank="1" containsNumber="1" containsInteger="1" minValue="113" maxValue="165"/>
    </cacheField>
    <cacheField name="Coches por Tren Día Hábil" numFmtId="3">
      <sharedItems containsString="0" containsBlank="1" containsNumber="1" containsInteger="1" minValue="6" maxValue="6"/>
    </cacheField>
    <cacheField name="Trenes Programados" numFmtId="3">
      <sharedItems containsString="0" containsBlank="1" containsNumber="1" containsInteger="1" minValue="2350" maxValue="5224"/>
    </cacheField>
    <cacheField name="Trenes Cancelados" numFmtId="3">
      <sharedItems containsString="0" containsBlank="1" containsNumber="1" containsInteger="1" minValue="11" maxValue="1736"/>
    </cacheField>
    <cacheField name="Trenes Corridos" numFmtId="3">
      <sharedItems containsSemiMixedTypes="0" containsString="0" containsNumber="1" containsInteger="1" minValue="2171" maxValue="5050"/>
    </cacheField>
    <cacheField name="Trenes Puntuales" numFmtId="3">
      <sharedItems containsString="0" containsBlank="1" containsNumber="1" containsInteger="1" minValue="1622" maxValue="4844"/>
    </cacheField>
    <cacheField name="Trenes Atrasados" numFmtId="3">
      <sharedItems containsString="0" containsBlank="1" containsNumber="1" containsInteger="1" minValue="26" maxValue="2293"/>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Martin Ralph" refreshedDate="45583.469205208334" createdVersion="6" refreshedVersion="6" minRefreshableVersion="3" recordCount="381">
  <cacheSource type="worksheet">
    <worksheetSource name="BS"/>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tring="0" containsBlank="1" containsNumber="1" minValue="0.27994772760272979" maxValue="0.99809190650341861"/>
    </cacheField>
    <cacheField name="Regularidad Relativa" numFmtId="10">
      <sharedItems containsString="0" containsBlank="1" containsNumber="1" minValue="0.40084859312192944" maxValue="1"/>
    </cacheField>
    <cacheField name="Cumplimiento de Programa" numFmtId="10">
      <sharedItems containsString="0" containsBlank="1" containsNumber="1" minValue="0.28473936401916655" maxValue="1.1909072207364739"/>
    </cacheField>
    <cacheField name="Trenes Programados por Día Hábil" numFmtId="0">
      <sharedItems containsString="0" containsBlank="1" containsNumber="1" containsInteger="1" minValue="0" maxValue="220"/>
    </cacheField>
    <cacheField name="Coches por Tren Día Hábil" numFmtId="167">
      <sharedItems containsString="0" containsBlank="1" containsNumber="1" minValue="0" maxValue="5.4056877539175856"/>
    </cacheField>
    <cacheField name="Trenes Programados" numFmtId="0">
      <sharedItems containsString="0" containsBlank="1" containsNumber="1" containsInteger="1" minValue="2545" maxValue="7177"/>
    </cacheField>
    <cacheField name="Trenes Cancelados" numFmtId="3">
      <sharedItems containsString="0" containsBlank="1" containsNumber="1" containsInteger="1" minValue="-928" maxValue="4926"/>
    </cacheField>
    <cacheField name="Trenes Corridos" numFmtId="0">
      <sharedItems containsString="0" containsBlank="1" containsNumber="1" containsInteger="1" minValue="1961" maxValue="7035"/>
    </cacheField>
    <cacheField name="Trenes Puntuales" numFmtId="0">
      <sharedItems containsString="0" containsBlank="1" containsNumber="1" containsInteger="1" minValue="1501" maxValue="6901"/>
    </cacheField>
    <cacheField name="Trenes Atrasados" numFmtId="3">
      <sharedItems containsString="0" containsBlank="1" containsNumber="1" containsInteger="1" minValue="0" maxValue="2683"/>
    </cacheField>
    <cacheField name="Observaciones" numFmtId="3">
      <sharedItems containsBlank="1" longText="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Martin Ralph" refreshedDate="45583.469739814813" createdVersion="6" refreshedVersion="6" minRefreshableVersion="3" recordCount="381">
  <cacheSource type="worksheet">
    <worksheetSource name="TDC"/>
  </cacheSource>
  <cacheFields count="13">
    <cacheField name="Año" numFmtId="0">
      <sharedItems containsString="0" containsBlank="1" containsNumber="1" containsInteger="1" minValue="2015" maxValue="2024" count="11">
        <m/>
        <n v="2015"/>
        <n v="2016"/>
        <n v="2017"/>
        <n v="2018"/>
        <n v="2019"/>
        <n v="2020"/>
        <n v="2021"/>
        <n v="2022"/>
        <n v="2023"/>
        <n v="2024"/>
      </sharedItems>
    </cacheField>
    <cacheField name="Mes" numFmtId="0">
      <sharedItems containsBlank="1"/>
    </cacheField>
    <cacheField name="Regularidad Absoluta" numFmtId="0">
      <sharedItems containsString="0" containsBlank="1" containsNumber="1" minValue="0.41240875912408759" maxValue="0.97759856630824371"/>
    </cacheField>
    <cacheField name="Regularidad Relativa" numFmtId="0">
      <sharedItems containsString="0" containsBlank="1" containsNumber="1" minValue="0.78826237054085158" maxValue="0.98655913978494625"/>
    </cacheField>
    <cacheField name="Cumplimiento de Programa" numFmtId="0">
      <sharedItems containsString="0" containsBlank="1" containsNumber="1" minValue="0.43899895724713245" maxValue="1"/>
    </cacheField>
    <cacheField name="Trenes Programados por Día Hábil" numFmtId="0">
      <sharedItems containsString="0" containsBlank="1" containsNumber="1" containsInteger="1" minValue="28" maxValue="80"/>
    </cacheField>
    <cacheField name="Coches por Tren Día Hábil" numFmtId="0">
      <sharedItems containsString="0" containsBlank="1" containsNumber="1" containsInteger="1" minValue="2" maxValue="2"/>
    </cacheField>
    <cacheField name="Trenes Programados" numFmtId="0">
      <sharedItems containsString="0" containsBlank="1" containsNumber="1" containsInteger="1" minValue="764" maxValue="2462"/>
    </cacheField>
    <cacheField name="Trenes Cancelados" numFmtId="0">
      <sharedItems containsString="0" containsBlank="1" containsNumber="1" containsInteger="1" minValue="0" maxValue="1076"/>
    </cacheField>
    <cacheField name="Trenes Corridos" numFmtId="0">
      <sharedItems containsString="0" containsBlank="1" containsNumber="1" containsInteger="1" minValue="748" maxValue="2457"/>
    </cacheField>
    <cacheField name="Trenes Puntuales" numFmtId="0">
      <sharedItems containsString="0" containsBlank="1" containsNumber="1" containsInteger="1" minValue="659" maxValue="2386"/>
    </cacheField>
    <cacheField name="Trenes Atrasados" numFmtId="0">
      <sharedItems containsString="0" containsBlank="1" containsNumber="1" containsInteger="1" minValue="25" maxValue="376"/>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Martin Ralph" refreshedDate="45583.470956018522" createdVersion="6" refreshedVersion="6" minRefreshableVersion="3" recordCount="381">
  <cacheSource type="worksheet">
    <worksheetSource name="RED"/>
  </cacheSource>
  <cacheFields count="18">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Regularidad Absoluta" numFmtId="10">
      <sharedItems containsSemiMixedTypes="0" containsString="0" containsNumber="1" minValue="0.55163217769976036" maxValue="0.97854515447768498"/>
    </cacheField>
    <cacheField name="Regularidad Relativa" numFmtId="10">
      <sharedItems containsSemiMixedTypes="0" containsString="0" containsNumber="1" minValue="0.65518623952527966" maxValue="0.9856168822021244"/>
    </cacheField>
    <cacheField name="Cumplimiento de Programa" numFmtId="10">
      <sharedItems containsSemiMixedTypes="0" containsString="0" containsNumber="1" minValue="0.81288649808520463" maxValue="0.99522264287001982"/>
    </cacheField>
    <cacheField name="Trenes Programados por Día Hábil" numFmtId="3">
      <sharedItems containsSemiMixedTypes="0" containsString="0" containsNumber="1" minValue="0" maxValue="2383"/>
    </cacheField>
    <cacheField name="Coches por Tren Día Hábil" numFmtId="167">
      <sharedItems containsSemiMixedTypes="0" containsString="0" containsNumber="1" minValue="0" maxValue="6.5469873491590418"/>
    </cacheField>
    <cacheField name="Trenes Programados" numFmtId="3">
      <sharedItems containsSemiMixedTypes="0" containsString="0" containsNumber="1" containsInteger="1" minValue="46864" maxValue="78489"/>
    </cacheField>
    <cacheField name="Trenes Cancelados" numFmtId="3">
      <sharedItems containsSemiMixedTypes="0" containsString="0" containsNumber="1" containsInteger="1" minValue="299" maxValue="12557"/>
    </cacheField>
    <cacheField name="Trenes Corridos" numFmtId="3">
      <sharedItems containsSemiMixedTypes="0" containsString="0" containsNumber="1" containsInteger="1" minValue="39224" maxValue="77156"/>
    </cacheField>
    <cacheField name="Trenes Puntuales" numFmtId="3">
      <sharedItems containsSemiMixedTypes="0" containsString="0" containsNumber="1" containsInteger="1" minValue="32682" maxValue="74790"/>
    </cacheField>
    <cacheField name="Trenes Atrasados" numFmtId="3">
      <sharedItems containsSemiMixedTypes="0" containsString="0" containsNumber="1" containsInteger="1" minValue="1021" maxValue="17302"/>
    </cacheField>
    <cacheField name="Observaciones" numFmtId="0">
      <sharedItems containsBlank="1"/>
    </cacheField>
    <cacheField name="Regularidad Absoluta " numFmtId="0" formula="'Trenes Puntuales'/'Trenes Programados'" databaseField="0"/>
    <cacheField name="Regularidad Relativa " numFmtId="0" formula="'Trenes Puntuales'/'Trenes Corridos'" databaseField="0"/>
    <cacheField name="Cumplimiento de Programa " numFmtId="0" formula="'Trenes Corridos'/'Trenes Programados'" databaseField="0"/>
    <cacheField name="Regularidad Absoluta CC" numFmtId="0" formula="'Trenes Puntuales'/'Trenes Programados'" databaseField="0"/>
    <cacheField name="Cumplimiento de Programa CC" numFmtId="0" formula="'Trenes Corridos'/'Trenes Programados'"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81">
  <r>
    <x v="0"/>
    <s v="Enero"/>
    <n v="0.80596813394544964"/>
    <n v="0.896650142706925"/>
    <n v="0.89886578449905485"/>
    <n v="0"/>
    <n v="0"/>
    <n v="14812"/>
    <n v="1498"/>
    <n v="13314"/>
    <n v="11938"/>
    <n v="1376"/>
    <m/>
  </r>
  <r>
    <x v="0"/>
    <s v="Febrero"/>
    <n v="0.72908772952491985"/>
    <n v="0.83127025006230792"/>
    <n v="0.87707665403672397"/>
    <n v="0"/>
    <n v="0"/>
    <n v="13724"/>
    <n v="1687"/>
    <n v="12037"/>
    <n v="10006"/>
    <n v="2031"/>
    <m/>
  </r>
  <r>
    <x v="0"/>
    <s v="Marzo"/>
    <n v="0.6631173242748889"/>
    <n v="0.79348080981786917"/>
    <n v="0.83570681996341778"/>
    <n v="0"/>
    <n v="0"/>
    <n v="15308"/>
    <n v="2515"/>
    <n v="12793"/>
    <n v="10151"/>
    <n v="2642"/>
    <m/>
  </r>
  <r>
    <x v="0"/>
    <s v="Abril"/>
    <n v="0.77012131715771226"/>
    <n v="0.86870503597122306"/>
    <n v="0.88651646447140386"/>
    <n v="0"/>
    <n v="0"/>
    <n v="14425"/>
    <n v="1637"/>
    <n v="12788"/>
    <n v="11109"/>
    <n v="1679"/>
    <m/>
  </r>
  <r>
    <x v="0"/>
    <s v="Mayo"/>
    <n v="0.75830271094779167"/>
    <n v="0.82774540225535453"/>
    <n v="0.91610621923316926"/>
    <n v="0"/>
    <n v="0"/>
    <n v="14423"/>
    <n v="1210"/>
    <n v="13213"/>
    <n v="10937"/>
    <n v="2276"/>
    <m/>
  </r>
  <r>
    <x v="0"/>
    <s v="Junio"/>
    <n v="0.72039863405115334"/>
    <n v="0.83315870073345688"/>
    <n v="0.86465955815736284"/>
    <n v="0"/>
    <n v="0"/>
    <n v="14349"/>
    <n v="1942"/>
    <n v="12407"/>
    <n v="10337"/>
    <n v="2070"/>
    <m/>
  </r>
  <r>
    <x v="0"/>
    <s v="Julio"/>
    <n v="0.75643178612211992"/>
    <n v="0.87613786664591919"/>
    <n v="0.86337072613689791"/>
    <n v="0"/>
    <n v="0"/>
    <n v="14887"/>
    <n v="2034"/>
    <n v="12853"/>
    <n v="11261"/>
    <n v="1592"/>
    <m/>
  </r>
  <r>
    <x v="0"/>
    <s v="Agosto"/>
    <n v="0.75646434403919438"/>
    <n v="0.86716068642745714"/>
    <n v="0.87234621665759393"/>
    <n v="0"/>
    <n v="0"/>
    <n v="14696"/>
    <n v="1876"/>
    <n v="12820"/>
    <n v="11117"/>
    <n v="1703"/>
    <m/>
  </r>
  <r>
    <x v="0"/>
    <s v="Septiembre"/>
    <n v="0.80990153172866519"/>
    <n v="0.90164433617539586"/>
    <n v="0.89824945295404812"/>
    <n v="0"/>
    <n v="0"/>
    <n v="14624"/>
    <n v="1488"/>
    <n v="13136"/>
    <n v="11844"/>
    <n v="1292"/>
    <m/>
  </r>
  <r>
    <x v="0"/>
    <s v="Octubre"/>
    <n v="0.79934524621470471"/>
    <n v="0.89193302891933024"/>
    <n v="0.89619424362297095"/>
    <n v="0"/>
    <n v="0"/>
    <n v="14662"/>
    <n v="1522"/>
    <n v="13140"/>
    <n v="11720"/>
    <n v="1420"/>
    <m/>
  </r>
  <r>
    <x v="0"/>
    <s v="Noviembre"/>
    <n v="0.76962527352297594"/>
    <n v="0.86543637062668199"/>
    <n v="0.88929157549234139"/>
    <n v="0"/>
    <n v="0"/>
    <n v="14624"/>
    <n v="1619"/>
    <n v="13005"/>
    <n v="11255"/>
    <n v="1750"/>
    <m/>
  </r>
  <r>
    <x v="0"/>
    <s v="Diciembre"/>
    <n v="0.77666332330324306"/>
    <n v="0.89857651245551606"/>
    <n v="0.86432631227014378"/>
    <n v="0"/>
    <n v="0"/>
    <n v="14955"/>
    <n v="2029"/>
    <n v="12926"/>
    <n v="11615"/>
    <n v="1311"/>
    <m/>
  </r>
  <r>
    <x v="1"/>
    <s v="Enero"/>
    <n v="0.79348565211478306"/>
    <n v="0.90583760285669923"/>
    <n v="0.87596899224806202"/>
    <n v="0"/>
    <n v="0"/>
    <n v="14706"/>
    <n v="1824"/>
    <n v="12882"/>
    <n v="11669"/>
    <n v="1213"/>
    <m/>
  </r>
  <r>
    <x v="1"/>
    <s v="Febrero"/>
    <n v="0.74080070650574037"/>
    <n v="0.87843616371411115"/>
    <n v="0.8433176332057698"/>
    <n v="0"/>
    <n v="0"/>
    <n v="13588"/>
    <n v="2129"/>
    <n v="11459"/>
    <n v="10066"/>
    <n v="1393"/>
    <m/>
  </r>
  <r>
    <x v="1"/>
    <s v="Marzo"/>
    <n v="0.7361092780783951"/>
    <n v="0.84828897338403042"/>
    <n v="0.8677576877392108"/>
    <n v="0"/>
    <n v="0"/>
    <n v="15154"/>
    <n v="2004"/>
    <n v="13150"/>
    <n v="11155"/>
    <n v="1995"/>
    <m/>
  </r>
  <r>
    <x v="1"/>
    <s v="Abril"/>
    <n v="0.74793014680303349"/>
    <n v="0.83644568938686581"/>
    <n v="0.8941765810895429"/>
    <n v="0"/>
    <n v="0"/>
    <n v="14373"/>
    <n v="1521"/>
    <n v="12852"/>
    <n v="10750"/>
    <n v="2102"/>
    <m/>
  </r>
  <r>
    <x v="1"/>
    <s v="Mayo"/>
    <n v="0.79613763089895284"/>
    <n v="0.87588838183586448"/>
    <n v="0.90894872841017271"/>
    <n v="0"/>
    <n v="0"/>
    <n v="14706"/>
    <n v="1339"/>
    <n v="13367"/>
    <n v="11708"/>
    <n v="1659"/>
    <m/>
  </r>
  <r>
    <x v="1"/>
    <s v="Junio"/>
    <n v="0.71153295128939831"/>
    <n v="0.8458656220727242"/>
    <n v="0.84118911174785105"/>
    <n v="0"/>
    <n v="0"/>
    <n v="13960"/>
    <n v="2217"/>
    <n v="11743"/>
    <n v="9933"/>
    <n v="1810"/>
    <m/>
  </r>
  <r>
    <x v="1"/>
    <s v="Julio"/>
    <n v="0.80032037888285279"/>
    <n v="0.90967384420519315"/>
    <n v="0.87978827134698423"/>
    <n v="0"/>
    <n v="0"/>
    <n v="14358"/>
    <n v="1726"/>
    <n v="12632"/>
    <n v="11491"/>
    <n v="1141"/>
    <m/>
  </r>
  <r>
    <x v="1"/>
    <s v="Agosto"/>
    <n v="0.85069161920260372"/>
    <n v="0.90998766954377308"/>
    <n v="0.93483862218605918"/>
    <n v="0"/>
    <n v="0"/>
    <n v="14748"/>
    <n v="961"/>
    <n v="13787"/>
    <n v="12546"/>
    <n v="1241"/>
    <m/>
  </r>
  <r>
    <x v="1"/>
    <s v="Septiembre"/>
    <n v="0.86206896551724133"/>
    <n v="0.9276506966693987"/>
    <n v="0.92930342057886717"/>
    <n v="0"/>
    <n v="0"/>
    <n v="14442"/>
    <n v="1021"/>
    <n v="13421"/>
    <n v="12450"/>
    <n v="971"/>
    <m/>
  </r>
  <r>
    <x v="1"/>
    <s v="Octubre"/>
    <n v="0.82275515126455789"/>
    <n v="0.91081782117790666"/>
    <n v="0.90331472675901037"/>
    <n v="0"/>
    <n v="0"/>
    <n v="14511"/>
    <n v="1403"/>
    <n v="13108"/>
    <n v="11939"/>
    <n v="1169"/>
    <m/>
  </r>
  <r>
    <x v="1"/>
    <s v="Noviembre"/>
    <n v="0.86186123805567094"/>
    <n v="0.92275187189561869"/>
    <n v="0.93401190970779668"/>
    <n v="0"/>
    <n v="0"/>
    <n v="14442"/>
    <n v="953"/>
    <n v="13489"/>
    <n v="12447"/>
    <n v="1042"/>
    <m/>
  </r>
  <r>
    <x v="1"/>
    <s v="Diciembre"/>
    <n v="0.78345058626465658"/>
    <n v="0.87300283709123483"/>
    <n v="0.89742043551088779"/>
    <n v="0"/>
    <n v="0"/>
    <n v="14925"/>
    <n v="1531"/>
    <n v="13394"/>
    <n v="11693"/>
    <n v="1701"/>
    <m/>
  </r>
  <r>
    <x v="2"/>
    <s v="Enero"/>
    <n v="0.81814483319772169"/>
    <n v="0.90375252790053184"/>
    <n v="0.90527529156495801"/>
    <n v="0"/>
    <n v="0"/>
    <n v="14748"/>
    <n v="1397"/>
    <n v="13351"/>
    <n v="12066"/>
    <n v="1285"/>
    <m/>
  </r>
  <r>
    <x v="2"/>
    <s v="Febrero"/>
    <n v="0.81611508646392372"/>
    <n v="0.87641079004242373"/>
    <n v="0.93120155038759689"/>
    <n v="0"/>
    <n v="0"/>
    <n v="13416"/>
    <n v="923"/>
    <n v="12493"/>
    <n v="10949"/>
    <n v="1544"/>
    <m/>
  </r>
  <r>
    <x v="2"/>
    <s v="Marzo"/>
    <n v="0.74764292878635907"/>
    <n v="0.83733992361267129"/>
    <n v="0.89287863590772321"/>
    <n v="0"/>
    <n v="0"/>
    <n v="14955"/>
    <n v="1602"/>
    <n v="13353"/>
    <n v="11181"/>
    <n v="2172"/>
    <m/>
  </r>
  <r>
    <x v="2"/>
    <s v="Abril"/>
    <n v="0.72288898414059155"/>
    <n v="0.82094759045919197"/>
    <n v="0.88055436490927275"/>
    <n v="0"/>
    <n v="0"/>
    <n v="13998"/>
    <n v="1672"/>
    <n v="12326"/>
    <n v="10119"/>
    <n v="2207"/>
    <m/>
  </r>
  <r>
    <x v="2"/>
    <s v="Mayo"/>
    <n v="0.71512820512820507"/>
    <n v="0.84506615493384507"/>
    <n v="0.84623931623931625"/>
    <n v="0"/>
    <n v="0"/>
    <n v="11700"/>
    <n v="1799"/>
    <n v="9901"/>
    <n v="8367"/>
    <n v="1534"/>
    <m/>
  </r>
  <r>
    <x v="2"/>
    <s v="Junio"/>
    <n v="0.81372854914196568"/>
    <n v="0.86730961090788161"/>
    <n v="0.9382215288611544"/>
    <n v="0"/>
    <n v="0"/>
    <n v="12820"/>
    <n v="792"/>
    <n v="12028"/>
    <n v="10432"/>
    <n v="1596"/>
    <m/>
  </r>
  <r>
    <x v="2"/>
    <s v="Julio"/>
    <n v="0.8507050660299933"/>
    <n v="0.8800555727076258"/>
    <n v="0.96664925762888909"/>
    <n v="0"/>
    <n v="0"/>
    <n v="13403"/>
    <n v="447"/>
    <n v="12956"/>
    <n v="11402"/>
    <n v="1554"/>
    <m/>
  </r>
  <r>
    <x v="2"/>
    <s v="Agosto"/>
    <n v="0.9066636918042541"/>
    <n v="0.91393657695479424"/>
    <n v="0.9920422430462591"/>
    <n v="0"/>
    <n v="0"/>
    <n v="13446"/>
    <n v="107"/>
    <n v="13339"/>
    <n v="12191"/>
    <n v="1148"/>
    <m/>
  </r>
  <r>
    <x v="2"/>
    <s v="Septiembre"/>
    <n v="0.88297142857142852"/>
    <n v="0.89442000463070159"/>
    <n v="0.98719999999999997"/>
    <n v="0"/>
    <n v="0"/>
    <n v="13125"/>
    <n v="168"/>
    <n v="12957"/>
    <n v="11589"/>
    <n v="1368"/>
    <m/>
  </r>
  <r>
    <x v="2"/>
    <s v="Octubre"/>
    <n v="0.964328899637243"/>
    <n v="0.96652022420845329"/>
    <n v="0.99773276904474006"/>
    <n v="0"/>
    <n v="0"/>
    <n v="13232"/>
    <n v="30"/>
    <n v="13202"/>
    <n v="12760"/>
    <n v="442"/>
    <m/>
  </r>
  <r>
    <x v="2"/>
    <s v="Noviembre"/>
    <n v="0.97151321786690981"/>
    <n v="0.97336174746936599"/>
    <n v="0.99810088119112728"/>
    <n v="0"/>
    <n v="0"/>
    <n v="13164"/>
    <n v="25"/>
    <n v="13139"/>
    <n v="12789"/>
    <n v="350"/>
    <m/>
  </r>
  <r>
    <x v="2"/>
    <s v="Diciembre"/>
    <n v="0.96262113520996773"/>
    <n v="0.96425269645608624"/>
    <n v="0.99830795262267347"/>
    <n v="0"/>
    <n v="0"/>
    <n v="13002"/>
    <n v="22"/>
    <n v="12980"/>
    <n v="12516"/>
    <n v="464"/>
    <m/>
  </r>
  <r>
    <x v="3"/>
    <s v="Enero"/>
    <n v="0.97020414290002999"/>
    <n v="0.97393204249227761"/>
    <n v="0.99617232062443706"/>
    <n v="0"/>
    <n v="0"/>
    <n v="13324"/>
    <n v="51"/>
    <n v="13273"/>
    <n v="12927"/>
    <n v="346"/>
    <m/>
  </r>
  <r>
    <x v="3"/>
    <s v="Febrero"/>
    <n v="0.9767058823529412"/>
    <n v="0.97885552586071367"/>
    <n v="0.99780392156862741"/>
    <n v="0"/>
    <n v="0"/>
    <n v="12750"/>
    <n v="28"/>
    <n v="12722"/>
    <n v="12453"/>
    <n v="269"/>
    <m/>
  </r>
  <r>
    <x v="3"/>
    <s v="Marzo"/>
    <n v="0.97656481756155444"/>
    <n v="0.97845147867439441"/>
    <n v="0.99807178878671021"/>
    <n v="0"/>
    <n v="0"/>
    <n v="13484"/>
    <n v="26"/>
    <n v="13458"/>
    <n v="13168"/>
    <n v="290"/>
    <m/>
  </r>
  <r>
    <x v="3"/>
    <s v="Abril"/>
    <n v="0.96266375545851524"/>
    <n v="0.97422110922884286"/>
    <n v="0.98813682678311499"/>
    <n v="0"/>
    <n v="0"/>
    <n v="13740"/>
    <n v="163"/>
    <n v="13577"/>
    <n v="13227"/>
    <n v="350"/>
    <m/>
  </r>
  <r>
    <x v="3"/>
    <s v="Mayo"/>
    <n v="0.9733144073811214"/>
    <n v="0.97678062678062683"/>
    <n v="0.99645138396025545"/>
    <n v="0"/>
    <n v="0"/>
    <n v="14090"/>
    <n v="50"/>
    <n v="14040"/>
    <n v="13714"/>
    <n v="326"/>
    <m/>
  </r>
  <r>
    <x v="3"/>
    <s v="Junio"/>
    <n v="0.96394196236172969"/>
    <n v="0.96616270698344131"/>
    <n v="0.99770147967246081"/>
    <n v="0"/>
    <n v="0"/>
    <n v="13922"/>
    <n v="32"/>
    <n v="13890"/>
    <n v="13420"/>
    <n v="470"/>
    <m/>
  </r>
  <r>
    <x v="3"/>
    <s v="Julio"/>
    <n v="0.96754157483470249"/>
    <n v="0.97084841174105352"/>
    <n v="0.99659386896413549"/>
    <n v="0"/>
    <n v="0"/>
    <n v="14973"/>
    <n v="51"/>
    <n v="14922"/>
    <n v="14487"/>
    <n v="435"/>
    <m/>
  </r>
  <r>
    <x v="3"/>
    <s v="Agosto"/>
    <n v="0.95120155298212727"/>
    <n v="0.97871754253047727"/>
    <n v="0.97188566838476476"/>
    <n v="0"/>
    <n v="0"/>
    <n v="14939"/>
    <n v="420"/>
    <n v="14519"/>
    <n v="14210"/>
    <n v="309"/>
    <m/>
  </r>
  <r>
    <x v="3"/>
    <s v="Septiembre"/>
    <n v="0.96134465382756951"/>
    <n v="0.97856942102304667"/>
    <n v="0.98239801201076826"/>
    <n v="0"/>
    <n v="0"/>
    <n v="14487"/>
    <n v="255"/>
    <n v="14232"/>
    <n v="13927"/>
    <n v="305"/>
    <m/>
  </r>
  <r>
    <x v="3"/>
    <s v="Octubre"/>
    <n v="0.93843098311817275"/>
    <n v="0.97476275615458674"/>
    <n v="0.96272757365110895"/>
    <n v="0"/>
    <n v="0"/>
    <n v="15105"/>
    <n v="563"/>
    <n v="14542"/>
    <n v="14175"/>
    <n v="367"/>
    <m/>
  </r>
  <r>
    <x v="3"/>
    <s v="Noviembre"/>
    <n v="0.9718406123983323"/>
    <n v="0.97718369871486499"/>
    <n v="0.99453215774724901"/>
    <n v="0"/>
    <n v="0"/>
    <n v="14631"/>
    <n v="80"/>
    <n v="14551"/>
    <n v="14219"/>
    <n v="332"/>
    <m/>
  </r>
  <r>
    <x v="3"/>
    <s v="Diciembre"/>
    <n v="0.90241125251172138"/>
    <n v="0.9652529015618283"/>
    <n v="0.93489618218352311"/>
    <n v="0"/>
    <n v="0"/>
    <n v="14930"/>
    <n v="972"/>
    <n v="13958"/>
    <n v="13473"/>
    <n v="485"/>
    <m/>
  </r>
  <r>
    <x v="4"/>
    <s v="Enero"/>
    <n v="0.97108338284808871"/>
    <n v="0.9772123305872974"/>
    <n v="0.99372813098303292"/>
    <n v="0"/>
    <n v="0"/>
    <n v="15147"/>
    <n v="95"/>
    <n v="15052"/>
    <n v="14709"/>
    <n v="343"/>
    <m/>
  </r>
  <r>
    <x v="4"/>
    <s v="Febrero"/>
    <n v="0.96518895348837208"/>
    <n v="0.97069141938313108"/>
    <n v="0.99433139534883719"/>
    <n v="0"/>
    <n v="0"/>
    <n v="13760"/>
    <n v="78"/>
    <n v="13682"/>
    <n v="13281"/>
    <n v="401"/>
    <m/>
  </r>
  <r>
    <x v="4"/>
    <s v="Marzo"/>
    <n v="0.96094013064852857"/>
    <n v="0.96405648267008981"/>
    <n v="0.99676745908815412"/>
    <n v="0"/>
    <n v="0"/>
    <n v="14849"/>
    <n v="48"/>
    <n v="14801"/>
    <n v="14269"/>
    <n v="532"/>
    <m/>
  </r>
  <r>
    <x v="4"/>
    <s v="Abril"/>
    <n v="0.97025896951712975"/>
    <n v="0.97143821742066172"/>
    <n v="0.99878608038845429"/>
    <n v="0"/>
    <n v="0"/>
    <n v="14828"/>
    <n v="18"/>
    <n v="14810"/>
    <n v="14387"/>
    <n v="423"/>
    <m/>
  </r>
  <r>
    <x v="4"/>
    <s v="Mayo"/>
    <n v="0.96690981432360745"/>
    <n v="0.97032009050375989"/>
    <n v="0.99648541114058353"/>
    <n v="0"/>
    <n v="0"/>
    <n v="15080"/>
    <n v="53"/>
    <n v="15027"/>
    <n v="14581"/>
    <n v="446"/>
    <m/>
  </r>
  <r>
    <x v="4"/>
    <s v="Junio"/>
    <n v="0.9633008209950179"/>
    <n v="0.96526508226691043"/>
    <n v="0.9979650550838538"/>
    <n v="0"/>
    <n v="0"/>
    <n v="14251"/>
    <n v="29"/>
    <n v="14222"/>
    <n v="13728"/>
    <n v="494"/>
    <m/>
  </r>
  <r>
    <x v="4"/>
    <s v="Julio"/>
    <n v="0.97574123989218331"/>
    <n v="0.97644736842105262"/>
    <n v="0.99927683912957732"/>
    <n v="0"/>
    <n v="0"/>
    <n v="15211"/>
    <n v="11"/>
    <n v="15200"/>
    <n v="14842"/>
    <n v="358"/>
    <m/>
  </r>
  <r>
    <x v="4"/>
    <s v="Agosto"/>
    <n v="0.96384816228158265"/>
    <n v="0.97600162700833837"/>
    <n v="0.98754770034143402"/>
    <n v="0"/>
    <n v="0"/>
    <n v="14937"/>
    <n v="186"/>
    <n v="14751"/>
    <n v="14397"/>
    <n v="354"/>
    <m/>
  </r>
  <r>
    <x v="4"/>
    <s v="Septiembre"/>
    <n v="0.98577944727663003"/>
    <n v="0.98697112155809263"/>
    <n v="0.99879259458009118"/>
    <n v="0"/>
    <n v="0"/>
    <n v="14908"/>
    <n v="18"/>
    <n v="14890"/>
    <n v="14696"/>
    <n v="194"/>
    <m/>
  </r>
  <r>
    <x v="4"/>
    <s v="Octubre"/>
    <n v="0.97669601242879334"/>
    <n v="0.97745529930033692"/>
    <n v="0.99922320041429313"/>
    <n v="0"/>
    <n v="0"/>
    <n v="15448"/>
    <n v="12"/>
    <n v="15436"/>
    <n v="15088"/>
    <n v="348"/>
    <m/>
  </r>
  <r>
    <x v="4"/>
    <s v="Noviembre"/>
    <n v="0.98302648689343641"/>
    <n v="0.98558978933644414"/>
    <n v="0.99739921976592982"/>
    <n v="0"/>
    <n v="0"/>
    <n v="14611"/>
    <n v="38"/>
    <n v="14573"/>
    <n v="14363"/>
    <n v="210"/>
    <m/>
  </r>
  <r>
    <x v="4"/>
    <s v="Diciembre"/>
    <n v="0.96187608124559487"/>
    <n v="0.96533984952736163"/>
    <n v="0.99641186647017366"/>
    <n v="0"/>
    <n v="0"/>
    <n v="15607"/>
    <n v="56"/>
    <n v="15551"/>
    <n v="15012"/>
    <n v="539"/>
    <m/>
  </r>
  <r>
    <x v="5"/>
    <s v="Enero"/>
    <n v="0.97831202696686381"/>
    <n v="0.98061966084406482"/>
    <n v="0.99764675952426385"/>
    <n v="0"/>
    <n v="0"/>
    <n v="15723"/>
    <n v="37"/>
    <n v="15686"/>
    <n v="15382"/>
    <n v="304"/>
    <m/>
  </r>
  <r>
    <x v="5"/>
    <s v="Febrero"/>
    <n v="0.97418591706095181"/>
    <n v="0.98053084949926461"/>
    <n v="0.99352908433064291"/>
    <n v="0"/>
    <n v="0"/>
    <n v="14372"/>
    <n v="93"/>
    <n v="14279"/>
    <n v="14001"/>
    <n v="278"/>
    <m/>
  </r>
  <r>
    <x v="5"/>
    <s v="Marzo"/>
    <n v="0.97953124012887738"/>
    <n v="0.9810807390534042"/>
    <n v="0.99842062038031465"/>
    <n v="0"/>
    <n v="0"/>
    <n v="15829"/>
    <n v="25"/>
    <n v="15804"/>
    <n v="15505"/>
    <n v="299"/>
    <m/>
  </r>
  <r>
    <x v="5"/>
    <s v="Abril"/>
    <n v="0.96411028882048599"/>
    <n v="0.96715064713225152"/>
    <n v="0.99685637566310825"/>
    <n v="0"/>
    <n v="0"/>
    <n v="15269"/>
    <n v="48"/>
    <n v="15221"/>
    <n v="14721"/>
    <n v="500"/>
    <m/>
  </r>
  <r>
    <x v="5"/>
    <s v="Mayo"/>
    <n v="0.98075160403299722"/>
    <n v="0.98216627327563599"/>
    <n v="0.99855964383920393"/>
    <n v="0"/>
    <n v="0"/>
    <n v="15274"/>
    <n v="22"/>
    <n v="15252"/>
    <n v="14980"/>
    <n v="272"/>
    <m/>
  </r>
  <r>
    <x v="5"/>
    <s v="Junio"/>
    <n v="0.97827656362801074"/>
    <n v="0.98246770366464542"/>
    <n v="0.99573406838616529"/>
    <n v="0"/>
    <n v="0"/>
    <n v="15237"/>
    <n v="65"/>
    <n v="15172"/>
    <n v="14906"/>
    <n v="266"/>
    <m/>
  </r>
  <r>
    <x v="5"/>
    <s v="Julio"/>
    <n v="0.97491392031480573"/>
    <n v="0.97695625385089335"/>
    <n v="0.99790949335956713"/>
    <n v="0"/>
    <n v="0"/>
    <n v="16264"/>
    <n v="34"/>
    <n v="16230"/>
    <n v="15856"/>
    <n v="374"/>
    <m/>
  </r>
  <r>
    <x v="5"/>
    <s v="Agosto"/>
    <n v="0.9742672440846043"/>
    <n v="0.97696519604758014"/>
    <n v="0.99723843595054285"/>
    <n v="0"/>
    <n v="0"/>
    <n v="15933"/>
    <n v="44"/>
    <n v="15889"/>
    <n v="15523"/>
    <n v="366"/>
    <m/>
  </r>
  <r>
    <x v="5"/>
    <s v="Septiembre"/>
    <n v="0.96063041567248519"/>
    <n v="0.97607502870996554"/>
    <n v="0.98417681778224286"/>
    <n v="0"/>
    <n v="0"/>
    <n v="15926"/>
    <n v="252"/>
    <n v="15674"/>
    <n v="15299"/>
    <n v="375"/>
    <m/>
  </r>
  <r>
    <x v="5"/>
    <s v="Octubre"/>
    <n v="0.98237912699394092"/>
    <n v="0.98450957308383424"/>
    <n v="0.99783603313960678"/>
    <n v="0"/>
    <n v="0"/>
    <n v="16174"/>
    <n v="35"/>
    <n v="16139"/>
    <n v="15889"/>
    <n v="250"/>
    <m/>
  </r>
  <r>
    <x v="5"/>
    <s v="Noviembre"/>
    <n v="0.96735942879000381"/>
    <n v="0.97783219487047301"/>
    <n v="0.98928981257172"/>
    <n v="0"/>
    <n v="0"/>
    <n v="15686"/>
    <n v="168"/>
    <n v="15518"/>
    <n v="15174"/>
    <n v="344"/>
    <m/>
  </r>
  <r>
    <x v="5"/>
    <s v="Diciembre"/>
    <n v="0.94564403394907637"/>
    <n v="0.98293980280228332"/>
    <n v="0.96205691462805787"/>
    <n v="0"/>
    <n v="0"/>
    <n v="16024"/>
    <n v="608"/>
    <n v="15416"/>
    <n v="15153"/>
    <n v="263"/>
    <m/>
  </r>
  <r>
    <x v="6"/>
    <s v="Enero"/>
    <n v="0.98537626310173854"/>
    <n v="0.98704891236011572"/>
    <n v="0.99830540387874223"/>
    <n v="0"/>
    <n v="0"/>
    <n v="15933"/>
    <n v="27"/>
    <n v="15906"/>
    <n v="15700"/>
    <n v="206"/>
    <m/>
  </r>
  <r>
    <x v="6"/>
    <s v="Febrero"/>
    <n v="0.98105035192203571"/>
    <n v="0.98498335258544545"/>
    <n v="0.9960070384407147"/>
    <n v="0"/>
    <n v="0"/>
    <n v="14776"/>
    <n v="59"/>
    <n v="14717"/>
    <n v="14496"/>
    <n v="221"/>
    <m/>
  </r>
  <r>
    <x v="6"/>
    <s v="Marzo"/>
    <n v="0.98466573731741314"/>
    <n v="0.9863995142683667"/>
    <n v="0.99824231771622518"/>
    <n v="0"/>
    <n v="0"/>
    <n v="16499"/>
    <n v="29"/>
    <n v="16470"/>
    <n v="16246"/>
    <n v="224"/>
    <m/>
  </r>
  <r>
    <x v="6"/>
    <s v="Abril"/>
    <n v="0.98102077455757886"/>
    <n v="0.98310094454796637"/>
    <n v="0.99788407283918956"/>
    <n v="0"/>
    <n v="0"/>
    <n v="15596"/>
    <n v="33"/>
    <n v="15563"/>
    <n v="15300"/>
    <n v="263"/>
    <m/>
  </r>
  <r>
    <x v="6"/>
    <s v="Mayo"/>
    <n v="0.96300769084090765"/>
    <n v="0.97283934763066648"/>
    <n v="0.98989385368334071"/>
    <n v="0"/>
    <n v="0"/>
    <n v="15733"/>
    <n v="159"/>
    <n v="15574"/>
    <n v="15151"/>
    <n v="423"/>
    <m/>
  </r>
  <r>
    <x v="6"/>
    <s v="Junio"/>
    <n v="0.96666666666666667"/>
    <n v="0.97012691181256105"/>
    <n v="0.99643320363164722"/>
    <n v="0"/>
    <n v="0"/>
    <n v="15420"/>
    <n v="55"/>
    <n v="15365"/>
    <n v="14906"/>
    <n v="459"/>
    <m/>
  </r>
  <r>
    <x v="6"/>
    <s v="Julio"/>
    <n v="0.96795189685097938"/>
    <n v="0.97162591002426735"/>
    <n v="0.99621869575998012"/>
    <n v="0"/>
    <n v="0"/>
    <n v="16132"/>
    <n v="61"/>
    <n v="16071"/>
    <n v="15615"/>
    <n v="456"/>
    <m/>
  </r>
  <r>
    <x v="6"/>
    <s v="Agosto"/>
    <n v="0.97640062597809074"/>
    <n v="0.97701221421860318"/>
    <n v="0.99937402190923319"/>
    <n v="0"/>
    <n v="0"/>
    <n v="15975"/>
    <n v="10"/>
    <n v="15965"/>
    <n v="15598"/>
    <n v="367"/>
    <m/>
  </r>
  <r>
    <x v="6"/>
    <s v="Septiembre"/>
    <n v="0.97530553105707452"/>
    <n v="0.98285931945149818"/>
    <n v="0.99231447650245685"/>
    <n v="0"/>
    <n v="0"/>
    <n v="15874"/>
    <n v="122"/>
    <n v="15752"/>
    <n v="15482"/>
    <n v="270"/>
    <m/>
  </r>
  <r>
    <x v="6"/>
    <s v="Octubre"/>
    <n v="0.97815686768223598"/>
    <n v="0.98099747474747478"/>
    <n v="0.99710436862646357"/>
    <n v="0"/>
    <n v="0"/>
    <n v="15886"/>
    <n v="46"/>
    <n v="15840"/>
    <n v="15539"/>
    <n v="301"/>
    <m/>
  </r>
  <r>
    <x v="6"/>
    <s v="Noviembre"/>
    <n v="0.973664314516129"/>
    <n v="0.98002409791362799"/>
    <n v="0.99351058467741937"/>
    <n v="0"/>
    <n v="0"/>
    <n v="15872"/>
    <n v="103"/>
    <n v="15769"/>
    <n v="15454"/>
    <n v="315"/>
    <m/>
  </r>
  <r>
    <x v="6"/>
    <s v="Diciembre"/>
    <n v="0.93483943241224798"/>
    <n v="0.96511179645335388"/>
    <n v="0.96863330843913364"/>
    <n v="0"/>
    <n v="0"/>
    <n v="16068"/>
    <n v="504"/>
    <n v="15564"/>
    <n v="15021"/>
    <n v="543"/>
    <m/>
  </r>
  <r>
    <x v="7"/>
    <s v="Enero"/>
    <n v="0.97877668565704623"/>
    <n v="0.98401309164149042"/>
    <n v="0.99467852000250423"/>
    <n v="0"/>
    <n v="0"/>
    <n v="15973"/>
    <n v="85"/>
    <n v="15888"/>
    <n v="15634"/>
    <n v="254"/>
    <m/>
  </r>
  <r>
    <x v="7"/>
    <s v="Febrero"/>
    <n v="0.96425070256845957"/>
    <n v="0.97521316676581404"/>
    <n v="0.98875890464675509"/>
    <n v="0"/>
    <n v="0"/>
    <n v="15301"/>
    <n v="172"/>
    <n v="15129"/>
    <n v="14754"/>
    <n v="375"/>
    <m/>
  </r>
  <r>
    <x v="7"/>
    <s v="Marzo"/>
    <n v="0.9528210116731517"/>
    <n v="0.96968197005321122"/>
    <n v="0.98261186770428011"/>
    <n v="0"/>
    <n v="0"/>
    <n v="16448"/>
    <n v="286"/>
    <n v="16162"/>
    <n v="15672"/>
    <n v="490"/>
    <m/>
  </r>
  <r>
    <x v="7"/>
    <s v="Abril"/>
    <n v="0.9555816839767457"/>
    <n v="0.96205445218992502"/>
    <n v="0.99327193154353643"/>
    <n v="0"/>
    <n v="0"/>
    <n v="15309"/>
    <n v="103"/>
    <n v="15206"/>
    <n v="14629"/>
    <n v="577"/>
    <m/>
  </r>
  <r>
    <x v="7"/>
    <s v="Mayo"/>
    <n v="0.94239689106180269"/>
    <n v="0.96236318248735842"/>
    <n v="0.97925285194935441"/>
    <n v="0"/>
    <n v="0"/>
    <n v="15954"/>
    <n v="331"/>
    <n v="15623"/>
    <n v="15035"/>
    <n v="588"/>
    <m/>
  </r>
  <r>
    <x v="7"/>
    <s v="Junio"/>
    <n v="0.8909278883432411"/>
    <n v="0.93585827733659133"/>
    <n v="0.95199017834065647"/>
    <n v="0"/>
    <n v="0"/>
    <n v="15476"/>
    <n v="743"/>
    <n v="14733"/>
    <n v="13788"/>
    <n v="945"/>
    <m/>
  </r>
  <r>
    <x v="7"/>
    <s v="Julio"/>
    <n v="0.96315854870775353"/>
    <n v="0.97008948125899508"/>
    <n v="0.99285536779324057"/>
    <n v="0"/>
    <n v="0"/>
    <n v="16096"/>
    <n v="115"/>
    <n v="15981"/>
    <n v="15503"/>
    <n v="478"/>
    <m/>
  </r>
  <r>
    <x v="7"/>
    <s v="Agosto"/>
    <n v="0.96060755742158555"/>
    <n v="0.97359198998748431"/>
    <n v="0.98666337367251178"/>
    <n v="0"/>
    <n v="0"/>
    <n v="16196"/>
    <n v="216"/>
    <n v="15980"/>
    <n v="15558"/>
    <n v="422"/>
    <m/>
  </r>
  <r>
    <x v="7"/>
    <s v="Septiembre"/>
    <n v="0.9544589623239883"/>
    <n v="0.97008767405879315"/>
    <n v="0.98388938221489286"/>
    <n v="0"/>
    <n v="0"/>
    <n v="15766"/>
    <n v="254"/>
    <n v="15512"/>
    <n v="15048"/>
    <n v="464"/>
    <m/>
  </r>
  <r>
    <x v="7"/>
    <s v="Octubre"/>
    <n v="0.95776942355889727"/>
    <n v="0.9713414246679799"/>
    <n v="0.98602756892230581"/>
    <n v="0"/>
    <n v="0"/>
    <n v="15960"/>
    <n v="223"/>
    <n v="15737"/>
    <n v="15286"/>
    <n v="451"/>
    <m/>
  </r>
  <r>
    <x v="7"/>
    <s v="Noviembre"/>
    <n v="0.92936427850655901"/>
    <n v="0.97816130102887489"/>
    <n v="0.95011352169525731"/>
    <n v="0"/>
    <n v="0"/>
    <n v="15856"/>
    <n v="791"/>
    <n v="15065"/>
    <n v="14736"/>
    <n v="329"/>
    <m/>
  </r>
  <r>
    <x v="7"/>
    <s v="Diciembre"/>
    <n v="0.94339622641509435"/>
    <n v="0.97263435542367294"/>
    <n v="0.9699392388871122"/>
    <n v="0"/>
    <n v="0"/>
    <n v="15635"/>
    <n v="470"/>
    <n v="15165"/>
    <n v="14750"/>
    <n v="415"/>
    <m/>
  </r>
  <r>
    <x v="8"/>
    <s v="Enero"/>
    <n v="0.95552810376775787"/>
    <n v="0.97387472458293989"/>
    <n v="0.98116121062384187"/>
    <n v="0"/>
    <n v="0"/>
    <n v="16190"/>
    <n v="305"/>
    <n v="15885"/>
    <n v="15470"/>
    <n v="415"/>
    <m/>
  </r>
  <r>
    <x v="8"/>
    <s v="Febrero"/>
    <n v="0.95452073419442551"/>
    <n v="0.97277262020230015"/>
    <n v="0.98123725356900071"/>
    <n v="0"/>
    <n v="0"/>
    <n v="14710"/>
    <n v="276"/>
    <n v="14434"/>
    <n v="14041"/>
    <n v="393"/>
    <m/>
  </r>
  <r>
    <x v="8"/>
    <s v="Marzo"/>
    <n v="0.94215230166503428"/>
    <n v="0.96163698844111212"/>
    <n v="0.97973800195886385"/>
    <n v="0"/>
    <n v="0"/>
    <n v="16336"/>
    <n v="331"/>
    <n v="16005"/>
    <n v="15391"/>
    <n v="614"/>
    <m/>
  </r>
  <r>
    <x v="8"/>
    <s v="Abril"/>
    <n v="0.95820341007098786"/>
    <n v="0.97825792468165806"/>
    <n v="0.97949976779672265"/>
    <n v="0"/>
    <n v="0"/>
    <n v="15073"/>
    <n v="309"/>
    <n v="14764"/>
    <n v="14443"/>
    <n v="321"/>
    <m/>
  </r>
  <r>
    <x v="8"/>
    <s v="Mayo"/>
    <n v="0.93859264364935147"/>
    <n v="0.95201474513791784"/>
    <n v="0.98590137226643271"/>
    <n v="0"/>
    <n v="0"/>
    <n v="15959"/>
    <n v="225"/>
    <n v="15734"/>
    <n v="14979"/>
    <n v="755"/>
    <m/>
  </r>
  <r>
    <x v="8"/>
    <s v="Junio"/>
    <n v="0.95422353850115893"/>
    <n v="0.97964174763698852"/>
    <n v="0.97405356682977084"/>
    <n v="0"/>
    <n v="0"/>
    <n v="15532"/>
    <n v="403"/>
    <n v="15129"/>
    <n v="14821"/>
    <n v="308"/>
    <m/>
  </r>
  <r>
    <x v="8"/>
    <s v="Julio"/>
    <n v="0.94760591626974178"/>
    <n v="0.98752530860165899"/>
    <n v="0.95957633492103289"/>
    <n v="0"/>
    <n v="0"/>
    <n v="15956"/>
    <n v="645"/>
    <n v="15311"/>
    <n v="15120"/>
    <n v="191"/>
    <m/>
  </r>
  <r>
    <x v="8"/>
    <s v="Agosto"/>
    <n v="0.97671833508306061"/>
    <n v="0.98732754853611338"/>
    <n v="0.9892546161921818"/>
    <n v="0"/>
    <n v="0"/>
    <n v="16193"/>
    <n v="174"/>
    <n v="16019"/>
    <n v="15816"/>
    <n v="203"/>
    <m/>
  </r>
  <r>
    <x v="8"/>
    <s v="Septiembre"/>
    <n v="0.97695494562402896"/>
    <n v="0.98351254480286743"/>
    <n v="0.99333247022268256"/>
    <n v="0"/>
    <n v="0"/>
    <n v="15448"/>
    <n v="103"/>
    <n v="15345"/>
    <n v="15092"/>
    <n v="253"/>
    <m/>
  </r>
  <r>
    <x v="8"/>
    <s v="Octubre"/>
    <n v="0.97032878909382514"/>
    <n v="0.97580645161290325"/>
    <n v="0.99438652766639934"/>
    <n v="0"/>
    <n v="0"/>
    <n v="16211"/>
    <n v="91"/>
    <n v="16120"/>
    <n v="15730"/>
    <n v="390"/>
    <m/>
  </r>
  <r>
    <x v="8"/>
    <s v="Noviembre"/>
    <n v="0.96332440362291105"/>
    <n v="0.97369608664818519"/>
    <n v="0.98934813113917597"/>
    <n v="0"/>
    <n v="0"/>
    <n v="15678"/>
    <n v="167"/>
    <n v="15511"/>
    <n v="15103"/>
    <n v="408"/>
    <m/>
  </r>
  <r>
    <x v="8"/>
    <s v="Diciembre"/>
    <n v="0.87515988743924278"/>
    <n v="0.98135398737808377"/>
    <n v="0.89178818112049119"/>
    <n v="0"/>
    <n v="0"/>
    <n v="15636"/>
    <n v="1692"/>
    <n v="13944"/>
    <n v="13684"/>
    <n v="260"/>
    <m/>
  </r>
  <r>
    <x v="9"/>
    <s v="Enero"/>
    <n v="0.93791478012776774"/>
    <n v="0.98226696979538808"/>
    <n v="0.95484711282019474"/>
    <n v="0"/>
    <n v="0"/>
    <n v="16123"/>
    <n v="728"/>
    <n v="15395"/>
    <n v="15122"/>
    <n v="273"/>
    <m/>
  </r>
  <r>
    <x v="9"/>
    <s v="Febrero"/>
    <n v="0.92442654287274717"/>
    <n v="0.98237086477074864"/>
    <n v="0.94101583833970504"/>
    <n v="0"/>
    <n v="0"/>
    <n v="14648"/>
    <n v="864"/>
    <n v="13784"/>
    <n v="13541"/>
    <n v="243"/>
    <m/>
  </r>
  <r>
    <x v="9"/>
    <s v="Marzo"/>
    <n v="0.9186149936467598"/>
    <n v="0.97954068152564189"/>
    <n v="0.9378017789072427"/>
    <n v="0"/>
    <n v="0"/>
    <n v="15740"/>
    <n v="979"/>
    <n v="14761"/>
    <n v="14459"/>
    <n v="302"/>
    <m/>
  </r>
  <r>
    <x v="9"/>
    <s v="Abril"/>
    <n v="0.88168724279835387"/>
    <n v="0.96870363829035677"/>
    <n v="0.91017232510288071"/>
    <n v="0"/>
    <n v="0"/>
    <n v="15552"/>
    <n v="1397"/>
    <n v="14155"/>
    <n v="13712"/>
    <n v="443"/>
    <m/>
  </r>
  <r>
    <x v="9"/>
    <s v="Mayo"/>
    <n v="0.9015018773466833"/>
    <n v="0.96432157440257049"/>
    <n v="0.93485607008760951"/>
    <n v="0"/>
    <n v="0"/>
    <n v="15980"/>
    <n v="1041"/>
    <n v="14939"/>
    <n v="14406"/>
    <n v="533"/>
    <m/>
  </r>
  <r>
    <x v="9"/>
    <s v="Junio"/>
    <n v="0.86392592106127275"/>
    <n v="0.93080025472298877"/>
    <n v="0.92815393708544036"/>
    <n v="0"/>
    <n v="0"/>
    <n v="15227"/>
    <n v="1094"/>
    <n v="14133"/>
    <n v="13155"/>
    <n v="978"/>
    <m/>
  </r>
  <r>
    <x v="9"/>
    <s v="Julio"/>
    <n v="0.87283731735648351"/>
    <n v="0.94038993544987481"/>
    <n v="0.92816531148743653"/>
    <n v="0"/>
    <n v="0"/>
    <n v="16357"/>
    <n v="1175"/>
    <n v="15182"/>
    <n v="14277"/>
    <n v="905"/>
    <m/>
  </r>
  <r>
    <x v="9"/>
    <s v="Agosto"/>
    <n v="0.88529191616766467"/>
    <n v="0.95069997990488309"/>
    <n v="0.93120009980039919"/>
    <n v="0"/>
    <n v="0"/>
    <n v="16032"/>
    <n v="1103"/>
    <n v="14929"/>
    <n v="14193"/>
    <n v="736"/>
    <m/>
  </r>
  <r>
    <x v="9"/>
    <s v="Septiembre"/>
    <n v="0.90625"/>
    <n v="0.96666666666666667"/>
    <n v="0.9375"/>
    <n v="0"/>
    <n v="0"/>
    <n v="16000"/>
    <n v="1000"/>
    <n v="15000"/>
    <n v="14500"/>
    <n v="500"/>
    <m/>
  </r>
  <r>
    <x v="9"/>
    <s v="Octubre"/>
    <n v="0.95489992201715623"/>
    <n v="0.96887775286825795"/>
    <n v="0.98557317390174159"/>
    <n v="0"/>
    <n v="0"/>
    <n v="15388"/>
    <n v="222"/>
    <n v="15166"/>
    <n v="14694"/>
    <n v="472"/>
    <m/>
  </r>
  <r>
    <x v="9"/>
    <s v="Noviembre"/>
    <n v="0.96366083445491246"/>
    <n v="0.97025543736025477"/>
    <n v="0.99320323014804845"/>
    <n v="0"/>
    <n v="0"/>
    <n v="14860"/>
    <n v="101"/>
    <n v="14759"/>
    <n v="14320"/>
    <n v="439"/>
    <m/>
  </r>
  <r>
    <x v="9"/>
    <s v="Diciembre"/>
    <n v="0.95442448436460414"/>
    <n v="0.97024010821778828"/>
    <n v="0.98369926813040587"/>
    <n v="0"/>
    <n v="0"/>
    <n v="15030"/>
    <n v="245"/>
    <n v="14785"/>
    <n v="14345"/>
    <n v="440"/>
    <m/>
  </r>
  <r>
    <x v="10"/>
    <s v="Enero"/>
    <n v="0.96625163826998695"/>
    <n v="0.9729462223688552"/>
    <n v="0.99311926605504586"/>
    <n v="0"/>
    <n v="0"/>
    <n v="15260"/>
    <n v="105"/>
    <n v="15155"/>
    <n v="14745"/>
    <n v="410"/>
    <m/>
  </r>
  <r>
    <x v="10"/>
    <s v="Febrero"/>
    <n v="0.94570233631381595"/>
    <n v="0.96165126851444493"/>
    <n v="0.98341505624459191"/>
    <n v="0"/>
    <n v="0"/>
    <n v="13868"/>
    <n v="230"/>
    <n v="13638"/>
    <n v="13115"/>
    <n v="523"/>
    <m/>
  </r>
  <r>
    <x v="10"/>
    <s v="Marzo"/>
    <n v="0.92161456590133206"/>
    <n v="0.96556560768637356"/>
    <n v="0.95448155833723813"/>
    <n v="0"/>
    <n v="0"/>
    <n v="14939"/>
    <n v="680"/>
    <n v="14259"/>
    <n v="13768"/>
    <n v="491"/>
    <m/>
  </r>
  <r>
    <x v="10"/>
    <s v="Abril"/>
    <n v="0.94792651627718494"/>
    <n v="0.96599903640993878"/>
    <n v="0.98129136836417663"/>
    <n v="0"/>
    <n v="0"/>
    <n v="14806"/>
    <n v="277"/>
    <n v="14529"/>
    <n v="14035"/>
    <n v="494"/>
    <m/>
  </r>
  <r>
    <x v="10"/>
    <s v="Mayo"/>
    <n v="0.94606214578854797"/>
    <n v="0.97014028056112223"/>
    <n v="0.97518076998241154"/>
    <n v="0"/>
    <n v="0"/>
    <n v="15351"/>
    <n v="381"/>
    <n v="14970"/>
    <n v="14523"/>
    <n v="447"/>
    <m/>
  </r>
  <r>
    <x v="10"/>
    <s v="Junio"/>
    <n v="0.9497713778748379"/>
    <n v="0.96894799136670617"/>
    <n v="0.98020883095611822"/>
    <n v="0"/>
    <n v="0"/>
    <n v="14653"/>
    <n v="290"/>
    <n v="14363"/>
    <n v="13917"/>
    <n v="446"/>
    <m/>
  </r>
  <r>
    <x v="10"/>
    <s v="Julio"/>
    <n v="0.92664042841473648"/>
    <n v="0.9518822905620361"/>
    <n v="0.97348216013936384"/>
    <n v="0"/>
    <n v="0"/>
    <n v="15499"/>
    <n v="411"/>
    <n v="15088"/>
    <n v="14362"/>
    <n v="726"/>
    <m/>
  </r>
  <r>
    <x v="10"/>
    <s v="Agosto"/>
    <n v="0.88929074970882116"/>
    <n v="0.90448282311864825"/>
    <n v="0.98320357996689756"/>
    <n v="0"/>
    <n v="0"/>
    <n v="16313"/>
    <n v="274"/>
    <n v="16039"/>
    <n v="14507"/>
    <n v="1532"/>
    <m/>
  </r>
  <r>
    <x v="10"/>
    <s v="Septiembre"/>
    <n v="0.9509040517355154"/>
    <n v="0.96111518708730737"/>
    <n v="0.98937574237824999"/>
    <n v="0"/>
    <n v="0"/>
    <n v="15154"/>
    <n v="161"/>
    <n v="14993"/>
    <n v="14410"/>
    <n v="583"/>
    <m/>
  </r>
  <r>
    <x v="10"/>
    <s v="Octubre"/>
    <n v="0.93200180983776093"/>
    <n v="0.952000528192262"/>
    <n v="0.97899295456014479"/>
    <n v="0"/>
    <n v="0"/>
    <n v="15471"/>
    <n v="325"/>
    <n v="15146"/>
    <n v="14419"/>
    <n v="727"/>
    <m/>
  </r>
  <r>
    <x v="10"/>
    <s v="Noviembre"/>
    <n v="0.91584625758597438"/>
    <n v="0.94064685920077573"/>
    <n v="0.9736345246122724"/>
    <n v="0"/>
    <n v="0"/>
    <n v="14830"/>
    <n v="391"/>
    <n v="14439"/>
    <n v="13582"/>
    <n v="857"/>
    <m/>
  </r>
  <r>
    <x v="10"/>
    <s v="Diciembre"/>
    <n v="0.91254428552683375"/>
    <n v="0.9341168569509738"/>
    <n v="0.97690591785854874"/>
    <n v="0"/>
    <n v="0"/>
    <n v="15242"/>
    <n v="352"/>
    <n v="14890"/>
    <n v="13909"/>
    <n v="981"/>
    <m/>
  </r>
  <r>
    <x v="11"/>
    <s v="Enero"/>
    <n v="0.93748375357421365"/>
    <n v="0.94758276405675246"/>
    <n v="0.98934234468416948"/>
    <n v="0"/>
    <n v="0"/>
    <n v="15388"/>
    <n v="164"/>
    <n v="15224"/>
    <n v="14426"/>
    <n v="798"/>
    <m/>
  </r>
  <r>
    <x v="11"/>
    <s v="Febrero"/>
    <n v="0.9536290322580645"/>
    <n v="0.96037247076944621"/>
    <n v="0.99297830923248054"/>
    <n v="0"/>
    <n v="0"/>
    <n v="14384"/>
    <n v="101"/>
    <n v="14283"/>
    <n v="13717"/>
    <n v="566"/>
    <m/>
  </r>
  <r>
    <x v="11"/>
    <s v="Marzo"/>
    <n v="0.87218332272437937"/>
    <n v="0.89526298595230314"/>
    <n v="0.97422024188415024"/>
    <n v="0"/>
    <n v="0"/>
    <n v="15710"/>
    <n v="405"/>
    <n v="15305"/>
    <n v="13702"/>
    <n v="1603"/>
    <m/>
  </r>
  <r>
    <x v="11"/>
    <s v="Abril"/>
    <n v="0.87399904181780852"/>
    <n v="0.89488437281009114"/>
    <n v="0.97666141947847507"/>
    <n v="0"/>
    <n v="0"/>
    <n v="14611"/>
    <n v="341"/>
    <n v="14270"/>
    <n v="12770"/>
    <n v="1500"/>
    <m/>
  </r>
  <r>
    <x v="11"/>
    <s v="Mayo"/>
    <n v="0.92186876081458802"/>
    <n v="0.93323452132318263"/>
    <n v="0.98782111007586848"/>
    <n v="0"/>
    <n v="0"/>
    <n v="15026"/>
    <n v="183"/>
    <n v="14843"/>
    <n v="13852"/>
    <n v="991"/>
    <m/>
  </r>
  <r>
    <x v="11"/>
    <s v="Junio"/>
    <n v="0.9251942137690865"/>
    <n v="0.93584880097547762"/>
    <n v="0.98861505491561752"/>
    <n v="0"/>
    <n v="0"/>
    <n v="14932"/>
    <n v="170"/>
    <n v="14762"/>
    <n v="13815"/>
    <n v="947"/>
    <m/>
  </r>
  <r>
    <x v="11"/>
    <s v="Julio"/>
    <n v="0.85104308832131015"/>
    <n v="0.87691689546641671"/>
    <n v="0.97049457334113209"/>
    <n v="0"/>
    <n v="0"/>
    <n v="15387"/>
    <n v="454"/>
    <n v="14933"/>
    <n v="13095"/>
    <n v="1838"/>
    <m/>
  </r>
  <r>
    <x v="11"/>
    <s v="Agosto"/>
    <n v="0.83583557332983671"/>
    <n v="0.86322702958900399"/>
    <n v="0.96826853733691731"/>
    <n v="0"/>
    <n v="0"/>
    <n v="15253"/>
    <n v="484"/>
    <n v="14769"/>
    <n v="12749"/>
    <n v="2020"/>
    <m/>
  </r>
  <r>
    <x v="11"/>
    <s v="Septiembre"/>
    <n v="0.9027539860324153"/>
    <n v="0.91597031887158231"/>
    <n v="0.98557122150480958"/>
    <n v="0"/>
    <n v="0"/>
    <n v="15178"/>
    <n v="219"/>
    <n v="14959"/>
    <n v="13702"/>
    <n v="1257"/>
    <m/>
  </r>
  <r>
    <x v="11"/>
    <s v="Octubre"/>
    <n v="0.9051253371932364"/>
    <n v="0.91481579997340068"/>
    <n v="0.98940719784196329"/>
    <n v="0"/>
    <n v="0"/>
    <n v="15199"/>
    <n v="161"/>
    <n v="15038"/>
    <n v="13757"/>
    <n v="1281"/>
    <m/>
  </r>
  <r>
    <x v="11"/>
    <s v="Noviembre"/>
    <n v="0.86709193739313428"/>
    <n v="0.88907619689817941"/>
    <n v="0.97527291858476917"/>
    <n v="0"/>
    <n v="0"/>
    <n v="15206"/>
    <n v="376"/>
    <n v="14830"/>
    <n v="13185"/>
    <n v="1645"/>
    <m/>
  </r>
  <r>
    <x v="11"/>
    <s v="Diciembre"/>
    <n v="0.88499704278110014"/>
    <n v="0.91134871760167824"/>
    <n v="0.97108497075639089"/>
    <n v="0"/>
    <n v="0"/>
    <n v="15217"/>
    <n v="440"/>
    <n v="14777"/>
    <n v="13467"/>
    <n v="1310"/>
    <m/>
  </r>
  <r>
    <x v="12"/>
    <s v="Enero"/>
    <n v="0.89181286549707606"/>
    <n v="0.91404440811878496"/>
    <n v="0.97567783094098881"/>
    <n v="0"/>
    <n v="0"/>
    <n v="15048"/>
    <n v="366"/>
    <n v="14682"/>
    <n v="13420"/>
    <n v="1262"/>
    <m/>
  </r>
  <r>
    <x v="12"/>
    <s v="Febrero"/>
    <n v="0.86634448932487018"/>
    <n v="0.89049525504151839"/>
    <n v="0.97287939988459315"/>
    <n v="0"/>
    <n v="0"/>
    <n v="13864"/>
    <n v="376"/>
    <n v="13488"/>
    <n v="12011"/>
    <n v="1477"/>
    <m/>
  </r>
  <r>
    <x v="12"/>
    <s v="Marzo"/>
    <n v="0.8482604992465439"/>
    <n v="0.87450185748058085"/>
    <n v="0.96999279302889341"/>
    <n v="0"/>
    <n v="0"/>
    <n v="15263"/>
    <n v="458"/>
    <n v="14805"/>
    <n v="12947"/>
    <n v="1858"/>
    <m/>
  </r>
  <r>
    <x v="12"/>
    <s v="Abril"/>
    <n v="0.84176570458404076"/>
    <n v="0.86256089074460685"/>
    <n v="0.97589134125636667"/>
    <n v="0"/>
    <n v="0"/>
    <n v="14725"/>
    <n v="355"/>
    <n v="14370"/>
    <n v="12395"/>
    <n v="1975"/>
    <m/>
  </r>
  <r>
    <x v="12"/>
    <s v="Mayo"/>
    <n v="0.85180754917597024"/>
    <n v="0.87417308872672717"/>
    <n v="0.97441520467836262"/>
    <n v="0"/>
    <n v="0"/>
    <n v="15048"/>
    <n v="385"/>
    <n v="14663"/>
    <n v="12818"/>
    <n v="1845"/>
    <m/>
  </r>
  <r>
    <x v="12"/>
    <s v="Junio"/>
    <n v="0.81259757008077105"/>
    <n v="0.83318254575822948"/>
    <n v="0.9752935586777981"/>
    <n v="0"/>
    <n v="0"/>
    <n v="14733"/>
    <n v="364"/>
    <n v="14369"/>
    <n v="11972"/>
    <n v="2397"/>
    <m/>
  </r>
  <r>
    <x v="12"/>
    <s v="Julio"/>
    <n v="0.8296502753998275"/>
    <n v="0.8525059665871122"/>
    <n v="0.97318999270024553"/>
    <n v="0"/>
    <n v="0"/>
    <n v="15069"/>
    <n v="404"/>
    <n v="14665"/>
    <n v="12502"/>
    <n v="2163"/>
    <m/>
  </r>
  <r>
    <x v="12"/>
    <s v="Agosto"/>
    <n v="0.82296368989205104"/>
    <n v="0.86596447748864103"/>
    <n v="0.9503434739941119"/>
    <n v="0"/>
    <n v="0"/>
    <n v="15285"/>
    <n v="759"/>
    <n v="14526"/>
    <n v="12579"/>
    <n v="1947"/>
    <m/>
  </r>
  <r>
    <x v="12"/>
    <s v="Septiembre"/>
    <n v="0.65338858441384839"/>
    <n v="0.68743407636593767"/>
    <n v="0.95047453548990779"/>
    <n v="0"/>
    <n v="0"/>
    <n v="14962"/>
    <n v="741"/>
    <n v="14221"/>
    <n v="9776"/>
    <n v="4445"/>
    <m/>
  </r>
  <r>
    <x v="12"/>
    <s v="Octubre"/>
    <n v="0.76634641046170271"/>
    <n v="0.80209497206703906"/>
    <n v="0.9554310114758473"/>
    <n v="0"/>
    <n v="0"/>
    <n v="14988"/>
    <n v="668"/>
    <n v="14320"/>
    <n v="11486"/>
    <n v="2834"/>
    <m/>
  </r>
  <r>
    <x v="12"/>
    <s v="Noviembre"/>
    <n v="0.83636242148870776"/>
    <n v="0.86485179299385062"/>
    <n v="0.96705866631030335"/>
    <n v="0"/>
    <n v="0"/>
    <n v="14966"/>
    <n v="493"/>
    <n v="14473"/>
    <n v="12517"/>
    <n v="1956"/>
    <m/>
  </r>
  <r>
    <x v="12"/>
    <s v="Diciembre"/>
    <n v="0.89075243357011313"/>
    <n v="0.91377100060724648"/>
    <n v="0.97480926072086294"/>
    <n v="0"/>
    <n v="0"/>
    <n v="15204"/>
    <n v="383"/>
    <n v="14821"/>
    <n v="13543"/>
    <n v="1278"/>
    <m/>
  </r>
  <r>
    <x v="13"/>
    <s v="Enero"/>
    <n v="0.89430309372751648"/>
    <n v="0.9288722826086957"/>
    <n v="0.96278370069984953"/>
    <n v="0"/>
    <n v="0"/>
    <n v="15289"/>
    <n v="569"/>
    <n v="14720"/>
    <n v="13673"/>
    <n v="1047"/>
    <m/>
  </r>
  <r>
    <x v="13"/>
    <s v="Febrero"/>
    <n v="0.8358155002891845"/>
    <n v="0.87477300242130751"/>
    <n v="0.95546558704453444"/>
    <n v="0"/>
    <n v="0"/>
    <n v="13832"/>
    <n v="616"/>
    <n v="13216"/>
    <n v="11561"/>
    <n v="1655"/>
    <m/>
  </r>
  <r>
    <x v="13"/>
    <s v="Marzo"/>
    <n v="0.73594212430121675"/>
    <n v="0.76691110958810227"/>
    <n v="0.95961854653074652"/>
    <n v="0"/>
    <n v="0"/>
    <n v="15205"/>
    <n v="614"/>
    <n v="14591"/>
    <n v="11190"/>
    <n v="3401"/>
    <m/>
  </r>
  <r>
    <x v="13"/>
    <s v="Abril"/>
    <n v="0.79638135003479471"/>
    <n v="0.83023795705165404"/>
    <n v="0.95922059846903274"/>
    <n v="0"/>
    <n v="0"/>
    <n v="14370"/>
    <n v="586"/>
    <n v="13784"/>
    <n v="11444"/>
    <n v="2340"/>
    <m/>
  </r>
  <r>
    <x v="13"/>
    <s v="Mayo"/>
    <n v="0.85290193462308206"/>
    <n v="0.87875455357756549"/>
    <n v="0.97058038692461646"/>
    <n v="0"/>
    <n v="0"/>
    <n v="14990"/>
    <n v="441"/>
    <n v="14549"/>
    <n v="12785"/>
    <n v="1764"/>
    <m/>
  </r>
  <r>
    <x v="13"/>
    <s v="Junio"/>
    <n v="0.84990107116053759"/>
    <n v="0.87148453896739886"/>
    <n v="0.97523367674148875"/>
    <n v="0"/>
    <n v="0"/>
    <n v="14657"/>
    <n v="363"/>
    <n v="14294"/>
    <n v="12457"/>
    <n v="1837"/>
    <m/>
  </r>
  <r>
    <x v="13"/>
    <s v="Julio"/>
    <n v="0.90788167560055588"/>
    <n v="0.9275234940166317"/>
    <n v="0.97882337370127726"/>
    <n v="0"/>
    <n v="0"/>
    <n v="15111"/>
    <n v="320"/>
    <n v="14791"/>
    <n v="13719"/>
    <n v="1072"/>
    <m/>
  </r>
  <r>
    <x v="13"/>
    <s v="Agosto"/>
    <n v="0.8888376990917467"/>
    <n v="0.90887677501850728"/>
    <n v="0.97795182308806106"/>
    <n v="0"/>
    <n v="0"/>
    <n v="15194"/>
    <n v="335"/>
    <n v="14859"/>
    <n v="13505"/>
    <n v="1354"/>
    <m/>
  </r>
  <r>
    <x v="13"/>
    <s v="Septiembre"/>
    <n v="0.91671173607355327"/>
    <n v="0.93743518838575868"/>
    <n v="0.97789345592212007"/>
    <n v="0"/>
    <n v="0"/>
    <n v="14792"/>
    <n v="327"/>
    <n v="14465"/>
    <n v="13560"/>
    <n v="905"/>
    <m/>
  </r>
  <r>
    <x v="13"/>
    <s v="Octubre"/>
    <n v="0.90632302864392067"/>
    <n v="0.92617358078602618"/>
    <n v="0.97856713627562264"/>
    <n v="0"/>
    <n v="0"/>
    <n v="14977"/>
    <n v="321"/>
    <n v="14656"/>
    <n v="13574"/>
    <n v="1082"/>
    <m/>
  </r>
  <r>
    <x v="13"/>
    <s v="Noviembre"/>
    <n v="0.91032535627856948"/>
    <n v="0.93052978767264483"/>
    <n v="0.97828717397149767"/>
    <n v="0"/>
    <n v="0"/>
    <n v="14876"/>
    <n v="323"/>
    <n v="14553"/>
    <n v="13542"/>
    <n v="1011"/>
    <m/>
  </r>
  <r>
    <x v="13"/>
    <s v="Diciembre"/>
    <n v="0.89055472263868063"/>
    <n v="0.91679528553388523"/>
    <n v="0.97137794738994143"/>
    <n v="0"/>
    <n v="0"/>
    <n v="14674"/>
    <n v="420"/>
    <n v="14254"/>
    <n v="13068"/>
    <n v="1186"/>
    <m/>
  </r>
  <r>
    <x v="14"/>
    <s v="Enero"/>
    <n v="0.92069237857048836"/>
    <n v="0.93948959032907997"/>
    <n v="0.97999210214558374"/>
    <n v="0"/>
    <n v="0"/>
    <n v="15194"/>
    <n v="304"/>
    <n v="14890"/>
    <n v="13989"/>
    <n v="901"/>
    <m/>
  </r>
  <r>
    <x v="14"/>
    <s v="Febrero"/>
    <n v="0.90111561866125756"/>
    <n v="0.92181710389802873"/>
    <n v="0.97754274123442475"/>
    <n v="0"/>
    <n v="0"/>
    <n v="13804"/>
    <n v="310"/>
    <n v="13494"/>
    <n v="12439"/>
    <n v="1055"/>
    <m/>
  </r>
  <r>
    <x v="14"/>
    <s v="Marzo"/>
    <n v="0.89383967355535077"/>
    <n v="0.91349969731620362"/>
    <n v="0.97847834671580891"/>
    <n v="0"/>
    <n v="0"/>
    <n v="15194"/>
    <n v="327"/>
    <n v="14867"/>
    <n v="13581"/>
    <n v="1286"/>
    <m/>
  </r>
  <r>
    <x v="14"/>
    <s v="Abril"/>
    <n v="0.84376318379974691"/>
    <n v="0.87970090169342419"/>
    <n v="0.95914779918436222"/>
    <n v="0"/>
    <n v="0"/>
    <n v="14222"/>
    <n v="581"/>
    <n v="13641"/>
    <n v="12000"/>
    <n v="1641"/>
    <m/>
  </r>
  <r>
    <x v="14"/>
    <s v="Mayo"/>
    <n v="0.83907585470085466"/>
    <n v="0.86931857488758213"/>
    <n v="0.96521100427350426"/>
    <n v="0"/>
    <n v="0"/>
    <n v="14976"/>
    <n v="521"/>
    <n v="14455"/>
    <n v="12566"/>
    <n v="1889"/>
    <m/>
  </r>
  <r>
    <x v="14"/>
    <s v="Junio"/>
    <n v="0.83194949564262677"/>
    <n v="0.86445632798573979"/>
    <n v="0.96239621217319704"/>
    <n v="0"/>
    <n v="0"/>
    <n v="14573"/>
    <n v="548"/>
    <n v="14025"/>
    <n v="12124"/>
    <n v="1901"/>
    <m/>
  </r>
  <r>
    <x v="14"/>
    <s v="Julio"/>
    <n v="0.82671360255047821"/>
    <n v="0.85693631669535286"/>
    <n v="0.96473166843783209"/>
    <n v="0"/>
    <n v="0"/>
    <n v="15056"/>
    <n v="531"/>
    <n v="14525"/>
    <n v="12447"/>
    <n v="2078"/>
    <m/>
  </r>
  <r>
    <x v="14"/>
    <s v="Agosto"/>
    <n v="0.85890617818921933"/>
    <n v="0.88129884128267311"/>
    <n v="0.97459129407130196"/>
    <n v="0"/>
    <n v="0"/>
    <n v="15231"/>
    <n v="387"/>
    <n v="14844"/>
    <n v="13082"/>
    <n v="1762"/>
    <m/>
  </r>
  <r>
    <x v="14"/>
    <s v="Septiembre"/>
    <n v="0.86766114684549067"/>
    <n v="0.88895120583286591"/>
    <n v="0.97605036266593681"/>
    <n v="0"/>
    <n v="0"/>
    <n v="14614"/>
    <n v="350"/>
    <n v="14264"/>
    <n v="12680"/>
    <n v="1584"/>
    <m/>
  </r>
  <r>
    <x v="14"/>
    <s v="Octubre"/>
    <n v="0.87452421577634865"/>
    <n v="0.90223425863236295"/>
    <n v="0.96928730804567531"/>
    <n v="0"/>
    <n v="0"/>
    <n v="15238"/>
    <n v="468"/>
    <n v="14770"/>
    <n v="13326"/>
    <n v="1444"/>
    <m/>
  </r>
  <r>
    <x v="14"/>
    <s v="Noviembre"/>
    <n v="0.8910187667560322"/>
    <n v="0.9151235630205824"/>
    <n v="0.97365951742627344"/>
    <n v="0"/>
    <n v="0"/>
    <n v="14920"/>
    <n v="393"/>
    <n v="14527"/>
    <n v="13294"/>
    <n v="1233"/>
    <m/>
  </r>
  <r>
    <x v="14"/>
    <s v="Diciembre"/>
    <n v="0.89289816879518891"/>
    <n v="0.92496150076998462"/>
    <n v="0.96533549564159737"/>
    <n v="0"/>
    <n v="0"/>
    <n v="14799"/>
    <n v="513"/>
    <n v="14286"/>
    <n v="13214"/>
    <n v="1072"/>
    <m/>
  </r>
  <r>
    <x v="15"/>
    <s v="Enero"/>
    <n v="0.91932839247065001"/>
    <n v="0.94193938579396541"/>
    <n v="0.9759952777595593"/>
    <n v="0"/>
    <n v="0"/>
    <n v="15247"/>
    <n v="366"/>
    <n v="14881"/>
    <n v="14017"/>
    <n v="864"/>
    <m/>
  </r>
  <r>
    <x v="15"/>
    <s v="Febrero"/>
    <n v="0.91737317581653921"/>
    <n v="0.93777083185337784"/>
    <n v="0.97824878387769287"/>
    <n v="0"/>
    <n v="0"/>
    <n v="14390"/>
    <n v="313"/>
    <n v="14077"/>
    <n v="13201"/>
    <n v="876"/>
    <m/>
  </r>
  <r>
    <x v="15"/>
    <s v="Marzo"/>
    <n v="0.90262782644123041"/>
    <n v="0.92331735778287138"/>
    <n v="0.97759217763291917"/>
    <n v="0"/>
    <n v="0"/>
    <n v="14727"/>
    <n v="330"/>
    <n v="14397"/>
    <n v="13293"/>
    <n v="1104"/>
    <m/>
  </r>
  <r>
    <x v="15"/>
    <s v="Abril"/>
    <n v="0.86625416468348404"/>
    <n v="0.89573226464177735"/>
    <n v="0.96709050112191475"/>
    <n v="0"/>
    <n v="0"/>
    <n v="14707"/>
    <n v="484"/>
    <n v="14223"/>
    <n v="12740"/>
    <n v="1483"/>
    <m/>
  </r>
  <r>
    <x v="15"/>
    <s v="Mayo"/>
    <n v="0.91310945437751534"/>
    <n v="0.93067043238517921"/>
    <n v="0.98113083063930862"/>
    <n v="0"/>
    <n v="0"/>
    <n v="15157"/>
    <n v="286"/>
    <n v="14871"/>
    <n v="13840"/>
    <n v="1031"/>
    <m/>
  </r>
  <r>
    <x v="15"/>
    <s v="Junio"/>
    <n v="0.90668783214852644"/>
    <n v="0.92488031540411153"/>
    <n v="0.98032990544551035"/>
    <n v="0"/>
    <n v="0"/>
    <n v="14489"/>
    <n v="285"/>
    <n v="14204"/>
    <n v="13137"/>
    <n v="1067"/>
    <m/>
  </r>
  <r>
    <x v="15"/>
    <s v="Julio"/>
    <n v="0.89701541489012793"/>
    <n v="0.90936294720042554"/>
    <n v="0.98642177763201044"/>
    <n v="0"/>
    <n v="0"/>
    <n v="15245"/>
    <n v="207"/>
    <n v="15038"/>
    <n v="13675"/>
    <n v="1363"/>
    <m/>
  </r>
  <r>
    <x v="15"/>
    <s v="Agosto"/>
    <n v="0.91880313273980851"/>
    <n v="0.93253617772946529"/>
    <n v="0.98527344534440053"/>
    <n v="0"/>
    <n v="0"/>
    <n v="14939"/>
    <n v="220"/>
    <n v="14719"/>
    <n v="13726"/>
    <n v="993"/>
    <m/>
  </r>
  <r>
    <x v="15"/>
    <s v="Septiembre"/>
    <n v="0.89520938023450591"/>
    <n v="0.92367784306947809"/>
    <n v="0.96917922948073698"/>
    <n v="0"/>
    <n v="0"/>
    <n v="14925"/>
    <n v="460"/>
    <n v="14465"/>
    <n v="13361"/>
    <n v="1104"/>
    <m/>
  </r>
  <r>
    <x v="15"/>
    <s v="Octubre"/>
    <n v="0.91137496720020994"/>
    <n v="0.92336833709956134"/>
    <n v="0.98701128312778796"/>
    <n v="0"/>
    <n v="0"/>
    <n v="15244"/>
    <n v="198"/>
    <n v="15046"/>
    <n v="13893"/>
    <n v="1153"/>
    <m/>
  </r>
  <r>
    <x v="15"/>
    <s v="Noviembre"/>
    <n v="0.90033518024488679"/>
    <n v="0.916829200334355"/>
    <n v="0.98200971338668852"/>
    <n v="0"/>
    <n v="0"/>
    <n v="14619"/>
    <n v="263"/>
    <n v="14356"/>
    <n v="13162"/>
    <n v="1194"/>
    <m/>
  </r>
  <r>
    <x v="15"/>
    <s v="Diciembre"/>
    <n v="0.90374832663989291"/>
    <n v="0.92612662048151451"/>
    <n v="0.97583668005354751"/>
    <n v="0"/>
    <n v="0"/>
    <n v="14940"/>
    <n v="361"/>
    <n v="14579"/>
    <n v="13502"/>
    <n v="1077"/>
    <m/>
  </r>
  <r>
    <x v="16"/>
    <s v="Enero"/>
    <n v="0.8966157929661579"/>
    <n v="0.91774774162874417"/>
    <n v="0.97697412076974122"/>
    <n v="0"/>
    <n v="0"/>
    <n v="15070"/>
    <n v="347"/>
    <n v="14723"/>
    <n v="13512"/>
    <n v="1211"/>
    <m/>
  </r>
  <r>
    <x v="16"/>
    <s v="Febrero"/>
    <n v="0.90460716348931258"/>
    <n v="0.9194803288314739"/>
    <n v="0.98382437897169261"/>
    <n v="0"/>
    <n v="0"/>
    <n v="13848"/>
    <n v="224"/>
    <n v="13624"/>
    <n v="12527"/>
    <n v="1097"/>
    <m/>
  </r>
  <r>
    <x v="16"/>
    <s v="Marzo"/>
    <n v="0.87456747404844293"/>
    <n v="0.88954314720812178"/>
    <n v="0.98316475911631618"/>
    <n v="0"/>
    <n v="0"/>
    <n v="15028"/>
    <n v="253"/>
    <n v="14775"/>
    <n v="13143"/>
    <n v="1632"/>
    <m/>
  </r>
  <r>
    <x v="16"/>
    <s v="Abril"/>
    <n v="0.85808945334069575"/>
    <n v="0.8886982629208664"/>
    <n v="0.96555770292655996"/>
    <n v="0"/>
    <n v="0"/>
    <n v="14488"/>
    <n v="499"/>
    <n v="13989"/>
    <n v="12432"/>
    <n v="1557"/>
    <m/>
  </r>
  <r>
    <x v="16"/>
    <s v="Mayo"/>
    <n v="0.86141304347826086"/>
    <n v="0.87665929203539827"/>
    <n v="0.9826086956521739"/>
    <n v="0"/>
    <n v="0"/>
    <n v="14720"/>
    <n v="256"/>
    <n v="14464"/>
    <n v="12680"/>
    <n v="1784"/>
    <m/>
  </r>
  <r>
    <x v="16"/>
    <s v="Junio"/>
    <n v="0.84706922344621238"/>
    <n v="0.86639310057031571"/>
    <n v="0.97769617843057255"/>
    <n v="0"/>
    <n v="0"/>
    <n v="14706"/>
    <n v="328"/>
    <n v="14378"/>
    <n v="12457"/>
    <n v="1921"/>
    <m/>
  </r>
  <r>
    <x v="16"/>
    <s v="Julio"/>
    <n v="0.85782146862835651"/>
    <n v="0.88981658910484529"/>
    <n v="0.96404301642805301"/>
    <n v="0"/>
    <n v="0"/>
    <n v="15157"/>
    <n v="545"/>
    <n v="14612"/>
    <n v="13002"/>
    <n v="1610"/>
    <m/>
  </r>
  <r>
    <x v="16"/>
    <s v="Agosto"/>
    <n v="0.83051074369101008"/>
    <n v="0.85242184816214361"/>
    <n v="0.97429546823749913"/>
    <n v="0"/>
    <n v="0"/>
    <n v="14939"/>
    <n v="384"/>
    <n v="14555"/>
    <n v="12407"/>
    <n v="2148"/>
    <m/>
  </r>
  <r>
    <x v="16"/>
    <s v="Septiembre"/>
    <n v="0.85861699276333425"/>
    <n v="0.86968915433690785"/>
    <n v="0.98726882873224342"/>
    <n v="0"/>
    <n v="0"/>
    <n v="14924"/>
    <n v="190"/>
    <n v="14734"/>
    <n v="12814"/>
    <n v="1920"/>
    <m/>
  </r>
  <r>
    <x v="16"/>
    <s v="Octubre"/>
    <n v="0.85451306413301664"/>
    <n v="0.86948640483383688"/>
    <n v="0.98277909738717339"/>
    <n v="0"/>
    <n v="0"/>
    <n v="15156"/>
    <n v="261"/>
    <n v="14895"/>
    <n v="12951"/>
    <n v="1944"/>
    <m/>
  </r>
  <r>
    <x v="16"/>
    <s v="Noviembre"/>
    <n v="0.83606445910110827"/>
    <n v="0.85794027351381519"/>
    <n v="0.97450193785272321"/>
    <n v="0"/>
    <n v="0"/>
    <n v="14707"/>
    <n v="375"/>
    <n v="14332"/>
    <n v="12296"/>
    <n v="2036"/>
    <m/>
  </r>
  <r>
    <x v="16"/>
    <s v="Diciembre"/>
    <n v="0.79603380581619754"/>
    <n v="0.82382920110192837"/>
    <n v="0.96626073068476737"/>
    <n v="0"/>
    <n v="0"/>
    <n v="15027"/>
    <n v="507"/>
    <n v="14520"/>
    <n v="11962"/>
    <n v="2558"/>
    <m/>
  </r>
  <r>
    <x v="17"/>
    <s v="Enero"/>
    <n v="0.83312136019813909"/>
    <n v="0.85970850314291636"/>
    <n v="0.96907423522324121"/>
    <n v="0"/>
    <n v="0"/>
    <n v="14939"/>
    <n v="462"/>
    <n v="14477"/>
    <n v="12446"/>
    <n v="2031"/>
    <m/>
  </r>
  <r>
    <x v="17"/>
    <s v="Febrero"/>
    <n v="0.82733968804159441"/>
    <n v="0.85499999999999998"/>
    <n v="0.96764875794338534"/>
    <n v="0"/>
    <n v="0"/>
    <n v="13848"/>
    <n v="448"/>
    <n v="13400"/>
    <n v="11457"/>
    <n v="1943"/>
    <m/>
  </r>
  <r>
    <x v="17"/>
    <s v="Marzo"/>
    <n v="0.83673335519842573"/>
    <n v="0.85702768073098634"/>
    <n v="0.97632010495244348"/>
    <n v="0"/>
    <n v="0"/>
    <n v="15245"/>
    <n v="361"/>
    <n v="14884"/>
    <n v="12756"/>
    <n v="2128"/>
    <m/>
  </r>
  <r>
    <x v="17"/>
    <s v="Abril"/>
    <n v="0.83190534475724198"/>
    <n v="0.84576564120290354"/>
    <n v="0.9836121311029512"/>
    <n v="0"/>
    <n v="0"/>
    <n v="14706"/>
    <n v="241"/>
    <n v="14465"/>
    <n v="12234"/>
    <n v="2231"/>
    <m/>
  </r>
  <r>
    <x v="17"/>
    <s v="Mayo"/>
    <n v="0.82734749828649756"/>
    <n v="0.85181003457765858"/>
    <n v="0.97128169979437973"/>
    <n v="0"/>
    <n v="0"/>
    <n v="14590"/>
    <n v="419"/>
    <n v="14171"/>
    <n v="12071"/>
    <n v="2100"/>
    <m/>
  </r>
  <r>
    <x v="17"/>
    <s v="Junio"/>
    <n v="0.84659322725418196"/>
    <n v="0.87123862841147659"/>
    <n v="0.97171222630218956"/>
    <n v="0"/>
    <n v="0"/>
    <n v="14706"/>
    <n v="416"/>
    <n v="14290"/>
    <n v="12450"/>
    <n v="1840"/>
    <m/>
  </r>
  <r>
    <x v="17"/>
    <s v="Julio"/>
    <n v="0.87442259469447015"/>
    <n v="0.89533783783783782"/>
    <n v="0.97663983106770491"/>
    <n v="0"/>
    <n v="0"/>
    <n v="15154"/>
    <n v="354"/>
    <n v="14800"/>
    <n v="13251"/>
    <n v="1549"/>
    <m/>
  </r>
  <r>
    <x v="17"/>
    <s v="Agosto"/>
    <n v="0.88596724803621352"/>
    <n v="0.90077834179357019"/>
    <n v="0.98355744907469045"/>
    <n v="0"/>
    <n v="0"/>
    <n v="15022"/>
    <n v="247"/>
    <n v="14775"/>
    <n v="13309"/>
    <n v="1466"/>
    <m/>
  </r>
  <r>
    <x v="17"/>
    <s v="Septiembre"/>
    <n v="0.8396112600536193"/>
    <n v="0.86208794990021331"/>
    <n v="0.97392761394101879"/>
    <n v="0"/>
    <n v="0"/>
    <n v="14920"/>
    <n v="389"/>
    <n v="14531"/>
    <n v="12527"/>
    <n v="2004"/>
    <m/>
  </r>
  <r>
    <x v="17"/>
    <s v="Octubre"/>
    <n v="0.86870540265035678"/>
    <n v="0.88727701811619353"/>
    <n v="0.9790689772341149"/>
    <n v="0"/>
    <n v="0"/>
    <n v="14715"/>
    <n v="308"/>
    <n v="14407"/>
    <n v="12783"/>
    <n v="1624"/>
    <m/>
  </r>
  <r>
    <x v="17"/>
    <s v="Noviembre"/>
    <n v="0.80463914019454463"/>
    <n v="0.82466536530953705"/>
    <n v="0.97571593769131348"/>
    <n v="0"/>
    <n v="0"/>
    <n v="14701"/>
    <n v="357"/>
    <n v="14344"/>
    <n v="11829"/>
    <n v="2515"/>
    <m/>
  </r>
  <r>
    <x v="17"/>
    <s v="Diciembre"/>
    <n v="0.76229562454491295"/>
    <n v="0.80374092685650478"/>
    <n v="0.9484345005626531"/>
    <n v="0"/>
    <n v="0"/>
    <n v="15107"/>
    <n v="779"/>
    <n v="14328"/>
    <n v="11516"/>
    <n v="2812"/>
    <m/>
  </r>
  <r>
    <x v="18"/>
    <s v="Enero"/>
    <n v="0.59503361959922774"/>
    <n v="0.63642836798632874"/>
    <n v="0.93495772585047598"/>
    <n v="0"/>
    <n v="0"/>
    <n v="15021"/>
    <n v="977"/>
    <n v="14044"/>
    <n v="8938"/>
    <n v="5106"/>
    <m/>
  </r>
  <r>
    <x v="18"/>
    <s v="Febrero"/>
    <n v="0.58299624386015603"/>
    <n v="0.61932166973603442"/>
    <n v="0.94134643166714826"/>
    <n v="0"/>
    <n v="0"/>
    <n v="13844"/>
    <n v="812"/>
    <n v="13032"/>
    <n v="8071"/>
    <n v="4961"/>
    <m/>
  </r>
  <r>
    <x v="18"/>
    <s v="Marzo"/>
    <n v="0.57378960362090248"/>
    <n v="0.60705216571138354"/>
    <n v="0.94520641887258261"/>
    <n v="0"/>
    <n v="0"/>
    <n v="14582"/>
    <n v="799"/>
    <n v="13783"/>
    <n v="8367"/>
    <n v="5416"/>
    <m/>
  </r>
  <r>
    <x v="18"/>
    <s v="Abril"/>
    <n v="0.47796656996822767"/>
    <n v="0.50774084672389752"/>
    <n v="0.94135930377123911"/>
    <n v="0"/>
    <n v="0"/>
    <n v="14478"/>
    <n v="849"/>
    <n v="13629"/>
    <n v="6920"/>
    <n v="6709"/>
    <m/>
  </r>
  <r>
    <x v="18"/>
    <s v="Mayo"/>
    <n v="0.51838039424613747"/>
    <n v="0.55891433905363685"/>
    <n v="0.92747735748534899"/>
    <n v="0"/>
    <n v="0"/>
    <n v="15016"/>
    <n v="1089"/>
    <n v="13927"/>
    <n v="7784"/>
    <n v="6143"/>
    <m/>
  </r>
  <r>
    <x v="18"/>
    <s v="Junio"/>
    <n v="0.58937198067632846"/>
    <n v="0.61008592759543601"/>
    <n v="0.9660474926855821"/>
    <n v="0"/>
    <n v="0"/>
    <n v="14697"/>
    <n v="499"/>
    <n v="14198"/>
    <n v="8662"/>
    <n v="5536"/>
    <m/>
  </r>
  <r>
    <x v="18"/>
    <s v="Julio"/>
    <n v="0.64371337240277038"/>
    <n v="0.675802279242117"/>
    <n v="0.95251731486414493"/>
    <n v="0"/>
    <n v="0"/>
    <n v="15016"/>
    <n v="713"/>
    <n v="14303"/>
    <n v="9666"/>
    <n v="4637"/>
    <m/>
  </r>
  <r>
    <x v="18"/>
    <s v="Agosto"/>
    <n v="0.72989826058418117"/>
    <n v="0.75338753387533874"/>
    <n v="0.9688217919264851"/>
    <n v="0"/>
    <n v="0"/>
    <n v="15235"/>
    <n v="475"/>
    <n v="14760"/>
    <n v="11120"/>
    <n v="3640"/>
    <m/>
  </r>
  <r>
    <x v="18"/>
    <s v="Septiembre"/>
    <n v="0.73746312684365778"/>
    <n v="0.77557639427483605"/>
    <n v="0.95085813891123627"/>
    <n v="0"/>
    <n v="0"/>
    <n v="14916"/>
    <n v="733"/>
    <n v="14183"/>
    <n v="11000"/>
    <n v="3183"/>
    <m/>
  </r>
  <r>
    <x v="18"/>
    <s v="Octubre"/>
    <n v="0.6784781298144551"/>
    <n v="0.71010936623667975"/>
    <n v="0.95545582423471098"/>
    <n v="0"/>
    <n v="0"/>
    <n v="14929"/>
    <n v="665"/>
    <n v="14264"/>
    <n v="10129"/>
    <n v="4135"/>
    <m/>
  </r>
  <r>
    <x v="18"/>
    <s v="Noviembre"/>
    <n v="0.65605225556235969"/>
    <n v="0.69262265641836074"/>
    <n v="0.9472001088657549"/>
    <n v="0"/>
    <n v="0"/>
    <n v="14697"/>
    <n v="776"/>
    <n v="13921"/>
    <n v="9642"/>
    <n v="4279"/>
    <m/>
  </r>
  <r>
    <x v="18"/>
    <s v="Diciembre"/>
    <n v="0.71612298211534597"/>
    <n v="0.75968165991615144"/>
    <n v="0.94266193315024449"/>
    <n v="0"/>
    <n v="0"/>
    <n v="14929"/>
    <n v="856"/>
    <n v="14073"/>
    <n v="10691"/>
    <n v="3382"/>
    <m/>
  </r>
  <r>
    <x v="19"/>
    <s v="Enero"/>
    <n v="0.73560879553659342"/>
    <n v="0.78794909653378331"/>
    <n v="0.93357400722021666"/>
    <n v="0"/>
    <n v="0"/>
    <n v="15235"/>
    <n v="1012"/>
    <n v="14223"/>
    <n v="11207"/>
    <n v="3016"/>
    <m/>
  </r>
  <r>
    <x v="19"/>
    <s v="Febrero"/>
    <n v="0.66584068216602288"/>
    <n v="0.72387291022898348"/>
    <n v="0.91983091611398582"/>
    <n v="0"/>
    <n v="0"/>
    <n v="13721"/>
    <n v="1100"/>
    <n v="12621"/>
    <n v="9136"/>
    <n v="3485"/>
    <m/>
  </r>
  <r>
    <x v="19"/>
    <s v="Marzo"/>
    <n v="0.6154906465375779"/>
    <n v="0.67060001430308236"/>
    <n v="0.9178208073514933"/>
    <n v="0"/>
    <n v="0"/>
    <n v="15235"/>
    <n v="1252"/>
    <n v="13983"/>
    <n v="9377"/>
    <n v="4606"/>
    <m/>
  </r>
  <r>
    <x v="19"/>
    <s v="Abril"/>
    <n v="0.67635327635327636"/>
    <n v="0.72350476190476187"/>
    <n v="0.93482905982905984"/>
    <n v="0"/>
    <n v="0"/>
    <n v="14040"/>
    <n v="915"/>
    <n v="13125"/>
    <n v="9496"/>
    <n v="3629"/>
    <m/>
  </r>
  <r>
    <x v="19"/>
    <s v="Mayo"/>
    <n v="0.62899573787959506"/>
    <n v="0.67430570429071179"/>
    <n v="0.93280500799147581"/>
    <n v="0"/>
    <n v="0"/>
    <n v="15016"/>
    <n v="1009"/>
    <n v="14007"/>
    <n v="9445"/>
    <n v="4562"/>
    <m/>
  </r>
  <r>
    <x v="19"/>
    <s v="Junio"/>
    <n v="0.63600273785078709"/>
    <n v="0.68118173154460815"/>
    <n v="0.93367556468172486"/>
    <n v="0"/>
    <n v="0"/>
    <n v="14610"/>
    <n v="969"/>
    <n v="13641"/>
    <n v="9292"/>
    <n v="4349"/>
    <m/>
  </r>
  <r>
    <x v="19"/>
    <s v="Julio"/>
    <n v="0.6467101758124667"/>
    <n v="0.70232154480364506"/>
    <n v="0.92081779435269051"/>
    <n v="0"/>
    <n v="0"/>
    <n v="15016"/>
    <n v="1189"/>
    <n v="13827"/>
    <n v="9711"/>
    <n v="4116"/>
    <m/>
  </r>
  <r>
    <x v="19"/>
    <s v="Agosto"/>
    <n v="0.47732195602231703"/>
    <n v="0.56245649315492308"/>
    <n v="0.8486380045946833"/>
    <n v="0"/>
    <n v="0"/>
    <n v="15235"/>
    <n v="2306"/>
    <n v="12929"/>
    <n v="7272"/>
    <n v="5657"/>
    <m/>
  </r>
  <r>
    <x v="19"/>
    <s v="Septiembre"/>
    <n v="0.37711069418386489"/>
    <n v="0.45589717741935482"/>
    <n v="0.82718365645194913"/>
    <n v="0"/>
    <n v="0"/>
    <n v="14391"/>
    <n v="2487"/>
    <n v="11904"/>
    <n v="5427"/>
    <n v="6477"/>
    <m/>
  </r>
  <r>
    <x v="19"/>
    <s v="Octubre"/>
    <n v="0.36101083032490977"/>
    <n v="0.44017607042817125"/>
    <n v="0.82015096816540856"/>
    <n v="0"/>
    <n v="0"/>
    <n v="15235"/>
    <n v="2740"/>
    <n v="12495"/>
    <n v="5500"/>
    <n v="6995"/>
    <m/>
  </r>
  <r>
    <x v="19"/>
    <s v="Noviembre"/>
    <n v="0.26134585289514867"/>
    <n v="0.36414486158513465"/>
    <n v="0.71769748928352728"/>
    <n v="0"/>
    <n v="0"/>
    <n v="14697"/>
    <n v="4149"/>
    <n v="10548"/>
    <n v="3841"/>
    <n v="6707"/>
    <m/>
  </r>
  <r>
    <x v="19"/>
    <s v="Diciembre"/>
    <n v="0.24708464809987651"/>
    <n v="0.33758200562324275"/>
    <n v="0.7319248182192345"/>
    <n v="0"/>
    <n v="0"/>
    <n v="14578"/>
    <n v="3908"/>
    <n v="10670"/>
    <n v="3602"/>
    <n v="7068"/>
    <m/>
  </r>
  <r>
    <x v="20"/>
    <s v="Enero"/>
    <n v="0.30687266915290357"/>
    <n v="0.42325709561862773"/>
    <n v="0.72502663825253066"/>
    <n v="0"/>
    <n v="0"/>
    <n v="15016"/>
    <n v="4129"/>
    <n v="10887"/>
    <n v="4608"/>
    <n v="6279"/>
    <m/>
  </r>
  <r>
    <x v="20"/>
    <s v="Febrero"/>
    <n v="0.18303876204202382"/>
    <n v="0.27352074359555656"/>
    <n v="0.66919517560494579"/>
    <n v="0"/>
    <n v="0"/>
    <n v="13183"/>
    <n v="4361"/>
    <n v="8822"/>
    <n v="2413"/>
    <n v="6409"/>
    <m/>
  </r>
  <r>
    <x v="20"/>
    <s v="Marzo"/>
    <n v="0.16965368548713111"/>
    <n v="0.25408678102926335"/>
    <n v="0.66769977092036115"/>
    <n v="0"/>
    <n v="0"/>
    <n v="14842"/>
    <n v="4932"/>
    <n v="9910"/>
    <n v="2518"/>
    <n v="7392"/>
    <m/>
  </r>
  <r>
    <x v="20"/>
    <s v="Abril"/>
    <n v="0.37573369109508636"/>
    <n v="0.51422997475327059"/>
    <n v="0.73067248029515341"/>
    <n v="0"/>
    <n v="0"/>
    <n v="11926"/>
    <n v="3212"/>
    <n v="8714"/>
    <n v="4481"/>
    <n v="4233"/>
    <m/>
  </r>
  <r>
    <x v="20"/>
    <s v="Mayo"/>
    <n v="0.6858101629913711"/>
    <n v="0.85164900583402781"/>
    <n v="0.80527325023969321"/>
    <n v="0"/>
    <n v="0"/>
    <n v="10430"/>
    <n v="2031"/>
    <n v="8399"/>
    <n v="7153"/>
    <n v="1246"/>
    <m/>
  </r>
  <r>
    <x v="20"/>
    <s v="Junio"/>
    <n v="0.6483661457276233"/>
    <n v="0.85862115307082376"/>
    <n v="0.75512482240714429"/>
    <n v="0"/>
    <n v="0"/>
    <n v="9854"/>
    <n v="2413"/>
    <n v="7441"/>
    <n v="6389"/>
    <n v="1052"/>
    <m/>
  </r>
  <r>
    <x v="20"/>
    <s v="Julio"/>
    <n v="0.65167785234899334"/>
    <n v="0.86027085179091256"/>
    <n v="0.75752636625119851"/>
    <n v="0"/>
    <n v="0"/>
    <n v="10430"/>
    <n v="2529"/>
    <n v="7901"/>
    <n v="6797"/>
    <n v="1104"/>
    <m/>
  </r>
  <r>
    <x v="20"/>
    <s v="Agosto"/>
    <n v="0.64733557369179073"/>
    <n v="0.87004774809652863"/>
    <n v="0.7440230436869899"/>
    <n v="0"/>
    <n v="0"/>
    <n v="10415"/>
    <n v="2666"/>
    <n v="7749"/>
    <n v="6742"/>
    <n v="1007"/>
    <m/>
  </r>
  <r>
    <x v="20"/>
    <s v="Septiembre"/>
    <n v="0.63227277232629597"/>
    <n v="0.86577090119435396"/>
    <n v="0.73030032708890869"/>
    <n v="0"/>
    <n v="0"/>
    <n v="10089"/>
    <n v="2721"/>
    <n v="7368"/>
    <n v="6379"/>
    <n v="989"/>
    <m/>
  </r>
  <r>
    <x v="20"/>
    <s v="Octubre"/>
    <n v="0.60697394046183806"/>
    <n v="0.78383233532934127"/>
    <n v="0.7743670592599462"/>
    <n v="0"/>
    <n v="0"/>
    <n v="10783"/>
    <n v="2433"/>
    <n v="8350"/>
    <n v="6545"/>
    <n v="1805"/>
    <m/>
  </r>
  <r>
    <x v="20"/>
    <s v="Noviembre"/>
    <n v="0.49387951807228914"/>
    <n v="0.66502271252433487"/>
    <n v="0.74265060240963854"/>
    <n v="0"/>
    <n v="0"/>
    <n v="10375"/>
    <n v="2670"/>
    <n v="7705"/>
    <n v="5124"/>
    <n v="2581"/>
    <m/>
  </r>
  <r>
    <x v="20"/>
    <s v="Diciembre"/>
    <n v="0.46522512402883087"/>
    <n v="0.6583653464034972"/>
    <n v="0.70663671253393245"/>
    <n v="0"/>
    <n v="0"/>
    <n v="10683"/>
    <n v="3134"/>
    <n v="7549"/>
    <n v="4970"/>
    <n v="2579"/>
    <m/>
  </r>
  <r>
    <x v="21"/>
    <s v="Enero"/>
    <n v="0.5122878605211908"/>
    <n v="0.71434113539376698"/>
    <n v="0.71714736158768433"/>
    <n v="0"/>
    <n v="0"/>
    <n v="10783"/>
    <n v="3050"/>
    <n v="7733"/>
    <n v="5524"/>
    <n v="2209"/>
    <m/>
  </r>
  <r>
    <x v="21"/>
    <s v="Febrero"/>
    <n v="0.3755114566284779"/>
    <n v="0.53087490961677508"/>
    <n v="0.70734451718494273"/>
    <n v="0"/>
    <n v="0"/>
    <n v="9776"/>
    <n v="2861"/>
    <n v="6915"/>
    <n v="3671"/>
    <n v="3244"/>
    <m/>
  </r>
  <r>
    <x v="21"/>
    <s v="Marzo"/>
    <n v="0.56368483412322279"/>
    <n v="0.73126681183553222"/>
    <n v="0.77083333333333337"/>
    <n v="0"/>
    <n v="0"/>
    <n v="10128"/>
    <n v="2321"/>
    <n v="7807"/>
    <n v="5709"/>
    <n v="2098"/>
    <m/>
  </r>
  <r>
    <x v="21"/>
    <s v="Abril"/>
    <n v="0.61051435653790542"/>
    <n v="0.79055771031162236"/>
    <n v="0.77225779797562488"/>
    <n v="0"/>
    <n v="0"/>
    <n v="9682"/>
    <n v="2205"/>
    <n v="7477"/>
    <n v="5911"/>
    <n v="1566"/>
    <m/>
  </r>
  <r>
    <x v="21"/>
    <s v="Mayo"/>
    <n v="0.70400618033329654"/>
    <n v="0.78433542358293373"/>
    <n v="0.8975830482286723"/>
    <n v="0"/>
    <n v="0"/>
    <n v="9061"/>
    <n v="928"/>
    <n v="8133"/>
    <n v="6379"/>
    <n v="1754"/>
    <m/>
  </r>
  <r>
    <x v="21"/>
    <s v="Junio"/>
    <n v="0.74129864201757389"/>
    <n v="0.82020202020202015"/>
    <n v="0.90380006846970218"/>
    <n v="0"/>
    <n v="0"/>
    <n v="8763"/>
    <n v="843"/>
    <n v="7920"/>
    <n v="6496"/>
    <n v="1424"/>
    <m/>
  </r>
  <r>
    <x v="21"/>
    <s v="Julio"/>
    <n v="0.63112487556686203"/>
    <n v="0.70531520395550062"/>
    <n v="0.89481252073885631"/>
    <n v="0"/>
    <n v="0"/>
    <n v="9041"/>
    <n v="951"/>
    <n v="8090"/>
    <n v="5706"/>
    <n v="2384"/>
    <m/>
  </r>
  <r>
    <x v="21"/>
    <s v="Agosto"/>
    <n v="0.50056929924438465"/>
    <n v="0.59821870361207319"/>
    <n v="0.83676638029189521"/>
    <n v="0"/>
    <n v="0"/>
    <n v="9661"/>
    <n v="1577"/>
    <n v="8084"/>
    <n v="4836"/>
    <n v="3248"/>
    <m/>
  </r>
  <r>
    <x v="21"/>
    <s v="Septiembre"/>
    <n v="0.60590150162763834"/>
    <n v="0.66859791425260717"/>
    <n v="0.90622702929749033"/>
    <n v="0"/>
    <n v="0"/>
    <n v="9523"/>
    <n v="893"/>
    <n v="8630"/>
    <n v="5770"/>
    <n v="2860"/>
    <m/>
  </r>
  <r>
    <x v="21"/>
    <s v="Octubre"/>
    <n v="0.51335099877700774"/>
    <n v="0.6264925373134328"/>
    <n v="0.81940481043620061"/>
    <n v="0"/>
    <n v="0"/>
    <n v="9812"/>
    <n v="1772"/>
    <n v="8040"/>
    <n v="5037"/>
    <n v="3003"/>
    <m/>
  </r>
  <r>
    <x v="21"/>
    <s v="Noviembre"/>
    <n v="0.54411916830454121"/>
    <n v="0.66540164452877926"/>
    <n v="0.81773042308885902"/>
    <n v="0"/>
    <n v="0"/>
    <n v="9667"/>
    <n v="1762"/>
    <n v="7905"/>
    <n v="5260"/>
    <n v="2645"/>
    <m/>
  </r>
  <r>
    <x v="21"/>
    <s v="Diciembre"/>
    <n v="0.74827236708744127"/>
    <n v="0.82046878157203473"/>
    <n v="0.91200589698700818"/>
    <n v="0"/>
    <n v="0"/>
    <n v="10853"/>
    <n v="955"/>
    <n v="9898"/>
    <n v="8121"/>
    <n v="1777"/>
    <m/>
  </r>
  <r>
    <x v="22"/>
    <s v="Enero"/>
    <n v="0.77902416780665751"/>
    <n v="0.87826444581534036"/>
    <n v="0.88700410396716822"/>
    <n v="0"/>
    <n v="0"/>
    <n v="10965"/>
    <n v="1239"/>
    <n v="9726"/>
    <n v="8542"/>
    <n v="1184"/>
    <m/>
  </r>
  <r>
    <x v="22"/>
    <s v="Febrero"/>
    <n v="0.82045014767287916"/>
    <n v="0.88556667033087832"/>
    <n v="0.92646909053875137"/>
    <n v="0"/>
    <n v="0"/>
    <n v="9819"/>
    <n v="722"/>
    <n v="9097"/>
    <n v="8056"/>
    <n v="1041"/>
    <m/>
  </r>
  <r>
    <x v="22"/>
    <s v="Marzo"/>
    <n v="0.87116394802322361"/>
    <n v="0.92986425339366519"/>
    <n v="0.9368721776794765"/>
    <n v="0"/>
    <n v="0"/>
    <n v="10851"/>
    <n v="685"/>
    <n v="10166"/>
    <n v="9453"/>
    <n v="713"/>
    <m/>
  </r>
  <r>
    <x v="22"/>
    <s v="Abril"/>
    <n v="0.84966518909742528"/>
    <n v="0.89295272078501342"/>
    <n v="0.95152315382438934"/>
    <n v="0"/>
    <n v="0"/>
    <n v="10603"/>
    <n v="514"/>
    <n v="10089"/>
    <n v="9009"/>
    <n v="1080"/>
    <m/>
  </r>
  <r>
    <x v="22"/>
    <s v="Mayo"/>
    <n v="0.82056526589810341"/>
    <n v="0.86250366461448258"/>
    <n v="0.95137597619933056"/>
    <n v="0"/>
    <n v="0"/>
    <n v="10756"/>
    <n v="523"/>
    <n v="10233"/>
    <n v="8826"/>
    <n v="1407"/>
    <m/>
  </r>
  <r>
    <x v="22"/>
    <s v="Junio"/>
    <n v="0.79177769318614388"/>
    <n v="0.8514993347661447"/>
    <n v="0.92986296155310244"/>
    <n v="0"/>
    <n v="0"/>
    <n v="10508"/>
    <n v="737"/>
    <n v="9771"/>
    <n v="8320"/>
    <n v="1451"/>
    <m/>
  </r>
  <r>
    <x v="22"/>
    <s v="Julio"/>
    <n v="0.85841848476479798"/>
    <n v="0.88497674860017084"/>
    <n v="0.96998987388382585"/>
    <n v="0"/>
    <n v="0"/>
    <n v="10863"/>
    <n v="326"/>
    <n v="10537"/>
    <n v="9325"/>
    <n v="1212"/>
    <m/>
  </r>
  <r>
    <x v="22"/>
    <s v="Agosto"/>
    <n v="0.8449583718778908"/>
    <n v="0.87574304889741128"/>
    <n v="0.96484736355226641"/>
    <n v="0"/>
    <n v="0"/>
    <n v="10810"/>
    <n v="380"/>
    <n v="10430"/>
    <n v="9134"/>
    <n v="1296"/>
    <m/>
  </r>
  <r>
    <x v="22"/>
    <s v="Septiembre"/>
    <n v="0.89065757058935002"/>
    <n v="0.91049980627663696"/>
    <n v="0.97820731476217548"/>
    <n v="0"/>
    <n v="0"/>
    <n v="10554"/>
    <n v="230"/>
    <n v="10324"/>
    <n v="9400"/>
    <n v="924"/>
    <m/>
  </r>
  <r>
    <x v="22"/>
    <s v="Octubre"/>
    <n v="0.86822760686087663"/>
    <n v="0.89236078723999623"/>
    <n v="0.972955803611943"/>
    <n v="0"/>
    <n v="0"/>
    <n v="11019"/>
    <n v="298"/>
    <n v="10721"/>
    <n v="9567"/>
    <n v="1154"/>
    <m/>
  </r>
  <r>
    <x v="22"/>
    <s v="Noviembre"/>
    <n v="0.8284930051354702"/>
    <n v="0.86679018063918478"/>
    <n v="0.95581724809633428"/>
    <n v="0"/>
    <n v="0"/>
    <n v="11294"/>
    <n v="499"/>
    <n v="10795"/>
    <n v="9357"/>
    <n v="1438"/>
    <m/>
  </r>
  <r>
    <x v="22"/>
    <s v="Diciembre"/>
    <n v="0.83832688099646524"/>
    <n v="0.89368383276511754"/>
    <n v="0.93805756606631885"/>
    <n v="0"/>
    <n v="0"/>
    <n v="11882"/>
    <n v="736"/>
    <n v="11146"/>
    <n v="9961"/>
    <n v="1185"/>
    <m/>
  </r>
  <r>
    <x v="23"/>
    <s v="Enero"/>
    <n v="0.81137951350896387"/>
    <n v="0.91844512195121952"/>
    <n v="0.88342732093258147"/>
    <n v="0"/>
    <n v="0"/>
    <n v="11881"/>
    <n v="1385"/>
    <n v="10496"/>
    <n v="9640"/>
    <n v="856"/>
    <m/>
  </r>
  <r>
    <x v="23"/>
    <s v="Febrero"/>
    <n v="0.87810026385224271"/>
    <n v="0.90879300928454398"/>
    <n v="0.96622691292875984"/>
    <n v="0"/>
    <n v="0"/>
    <n v="9475"/>
    <n v="320"/>
    <n v="9155"/>
    <n v="8320"/>
    <n v="835"/>
    <m/>
  </r>
  <r>
    <x v="23"/>
    <s v="Marzo"/>
    <n v="0.88892692110217353"/>
    <n v="0.92157558552164653"/>
    <n v="0.96457299332534652"/>
    <n v="0"/>
    <n v="0"/>
    <n v="11686"/>
    <n v="414"/>
    <n v="11272"/>
    <n v="10388"/>
    <n v="884"/>
    <m/>
  </r>
  <r>
    <x v="23"/>
    <s v="Abril"/>
    <n v="0.8814239371691992"/>
    <n v="0.91073476228279082"/>
    <n v="0.96781628820215126"/>
    <n v="0"/>
    <n v="0"/>
    <n v="11714"/>
    <n v="377"/>
    <n v="11337"/>
    <n v="10325"/>
    <n v="1012"/>
    <m/>
  </r>
  <r>
    <x v="23"/>
    <s v="Mayo"/>
    <n v="0.86315352697095438"/>
    <n v="0.89501764047844423"/>
    <n v="0.96439834024896265"/>
    <n v="0"/>
    <n v="0"/>
    <n v="12050"/>
    <n v="429"/>
    <n v="11621"/>
    <n v="10401"/>
    <n v="1220"/>
    <m/>
  </r>
  <r>
    <x v="23"/>
    <s v="Junio"/>
    <n v="0.87339935120368795"/>
    <n v="0.90244332715886033"/>
    <n v="0.96781628820215126"/>
    <n v="0"/>
    <n v="0"/>
    <n v="11714"/>
    <n v="377"/>
    <n v="11337"/>
    <n v="10231"/>
    <n v="1106"/>
    <m/>
  </r>
  <r>
    <x v="23"/>
    <s v="Julio"/>
    <n v="0.90856905158069878"/>
    <n v="0.92480311626725376"/>
    <n v="0.98244592346089854"/>
    <n v="0"/>
    <n v="0"/>
    <n v="12020"/>
    <n v="211"/>
    <n v="11809"/>
    <n v="10921"/>
    <n v="888"/>
    <m/>
  </r>
  <r>
    <x v="23"/>
    <s v="Agosto"/>
    <n v="0.90713643423526524"/>
    <n v="0.92398001665278939"/>
    <n v="0.98177062045287333"/>
    <n v="0"/>
    <n v="0"/>
    <n v="12233"/>
    <n v="223"/>
    <n v="12010"/>
    <n v="11097"/>
    <n v="913"/>
    <m/>
  </r>
  <r>
    <x v="23"/>
    <s v="Septiembre"/>
    <n v="0.9213180901143242"/>
    <n v="0.93356047700170353"/>
    <n v="0.98688634835238731"/>
    <n v="0"/>
    <n v="0"/>
    <n v="11896"/>
    <n v="156"/>
    <n v="11740"/>
    <n v="10960"/>
    <n v="780"/>
    <m/>
  </r>
  <r>
    <x v="23"/>
    <s v="Octubre"/>
    <n v="0.91476143141153077"/>
    <n v="0.93103448275862066"/>
    <n v="0.98252153744201454"/>
    <n v="0"/>
    <n v="0"/>
    <n v="12072"/>
    <n v="211"/>
    <n v="11861"/>
    <n v="11043"/>
    <n v="818"/>
    <m/>
  </r>
  <r>
    <x v="23"/>
    <s v="Noviembre"/>
    <n v="0.90063478628861615"/>
    <n v="0.91653746770025835"/>
    <n v="0.98264917477782476"/>
    <n v="0"/>
    <n v="0"/>
    <n v="11815"/>
    <n v="205"/>
    <n v="11610"/>
    <n v="10641"/>
    <n v="969"/>
    <m/>
  </r>
  <r>
    <x v="23"/>
    <s v="Diciembre"/>
    <n v="0.87024340075419948"/>
    <n v="0.90693104680242942"/>
    <n v="0.9595474802879671"/>
    <n v="0"/>
    <n v="0"/>
    <n v="11668"/>
    <n v="472"/>
    <n v="11196"/>
    <n v="10154"/>
    <n v="1042"/>
    <m/>
  </r>
  <r>
    <x v="24"/>
    <s v="Enero"/>
    <n v="0.90569536423841057"/>
    <n v="0.92148054981582972"/>
    <n v="0.98286975717439296"/>
    <n v="0"/>
    <n v="0"/>
    <n v="11325"/>
    <n v="194"/>
    <n v="11131"/>
    <n v="10257"/>
    <n v="874"/>
    <m/>
  </r>
  <r>
    <x v="24"/>
    <s v="Febrero"/>
    <n v="0.89323070850601938"/>
    <n v="0.9120403022670025"/>
    <n v="0.97937635681863033"/>
    <n v="0"/>
    <n v="0"/>
    <n v="10134"/>
    <n v="209"/>
    <n v="9925"/>
    <n v="9052"/>
    <n v="873"/>
    <m/>
  </r>
  <r>
    <x v="24"/>
    <s v="Marzo"/>
    <n v="0.83689994216310004"/>
    <n v="0.85505655917609324"/>
    <n v="0.97876559530694873"/>
    <n v="0"/>
    <n v="0"/>
    <n v="12103"/>
    <n v="257"/>
    <n v="11846"/>
    <n v="10129"/>
    <n v="1717"/>
    <m/>
  </r>
  <r>
    <x v="24"/>
    <s v="Abril"/>
    <n v="0.81959564541213059"/>
    <n v="0.88037122969837589"/>
    <n v="0.93096595818213235"/>
    <n v="0"/>
    <n v="0"/>
    <n v="11574"/>
    <n v="799"/>
    <n v="10775"/>
    <n v="9486"/>
    <n v="1289"/>
    <m/>
  </r>
  <r>
    <x v="24"/>
    <s v="Mayo"/>
    <n v="0.86578341013824889"/>
    <n v="0.891912512716175"/>
    <n v="0.97070441079657666"/>
    <n v="0"/>
    <n v="0"/>
    <n v="12152"/>
    <n v="356"/>
    <n v="11796"/>
    <n v="10521"/>
    <n v="1275"/>
    <m/>
  </r>
  <r>
    <x v="24"/>
    <s v="Junio"/>
    <n v="0.86811352253756258"/>
    <n v="0.88038601540675532"/>
    <n v="0.9860601001669449"/>
    <n v="0"/>
    <n v="0"/>
    <n v="11980"/>
    <n v="167"/>
    <n v="11813"/>
    <n v="10400"/>
    <n v="1413"/>
    <m/>
  </r>
  <r>
    <x v="24"/>
    <s v="Julio"/>
    <n v="0.8862328822623774"/>
    <n v="0.91907563025210082"/>
    <n v="0.96426545660805441"/>
    <n v="0"/>
    <n v="0"/>
    <n v="12341"/>
    <n v="441"/>
    <n v="11900"/>
    <n v="10937"/>
    <n v="963"/>
    <m/>
  </r>
  <r>
    <x v="24"/>
    <s v="Agosto"/>
    <n v="0.89546954212601593"/>
    <n v="0.90892755043698437"/>
    <n v="0.98519353021646416"/>
    <n v="0"/>
    <n v="0"/>
    <n v="12427"/>
    <n v="184"/>
    <n v="12243"/>
    <n v="11128"/>
    <n v="1115"/>
    <m/>
  </r>
  <r>
    <x v="24"/>
    <s v="Septiembre"/>
    <n v="0.87402099650058329"/>
    <n v="0.90135762158446464"/>
    <n v="0.96967172137977009"/>
    <n v="0"/>
    <n v="0"/>
    <n v="12002"/>
    <n v="364"/>
    <n v="11638"/>
    <n v="10490"/>
    <n v="1148"/>
    <m/>
  </r>
  <r>
    <x v="24"/>
    <s v="Octubre"/>
    <n v="0.86920583468395463"/>
    <n v="0.89937950695958413"/>
    <n v="0.96645056726094003"/>
    <n v="0"/>
    <n v="0"/>
    <n v="12340"/>
    <n v="414"/>
    <n v="11926"/>
    <n v="10726"/>
    <n v="1200"/>
    <m/>
  </r>
  <r>
    <x v="24"/>
    <s v="Noviembre"/>
    <n v="0.81634863761353216"/>
    <n v="0.84954908081859171"/>
    <n v="0.96091992333972165"/>
    <n v="0"/>
    <n v="0"/>
    <n v="12001"/>
    <n v="469"/>
    <n v="11532"/>
    <n v="9797"/>
    <n v="1735"/>
    <m/>
  </r>
  <r>
    <x v="24"/>
    <s v="Diciembre"/>
    <n v="0.83003082342580359"/>
    <n v="0.87479116391312417"/>
    <n v="0.94883311316600616"/>
    <n v="0"/>
    <n v="0"/>
    <n v="11355"/>
    <n v="581"/>
    <n v="10774"/>
    <n v="9425"/>
    <n v="1349"/>
    <m/>
  </r>
  <r>
    <x v="25"/>
    <s v="Enero"/>
    <n v="0.83643652561247217"/>
    <n v="0.92529811767024739"/>
    <n v="0.90396436525612467"/>
    <n v="0"/>
    <n v="0"/>
    <n v="11225"/>
    <n v="1078"/>
    <n v="10147"/>
    <n v="9389"/>
    <n v="758"/>
    <m/>
  </r>
  <r>
    <x v="25"/>
    <s v="Febrero"/>
    <n v="0.7319904743004565"/>
    <n v="0.85908932106672875"/>
    <n v="0.85205397896408019"/>
    <n v="0"/>
    <n v="0"/>
    <n v="10078"/>
    <n v="1491"/>
    <n v="8587"/>
    <n v="7377"/>
    <n v="1210"/>
    <m/>
  </r>
  <r>
    <x v="25"/>
    <s v="Marzo"/>
    <n v="0.5532861018993066"/>
    <n v="0.63508954061770051"/>
    <n v="0.87119384986433523"/>
    <n v="0"/>
    <n v="0"/>
    <n v="13268"/>
    <n v="1709"/>
    <n v="11559"/>
    <n v="7341"/>
    <n v="4218"/>
    <m/>
  </r>
  <r>
    <x v="25"/>
    <s v="Abril"/>
    <n v="0.54042293304832434"/>
    <n v="0.62918851657630437"/>
    <n v="0.85892052828460186"/>
    <n v="0"/>
    <n v="0"/>
    <n v="13099"/>
    <n v="1848"/>
    <n v="11251"/>
    <n v="7079"/>
    <n v="4172"/>
    <m/>
  </r>
  <r>
    <x v="25"/>
    <s v="Mayo"/>
    <n v="0.59942806863176423"/>
    <n v="0.65699590130997343"/>
    <n v="0.9123771814048981"/>
    <n v="0"/>
    <n v="0"/>
    <n v="13638"/>
    <n v="1195"/>
    <n v="12443"/>
    <n v="8175"/>
    <n v="4268"/>
    <m/>
  </r>
  <r>
    <x v="25"/>
    <s v="Junio"/>
    <n v="0.65015190465061934"/>
    <n v="0.72010353753235545"/>
    <n v="0.90285892342447616"/>
    <n v="0"/>
    <n v="0"/>
    <n v="12837"/>
    <n v="1247"/>
    <n v="11590"/>
    <n v="8346"/>
    <n v="3244"/>
    <m/>
  </r>
  <r>
    <x v="25"/>
    <s v="Julio"/>
    <n v="0.78982231920199497"/>
    <n v="0.86152669160149609"/>
    <n v="0.91677057356608482"/>
    <n v="0"/>
    <n v="0"/>
    <n v="12832"/>
    <n v="1068"/>
    <n v="11764"/>
    <n v="10135"/>
    <n v="1629"/>
    <m/>
  </r>
  <r>
    <x v="25"/>
    <s v="Agosto"/>
    <n v="0.80894088479119852"/>
    <n v="0.87248266065012114"/>
    <n v="0.92717130239404977"/>
    <n v="0"/>
    <n v="0"/>
    <n v="12907"/>
    <n v="940"/>
    <n v="11967"/>
    <n v="10441"/>
    <n v="1526"/>
    <m/>
  </r>
  <r>
    <x v="25"/>
    <s v="Septiembre"/>
    <n v="0.8202501008471158"/>
    <n v="0.91110314544314008"/>
    <n v="0.90028237192416294"/>
    <n v="0"/>
    <n v="0"/>
    <n v="12395"/>
    <n v="1236"/>
    <n v="11159"/>
    <n v="10167"/>
    <n v="992"/>
    <m/>
  </r>
  <r>
    <x v="25"/>
    <s v="Octubre"/>
    <n v="0.84217866274114817"/>
    <n v="0.91061405713328303"/>
    <n v="0.92484698225768958"/>
    <n v="0"/>
    <n v="0"/>
    <n v="12907"/>
    <n v="970"/>
    <n v="11937"/>
    <n v="10870"/>
    <n v="1067"/>
    <m/>
  </r>
  <r>
    <x v="25"/>
    <s v="Noviembre"/>
    <n v="0.80952762851872639"/>
    <n v="0.87099836051428081"/>
    <n v="0.92942497393535972"/>
    <n v="0"/>
    <n v="0"/>
    <n v="12469"/>
    <n v="880"/>
    <n v="11589"/>
    <n v="10094"/>
    <n v="1495"/>
    <m/>
  </r>
  <r>
    <x v="25"/>
    <s v="Diciembre"/>
    <n v="0.7633436434292965"/>
    <n v="0.86532410320956576"/>
    <n v="0.88214767229756519"/>
    <n v="0"/>
    <n v="0"/>
    <n v="12609"/>
    <n v="1486"/>
    <n v="11123"/>
    <n v="9625"/>
    <n v="1498"/>
    <m/>
  </r>
  <r>
    <x v="26"/>
    <s v="Enero"/>
    <n v="0.77709769892306502"/>
    <n v="0.88059701492537312"/>
    <n v="0.88246687843805682"/>
    <n v="0"/>
    <n v="0"/>
    <n v="12907"/>
    <n v="1517"/>
    <n v="11390"/>
    <n v="10030"/>
    <n v="1360"/>
    <m/>
  </r>
  <r>
    <x v="26"/>
    <s v="Febrero"/>
    <n v="0.79674727520435973"/>
    <n v="0.86670989255279729"/>
    <n v="0.91927792915531337"/>
    <n v="0"/>
    <n v="0"/>
    <n v="11744"/>
    <n v="948"/>
    <n v="10796"/>
    <n v="9357"/>
    <n v="1439"/>
    <m/>
  </r>
  <r>
    <x v="26"/>
    <s v="Marzo"/>
    <n v="0.7020926404890665"/>
    <n v="0.80695432843887938"/>
    <n v="0.87005251195234734"/>
    <n v="0"/>
    <n v="0"/>
    <n v="12759"/>
    <n v="1658"/>
    <n v="11101"/>
    <n v="8958"/>
    <n v="2143"/>
    <m/>
  </r>
  <r>
    <x v="26"/>
    <s v="Abril"/>
    <n v="0.70726804952564726"/>
    <n v="0.82881100433389865"/>
    <n v="0.85335262904003861"/>
    <n v="0"/>
    <n v="0"/>
    <n v="12438"/>
    <n v="1824"/>
    <n v="10614"/>
    <n v="8797"/>
    <n v="1817"/>
    <m/>
  </r>
  <r>
    <x v="26"/>
    <s v="Mayo"/>
    <n v="0.66606080634500986"/>
    <n v="0.75191195672449174"/>
    <n v="0.88582286847323199"/>
    <n v="0"/>
    <n v="0"/>
    <n v="12104"/>
    <n v="1382"/>
    <n v="10722"/>
    <n v="8062"/>
    <n v="2660"/>
    <m/>
  </r>
  <r>
    <x v="26"/>
    <s v="Junio"/>
    <n v="0.61413287782073178"/>
    <n v="0.67234251968503933"/>
    <n v="0.91342263777757804"/>
    <n v="0"/>
    <n v="0"/>
    <n v="11123"/>
    <n v="963"/>
    <n v="10160"/>
    <n v="6831"/>
    <n v="3329"/>
    <m/>
  </r>
  <r>
    <x v="26"/>
    <s v="Julio"/>
    <n v="0.66262678356541171"/>
    <n v="0.72364592133671268"/>
    <n v="0.91567818463125328"/>
    <n v="390"/>
    <n v="5.8404205388153576"/>
    <n v="11634"/>
    <n v="981"/>
    <n v="10653"/>
    <n v="7709"/>
    <n v="2944"/>
    <m/>
  </r>
  <r>
    <x v="26"/>
    <s v="Agosto"/>
    <n v="0.72481551398661404"/>
    <n v="0.76588992655725818"/>
    <n v="0.9463703449459413"/>
    <n v="390"/>
    <n v="5.6126575392147977"/>
    <n v="11654"/>
    <n v="625"/>
    <n v="11029"/>
    <n v="8447"/>
    <n v="2582"/>
    <m/>
  </r>
  <r>
    <x v="26"/>
    <s v="Septiembre"/>
    <n v="0.76962563058677758"/>
    <n v="0.82130714015867023"/>
    <n v="0.93707407735197801"/>
    <n v="390"/>
    <n v="5.6018133736305256"/>
    <n v="11299"/>
    <n v="711"/>
    <n v="10588"/>
    <n v="8696"/>
    <n v="1892"/>
    <m/>
  </r>
  <r>
    <x v="26"/>
    <s v="Octubre"/>
    <n v="0.7048213369806805"/>
    <n v="0.75441485954799159"/>
    <n v="0.93426226705419735"/>
    <n v="390"/>
    <n v="5.6054533809131666"/>
    <n v="11698"/>
    <n v="769"/>
    <n v="10929"/>
    <n v="8245"/>
    <n v="2684"/>
    <m/>
  </r>
  <r>
    <x v="26"/>
    <s v="Noviembre"/>
    <n v="0.75661469933184855"/>
    <n v="0.82464316923973202"/>
    <n v="0.9175055679287305"/>
    <n v="390"/>
    <n v="5.5754927662879892"/>
    <n v="11225"/>
    <n v="926"/>
    <n v="10299"/>
    <n v="8493"/>
    <n v="1806"/>
    <m/>
  </r>
  <r>
    <x v="26"/>
    <s v="Diciembre"/>
    <n v="0.78603104212860309"/>
    <n v="0.82574807382189575"/>
    <n v="0.9519017567798056"/>
    <n v="433"/>
    <n v="5.6043719763483244"/>
    <n v="11726"/>
    <n v="564"/>
    <n v="11162"/>
    <n v="9217"/>
    <n v="1945"/>
    <m/>
  </r>
  <r>
    <x v="27"/>
    <s v="Enero"/>
    <n v="0.7729939739930225"/>
    <n v="0.80550276790878295"/>
    <n v="0.95964161116397084"/>
    <n v="433"/>
    <n v="5.5997686524002317"/>
    <n v="12612"/>
    <n v="509"/>
    <n v="12103"/>
    <n v="9749"/>
    <n v="2354"/>
    <m/>
  </r>
  <r>
    <x v="27"/>
    <s v="Febrero"/>
    <n v="0.79446845289541923"/>
    <n v="0.82454251883745966"/>
    <n v="0.96352636127917024"/>
    <n v="433"/>
    <n v="5.5905992106207387"/>
    <n v="11570"/>
    <n v="422"/>
    <n v="11148"/>
    <n v="9192"/>
    <n v="1956"/>
    <m/>
  </r>
  <r>
    <x v="27"/>
    <s v="Marzo"/>
    <n v="0.64361847499316749"/>
    <n v="0.80816746739876455"/>
    <n v="0.79639245695545235"/>
    <n v="433"/>
    <n v="5.5369480668039346"/>
    <n v="10977"/>
    <n v="2235"/>
    <n v="8742"/>
    <n v="7065"/>
    <n v="1677"/>
    <m/>
  </r>
  <r>
    <x v="27"/>
    <s v="Abril"/>
    <n v="0.83191817830953296"/>
    <n v="0.9032055311125079"/>
    <n v="0.92107294480895407"/>
    <n v="433"/>
    <n v="5.3932537188351146"/>
    <n v="5182"/>
    <n v="409"/>
    <n v="4773"/>
    <n v="4311"/>
    <n v="462"/>
    <s v="Se redujeron los servicios por el aislamiento social preventivo y obligatorio COVID-19"/>
  </r>
  <r>
    <x v="27"/>
    <s v="Mayo"/>
    <n v="0.84953077779545094"/>
    <n v="0.9066372432524189"/>
    <n v="0.93701288372832825"/>
    <n v="425"/>
    <n v="5.5688338142929892"/>
    <n v="6287"/>
    <n v="396"/>
    <n v="5891"/>
    <n v="5341"/>
    <n v="550"/>
    <s v="Se redujeron los servicios por el aislamiento social preventivo y obligatorio COVID-19"/>
  </r>
  <r>
    <x v="27"/>
    <s v="Junio"/>
    <n v="0.8842592592592593"/>
    <n v="0.90053231939163503"/>
    <n v="0.9819295101553166"/>
    <n v="425"/>
    <n v="5.5461596958174901"/>
    <n v="6696"/>
    <n v="121"/>
    <n v="6575"/>
    <n v="5921"/>
    <n v="654"/>
    <s v="Se redujeron los servicios por el aislamiento social preventivo y obligatorio COVID-19"/>
  </r>
  <r>
    <x v="27"/>
    <s v="Julio"/>
    <n v="0.89141856392294216"/>
    <n v="0.91587944219523165"/>
    <n v="0.97329246935201397"/>
    <n v="425"/>
    <n v="5.5687509371719894"/>
    <n v="6852"/>
    <n v="183"/>
    <n v="6669"/>
    <n v="6108"/>
    <n v="561"/>
    <s v="Se redujeron los servicios por el aislamiento social preventivo y obligatorio COVID-19"/>
  </r>
  <r>
    <x v="27"/>
    <s v="Agosto"/>
    <n v="0.84709887507400827"/>
    <n v="0.92054045359498149"/>
    <n v="0.92021906453522795"/>
    <n v="425"/>
    <n v="5.5245295158436543"/>
    <n v="6756"/>
    <n v="539"/>
    <n v="6217"/>
    <n v="5723"/>
    <n v="494"/>
    <s v="Se redujeron los servicios por el aislamiento social preventivo y obligatorio COVID-19"/>
  </r>
  <r>
    <x v="27"/>
    <s v="Septiembre"/>
    <n v="0.7614840989399293"/>
    <n v="0.91767210787792763"/>
    <n v="0.82979976442873971"/>
    <n v="425"/>
    <n v="5.5500354861603975"/>
    <n v="6792"/>
    <n v="1156"/>
    <n v="5636"/>
    <n v="5172"/>
    <n v="464"/>
    <s v="Se redujeron los servicios por el aislamiento social preventivo y obligatorio COVID-19"/>
  </r>
  <r>
    <x v="27"/>
    <s v="Octubre"/>
    <n v="0.85367289857205952"/>
    <n v="0.91050400376825247"/>
    <n v="0.93758280582953035"/>
    <n v="425"/>
    <n v="5.5635107552205998"/>
    <n v="6793"/>
    <n v="424"/>
    <n v="6369"/>
    <n v="5799"/>
    <n v="570"/>
    <s v="Se redujeron los servicios por el aislamiento social preventivo y obligatorio COVID-19"/>
  </r>
  <r>
    <x v="27"/>
    <s v="Noviembre"/>
    <n v="0.86621212121212121"/>
    <n v="0.90031496062992122"/>
    <n v="0.96212121212121215"/>
    <n v="425"/>
    <n v="5.5414173228346453"/>
    <n v="6600"/>
    <n v="250"/>
    <n v="6350"/>
    <n v="5717"/>
    <n v="633"/>
    <s v="Se redujeron los servicios por el aislamiento social preventivo y obligatorio COVID-19"/>
  </r>
  <r>
    <x v="27"/>
    <s v="Diciembre"/>
    <n v="0.83881779402803169"/>
    <n v="0.86818038473667614"/>
    <n v="0.96617915904936014"/>
    <n v="425"/>
    <n v="5.5137180700094603"/>
    <n v="6564"/>
    <n v="222"/>
    <n v="6342"/>
    <n v="5506"/>
    <n v="836"/>
    <s v="Se redujeron los servicios por el aislamiento social preventivo y obligatorio COVID-19"/>
  </r>
  <r>
    <x v="28"/>
    <s v="Enero"/>
    <n v="0.84384251036116042"/>
    <n v="0.85331537195030682"/>
    <n v="0.988898756660746"/>
    <n v="252"/>
    <n v="5.5461757221972761"/>
    <n v="6756"/>
    <n v="75"/>
    <n v="6681"/>
    <n v="5701"/>
    <n v="980"/>
    <s v="Se redujeron los servicios por el aislamiento social preventivo y obligatorio COVID-19"/>
  </r>
  <r>
    <x v="28"/>
    <s v="Febrero"/>
    <n v="0.85351049868766404"/>
    <n v="0.87504204507231753"/>
    <n v="0.97539370078740162"/>
    <n v="252"/>
    <n v="5.5371678439286915"/>
    <n v="6096"/>
    <n v="150"/>
    <n v="5946"/>
    <n v="5203"/>
    <n v="743"/>
    <s v="Se redujeron los servicios por el aislamiento social preventivo y obligatorio COVID-19"/>
  </r>
  <r>
    <x v="28"/>
    <s v="Marzo"/>
    <n v="0.89147956246401838"/>
    <n v="0.90055248618784534"/>
    <n v="0.98992515831894068"/>
    <n v="252"/>
    <n v="5.546379761558593"/>
    <n v="6948"/>
    <n v="70"/>
    <n v="6878"/>
    <n v="6194"/>
    <n v="684"/>
    <s v="Se redujeron los servicios por el aislamiento social preventivo y obligatorio COVID-19"/>
  </r>
  <r>
    <x v="28"/>
    <s v="Abril"/>
    <n v="0.83136363636363642"/>
    <n v="0.90291262135922334"/>
    <n v="0.92075757575757577"/>
    <n v="252"/>
    <n v="5.5886128023695907"/>
    <n v="6600"/>
    <n v="523"/>
    <n v="6077"/>
    <n v="5487"/>
    <n v="590"/>
    <s v="Se redujeron los servicios por el aislamiento social preventivo y obligatorio COVID-19"/>
  </r>
  <r>
    <x v="28"/>
    <s v="Mayo"/>
    <n v="0.88152205246468718"/>
    <n v="0.89467524868344062"/>
    <n v="0.98529835687518019"/>
    <n v="252"/>
    <n v="5.5582211819777649"/>
    <n v="6938"/>
    <n v="102"/>
    <n v="6836"/>
    <n v="6116"/>
    <n v="720"/>
    <s v="Se redujeron los servicios por el aislamiento social preventivo y obligatorio COVID-19"/>
  </r>
  <r>
    <x v="28"/>
    <s v="Junio"/>
    <n v="0.88975753455699069"/>
    <n v="0.90587149613565576"/>
    <n v="0.98221164740539313"/>
    <n v="252"/>
    <n v="5.6663975083631328"/>
    <n v="8826"/>
    <n v="157"/>
    <n v="8669"/>
    <n v="7853"/>
    <n v="816"/>
    <s v="Se redujeron los servicios por el aislamiento social preventivo y obligatorio COVID-19"/>
  </r>
  <r>
    <x v="28"/>
    <s v="Julio"/>
    <n v="0.87928955158425615"/>
    <n v="0.90682948891904114"/>
    <n v="0.96963052296897267"/>
    <n v="316"/>
    <n v="5.6467661691542288"/>
    <n v="9121"/>
    <n v="277"/>
    <n v="8844"/>
    <n v="8020"/>
    <n v="824"/>
    <s v="Se redujeron los servicios por el aislamiento social preventivo y obligatorio COVID-19"/>
  </r>
  <r>
    <x v="28"/>
    <s v="Agosto"/>
    <n v="0.87753313615949169"/>
    <n v="0.90061832490163007"/>
    <n v="0.97436740059152149"/>
    <n v="316"/>
    <n v="5.6784710511523331"/>
    <n v="9129"/>
    <n v="234"/>
    <n v="8895"/>
    <n v="8011"/>
    <n v="884"/>
    <s v="Se redujeron los servicios por el aislamiento social preventivo y obligatorio COVID-19"/>
  </r>
  <r>
    <x v="28"/>
    <s v="Septiembre"/>
    <n v="0.86849553668626167"/>
    <n v="0.88457700410245044"/>
    <n v="0.9818201611147398"/>
    <n v="316"/>
    <n v="5.5901984698968841"/>
    <n v="9186"/>
    <n v="167"/>
    <n v="9019"/>
    <n v="7978"/>
    <n v="1041"/>
    <s v="Se redujeron los servicios por el aislamiento social preventivo y obligatorio COVID-19"/>
  </r>
  <r>
    <x v="28"/>
    <s v="Octubre"/>
    <n v="0.90523338048090518"/>
    <n v="0.91933701657458566"/>
    <n v="0.98465890545098467"/>
    <n v="316"/>
    <n v="5.5783425414364638"/>
    <n v="9191"/>
    <n v="141"/>
    <n v="9050"/>
    <n v="8320"/>
    <n v="730"/>
    <s v="Se redujeron los servicios por el aislamiento social preventivo y obligatorio COVID-19"/>
  </r>
  <r>
    <x v="28"/>
    <s v="Noviembre"/>
    <n v="0.85506220289268742"/>
    <n v="0.87253586541438743"/>
    <n v="0.97997370284211593"/>
    <n v="338"/>
    <n v="5.5421612137475487"/>
    <n v="9887"/>
    <n v="198"/>
    <n v="9689"/>
    <n v="8454"/>
    <n v="1235"/>
    <s v="Se redujeron los servicios por el aislamiento social preventivo y obligatorio COVID-19"/>
  </r>
  <r>
    <x v="28"/>
    <s v="Diciembre"/>
    <n v="0.85230416944948006"/>
    <n v="0.87304534792806876"/>
    <n v="0.9762427249308272"/>
    <n v="338"/>
    <n v="5.517591868647381"/>
    <n v="10481"/>
    <n v="249"/>
    <n v="10232"/>
    <n v="8933"/>
    <n v="1299"/>
    <s v="Se redujeron los servicios por el aislamiento social preventivo y obligatorio COVID-19"/>
  </r>
  <r>
    <x v="29"/>
    <s v="Enero"/>
    <n v="0.85179828367563393"/>
    <n v="0.88119700748129681"/>
    <n v="0.96663773985150903"/>
    <n v="338"/>
    <n v="5.484488778054863"/>
    <n v="10371"/>
    <n v="346"/>
    <n v="10025"/>
    <n v="8834"/>
    <n v="1191"/>
    <m/>
  </r>
  <r>
    <x v="29"/>
    <s v="Febrero"/>
    <n v="0.87967600980496641"/>
    <n v="0.89377368706009741"/>
    <n v="0.9842267931365235"/>
    <n v="338"/>
    <n v="5.4850027070925824"/>
    <n v="9383"/>
    <n v="148"/>
    <n v="9235"/>
    <n v="8254"/>
    <n v="981"/>
    <m/>
  </r>
  <r>
    <x v="29"/>
    <s v="Marzo"/>
    <n v="0.8906476208860149"/>
    <n v="0.91420645928274225"/>
    <n v="0.97423028665186762"/>
    <n v="338"/>
    <n v="5.4951456310679614"/>
    <n v="10361"/>
    <n v="267"/>
    <n v="10094"/>
    <n v="9228"/>
    <n v="866"/>
    <m/>
  </r>
  <r>
    <x v="29"/>
    <s v="Abril"/>
    <n v="0.89093825180433039"/>
    <n v="0.91158974358974354"/>
    <n v="0.97734562951082593"/>
    <n v="338"/>
    <n v="5.4691282051282055"/>
    <n v="9976"/>
    <n v="226"/>
    <n v="9750"/>
    <n v="8888"/>
    <n v="862"/>
    <m/>
  </r>
  <r>
    <x v="29"/>
    <s v="Mayo"/>
    <n v="0.9017089890895047"/>
    <n v="0.91192266380236309"/>
    <n v="0.98879984551511058"/>
    <n v="338"/>
    <n v="5.488331217654526"/>
    <n v="10357"/>
    <n v="116"/>
    <n v="10241"/>
    <n v="9339"/>
    <n v="902"/>
    <m/>
  </r>
  <r>
    <x v="29"/>
    <s v="Junio"/>
    <n v="0.91294864168153878"/>
    <n v="0.92181399539493447"/>
    <n v="0.99038270870513578"/>
    <n v="338"/>
    <n v="5.4838322154369807"/>
    <n v="10086"/>
    <n v="97"/>
    <n v="9989"/>
    <n v="9208"/>
    <n v="781"/>
    <m/>
  </r>
  <r>
    <x v="29"/>
    <s v="Julio"/>
    <n v="0.88442067055115103"/>
    <n v="0.91937245556548508"/>
    <n v="0.96198299742095716"/>
    <n v="338"/>
    <n v="5.5563499155992453"/>
    <n v="10469"/>
    <n v="398"/>
    <n v="10071"/>
    <n v="9259"/>
    <n v="812"/>
    <s v="Desde el sábado 16/07 y hasta el domingo 31/07 inclusive, los trenes no llegarán a la estación Retiro debido a las obras de renovación de la parrilla de vías. El ramal José León Suárez funcionará limitado hasta 3 de Febrero, mientras que el ramal Tigre funcionará limitado hasta Lisandro de la Torre."/>
  </r>
  <r>
    <x v="29"/>
    <s v="Agosto"/>
    <n v="0.91710188965910167"/>
    <n v="0.92447592610318752"/>
    <n v="0.99202354952046334"/>
    <n v="338"/>
    <n v="5.5321144826265911"/>
    <n v="10531"/>
    <n v="84"/>
    <n v="10447"/>
    <n v="9658"/>
    <n v="789"/>
    <m/>
  </r>
  <r>
    <x v="29"/>
    <s v="Septiembre"/>
    <n v="0.92447070408665677"/>
    <n v="0.93357199681782022"/>
    <n v="0.99025110782865589"/>
    <n v="338"/>
    <n v="5.535799522673031"/>
    <n v="10155"/>
    <n v="99"/>
    <n v="10056"/>
    <n v="9388"/>
    <n v="668"/>
    <m/>
  </r>
  <r>
    <x v="29"/>
    <s v="Octubre"/>
    <n v="0.88465691567684301"/>
    <n v="0.89805680119581466"/>
    <n v="0.98507902228330224"/>
    <n v="344"/>
    <n v="5.5312406576980564"/>
    <n v="10187"/>
    <n v="152"/>
    <n v="10035"/>
    <n v="9012"/>
    <n v="1023"/>
    <m/>
  </r>
  <r>
    <x v="29"/>
    <s v="Noviembre"/>
    <n v="0.87457694604817837"/>
    <n v="0.90131308986458758"/>
    <n v="0.97033645231933108"/>
    <n v="330"/>
    <n v="5.5769388592531799"/>
    <n v="10046"/>
    <n v="298"/>
    <n v="9748"/>
    <n v="8786"/>
    <n v="962"/>
    <s v="Ramal Victoria-Capilla: Servicios suspendidos por obras de renovación de vías comenzadas el día xx de octubre de 2022, hasta nuevo aviso."/>
  </r>
  <r>
    <x v="29"/>
    <s v="Diciembre"/>
    <n v="0.84367220949915367"/>
    <n v="0.87063296341964658"/>
    <n v="0.96903315742308072"/>
    <n v="330"/>
    <n v="5.5688450472667492"/>
    <n v="10043"/>
    <n v="311"/>
    <n v="9732"/>
    <n v="8473"/>
    <n v="1259"/>
    <s v="Ramal Victoria-Capilla: Servicios suspendidos por obras de renovación de vías comenzadas el día xx de octubre de 2022, hasta nuevo aviso."/>
  </r>
  <r>
    <x v="30"/>
    <s v="Enero"/>
    <n v="0.89450908741225121"/>
    <n v="0.91402181389407489"/>
    <n v="0.97865179344167708"/>
    <n v="330"/>
    <n v="5.582588189053749"/>
    <n v="10399"/>
    <n v="222"/>
    <n v="10177"/>
    <n v="9302"/>
    <n v="875"/>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Febrero"/>
    <n v="0.88378407733246445"/>
    <n v="0.90531820204717406"/>
    <n v="0.97621375040729874"/>
    <n v="330"/>
    <n v="5.6203827325322653"/>
    <n v="9207"/>
    <n v="219"/>
    <n v="8988"/>
    <n v="8137"/>
    <n v="851"/>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Marzo"/>
    <n v="0.90605187319884728"/>
    <n v="0.91697452848531991"/>
    <n v="0.98808837656099902"/>
    <n v="330"/>
    <n v="5.5745673731285246"/>
    <n v="10410"/>
    <n v="124"/>
    <n v="10286"/>
    <n v="9432"/>
    <n v="854"/>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Abril"/>
    <n v="0.91133004926108374"/>
    <n v="0.91934982917486285"/>
    <n v="0.99127668308702788"/>
    <n v="330"/>
    <n v="5.5767677813438246"/>
    <n v="9744"/>
    <n v="85"/>
    <n v="9659"/>
    <n v="8880"/>
    <n v="779"/>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Mayo"/>
    <n v="0.89864017745202041"/>
    <n v="0.9080101344767102"/>
    <n v="0.98968077924582887"/>
    <n v="330"/>
    <n v="5.5860456051451957"/>
    <n v="10369"/>
    <n v="107"/>
    <n v="10262"/>
    <n v="9318"/>
    <n v="944"/>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Junio"/>
    <n v="0.84288577154308619"/>
    <n v="0.87198092671296779"/>
    <n v="0.96663326653306614"/>
    <n v="340.45454545454544"/>
    <n v="5.5774852285684666"/>
    <n v="9980"/>
    <n v="333"/>
    <n v="9647"/>
    <n v="8412"/>
    <n v="1235"/>
    <s v="Desde el 26/06 los servicios retornan hasta la estación Retiro."/>
  </r>
  <r>
    <x v="30"/>
    <s v="Julio"/>
    <n v="0.8567513937446849"/>
    <n v="0.88900872634572015"/>
    <n v="0.96371539261079087"/>
    <n v="376"/>
    <n v="5.598784194528875"/>
    <n v="10583"/>
    <n v="384"/>
    <n v="10199"/>
    <n v="9067"/>
    <n v="1132"/>
    <m/>
  </r>
  <r>
    <x v="30"/>
    <s v="Agosto"/>
    <n v="0.86292259375577318"/>
    <n v="0.8967172201958149"/>
    <n v="0.96231295030482178"/>
    <n v="376"/>
    <n v="5.602226914954886"/>
    <n v="10826"/>
    <n v="408"/>
    <n v="10418"/>
    <n v="9342"/>
    <n v="1076"/>
    <m/>
  </r>
  <r>
    <x v="30"/>
    <s v="Septiembre"/>
    <n v="0.91679418515684774"/>
    <n v="0.92851607903913214"/>
    <n v="0.98737566947207345"/>
    <n v="376"/>
    <n v="5.584269662921348"/>
    <n v="10456"/>
    <n v="132"/>
    <n v="10324"/>
    <n v="9586"/>
    <n v="738"/>
    <m/>
  </r>
  <r>
    <x v="30"/>
    <s v="Octubre"/>
    <n v="0.91242362525458254"/>
    <n v="0.93474962063732925"/>
    <n v="0.97611553416034069"/>
    <n v="376"/>
    <n v="5.5918057663125946"/>
    <n v="10802"/>
    <n v="258"/>
    <n v="10544"/>
    <n v="9856"/>
    <n v="688"/>
    <m/>
  </r>
  <r>
    <x v="30"/>
    <s v="Noviembre"/>
    <n v="0.90409988488444171"/>
    <n v="0.92523787947439962"/>
    <n v="0.97715398919684759"/>
    <n v="388"/>
    <n v="5.6048935206162209"/>
    <n v="11293"/>
    <n v="258"/>
    <n v="11035"/>
    <n v="10210"/>
    <n v="825"/>
    <s v="A partir del 06/11/2023 los trenes del ramal Retiro-Mitre vuelven a realizar el recorrido completo / A partir del 06/11/2023 se reanudan los servicios en el tramo Victoria-Matheu."/>
  </r>
  <r>
    <x v="30"/>
    <s v="Diciembre"/>
    <n v="0.84712184338066487"/>
    <n v="0.91169472913616401"/>
    <n v="0.92917268939716013"/>
    <n v="388"/>
    <n v="5.5226939970717419"/>
    <n v="11761"/>
    <n v="833"/>
    <n v="10928"/>
    <n v="9963"/>
    <n v="965"/>
    <m/>
  </r>
  <r>
    <x v="31"/>
    <s v="Enero"/>
    <n v="0.89549268967903795"/>
    <n v="0.92560135920593756"/>
    <n v="0.96747123453585948"/>
    <n v="396"/>
    <n v="5.4598944826969511"/>
    <n v="11559"/>
    <n v="376"/>
    <n v="11183"/>
    <n v="10351"/>
    <n v="832"/>
    <m/>
  </r>
  <r>
    <x v="31"/>
    <s v="Febrero"/>
    <n v="0.84782608695652173"/>
    <n v="0.91364639142767101"/>
    <n v="0.92795866640670699"/>
    <n v="396"/>
    <n v="5.4163252442483456"/>
    <n v="10258"/>
    <n v="739"/>
    <n v="9519"/>
    <n v="8697"/>
    <n v="822"/>
    <m/>
  </r>
  <r>
    <x v="31"/>
    <s v="Marzo"/>
    <n v="0.69461850350165866"/>
    <n v="0.73822348447752428"/>
    <n v="0.94093254699594542"/>
    <n v="396"/>
    <n v="5.4464792870433847"/>
    <n v="10852"/>
    <n v="641"/>
    <n v="10211"/>
    <n v="7538"/>
    <n v="2673"/>
    <m/>
  </r>
  <r>
    <x v="31"/>
    <s v="Abril"/>
    <n v="0.44977469019902366"/>
    <n v="0.52400743738379085"/>
    <n v="0.85833646263612462"/>
    <n v="396"/>
    <n v="5.5590068905173355"/>
    <n v="10652"/>
    <n v="1509"/>
    <n v="9143"/>
    <n v="4791"/>
    <n v="4352"/>
    <m/>
  </r>
  <r>
    <x v="31"/>
    <s v="Mayo"/>
    <n v="0.45862905399335191"/>
    <n v="0.49965743368894977"/>
    <n v="0.91788698230167998"/>
    <n v="396"/>
    <n v="5.4933933640011743"/>
    <n v="11131"/>
    <n v="914"/>
    <n v="10217"/>
    <n v="5105"/>
    <n v="5112"/>
    <m/>
  </r>
  <r>
    <x v="31"/>
    <s v="Junio"/>
    <n v="0.54442727448329153"/>
    <n v="0.56341829085457273"/>
    <n v="0.96629322001158968"/>
    <n v="396"/>
    <n v="5.4518740629685158"/>
    <n v="10354"/>
    <n v="349"/>
    <n v="10005"/>
    <n v="5637"/>
    <n v="4368"/>
    <m/>
  </r>
  <r>
    <x v="31"/>
    <s v="Julio"/>
    <n v="0.68776901004304158"/>
    <n v="0.71448532836516065"/>
    <n v="0.96260760401721668"/>
    <n v="387"/>
    <n v="5.509268747088961"/>
    <n v="11152"/>
    <n v="417"/>
    <n v="10735"/>
    <n v="7670"/>
    <n v="3065"/>
    <m/>
  </r>
  <r>
    <x v="31"/>
    <s v="Agosto"/>
    <n v="0.70723388978639379"/>
    <n v="0.74262557723117517"/>
    <n v="0.95234248788368336"/>
    <n v="388"/>
    <n v="5.4997643954386959"/>
    <n v="11142"/>
    <n v="531"/>
    <n v="10611"/>
    <n v="7880"/>
    <n v="2731"/>
    <m/>
  </r>
  <r>
    <x v="31"/>
    <s v="Septiembre"/>
    <n v="0.87679003161614288"/>
    <n v="0.91022299449753841"/>
    <n v="0.96326948112330291"/>
    <n v="388"/>
    <n v="5.49763490684429"/>
    <n v="10754"/>
    <n v="395"/>
    <n v="10359"/>
    <n v="9429"/>
    <n v="930"/>
    <m/>
  </r>
</pivotCacheRecords>
</file>

<file path=xl/pivotCache/pivotCacheRecords2.xml><?xml version="1.0" encoding="utf-8"?>
<pivotCacheRecords xmlns="http://schemas.openxmlformats.org/spreadsheetml/2006/main" xmlns:r="http://schemas.openxmlformats.org/officeDocument/2006/relationships" count="381">
  <r>
    <x v="0"/>
    <s v="Enero"/>
    <n v="0.75028405504355511"/>
    <n v="0.85547718439614218"/>
    <n v="0.87703572781214489"/>
    <n v="0"/>
    <n v="0"/>
    <n v="7921"/>
    <n v="974"/>
    <n v="6947"/>
    <n v="5943"/>
    <n v="1004"/>
    <m/>
  </r>
  <r>
    <x v="0"/>
    <s v="Febrero"/>
    <n v="0.74830316742081449"/>
    <n v="0.84"/>
    <n v="0.89083710407239824"/>
    <n v="0"/>
    <n v="0"/>
    <n v="7072"/>
    <n v="772"/>
    <n v="6300"/>
    <n v="5292"/>
    <n v="1008"/>
    <m/>
  </r>
  <r>
    <x v="0"/>
    <s v="Marzo"/>
    <n v="0.69900142653352348"/>
    <n v="0.77923955472025441"/>
    <n v="0.89703021657372584"/>
    <n v="0"/>
    <n v="0"/>
    <n v="7711"/>
    <n v="794"/>
    <n v="6917"/>
    <n v="5390"/>
    <n v="1527"/>
    <m/>
  </r>
  <r>
    <x v="0"/>
    <s v="Abril"/>
    <n v="0.69958960328317377"/>
    <n v="0.77673147023086275"/>
    <n v="0.90068399452804382"/>
    <n v="0"/>
    <n v="0"/>
    <n v="7310"/>
    <n v="726"/>
    <n v="6584"/>
    <n v="5114"/>
    <n v="1470"/>
    <m/>
  </r>
  <r>
    <x v="0"/>
    <s v="Mayo"/>
    <n v="0.74184300341296927"/>
    <n v="0.79958799293702176"/>
    <n v="0.92778156996587036"/>
    <n v="0"/>
    <n v="0"/>
    <n v="7325"/>
    <n v="529"/>
    <n v="6796"/>
    <n v="5434"/>
    <n v="1362"/>
    <m/>
  </r>
  <r>
    <x v="0"/>
    <s v="Junio"/>
    <n v="0.71604431678292979"/>
    <n v="0.79619771863117872"/>
    <n v="0.89932977704828343"/>
    <n v="0"/>
    <n v="0"/>
    <n v="7311"/>
    <n v="736"/>
    <n v="6575"/>
    <n v="5235"/>
    <n v="1340"/>
    <m/>
  </r>
  <r>
    <x v="0"/>
    <s v="Julio"/>
    <n v="0.68574456809750928"/>
    <n v="0.77196122296793435"/>
    <n v="0.88831478537360886"/>
    <n v="0"/>
    <n v="0"/>
    <n v="7548"/>
    <n v="843"/>
    <n v="6705"/>
    <n v="5176"/>
    <n v="1529"/>
    <m/>
  </r>
  <r>
    <x v="0"/>
    <s v="Agosto"/>
    <n v="0.71974778642339687"/>
    <n v="0.79540400296515934"/>
    <n v="0.90488328414274211"/>
    <n v="0"/>
    <n v="0"/>
    <n v="7454"/>
    <n v="709"/>
    <n v="6745"/>
    <n v="5365"/>
    <n v="1380"/>
    <m/>
  </r>
  <r>
    <x v="0"/>
    <s v="Septiembre"/>
    <n v="0.78824952944339877"/>
    <n v="0.8561623831775701"/>
    <n v="0.92067760150578115"/>
    <n v="0"/>
    <n v="0"/>
    <n v="7438"/>
    <n v="590"/>
    <n v="6848"/>
    <n v="5863"/>
    <n v="985"/>
    <m/>
  </r>
  <r>
    <x v="0"/>
    <s v="Octubre"/>
    <n v="0.81461507347984363"/>
    <n v="0.85909284800227503"/>
    <n v="0.94822704597546181"/>
    <n v="0"/>
    <n v="0"/>
    <n v="7417"/>
    <n v="384"/>
    <n v="7033"/>
    <n v="6042"/>
    <n v="991"/>
    <m/>
  </r>
  <r>
    <x v="0"/>
    <s v="Noviembre"/>
    <n v="0.76741996233521659"/>
    <n v="0.84959046909903202"/>
    <n v="0.90328221684153887"/>
    <n v="0"/>
    <n v="0"/>
    <n v="7434"/>
    <n v="719"/>
    <n v="6715"/>
    <n v="5705"/>
    <n v="1010"/>
    <m/>
  </r>
  <r>
    <x v="0"/>
    <s v="Diciembre"/>
    <n v="0.65417981072555209"/>
    <n v="0.80326016785022591"/>
    <n v="0.8144058885383807"/>
    <n v="0"/>
    <n v="0"/>
    <n v="7608"/>
    <n v="1412"/>
    <n v="6196"/>
    <n v="4977"/>
    <n v="1219"/>
    <m/>
  </r>
  <r>
    <x v="1"/>
    <s v="Enero"/>
    <n v="0.73781715666532421"/>
    <n v="0.85301878007139531"/>
    <n v="0.8649483152100953"/>
    <n v="0"/>
    <n v="0"/>
    <n v="7449"/>
    <n v="1006"/>
    <n v="6443"/>
    <n v="5496"/>
    <n v="947"/>
    <m/>
  </r>
  <r>
    <x v="1"/>
    <s v="Febrero"/>
    <n v="0.75377248984329659"/>
    <n v="0.83885031487162931"/>
    <n v="0.8985780615206036"/>
    <n v="0"/>
    <n v="0"/>
    <n v="6892"/>
    <n v="699"/>
    <n v="6193"/>
    <n v="5195"/>
    <n v="998"/>
    <m/>
  </r>
  <r>
    <x v="1"/>
    <s v="Marzo"/>
    <n v="0.52214573321210545"/>
    <n v="0.62792877225866917"/>
    <n v="0.83153656319002467"/>
    <n v="0"/>
    <n v="0"/>
    <n v="7699"/>
    <n v="1297"/>
    <n v="6402"/>
    <n v="4020"/>
    <n v="2382"/>
    <m/>
  </r>
  <r>
    <x v="1"/>
    <s v="Abril"/>
    <n v="0.49174690508940855"/>
    <n v="0.62951223807008272"/>
    <n v="0.78115543328748283"/>
    <n v="0"/>
    <n v="0"/>
    <n v="7270"/>
    <n v="1591"/>
    <n v="5679"/>
    <n v="3575"/>
    <n v="2104"/>
    <m/>
  </r>
  <r>
    <x v="1"/>
    <s v="Mayo"/>
    <n v="0.47414372061786436"/>
    <n v="0.6089356563739865"/>
    <n v="0.77864338482202822"/>
    <n v="0"/>
    <n v="0"/>
    <n v="7445"/>
    <n v="1648"/>
    <n v="5797"/>
    <n v="3530"/>
    <n v="2267"/>
    <m/>
  </r>
  <r>
    <x v="1"/>
    <s v="Junio"/>
    <n v="0.66945373467112601"/>
    <n v="0.78075735413619374"/>
    <n v="0.85744147157190631"/>
    <n v="0"/>
    <n v="0"/>
    <n v="7176"/>
    <n v="1023"/>
    <n v="6153"/>
    <n v="4804"/>
    <n v="1349"/>
    <m/>
  </r>
  <r>
    <x v="1"/>
    <s v="Julio"/>
    <n v="0.70785762256548024"/>
    <n v="0.81629491945477073"/>
    <n v="0.86715916722632636"/>
    <n v="0"/>
    <n v="0"/>
    <n v="7445"/>
    <n v="989"/>
    <n v="6456"/>
    <n v="5270"/>
    <n v="1186"/>
    <m/>
  </r>
  <r>
    <x v="1"/>
    <s v="Agosto"/>
    <n v="0.69572107765451663"/>
    <n v="0.79794001817631022"/>
    <n v="0.87189646064447968"/>
    <n v="0"/>
    <n v="0"/>
    <n v="7572"/>
    <n v="970"/>
    <n v="6602"/>
    <n v="5268"/>
    <n v="1334"/>
    <m/>
  </r>
  <r>
    <x v="1"/>
    <s v="Septiembre"/>
    <n v="0.73135935397039031"/>
    <n v="0.84707716289945445"/>
    <n v="0.86339165545087482"/>
    <n v="0"/>
    <n v="0"/>
    <n v="7430"/>
    <n v="1015"/>
    <n v="6415"/>
    <n v="5434"/>
    <n v="981"/>
    <m/>
  </r>
  <r>
    <x v="1"/>
    <s v="Octubre"/>
    <n v="0.71073934160820296"/>
    <n v="0.83938814531548755"/>
    <n v="0.84673502428494329"/>
    <n v="0"/>
    <n v="0"/>
    <n v="7412"/>
    <n v="1136"/>
    <n v="6276"/>
    <n v="5268"/>
    <n v="1008"/>
    <m/>
  </r>
  <r>
    <x v="1"/>
    <s v="Noviembre"/>
    <n v="0.70201884253028268"/>
    <n v="0.81614770771397283"/>
    <n v="0.86016150740242259"/>
    <n v="0"/>
    <n v="0"/>
    <n v="7430"/>
    <n v="1039"/>
    <n v="6391"/>
    <n v="5216"/>
    <n v="1175"/>
    <m/>
  </r>
  <r>
    <x v="1"/>
    <s v="Diciembre"/>
    <n v="0.60793008999608711"/>
    <n v="0.75579698394681372"/>
    <n v="0.80435633233337678"/>
    <n v="0"/>
    <n v="0"/>
    <n v="7667"/>
    <n v="1500"/>
    <n v="6167"/>
    <n v="4661"/>
    <n v="1506"/>
    <m/>
  </r>
  <r>
    <x v="2"/>
    <s v="Enero"/>
    <n v="0.67326994189117806"/>
    <n v="0.79222999222999224"/>
    <n v="0.84984152139461178"/>
    <n v="0"/>
    <n v="0"/>
    <n v="7572"/>
    <n v="1137"/>
    <n v="6435"/>
    <n v="5098"/>
    <n v="1337"/>
    <m/>
  </r>
  <r>
    <x v="2"/>
    <s v="Febrero"/>
    <n v="0.73708647707486941"/>
    <n v="0.84008599305440712"/>
    <n v="0.87739408009286124"/>
    <n v="0"/>
    <n v="0"/>
    <n v="6892"/>
    <n v="845"/>
    <n v="6047"/>
    <n v="5080"/>
    <n v="967"/>
    <m/>
  </r>
  <r>
    <x v="2"/>
    <s v="Marzo"/>
    <n v="0.68385504610988435"/>
    <n v="0.7899474868717179"/>
    <n v="0.86569684374594102"/>
    <n v="0"/>
    <n v="0"/>
    <n v="7699"/>
    <n v="1034"/>
    <n v="6665"/>
    <n v="5265"/>
    <n v="1400"/>
    <m/>
  </r>
  <r>
    <x v="2"/>
    <s v="Abril"/>
    <n v="0.6535069298614028"/>
    <n v="0.78506559031281531"/>
    <n v="0.83242335153296931"/>
    <n v="0"/>
    <n v="0"/>
    <n v="7143"/>
    <n v="1197"/>
    <n v="5946"/>
    <n v="4668"/>
    <n v="1278"/>
    <m/>
  </r>
  <r>
    <x v="2"/>
    <s v="Mayo"/>
    <n v="0.67334334835586718"/>
    <n v="0.78254122211445198"/>
    <n v="0.86045735269571022"/>
    <n v="0"/>
    <n v="0"/>
    <n v="5991"/>
    <n v="836"/>
    <n v="5155"/>
    <n v="4034"/>
    <n v="1121"/>
    <m/>
  </r>
  <r>
    <x v="2"/>
    <s v="Junio"/>
    <n v="0.79657447704618844"/>
    <n v="0.81569867740080504"/>
    <n v="0.97655482240628944"/>
    <n v="0"/>
    <n v="0"/>
    <n v="7123"/>
    <n v="167"/>
    <n v="6956"/>
    <n v="5674"/>
    <n v="1282"/>
    <m/>
  </r>
  <r>
    <x v="2"/>
    <s v="Julio"/>
    <n v="0.8263852242744063"/>
    <n v="0.84523006341924167"/>
    <n v="0.97770448548812661"/>
    <n v="0"/>
    <n v="0"/>
    <n v="7580"/>
    <n v="169"/>
    <n v="7411"/>
    <n v="6264"/>
    <n v="1147"/>
    <m/>
  </r>
  <r>
    <x v="2"/>
    <s v="Agosto"/>
    <n v="0.91318327974276525"/>
    <n v="0.92508143322475567"/>
    <n v="0.98713826366559487"/>
    <n v="0"/>
    <n v="0"/>
    <n v="7464"/>
    <n v="96"/>
    <n v="7368"/>
    <n v="6816"/>
    <n v="552"/>
    <m/>
  </r>
  <r>
    <x v="2"/>
    <s v="Septiembre"/>
    <n v="0.92343642611683852"/>
    <n v="0.94793283476788481"/>
    <n v="0.97415807560137457"/>
    <n v="0"/>
    <n v="0"/>
    <n v="7275"/>
    <n v="188"/>
    <n v="7087"/>
    <n v="6718"/>
    <n v="369"/>
    <m/>
  </r>
  <r>
    <x v="2"/>
    <s v="Octubre"/>
    <n v="0.95369739888329019"/>
    <n v="0.95760973608642141"/>
    <n v="0.99591447637205499"/>
    <n v="0"/>
    <n v="0"/>
    <n v="7343"/>
    <n v="30"/>
    <n v="7313"/>
    <n v="7003"/>
    <n v="310"/>
    <m/>
  </r>
  <r>
    <x v="2"/>
    <s v="Noviembre"/>
    <n v="0.96493150684931506"/>
    <n v="0.96864686468646866"/>
    <n v="0.99616438356164383"/>
    <n v="0"/>
    <n v="0"/>
    <n v="7300"/>
    <n v="28"/>
    <n v="7272"/>
    <n v="7044"/>
    <n v="228"/>
    <m/>
  </r>
  <r>
    <x v="2"/>
    <s v="Diciembre"/>
    <n v="0.94907778668805132"/>
    <n v="0.95533431992466034"/>
    <n v="0.99345094894413255"/>
    <n v="0"/>
    <n v="0"/>
    <n v="7482"/>
    <n v="49"/>
    <n v="7433"/>
    <n v="7101"/>
    <n v="332"/>
    <m/>
  </r>
  <r>
    <x v="3"/>
    <s v="Enero"/>
    <n v="0.97290703646635845"/>
    <n v="0.97856128115717422"/>
    <n v="0.99422187981510013"/>
    <n v="0"/>
    <n v="0"/>
    <n v="7788"/>
    <n v="45"/>
    <n v="7743"/>
    <n v="7577"/>
    <n v="166"/>
    <m/>
  </r>
  <r>
    <x v="3"/>
    <s v="Febrero"/>
    <n v="0.96062992125984248"/>
    <n v="0.9671951886276654"/>
    <n v="0.99321205538962798"/>
    <n v="0"/>
    <n v="0"/>
    <n v="7366"/>
    <n v="50"/>
    <n v="7316"/>
    <n v="7076"/>
    <n v="240"/>
    <m/>
  </r>
  <r>
    <x v="3"/>
    <s v="Marzo"/>
    <n v="0.96463603510583373"/>
    <n v="0.96926468681104916"/>
    <n v="0.99522457408363452"/>
    <n v="0"/>
    <n v="0"/>
    <n v="7748"/>
    <n v="37"/>
    <n v="7711"/>
    <n v="7474"/>
    <n v="237"/>
    <m/>
  </r>
  <r>
    <x v="3"/>
    <s v="Abril"/>
    <n v="0.97017707362534944"/>
    <n v="0.97328703085347934"/>
    <n v="0.99680468645985887"/>
    <n v="0"/>
    <n v="0"/>
    <n v="7511"/>
    <n v="24"/>
    <n v="7487"/>
    <n v="7287"/>
    <n v="200"/>
    <m/>
  </r>
  <r>
    <x v="3"/>
    <s v="Mayo"/>
    <n v="0.9367285955567104"/>
    <n v="0.94186806009144353"/>
    <n v="0.99454332856957262"/>
    <n v="0"/>
    <n v="0"/>
    <n v="7697"/>
    <n v="42"/>
    <n v="7655"/>
    <n v="7210"/>
    <n v="445"/>
    <m/>
  </r>
  <r>
    <x v="3"/>
    <s v="Junio"/>
    <n v="0.9494882360760335"/>
    <n v="0.96020970560559216"/>
    <n v="0.98883424165891265"/>
    <n v="0"/>
    <n v="0"/>
    <n v="7523"/>
    <n v="84"/>
    <n v="7439"/>
    <n v="7143"/>
    <n v="296"/>
    <m/>
  </r>
  <r>
    <x v="3"/>
    <s v="Julio"/>
    <n v="0.94228356336260977"/>
    <n v="0.95172811059907836"/>
    <n v="0.99007642294969778"/>
    <n v="0"/>
    <n v="0"/>
    <n v="8767"/>
    <n v="87"/>
    <n v="8680"/>
    <n v="8261"/>
    <n v="419"/>
    <m/>
  </r>
  <r>
    <x v="3"/>
    <s v="Agosto"/>
    <n v="0.93432017543859647"/>
    <n v="0.96631889317305508"/>
    <n v="0.96688596491228074"/>
    <n v="0"/>
    <n v="0"/>
    <n v="9120"/>
    <n v="302"/>
    <n v="8818"/>
    <n v="8521"/>
    <n v="297"/>
    <m/>
  </r>
  <r>
    <x v="3"/>
    <s v="Septiembre"/>
    <n v="0.94790960451977402"/>
    <n v="0.96926632004621605"/>
    <n v="0.97796610169491527"/>
    <n v="0"/>
    <n v="0"/>
    <n v="8850"/>
    <n v="195"/>
    <n v="8655"/>
    <n v="8389"/>
    <n v="266"/>
    <m/>
  </r>
  <r>
    <x v="3"/>
    <s v="Octubre"/>
    <n v="0.93051948051948052"/>
    <n v="0.96911632100991885"/>
    <n v="0.96017316017316012"/>
    <n v="0"/>
    <n v="0"/>
    <n v="9240"/>
    <n v="368"/>
    <n v="8872"/>
    <n v="8598"/>
    <n v="274"/>
    <m/>
  </r>
  <r>
    <x v="3"/>
    <s v="Noviembre"/>
    <n v="0.96235660986746852"/>
    <n v="0.96731221314228144"/>
    <n v="0.99487693507072061"/>
    <n v="0"/>
    <n v="0"/>
    <n v="8979"/>
    <n v="46"/>
    <n v="8933"/>
    <n v="8641"/>
    <n v="292"/>
    <m/>
  </r>
  <r>
    <x v="3"/>
    <s v="Diciembre"/>
    <n v="0.90083962163885645"/>
    <n v="0.9648264086511098"/>
    <n v="0.93368051865235413"/>
    <n v="0"/>
    <n v="0"/>
    <n v="9409"/>
    <n v="624"/>
    <n v="8785"/>
    <n v="8476"/>
    <n v="309"/>
    <m/>
  </r>
  <r>
    <x v="4"/>
    <s v="Enero"/>
    <n v="0.96184403094292281"/>
    <n v="0.97138935810810811"/>
    <n v="0.99017353125653351"/>
    <n v="0"/>
    <n v="0"/>
    <n v="9566"/>
    <n v="94"/>
    <n v="9472"/>
    <n v="9201"/>
    <n v="271"/>
    <m/>
  </r>
  <r>
    <x v="4"/>
    <s v="Febrero"/>
    <n v="0.9658620689655173"/>
    <n v="0.97144508670520235"/>
    <n v="0.99425287356321834"/>
    <n v="0"/>
    <n v="0"/>
    <n v="8700"/>
    <n v="50"/>
    <n v="8650"/>
    <n v="8403"/>
    <n v="247"/>
    <m/>
  </r>
  <r>
    <x v="4"/>
    <s v="Marzo"/>
    <n v="0.91989304812834227"/>
    <n v="0.92883369330453569"/>
    <n v="0.99037433155080212"/>
    <n v="0"/>
    <n v="0"/>
    <n v="9350"/>
    <n v="90"/>
    <n v="9260"/>
    <n v="8601"/>
    <n v="659"/>
    <m/>
  </r>
  <r>
    <x v="4"/>
    <s v="Abril"/>
    <n v="0.94804779176445486"/>
    <n v="0.95241667559747079"/>
    <n v="0.99541284403669728"/>
    <n v="0"/>
    <n v="0"/>
    <n v="9374"/>
    <n v="43"/>
    <n v="9331"/>
    <n v="8887"/>
    <n v="444"/>
    <m/>
  </r>
  <r>
    <x v="4"/>
    <s v="Mayo"/>
    <n v="0.92782745923198318"/>
    <n v="0.93849100776843675"/>
    <n v="0.98863755917937923"/>
    <n v="0"/>
    <n v="0"/>
    <n v="9505"/>
    <n v="108"/>
    <n v="9397"/>
    <n v="8819"/>
    <n v="578"/>
    <m/>
  </r>
  <r>
    <x v="4"/>
    <s v="Junio"/>
    <n v="0.95737254072350331"/>
    <n v="0.96042020373514436"/>
    <n v="0.99682674000423099"/>
    <n v="0"/>
    <n v="0"/>
    <n v="9454"/>
    <n v="30"/>
    <n v="9424"/>
    <n v="9051"/>
    <n v="373"/>
    <m/>
  </r>
  <r>
    <x v="4"/>
    <s v="Julio"/>
    <n v="0.95023205292781676"/>
    <n v="0.95456799920642799"/>
    <n v="0.99545768737039597"/>
    <n v="0"/>
    <n v="0"/>
    <n v="10127"/>
    <n v="46"/>
    <n v="10081"/>
    <n v="9623"/>
    <n v="458"/>
    <m/>
  </r>
  <r>
    <x v="4"/>
    <s v="Agosto"/>
    <n v="0.95090909090909093"/>
    <n v="0.96802056555269922"/>
    <n v="0.98232323232323238"/>
    <n v="0"/>
    <n v="0"/>
    <n v="9900"/>
    <n v="175"/>
    <n v="9725"/>
    <n v="9414"/>
    <n v="311"/>
    <m/>
  </r>
  <r>
    <x v="4"/>
    <s v="Septiembre"/>
    <n v="0.95716589397298935"/>
    <n v="0.96172151898734182"/>
    <n v="0.99526305180407171"/>
    <n v="0"/>
    <n v="0"/>
    <n v="9922"/>
    <n v="47"/>
    <n v="9875"/>
    <n v="9497"/>
    <n v="378"/>
    <m/>
  </r>
  <r>
    <x v="4"/>
    <s v="Octubre"/>
    <n v="0.95108431391617232"/>
    <n v="0.95901157089625422"/>
    <n v="0.99173392978702712"/>
    <n v="0"/>
    <n v="0"/>
    <n v="10283"/>
    <n v="85"/>
    <n v="10198"/>
    <n v="9780"/>
    <n v="418"/>
    <m/>
  </r>
  <r>
    <x v="4"/>
    <s v="Noviembre"/>
    <n v="0.96369262506446618"/>
    <n v="0.96898983613358225"/>
    <n v="0.99453326456936564"/>
    <n v="0"/>
    <n v="0"/>
    <n v="9695"/>
    <n v="53"/>
    <n v="9642"/>
    <n v="9343"/>
    <n v="299"/>
    <m/>
  </r>
  <r>
    <x v="4"/>
    <s v="Diciembre"/>
    <n v="0.94012636646274195"/>
    <n v="0.94840145690004052"/>
    <n v="0.99127469662019863"/>
    <n v="0"/>
    <n v="0"/>
    <n v="9971"/>
    <n v="87"/>
    <n v="9884"/>
    <n v="9374"/>
    <n v="510"/>
    <m/>
  </r>
  <r>
    <x v="5"/>
    <s v="Enero"/>
    <n v="0.94779236276849643"/>
    <n v="0.95520144317498501"/>
    <n v="0.99224343675417659"/>
    <n v="0"/>
    <n v="0"/>
    <n v="10056"/>
    <n v="78"/>
    <n v="9978"/>
    <n v="9531"/>
    <n v="447"/>
    <m/>
  </r>
  <r>
    <x v="5"/>
    <s v="Febrero"/>
    <n v="0.96347826086956523"/>
    <n v="0.97171672878754656"/>
    <n v="0.99152173913043473"/>
    <n v="0"/>
    <n v="0"/>
    <n v="9200"/>
    <n v="78"/>
    <n v="9122"/>
    <n v="8864"/>
    <n v="258"/>
    <m/>
  </r>
  <r>
    <x v="5"/>
    <s v="Marzo"/>
    <n v="0.94855337217339786"/>
    <n v="0.95563072025467566"/>
    <n v="0.99259405549521085"/>
    <n v="0"/>
    <n v="0"/>
    <n v="10127"/>
    <n v="75"/>
    <n v="10052"/>
    <n v="9606"/>
    <n v="446"/>
    <m/>
  </r>
  <r>
    <x v="5"/>
    <s v="Abril"/>
    <n v="0.92187180012287528"/>
    <n v="0.9323736536868269"/>
    <n v="0.98873643252099119"/>
    <n v="0"/>
    <n v="0"/>
    <n v="9766"/>
    <n v="110"/>
    <n v="9656"/>
    <n v="9003"/>
    <n v="653"/>
    <m/>
  </r>
  <r>
    <x v="5"/>
    <s v="Mayo"/>
    <n v="0.97075123152709364"/>
    <n v="0.97435105067985162"/>
    <n v="0.99630541871921185"/>
    <n v="0"/>
    <n v="0"/>
    <n v="9744"/>
    <n v="36"/>
    <n v="9708"/>
    <n v="9459"/>
    <n v="249"/>
    <m/>
  </r>
  <r>
    <x v="5"/>
    <s v="Junio"/>
    <n v="0.96930280957336112"/>
    <n v="0.97315085666527368"/>
    <n v="0.99604578563995838"/>
    <n v="0"/>
    <n v="0"/>
    <n v="9610"/>
    <n v="38"/>
    <n v="9572"/>
    <n v="9315"/>
    <n v="257"/>
    <m/>
  </r>
  <r>
    <x v="5"/>
    <s v="Julio"/>
    <n v="0.94963957736743354"/>
    <n v="0.9593017456359102"/>
    <n v="0.98992791547348669"/>
    <n v="0"/>
    <n v="0"/>
    <n v="10127"/>
    <n v="102"/>
    <n v="10025"/>
    <n v="9617"/>
    <n v="408"/>
    <m/>
  </r>
  <r>
    <x v="5"/>
    <s v="Agosto"/>
    <n v="0.97282828282828282"/>
    <n v="0.97667579353006795"/>
    <n v="0.99606060606060609"/>
    <n v="0"/>
    <n v="0"/>
    <n v="9900"/>
    <n v="39"/>
    <n v="9861"/>
    <n v="9631"/>
    <n v="230"/>
    <m/>
  </r>
  <r>
    <x v="5"/>
    <s v="Septiembre"/>
    <n v="0.95837532755492849"/>
    <n v="0.97298680036836183"/>
    <n v="0.98498286635758925"/>
    <n v="0"/>
    <n v="0"/>
    <n v="9922"/>
    <n v="149"/>
    <n v="9773"/>
    <n v="9509"/>
    <n v="264"/>
    <m/>
  </r>
  <r>
    <x v="5"/>
    <s v="Octubre"/>
    <n v="0.95535003977724742"/>
    <n v="0.9699141847551741"/>
    <n v="0.98498408910103419"/>
    <n v="0"/>
    <n v="0"/>
    <n v="10056"/>
    <n v="151"/>
    <n v="9905"/>
    <n v="9607"/>
    <n v="298"/>
    <m/>
  </r>
  <r>
    <x v="5"/>
    <s v="Noviembre"/>
    <n v="0.96047511775547822"/>
    <n v="0.96760883020425004"/>
    <n v="0.99262748310464877"/>
    <n v="0"/>
    <n v="0"/>
    <n v="9766"/>
    <n v="72"/>
    <n v="9694"/>
    <n v="9380"/>
    <n v="314"/>
    <m/>
  </r>
  <r>
    <x v="5"/>
    <s v="Diciembre"/>
    <n v="0.91846354427840737"/>
    <n v="0.96187375275706333"/>
    <n v="0.95486912044930294"/>
    <n v="0"/>
    <n v="0"/>
    <n v="9971"/>
    <n v="450"/>
    <n v="9521"/>
    <n v="9158"/>
    <n v="363"/>
    <m/>
  </r>
  <r>
    <x v="6"/>
    <s v="Enero"/>
    <n v="0.97636363636363632"/>
    <n v="0.9830163734363877"/>
    <n v="0.99323232323232324"/>
    <n v="0"/>
    <n v="0"/>
    <n v="9900"/>
    <n v="67"/>
    <n v="9833"/>
    <n v="9666"/>
    <n v="167"/>
    <m/>
  </r>
  <r>
    <x v="6"/>
    <s v="Febrero"/>
    <n v="0.96652173913043482"/>
    <n v="0.97137863229189425"/>
    <n v="0.995"/>
    <n v="0"/>
    <n v="0"/>
    <n v="9200"/>
    <n v="46"/>
    <n v="9154"/>
    <n v="8892"/>
    <n v="262"/>
    <m/>
  </r>
  <r>
    <x v="6"/>
    <s v="Marzo"/>
    <n v="0.955849460274239"/>
    <n v="0.9674212598425197"/>
    <n v="0.98803851016240396"/>
    <n v="0"/>
    <n v="0"/>
    <n v="10283"/>
    <n v="123"/>
    <n v="10160"/>
    <n v="9829"/>
    <n v="331"/>
    <m/>
  </r>
  <r>
    <x v="6"/>
    <s v="Abril"/>
    <n v="0.95368746776689017"/>
    <n v="0.96826892868363179"/>
    <n v="0.98494069107787519"/>
    <n v="0"/>
    <n v="0"/>
    <n v="9695"/>
    <n v="146"/>
    <n v="9549"/>
    <n v="9246"/>
    <n v="303"/>
    <m/>
  </r>
  <r>
    <x v="6"/>
    <s v="Mayo"/>
    <n v="0.95445746306673462"/>
    <n v="0.96190573980901528"/>
    <n v="0.9922567498726439"/>
    <n v="0"/>
    <n v="0"/>
    <n v="9815"/>
    <n v="76"/>
    <n v="9739"/>
    <n v="9368"/>
    <n v="371"/>
    <m/>
  </r>
  <r>
    <x v="6"/>
    <s v="Junio"/>
    <n v="0.96638917793964618"/>
    <n v="0.97614042463737649"/>
    <n v="0.9900104058272633"/>
    <n v="0"/>
    <n v="0"/>
    <n v="9610"/>
    <n v="96"/>
    <n v="9514"/>
    <n v="9287"/>
    <n v="227"/>
    <m/>
  </r>
  <r>
    <x v="6"/>
    <s v="Julio"/>
    <n v="0.9590294351630867"/>
    <n v="0.96343656343656348"/>
    <n v="0.99542561654733497"/>
    <n v="0"/>
    <n v="0"/>
    <n v="10056"/>
    <n v="46"/>
    <n v="10010"/>
    <n v="9644"/>
    <n v="366"/>
    <m/>
  </r>
  <r>
    <x v="6"/>
    <s v="Agosto"/>
    <n v="0.94012636646274195"/>
    <n v="0.94878542510121455"/>
    <n v="0.99087353324641458"/>
    <n v="0"/>
    <n v="0"/>
    <n v="9971"/>
    <n v="91"/>
    <n v="9880"/>
    <n v="9374"/>
    <n v="506"/>
    <m/>
  </r>
  <r>
    <x v="6"/>
    <s v="Septiembre"/>
    <n v="0.93549687562991335"/>
    <n v="0.95053763440860217"/>
    <n v="0.98417657730296315"/>
    <n v="0"/>
    <n v="0"/>
    <n v="9922"/>
    <n v="157"/>
    <n v="9765"/>
    <n v="9282"/>
    <n v="483"/>
    <m/>
  </r>
  <r>
    <x v="6"/>
    <s v="Octubre"/>
    <n v="0.93979797979797974"/>
    <n v="0.94428092966609156"/>
    <n v="0.99525252525252528"/>
    <n v="0"/>
    <n v="0"/>
    <n v="9900"/>
    <n v="47"/>
    <n v="9853"/>
    <n v="9304"/>
    <n v="549"/>
    <m/>
  </r>
  <r>
    <x v="6"/>
    <s v="Noviembre"/>
    <n v="0.91604515218705906"/>
    <n v="0.92792240939254722"/>
    <n v="0.98720016125781096"/>
    <n v="0"/>
    <n v="0"/>
    <n v="9922"/>
    <n v="127"/>
    <n v="9795"/>
    <n v="9089"/>
    <n v="706"/>
    <m/>
  </r>
  <r>
    <x v="6"/>
    <s v="Diciembre"/>
    <n v="0.93079067914758018"/>
    <n v="0.9508646998982706"/>
    <n v="0.97888866759609638"/>
    <n v="0"/>
    <n v="0"/>
    <n v="10042"/>
    <n v="212"/>
    <n v="9830"/>
    <n v="9347"/>
    <n v="483"/>
    <m/>
  </r>
  <r>
    <x v="7"/>
    <s v="Enero"/>
    <n v="0.94965399659011129"/>
    <n v="0.96406027285685192"/>
    <n v="0.98505666432654704"/>
    <n v="0"/>
    <n v="0"/>
    <n v="9971"/>
    <n v="149"/>
    <n v="9822"/>
    <n v="9469"/>
    <n v="353"/>
    <m/>
  </r>
  <r>
    <x v="7"/>
    <s v="Febrero"/>
    <n v="0.94456646794268384"/>
    <n v="0.9581962864721485"/>
    <n v="0.98577554649095278"/>
    <n v="0"/>
    <n v="0"/>
    <n v="9561"/>
    <n v="136"/>
    <n v="9425"/>
    <n v="9031"/>
    <n v="394"/>
    <m/>
  </r>
  <r>
    <x v="7"/>
    <s v="Marzo"/>
    <n v="0.96888067684527857"/>
    <n v="0.97304424260181654"/>
    <n v="0.9957210930662258"/>
    <n v="0"/>
    <n v="0"/>
    <n v="10283"/>
    <n v="44"/>
    <n v="10239"/>
    <n v="9963"/>
    <n v="276"/>
    <m/>
  </r>
  <r>
    <x v="7"/>
    <s v="Abril"/>
    <n v="0.94705944019289234"/>
    <n v="0.9588197834854596"/>
    <n v="0.98773456337142262"/>
    <n v="0"/>
    <n v="0"/>
    <n v="9539"/>
    <n v="117"/>
    <n v="9422"/>
    <n v="9034"/>
    <n v="388"/>
    <m/>
  </r>
  <r>
    <x v="7"/>
    <s v="Mayo"/>
    <n v="0.89509577775549087"/>
    <n v="0.91830435229961926"/>
    <n v="0.97472670745160972"/>
    <n v="0"/>
    <n v="0"/>
    <n v="9971"/>
    <n v="252"/>
    <n v="9719"/>
    <n v="8925"/>
    <n v="794"/>
    <m/>
  </r>
  <r>
    <x v="7"/>
    <s v="Junio"/>
    <n v="0.86540646627414519"/>
    <n v="0.91005865739734959"/>
    <n v="0.95093482078297698"/>
    <n v="0"/>
    <n v="0"/>
    <n v="9681"/>
    <n v="475"/>
    <n v="9206"/>
    <n v="8378"/>
    <n v="828"/>
    <m/>
  </r>
  <r>
    <x v="7"/>
    <s v="Julio"/>
    <n v="0.93416865552903738"/>
    <n v="0.9466895092210017"/>
    <n v="0.9867740652346858"/>
    <n v="0"/>
    <n v="0"/>
    <n v="10056"/>
    <n v="133"/>
    <n v="9923"/>
    <n v="9394"/>
    <n v="529"/>
    <m/>
  </r>
  <r>
    <x v="7"/>
    <s v="Agosto"/>
    <n v="0.95131825812185244"/>
    <n v="0.95784450188904358"/>
    <n v="0.99318653105559396"/>
    <n v="0"/>
    <n v="0"/>
    <n v="10127"/>
    <n v="69"/>
    <n v="10058"/>
    <n v="9634"/>
    <n v="424"/>
    <m/>
  </r>
  <r>
    <x v="7"/>
    <s v="Septiembre"/>
    <n v="0.95137549487361694"/>
    <n v="0.96439596624819923"/>
    <n v="0.98649883260582683"/>
    <n v="0"/>
    <n v="0"/>
    <n v="9851"/>
    <n v="133"/>
    <n v="9718"/>
    <n v="9372"/>
    <n v="346"/>
    <m/>
  </r>
  <r>
    <x v="7"/>
    <s v="Octubre"/>
    <n v="0.96931100190552599"/>
    <n v="0.97350926672038673"/>
    <n v="0.9956874937318223"/>
    <n v="0"/>
    <n v="0"/>
    <n v="9971"/>
    <n v="43"/>
    <n v="9928"/>
    <n v="9665"/>
    <n v="263"/>
    <m/>
  </r>
  <r>
    <x v="7"/>
    <s v="Noviembre"/>
    <n v="0.93438822817980249"/>
    <n v="0.97867623772828038"/>
    <n v="0.95474702680911105"/>
    <n v="0"/>
    <n v="0"/>
    <n v="9922"/>
    <n v="449"/>
    <n v="9473"/>
    <n v="9271"/>
    <n v="202"/>
    <m/>
  </r>
  <r>
    <x v="7"/>
    <s v="Diciembre"/>
    <n v="0.92405582922824303"/>
    <n v="0.95099281791296997"/>
    <n v="0.97167487684729059"/>
    <n v="0"/>
    <n v="0"/>
    <n v="9744"/>
    <n v="276"/>
    <n v="9468"/>
    <n v="9004"/>
    <n v="464"/>
    <m/>
  </r>
  <r>
    <x v="8"/>
    <s v="Enero"/>
    <n v="0.9431942103697829"/>
    <n v="0.96149570490146541"/>
    <n v="0.98096559928620997"/>
    <n v="0"/>
    <n v="0"/>
    <n v="10087"/>
    <n v="192"/>
    <n v="9895"/>
    <n v="9514"/>
    <n v="381"/>
    <m/>
  </r>
  <r>
    <x v="8"/>
    <s v="Febrero"/>
    <n v="0.95642605633802813"/>
    <n v="0.96976458774963736"/>
    <n v="0.98624559859154926"/>
    <n v="0"/>
    <n v="0"/>
    <n v="9088"/>
    <n v="125"/>
    <n v="8963"/>
    <n v="8692"/>
    <n v="271"/>
    <m/>
  </r>
  <r>
    <x v="8"/>
    <s v="Marzo"/>
    <n v="0.92763679619349726"/>
    <n v="0.94687847819488014"/>
    <n v="0.97967882632831083"/>
    <n v="0"/>
    <n v="0"/>
    <n v="10088"/>
    <n v="205"/>
    <n v="9883"/>
    <n v="9358"/>
    <n v="525"/>
    <m/>
  </r>
  <r>
    <x v="8"/>
    <s v="Abril"/>
    <n v="0.92335096620965129"/>
    <n v="0.96731508708437008"/>
    <n v="0.95455036165389184"/>
    <n v="0"/>
    <n v="0"/>
    <n v="9263"/>
    <n v="421"/>
    <n v="8842"/>
    <n v="8553"/>
    <n v="289"/>
    <m/>
  </r>
  <r>
    <x v="8"/>
    <s v="Mayo"/>
    <n v="0.92789682136691376"/>
    <n v="0.94733022291342661"/>
    <n v="0.97948613791002337"/>
    <n v="0"/>
    <n v="0"/>
    <n v="9847"/>
    <n v="202"/>
    <n v="9645"/>
    <n v="9137"/>
    <n v="508"/>
    <m/>
  </r>
  <r>
    <x v="8"/>
    <s v="Junio"/>
    <n v="0.93890339425587466"/>
    <n v="0.9637650085763293"/>
    <n v="0.97420365535248044"/>
    <n v="0"/>
    <n v="0"/>
    <n v="9575"/>
    <n v="247"/>
    <n v="9328"/>
    <n v="8990"/>
    <n v="338"/>
    <m/>
  </r>
  <r>
    <x v="8"/>
    <s v="Julio"/>
    <n v="0.92292068650350356"/>
    <n v="0.97021458311092135"/>
    <n v="0.95125418909312476"/>
    <n v="0"/>
    <n v="0"/>
    <n v="9847"/>
    <n v="480"/>
    <n v="9367"/>
    <n v="9088"/>
    <n v="279"/>
    <m/>
  </r>
  <r>
    <x v="8"/>
    <s v="Agosto"/>
    <n v="0.95831250624812558"/>
    <n v="0.97024291497975712"/>
    <n v="0.98770368889333204"/>
    <n v="0"/>
    <n v="0"/>
    <n v="10003"/>
    <n v="123"/>
    <n v="9880"/>
    <n v="9586"/>
    <n v="294"/>
    <m/>
  </r>
  <r>
    <x v="8"/>
    <s v="Septiembre"/>
    <n v="0.97242819843342032"/>
    <n v="0.98134485666104554"/>
    <n v="0.99091383812010447"/>
    <n v="0"/>
    <n v="0"/>
    <n v="9575"/>
    <n v="87"/>
    <n v="9488"/>
    <n v="9311"/>
    <n v="177"/>
    <m/>
  </r>
  <r>
    <x v="8"/>
    <s v="Octubre"/>
    <n v="0.94941517544736576"/>
    <n v="0.9598746715180918"/>
    <n v="0.98910326901929424"/>
    <n v="0"/>
    <n v="0"/>
    <n v="10003"/>
    <n v="109"/>
    <n v="9894"/>
    <n v="9497"/>
    <n v="397"/>
    <m/>
  </r>
  <r>
    <x v="8"/>
    <s v="Noviembre"/>
    <n v="0.86250900483688386"/>
    <n v="0.90674023585415986"/>
    <n v="0.95121951219512191"/>
    <n v="0"/>
    <n v="0"/>
    <n v="9717"/>
    <n v="474"/>
    <n v="9243"/>
    <n v="8381"/>
    <n v="862"/>
    <m/>
  </r>
  <r>
    <x v="8"/>
    <s v="Diciembre"/>
    <n v="0.81250644928283977"/>
    <n v="0.96530587225695719"/>
    <n v="0.84170880198121967"/>
    <n v="0"/>
    <n v="0"/>
    <n v="9691"/>
    <n v="1534"/>
    <n v="8157"/>
    <n v="7874"/>
    <n v="283"/>
    <m/>
  </r>
  <r>
    <x v="9"/>
    <s v="Enero"/>
    <n v="0.89723083075077481"/>
    <n v="0.97427268779852372"/>
    <n v="0.92092372288313507"/>
    <n v="0"/>
    <n v="0"/>
    <n v="10003"/>
    <n v="791"/>
    <n v="9212"/>
    <n v="8975"/>
    <n v="237"/>
    <m/>
  </r>
  <r>
    <x v="9"/>
    <s v="Febrero"/>
    <n v="0.855743838028169"/>
    <n v="0.94992060583852445"/>
    <n v="0.90085827464788737"/>
    <n v="0"/>
    <n v="0"/>
    <n v="9088"/>
    <n v="901"/>
    <n v="8187"/>
    <n v="7777"/>
    <n v="410"/>
    <m/>
  </r>
  <r>
    <x v="9"/>
    <s v="Marzo"/>
    <n v="0.85780525502318394"/>
    <n v="0.95722662987236973"/>
    <n v="0.89613601236476048"/>
    <n v="0"/>
    <n v="0"/>
    <n v="9705"/>
    <n v="1008"/>
    <n v="8697"/>
    <n v="8325"/>
    <n v="372"/>
    <m/>
  </r>
  <r>
    <x v="9"/>
    <s v="Abril"/>
    <n v="0.81691893012647732"/>
    <n v="0.94473084762018944"/>
    <n v="0.86471076093717603"/>
    <n v="0"/>
    <n v="0"/>
    <n v="9646"/>
    <n v="1305"/>
    <n v="8341"/>
    <n v="7880"/>
    <n v="461"/>
    <m/>
  </r>
  <r>
    <x v="9"/>
    <s v="Mayo"/>
    <n v="0.85964912280701755"/>
    <n v="0.95401141322591476"/>
    <n v="0.90108892921960071"/>
    <n v="0"/>
    <n v="0"/>
    <n v="9918"/>
    <n v="981"/>
    <n v="8937"/>
    <n v="8526"/>
    <n v="411"/>
    <m/>
  </r>
  <r>
    <x v="9"/>
    <s v="Junio"/>
    <n v="0.85184791843670349"/>
    <n v="0.95046806493660385"/>
    <n v="0.89624044180118945"/>
    <n v="0"/>
    <n v="0"/>
    <n v="9416"/>
    <n v="977"/>
    <n v="8439"/>
    <n v="8021"/>
    <n v="418"/>
    <m/>
  </r>
  <r>
    <x v="9"/>
    <s v="Julio"/>
    <n v="0.83069199724382325"/>
    <n v="0.93207422133863482"/>
    <n v="0.89122945171768875"/>
    <n v="0"/>
    <n v="0"/>
    <n v="10159"/>
    <n v="1105"/>
    <n v="9054"/>
    <n v="8439"/>
    <n v="615"/>
    <m/>
  </r>
  <r>
    <x v="9"/>
    <s v="Agosto"/>
    <n v="0.82178815948449457"/>
    <n v="0.91338406445837061"/>
    <n v="0.89971808296415623"/>
    <n v="0"/>
    <n v="0"/>
    <n v="9932"/>
    <n v="996"/>
    <n v="8936"/>
    <n v="8162"/>
    <n v="774"/>
    <m/>
  </r>
  <r>
    <x v="9"/>
    <s v="Septiembre"/>
    <n v="0.90840289371174177"/>
    <n v="0.96023529411764708"/>
    <n v="0.9460211463550362"/>
    <n v="0"/>
    <n v="0"/>
    <n v="8985"/>
    <n v="485"/>
    <n v="8500"/>
    <n v="8162"/>
    <n v="338"/>
    <m/>
  </r>
  <r>
    <x v="9"/>
    <s v="Octubre"/>
    <n v="0.90029479890503261"/>
    <n v="0.94257054673721341"/>
    <n v="0.95514845230574863"/>
    <n v="0"/>
    <n v="0"/>
    <n v="9498"/>
    <n v="426"/>
    <n v="9072"/>
    <n v="8551"/>
    <n v="521"/>
    <m/>
  </r>
  <r>
    <x v="9"/>
    <s v="Noviembre"/>
    <n v="0.90854893138357706"/>
    <n v="0.93853125726237507"/>
    <n v="0.96805399325084363"/>
    <n v="0"/>
    <n v="0"/>
    <n v="8890"/>
    <n v="284"/>
    <n v="8606"/>
    <n v="8077"/>
    <n v="529"/>
    <m/>
  </r>
  <r>
    <x v="9"/>
    <s v="Diciembre"/>
    <n v="0.92435014441235286"/>
    <n v="0.94460211147689865"/>
    <n v="0.97856031992890469"/>
    <n v="0"/>
    <n v="0"/>
    <n v="9002"/>
    <n v="193"/>
    <n v="8809"/>
    <n v="8321"/>
    <n v="488"/>
    <m/>
  </r>
  <r>
    <x v="10"/>
    <s v="Enero"/>
    <n v="0.89006781885801789"/>
    <n v="0.91571010578437995"/>
    <n v="0.97199737475388315"/>
    <n v="0"/>
    <n v="0"/>
    <n v="9142"/>
    <n v="256"/>
    <n v="8886"/>
    <n v="8137"/>
    <n v="749"/>
    <m/>
  </r>
  <r>
    <x v="10"/>
    <s v="Febrero"/>
    <n v="0.85236030828516374"/>
    <n v="0.88199376947040498"/>
    <n v="0.96640173410404628"/>
    <n v="0"/>
    <n v="0"/>
    <n v="8304"/>
    <n v="279"/>
    <n v="8025"/>
    <n v="7078"/>
    <n v="947"/>
    <m/>
  </r>
  <r>
    <x v="10"/>
    <s v="Marzo"/>
    <n v="0.84075649059982094"/>
    <n v="0.89911440880804216"/>
    <n v="0.93509400179051028"/>
    <n v="0"/>
    <n v="0"/>
    <n v="8936"/>
    <n v="580"/>
    <n v="8356"/>
    <n v="7513"/>
    <n v="843"/>
    <m/>
  </r>
  <r>
    <x v="10"/>
    <s v="Abril"/>
    <n v="0.84281813216821411"/>
    <n v="0.89741800418702022"/>
    <n v="0.93915892954669578"/>
    <n v="0"/>
    <n v="0"/>
    <n v="9155"/>
    <n v="557"/>
    <n v="8598"/>
    <n v="7716"/>
    <n v="882"/>
    <m/>
  </r>
  <r>
    <x v="10"/>
    <s v="Mayo"/>
    <n v="0.86307141352433114"/>
    <n v="0.92243611392547564"/>
    <n v="0.9356435643564357"/>
    <n v="0"/>
    <n v="0"/>
    <n v="9494"/>
    <n v="611"/>
    <n v="8883"/>
    <n v="8194"/>
    <n v="689"/>
    <m/>
  </r>
  <r>
    <x v="10"/>
    <s v="Junio"/>
    <n v="0.84656084656084651"/>
    <n v="0.90480678605089537"/>
    <n v="0.93562610229276899"/>
    <n v="0"/>
    <n v="0"/>
    <n v="9072"/>
    <n v="584"/>
    <n v="8488"/>
    <n v="7680"/>
    <n v="808"/>
    <m/>
  </r>
  <r>
    <x v="10"/>
    <s v="Julio"/>
    <n v="0.74973832949549923"/>
    <n v="0.82818822985316221"/>
    <n v="0.90527527737073477"/>
    <n v="0"/>
    <n v="0"/>
    <n v="9554"/>
    <n v="905"/>
    <n v="8649"/>
    <n v="7163"/>
    <n v="1486"/>
    <m/>
  </r>
  <r>
    <x v="10"/>
    <s v="Agosto"/>
    <n v="0.70858731686450649"/>
    <n v="0.78256761544821074"/>
    <n v="0.90546465618650407"/>
    <n v="0"/>
    <n v="0"/>
    <n v="9351"/>
    <n v="884"/>
    <n v="8467"/>
    <n v="6626"/>
    <n v="1841"/>
    <m/>
  </r>
  <r>
    <x v="10"/>
    <s v="Septiembre"/>
    <n v="0.84985552344965543"/>
    <n v="0.87125441494815992"/>
    <n v="0.97543898644143145"/>
    <n v="0"/>
    <n v="0"/>
    <n v="8998"/>
    <n v="221"/>
    <n v="8777"/>
    <n v="7647"/>
    <n v="1130"/>
    <m/>
  </r>
  <r>
    <x v="10"/>
    <s v="Octubre"/>
    <n v="0.84476377095580235"/>
    <n v="0.87753024991518713"/>
    <n v="0.96266057043326803"/>
    <n v="0"/>
    <n v="0"/>
    <n v="9186"/>
    <n v="343"/>
    <n v="8843"/>
    <n v="7760"/>
    <n v="1083"/>
    <m/>
  </r>
  <r>
    <x v="10"/>
    <s v="Noviembre"/>
    <n v="0.82944855031267761"/>
    <n v="0.86546446790841147"/>
    <n v="0.9583854462762933"/>
    <n v="0"/>
    <n v="0"/>
    <n v="8795"/>
    <n v="366"/>
    <n v="8429"/>
    <n v="7295"/>
    <n v="1134"/>
    <m/>
  </r>
  <r>
    <x v="10"/>
    <s v="Diciembre"/>
    <n v="0.83143583508345309"/>
    <n v="0.87648566767653224"/>
    <n v="0.94860174643528239"/>
    <n v="0"/>
    <n v="0"/>
    <n v="9047"/>
    <n v="465"/>
    <n v="8582"/>
    <n v="7522"/>
    <n v="1060"/>
    <m/>
  </r>
  <r>
    <x v="11"/>
    <s v="Enero"/>
    <n v="0.87508028259473347"/>
    <n v="0.90221829820108157"/>
    <n v="0.96992078783986302"/>
    <n v="0"/>
    <n v="0"/>
    <n v="9342"/>
    <n v="281"/>
    <n v="9061"/>
    <n v="8175"/>
    <n v="886"/>
    <m/>
  </r>
  <r>
    <x v="11"/>
    <s v="Febrero"/>
    <n v="0.87054387568555758"/>
    <n v="0.89624750029408307"/>
    <n v="0.97132084095063986"/>
    <n v="0"/>
    <n v="0"/>
    <n v="8752"/>
    <n v="251"/>
    <n v="8501"/>
    <n v="7619"/>
    <n v="882"/>
    <m/>
  </r>
  <r>
    <x v="11"/>
    <s v="Marzo"/>
    <n v="0.79007832898172325"/>
    <n v="0.82156820156385757"/>
    <n v="0.96167101827676238"/>
    <n v="0"/>
    <n v="0"/>
    <n v="9575"/>
    <n v="367"/>
    <n v="9208"/>
    <n v="7565"/>
    <n v="1643"/>
    <m/>
  </r>
  <r>
    <x v="11"/>
    <s v="Abril"/>
    <n v="0.66510067114093963"/>
    <n v="0.70634354953670708"/>
    <n v="0.94161073825503361"/>
    <n v="0"/>
    <n v="0"/>
    <n v="8940"/>
    <n v="522"/>
    <n v="8418"/>
    <n v="5946"/>
    <n v="2472"/>
    <m/>
  </r>
  <r>
    <x v="11"/>
    <s v="Mayo"/>
    <n v="0.72699386503067487"/>
    <n v="0.76153316502180401"/>
    <n v="0.9546450482033304"/>
    <n v="0"/>
    <n v="0"/>
    <n v="9128"/>
    <n v="414"/>
    <n v="8714"/>
    <n v="6636"/>
    <n v="2078"/>
    <m/>
  </r>
  <r>
    <x v="11"/>
    <s v="Junio"/>
    <n v="0.77705233864925616"/>
    <n v="0.80972563015837606"/>
    <n v="0.95964893503157445"/>
    <n v="0"/>
    <n v="0"/>
    <n v="9343"/>
    <n v="377"/>
    <n v="8966"/>
    <n v="7260"/>
    <n v="1706"/>
    <m/>
  </r>
  <r>
    <x v="11"/>
    <s v="Julio"/>
    <n v="0.79514505624629961"/>
    <n v="0.8707585908796196"/>
    <n v="0.91316360765739091"/>
    <n v="0"/>
    <n v="0"/>
    <n v="10134"/>
    <n v="880"/>
    <n v="9254"/>
    <n v="8058"/>
    <n v="1196"/>
    <m/>
  </r>
  <r>
    <x v="11"/>
    <s v="Agosto"/>
    <n v="0.78692277070063699"/>
    <n v="0.8232170744403956"/>
    <n v="0.9559116242038217"/>
    <n v="0"/>
    <n v="0"/>
    <n v="10048"/>
    <n v="443"/>
    <n v="9605"/>
    <n v="7907"/>
    <n v="1698"/>
    <m/>
  </r>
  <r>
    <x v="11"/>
    <s v="Septiembre"/>
    <n v="0.79243027888446216"/>
    <n v="0.85732758620689653"/>
    <n v="0.92430278884462147"/>
    <n v="0"/>
    <n v="0"/>
    <n v="10040"/>
    <n v="760"/>
    <n v="9280"/>
    <n v="7956"/>
    <n v="1324"/>
    <m/>
  </r>
  <r>
    <x v="11"/>
    <s v="Octubre"/>
    <n v="0.83013561024610749"/>
    <n v="0.86488749345892202"/>
    <n v="0.95981918633852337"/>
    <n v="0"/>
    <n v="0"/>
    <n v="9955"/>
    <n v="400"/>
    <n v="9555"/>
    <n v="8264"/>
    <n v="1291"/>
    <m/>
  </r>
  <r>
    <x v="11"/>
    <s v="Noviembre"/>
    <n v="0.71259214983064356"/>
    <n v="0.77539295392953933"/>
    <n v="0.91900777047220561"/>
    <n v="0"/>
    <n v="0"/>
    <n v="10038"/>
    <n v="813"/>
    <n v="9225"/>
    <n v="7153"/>
    <n v="2072"/>
    <m/>
  </r>
  <r>
    <x v="11"/>
    <s v="Diciembre"/>
    <n v="0.796984330343944"/>
    <n v="0.84046975680731661"/>
    <n v="0.94826056962649063"/>
    <n v="0"/>
    <n v="0"/>
    <n v="10147"/>
    <n v="525"/>
    <n v="9622"/>
    <n v="8087"/>
    <n v="1535"/>
    <m/>
  </r>
  <r>
    <x v="12"/>
    <s v="Enero"/>
    <n v="0.82901554404145072"/>
    <n v="0.87625065824117954"/>
    <n v="0.94609406137903551"/>
    <n v="0"/>
    <n v="0"/>
    <n v="10036"/>
    <n v="541"/>
    <n v="9495"/>
    <n v="8320"/>
    <n v="1175"/>
    <m/>
  </r>
  <r>
    <x v="12"/>
    <s v="Febrero"/>
    <n v="0.80437123169681313"/>
    <n v="0.85402377686328301"/>
    <n v="0.94186046511627908"/>
    <n v="0"/>
    <n v="0"/>
    <n v="9288"/>
    <n v="540"/>
    <n v="8748"/>
    <n v="7471"/>
    <n v="1277"/>
    <m/>
  </r>
  <r>
    <x v="12"/>
    <s v="Marzo"/>
    <n v="0.74708932589766164"/>
    <n v="0.79203402136707812"/>
    <n v="0.94325408472752181"/>
    <n v="0"/>
    <n v="0"/>
    <n v="10221"/>
    <n v="580"/>
    <n v="9641"/>
    <n v="7636"/>
    <n v="2005"/>
    <m/>
  </r>
  <r>
    <x v="12"/>
    <s v="Abril"/>
    <n v="0.72565742714996451"/>
    <n v="0.7804957955662335"/>
    <n v="0.92973905980302574"/>
    <n v="0"/>
    <n v="0"/>
    <n v="9849"/>
    <n v="692"/>
    <n v="9157"/>
    <n v="7147"/>
    <n v="2010"/>
    <m/>
  </r>
  <r>
    <x v="12"/>
    <s v="Mayo"/>
    <n v="0.72389398166600238"/>
    <n v="0.77320136228182201"/>
    <n v="0.93622957353527303"/>
    <n v="0"/>
    <n v="0"/>
    <n v="10036"/>
    <n v="640"/>
    <n v="9396"/>
    <n v="7265"/>
    <n v="2131"/>
    <m/>
  </r>
  <r>
    <x v="12"/>
    <s v="Junio"/>
    <n v="0.72946908943254496"/>
    <n v="0.76626146299850717"/>
    <n v="0.95198457009440662"/>
    <n v="0"/>
    <n v="0"/>
    <n v="9851"/>
    <n v="473"/>
    <n v="9378"/>
    <n v="7186"/>
    <n v="2192"/>
    <m/>
  </r>
  <r>
    <x v="12"/>
    <s v="Julio"/>
    <n v="0.68400079697150828"/>
    <n v="0.75342916712388897"/>
    <n v="0.90785016935644547"/>
    <n v="0"/>
    <n v="0"/>
    <n v="10038"/>
    <n v="925"/>
    <n v="9113"/>
    <n v="6866"/>
    <n v="2247"/>
    <m/>
  </r>
  <r>
    <x v="12"/>
    <s v="Agosto"/>
    <n v="0.68030139935414424"/>
    <n v="0.75368603642671295"/>
    <n v="0.90263235150210397"/>
    <n v="0"/>
    <n v="0"/>
    <n v="10219"/>
    <n v="995"/>
    <n v="9224"/>
    <n v="6952"/>
    <n v="2272"/>
    <m/>
  </r>
  <r>
    <x v="12"/>
    <s v="Septiembre"/>
    <n v="0.689431704885344"/>
    <n v="0.73878205128205132"/>
    <n v="0.93320039880358918"/>
    <n v="0"/>
    <n v="0"/>
    <n v="10030"/>
    <n v="670"/>
    <n v="9360"/>
    <n v="6915"/>
    <n v="2445"/>
    <m/>
  </r>
  <r>
    <x v="12"/>
    <s v="Octubre"/>
    <n v="0.59447415329768272"/>
    <n v="0.67945670628183363"/>
    <n v="0.87492572786690437"/>
    <n v="0"/>
    <n v="0"/>
    <n v="10098"/>
    <n v="1263"/>
    <n v="8835"/>
    <n v="6003"/>
    <n v="2832"/>
    <m/>
  </r>
  <r>
    <x v="12"/>
    <s v="Noviembre"/>
    <n v="0.68973080757726823"/>
    <n v="0.76307081403044341"/>
    <n v="0.90388833499501497"/>
    <n v="0"/>
    <n v="0"/>
    <n v="10030"/>
    <n v="964"/>
    <n v="9066"/>
    <n v="6918"/>
    <n v="2148"/>
    <m/>
  </r>
  <r>
    <x v="12"/>
    <s v="Diciembre"/>
    <n v="0.70628334321280384"/>
    <n v="0.75811240721102868"/>
    <n v="0.93163406441414742"/>
    <n v="0"/>
    <n v="0"/>
    <n v="10122"/>
    <n v="692"/>
    <n v="9430"/>
    <n v="7149"/>
    <n v="2281"/>
    <m/>
  </r>
  <r>
    <x v="13"/>
    <s v="Enero"/>
    <n v="0.71631275075839118"/>
    <n v="0.78913324708926258"/>
    <n v="0.90772091202661709"/>
    <n v="0"/>
    <n v="0"/>
    <n v="10219"/>
    <n v="943"/>
    <n v="9276"/>
    <n v="7320"/>
    <n v="1956"/>
    <m/>
  </r>
  <r>
    <x v="13"/>
    <s v="Febrero"/>
    <n v="0.73422356235192765"/>
    <n v="0.78875520592318371"/>
    <n v="0.9308636657333621"/>
    <n v="0"/>
    <n v="0"/>
    <n v="9286"/>
    <n v="642"/>
    <n v="8644"/>
    <n v="6818"/>
    <n v="1826"/>
    <m/>
  </r>
  <r>
    <x v="13"/>
    <s v="Marzo"/>
    <n v="0.66953713670613568"/>
    <n v="0.73475085910652926"/>
    <n v="0.91124376162051079"/>
    <n v="0"/>
    <n v="0"/>
    <n v="10219"/>
    <n v="907"/>
    <n v="9312"/>
    <n v="6842"/>
    <n v="2470"/>
    <m/>
  </r>
  <r>
    <x v="13"/>
    <s v="Abril"/>
    <n v="0.89647968244019638"/>
    <n v="0.92868737149659131"/>
    <n v="0.9653191267105401"/>
    <n v="0"/>
    <n v="0"/>
    <n v="9573"/>
    <n v="332"/>
    <n v="9241"/>
    <n v="8582"/>
    <n v="659"/>
    <m/>
  </r>
  <r>
    <x v="13"/>
    <s v="Mayo"/>
    <n v="0.66221868153754238"/>
    <n v="0.73692375886524819"/>
    <n v="0.8986257717586138"/>
    <n v="0"/>
    <n v="0"/>
    <n v="10042"/>
    <n v="1018"/>
    <n v="9024"/>
    <n v="6650"/>
    <n v="2374"/>
    <m/>
  </r>
  <r>
    <x v="13"/>
    <s v="Junio"/>
    <n v="0.67536025979297742"/>
    <n v="0.72605280384027926"/>
    <n v="0.93018063730464784"/>
    <n v="0"/>
    <n v="0"/>
    <n v="9854"/>
    <n v="688"/>
    <n v="9166"/>
    <n v="6655"/>
    <n v="2511"/>
    <m/>
  </r>
  <r>
    <x v="13"/>
    <s v="Julio"/>
    <n v="0.67137355584082159"/>
    <n v="0.72856836690955851"/>
    <n v="0.92149698824923476"/>
    <n v="0"/>
    <n v="0"/>
    <n v="10127"/>
    <n v="795"/>
    <n v="9332"/>
    <n v="6799"/>
    <n v="2533"/>
    <m/>
  </r>
  <r>
    <x v="13"/>
    <s v="Agosto"/>
    <n v="0.65695286524545282"/>
    <n v="0.72004287245444798"/>
    <n v="0.91238020731468805"/>
    <n v="0"/>
    <n v="0"/>
    <n v="10226"/>
    <n v="896"/>
    <n v="9330"/>
    <n v="6718"/>
    <n v="2612"/>
    <m/>
  </r>
  <r>
    <x v="13"/>
    <s v="Septiembre"/>
    <n v="0.69664956233021436"/>
    <n v="0.75672131147540989"/>
    <n v="0.92061575611228497"/>
    <n v="0"/>
    <n v="0"/>
    <n v="9939"/>
    <n v="789"/>
    <n v="9150"/>
    <n v="6924"/>
    <n v="2226"/>
    <m/>
  </r>
  <r>
    <x v="13"/>
    <s v="Octubre"/>
    <n v="0.7317267476598287"/>
    <n v="0.79053254437869824"/>
    <n v="0.9256124278032265"/>
    <n v="0"/>
    <n v="0"/>
    <n v="10042"/>
    <n v="747"/>
    <n v="9295"/>
    <n v="7348"/>
    <n v="1947"/>
    <m/>
  </r>
  <r>
    <x v="13"/>
    <s v="Noviembre"/>
    <n v="0.73595057791948981"/>
    <n v="0.78725218503517369"/>
    <n v="0.93483459545635716"/>
    <n v="0"/>
    <n v="0"/>
    <n v="10036"/>
    <n v="654"/>
    <n v="9382"/>
    <n v="7386"/>
    <n v="1996"/>
    <m/>
  </r>
  <r>
    <x v="13"/>
    <s v="Diciembre"/>
    <n v="0.68875460876689876"/>
    <n v="0.75022311468094605"/>
    <n v="0.91806636624334292"/>
    <n v="0"/>
    <n v="0"/>
    <n v="9764"/>
    <n v="800"/>
    <n v="8964"/>
    <n v="6725"/>
    <n v="2239"/>
    <m/>
  </r>
  <r>
    <x v="14"/>
    <s v="Enero"/>
    <n v="0.73281173594132032"/>
    <n v="0.78584163607760882"/>
    <n v="0.93251833740831291"/>
    <n v="0"/>
    <n v="0"/>
    <n v="10225"/>
    <n v="690"/>
    <n v="9535"/>
    <n v="7493"/>
    <n v="2042"/>
    <m/>
  </r>
  <r>
    <x v="14"/>
    <s v="Febrero"/>
    <n v="0.65615583297460178"/>
    <n v="0.7066527584608252"/>
    <n v="0.92854068015497204"/>
    <n v="0"/>
    <n v="0"/>
    <n v="9292"/>
    <n v="664"/>
    <n v="8628"/>
    <n v="6097"/>
    <n v="2531"/>
    <m/>
  </r>
  <r>
    <x v="14"/>
    <s v="Marzo"/>
    <n v="0.48029339853300734"/>
    <n v="0.5629943826665138"/>
    <n v="0.85310513447432768"/>
    <n v="0"/>
    <n v="0"/>
    <n v="10225"/>
    <n v="1502"/>
    <n v="8723"/>
    <n v="4911"/>
    <n v="3812"/>
    <m/>
  </r>
  <r>
    <x v="14"/>
    <s v="Abril"/>
    <n v="0.5220735433568644"/>
    <n v="0.58666824532322992"/>
    <n v="0.88989569065430407"/>
    <n v="0"/>
    <n v="0"/>
    <n v="9491"/>
    <n v="1045"/>
    <n v="8446"/>
    <n v="4955"/>
    <n v="3491"/>
    <m/>
  </r>
  <r>
    <x v="14"/>
    <s v="Mayo"/>
    <n v="0.61128807485566394"/>
    <n v="0.65940083753892409"/>
    <n v="0.92703563607405937"/>
    <n v="0"/>
    <n v="0"/>
    <n v="10046"/>
    <n v="733"/>
    <n v="9313"/>
    <n v="6141"/>
    <n v="3172"/>
    <m/>
  </r>
  <r>
    <x v="14"/>
    <s v="Junio"/>
    <n v="0.65183409754064192"/>
    <n v="0.69016881827209531"/>
    <n v="0.94445602334305956"/>
    <n v="0"/>
    <n v="0"/>
    <n v="9596"/>
    <n v="533"/>
    <n v="9063"/>
    <n v="6255"/>
    <n v="2808"/>
    <m/>
  </r>
  <r>
    <x v="14"/>
    <s v="Julio"/>
    <n v="0.82756670123503351"/>
    <n v="0.86525381961557413"/>
    <n v="0.95644385782973507"/>
    <n v="0"/>
    <n v="0"/>
    <n v="10607"/>
    <n v="462"/>
    <n v="10145"/>
    <n v="8778"/>
    <n v="1367"/>
    <m/>
  </r>
  <r>
    <x v="14"/>
    <s v="Agosto"/>
    <n v="0.85610000912492012"/>
    <n v="0.88326115609113165"/>
    <n v="0.96924901907108307"/>
    <n v="0"/>
    <n v="0"/>
    <n v="10959"/>
    <n v="337"/>
    <n v="10622"/>
    <n v="9382"/>
    <n v="1240"/>
    <m/>
  </r>
  <r>
    <x v="14"/>
    <s v="Septiembre"/>
    <n v="0.86832061068702293"/>
    <n v="0.88997555012224938"/>
    <n v="0.97566793893129766"/>
    <n v="0"/>
    <n v="0"/>
    <n v="10480"/>
    <n v="255"/>
    <n v="10225"/>
    <n v="9100"/>
    <n v="1125"/>
    <m/>
  </r>
  <r>
    <x v="14"/>
    <s v="Octubre"/>
    <n v="0.84259512729263619"/>
    <n v="0.87063926079577603"/>
    <n v="0.96778903184597131"/>
    <n v="0"/>
    <n v="0"/>
    <n v="10959"/>
    <n v="353"/>
    <n v="10606"/>
    <n v="9234"/>
    <n v="1372"/>
    <m/>
  </r>
  <r>
    <x v="14"/>
    <s v="Noviembre"/>
    <n v="0.88729508196721307"/>
    <n v="0.91001146350783335"/>
    <n v="0.97503725782414308"/>
    <n v="0"/>
    <n v="0"/>
    <n v="10736"/>
    <n v="268"/>
    <n v="10468"/>
    <n v="9526"/>
    <n v="942"/>
    <m/>
  </r>
  <r>
    <x v="14"/>
    <s v="Diciembre"/>
    <n v="0.87298747763864037"/>
    <n v="0.90777364401801452"/>
    <n v="0.96167969117785523"/>
    <n v="0"/>
    <n v="0"/>
    <n v="10621"/>
    <n v="407"/>
    <n v="10214"/>
    <n v="9272"/>
    <n v="942"/>
    <m/>
  </r>
  <r>
    <x v="15"/>
    <s v="Enero"/>
    <n v="0.90089343280832646"/>
    <n v="0.92021827076865181"/>
    <n v="0.97899972368057475"/>
    <n v="0"/>
    <n v="0"/>
    <n v="10857"/>
    <n v="228"/>
    <n v="10629"/>
    <n v="9781"/>
    <n v="848"/>
    <m/>
  </r>
  <r>
    <x v="15"/>
    <s v="Febrero"/>
    <n v="0.88774703557312251"/>
    <n v="0.91310092489074091"/>
    <n v="0.97223320158102766"/>
    <n v="0"/>
    <n v="0"/>
    <n v="10120"/>
    <n v="281"/>
    <n v="9839"/>
    <n v="8984"/>
    <n v="855"/>
    <m/>
  </r>
  <r>
    <x v="15"/>
    <s v="Marzo"/>
    <n v="0.87798485730926035"/>
    <n v="0.90224438902743143"/>
    <n v="0.97311201708406136"/>
    <n v="0"/>
    <n v="0"/>
    <n v="10302"/>
    <n v="277"/>
    <n v="10025"/>
    <n v="9045"/>
    <n v="980"/>
    <m/>
  </r>
  <r>
    <x v="15"/>
    <s v="Abril"/>
    <n v="0.86438382665892821"/>
    <n v="0.88326579025402785"/>
    <n v="0.97862255755465277"/>
    <n v="0"/>
    <n v="0"/>
    <n v="10338"/>
    <n v="221"/>
    <n v="10117"/>
    <n v="8936"/>
    <n v="1181"/>
    <m/>
  </r>
  <r>
    <x v="15"/>
    <s v="Mayo"/>
    <n v="0.88994005245410268"/>
    <n v="0.90901262916188286"/>
    <n v="0.97901835893593103"/>
    <n v="0"/>
    <n v="0"/>
    <n v="10676"/>
    <n v="224"/>
    <n v="10452"/>
    <n v="9501"/>
    <n v="951"/>
    <m/>
  </r>
  <r>
    <x v="15"/>
    <s v="Junio"/>
    <n v="0.85755013763271726"/>
    <n v="0.88173455978975035"/>
    <n v="0.97257176563114434"/>
    <n v="0"/>
    <n v="0"/>
    <n v="10172"/>
    <n v="279"/>
    <n v="9893"/>
    <n v="8723"/>
    <n v="1170"/>
    <m/>
  </r>
  <r>
    <x v="15"/>
    <s v="Julio"/>
    <n v="0.87101287073307221"/>
    <n v="0.89471163058057102"/>
    <n v="0.9735124044021638"/>
    <n v="0"/>
    <n v="0"/>
    <n v="10722"/>
    <n v="284"/>
    <n v="10438"/>
    <n v="9339"/>
    <n v="1099"/>
    <m/>
  </r>
  <r>
    <x v="15"/>
    <s v="Agosto"/>
    <n v="0.89663737103553687"/>
    <n v="0.91321268729324767"/>
    <n v="0.98184944593045476"/>
    <n v="0"/>
    <n v="0"/>
    <n v="10468"/>
    <n v="190"/>
    <n v="10278"/>
    <n v="9386"/>
    <n v="892"/>
    <m/>
  </r>
  <r>
    <x v="15"/>
    <s v="Septiembre"/>
    <n v="0.87423838537699927"/>
    <n v="0.92570564516129028"/>
    <n v="0.9444021325209444"/>
    <n v="0"/>
    <n v="0"/>
    <n v="10504"/>
    <n v="584"/>
    <n v="9920"/>
    <n v="9183"/>
    <n v="737"/>
    <m/>
  </r>
  <r>
    <x v="15"/>
    <s v="Octubre"/>
    <n v="0.89927252378287637"/>
    <n v="0.91549563235852638"/>
    <n v="0.98227942548032088"/>
    <n v="0"/>
    <n v="0"/>
    <n v="10722"/>
    <n v="190"/>
    <n v="10532"/>
    <n v="9642"/>
    <n v="890"/>
    <m/>
  </r>
  <r>
    <x v="15"/>
    <s v="Noviembre"/>
    <n v="0.86802575107296143"/>
    <n v="0.89563204508856686"/>
    <n v="0.9691767460007803"/>
    <n v="0"/>
    <n v="0"/>
    <n v="10252"/>
    <n v="316"/>
    <n v="9936"/>
    <n v="8899"/>
    <n v="1037"/>
    <m/>
  </r>
  <r>
    <x v="15"/>
    <s v="Diciembre"/>
    <n v="0.88098391674550613"/>
    <n v="0.91142213957130269"/>
    <n v="0.96660359508041627"/>
    <n v="0"/>
    <n v="0"/>
    <n v="10570"/>
    <n v="353"/>
    <n v="10217"/>
    <n v="9312"/>
    <n v="905"/>
    <m/>
  </r>
  <r>
    <x v="16"/>
    <s v="Enero"/>
    <n v="0.84111184148746365"/>
    <n v="0.8759902200488997"/>
    <n v="0.96018405484083014"/>
    <n v="0"/>
    <n v="0"/>
    <n v="10649"/>
    <n v="424"/>
    <n v="10225"/>
    <n v="8957"/>
    <n v="1268"/>
    <m/>
  </r>
  <r>
    <x v="16"/>
    <s v="Febrero"/>
    <n v="0.8548420188756668"/>
    <n v="0.88545319307193715"/>
    <n v="0.96542880590890434"/>
    <n v="0"/>
    <n v="0"/>
    <n v="9748"/>
    <n v="337"/>
    <n v="9411"/>
    <n v="8333"/>
    <n v="1078"/>
    <m/>
  </r>
  <r>
    <x v="16"/>
    <s v="Marzo"/>
    <n v="0.85733207190160832"/>
    <n v="0.8794642857142857"/>
    <n v="0.97483443708609274"/>
    <n v="0"/>
    <n v="0"/>
    <n v="10570"/>
    <n v="266"/>
    <n v="10304"/>
    <n v="9062"/>
    <n v="1242"/>
    <m/>
  </r>
  <r>
    <x v="16"/>
    <s v="Abril"/>
    <n v="0.83663852346357748"/>
    <n v="0.87235131538540278"/>
    <n v="0.95906145690162969"/>
    <n v="0"/>
    <n v="0"/>
    <n v="10186"/>
    <n v="417"/>
    <n v="9769"/>
    <n v="8522"/>
    <n v="1247"/>
    <m/>
  </r>
  <r>
    <x v="16"/>
    <s v="Mayo"/>
    <n v="0.80162806473495496"/>
    <n v="0.82333034736737332"/>
    <n v="0.97364085667215816"/>
    <n v="0"/>
    <n v="0"/>
    <n v="10319"/>
    <n v="272"/>
    <n v="10047"/>
    <n v="8272"/>
    <n v="1775"/>
    <m/>
  </r>
  <r>
    <x v="16"/>
    <s v="Junio"/>
    <n v="0.85953048014684574"/>
    <n v="0.87845576619273302"/>
    <n v="0.9784561878079413"/>
    <n v="0"/>
    <n v="0"/>
    <n v="10351"/>
    <n v="223"/>
    <n v="10128"/>
    <n v="8897"/>
    <n v="1231"/>
    <m/>
  </r>
  <r>
    <x v="16"/>
    <s v="Julio"/>
    <n v="0.84036059723917744"/>
    <n v="0.87256240249609984"/>
    <n v="0.96309512630293925"/>
    <n v="0"/>
    <n v="0"/>
    <n v="10649"/>
    <n v="393"/>
    <n v="10256"/>
    <n v="8949"/>
    <n v="1307"/>
    <m/>
  </r>
  <r>
    <x v="16"/>
    <s v="Agosto"/>
    <n v="0.88048454788248764"/>
    <n v="0.89404358353510893"/>
    <n v="0.98483403281190385"/>
    <n v="0"/>
    <n v="0"/>
    <n v="10484"/>
    <n v="159"/>
    <n v="10325"/>
    <n v="9231"/>
    <n v="1094"/>
    <m/>
  </r>
  <r>
    <x v="16"/>
    <s v="Septiembre"/>
    <n v="0.82036896158235073"/>
    <n v="0.84495592556317334"/>
    <n v="0.97090148345378469"/>
    <n v="0"/>
    <n v="0"/>
    <n v="10516"/>
    <n v="306"/>
    <n v="10210"/>
    <n v="8627"/>
    <n v="1583"/>
    <m/>
  </r>
  <r>
    <x v="16"/>
    <s v="Octubre"/>
    <n v="0.84768522865996809"/>
    <n v="0.86931818181818177"/>
    <n v="0.97511503427551882"/>
    <n v="0"/>
    <n v="0"/>
    <n v="10649"/>
    <n v="265"/>
    <n v="10384"/>
    <n v="9027"/>
    <n v="1357"/>
    <m/>
  </r>
  <r>
    <x v="16"/>
    <s v="Noviembre"/>
    <n v="0.82687663027726788"/>
    <n v="0.85830324909747291"/>
    <n v="0.96338518017582842"/>
    <n v="0"/>
    <n v="0"/>
    <n v="10351"/>
    <n v="379"/>
    <n v="9972"/>
    <n v="8559"/>
    <n v="1413"/>
    <m/>
  </r>
  <r>
    <x v="16"/>
    <s v="Diciembre"/>
    <n v="0.81816461684011355"/>
    <n v="0.84519155590304929"/>
    <n v="0.9680227057710501"/>
    <n v="0"/>
    <n v="0"/>
    <n v="10570"/>
    <n v="338"/>
    <n v="10232"/>
    <n v="8648"/>
    <n v="1584"/>
    <m/>
  </r>
  <r>
    <x v="17"/>
    <s v="Enero"/>
    <n v="0.84853109500190771"/>
    <n v="0.88738154613466336"/>
    <n v="0.95621900038153373"/>
    <n v="0"/>
    <n v="0"/>
    <n v="10484"/>
    <n v="459"/>
    <n v="10025"/>
    <n v="8896"/>
    <n v="1129"/>
    <m/>
  </r>
  <r>
    <x v="17"/>
    <s v="Febrero"/>
    <n v="0.84181370537546163"/>
    <n v="0.88742294798312971"/>
    <n v="0.94860484201887563"/>
    <n v="0"/>
    <n v="0"/>
    <n v="9748"/>
    <n v="501"/>
    <n v="9247"/>
    <n v="8206"/>
    <n v="1041"/>
    <m/>
  </r>
  <r>
    <x v="17"/>
    <s v="Marzo"/>
    <n v="0.76180717279925481"/>
    <n v="0.79972618814785845"/>
    <n v="0.95258500232883092"/>
    <n v="0"/>
    <n v="0"/>
    <n v="10735"/>
    <n v="509"/>
    <n v="10226"/>
    <n v="8178"/>
    <n v="2048"/>
    <m/>
  </r>
  <r>
    <x v="17"/>
    <s v="Abril"/>
    <n v="0.70408656168486139"/>
    <n v="0.7479474548440066"/>
    <n v="0.94135832286735577"/>
    <n v="0"/>
    <n v="0"/>
    <n v="10351"/>
    <n v="607"/>
    <n v="9744"/>
    <n v="7288"/>
    <n v="2456"/>
    <m/>
  </r>
  <r>
    <x v="17"/>
    <s v="Mayo"/>
    <n v="0.72373046875000002"/>
    <n v="0.78199852273926351"/>
    <n v="0.92548828125000004"/>
    <n v="0"/>
    <n v="0"/>
    <n v="10240"/>
    <n v="763"/>
    <n v="9477"/>
    <n v="7411"/>
    <n v="2066"/>
    <m/>
  </r>
  <r>
    <x v="17"/>
    <s v="Junio"/>
    <n v="0.72592020094676846"/>
    <n v="0.76191441898195089"/>
    <n v="0.9527581876147232"/>
    <n v="0"/>
    <n v="0"/>
    <n v="10351"/>
    <n v="489"/>
    <n v="9862"/>
    <n v="7514"/>
    <n v="2348"/>
    <m/>
  </r>
  <r>
    <x v="17"/>
    <s v="Julio"/>
    <n v="0.78467461733496102"/>
    <n v="0.82195553806807009"/>
    <n v="0.95464362850971918"/>
    <n v="0"/>
    <n v="0"/>
    <n v="10649"/>
    <n v="483"/>
    <n v="10166"/>
    <n v="8356"/>
    <n v="1810"/>
    <m/>
  </r>
  <r>
    <x v="17"/>
    <s v="Agosto"/>
    <n v="0.77057710501419108"/>
    <n v="0.80980314177768942"/>
    <n v="0.95156102175969726"/>
    <n v="0"/>
    <n v="0"/>
    <n v="10570"/>
    <n v="512"/>
    <n v="10058"/>
    <n v="8145"/>
    <n v="1913"/>
    <m/>
  </r>
  <r>
    <x v="17"/>
    <s v="Septiembre"/>
    <n v="0.80325218714340052"/>
    <n v="0.83435401027261957"/>
    <n v="0.96272346899961958"/>
    <n v="0"/>
    <n v="0"/>
    <n v="10516"/>
    <n v="392"/>
    <n v="10124"/>
    <n v="8447"/>
    <n v="1677"/>
    <m/>
  </r>
  <r>
    <x v="17"/>
    <s v="Octubre"/>
    <n v="0.81228801240430271"/>
    <n v="0.85802026819531174"/>
    <n v="0.94670026165326093"/>
    <n v="0"/>
    <n v="0"/>
    <n v="10319"/>
    <n v="550"/>
    <n v="9769"/>
    <n v="8382"/>
    <n v="1387"/>
    <m/>
  </r>
  <r>
    <x v="17"/>
    <s v="Noviembre"/>
    <n v="0.79625156989662838"/>
    <n v="0.83743141637878482"/>
    <n v="0.95082600714906773"/>
    <n v="0"/>
    <n v="0"/>
    <n v="10351"/>
    <n v="509"/>
    <n v="9842"/>
    <n v="8242"/>
    <n v="1600"/>
    <m/>
  </r>
  <r>
    <x v="17"/>
    <s v="Diciembre"/>
    <n v="0.74380630630630629"/>
    <n v="0.80369093490164267"/>
    <n v="0.92548798798798804"/>
    <n v="0"/>
    <n v="0"/>
    <n v="10656"/>
    <n v="794"/>
    <n v="9862"/>
    <n v="7926"/>
    <n v="1936"/>
    <m/>
  </r>
  <r>
    <x v="18"/>
    <s v="Enero"/>
    <n v="0.74853358561967831"/>
    <n v="0.80553858684585622"/>
    <n v="0.92923368022705766"/>
    <n v="0"/>
    <n v="0"/>
    <n v="10570"/>
    <n v="748"/>
    <n v="9822"/>
    <n v="7912"/>
    <n v="1910"/>
    <m/>
  </r>
  <r>
    <x v="18"/>
    <s v="Febrero"/>
    <n v="0.65777595404185474"/>
    <n v="0.72780930760499429"/>
    <n v="0.90377513336068938"/>
    <n v="0"/>
    <n v="0"/>
    <n v="9748"/>
    <n v="938"/>
    <n v="8810"/>
    <n v="6412"/>
    <n v="2398"/>
    <m/>
  </r>
  <r>
    <x v="18"/>
    <s v="Marzo"/>
    <n v="0.59628906250000002"/>
    <n v="0.68292137344816017"/>
    <n v="0.87314453125000002"/>
    <n v="0"/>
    <n v="0"/>
    <n v="10240"/>
    <n v="1299"/>
    <n v="8941"/>
    <n v="6106"/>
    <n v="2835"/>
    <m/>
  </r>
  <r>
    <x v="18"/>
    <s v="Abril"/>
    <n v="0.3271156489299038"/>
    <n v="0.40688728782513128"/>
    <n v="0.80394659336343999"/>
    <n v="0"/>
    <n v="0"/>
    <n v="10186"/>
    <n v="1997"/>
    <n v="8189"/>
    <n v="3332"/>
    <n v="4857"/>
    <m/>
  </r>
  <r>
    <x v="18"/>
    <s v="Mayo"/>
    <n v="0.52762535477767269"/>
    <n v="0.60187783293762143"/>
    <n v="0.87663197729422893"/>
    <n v="0"/>
    <n v="0"/>
    <n v="10570"/>
    <n v="1304"/>
    <n v="9266"/>
    <n v="5577"/>
    <n v="3689"/>
    <m/>
  </r>
  <r>
    <x v="18"/>
    <s v="Junio"/>
    <n v="0.71828808810742928"/>
    <n v="0.77110557975523752"/>
    <n v="0.93150420249251276"/>
    <n v="0"/>
    <n v="0"/>
    <n v="10351"/>
    <n v="709"/>
    <n v="9642"/>
    <n v="7435"/>
    <n v="2207"/>
    <m/>
  </r>
  <r>
    <x v="18"/>
    <s v="Julio"/>
    <n v="0.66764427625354783"/>
    <n v="0.75298762270593256"/>
    <n v="0.88666035950804167"/>
    <n v="0"/>
    <n v="0"/>
    <n v="10570"/>
    <n v="1198"/>
    <n v="9372"/>
    <n v="7057"/>
    <n v="2315"/>
    <m/>
  </r>
  <r>
    <x v="18"/>
    <s v="Agosto"/>
    <n v="0.67312529110386587"/>
    <n v="0.7503634475597093"/>
    <n v="0.89706567303213791"/>
    <n v="0"/>
    <n v="0"/>
    <n v="10735"/>
    <n v="1105"/>
    <n v="9630"/>
    <n v="7226"/>
    <n v="2404"/>
    <m/>
  </r>
  <r>
    <x v="18"/>
    <s v="Septiembre"/>
    <n v="0.65928109547356406"/>
    <n v="0.76556978798586572"/>
    <n v="0.86116394066184865"/>
    <n v="0"/>
    <n v="0"/>
    <n v="10516"/>
    <n v="1460"/>
    <n v="9056"/>
    <n v="6933"/>
    <n v="2123"/>
    <m/>
  </r>
  <r>
    <x v="18"/>
    <s v="Octubre"/>
    <n v="0.72777565814574585"/>
    <n v="0.78781621063500262"/>
    <n v="0.923788630293781"/>
    <n v="0"/>
    <n v="0"/>
    <n v="10484"/>
    <n v="799"/>
    <n v="9685"/>
    <n v="7630"/>
    <n v="2055"/>
    <m/>
  </r>
  <r>
    <x v="18"/>
    <s v="Noviembre"/>
    <n v="0.68708337358709304"/>
    <n v="0.76497794987630419"/>
    <n v="0.89817408945995558"/>
    <n v="0"/>
    <n v="0"/>
    <n v="10351"/>
    <n v="1054"/>
    <n v="9297"/>
    <n v="7112"/>
    <n v="2185"/>
    <m/>
  </r>
  <r>
    <x v="18"/>
    <s v="Diciembre"/>
    <n v="0.66749332315909959"/>
    <n v="0.7446265162800596"/>
    <n v="0.89641358260206028"/>
    <n v="0"/>
    <n v="0"/>
    <n v="10484"/>
    <n v="1086"/>
    <n v="9398"/>
    <n v="6998"/>
    <n v="2400"/>
    <m/>
  </r>
  <r>
    <x v="19"/>
    <s v="Enero"/>
    <n v="0.67517466231951562"/>
    <n v="0.75689223057644106"/>
    <n v="0.89203539823008848"/>
    <n v="0"/>
    <n v="0"/>
    <n v="10735"/>
    <n v="1159"/>
    <n v="9576"/>
    <n v="7248"/>
    <n v="2328"/>
    <m/>
  </r>
  <r>
    <x v="19"/>
    <s v="Febrero"/>
    <n v="0.52910656843416004"/>
    <n v="0.63349484408000989"/>
    <n v="0.83521842897167164"/>
    <n v="0"/>
    <n v="0"/>
    <n v="9637"/>
    <n v="1588"/>
    <n v="8049"/>
    <n v="5099"/>
    <n v="2950"/>
    <m/>
  </r>
  <r>
    <x v="19"/>
    <s v="Marzo"/>
    <n v="0.34932463903120631"/>
    <n v="0.48194319496208715"/>
    <n v="0.72482533768048441"/>
    <n v="0"/>
    <n v="0"/>
    <n v="10735"/>
    <n v="2954"/>
    <n v="7781"/>
    <n v="3750"/>
    <n v="4031"/>
    <m/>
  </r>
  <r>
    <x v="19"/>
    <s v="Abril"/>
    <n v="0.44023944805194803"/>
    <n v="0.58881802144117246"/>
    <n v="0.74766639610389607"/>
    <n v="0"/>
    <n v="0"/>
    <n v="9856"/>
    <n v="2487"/>
    <n v="7369"/>
    <n v="4339"/>
    <n v="3030"/>
    <m/>
  </r>
  <r>
    <x v="19"/>
    <s v="Mayo"/>
    <n v="0.5085146641438032"/>
    <n v="0.66096901131333008"/>
    <n v="0.76934720908230847"/>
    <n v="0"/>
    <n v="0"/>
    <n v="10570"/>
    <n v="2438"/>
    <n v="8132"/>
    <n v="5375"/>
    <n v="2757"/>
    <m/>
  </r>
  <r>
    <x v="19"/>
    <s v="Junio"/>
    <n v="0.5610326351680468"/>
    <n v="0.68633059230127513"/>
    <n v="0.81743789576229908"/>
    <n v="0"/>
    <n v="0"/>
    <n v="10265"/>
    <n v="1874"/>
    <n v="8391"/>
    <n v="5759"/>
    <n v="2632"/>
    <m/>
  </r>
  <r>
    <x v="19"/>
    <s v="Julio"/>
    <n v="0.54569536423841059"/>
    <n v="0.6953586497890295"/>
    <n v="0.78476821192052981"/>
    <n v="0"/>
    <n v="0"/>
    <n v="10570"/>
    <n v="2275"/>
    <n v="8295"/>
    <n v="5768"/>
    <n v="2527"/>
    <m/>
  </r>
  <r>
    <x v="19"/>
    <s v="Agosto"/>
    <n v="0.35640428504890542"/>
    <n v="0.52852603950821941"/>
    <n v="0.67433628318584071"/>
    <n v="0"/>
    <n v="0"/>
    <n v="10735"/>
    <n v="3496"/>
    <n v="7239"/>
    <n v="3826"/>
    <n v="3413"/>
    <m/>
  </r>
  <r>
    <x v="19"/>
    <s v="Septiembre"/>
    <n v="0.29712871287128712"/>
    <n v="0.47597145122918316"/>
    <n v="0.62425742574257426"/>
    <n v="0"/>
    <n v="0"/>
    <n v="10100"/>
    <n v="3795"/>
    <n v="6305"/>
    <n v="3001"/>
    <n v="3304"/>
    <m/>
  </r>
  <r>
    <x v="19"/>
    <s v="Octubre"/>
    <n v="0.26595249184909175"/>
    <n v="0.39835356495046742"/>
    <n v="0.66762925011644159"/>
    <n v="0"/>
    <n v="0"/>
    <n v="10735"/>
    <n v="3568"/>
    <n v="7167"/>
    <n v="2855"/>
    <n v="4312"/>
    <m/>
  </r>
  <r>
    <x v="19"/>
    <s v="Noviembre"/>
    <n v="0.16742343734904841"/>
    <n v="0.291799966324297"/>
    <n v="0.5737609892763984"/>
    <n v="0"/>
    <n v="0"/>
    <n v="10351"/>
    <n v="4412"/>
    <n v="5939"/>
    <n v="1733"/>
    <n v="4206"/>
    <m/>
  </r>
  <r>
    <x v="19"/>
    <s v="Diciembre"/>
    <n v="0.30191345944770603"/>
    <n v="0.46523705813369076"/>
    <n v="0.6489454229180257"/>
    <n v="0"/>
    <n v="0"/>
    <n v="9198"/>
    <n v="3229"/>
    <n v="5969"/>
    <n v="2777"/>
    <n v="3192"/>
    <m/>
  </r>
  <r>
    <x v="20"/>
    <s v="Enero"/>
    <n v="0.49244271087274499"/>
    <n v="0.68965517241379315"/>
    <n v="0.71404193076548028"/>
    <n v="0"/>
    <n v="0"/>
    <n v="8204"/>
    <n v="2346"/>
    <n v="5858"/>
    <n v="4040"/>
    <n v="1818"/>
    <m/>
  </r>
  <r>
    <x v="20"/>
    <s v="Febrero"/>
    <n v="0.49176728869374314"/>
    <n v="0.66394961096702487"/>
    <n v="0.74066959385290887"/>
    <n v="0"/>
    <n v="0"/>
    <n v="7288"/>
    <n v="1890"/>
    <n v="5398"/>
    <n v="3584"/>
    <n v="1814"/>
    <m/>
  </r>
  <r>
    <x v="20"/>
    <s v="Marzo"/>
    <n v="0.61496216743958998"/>
    <n v="0.76638783269961974"/>
    <n v="0.80241640224554556"/>
    <n v="0"/>
    <n v="0"/>
    <n v="8194"/>
    <n v="1619"/>
    <n v="6575"/>
    <n v="5039"/>
    <n v="1536"/>
    <m/>
  </r>
  <r>
    <x v="20"/>
    <s v="Abril"/>
    <n v="0.58485540334855401"/>
    <n v="0.7470836033700583"/>
    <n v="0.78285134449518012"/>
    <n v="0"/>
    <n v="0"/>
    <n v="7884"/>
    <n v="1712"/>
    <n v="6172"/>
    <n v="4611"/>
    <n v="1561"/>
    <m/>
  </r>
  <r>
    <x v="20"/>
    <s v="Mayo"/>
    <n v="0.61510441962117535"/>
    <n v="0.77926472850330719"/>
    <n v="0.78933948518698394"/>
    <n v="0"/>
    <n v="0"/>
    <n v="8236"/>
    <n v="1735"/>
    <n v="6501"/>
    <n v="5066"/>
    <n v="1435"/>
    <m/>
  </r>
  <r>
    <x v="20"/>
    <s v="Junio"/>
    <n v="0.42538747278083772"/>
    <n v="0.61591246290801183"/>
    <n v="0.69066222620724993"/>
    <n v="0"/>
    <n v="0"/>
    <n v="7807"/>
    <n v="2415"/>
    <n v="5392"/>
    <n v="3321"/>
    <n v="2071"/>
    <m/>
  </r>
  <r>
    <x v="20"/>
    <s v="Julio"/>
    <n v="0.10781932977173385"/>
    <n v="0.17018014564967421"/>
    <n v="0.63355998057309371"/>
    <n v="0"/>
    <n v="0"/>
    <n v="8236"/>
    <n v="3018"/>
    <n v="5218"/>
    <n v="888"/>
    <n v="4330"/>
    <m/>
  </r>
  <r>
    <x v="20"/>
    <s v="Agosto"/>
    <n v="0.18729503218753796"/>
    <n v="0.27654232424677189"/>
    <n v="0.67727438357828251"/>
    <n v="0"/>
    <n v="0"/>
    <n v="8233"/>
    <n v="2657"/>
    <n v="5576"/>
    <n v="1542"/>
    <n v="4034"/>
    <m/>
  </r>
  <r>
    <x v="20"/>
    <s v="Septiembre"/>
    <n v="0.13608946971600905"/>
    <n v="0.21268656716417911"/>
    <n v="0.63985926112088465"/>
    <n v="0"/>
    <n v="0"/>
    <n v="7958"/>
    <n v="2866"/>
    <n v="5092"/>
    <n v="1083"/>
    <n v="4009"/>
    <m/>
  </r>
  <r>
    <x v="20"/>
    <s v="Octubre"/>
    <n v="0.13963088878096164"/>
    <n v="0.23073836276083468"/>
    <n v="0.60514813016027202"/>
    <n v="0"/>
    <n v="0"/>
    <n v="8236"/>
    <n v="3252"/>
    <n v="4984"/>
    <n v="1150"/>
    <n v="3834"/>
    <m/>
  </r>
  <r>
    <x v="20"/>
    <s v="Noviembre"/>
    <n v="0.14921433060967945"/>
    <n v="0.25917030567685589"/>
    <n v="0.57573852922690127"/>
    <n v="0"/>
    <n v="0"/>
    <n v="7955"/>
    <n v="3375"/>
    <n v="4580"/>
    <n v="1187"/>
    <n v="3393"/>
    <m/>
  </r>
  <r>
    <x v="20"/>
    <s v="Diciembre"/>
    <n v="0.30276418082349554"/>
    <n v="0.44404560810810811"/>
    <n v="0.68183126979556574"/>
    <n v="0"/>
    <n v="0"/>
    <n v="6946"/>
    <n v="2210"/>
    <n v="4736"/>
    <n v="2103"/>
    <n v="2633"/>
    <m/>
  </r>
  <r>
    <x v="21"/>
    <s v="Enero"/>
    <n v="0.52087238030328842"/>
    <n v="0.62451481103166495"/>
    <n v="0.8340432782416084"/>
    <n v="0"/>
    <n v="0"/>
    <n v="5869"/>
    <n v="974"/>
    <n v="4895"/>
    <n v="3057"/>
    <n v="1838"/>
    <m/>
  </r>
  <r>
    <x v="21"/>
    <s v="Febrero"/>
    <n v="0.53882220555138782"/>
    <n v="0.61336464560204951"/>
    <n v="0.87846961740435103"/>
    <n v="0"/>
    <n v="0"/>
    <n v="5332"/>
    <n v="648"/>
    <n v="4684"/>
    <n v="2873"/>
    <n v="1811"/>
    <m/>
  </r>
  <r>
    <x v="21"/>
    <s v="Marzo"/>
    <n v="0.57848479521884333"/>
    <n v="0.6645799676898223"/>
    <n v="0.87045174898927757"/>
    <n v="0"/>
    <n v="0"/>
    <n v="5689"/>
    <n v="737"/>
    <n v="4952"/>
    <n v="3291"/>
    <n v="1661"/>
    <m/>
  </r>
  <r>
    <x v="21"/>
    <s v="Abril"/>
    <n v="0.51853832442067738"/>
    <n v="0.59905271828665574"/>
    <n v="0.86559714795008913"/>
    <n v="0"/>
    <n v="0"/>
    <n v="5610"/>
    <n v="754"/>
    <n v="4856"/>
    <n v="2909"/>
    <n v="1947"/>
    <m/>
  </r>
  <r>
    <x v="21"/>
    <s v="Mayo"/>
    <n v="0.48355999311413322"/>
    <n v="0.59474910014821092"/>
    <n v="0.81304871750731622"/>
    <n v="0"/>
    <n v="0"/>
    <n v="5809"/>
    <n v="1086"/>
    <n v="4723"/>
    <n v="2809"/>
    <n v="1914"/>
    <m/>
  </r>
  <r>
    <x v="21"/>
    <s v="Junio"/>
    <n v="0.54046345811051688"/>
    <n v="0.63324979114452795"/>
    <n v="0.85347593582887704"/>
    <n v="0"/>
    <n v="0"/>
    <n v="5610"/>
    <n v="822"/>
    <n v="4788"/>
    <n v="3032"/>
    <n v="1756"/>
    <m/>
  </r>
  <r>
    <x v="21"/>
    <s v="Julio"/>
    <n v="0.55036892034332174"/>
    <n v="0.62919607505594766"/>
    <n v="0.87471766300255982"/>
    <n v="0"/>
    <n v="0"/>
    <n v="6641"/>
    <n v="832"/>
    <n v="5809"/>
    <n v="3655"/>
    <n v="2154"/>
    <m/>
  </r>
  <r>
    <x v="21"/>
    <s v="Agosto"/>
    <n v="0.50932298836190715"/>
    <n v="0.66082156194187369"/>
    <n v="0.77074208484545115"/>
    <n v="0"/>
    <n v="0"/>
    <n v="7991"/>
    <n v="1832"/>
    <n v="6159"/>
    <n v="4070"/>
    <n v="2089"/>
    <m/>
  </r>
  <r>
    <x v="21"/>
    <s v="Septiembre"/>
    <n v="0.67644807348813474"/>
    <n v="0.78887070376432078"/>
    <n v="0.85748915539678494"/>
    <n v="0"/>
    <n v="0"/>
    <n v="7838"/>
    <n v="1117"/>
    <n v="6721"/>
    <n v="5302"/>
    <n v="1419"/>
    <m/>
  </r>
  <r>
    <x v="21"/>
    <s v="Octubre"/>
    <n v="0.67026959870791403"/>
    <n v="0.79654510556621883"/>
    <n v="0.84147099018511617"/>
    <n v="0"/>
    <n v="0"/>
    <n v="8049"/>
    <n v="1276"/>
    <n v="6773"/>
    <n v="5395"/>
    <n v="1378"/>
    <m/>
  </r>
  <r>
    <x v="21"/>
    <s v="Noviembre"/>
    <n v="0.62548562548562547"/>
    <n v="0.76972111553784861"/>
    <n v="0.8126133126133126"/>
    <n v="0"/>
    <n v="0"/>
    <n v="7722"/>
    <n v="1447"/>
    <n v="6275"/>
    <n v="4830"/>
    <n v="1445"/>
    <m/>
  </r>
  <r>
    <x v="21"/>
    <s v="Diciembre"/>
    <n v="0.66191856800705917"/>
    <n v="0.80388854868340476"/>
    <n v="0.82339594100592461"/>
    <n v="0"/>
    <n v="0"/>
    <n v="7933"/>
    <n v="1401"/>
    <n v="6532"/>
    <n v="5251"/>
    <n v="1281"/>
    <m/>
  </r>
  <r>
    <x v="22"/>
    <s v="Enero"/>
    <n v="0.62305876506398306"/>
    <n v="0.78777882500785423"/>
    <n v="0.79090570257174808"/>
    <n v="0"/>
    <n v="0"/>
    <n v="8049"/>
    <n v="1683"/>
    <n v="6366"/>
    <n v="5015"/>
    <n v="1351"/>
    <m/>
  </r>
  <r>
    <x v="22"/>
    <s v="Febrero"/>
    <n v="0.59940699126092389"/>
    <n v="0.77082079068834031"/>
    <n v="0.77762172284644193"/>
    <n v="0"/>
    <n v="0"/>
    <n v="6408"/>
    <n v="1425"/>
    <n v="4983"/>
    <n v="3841"/>
    <n v="1142"/>
    <m/>
  </r>
  <r>
    <x v="22"/>
    <s v="Marzo"/>
    <n v="0.57588836138685084"/>
    <n v="0.76276676829268297"/>
    <n v="0.75499928067903899"/>
    <n v="0"/>
    <n v="0"/>
    <n v="6951"/>
    <n v="1703"/>
    <n v="5248"/>
    <n v="4003"/>
    <n v="1245"/>
    <m/>
  </r>
  <r>
    <x v="22"/>
    <s v="Abril"/>
    <n v="0.62699333140040592"/>
    <n v="0.77467311481282464"/>
    <n v="0.80936503334299792"/>
    <n v="0"/>
    <n v="0"/>
    <n v="6898"/>
    <n v="1315"/>
    <n v="5583"/>
    <n v="4325"/>
    <n v="1258"/>
    <m/>
  </r>
  <r>
    <x v="22"/>
    <s v="Mayo"/>
    <n v="0.63131971606547876"/>
    <n v="0.77752007136485279"/>
    <n v="0.81196581196581197"/>
    <n v="0"/>
    <n v="0"/>
    <n v="6903"/>
    <n v="1298"/>
    <n v="5605"/>
    <n v="4358"/>
    <n v="1247"/>
    <m/>
  </r>
  <r>
    <x v="22"/>
    <s v="Junio"/>
    <n v="0.625"/>
    <n v="0.80506993006993011"/>
    <n v="0.77633007600434312"/>
    <n v="0"/>
    <n v="0"/>
    <n v="7368"/>
    <n v="1648"/>
    <n v="5720"/>
    <n v="4605"/>
    <n v="1115"/>
    <m/>
  </r>
  <r>
    <x v="22"/>
    <s v="Julio"/>
    <n v="0.59411106969809913"/>
    <n v="0.73693943596856215"/>
    <n v="0.80618710398807303"/>
    <n v="0"/>
    <n v="0"/>
    <n v="8049"/>
    <n v="1560"/>
    <n v="6489"/>
    <n v="4782"/>
    <n v="1707"/>
    <m/>
  </r>
  <r>
    <x v="22"/>
    <s v="Agosto"/>
    <n v="0.58490802152421473"/>
    <n v="0.74855861627162079"/>
    <n v="0.78137905143286202"/>
    <n v="0"/>
    <n v="0"/>
    <n v="7991"/>
    <n v="1747"/>
    <n v="6244"/>
    <n v="4674"/>
    <n v="1570"/>
    <m/>
  </r>
  <r>
    <x v="22"/>
    <s v="Septiembre"/>
    <n v="0.5407858741606566"/>
    <n v="0.66023986640352206"/>
    <n v="0.81907485700074611"/>
    <n v="0"/>
    <n v="0"/>
    <n v="8042"/>
    <n v="1455"/>
    <n v="6587"/>
    <n v="4349"/>
    <n v="2238"/>
    <m/>
  </r>
  <r>
    <x v="22"/>
    <s v="Octubre"/>
    <n v="0.56850433253798816"/>
    <n v="0.7014254725751472"/>
    <n v="0.81049855582067065"/>
    <n v="0"/>
    <n v="0"/>
    <n v="7963"/>
    <n v="1509"/>
    <n v="6454"/>
    <n v="4527"/>
    <n v="1927"/>
    <m/>
  </r>
  <r>
    <x v="22"/>
    <s v="Noviembre"/>
    <n v="0.58037825059101655"/>
    <n v="0.71504854368932036"/>
    <n v="0.81166272655634353"/>
    <n v="0"/>
    <n v="0"/>
    <n v="7614"/>
    <n v="1434"/>
    <n v="6180"/>
    <n v="4419"/>
    <n v="1761"/>
    <m/>
  </r>
  <r>
    <x v="22"/>
    <s v="Diciembre"/>
    <n v="0.61251442492627262"/>
    <n v="0.74524180967238685"/>
    <n v="0.82190024362097702"/>
    <n v="0"/>
    <n v="0"/>
    <n v="7799"/>
    <n v="1389"/>
    <n v="6410"/>
    <n v="4777"/>
    <n v="1633"/>
    <m/>
  </r>
  <r>
    <x v="23"/>
    <s v="Enero"/>
    <n v="0.66412698412698412"/>
    <n v="0.81642210427724005"/>
    <n v="0.81346031746031744"/>
    <n v="0"/>
    <n v="0"/>
    <n v="7875"/>
    <n v="1469"/>
    <n v="6406"/>
    <n v="5230"/>
    <n v="1176"/>
    <m/>
  </r>
  <r>
    <x v="23"/>
    <s v="Febrero"/>
    <n v="0.67334150660672931"/>
    <n v="0.82109634551495014"/>
    <n v="0.82005176406484126"/>
    <n v="0"/>
    <n v="0"/>
    <n v="7341"/>
    <n v="1321"/>
    <n v="6020"/>
    <n v="4943"/>
    <n v="1077"/>
    <m/>
  </r>
  <r>
    <x v="23"/>
    <s v="Marzo"/>
    <n v="0.70216812476226698"/>
    <n v="0.83203125"/>
    <n v="0.8439203753011284"/>
    <n v="0"/>
    <n v="0"/>
    <n v="7887"/>
    <n v="1231"/>
    <n v="6656"/>
    <n v="5538"/>
    <n v="1118"/>
    <m/>
  </r>
  <r>
    <x v="23"/>
    <s v="Abril"/>
    <n v="0.71228252401973513"/>
    <n v="0.81819537658463837"/>
    <n v="0.87055310309010647"/>
    <n v="0"/>
    <n v="0"/>
    <n v="7702"/>
    <n v="997"/>
    <n v="6705"/>
    <n v="5486"/>
    <n v="1219"/>
    <m/>
  </r>
  <r>
    <x v="23"/>
    <s v="Mayo"/>
    <n v="0.73931786484087736"/>
    <n v="0.82744430254008794"/>
    <n v="0.89349562571319896"/>
    <n v="0"/>
    <n v="0"/>
    <n v="7887"/>
    <n v="840"/>
    <n v="7047"/>
    <n v="5831"/>
    <n v="1216"/>
    <m/>
  </r>
  <r>
    <x v="23"/>
    <s v="Junio"/>
    <n v="0.74110620618021295"/>
    <n v="0.8266473569876901"/>
    <n v="0.89652038431576209"/>
    <n v="0"/>
    <n v="0"/>
    <n v="7702"/>
    <n v="797"/>
    <n v="6905"/>
    <n v="5708"/>
    <n v="1197"/>
    <m/>
  </r>
  <r>
    <x v="23"/>
    <s v="Julio"/>
    <n v="0.75484036414924993"/>
    <n v="0.84692849949647531"/>
    <n v="0.89126811129632"/>
    <n v="0"/>
    <n v="0"/>
    <n v="7799"/>
    <n v="848"/>
    <n v="6951"/>
    <n v="5887"/>
    <n v="1064"/>
    <m/>
  </r>
  <r>
    <x v="23"/>
    <s v="Agosto"/>
    <n v="0.85191222570532921"/>
    <n v="0.87191991786447642"/>
    <n v="0.97705329153605014"/>
    <n v="0"/>
    <n v="0"/>
    <n v="7975"/>
    <n v="183"/>
    <n v="7792"/>
    <n v="6794"/>
    <n v="998"/>
    <m/>
  </r>
  <r>
    <x v="23"/>
    <s v="Septiembre"/>
    <n v="0.86931964056482669"/>
    <n v="0.8905839032088374"/>
    <n v="0.97612323491655972"/>
    <n v="0"/>
    <n v="0"/>
    <n v="7790"/>
    <n v="186"/>
    <n v="7604"/>
    <n v="6772"/>
    <n v="832"/>
    <m/>
  </r>
  <r>
    <x v="23"/>
    <s v="Octubre"/>
    <n v="0.84101587301587299"/>
    <n v="0.89330995414081471"/>
    <n v="0.94146031746031744"/>
    <n v="0"/>
    <n v="0"/>
    <n v="7875"/>
    <n v="461"/>
    <n v="7414"/>
    <n v="6623"/>
    <n v="791"/>
    <m/>
  </r>
  <r>
    <x v="23"/>
    <s v="Noviembre"/>
    <n v="0.85510257076084129"/>
    <n v="0.88154196225404902"/>
    <n v="0.97000779018436767"/>
    <n v="0"/>
    <n v="0"/>
    <n v="7702"/>
    <n v="231"/>
    <n v="7471"/>
    <n v="6586"/>
    <n v="885"/>
    <m/>
  </r>
  <r>
    <x v="23"/>
    <s v="Diciembre"/>
    <n v="0.86171428571428577"/>
    <n v="0.91517194875252861"/>
    <n v="0.94158730158730164"/>
    <n v="0"/>
    <n v="0"/>
    <n v="7875"/>
    <n v="460"/>
    <n v="7415"/>
    <n v="6786"/>
    <n v="629"/>
    <m/>
  </r>
  <r>
    <x v="24"/>
    <s v="Enero"/>
    <n v="0.90445141065830725"/>
    <n v="0.93323845258118776"/>
    <n v="0.96915360501567394"/>
    <n v="0"/>
    <n v="0"/>
    <n v="7975"/>
    <n v="246"/>
    <n v="7729"/>
    <n v="7213"/>
    <n v="516"/>
    <m/>
  </r>
  <r>
    <x v="24"/>
    <s v="Febrero"/>
    <n v="0.86700622524052062"/>
    <n v="0.91421751454572575"/>
    <n v="0.94835880022637242"/>
    <n v="0"/>
    <n v="0"/>
    <n v="7068"/>
    <n v="365"/>
    <n v="6703"/>
    <n v="6128"/>
    <n v="575"/>
    <m/>
  </r>
  <r>
    <x v="24"/>
    <s v="Marzo"/>
    <n v="0.84827586206896555"/>
    <n v="0.88154808444096955"/>
    <n v="0.9622570532915361"/>
    <n v="0"/>
    <n v="0"/>
    <n v="7975"/>
    <n v="301"/>
    <n v="7674"/>
    <n v="6765"/>
    <n v="909"/>
    <m/>
  </r>
  <r>
    <x v="24"/>
    <s v="Abril"/>
    <n v="0.80329380764163372"/>
    <n v="0.87827715355805247"/>
    <n v="0.9146245059288538"/>
    <n v="0"/>
    <n v="0"/>
    <n v="7590"/>
    <n v="648"/>
    <n v="6942"/>
    <n v="6097"/>
    <n v="845"/>
    <m/>
  </r>
  <r>
    <x v="24"/>
    <s v="Mayo"/>
    <n v="0.63623684544186632"/>
    <n v="0.68834019204389574"/>
    <n v="0.92430581970330927"/>
    <n v="0"/>
    <n v="0"/>
    <n v="7887"/>
    <n v="597"/>
    <n v="7290"/>
    <n v="5018"/>
    <n v="2272"/>
    <m/>
  </r>
  <r>
    <x v="24"/>
    <s v="Junio"/>
    <n v="0.58549698400209804"/>
    <n v="0.61765112740351358"/>
    <n v="0.9479412536060845"/>
    <n v="0"/>
    <n v="0"/>
    <n v="7626"/>
    <n v="397"/>
    <n v="7229"/>
    <n v="4465"/>
    <n v="2764"/>
    <m/>
  </r>
  <r>
    <x v="24"/>
    <s v="Julio"/>
    <n v="0.74607559964837378"/>
    <n v="0.77005832793259887"/>
    <n v="0.96885595880949393"/>
    <n v="0"/>
    <n v="0"/>
    <n v="7963"/>
    <n v="248"/>
    <n v="7715"/>
    <n v="5941"/>
    <n v="1774"/>
    <m/>
  </r>
  <r>
    <x v="24"/>
    <s v="Agosto"/>
    <n v="0.84501567398119126"/>
    <n v="0.86077404521650269"/>
    <n v="0.98169278996865206"/>
    <n v="0"/>
    <n v="0"/>
    <n v="7975"/>
    <n v="146"/>
    <n v="7829"/>
    <n v="6739"/>
    <n v="1090"/>
    <m/>
  </r>
  <r>
    <x v="24"/>
    <s v="Septiembre"/>
    <n v="0.79724865003857037"/>
    <n v="0.82165098714721085"/>
    <n v="0.97030084854718435"/>
    <n v="0"/>
    <n v="0"/>
    <n v="7778"/>
    <n v="231"/>
    <n v="7547"/>
    <n v="6201"/>
    <n v="1346"/>
    <m/>
  </r>
  <r>
    <x v="24"/>
    <s v="Octubre"/>
    <n v="0.78889311525294792"/>
    <n v="0.8153584064998034"/>
    <n v="0.96754152402687965"/>
    <n v="0"/>
    <n v="0"/>
    <n v="7887"/>
    <n v="256"/>
    <n v="7631"/>
    <n v="6222"/>
    <n v="1409"/>
    <m/>
  </r>
  <r>
    <x v="24"/>
    <s v="Noviembre"/>
    <n v="0.75932977913175936"/>
    <n v="0.78257456828885397"/>
    <n v="0.97029702970297027"/>
    <n v="0"/>
    <n v="0"/>
    <n v="7878"/>
    <n v="234"/>
    <n v="7644"/>
    <n v="5982"/>
    <n v="1662"/>
    <m/>
  </r>
  <r>
    <x v="24"/>
    <s v="Diciembre"/>
    <n v="0.70653907496012758"/>
    <n v="0.78169901688933707"/>
    <n v="0.90385053542948279"/>
    <n v="0"/>
    <n v="0"/>
    <n v="8778"/>
    <n v="844"/>
    <n v="7934"/>
    <n v="6202"/>
    <n v="1732"/>
    <m/>
  </r>
  <r>
    <x v="25"/>
    <s v="Enero"/>
    <n v="0.83204275275384443"/>
    <n v="0.8824754193175246"/>
    <n v="0.94285091067728211"/>
    <n v="0"/>
    <n v="0"/>
    <n v="9169"/>
    <n v="524"/>
    <n v="8645"/>
    <n v="7629"/>
    <n v="1016"/>
    <m/>
  </r>
  <r>
    <x v="25"/>
    <s v="Febrero"/>
    <n v="0.80918114143920594"/>
    <n v="0.86948406879082785"/>
    <n v="0.9306451612903226"/>
    <n v="0"/>
    <n v="0"/>
    <n v="8060"/>
    <n v="559"/>
    <n v="7501"/>
    <n v="6522"/>
    <n v="979"/>
    <m/>
  </r>
  <r>
    <x v="25"/>
    <s v="Marzo"/>
    <n v="0.85766707439119316"/>
    <n v="0.88502581755593801"/>
    <n v="0.96908706771933728"/>
    <n v="0"/>
    <n v="0"/>
    <n v="8993"/>
    <n v="278"/>
    <n v="8715"/>
    <n v="7713"/>
    <n v="1002"/>
    <m/>
  </r>
  <r>
    <x v="25"/>
    <s v="Abril"/>
    <n v="0.86189586738267565"/>
    <n v="0.89948830409356728"/>
    <n v="0.95820686434742008"/>
    <n v="0"/>
    <n v="0"/>
    <n v="8566"/>
    <n v="358"/>
    <n v="8208"/>
    <n v="7383"/>
    <n v="825"/>
    <m/>
  </r>
  <r>
    <x v="25"/>
    <s v="Mayo"/>
    <n v="0.86576586554435708"/>
    <n v="0.88688450192874968"/>
    <n v="0.97618783918484886"/>
    <n v="0"/>
    <n v="0"/>
    <n v="9029"/>
    <n v="215"/>
    <n v="8814"/>
    <n v="7817"/>
    <n v="997"/>
    <m/>
  </r>
  <r>
    <x v="25"/>
    <s v="Junio"/>
    <n v="0.81691259931895577"/>
    <n v="0.87109658678286128"/>
    <n v="0.93779795686719636"/>
    <n v="0"/>
    <n v="0"/>
    <n v="8810"/>
    <n v="548"/>
    <n v="8262"/>
    <n v="7197"/>
    <n v="1065"/>
    <m/>
  </r>
  <r>
    <x v="25"/>
    <s v="Julio"/>
    <n v="0.87086056041643589"/>
    <n v="0.89504837791690384"/>
    <n v="0.97297596633071215"/>
    <n v="0"/>
    <n v="0"/>
    <n v="9029"/>
    <n v="244"/>
    <n v="8785"/>
    <n v="7863"/>
    <n v="922"/>
    <m/>
  </r>
  <r>
    <x v="25"/>
    <s v="Agosto"/>
    <n v="0.8597447922347039"/>
    <n v="0.87960276723945552"/>
    <n v="0.97742392845457515"/>
    <n v="0"/>
    <n v="0"/>
    <n v="9169"/>
    <n v="207"/>
    <n v="8962"/>
    <n v="7883"/>
    <n v="1079"/>
    <m/>
  </r>
  <r>
    <x v="25"/>
    <s v="Septiembre"/>
    <n v="0.83530751708428241"/>
    <n v="0.88628398791540786"/>
    <n v="0.94248291571753984"/>
    <n v="0"/>
    <n v="0"/>
    <n v="8780"/>
    <n v="505"/>
    <n v="8275"/>
    <n v="7334"/>
    <n v="941"/>
    <m/>
  </r>
  <r>
    <x v="25"/>
    <s v="Octubre"/>
    <n v="0.85570945577489366"/>
    <n v="0.87772681507998662"/>
    <n v="0.97491547606063911"/>
    <n v="0"/>
    <n v="0"/>
    <n v="9169"/>
    <n v="230"/>
    <n v="8939"/>
    <n v="7846"/>
    <n v="1093"/>
    <m/>
  </r>
  <r>
    <x v="25"/>
    <s v="Noviembre"/>
    <n v="0.79821388198055621"/>
    <n v="0.87194368979995063"/>
    <n v="0.91544200768709016"/>
    <n v="0"/>
    <n v="0"/>
    <n v="8846"/>
    <n v="748"/>
    <n v="8098"/>
    <n v="7061"/>
    <n v="1037"/>
    <m/>
  </r>
  <r>
    <x v="25"/>
    <s v="Diciembre"/>
    <n v="0.80696381989338772"/>
    <n v="0.86252879136865079"/>
    <n v="0.93557899512305776"/>
    <n v="0"/>
    <n v="0"/>
    <n v="8817"/>
    <n v="568"/>
    <n v="8249"/>
    <n v="7115"/>
    <n v="1134"/>
    <m/>
  </r>
  <r>
    <x v="26"/>
    <s v="Enero"/>
    <n v="0.8547278874468317"/>
    <n v="0.88503670242800681"/>
    <n v="0.96575417166539423"/>
    <n v="0"/>
    <n v="0"/>
    <n v="9169"/>
    <n v="314"/>
    <n v="8855"/>
    <n v="7837"/>
    <n v="1018"/>
    <m/>
  </r>
  <r>
    <x v="26"/>
    <s v="Febrero"/>
    <n v="0.85911270983213428"/>
    <n v="0.88413129318854888"/>
    <n v="0.97170263788968825"/>
    <n v="0"/>
    <n v="0"/>
    <n v="8340"/>
    <n v="236"/>
    <n v="8104"/>
    <n v="7165"/>
    <n v="939"/>
    <m/>
  </r>
  <r>
    <x v="26"/>
    <s v="Marzo"/>
    <n v="0.63365487674169341"/>
    <n v="0.67868212604752609"/>
    <n v="0.93365487674169345"/>
    <n v="0"/>
    <n v="0"/>
    <n v="9330"/>
    <n v="619"/>
    <n v="8711"/>
    <n v="5912"/>
    <n v="2799"/>
    <m/>
  </r>
  <r>
    <x v="26"/>
    <s v="Abril"/>
    <n v="0.67919389978213507"/>
    <n v="0.72847295244771582"/>
    <n v="0.93235294117647061"/>
    <n v="0"/>
    <n v="0"/>
    <n v="9180"/>
    <n v="621"/>
    <n v="8559"/>
    <n v="6235"/>
    <n v="2324"/>
    <m/>
  </r>
  <r>
    <x v="26"/>
    <s v="Mayo"/>
    <n v="0.62550628310312595"/>
    <n v="0.69662271570668521"/>
    <n v="0.89791255582095753"/>
    <n v="0"/>
    <n v="0"/>
    <n v="9629"/>
    <n v="983"/>
    <n v="8646"/>
    <n v="6023"/>
    <n v="2623"/>
    <m/>
  </r>
  <r>
    <x v="26"/>
    <s v="Junio"/>
    <n v="0.71026379960097541"/>
    <n v="0.74209612044006945"/>
    <n v="0.95710485479937935"/>
    <n v="0"/>
    <n v="0"/>
    <n v="9022"/>
    <n v="387"/>
    <n v="8635"/>
    <n v="6408"/>
    <n v="2227"/>
    <m/>
  </r>
  <r>
    <x v="26"/>
    <s v="Julio"/>
    <n v="0.7801381870681654"/>
    <n v="0.80667519727020687"/>
    <n v="0.96710322780241309"/>
    <n v="327"/>
    <n v="7.6609085092770313"/>
    <n v="9697"/>
    <n v="319"/>
    <n v="9378"/>
    <n v="7565"/>
    <n v="1813"/>
    <m/>
  </r>
  <r>
    <x v="26"/>
    <s v="Agosto"/>
    <n v="0.79251314839641129"/>
    <n v="0.82306950840741133"/>
    <n v="0.96287511601526243"/>
    <n v="327"/>
    <n v="7.6338224269037163"/>
    <n v="9697"/>
    <n v="360"/>
    <n v="9337"/>
    <n v="7685"/>
    <n v="1652"/>
    <m/>
  </r>
  <r>
    <x v="26"/>
    <s v="Septiembre"/>
    <n v="0.79101936582251542"/>
    <n v="0.82362065145136276"/>
    <n v="0.96041711002340924"/>
    <n v="327"/>
    <n v="7.7196986483492136"/>
    <n v="9398"/>
    <n v="372"/>
    <n v="9026"/>
    <n v="7434"/>
    <n v="1592"/>
    <m/>
  </r>
  <r>
    <x v="26"/>
    <s v="Octubre"/>
    <n v="0.78337609030271937"/>
    <n v="0.82699599176687244"/>
    <n v="0.94725500256541817"/>
    <n v="327"/>
    <n v="7.8215794605134867"/>
    <n v="9745"/>
    <n v="514"/>
    <n v="9231"/>
    <n v="7634"/>
    <n v="1597"/>
    <m/>
  </r>
  <r>
    <x v="26"/>
    <s v="Noviembre"/>
    <n v="0.7751259032187432"/>
    <n v="0.84125475285171103"/>
    <n v="0.92139259908035909"/>
    <n v="327"/>
    <n v="7.9070817490494294"/>
    <n v="9134"/>
    <n v="718"/>
    <n v="8416"/>
    <n v="7080"/>
    <n v="1336"/>
    <m/>
  </r>
  <r>
    <x v="26"/>
    <s v="Diciembre"/>
    <n v="0.73205586229295228"/>
    <n v="0.82003395585738537"/>
    <n v="0.89271408465952151"/>
    <n v="327"/>
    <n v="7.8750909531894253"/>
    <n v="9237"/>
    <n v="991"/>
    <n v="8246"/>
    <n v="6762"/>
    <n v="1484"/>
    <m/>
  </r>
  <r>
    <x v="27"/>
    <s v="Enero"/>
    <n v="0.83858060440138993"/>
    <n v="0.87238470807317336"/>
    <n v="0.96125092134358214"/>
    <n v="327"/>
    <n v="7.8504765034505422"/>
    <n v="9497"/>
    <n v="368"/>
    <n v="9129"/>
    <n v="7964"/>
    <n v="1165"/>
    <m/>
  </r>
  <r>
    <x v="27"/>
    <s v="Febrero"/>
    <n v="0.8450098756825839"/>
    <n v="0.8878173828125"/>
    <n v="0.95178343209015914"/>
    <n v="327"/>
    <n v="7.8896484375"/>
    <n v="8607"/>
    <n v="415"/>
    <n v="8192"/>
    <n v="7273"/>
    <n v="919"/>
    <m/>
  </r>
  <r>
    <x v="27"/>
    <s v="Marzo"/>
    <n v="0.72811178054095627"/>
    <n v="0.87103205029903386"/>
    <n v="0.83591847199077041"/>
    <n v="327"/>
    <n v="7.7946633951847879"/>
    <n v="7801"/>
    <n v="1280"/>
    <n v="6521"/>
    <n v="5680"/>
    <n v="841"/>
    <m/>
  </r>
  <r>
    <x v="27"/>
    <s v="Abril"/>
    <n v="0.68894044856921888"/>
    <n v="0.91345365053322392"/>
    <n v="0.75421500386697604"/>
    <n v="327"/>
    <n v="7.9762100082034451"/>
    <n v="6465"/>
    <n v="1589"/>
    <n v="4876"/>
    <n v="4454"/>
    <n v="422"/>
    <m/>
  </r>
  <r>
    <x v="27"/>
    <s v="Mayo"/>
    <n v="0.74144960362400902"/>
    <n v="0.88700718059883488"/>
    <n v="0.83590033975084943"/>
    <n v="327"/>
    <n v="8.3610621866955697"/>
    <n v="8830"/>
    <n v="1449"/>
    <n v="7381"/>
    <n v="6547"/>
    <n v="834"/>
    <m/>
  </r>
  <r>
    <x v="27"/>
    <s v="Junio"/>
    <n v="0.75148859678687785"/>
    <n v="0.92735338971301817"/>
    <n v="0.81035838669812377"/>
    <n v="327"/>
    <n v="8.3278802162761671"/>
    <n v="8901"/>
    <n v="1688"/>
    <n v="7213"/>
    <n v="6689"/>
    <n v="524"/>
    <m/>
  </r>
  <r>
    <x v="27"/>
    <s v="Julio"/>
    <n v="0.67791685292802861"/>
    <n v="0.91396715383456384"/>
    <n v="0.74172999552972729"/>
    <n v="327"/>
    <n v="8.2659334036462262"/>
    <n v="8948"/>
    <n v="2311"/>
    <n v="6637"/>
    <n v="6066"/>
    <n v="571"/>
    <m/>
  </r>
  <r>
    <x v="27"/>
    <s v="Agosto"/>
    <n v="0.6357743097238896"/>
    <n v="0.91215983465380646"/>
    <n v="0.69699879951980792"/>
    <n v="327"/>
    <n v="8.3644505683775403"/>
    <n v="8330"/>
    <n v="2524"/>
    <n v="5806"/>
    <n v="5296"/>
    <n v="510"/>
    <m/>
  </r>
  <r>
    <x v="27"/>
    <s v="Septiembre"/>
    <n v="0.76102539181144457"/>
    <n v="0.90116529995684069"/>
    <n v="0.84449034139229739"/>
    <n v="327"/>
    <n v="8.2119119551143722"/>
    <n v="8231"/>
    <n v="1280"/>
    <n v="6951"/>
    <n v="6264"/>
    <n v="687"/>
    <m/>
  </r>
  <r>
    <x v="27"/>
    <s v="Octubre"/>
    <n v="0.73052530812492522"/>
    <n v="0.83653055631679907"/>
    <n v="0.87327988512624144"/>
    <n v="327"/>
    <n v="8.1482597972047142"/>
    <n v="8357"/>
    <n v="1059"/>
    <n v="7298"/>
    <n v="6105"/>
    <n v="1193"/>
    <m/>
  </r>
  <r>
    <x v="27"/>
    <s v="Noviembre"/>
    <n v="0.75307094509902228"/>
    <n v="0.86984218908353839"/>
    <n v="0.86575582852845323"/>
    <n v="327"/>
    <n v="8.0713768640509631"/>
    <n v="7978"/>
    <n v="1071"/>
    <n v="6907"/>
    <n v="6008"/>
    <n v="899"/>
    <m/>
  </r>
  <r>
    <x v="27"/>
    <s v="Diciembre"/>
    <n v="0.75248547449967718"/>
    <n v="0.85567464395830273"/>
    <n v="0.87940606843124591"/>
    <n v="327"/>
    <n v="7.8856261929232128"/>
    <n v="7745"/>
    <n v="934"/>
    <n v="6811"/>
    <n v="5828"/>
    <n v="983"/>
    <m/>
  </r>
  <r>
    <x v="28"/>
    <s v="Enero"/>
    <n v="0.81638491547464243"/>
    <n v="0.87620376831821356"/>
    <n v="0.93172951885565669"/>
    <n v="273"/>
    <n v="7.7983251919050938"/>
    <n v="7690"/>
    <n v="525"/>
    <n v="7165"/>
    <n v="6278"/>
    <n v="887"/>
    <m/>
  </r>
  <r>
    <x v="28"/>
    <s v="Febrero"/>
    <n v="0.75086855819339893"/>
    <n v="0.80806979280261726"/>
    <n v="0.92921250723798499"/>
    <n v="273"/>
    <n v="7.7418601028197536"/>
    <n v="6908"/>
    <n v="489"/>
    <n v="6419"/>
    <n v="5187"/>
    <n v="1232"/>
    <m/>
  </r>
  <r>
    <x v="28"/>
    <s v="Marzo"/>
    <n v="0.78525193552481276"/>
    <n v="0.82570399039103159"/>
    <n v="0.95100901129584969"/>
    <n v="273"/>
    <n v="7.7700520485786733"/>
    <n v="7879"/>
    <n v="386"/>
    <n v="7493"/>
    <n v="6187"/>
    <n v="1306"/>
    <m/>
  </r>
  <r>
    <x v="28"/>
    <s v="Abril"/>
    <n v="0.73370577281191807"/>
    <n v="0.83533568904593636"/>
    <n v="0.87833643699565489"/>
    <n v="273"/>
    <n v="7.8279858657243819"/>
    <n v="8055"/>
    <n v="980"/>
    <n v="7075"/>
    <n v="5910"/>
    <n v="1165"/>
    <m/>
  </r>
  <r>
    <x v="28"/>
    <s v="Mayo"/>
    <n v="0.76393890475599158"/>
    <n v="0.85184159512600388"/>
    <n v="0.89680864274183536"/>
    <n v="273"/>
    <n v="7.7189144281362507"/>
    <n v="8053"/>
    <n v="831"/>
    <n v="7222"/>
    <n v="6152"/>
    <n v="1070"/>
    <m/>
  </r>
  <r>
    <x v="28"/>
    <s v="Junio"/>
    <n v="0.71354679802955667"/>
    <n v="0.81410706758465645"/>
    <n v="0.87647783251231526"/>
    <n v="273"/>
    <n v="7.7851622874806798"/>
    <n v="8120"/>
    <n v="1003"/>
    <n v="7117"/>
    <n v="5794"/>
    <n v="1323"/>
    <m/>
  </r>
  <r>
    <x v="28"/>
    <s v="Julio"/>
    <n v="0.73934957398295931"/>
    <n v="0.80504377368352276"/>
    <n v="0.91839673586943482"/>
    <n v="300"/>
    <n v="7.7926303410427282"/>
    <n v="8333"/>
    <n v="680"/>
    <n v="7653"/>
    <n v="6161"/>
    <n v="1492"/>
    <m/>
  </r>
  <r>
    <x v="28"/>
    <s v="Agosto"/>
    <n v="0.68274448329916793"/>
    <n v="0.74716283979941933"/>
    <n v="0.91378270830821173"/>
    <n v="300"/>
    <n v="7.771179730799683"/>
    <n v="8293"/>
    <n v="715"/>
    <n v="7578"/>
    <n v="5662"/>
    <n v="1916"/>
    <m/>
  </r>
  <r>
    <x v="28"/>
    <s v="Septiembre"/>
    <n v="0.68787252159104728"/>
    <n v="0.75259515570934254"/>
    <n v="0.91400072983821923"/>
    <n v="300"/>
    <n v="7.822198562682992"/>
    <n v="8221"/>
    <n v="707"/>
    <n v="7514"/>
    <n v="5655"/>
    <n v="1859"/>
    <m/>
  </r>
  <r>
    <x v="28"/>
    <s v="Octubre"/>
    <n v="0.63926091269841268"/>
    <n v="0.68861875500935077"/>
    <n v="0.92832341269841268"/>
    <n v="300"/>
    <n v="7.7769169115682608"/>
    <n v="8064"/>
    <n v="578"/>
    <n v="7486"/>
    <n v="5155"/>
    <n v="2331"/>
    <m/>
  </r>
  <r>
    <x v="28"/>
    <s v="Noviembre"/>
    <n v="0.6954624781849913"/>
    <n v="0.74946265448683502"/>
    <n v="0.92794814260782843"/>
    <n v="300"/>
    <n v="7.7780763030628695"/>
    <n v="8022"/>
    <n v="578"/>
    <n v="7444"/>
    <n v="5579"/>
    <n v="1865"/>
    <m/>
  </r>
  <r>
    <x v="28"/>
    <s v="Diciembre"/>
    <n v="0.72512265693797961"/>
    <n v="0.77213663764233087"/>
    <n v="0.9391118379670399"/>
    <n v="300"/>
    <n v="7.8032150033489618"/>
    <n v="7949"/>
    <n v="484"/>
    <n v="7465"/>
    <n v="5764"/>
    <n v="1701"/>
    <m/>
  </r>
  <r>
    <x v="29"/>
    <s v="Enero"/>
    <n v="0.56371432399839205"/>
    <n v="0.71052187130552269"/>
    <n v="0.79338067801152357"/>
    <n v="300"/>
    <n v="7.5762540111467658"/>
    <n v="7463"/>
    <n v="1542"/>
    <n v="5921"/>
    <n v="4207"/>
    <n v="1714"/>
    <m/>
  </r>
  <r>
    <x v="29"/>
    <s v="Febrero"/>
    <n v="0.66544616219148356"/>
    <n v="0.76183822387827982"/>
    <n v="0.87347436940602119"/>
    <n v="300"/>
    <n v="7.5197950628784351"/>
    <n v="7374"/>
    <n v="933"/>
    <n v="6441"/>
    <n v="4907"/>
    <n v="1534"/>
    <m/>
  </r>
  <r>
    <x v="29"/>
    <s v="Marzo"/>
    <n v="0.60527838870239614"/>
    <n v="0.67926734216679652"/>
    <n v="0.89107535594397502"/>
    <n v="300"/>
    <n v="7.5978176149649261"/>
    <n v="8639"/>
    <n v="941"/>
    <n v="7698"/>
    <n v="5229"/>
    <n v="2469"/>
    <m/>
  </r>
  <r>
    <x v="29"/>
    <s v="Abril"/>
    <n v="0.63176743206235519"/>
    <n v="0.69695561236346737"/>
    <n v="0.90646724246892774"/>
    <n v="300"/>
    <n v="7.5847083430165005"/>
    <n v="9494"/>
    <n v="888"/>
    <n v="8606"/>
    <n v="5998"/>
    <n v="2608"/>
    <m/>
  </r>
  <r>
    <x v="29"/>
    <s v="Mayo"/>
    <n v="0.70510725229826354"/>
    <n v="0.76369067374709587"/>
    <n v="0.92328907048008169"/>
    <n v="300"/>
    <n v="7.6053767009624957"/>
    <n v="9790"/>
    <n v="751"/>
    <n v="9039"/>
    <n v="6903"/>
    <n v="2136"/>
    <m/>
  </r>
  <r>
    <x v="29"/>
    <s v="Junio"/>
    <n v="0.7061532021766429"/>
    <n v="0.78877849210987727"/>
    <n v="0.89524905818334033"/>
    <n v="300"/>
    <n v="7.8252483927527763"/>
    <n v="9556"/>
    <n v="1001"/>
    <n v="8555"/>
    <n v="6748"/>
    <n v="1807"/>
    <m/>
  </r>
  <r>
    <x v="29"/>
    <s v="Julio"/>
    <n v="0.73571356326489334"/>
    <n v="0.79013686726048227"/>
    <n v="0.93112167492667142"/>
    <n v="300"/>
    <n v="7.6332826417553772"/>
    <n v="9887"/>
    <n v="681"/>
    <n v="9206"/>
    <n v="7274"/>
    <n v="1932"/>
    <m/>
  </r>
  <r>
    <x v="29"/>
    <s v="Agosto"/>
    <n v="0.79903971191357404"/>
    <n v="0.85442293293400362"/>
    <n v="0.9351805541662499"/>
    <n v="300"/>
    <n v="7.6971868649053379"/>
    <n v="9997"/>
    <n v="648"/>
    <n v="9349"/>
    <n v="7988"/>
    <n v="1361"/>
    <m/>
  </r>
  <r>
    <x v="29"/>
    <s v="Septiembre"/>
    <n v="0.7758763741962249"/>
    <n v="0.82281126264848214"/>
    <n v="0.94295789255341211"/>
    <n v="300"/>
    <n v="7.6352837659480866"/>
    <n v="9642"/>
    <n v="550"/>
    <n v="9092"/>
    <n v="7481"/>
    <n v="1611"/>
    <m/>
  </r>
  <r>
    <x v="29"/>
    <s v="Octubre"/>
    <n v="0.7330372818341423"/>
    <n v="0.79218750000000004"/>
    <n v="0.92533305793658993"/>
    <n v="300"/>
    <n v="7.6145089285714285"/>
    <n v="9683"/>
    <n v="723"/>
    <n v="8960"/>
    <n v="7098"/>
    <n v="1862"/>
    <m/>
  </r>
  <r>
    <x v="29"/>
    <s v="Noviembre"/>
    <n v="0.63145345220816917"/>
    <n v="0.73982752338151347"/>
    <n v="0.85351441011818374"/>
    <n v="300"/>
    <n v="7.8128264302198467"/>
    <n v="9646"/>
    <n v="1413"/>
    <n v="8233"/>
    <n v="6091"/>
    <n v="2142"/>
    <m/>
  </r>
  <r>
    <x v="29"/>
    <s v="Diciembre"/>
    <n v="0.56848459616985847"/>
    <n v="0.70178594372349989"/>
    <n v="0.81005412156536216"/>
    <n v="300"/>
    <n v="7.771167930104073"/>
    <n v="9608"/>
    <n v="1825"/>
    <n v="7783"/>
    <n v="5462"/>
    <n v="2321"/>
    <m/>
  </r>
  <r>
    <x v="30"/>
    <s v="Enero"/>
    <n v="0.71560940841054888"/>
    <n v="0.78586604047858666"/>
    <n v="0.91059973526117499"/>
    <n v="300"/>
    <n v="7.7138544112713854"/>
    <n v="9821"/>
    <n v="878"/>
    <n v="8943"/>
    <n v="7028"/>
    <n v="1915"/>
    <m/>
  </r>
  <r>
    <x v="30"/>
    <s v="Febrero"/>
    <n v="0.72706316274781002"/>
    <n v="0.79136871157947564"/>
    <n v="0.91874135546334712"/>
    <n v="300"/>
    <n v="7.7083176514866389"/>
    <n v="8676"/>
    <n v="705"/>
    <n v="7971"/>
    <n v="6308"/>
    <n v="1663"/>
    <m/>
  </r>
  <r>
    <x v="30"/>
    <s v="Marzo"/>
    <n v="0.64260367028287535"/>
    <n v="0.7018826135105205"/>
    <n v="0.91554293825408095"/>
    <n v="337"/>
    <n v="7.691029900332226"/>
    <n v="9863"/>
    <n v="833"/>
    <n v="9030"/>
    <n v="6338"/>
    <n v="2692"/>
    <m/>
  </r>
  <r>
    <x v="30"/>
    <s v="Abril"/>
    <n v="0.68229447985308411"/>
    <n v="0.74798673614400757"/>
    <n v="0.91217457059522522"/>
    <n v="337"/>
    <n v="7.592373282804358"/>
    <n v="9257"/>
    <n v="813"/>
    <n v="8444"/>
    <n v="6316"/>
    <n v="2128"/>
    <m/>
  </r>
  <r>
    <x v="30"/>
    <s v="Mayo"/>
    <n v="0.63937155342836338"/>
    <n v="0.70405591200733275"/>
    <n v="0.90812610550410988"/>
    <n v="337"/>
    <n v="7.6491750687442712"/>
    <n v="9611"/>
    <n v="883"/>
    <n v="8728"/>
    <n v="6145"/>
    <n v="2583"/>
    <m/>
  </r>
  <r>
    <x v="30"/>
    <s v="Junio"/>
    <n v="0.64362272240085749"/>
    <n v="0.70688640376692169"/>
    <n v="0.91050375133976424"/>
    <n v="337"/>
    <n v="7.6347263095938791"/>
    <n v="9330"/>
    <n v="835"/>
    <n v="8495"/>
    <n v="6005"/>
    <n v="2490"/>
    <m/>
  </r>
  <r>
    <x v="30"/>
    <s v="Julio"/>
    <n v="0.61976883220406531"/>
    <n v="0.71791320406278858"/>
    <n v="0.86329214826624157"/>
    <n v="327"/>
    <n v="7.5131578947368425"/>
    <n v="10036"/>
    <n v="1372"/>
    <n v="8664"/>
    <n v="6220"/>
    <n v="2444"/>
    <m/>
  </r>
  <r>
    <x v="30"/>
    <s v="Agosto"/>
    <n v="0.69553650605971029"/>
    <n v="0.74864778873687554"/>
    <n v="0.92905704995566063"/>
    <n v="327"/>
    <n v="7.5612472160356345"/>
    <n v="10149"/>
    <n v="720"/>
    <n v="9429"/>
    <n v="7059"/>
    <n v="2370"/>
    <m/>
  </r>
  <r>
    <x v="30"/>
    <s v="Septiembre"/>
    <n v="0.68805287239450941"/>
    <n v="0.73722627737226276"/>
    <n v="0.9332994407727504"/>
    <n v="327"/>
    <n v="7.5240222246432076"/>
    <n v="9835"/>
    <n v="656"/>
    <n v="9179"/>
    <n v="6767"/>
    <n v="2412"/>
    <m/>
  </r>
  <r>
    <x v="30"/>
    <s v="Octubre"/>
    <n v="0.73776471780322217"/>
    <n v="0.79756818928688789"/>
    <n v="0.92501773229303885"/>
    <n v="327"/>
    <n v="7.5290831416365425"/>
    <n v="9869"/>
    <n v="740"/>
    <n v="9129"/>
    <n v="7281"/>
    <n v="1848"/>
    <m/>
  </r>
  <r>
    <x v="30"/>
    <s v="Noviembre"/>
    <n v="0.75495403472931566"/>
    <n v="0.81641444824919918"/>
    <n v="0.92471910112359545"/>
    <n v="327"/>
    <n v="7.5664420634043967"/>
    <n v="9790"/>
    <n v="737"/>
    <n v="9053"/>
    <n v="7391"/>
    <n v="1662"/>
    <m/>
  </r>
  <r>
    <x v="30"/>
    <s v="Diciembre"/>
    <n v="0.69128341698248486"/>
    <n v="0.76087936865839911"/>
    <n v="0.90853221345897772"/>
    <n v="327"/>
    <n v="7.5226606538895151"/>
    <n v="9763"/>
    <n v="893"/>
    <n v="8870"/>
    <n v="6749"/>
    <n v="2121"/>
    <m/>
  </r>
  <r>
    <x v="31"/>
    <s v="Enero"/>
    <n v="0.7365652398143373"/>
    <n v="0.81323311695706635"/>
    <n v="0.9057246003094378"/>
    <n v="302"/>
    <n v="7.7311240177656302"/>
    <n v="9695"/>
    <n v="914"/>
    <n v="8781"/>
    <n v="7141"/>
    <n v="1640"/>
    <s v="A partir del 08-01-2024, entra en vigencia un nuevo itinerario de trenes en los ramales:_x000a_Once - Moreno: De Lunes a Viernes 250 trenes, sábados 209 trenes y domingos/feriados 157 trenes._x000a_A partir del 17-01-2024, entra en vigencia un nuevo itinerario de trenes en los ramales:_x000a_Merlo - Lobos: De Lunes a Viernes 24 trenes, Sábados 26 trenes, Domingos/Feriados 24 trenes._x000a_Moreno - Mercedes: De Lunes a Sábados 28 trenes, Domingos/Feriados 24 trenes."/>
  </r>
  <r>
    <x v="31"/>
    <s v="Febrero"/>
    <n v="0.66776315789473684"/>
    <n v="0.80149761742682102"/>
    <n v="0.83314428312159705"/>
    <n v="302"/>
    <n v="7.8988427501701839"/>
    <n v="8816"/>
    <n v="1471"/>
    <n v="7345"/>
    <n v="5887"/>
    <n v="1458"/>
    <m/>
  </r>
  <r>
    <x v="31"/>
    <s v="Marzo"/>
    <n v="0.63215686274509808"/>
    <n v="0.70017374038222879"/>
    <n v="0.9028571428571428"/>
    <n v="302"/>
    <n v="7.8726731198808642"/>
    <n v="8925"/>
    <n v="867"/>
    <n v="8058"/>
    <n v="5642"/>
    <n v="2416"/>
    <m/>
  </r>
  <r>
    <x v="31"/>
    <s v="Abril"/>
    <n v="0.58074981975486661"/>
    <n v="0.6211283896671379"/>
    <n v="0.93499158856044218"/>
    <n v="302"/>
    <n v="7.9212183523968642"/>
    <n v="8322"/>
    <n v="541"/>
    <n v="7781"/>
    <n v="4833"/>
    <n v="2948"/>
    <m/>
  </r>
  <r>
    <x v="31"/>
    <s v="Mayo"/>
    <n v="0.49555581207433913"/>
    <n v="0.57110549421311696"/>
    <n v="0.86771326330370546"/>
    <n v="302"/>
    <n v="7.8937075961154717"/>
    <n v="8663"/>
    <n v="1146"/>
    <n v="7517"/>
    <n v="4293"/>
    <n v="3224"/>
    <m/>
  </r>
  <r>
    <x v="31"/>
    <s v="Junio"/>
    <n v="0.60007417480529113"/>
    <n v="0.63977856860419136"/>
    <n v="0.93794041290641617"/>
    <n v="302"/>
    <n v="7.8359035191775401"/>
    <n v="8089"/>
    <n v="502"/>
    <n v="7587"/>
    <n v="4854"/>
    <n v="2733"/>
    <m/>
  </r>
  <r>
    <x v="31"/>
    <s v="Julio"/>
    <n v="0.38172227955509691"/>
    <n v="0.42723305954825463"/>
    <n v="0.89347551886251575"/>
    <n v="302"/>
    <n v="7.8249486652977414"/>
    <n v="8721"/>
    <n v="929"/>
    <n v="7792"/>
    <n v="3329"/>
    <n v="4463"/>
    <m/>
  </r>
  <r>
    <x v="31"/>
    <s v="Agosto"/>
    <n v="0.6111756505576208"/>
    <n v="0.66068064799698611"/>
    <n v="0.92506970260223054"/>
    <n v="302"/>
    <n v="7.8840889112143664"/>
    <n v="8608"/>
    <n v="645"/>
    <n v="7963"/>
    <n v="5261"/>
    <n v="2702"/>
    <m/>
  </r>
  <r>
    <x v="31"/>
    <s v="Septiembre"/>
    <n v="0.84154589371980681"/>
    <n v="0.86494538232373386"/>
    <n v="0.97294685990338159"/>
    <n v="302"/>
    <n v="7.9200595829195635"/>
    <n v="8280"/>
    <n v="224"/>
    <n v="8056"/>
    <n v="6968"/>
    <n v="1088"/>
    <m/>
  </r>
</pivotCacheRecords>
</file>

<file path=xl/pivotCache/pivotCacheRecords3.xml><?xml version="1.0" encoding="utf-8"?>
<pivotCacheRecords xmlns="http://schemas.openxmlformats.org/spreadsheetml/2006/main" xmlns:r="http://schemas.openxmlformats.org/officeDocument/2006/relationships" count="381">
  <r>
    <x v="0"/>
    <s v="Enero"/>
    <n v="0.88882126191925337"/>
    <n v="0.95948313622426629"/>
    <n v="0.92635423006695072"/>
    <m/>
    <m/>
    <n v="4929"/>
    <n v="363"/>
    <n v="4566"/>
    <n v="4381"/>
    <n v="185"/>
    <m/>
  </r>
  <r>
    <x v="0"/>
    <s v="Febrero"/>
    <n v="0.94122731201382892"/>
    <n v="0.96972395369545861"/>
    <n v="0.9706136560069144"/>
    <m/>
    <m/>
    <n v="4628"/>
    <n v="136"/>
    <n v="4492"/>
    <n v="4356"/>
    <n v="136"/>
    <m/>
  </r>
  <r>
    <x v="0"/>
    <s v="Marzo"/>
    <n v="0.88090190788205824"/>
    <n v="0.94539813857290589"/>
    <n v="0.93177876276739258"/>
    <m/>
    <m/>
    <n v="5189"/>
    <n v="354"/>
    <n v="4835"/>
    <n v="4571"/>
    <n v="264"/>
    <m/>
  </r>
  <r>
    <x v="0"/>
    <s v="Abril"/>
    <n v="0.91029832447895387"/>
    <n v="0.96220302375809941"/>
    <n v="0.9460563955864324"/>
    <m/>
    <m/>
    <n v="4894"/>
    <n v="264"/>
    <n v="4630"/>
    <n v="4455"/>
    <n v="175"/>
    <m/>
  </r>
  <r>
    <x v="0"/>
    <s v="Mayo"/>
    <n v="0.94308608999383603"/>
    <n v="0.97286986011021614"/>
    <n v="0.96938565851654002"/>
    <m/>
    <m/>
    <n v="4867"/>
    <n v="149"/>
    <n v="4718"/>
    <n v="4590"/>
    <n v="128"/>
    <m/>
  </r>
  <r>
    <x v="0"/>
    <s v="Junio"/>
    <n v="0.89599509603596239"/>
    <n v="0.96056955093099672"/>
    <n v="0.93277482631794029"/>
    <m/>
    <m/>
    <n v="4894"/>
    <n v="329"/>
    <n v="4565"/>
    <n v="4385"/>
    <n v="180"/>
    <m/>
  </r>
  <r>
    <x v="0"/>
    <s v="Julio"/>
    <n v="0.90688902124280324"/>
    <n v="0.95186497186913943"/>
    <n v="0.95274965257097477"/>
    <m/>
    <m/>
    <n v="5037"/>
    <n v="238"/>
    <n v="4799"/>
    <n v="4568"/>
    <n v="231"/>
    <m/>
  </r>
  <r>
    <x v="0"/>
    <s v="Agosto"/>
    <n v="0.9563643675849588"/>
    <n v="0.98366080661840749"/>
    <n v="0.9722501508143977"/>
    <m/>
    <m/>
    <n v="4973"/>
    <n v="138"/>
    <n v="4835"/>
    <n v="4756"/>
    <n v="79"/>
    <m/>
  </r>
  <r>
    <x v="0"/>
    <s v="Septiembre"/>
    <n v="0.9490203918432627"/>
    <n v="0.97414323825159044"/>
    <n v="0.97421031587365059"/>
    <m/>
    <m/>
    <n v="5002"/>
    <n v="129"/>
    <n v="4873"/>
    <n v="4747"/>
    <n v="126"/>
    <m/>
  </r>
  <r>
    <x v="0"/>
    <s v="Octubre"/>
    <n v="0.92067356461756944"/>
    <n v="0.97340197340197343"/>
    <n v="0.94583079732197195"/>
    <m/>
    <m/>
    <n v="4929"/>
    <n v="267"/>
    <n v="4662"/>
    <n v="4538"/>
    <n v="124"/>
    <m/>
  </r>
  <r>
    <x v="0"/>
    <s v="Noviembre"/>
    <n v="0.92622950819672134"/>
    <n v="0.98386069229135698"/>
    <n v="0.94142343062774891"/>
    <m/>
    <m/>
    <n v="5002"/>
    <n v="293"/>
    <n v="4709"/>
    <n v="4633"/>
    <n v="76"/>
    <m/>
  </r>
  <r>
    <x v="0"/>
    <s v="Diciembre"/>
    <n v="0.90321951219512198"/>
    <n v="0.96983029541169075"/>
    <n v="0.93131707317073176"/>
    <m/>
    <m/>
    <n v="5125"/>
    <n v="352"/>
    <n v="4773"/>
    <n v="4629"/>
    <n v="144"/>
    <m/>
  </r>
  <r>
    <x v="1"/>
    <s v="Enero"/>
    <n v="0.96521558008748176"/>
    <n v="0.98177966101694913"/>
    <n v="0.98312851489273068"/>
    <m/>
    <m/>
    <n v="4801"/>
    <n v="81"/>
    <n v="4720"/>
    <n v="4634"/>
    <n v="86"/>
    <m/>
  </r>
  <r>
    <x v="1"/>
    <s v="Febrero"/>
    <n v="0.9445164075993091"/>
    <n v="0.97308718861209964"/>
    <n v="0.97063903281519859"/>
    <m/>
    <m/>
    <n v="4632"/>
    <n v="136"/>
    <n v="4496"/>
    <n v="4375"/>
    <n v="121"/>
    <m/>
  </r>
  <r>
    <x v="1"/>
    <s v="Marzo"/>
    <n v="0.97009102730819241"/>
    <n v="0.98361273309474473"/>
    <n v="0.98625301876277172"/>
    <m/>
    <m/>
    <n v="5383"/>
    <n v="74"/>
    <n v="5309"/>
    <n v="5222"/>
    <n v="87"/>
    <m/>
  </r>
  <r>
    <x v="1"/>
    <s v="Abril"/>
    <n v="0.96686976389946688"/>
    <n v="0.98793774319066152"/>
    <n v="0.97867479055597872"/>
    <m/>
    <m/>
    <n v="5252"/>
    <n v="112"/>
    <n v="5140"/>
    <n v="5078"/>
    <n v="62"/>
    <m/>
  </r>
  <r>
    <x v="1"/>
    <s v="Mayo"/>
    <n v="0.96795601061812664"/>
    <n v="0.97947045280122791"/>
    <n v="0.98824421691315889"/>
    <m/>
    <m/>
    <n v="5274"/>
    <n v="62"/>
    <n v="5212"/>
    <n v="5105"/>
    <n v="107"/>
    <m/>
  </r>
  <r>
    <x v="1"/>
    <s v="Junio"/>
    <n v="0.92412297989751679"/>
    <n v="0.9511156186612576"/>
    <n v="0.97162002364998035"/>
    <m/>
    <m/>
    <n v="5074"/>
    <n v="144"/>
    <n v="4930"/>
    <n v="4689"/>
    <n v="241"/>
    <m/>
  </r>
  <r>
    <x v="1"/>
    <s v="Julio"/>
    <n v="0.96928327645051193"/>
    <n v="0.98859021465867336"/>
    <n v="0.98047023132347366"/>
    <m/>
    <m/>
    <n v="5274"/>
    <n v="103"/>
    <n v="5171"/>
    <n v="5112"/>
    <n v="59"/>
    <m/>
  </r>
  <r>
    <x v="1"/>
    <s v="Agosto"/>
    <n v="0.97050639955481355"/>
    <n v="0.98069353327085285"/>
    <n v="0.98961231682433681"/>
    <m/>
    <m/>
    <n v="5391"/>
    <n v="56"/>
    <n v="5335"/>
    <n v="5232"/>
    <n v="103"/>
    <m/>
  </r>
  <r>
    <x v="1"/>
    <s v="Septiembre"/>
    <n v="0.98624717407686513"/>
    <n v="0.99016455456780783"/>
    <n v="0.99604370761115302"/>
    <m/>
    <m/>
    <n v="5308"/>
    <n v="21"/>
    <n v="5287"/>
    <n v="5235"/>
    <n v="52"/>
    <m/>
  </r>
  <r>
    <x v="1"/>
    <s v="Octubre"/>
    <n v="0.98294365657339977"/>
    <n v="0.98483102918586785"/>
    <n v="0.99808355691835948"/>
    <m/>
    <m/>
    <n v="5218"/>
    <n v="10"/>
    <n v="5208"/>
    <n v="5129"/>
    <n v="79"/>
    <m/>
  </r>
  <r>
    <x v="1"/>
    <s v="Noviembre"/>
    <n v="0.96345139412207992"/>
    <n v="0.97224334600760454"/>
    <n v="0.99095704596834966"/>
    <m/>
    <m/>
    <n v="5308"/>
    <n v="48"/>
    <n v="5260"/>
    <n v="5114"/>
    <n v="146"/>
    <m/>
  </r>
  <r>
    <x v="1"/>
    <s v="Diciembre"/>
    <n v="0.96074834922964047"/>
    <n v="0.98255486775464262"/>
    <n v="0.97780630961115189"/>
    <m/>
    <m/>
    <n v="5452"/>
    <n v="121"/>
    <n v="5331"/>
    <n v="5238"/>
    <n v="93"/>
    <m/>
  </r>
  <r>
    <x v="2"/>
    <s v="Enero"/>
    <n v="0.98089408273047674"/>
    <n v="0.98933582787652008"/>
    <n v="0.99146726024856247"/>
    <m/>
    <m/>
    <n v="5391"/>
    <n v="46"/>
    <n v="5345"/>
    <n v="5288"/>
    <n v="57"/>
    <m/>
  </r>
  <r>
    <x v="2"/>
    <s v="Febrero"/>
    <n v="0.9784026079869601"/>
    <n v="0.98664475035956445"/>
    <n v="0.99164629176854113"/>
    <m/>
    <m/>
    <n v="4908"/>
    <n v="41"/>
    <n v="4867"/>
    <n v="4802"/>
    <n v="65"/>
    <m/>
  </r>
  <r>
    <x v="2"/>
    <s v="Marzo"/>
    <n v="0.98111837327523599"/>
    <n v="0.9845144835124795"/>
    <n v="0.99655047204066816"/>
    <m/>
    <m/>
    <n v="5508"/>
    <n v="19"/>
    <n v="5489"/>
    <n v="5404"/>
    <n v="85"/>
    <m/>
  </r>
  <r>
    <x v="2"/>
    <s v="Abril"/>
    <n v="0.95336787564766834"/>
    <n v="0.97672519395671697"/>
    <n v="0.97608609007572733"/>
    <m/>
    <m/>
    <n v="5018"/>
    <n v="120"/>
    <n v="4898"/>
    <n v="4784"/>
    <n v="114"/>
    <m/>
  </r>
  <r>
    <x v="2"/>
    <s v="Mayo"/>
    <n v="0.9594235874099355"/>
    <n v="0.96786534047436878"/>
    <n v="0.99127796738718243"/>
    <m/>
    <m/>
    <n v="5274"/>
    <n v="46"/>
    <n v="5228"/>
    <n v="5060"/>
    <n v="168"/>
    <m/>
  </r>
  <r>
    <x v="2"/>
    <s v="Junio"/>
    <n v="0.96608187134502921"/>
    <n v="0.97405660377358494"/>
    <n v="0.99181286549707603"/>
    <m/>
    <m/>
    <n v="5130"/>
    <n v="42"/>
    <n v="5088"/>
    <n v="4956"/>
    <n v="132"/>
    <m/>
  </r>
  <r>
    <x v="2"/>
    <s v="Julio"/>
    <n v="0.97600749765698225"/>
    <n v="0.9811569625023554"/>
    <n v="0.99475164011246486"/>
    <m/>
    <m/>
    <n v="5335"/>
    <n v="28"/>
    <n v="5307"/>
    <n v="5207"/>
    <n v="100"/>
    <m/>
  </r>
  <r>
    <x v="2"/>
    <s v="Agosto"/>
    <n v="0.96244955255307951"/>
    <n v="0.96925251811274071"/>
    <n v="0.99298122477627659"/>
    <m/>
    <m/>
    <n v="5699"/>
    <n v="40"/>
    <n v="5659"/>
    <n v="5485"/>
    <n v="174"/>
    <m/>
  </r>
  <r>
    <x v="2"/>
    <s v="Septiembre"/>
    <n v="0.95023440317345831"/>
    <n v="0.96626329299596625"/>
    <n v="0.98341146772448607"/>
    <m/>
    <m/>
    <n v="5546"/>
    <n v="92"/>
    <n v="5454"/>
    <n v="5270"/>
    <n v="184"/>
    <m/>
  </r>
  <r>
    <x v="2"/>
    <s v="Octubre"/>
    <n v="0.96551724137931039"/>
    <n v="0.96829971181556196"/>
    <n v="0.99712643678160917"/>
    <m/>
    <m/>
    <n v="5568"/>
    <n v="16"/>
    <n v="5552"/>
    <n v="5376"/>
    <n v="176"/>
    <m/>
  </r>
  <r>
    <x v="2"/>
    <s v="Noviembre"/>
    <n v="0.94729344729344733"/>
    <n v="0.96639418710263392"/>
    <n v="0.98023504273504269"/>
    <m/>
    <m/>
    <n v="5616"/>
    <n v="111"/>
    <n v="5505"/>
    <n v="5320"/>
    <n v="185"/>
    <m/>
  </r>
  <r>
    <x v="2"/>
    <s v="Diciembre"/>
    <n v="0.96198993851313586"/>
    <n v="0.97231638418079092"/>
    <n v="0.98937954164337616"/>
    <m/>
    <m/>
    <n v="5367"/>
    <n v="57"/>
    <n v="5310"/>
    <n v="5163"/>
    <n v="147"/>
    <m/>
  </r>
  <r>
    <x v="3"/>
    <s v="Enero"/>
    <n v="0.96473065450078965"/>
    <n v="0.97344192634560911"/>
    <n v="0.99105106158975254"/>
    <m/>
    <m/>
    <n v="5699"/>
    <n v="51"/>
    <n v="5648"/>
    <n v="5498"/>
    <n v="150"/>
    <m/>
  </r>
  <r>
    <x v="3"/>
    <s v="Febrero"/>
    <n v="0.93817104776008886"/>
    <n v="0.95948504354411213"/>
    <n v="0.97778600518326542"/>
    <m/>
    <m/>
    <n v="5402"/>
    <n v="120"/>
    <n v="5282"/>
    <n v="5068"/>
    <n v="214"/>
    <m/>
  </r>
  <r>
    <x v="3"/>
    <s v="Marzo"/>
    <n v="0.96216024160596914"/>
    <n v="0.97340043134435661"/>
    <n v="0.98845265588914555"/>
    <m/>
    <m/>
    <n v="5629"/>
    <n v="65"/>
    <n v="5564"/>
    <n v="5416"/>
    <n v="148"/>
    <m/>
  </r>
  <r>
    <x v="3"/>
    <s v="Abril"/>
    <n v="0.94949863263445766"/>
    <n v="0.96731054977711739"/>
    <n v="0.98158614402917044"/>
    <m/>
    <m/>
    <n v="5485"/>
    <n v="101"/>
    <n v="5384"/>
    <n v="5208"/>
    <n v="176"/>
    <m/>
  </r>
  <r>
    <x v="3"/>
    <s v="Mayo"/>
    <n v="0.96062433487052146"/>
    <n v="0.97340043134435661"/>
    <n v="0.98687477829017378"/>
    <m/>
    <m/>
    <n v="5638"/>
    <n v="74"/>
    <n v="5564"/>
    <n v="5416"/>
    <n v="148"/>
    <m/>
  </r>
  <r>
    <x v="3"/>
    <s v="Junio"/>
    <n v="0.95497768290316321"/>
    <n v="0.96908231587239069"/>
    <n v="0.9854453716281778"/>
    <m/>
    <m/>
    <n v="5153"/>
    <n v="75"/>
    <n v="5078"/>
    <n v="4921"/>
    <n v="157"/>
    <m/>
  </r>
  <r>
    <x v="3"/>
    <s v="Julio"/>
    <n v="0.9467234042553192"/>
    <n v="0.96730434782608699"/>
    <n v="0.97872340425531912"/>
    <m/>
    <m/>
    <n v="5875"/>
    <n v="125"/>
    <n v="5750"/>
    <n v="5562"/>
    <n v="188"/>
    <m/>
  </r>
  <r>
    <x v="3"/>
    <s v="Agosto"/>
    <n v="0.93186130757288255"/>
    <n v="0.96343855894417696"/>
    <n v="0.96722442642746254"/>
    <m/>
    <m/>
    <n v="5797"/>
    <n v="190"/>
    <n v="5607"/>
    <n v="5402"/>
    <n v="205"/>
    <m/>
  </r>
  <r>
    <x v="3"/>
    <s v="Septiembre"/>
    <n v="0.94445427206792854"/>
    <n v="0.97837639728788717"/>
    <n v="0.96532814434813374"/>
    <m/>
    <m/>
    <n v="5653"/>
    <n v="196"/>
    <n v="5457"/>
    <n v="5339"/>
    <n v="118"/>
    <m/>
  </r>
  <r>
    <x v="3"/>
    <s v="Octubre"/>
    <n v="0.93112716277507135"/>
    <n v="0.97760141093474429"/>
    <n v="0.95246094406181758"/>
    <m/>
    <m/>
    <n v="5953"/>
    <n v="283"/>
    <n v="5670"/>
    <n v="5543"/>
    <n v="127"/>
    <m/>
  </r>
  <r>
    <x v="3"/>
    <s v="Noviembre"/>
    <n v="0.94837241862093102"/>
    <n v="0.98099203475742214"/>
    <n v="0.96674833741687083"/>
    <m/>
    <m/>
    <n v="5714"/>
    <n v="190"/>
    <n v="5524"/>
    <n v="5419"/>
    <n v="105"/>
    <m/>
  </r>
  <r>
    <x v="3"/>
    <s v="Diciembre"/>
    <n v="0.88406555090655514"/>
    <n v="0.97182828669988497"/>
    <n v="0.9096931659693166"/>
    <m/>
    <m/>
    <n v="5736"/>
    <n v="518"/>
    <n v="5218"/>
    <n v="5071"/>
    <n v="147"/>
    <m/>
  </r>
  <r>
    <x v="4"/>
    <s v="Enero"/>
    <n v="0.90519148936170213"/>
    <n v="0.91737105399344487"/>
    <n v="0.98672340425531913"/>
    <m/>
    <m/>
    <n v="5875"/>
    <n v="78"/>
    <n v="5797"/>
    <n v="5318"/>
    <n v="479"/>
    <m/>
  </r>
  <r>
    <x v="4"/>
    <s v="Febrero"/>
    <n v="0.97774869109947649"/>
    <n v="0.98678996036988109"/>
    <n v="0.99083769633507857"/>
    <m/>
    <m/>
    <n v="5348"/>
    <n v="49"/>
    <n v="5299"/>
    <n v="5229"/>
    <n v="70"/>
    <m/>
  </r>
  <r>
    <x v="4"/>
    <s v="Marzo"/>
    <n v="0.9618239660657476"/>
    <n v="0.98231046931407939"/>
    <n v="0.97914457405443622"/>
    <m/>
    <m/>
    <n v="5658"/>
    <n v="118"/>
    <n v="5540"/>
    <n v="5442"/>
    <n v="98"/>
    <m/>
  </r>
  <r>
    <x v="4"/>
    <s v="Abril"/>
    <n v="0.92489640883977897"/>
    <n v="0.95134079204404187"/>
    <n v="0.97220303867403313"/>
    <m/>
    <m/>
    <n v="5792"/>
    <n v="161"/>
    <n v="5631"/>
    <n v="5357"/>
    <n v="274"/>
    <m/>
  </r>
  <r>
    <x v="4"/>
    <s v="Mayo"/>
    <n v="0.94169397964464374"/>
    <n v="0.9523726448011165"/>
    <n v="0.9887873037778161"/>
    <m/>
    <m/>
    <n v="5797"/>
    <n v="65"/>
    <n v="5732"/>
    <n v="5459"/>
    <n v="273"/>
    <m/>
  </r>
  <r>
    <x v="4"/>
    <s v="Junio"/>
    <n v="0.97023255813953491"/>
    <n v="0.98414795244385733"/>
    <n v="0.98586046511627912"/>
    <m/>
    <m/>
    <n v="5375"/>
    <n v="76"/>
    <n v="5299"/>
    <n v="5215"/>
    <n v="84"/>
    <m/>
  </r>
  <r>
    <x v="4"/>
    <s v="Julio"/>
    <n v="0.97328825021132714"/>
    <n v="0.98747855917667238"/>
    <n v="0.98562975486052407"/>
    <m/>
    <m/>
    <n v="5915"/>
    <n v="85"/>
    <n v="5830"/>
    <n v="5757"/>
    <n v="73"/>
    <m/>
  </r>
  <r>
    <x v="4"/>
    <s v="Agosto"/>
    <n v="0.9604847207586934"/>
    <n v="0.98081061692969873"/>
    <n v="0.97927643133122588"/>
    <m/>
    <m/>
    <n v="5694"/>
    <n v="118"/>
    <n v="5576"/>
    <n v="5469"/>
    <n v="107"/>
    <m/>
  </r>
  <r>
    <x v="4"/>
    <s v="Septiembre"/>
    <n v="0.97246922024623805"/>
    <n v="0.9805172413793104"/>
    <n v="0.99179206566347466"/>
    <m/>
    <m/>
    <n v="5848"/>
    <n v="48"/>
    <n v="5800"/>
    <n v="5687"/>
    <n v="113"/>
    <m/>
  </r>
  <r>
    <x v="4"/>
    <s v="Octubre"/>
    <n v="0.89430358906815932"/>
    <n v="0.92036597763470007"/>
    <n v="0.97168258149489628"/>
    <m/>
    <m/>
    <n v="6074"/>
    <n v="172"/>
    <n v="5902"/>
    <n v="5432"/>
    <n v="470"/>
    <m/>
  </r>
  <r>
    <x v="4"/>
    <s v="Noviembre"/>
    <n v="0.90632235084594837"/>
    <n v="0.93153944719018855"/>
    <n v="0.97292965271593945"/>
    <m/>
    <m/>
    <n v="5615"/>
    <n v="152"/>
    <n v="5463"/>
    <n v="5089"/>
    <n v="374"/>
    <m/>
  </r>
  <r>
    <x v="4"/>
    <s v="Diciembre"/>
    <n v="0.91245674740484428"/>
    <n v="0.95856052344601961"/>
    <n v="0.95190311418685125"/>
    <m/>
    <m/>
    <n v="5780"/>
    <n v="278"/>
    <n v="5502"/>
    <n v="5274"/>
    <n v="228"/>
    <m/>
  </r>
  <r>
    <x v="5"/>
    <s v="Enero"/>
    <n v="0.97003937681903785"/>
    <n v="0.9850486787204451"/>
    <n v="0.98476288306796778"/>
    <m/>
    <m/>
    <n v="5841"/>
    <n v="89"/>
    <n v="5752"/>
    <n v="5666"/>
    <n v="86"/>
    <m/>
  </r>
  <r>
    <x v="5"/>
    <s v="Febrero"/>
    <n v="0.91048925129725722"/>
    <n v="0.96674537583628495"/>
    <n v="0.94180874722016306"/>
    <m/>
    <m/>
    <n v="5396"/>
    <n v="314"/>
    <n v="5082"/>
    <n v="4913"/>
    <n v="169"/>
    <m/>
  </r>
  <r>
    <x v="5"/>
    <s v="Marzo"/>
    <n v="0.94415387211067991"/>
    <n v="0.96900432900432898"/>
    <n v="0.97435464822001017"/>
    <m/>
    <m/>
    <n v="5927"/>
    <n v="152"/>
    <n v="5775"/>
    <n v="5596"/>
    <n v="179"/>
    <m/>
  </r>
  <r>
    <x v="5"/>
    <s v="Abril"/>
    <n v="0.95632345202596036"/>
    <n v="0.97688586274861133"/>
    <n v="0.97895106121733033"/>
    <m/>
    <m/>
    <n v="5701"/>
    <n v="120"/>
    <n v="5581"/>
    <n v="5452"/>
    <n v="129"/>
    <m/>
  </r>
  <r>
    <x v="5"/>
    <s v="Mayo"/>
    <n v="0.94789976563908418"/>
    <n v="0.96229868228404103"/>
    <n v="0.98503695691364701"/>
    <m/>
    <m/>
    <n v="5547"/>
    <n v="83"/>
    <n v="5464"/>
    <n v="5258"/>
    <n v="206"/>
    <m/>
  </r>
  <r>
    <x v="5"/>
    <s v="Junio"/>
    <n v="0.94814548073460569"/>
    <n v="0.97069124423963138"/>
    <n v="0.97677349657904211"/>
    <m/>
    <m/>
    <n v="5554"/>
    <n v="129"/>
    <n v="5425"/>
    <n v="5266"/>
    <n v="159"/>
    <m/>
  </r>
  <r>
    <x v="5"/>
    <s v="Julio"/>
    <n v="0.96288172768685676"/>
    <n v="0.97722602739726028"/>
    <n v="0.98532141049434785"/>
    <m/>
    <m/>
    <n v="5927"/>
    <n v="87"/>
    <n v="5840"/>
    <n v="5707"/>
    <n v="133"/>
    <m/>
  </r>
  <r>
    <x v="5"/>
    <s v="Agosto"/>
    <n v="0.9561342188046138"/>
    <n v="0.97853693435879097"/>
    <n v="0.97710590702551559"/>
    <m/>
    <m/>
    <n v="5722"/>
    <n v="131"/>
    <n v="5591"/>
    <n v="5471"/>
    <n v="120"/>
    <m/>
  </r>
  <r>
    <x v="5"/>
    <s v="Septiembre"/>
    <n v="0.95384871709430186"/>
    <n v="0.97050347516528224"/>
    <n v="0.98283905364878377"/>
    <m/>
    <m/>
    <n v="6002"/>
    <n v="103"/>
    <n v="5899"/>
    <n v="5725"/>
    <n v="174"/>
    <m/>
  </r>
  <r>
    <x v="5"/>
    <s v="Octubre"/>
    <n v="0.96548849616538845"/>
    <n v="0.98269132869506193"/>
    <n v="0.9824941647215738"/>
    <m/>
    <m/>
    <n v="5998"/>
    <n v="105"/>
    <n v="5893"/>
    <n v="5791"/>
    <n v="102"/>
    <m/>
  </r>
  <r>
    <x v="5"/>
    <s v="Noviembre"/>
    <n v="0.9779411764705882"/>
    <n v="0.98332187070151311"/>
    <n v="0.99452804377564974"/>
    <m/>
    <m/>
    <n v="5848"/>
    <n v="32"/>
    <n v="5816"/>
    <n v="5719"/>
    <n v="97"/>
    <m/>
  </r>
  <r>
    <x v="5"/>
    <s v="Diciembre"/>
    <n v="0.91732748439345368"/>
    <n v="0.96709356101031663"/>
    <n v="0.94854057702041505"/>
    <m/>
    <m/>
    <n v="5927"/>
    <n v="305"/>
    <n v="5622"/>
    <n v="5437"/>
    <n v="185"/>
    <m/>
  </r>
  <r>
    <x v="6"/>
    <s v="Enero"/>
    <n v="0.96229002399725749"/>
    <n v="0.99082244969996469"/>
    <n v="0.97120329105245118"/>
    <m/>
    <m/>
    <n v="5834"/>
    <n v="168"/>
    <n v="5666"/>
    <n v="5614"/>
    <n v="52"/>
    <m/>
  </r>
  <r>
    <x v="6"/>
    <s v="Febrero"/>
    <n v="0.96585982658959535"/>
    <n v="0.97484047402005469"/>
    <n v="0.99078757225433522"/>
    <m/>
    <m/>
    <n v="5536"/>
    <n v="51"/>
    <n v="5485"/>
    <n v="5347"/>
    <n v="138"/>
    <m/>
  </r>
  <r>
    <x v="6"/>
    <s v="Marzo"/>
    <n v="0.97754611066559738"/>
    <n v="0.98513011152416352"/>
    <n v="0.99230152365677626"/>
    <m/>
    <m/>
    <n v="6235"/>
    <n v="48"/>
    <n v="6187"/>
    <n v="6095"/>
    <n v="92"/>
    <m/>
  </r>
  <r>
    <x v="6"/>
    <s v="Abril"/>
    <n v="0.97602085143353601"/>
    <n v="0.98233648128716333"/>
    <n v="0.99357080799304953"/>
    <m/>
    <m/>
    <n v="5755"/>
    <n v="37"/>
    <n v="5718"/>
    <n v="5617"/>
    <n v="101"/>
    <m/>
  </r>
  <r>
    <x v="6"/>
    <s v="Mayo"/>
    <n v="0.89208383855880824"/>
    <n v="0.90271691498685369"/>
    <n v="0.9882210289277672"/>
    <m/>
    <m/>
    <n v="5773"/>
    <n v="68"/>
    <n v="5705"/>
    <n v="5150"/>
    <n v="555"/>
    <m/>
  </r>
  <r>
    <x v="6"/>
    <s v="Junio"/>
    <n v="0.90533895328415881"/>
    <n v="0.91384506293210421"/>
    <n v="0.99069195644538111"/>
    <m/>
    <m/>
    <n v="5694"/>
    <n v="53"/>
    <n v="5641"/>
    <n v="5155"/>
    <n v="486"/>
    <m/>
  </r>
  <r>
    <x v="6"/>
    <s v="Julio"/>
    <n v="0.95841683366733466"/>
    <n v="0.96991718776406965"/>
    <n v="0.98814295257181028"/>
    <m/>
    <m/>
    <n v="5988"/>
    <n v="71"/>
    <n v="5917"/>
    <n v="5739"/>
    <n v="178"/>
    <m/>
  </r>
  <r>
    <x v="6"/>
    <s v="Agosto"/>
    <n v="0.93656149822844614"/>
    <n v="0.97539975399753998"/>
    <n v="0.96018221697317363"/>
    <m/>
    <m/>
    <n v="5927"/>
    <n v="236"/>
    <n v="5691"/>
    <n v="5551"/>
    <n v="140"/>
    <m/>
  </r>
  <r>
    <x v="6"/>
    <s v="Septiembre"/>
    <n v="0.97300899700099963"/>
    <n v="0.98465688754004388"/>
    <n v="0.98817060979673443"/>
    <m/>
    <m/>
    <n v="6002"/>
    <n v="71"/>
    <n v="5931"/>
    <n v="5840"/>
    <n v="91"/>
    <m/>
  </r>
  <r>
    <x v="6"/>
    <s v="Octubre"/>
    <n v="0.94789166952348303"/>
    <n v="0.9734201725048407"/>
    <n v="0.97377442577991091"/>
    <m/>
    <m/>
    <n v="5834"/>
    <n v="153"/>
    <n v="5681"/>
    <n v="5530"/>
    <n v="151"/>
    <m/>
  </r>
  <r>
    <x v="6"/>
    <s v="Noviembre"/>
    <n v="0.89887267904509283"/>
    <n v="0.95541850220264313"/>
    <n v="0.94081564986737398"/>
    <m/>
    <m/>
    <n v="6032"/>
    <n v="357"/>
    <n v="5675"/>
    <n v="5422"/>
    <n v="253"/>
    <m/>
  </r>
  <r>
    <x v="6"/>
    <s v="Diciembre"/>
    <n v="0.95235732009925556"/>
    <n v="0.97493649449618969"/>
    <n v="0.97684036393713813"/>
    <m/>
    <m/>
    <n v="6045"/>
    <n v="140"/>
    <n v="5905"/>
    <n v="5757"/>
    <n v="148"/>
    <m/>
  </r>
  <r>
    <x v="7"/>
    <s v="Enero"/>
    <n v="0.90221774193548387"/>
    <n v="0.97141823444283648"/>
    <n v="0.92876344086021501"/>
    <m/>
    <m/>
    <n v="5952"/>
    <n v="424"/>
    <n v="5528"/>
    <n v="5370"/>
    <n v="158"/>
    <m/>
  </r>
  <r>
    <x v="7"/>
    <s v="Febrero"/>
    <n v="0.93441491197790816"/>
    <n v="0.96557874085963968"/>
    <n v="0.96772523299965485"/>
    <m/>
    <m/>
    <n v="5794"/>
    <n v="187"/>
    <n v="5607"/>
    <n v="5414"/>
    <n v="193"/>
    <m/>
  </r>
  <r>
    <x v="7"/>
    <s v="Marzo"/>
    <n v="0.9615138933248164"/>
    <n v="0.98527245949926368"/>
    <n v="0.97588629830725004"/>
    <m/>
    <m/>
    <n v="6262"/>
    <n v="151"/>
    <n v="6111"/>
    <n v="6021"/>
    <n v="90"/>
    <m/>
  </r>
  <r>
    <x v="7"/>
    <s v="Abril"/>
    <n v="0.93221258134490237"/>
    <n v="0.96212686567164174"/>
    <n v="0.96890817064352852"/>
    <m/>
    <m/>
    <n v="5532"/>
    <n v="172"/>
    <n v="5360"/>
    <n v="5157"/>
    <n v="203"/>
    <m/>
  </r>
  <r>
    <x v="7"/>
    <s v="Mayo"/>
    <n v="0.94325997248968363"/>
    <n v="0.96178120617110796"/>
    <n v="0.98074277854195324"/>
    <m/>
    <m/>
    <n v="5816"/>
    <n v="112"/>
    <n v="5704"/>
    <n v="5486"/>
    <n v="218"/>
    <m/>
  </r>
  <r>
    <x v="7"/>
    <s v="Junio"/>
    <n v="0.90338592448147492"/>
    <n v="0.93060628195763329"/>
    <n v="0.97074986704485022"/>
    <m/>
    <m/>
    <n v="5641"/>
    <n v="165"/>
    <n v="5476"/>
    <n v="5096"/>
    <n v="380"/>
    <m/>
  </r>
  <r>
    <x v="7"/>
    <s v="Julio"/>
    <n v="0.95227505986999661"/>
    <n v="0.97376246283015566"/>
    <n v="0.97793362983236398"/>
    <m/>
    <m/>
    <n v="5846"/>
    <n v="129"/>
    <n v="5717"/>
    <n v="5567"/>
    <n v="150"/>
    <m/>
  </r>
  <r>
    <x v="7"/>
    <s v="Agosto"/>
    <n v="0.947395042994436"/>
    <n v="0.96829226262278134"/>
    <n v="0.97841847917720448"/>
    <m/>
    <m/>
    <n v="5931"/>
    <n v="128"/>
    <n v="5803"/>
    <n v="5619"/>
    <n v="184"/>
    <m/>
  </r>
  <r>
    <x v="7"/>
    <s v="Septiembre"/>
    <n v="0.91139240506329111"/>
    <n v="0.94668587896253598"/>
    <n v="0.96271891798161957"/>
    <m/>
    <m/>
    <n v="5767"/>
    <n v="215"/>
    <n v="5552"/>
    <n v="5256"/>
    <n v="296"/>
    <m/>
  </r>
  <r>
    <x v="7"/>
    <s v="Octubre"/>
    <n v="0.93273387515130557"/>
    <n v="0.97259285971871623"/>
    <n v="0.9590178108248314"/>
    <m/>
    <m/>
    <n v="5783"/>
    <n v="237"/>
    <n v="5546"/>
    <n v="5394"/>
    <n v="152"/>
    <m/>
  </r>
  <r>
    <x v="7"/>
    <s v="Noviembre"/>
    <n v="0.86431989063568015"/>
    <n v="0.92807339449541282"/>
    <n v="0.93130553656869441"/>
    <m/>
    <m/>
    <n v="5852"/>
    <n v="402"/>
    <n v="5450"/>
    <n v="5058"/>
    <n v="392"/>
    <m/>
  </r>
  <r>
    <x v="7"/>
    <s v="Diciembre"/>
    <n v="0.87189189189189187"/>
    <n v="0.93870029097963148"/>
    <n v="0.92882882882882878"/>
    <m/>
    <m/>
    <n v="5550"/>
    <n v="395"/>
    <n v="5155"/>
    <n v="4839"/>
    <n v="316"/>
    <m/>
  </r>
  <r>
    <x v="8"/>
    <s v="Enero"/>
    <n v="0.94873524451939295"/>
    <n v="0.98408256078362777"/>
    <n v="0.96408094435075886"/>
    <m/>
    <m/>
    <n v="5930"/>
    <n v="213"/>
    <n v="5717"/>
    <n v="5626"/>
    <n v="91"/>
    <m/>
  </r>
  <r>
    <x v="8"/>
    <s v="Febrero"/>
    <n v="0.95351851851851854"/>
    <n v="0.97964231354642317"/>
    <n v="0.97333333333333338"/>
    <m/>
    <m/>
    <n v="5400"/>
    <n v="144"/>
    <n v="5256"/>
    <n v="5149"/>
    <n v="107"/>
    <m/>
  </r>
  <r>
    <x v="8"/>
    <s v="Marzo"/>
    <n v="0.94877356916402467"/>
    <n v="0.96667800068004084"/>
    <n v="0.98147839145669946"/>
    <m/>
    <m/>
    <n v="5993"/>
    <n v="111"/>
    <n v="5882"/>
    <n v="5686"/>
    <n v="196"/>
    <m/>
  </r>
  <r>
    <x v="8"/>
    <s v="Abril"/>
    <n v="0.95323065364387682"/>
    <n v="0.96099223631887898"/>
    <n v="0.99192336589030805"/>
    <m/>
    <m/>
    <n v="5324"/>
    <n v="43"/>
    <n v="5281"/>
    <n v="5075"/>
    <n v="206"/>
    <m/>
  </r>
  <r>
    <x v="8"/>
    <s v="Mayo"/>
    <n v="0.93358699411968182"/>
    <n v="0.97173717371737178"/>
    <n v="0.96074022829470773"/>
    <m/>
    <m/>
    <n v="5782"/>
    <n v="227"/>
    <n v="5555"/>
    <n v="5398"/>
    <n v="157"/>
    <m/>
  </r>
  <r>
    <x v="8"/>
    <s v="Junio"/>
    <n v="0.90389749065670044"/>
    <n v="0.95147995503934057"/>
    <n v="0.94999110161950528"/>
    <m/>
    <m/>
    <n v="5619"/>
    <n v="281"/>
    <n v="5338"/>
    <n v="5079"/>
    <n v="259"/>
    <m/>
  </r>
  <r>
    <x v="8"/>
    <s v="Julio"/>
    <n v="0.8924433684938613"/>
    <n v="0.95662650602409638"/>
    <n v="0.93290679578073665"/>
    <m/>
    <m/>
    <n v="5783"/>
    <n v="388"/>
    <n v="5395"/>
    <n v="5161"/>
    <n v="234"/>
    <m/>
  </r>
  <r>
    <x v="8"/>
    <s v="Agosto"/>
    <n v="0.92596964586846542"/>
    <n v="0.94233739488587609"/>
    <n v="0.98263069139966275"/>
    <m/>
    <m/>
    <n v="5930"/>
    <n v="103"/>
    <n v="5827"/>
    <n v="5491"/>
    <n v="336"/>
    <m/>
  </r>
  <r>
    <x v="8"/>
    <s v="Septiembre"/>
    <n v="0.9662857142857143"/>
    <n v="0.97295742232451088"/>
    <n v="0.99314285714285711"/>
    <m/>
    <m/>
    <n v="5250"/>
    <n v="36"/>
    <n v="5214"/>
    <n v="5073"/>
    <n v="141"/>
    <m/>
  </r>
  <r>
    <x v="8"/>
    <s v="Octubre"/>
    <n v="0.97176470588235297"/>
    <n v="0.98028117582618224"/>
    <n v="0.99131221719457019"/>
    <m/>
    <m/>
    <n v="5525"/>
    <n v="48"/>
    <n v="5477"/>
    <n v="5369"/>
    <n v="108"/>
    <m/>
  </r>
  <r>
    <x v="8"/>
    <s v="Noviembre"/>
    <n v="0.9739970282317979"/>
    <n v="0.98073686179165886"/>
    <n v="0.99312778603268947"/>
    <m/>
    <m/>
    <n v="5384"/>
    <n v="37"/>
    <n v="5347"/>
    <n v="5244"/>
    <n v="103"/>
    <m/>
  </r>
  <r>
    <x v="8"/>
    <s v="Diciembre"/>
    <n v="0.82918487554626641"/>
    <n v="0.97891431135038132"/>
    <n v="0.84704541136234091"/>
    <m/>
    <m/>
    <n v="5263"/>
    <n v="805"/>
    <n v="4458"/>
    <n v="4364"/>
    <n v="94"/>
    <m/>
  </r>
  <r>
    <x v="9"/>
    <s v="Enero"/>
    <n v="0.86257468766974466"/>
    <n v="0.98145859085290477"/>
    <n v="0.87887017925040734"/>
    <m/>
    <m/>
    <n v="5523"/>
    <n v="669"/>
    <n v="4854"/>
    <n v="4764"/>
    <n v="90"/>
    <m/>
  </r>
  <r>
    <x v="9"/>
    <s v="Febrero"/>
    <n v="0.85046928327645055"/>
    <n v="0.99749812359269452"/>
    <n v="0.85260238907849828"/>
    <m/>
    <m/>
    <n v="4688"/>
    <n v="691"/>
    <n v="3997"/>
    <n v="3987"/>
    <n v="10"/>
    <m/>
  </r>
  <r>
    <x v="9"/>
    <s v="Marzo"/>
    <n v="0.84756470348481761"/>
    <n v="0.97812793979303858"/>
    <n v="0.86651722029753409"/>
    <m/>
    <m/>
    <n v="4907"/>
    <n v="655"/>
    <n v="4252"/>
    <n v="4159"/>
    <n v="93"/>
    <m/>
  </r>
  <r>
    <x v="9"/>
    <s v="Abril"/>
    <n v="0.80205811138014527"/>
    <n v="0.9759391112202308"/>
    <n v="0.82183212267958028"/>
    <m/>
    <m/>
    <n v="4956"/>
    <n v="883"/>
    <n v="4073"/>
    <n v="3975"/>
    <n v="98"/>
    <m/>
  </r>
  <r>
    <x v="9"/>
    <s v="Mayo"/>
    <n v="0.83179042741776643"/>
    <n v="0.9768679157992135"/>
    <n v="0.85148709868032302"/>
    <m/>
    <m/>
    <n v="5077"/>
    <n v="754"/>
    <n v="4323"/>
    <n v="4223"/>
    <n v="100"/>
    <m/>
  </r>
  <r>
    <x v="9"/>
    <s v="Junio"/>
    <n v="0.83951919021509913"/>
    <n v="0.9824777887462981"/>
    <n v="0.85449177562210032"/>
    <m/>
    <m/>
    <n v="4742"/>
    <n v="690"/>
    <n v="4052"/>
    <n v="3981"/>
    <n v="71"/>
    <m/>
  </r>
  <r>
    <x v="9"/>
    <s v="Julio"/>
    <n v="0.82247589057272186"/>
    <n v="0.9835255354200988"/>
    <n v="0.83625270616020464"/>
    <m/>
    <m/>
    <n v="5081"/>
    <n v="832"/>
    <n v="4249"/>
    <n v="4179"/>
    <n v="70"/>
    <m/>
  </r>
  <r>
    <x v="9"/>
    <s v="Agosto"/>
    <n v="0.83834586466165417"/>
    <n v="0.98764568764568761"/>
    <n v="0.84883260783537795"/>
    <m/>
    <m/>
    <n v="5054"/>
    <n v="764"/>
    <n v="4290"/>
    <n v="4237"/>
    <n v="53"/>
    <m/>
  </r>
  <r>
    <x v="9"/>
    <s v="Septiembre"/>
    <n v="0.85892028679881904"/>
    <n v="0.97885123768324922"/>
    <n v="0.87747785744411644"/>
    <m/>
    <m/>
    <n v="4742"/>
    <n v="581"/>
    <n v="4161"/>
    <n v="4073"/>
    <n v="88"/>
    <m/>
  </r>
  <r>
    <x v="9"/>
    <s v="Octubre"/>
    <n v="0.83159346070514084"/>
    <n v="0.97483260217039946"/>
    <n v="0.85306283238132752"/>
    <m/>
    <m/>
    <n v="5077"/>
    <n v="746"/>
    <n v="4331"/>
    <n v="4222"/>
    <n v="109"/>
    <m/>
  </r>
  <r>
    <x v="9"/>
    <s v="Noviembre"/>
    <n v="0.95794944483817623"/>
    <n v="0.96801145858200044"/>
    <n v="0.98960548074651544"/>
    <m/>
    <m/>
    <n v="4233"/>
    <n v="44"/>
    <n v="4189"/>
    <n v="4055"/>
    <n v="134"/>
    <m/>
  </r>
  <r>
    <x v="9"/>
    <s v="Diciembre"/>
    <n v="0.98057116104868913"/>
    <n v="0.98797169811320751"/>
    <n v="0.99250936329588013"/>
    <m/>
    <m/>
    <n v="4272"/>
    <n v="32"/>
    <n v="4240"/>
    <n v="4189"/>
    <n v="51"/>
    <m/>
  </r>
  <r>
    <x v="10"/>
    <s v="Enero"/>
    <n v="0.9850746268656716"/>
    <n v="0.99259602036094396"/>
    <n v="0.99242250287026401"/>
    <m/>
    <m/>
    <n v="4355"/>
    <n v="33"/>
    <n v="4322"/>
    <n v="4290"/>
    <n v="32"/>
    <m/>
  </r>
  <r>
    <x v="10"/>
    <s v="Febrero"/>
    <n v="0.88686868686868692"/>
    <n v="0.98375350140056017"/>
    <n v="0.90151515151515149"/>
    <m/>
    <m/>
    <n v="3960"/>
    <n v="390"/>
    <n v="3570"/>
    <n v="3512"/>
    <n v="58"/>
    <m/>
  </r>
  <r>
    <x v="10"/>
    <s v="Marzo"/>
    <n v="1.020506329113924"/>
    <n v="0.97673855100557305"/>
    <n v="1.0448101265822785"/>
    <m/>
    <m/>
    <n v="3950"/>
    <n v="0"/>
    <n v="4127"/>
    <n v="4031"/>
    <n v="96"/>
    <m/>
  </r>
  <r>
    <x v="10"/>
    <s v="Abril"/>
    <n v="0.95924170616113746"/>
    <n v="0.96958083832335329"/>
    <n v="0.98933649289099523"/>
    <m/>
    <m/>
    <n v="4220"/>
    <n v="45"/>
    <n v="4175"/>
    <n v="4048"/>
    <n v="127"/>
    <m/>
  </r>
  <r>
    <x v="10"/>
    <s v="Mayo"/>
    <n v="0.95731436193863939"/>
    <n v="0.97222849401670808"/>
    <n v="0.98465984882169855"/>
    <m/>
    <m/>
    <n v="4498"/>
    <n v="69"/>
    <n v="4429"/>
    <n v="4306"/>
    <n v="123"/>
    <m/>
  </r>
  <r>
    <x v="10"/>
    <s v="Junio"/>
    <n v="0.95317959468902869"/>
    <n v="0.96327683615819204"/>
    <n v="0.98951781970649899"/>
    <m/>
    <m/>
    <n v="4293"/>
    <n v="45"/>
    <n v="4248"/>
    <n v="4092"/>
    <n v="156"/>
    <m/>
  </r>
  <r>
    <x v="10"/>
    <s v="Julio"/>
    <n v="0.96508563899868249"/>
    <n v="0.97385331265233765"/>
    <n v="0.99099692577953447"/>
    <m/>
    <m/>
    <n v="4554"/>
    <n v="41"/>
    <n v="4513"/>
    <n v="4395"/>
    <n v="118"/>
    <m/>
  </r>
  <r>
    <x v="10"/>
    <s v="Agosto"/>
    <n v="0.98002723558783478"/>
    <n v="0.98382319434951016"/>
    <n v="0.99614162505674075"/>
    <m/>
    <m/>
    <n v="4406"/>
    <n v="17"/>
    <n v="4389"/>
    <n v="4318"/>
    <n v="71"/>
    <m/>
  </r>
  <r>
    <x v="10"/>
    <s v="Septiembre"/>
    <n v="0.96627958910227785"/>
    <n v="0.97564825253664034"/>
    <n v="0.99039749888343009"/>
    <m/>
    <m/>
    <n v="4478"/>
    <n v="43"/>
    <n v="4435"/>
    <n v="4327"/>
    <n v="108"/>
    <m/>
  </r>
  <r>
    <x v="10"/>
    <s v="Octubre"/>
    <n v="0.97870004391743526"/>
    <n v="0.98236720299757552"/>
    <n v="0.99626701800614847"/>
    <m/>
    <m/>
    <n v="4554"/>
    <n v="17"/>
    <n v="4537"/>
    <n v="4457"/>
    <n v="80"/>
    <m/>
  </r>
  <r>
    <x v="10"/>
    <s v="Noviembre"/>
    <n v="0.9676674364896074"/>
    <n v="0.97600745399487543"/>
    <n v="0.99145496535796762"/>
    <m/>
    <m/>
    <n v="4330"/>
    <n v="37"/>
    <n v="4293"/>
    <n v="4190"/>
    <n v="103"/>
    <m/>
  </r>
  <r>
    <x v="10"/>
    <s v="Diciembre"/>
    <n v="0.92490472988119254"/>
    <n v="0.95420906567992603"/>
    <n v="0.96928939699618921"/>
    <m/>
    <m/>
    <n v="4461"/>
    <n v="137"/>
    <n v="4324"/>
    <n v="4126"/>
    <n v="198"/>
    <m/>
  </r>
  <r>
    <x v="11"/>
    <s v="Enero"/>
    <n v="0.98621609604268567"/>
    <n v="0.99106344950848968"/>
    <n v="0.99510893730546912"/>
    <m/>
    <m/>
    <n v="4498"/>
    <n v="22"/>
    <n v="4476"/>
    <n v="4436"/>
    <n v="40"/>
    <m/>
  </r>
  <r>
    <x v="11"/>
    <s v="Febrero"/>
    <n v="0.98648328195399571"/>
    <n v="0.98882814357024007"/>
    <n v="0.99762864595684131"/>
    <m/>
    <m/>
    <n v="4217"/>
    <n v="10"/>
    <n v="4207"/>
    <n v="4160"/>
    <n v="47"/>
    <m/>
  </r>
  <r>
    <x v="11"/>
    <s v="Marzo"/>
    <n v="0.96478873239436624"/>
    <n v="0.97017167381974245"/>
    <n v="0.99445155783183947"/>
    <m/>
    <m/>
    <n v="4686"/>
    <n v="26"/>
    <n v="4660"/>
    <n v="4521"/>
    <n v="139"/>
    <m/>
  </r>
  <r>
    <x v="11"/>
    <s v="Abril"/>
    <n v="0.96260808600140224"/>
    <n v="0.97008949599623173"/>
    <n v="0.99228791773778924"/>
    <m/>
    <m/>
    <n v="4279"/>
    <n v="33"/>
    <n v="4246"/>
    <n v="4119"/>
    <n v="127"/>
    <m/>
  </r>
  <r>
    <x v="11"/>
    <s v="Mayo"/>
    <n v="0.95581237253568996"/>
    <n v="0.95929042528997044"/>
    <n v="0.99637434851574891"/>
    <m/>
    <m/>
    <n v="4413"/>
    <n v="16"/>
    <n v="4397"/>
    <n v="4218"/>
    <n v="179"/>
    <m/>
  </r>
  <r>
    <x v="11"/>
    <s v="Junio"/>
    <n v="0.93455201986007674"/>
    <n v="0.95129795543303464"/>
    <n v="0.98239675016926198"/>
    <m/>
    <m/>
    <n v="4431"/>
    <n v="78"/>
    <n v="4353"/>
    <n v="4141"/>
    <n v="212"/>
    <m/>
  </r>
  <r>
    <x v="11"/>
    <s v="Julio"/>
    <n v="0.97623762376237622"/>
    <n v="0.98011928429423456"/>
    <n v="0.99603960396039604"/>
    <m/>
    <m/>
    <n v="4545"/>
    <n v="18"/>
    <n v="4527"/>
    <n v="4437"/>
    <n v="90"/>
    <m/>
  </r>
  <r>
    <x v="11"/>
    <s v="Agosto"/>
    <n v="0.9755989352262644"/>
    <n v="0.9797282245488973"/>
    <n v="0.99578527062999111"/>
    <m/>
    <m/>
    <n v="4508"/>
    <n v="19"/>
    <n v="4489"/>
    <n v="4398"/>
    <n v="91"/>
    <m/>
  </r>
  <r>
    <x v="11"/>
    <s v="Septiembre"/>
    <n v="0.96266018559434374"/>
    <n v="0.97537497201701362"/>
    <n v="0.98696420680512598"/>
    <m/>
    <m/>
    <n v="4526"/>
    <n v="59"/>
    <n v="4467"/>
    <n v="4357"/>
    <n v="110"/>
    <m/>
  </r>
  <r>
    <x v="11"/>
    <s v="Octubre"/>
    <n v="0.9645023590204449"/>
    <n v="0.97546012269938653"/>
    <n v="0.98876656931026741"/>
    <m/>
    <m/>
    <n v="4451"/>
    <n v="50"/>
    <n v="4401"/>
    <n v="4293"/>
    <n v="108"/>
    <m/>
  </r>
  <r>
    <x v="11"/>
    <s v="Noviembre"/>
    <n v="0.97503314184710566"/>
    <n v="0.98328877005347592"/>
    <n v="0.99160406539991164"/>
    <m/>
    <m/>
    <n v="4526"/>
    <n v="38"/>
    <n v="4488"/>
    <n v="4413"/>
    <n v="75"/>
    <m/>
  </r>
  <r>
    <x v="11"/>
    <s v="Diciembre"/>
    <n v="0.97458369851007887"/>
    <n v="0.99086656270884388"/>
    <n v="0.98356704645048199"/>
    <m/>
    <m/>
    <n v="4564"/>
    <n v="75"/>
    <n v="4489"/>
    <n v="4448"/>
    <n v="41"/>
    <m/>
  </r>
  <r>
    <x v="12"/>
    <s v="Enero"/>
    <n v="0.97360248447204967"/>
    <n v="0.98540637629097438"/>
    <n v="0.98802129547471162"/>
    <m/>
    <m/>
    <n v="4508"/>
    <n v="54"/>
    <n v="4454"/>
    <n v="4389"/>
    <n v="119"/>
    <m/>
  </r>
  <r>
    <x v="12"/>
    <s v="Febrero"/>
    <n v="0.95984703632887192"/>
    <n v="0.9811873931101881"/>
    <n v="0.97825047801147225"/>
    <m/>
    <m/>
    <n v="4184"/>
    <n v="91"/>
    <n v="4093"/>
    <n v="4016"/>
    <n v="168"/>
    <m/>
  </r>
  <r>
    <x v="12"/>
    <s v="Marzo"/>
    <n v="0.92524989135158631"/>
    <n v="0.95793025871766024"/>
    <n v="0.96588439808778792"/>
    <m/>
    <m/>
    <n v="4602"/>
    <n v="157"/>
    <n v="4445"/>
    <n v="4258"/>
    <n v="344"/>
    <m/>
  </r>
  <r>
    <x v="12"/>
    <s v="Abril"/>
    <n v="0.86007673211464686"/>
    <n v="0.89355216881594368"/>
    <n v="0.96253667343714733"/>
    <m/>
    <m/>
    <n v="4431"/>
    <n v="166"/>
    <n v="4265"/>
    <n v="3811"/>
    <n v="620"/>
    <m/>
  </r>
  <r>
    <x v="12"/>
    <s v="Mayo"/>
    <n v="0.89815842023518966"/>
    <n v="0.9359537572254335"/>
    <n v="0.95961837142223205"/>
    <m/>
    <m/>
    <n v="4507"/>
    <n v="182"/>
    <n v="4325"/>
    <n v="4048"/>
    <n v="459"/>
    <m/>
  </r>
  <r>
    <x v="12"/>
    <s v="Junio"/>
    <n v="0.95260663507109"/>
    <n v="0.96479999999999999"/>
    <n v="0.9873617693522907"/>
    <m/>
    <m/>
    <n v="4431"/>
    <n v="56"/>
    <n v="4375"/>
    <n v="4221"/>
    <n v="210"/>
    <m/>
  </r>
  <r>
    <x v="12"/>
    <s v="Julio"/>
    <n v="0.96228926353149957"/>
    <n v="0.97879061371841158"/>
    <n v="0.98314108251996446"/>
    <m/>
    <m/>
    <n v="4508"/>
    <n v="76"/>
    <n v="4432"/>
    <n v="4338"/>
    <n v="94"/>
    <m/>
  </r>
  <r>
    <x v="12"/>
    <s v="Agosto"/>
    <n v="0.95588874402433721"/>
    <n v="0.98521836506159011"/>
    <n v="0.97023033463711428"/>
    <m/>
    <m/>
    <n v="4602"/>
    <n v="137"/>
    <n v="4465"/>
    <n v="4399"/>
    <n v="66"/>
    <m/>
  </r>
  <r>
    <x v="12"/>
    <s v="Septiembre"/>
    <n v="0.88113124171453827"/>
    <n v="0.89316909294512881"/>
    <n v="0.9865223155103845"/>
    <m/>
    <m/>
    <n v="4526"/>
    <n v="61"/>
    <n v="4465"/>
    <n v="3988"/>
    <n v="477"/>
    <m/>
  </r>
  <r>
    <x v="12"/>
    <s v="Octubre"/>
    <n v="0.91911929903392497"/>
    <n v="0.93423155971683036"/>
    <n v="0.98382385980678499"/>
    <m/>
    <m/>
    <n v="4451"/>
    <n v="72"/>
    <n v="4379"/>
    <n v="4091"/>
    <n v="288"/>
    <m/>
  </r>
  <r>
    <x v="12"/>
    <s v="Noviembre"/>
    <n v="0.94675209898364998"/>
    <n v="0.95947156291983882"/>
    <n v="0.98674326115775524"/>
    <m/>
    <m/>
    <n v="4526"/>
    <n v="60"/>
    <n v="4466"/>
    <n v="4285"/>
    <n v="181"/>
    <m/>
  </r>
  <r>
    <x v="12"/>
    <s v="Diciembre"/>
    <n v="0.94961496149614966"/>
    <n v="0.96684587813620071"/>
    <n v="0.98217821782178216"/>
    <m/>
    <m/>
    <n v="4545"/>
    <n v="81"/>
    <n v="4464"/>
    <n v="4316"/>
    <n v="148"/>
    <m/>
  </r>
  <r>
    <x v="13"/>
    <s v="Enero"/>
    <n v="0.9485118401042798"/>
    <n v="0.97455357142857146"/>
    <n v="0.97327829676298061"/>
    <m/>
    <m/>
    <n v="4603"/>
    <n v="123"/>
    <n v="4480"/>
    <n v="4366"/>
    <n v="114"/>
    <m/>
  </r>
  <r>
    <x v="13"/>
    <s v="Febrero"/>
    <n v="0.96132870599900844"/>
    <n v="0.9726611487333835"/>
    <n v="0.98834903321765"/>
    <m/>
    <m/>
    <n v="4034"/>
    <n v="47"/>
    <n v="3987"/>
    <n v="3878"/>
    <n v="109"/>
    <m/>
  </r>
  <r>
    <x v="13"/>
    <s v="Marzo"/>
    <n v="0.9235307465395961"/>
    <n v="0.9681255946717412"/>
    <n v="0.95393691853868845"/>
    <m/>
    <m/>
    <n v="4407"/>
    <n v="203"/>
    <n v="4204"/>
    <n v="4070"/>
    <n v="134"/>
    <m/>
  </r>
  <r>
    <x v="13"/>
    <s v="Abril"/>
    <n v="0.96021744502100326"/>
    <n v="0.96570576540755471"/>
    <n v="0.99431677786014327"/>
    <m/>
    <m/>
    <n v="4047"/>
    <n v="23"/>
    <n v="4024"/>
    <n v="3886"/>
    <n v="138"/>
    <m/>
  </r>
  <r>
    <x v="13"/>
    <s v="Mayo"/>
    <n v="0.94443158138457972"/>
    <n v="0.97257987601335238"/>
    <n v="0.97105811530446862"/>
    <m/>
    <m/>
    <n v="4319"/>
    <n v="125"/>
    <n v="4194"/>
    <n v="4079"/>
    <n v="115"/>
    <m/>
  </r>
  <r>
    <x v="13"/>
    <s v="Junio"/>
    <n v="0.94106553512494107"/>
    <n v="0.96169597687304265"/>
    <n v="0.97854785478547857"/>
    <m/>
    <m/>
    <n v="4242"/>
    <n v="91"/>
    <n v="4151"/>
    <n v="3992"/>
    <n v="159"/>
    <m/>
  </r>
  <r>
    <x v="13"/>
    <s v="Julio"/>
    <n v="0.94004135079255691"/>
    <n v="0.95429104477611937"/>
    <n v="0.98506776935446816"/>
    <m/>
    <m/>
    <n v="4353"/>
    <n v="65"/>
    <n v="4288"/>
    <n v="4092"/>
    <n v="196"/>
    <m/>
  </r>
  <r>
    <x v="13"/>
    <s v="Agosto"/>
    <n v="0.93802497162315546"/>
    <n v="0.95339178587909557"/>
    <n v="0.98388195232690123"/>
    <m/>
    <m/>
    <n v="4405"/>
    <n v="71"/>
    <n v="4334"/>
    <n v="4132"/>
    <n v="202"/>
    <m/>
  </r>
  <r>
    <x v="13"/>
    <s v="Septiembre"/>
    <n v="0.97146198830409358"/>
    <n v="0.98202884842752425"/>
    <n v="0.98923976608187136"/>
    <m/>
    <m/>
    <n v="4275"/>
    <n v="46"/>
    <n v="4229"/>
    <n v="4153"/>
    <n v="76"/>
    <m/>
  </r>
  <r>
    <x v="13"/>
    <s v="Octubre"/>
    <n v="0.98403147419578796"/>
    <n v="0.98929734760353649"/>
    <n v="0.99467715806526269"/>
    <m/>
    <m/>
    <n v="4321"/>
    <n v="23"/>
    <n v="4298"/>
    <n v="4252"/>
    <n v="46"/>
    <m/>
  </r>
  <r>
    <x v="13"/>
    <s v="Noviembre"/>
    <n v="0.98545034642032336"/>
    <n v="0.98864689527340133"/>
    <n v="0.99676674364896078"/>
    <m/>
    <m/>
    <n v="4330"/>
    <n v="14"/>
    <n v="4316"/>
    <n v="4267"/>
    <n v="49"/>
    <m/>
  </r>
  <r>
    <x v="13"/>
    <s v="Diciembre"/>
    <n v="0.94351364289133555"/>
    <n v="0.97622585438335807"/>
    <n v="0.96649114408808046"/>
    <m/>
    <m/>
    <n v="4178"/>
    <n v="140"/>
    <n v="4038"/>
    <n v="3942"/>
    <n v="96"/>
    <m/>
  </r>
  <r>
    <x v="14"/>
    <s v="Enero"/>
    <n v="0.97617426820966646"/>
    <n v="0.98828394210889037"/>
    <n v="0.98774676650782844"/>
    <m/>
    <m/>
    <n v="4407"/>
    <n v="54"/>
    <n v="4353"/>
    <n v="4302"/>
    <n v="51"/>
    <m/>
  </r>
  <r>
    <x v="14"/>
    <s v="Febrero"/>
    <n v="0.9825174825174825"/>
    <n v="0.9869543401906673"/>
    <n v="0.99550449550449549"/>
    <m/>
    <m/>
    <n v="4004"/>
    <n v="18"/>
    <n v="3986"/>
    <n v="3934"/>
    <n v="52"/>
    <m/>
  </r>
  <r>
    <x v="14"/>
    <s v="Marzo"/>
    <n v="0.95097594189741264"/>
    <n v="0.96100917431192656"/>
    <n v="0.98955969133000454"/>
    <m/>
    <m/>
    <n v="4406"/>
    <n v="46"/>
    <n v="4360"/>
    <n v="4190"/>
    <n v="170"/>
    <m/>
  </r>
  <r>
    <x v="14"/>
    <s v="Abril"/>
    <n v="0.92727272727272725"/>
    <n v="0.95314900153609827"/>
    <n v="0.97285180572851804"/>
    <m/>
    <m/>
    <n v="4015"/>
    <n v="109"/>
    <n v="3906"/>
    <n v="3723"/>
    <n v="183"/>
    <m/>
  </r>
  <r>
    <x v="14"/>
    <s v="Mayo"/>
    <n v="0.93287037037037035"/>
    <n v="0.95679012345679015"/>
    <n v="0.97499999999999998"/>
    <m/>
    <m/>
    <n v="4320"/>
    <n v="108"/>
    <n v="4212"/>
    <n v="4030"/>
    <n v="182"/>
    <m/>
  </r>
  <r>
    <x v="14"/>
    <s v="Junio"/>
    <n v="0.89995224450811839"/>
    <n v="0.92581675264062879"/>
    <n v="0.97206303724928367"/>
    <m/>
    <m/>
    <n v="4188"/>
    <n v="117"/>
    <n v="4071"/>
    <n v="3769"/>
    <n v="302"/>
    <m/>
  </r>
  <r>
    <x v="14"/>
    <s v="Julio"/>
    <n v="0.95395650161962053"/>
    <n v="0.96579995315062073"/>
    <n v="0.98773715872281354"/>
    <m/>
    <m/>
    <n v="4322"/>
    <n v="53"/>
    <n v="4269"/>
    <n v="4123"/>
    <n v="146"/>
    <m/>
  </r>
  <r>
    <x v="14"/>
    <s v="Agosto"/>
    <n v="0.92232361451146228"/>
    <n v="0.94893519578658114"/>
    <n v="0.97195637658580014"/>
    <m/>
    <m/>
    <n v="4493"/>
    <n v="126"/>
    <n v="4367"/>
    <n v="4144"/>
    <n v="223"/>
    <m/>
  </r>
  <r>
    <x v="14"/>
    <s v="Septiembre"/>
    <n v="0.93745523991406066"/>
    <n v="0.94946808510638303"/>
    <n v="0.98734781570780616"/>
    <m/>
    <m/>
    <n v="4189"/>
    <n v="53"/>
    <n v="4136"/>
    <n v="3927"/>
    <n v="209"/>
    <m/>
  </r>
  <r>
    <x v="14"/>
    <s v="Octubre"/>
    <n v="0.9078738370773769"/>
    <n v="0.92252709246022602"/>
    <n v="0.98411617880644431"/>
    <m/>
    <m/>
    <n v="4407"/>
    <n v="70"/>
    <n v="4337"/>
    <n v="4001"/>
    <n v="336"/>
    <m/>
  </r>
  <r>
    <x v="14"/>
    <s v="Noviembre"/>
    <n v="0.93441108545034646"/>
    <n v="0.94576905095839181"/>
    <n v="0.98799076212471126"/>
    <m/>
    <m/>
    <n v="4330"/>
    <n v="52"/>
    <n v="4278"/>
    <n v="4046"/>
    <n v="232"/>
    <m/>
  </r>
  <r>
    <x v="14"/>
    <s v="Diciembre"/>
    <n v="0.93389990557129365"/>
    <n v="0.96299902629016554"/>
    <n v="0.96978281397544852"/>
    <m/>
    <m/>
    <n v="4236"/>
    <n v="128"/>
    <n v="4108"/>
    <n v="3956"/>
    <n v="152"/>
    <m/>
  </r>
  <r>
    <x v="15"/>
    <s v="Enero"/>
    <n v="0.37448933272809803"/>
    <n v="0.94285714285714284"/>
    <n v="0.39718565592374033"/>
    <m/>
    <m/>
    <n v="4406"/>
    <n v="2656"/>
    <n v="1750"/>
    <n v="1650"/>
    <n v="100"/>
    <m/>
  </r>
  <r>
    <x v="15"/>
    <s v="Febrero"/>
    <n v="0.97120230381569472"/>
    <n v="0.9765926640926641"/>
    <n v="0.99448044156467486"/>
    <m/>
    <m/>
    <n v="4167"/>
    <n v="23"/>
    <n v="4144"/>
    <n v="4047"/>
    <n v="97"/>
    <m/>
  </r>
  <r>
    <x v="15"/>
    <s v="Marzo"/>
    <n v="0.9624242424242424"/>
    <n v="0.97327776415788181"/>
    <n v="0.98884848484848487"/>
    <m/>
    <m/>
    <n v="4125"/>
    <n v="46"/>
    <n v="4079"/>
    <n v="3970"/>
    <n v="109"/>
    <m/>
  </r>
  <r>
    <x v="15"/>
    <s v="Abril"/>
    <n v="0.91588124410933081"/>
    <n v="0.9276849642004773"/>
    <n v="0.98727615457115925"/>
    <m/>
    <m/>
    <n v="4244"/>
    <n v="54"/>
    <n v="4190"/>
    <n v="3887"/>
    <n v="303"/>
    <m/>
  </r>
  <r>
    <x v="15"/>
    <s v="Mayo"/>
    <n v="0.93083639705882348"/>
    <n v="0.94893417662215973"/>
    <n v="0.98092830882352944"/>
    <m/>
    <m/>
    <n v="4352"/>
    <n v="83"/>
    <n v="4269"/>
    <n v="4051"/>
    <n v="218"/>
    <m/>
  </r>
  <r>
    <x v="15"/>
    <s v="Junio"/>
    <n v="0.94252044252044254"/>
    <n v="0.95912873225648554"/>
    <n v="0.98268398268398272"/>
    <m/>
    <m/>
    <n v="4158"/>
    <n v="72"/>
    <n v="4086"/>
    <n v="3919"/>
    <n v="167"/>
    <m/>
  </r>
  <r>
    <x v="15"/>
    <s v="Julio"/>
    <n v="0.93816254416961131"/>
    <n v="0.94568121104185221"/>
    <n v="0.99204946996466437"/>
    <m/>
    <m/>
    <n v="4528"/>
    <n v="36"/>
    <n v="4492"/>
    <n v="4248"/>
    <n v="244"/>
    <m/>
  </r>
  <r>
    <x v="15"/>
    <s v="Agosto"/>
    <n v="0.96203100426870369"/>
    <n v="0.96702800361336949"/>
    <n v="0.99483262188272303"/>
    <m/>
    <m/>
    <n v="4451"/>
    <n v="23"/>
    <n v="4428"/>
    <n v="4282"/>
    <n v="146"/>
    <m/>
  </r>
  <r>
    <x v="15"/>
    <s v="Septiembre"/>
    <n v="0.95249668581528946"/>
    <n v="0.97247913376945638"/>
    <n v="0.97945205479452058"/>
    <m/>
    <m/>
    <n v="4526"/>
    <n v="93"/>
    <n v="4433"/>
    <n v="4311"/>
    <n v="122"/>
    <m/>
  </r>
  <r>
    <x v="15"/>
    <s v="Octubre"/>
    <n v="0.97109952194697957"/>
    <n v="0.97854171228377496"/>
    <n v="0.99239461103867888"/>
    <m/>
    <m/>
    <n v="4602"/>
    <n v="35"/>
    <n v="4567"/>
    <n v="4469"/>
    <n v="98"/>
    <m/>
  </r>
  <r>
    <x v="15"/>
    <s v="Noviembre"/>
    <n v="0.95977142857142861"/>
    <n v="0.98084559682317218"/>
    <n v="0.97851428571428567"/>
    <m/>
    <m/>
    <n v="4375"/>
    <n v="94"/>
    <n v="4281"/>
    <n v="4199"/>
    <n v="82"/>
    <m/>
  </r>
  <r>
    <x v="15"/>
    <s v="Diciembre"/>
    <n v="0.96516853932584268"/>
    <n v="0.98059360730593603"/>
    <n v="0.98426966292134832"/>
    <m/>
    <m/>
    <n v="4450"/>
    <n v="70"/>
    <n v="4380"/>
    <n v="4295"/>
    <n v="85"/>
    <m/>
  </r>
  <r>
    <x v="16"/>
    <s v="Enero"/>
    <n v="0.9866310160427807"/>
    <n v="0.98883430102724434"/>
    <n v="0.99777183600713015"/>
    <m/>
    <m/>
    <n v="4488"/>
    <n v="10"/>
    <n v="4478"/>
    <n v="4428"/>
    <n v="50"/>
    <m/>
  </r>
  <r>
    <x v="16"/>
    <s v="Febrero"/>
    <n v="0.96797323135755253"/>
    <n v="0.97519865157717311"/>
    <n v="0.99259082217973227"/>
    <m/>
    <m/>
    <n v="4184"/>
    <n v="31"/>
    <n v="4153"/>
    <n v="4050"/>
    <n v="103"/>
    <m/>
  </r>
  <r>
    <x v="16"/>
    <s v="Marzo"/>
    <n v="0.94099378881987583"/>
    <n v="0.96168669236000903"/>
    <n v="0.97848269742679683"/>
    <m/>
    <m/>
    <n v="4508"/>
    <n v="97"/>
    <n v="4411"/>
    <n v="4242"/>
    <n v="169"/>
    <m/>
  </r>
  <r>
    <x v="16"/>
    <s v="Abril"/>
    <n v="0.95272140221402213"/>
    <n v="0.97199999999999998"/>
    <n v="0.98016605166051662"/>
    <m/>
    <m/>
    <n v="4336"/>
    <n v="86"/>
    <n v="4250"/>
    <n v="4131"/>
    <n v="119"/>
    <m/>
  </r>
  <r>
    <x v="16"/>
    <s v="Mayo"/>
    <n v="0.96602387511478416"/>
    <n v="0.97588126159554733"/>
    <n v="0.98989898989898994"/>
    <m/>
    <m/>
    <n v="4356"/>
    <n v="44"/>
    <n v="4312"/>
    <n v="4208"/>
    <n v="104"/>
    <m/>
  </r>
  <r>
    <x v="16"/>
    <s v="Junio"/>
    <n v="0.98262243285939965"/>
    <n v="0.98864668483197093"/>
    <n v="0.99390656736628302"/>
    <m/>
    <m/>
    <n v="4431"/>
    <n v="27"/>
    <n v="4404"/>
    <n v="4354"/>
    <n v="50"/>
    <m/>
  </r>
  <r>
    <x v="16"/>
    <s v="Julio"/>
    <n v="0.98129353233830841"/>
    <n v="0.9848212502496505"/>
    <n v="0.99641791044776118"/>
    <m/>
    <m/>
    <n v="5025"/>
    <n v="18"/>
    <n v="5007"/>
    <n v="4931"/>
    <n v="76"/>
    <m/>
  </r>
  <r>
    <x v="16"/>
    <s v="Agosto"/>
    <n v="0.95592065718292929"/>
    <n v="0.97387221882016739"/>
    <n v="0.98156682027649766"/>
    <m/>
    <m/>
    <n v="4991"/>
    <n v="92"/>
    <n v="4899"/>
    <n v="4771"/>
    <n v="128"/>
    <m/>
  </r>
  <r>
    <x v="16"/>
    <s v="Septiembre"/>
    <n v="0.9833398667189337"/>
    <n v="0.98469087340529926"/>
    <n v="0.99862798902391214"/>
    <m/>
    <m/>
    <n v="5102"/>
    <n v="7"/>
    <n v="5095"/>
    <n v="5017"/>
    <n v="78"/>
    <m/>
  </r>
  <r>
    <x v="16"/>
    <s v="Octubre"/>
    <n v="0.96633392053239386"/>
    <n v="0.96822906452245538"/>
    <n v="0.99804266979839495"/>
    <m/>
    <m/>
    <n v="5109"/>
    <n v="10"/>
    <n v="5099"/>
    <n v="4937"/>
    <n v="162"/>
    <m/>
  </r>
  <r>
    <x v="16"/>
    <s v="Noviembre"/>
    <n v="0.961677367576244"/>
    <n v="0.97083248936601174"/>
    <n v="0.990569823434992"/>
    <m/>
    <m/>
    <n v="4984"/>
    <n v="47"/>
    <n v="4937"/>
    <n v="4793"/>
    <n v="144"/>
    <m/>
  </r>
  <r>
    <x v="16"/>
    <s v="Diciembre"/>
    <n v="0.97416896040652123"/>
    <n v="0.98501391564975382"/>
    <n v="0.98899004869786156"/>
    <m/>
    <m/>
    <n v="4723"/>
    <n v="52"/>
    <n v="4671"/>
    <n v="4601"/>
    <n v="70"/>
    <m/>
  </r>
  <r>
    <x v="17"/>
    <s v="Enero"/>
    <n v="0.98090316782745446"/>
    <n v="0.98488608166027525"/>
    <n v="0.99595596495169625"/>
    <m/>
    <m/>
    <n v="4451"/>
    <n v="18"/>
    <n v="4433"/>
    <n v="4366"/>
    <n v="67"/>
    <m/>
  </r>
  <r>
    <x v="17"/>
    <s v="Febrero"/>
    <n v="0.96088129496402874"/>
    <n v="0.97357630979498866"/>
    <n v="0.98696043165467628"/>
    <m/>
    <m/>
    <n v="4448"/>
    <n v="58"/>
    <n v="4390"/>
    <n v="4274"/>
    <n v="116"/>
    <m/>
  </r>
  <r>
    <x v="17"/>
    <s v="Marzo"/>
    <n v="0.98010814986481265"/>
    <n v="0.9840992825286019"/>
    <n v="0.9959443800695249"/>
    <m/>
    <m/>
    <n v="5178"/>
    <n v="21"/>
    <n v="5157"/>
    <n v="5075"/>
    <n v="82"/>
    <m/>
  </r>
  <r>
    <x v="17"/>
    <s v="Abril"/>
    <n v="0.97822547822547823"/>
    <n v="0.98302658486707561"/>
    <n v="0.99511599511599513"/>
    <m/>
    <m/>
    <n v="4914"/>
    <n v="24"/>
    <n v="4890"/>
    <n v="4807"/>
    <n v="83"/>
    <m/>
  </r>
  <r>
    <x v="17"/>
    <s v="Mayo"/>
    <n v="0.96951472418083784"/>
    <n v="0.97660330060580736"/>
    <n v="0.99274160099543762"/>
    <m/>
    <m/>
    <n v="4822"/>
    <n v="35"/>
    <n v="4787"/>
    <n v="4675"/>
    <n v="112"/>
    <m/>
  </r>
  <r>
    <x v="17"/>
    <s v="Junio"/>
    <n v="0.97993176801123816"/>
    <n v="0.98328634716069274"/>
    <n v="0.99658840056191045"/>
    <m/>
    <m/>
    <n v="4983"/>
    <n v="17"/>
    <n v="4966"/>
    <n v="4883"/>
    <n v="83"/>
    <m/>
  </r>
  <r>
    <x v="17"/>
    <s v="Julio"/>
    <n v="0.97201017811704837"/>
    <n v="0.98317164917838051"/>
    <n v="0.98864748483069098"/>
    <m/>
    <m/>
    <n v="5109"/>
    <n v="58"/>
    <n v="5051"/>
    <n v="4966"/>
    <n v="85"/>
    <m/>
  </r>
  <r>
    <x v="17"/>
    <s v="Agosto"/>
    <n v="0.97885375494071147"/>
    <n v="0.98293312165112123"/>
    <n v="0.99584980237154153"/>
    <m/>
    <m/>
    <n v="5060"/>
    <n v="21"/>
    <n v="5039"/>
    <n v="4953"/>
    <n v="86"/>
    <m/>
  </r>
  <r>
    <x v="17"/>
    <s v="Septiembre"/>
    <n v="0.97255978047824387"/>
    <n v="0.97927767910005925"/>
    <n v="0.99313994511956094"/>
    <m/>
    <m/>
    <n v="5102"/>
    <n v="35"/>
    <n v="5067"/>
    <n v="4962"/>
    <n v="105"/>
    <m/>
  </r>
  <r>
    <x v="17"/>
    <s v="Octubre"/>
    <n v="0.98624794745484401"/>
    <n v="0.99174406604747167"/>
    <n v="0.99445812807881773"/>
    <m/>
    <m/>
    <n v="4872"/>
    <n v="27"/>
    <n v="4845"/>
    <n v="4805"/>
    <n v="40"/>
    <m/>
  </r>
  <r>
    <x v="17"/>
    <s v="Noviembre"/>
    <n v="0.95986353602247643"/>
    <n v="0.97116751269035528"/>
    <n v="0.98836042544651814"/>
    <m/>
    <m/>
    <n v="4983"/>
    <n v="58"/>
    <n v="4925"/>
    <n v="4783"/>
    <n v="142"/>
    <m/>
  </r>
  <r>
    <x v="17"/>
    <s v="Diciembre"/>
    <n v="0.93271656854499585"/>
    <n v="0.97387486278814495"/>
    <n v="0.95773759461732544"/>
    <m/>
    <m/>
    <n v="4756"/>
    <n v="201"/>
    <n v="4555"/>
    <n v="4436"/>
    <n v="119"/>
    <m/>
  </r>
  <r>
    <x v="18"/>
    <s v="Enero"/>
    <n v="0.95141969831410822"/>
    <n v="0.96860885275519426"/>
    <n v="0.98225377107364686"/>
    <m/>
    <m/>
    <n v="4508"/>
    <n v="80"/>
    <n v="4428"/>
    <n v="4289"/>
    <n v="139"/>
    <m/>
  </r>
  <r>
    <x v="18"/>
    <s v="Febrero"/>
    <n v="0.9523703041144902"/>
    <n v="0.98156257202120301"/>
    <n v="0.97025939177101972"/>
    <m/>
    <m/>
    <n v="4472"/>
    <n v="133"/>
    <n v="4339"/>
    <n v="4259"/>
    <n v="80"/>
    <m/>
  </r>
  <r>
    <x v="18"/>
    <s v="Marzo"/>
    <n v="0.97510889856876171"/>
    <n v="0.97794882463074684"/>
    <n v="0.9970960381663555"/>
    <m/>
    <m/>
    <n v="4821"/>
    <n v="14"/>
    <n v="4807"/>
    <n v="4701"/>
    <n v="106"/>
    <m/>
  </r>
  <r>
    <x v="18"/>
    <s v="Abril"/>
    <n v="0.92596454640250259"/>
    <n v="0.93631379164909323"/>
    <n v="0.98894681960375386"/>
    <m/>
    <m/>
    <n v="4795"/>
    <n v="53"/>
    <n v="4742"/>
    <n v="4440"/>
    <n v="302"/>
    <m/>
  </r>
  <r>
    <x v="18"/>
    <s v="Mayo"/>
    <n v="0.96659418857481716"/>
    <n v="0.96870047543581617"/>
    <n v="0.99782565724451477"/>
    <m/>
    <m/>
    <n v="5059"/>
    <n v="11"/>
    <n v="5048"/>
    <n v="4890"/>
    <n v="158"/>
    <m/>
  </r>
  <r>
    <x v="18"/>
    <s v="Junio"/>
    <n v="0.96026490066225167"/>
    <n v="0.96744844318641321"/>
    <n v="0.99257475416415819"/>
    <m/>
    <m/>
    <n v="4983"/>
    <n v="37"/>
    <n v="4946"/>
    <n v="4785"/>
    <n v="161"/>
    <m/>
  </r>
  <r>
    <x v="18"/>
    <s v="Julio"/>
    <n v="0.96877470355731221"/>
    <n v="0.97397178621100733"/>
    <n v="0.99466403162055339"/>
    <m/>
    <m/>
    <n v="5060"/>
    <n v="27"/>
    <n v="5033"/>
    <n v="4902"/>
    <n v="131"/>
    <m/>
  </r>
  <r>
    <x v="18"/>
    <s v="Agosto"/>
    <n v="0.96910003862495175"/>
    <n v="0.97493685642121619"/>
    <n v="0.99401313248358436"/>
    <m/>
    <m/>
    <n v="5178"/>
    <n v="31"/>
    <n v="5147"/>
    <n v="5018"/>
    <n v="129"/>
    <m/>
  </r>
  <r>
    <x v="18"/>
    <s v="Septiembre"/>
    <n v="0.96824774598196783"/>
    <n v="0.97551342812006314"/>
    <n v="0.9925519404155233"/>
    <m/>
    <m/>
    <n v="5102"/>
    <n v="38"/>
    <n v="5064"/>
    <n v="4940"/>
    <n v="124"/>
    <m/>
  </r>
  <r>
    <x v="18"/>
    <s v="Octubre"/>
    <n v="0.98457223001402527"/>
    <n v="0.98714343109682601"/>
    <n v="0.99739531156080941"/>
    <m/>
    <m/>
    <n v="4991"/>
    <n v="13"/>
    <n v="4978"/>
    <n v="4914"/>
    <n v="64"/>
    <m/>
  </r>
  <r>
    <x v="18"/>
    <s v="Noviembre"/>
    <n v="0.97993176801123816"/>
    <n v="0.98666397251970095"/>
    <n v="0.99317680112382101"/>
    <m/>
    <m/>
    <n v="4983"/>
    <n v="34"/>
    <n v="4949"/>
    <n v="4883"/>
    <n v="66"/>
    <m/>
  </r>
  <r>
    <x v="18"/>
    <s v="Diciembre"/>
    <n v="0.96893291310220619"/>
    <n v="0.98287280200959126"/>
    <n v="0.98581719945970281"/>
    <m/>
    <m/>
    <n v="4442"/>
    <n v="63"/>
    <n v="4379"/>
    <n v="4304"/>
    <n v="75"/>
    <m/>
  </r>
  <r>
    <x v="19"/>
    <s v="Enero"/>
    <n v="0.8670432326743428"/>
    <n v="0.89064940861414865"/>
    <n v="0.97349554638279379"/>
    <m/>
    <m/>
    <n v="4603"/>
    <n v="122"/>
    <n v="4481"/>
    <n v="3991"/>
    <n v="490"/>
    <m/>
  </r>
  <r>
    <x v="19"/>
    <s v="Febrero"/>
    <n v="0.85763728657129668"/>
    <n v="0.86927034611786713"/>
    <n v="0.98661744347023539"/>
    <m/>
    <m/>
    <n v="4334"/>
    <n v="58"/>
    <n v="4276"/>
    <n v="3717"/>
    <n v="559"/>
    <m/>
  </r>
  <r>
    <x v="19"/>
    <s v="Marzo"/>
    <n v="0.82889146388567014"/>
    <n v="0.85006932065755592"/>
    <n v="0.97508690614136728"/>
    <m/>
    <m/>
    <n v="5178"/>
    <n v="129"/>
    <n v="5049"/>
    <n v="4292"/>
    <n v="757"/>
    <m/>
  </r>
  <r>
    <x v="19"/>
    <s v="Abril"/>
    <n v="0.89096094778411583"/>
    <n v="0.89627013904215402"/>
    <n v="0.99407634927599819"/>
    <m/>
    <m/>
    <n v="4558"/>
    <n v="27"/>
    <n v="4531"/>
    <n v="4061"/>
    <n v="470"/>
    <m/>
  </r>
  <r>
    <x v="19"/>
    <s v="Mayo"/>
    <n v="0.90927060683929628"/>
    <n v="0.91724825523429709"/>
    <n v="0.99130262897805888"/>
    <m/>
    <m/>
    <n v="5059"/>
    <n v="44"/>
    <n v="5015"/>
    <n v="4600"/>
    <n v="415"/>
    <m/>
  </r>
  <r>
    <x v="19"/>
    <s v="Junio"/>
    <n v="0.91575091575091572"/>
    <n v="0.91930541368743612"/>
    <n v="0.99613349613349611"/>
    <m/>
    <m/>
    <n v="4914"/>
    <n v="19"/>
    <n v="4895"/>
    <n v="4500"/>
    <n v="395"/>
    <m/>
  </r>
  <r>
    <x v="19"/>
    <s v="Julio"/>
    <n v="0.95928853754940713"/>
    <n v="0.96712492528392113"/>
    <n v="0.99189723320158107"/>
    <m/>
    <m/>
    <n v="5060"/>
    <n v="41"/>
    <n v="5019"/>
    <n v="4854"/>
    <n v="165"/>
    <m/>
  </r>
  <r>
    <x v="19"/>
    <s v="Agosto"/>
    <n v="0.97064503669370417"/>
    <n v="0.97384227862817285"/>
    <n v="0.99671687910390117"/>
    <m/>
    <m/>
    <n v="5178"/>
    <n v="17"/>
    <n v="5161"/>
    <n v="5026"/>
    <n v="135"/>
    <m/>
  </r>
  <r>
    <x v="19"/>
    <s v="Septiembre"/>
    <n v="0.95454545454545459"/>
    <n v="0.9690939881456393"/>
    <n v="0.98498748957464555"/>
    <m/>
    <m/>
    <n v="4796"/>
    <n v="72"/>
    <n v="4724"/>
    <n v="4578"/>
    <n v="146"/>
    <m/>
  </r>
  <r>
    <x v="19"/>
    <s v="Octubre"/>
    <n v="0.95828505214368487"/>
    <n v="0.97179788484136309"/>
    <n v="0.98609501738122829"/>
    <m/>
    <m/>
    <n v="5178"/>
    <n v="72"/>
    <n v="5106"/>
    <n v="4962"/>
    <n v="144"/>
    <m/>
  </r>
  <r>
    <x v="19"/>
    <s v="Noviembre"/>
    <n v="0.86293397551675699"/>
    <n v="0.94071319186173707"/>
    <n v="0.91731888420630148"/>
    <m/>
    <m/>
    <n v="4983"/>
    <n v="412"/>
    <n v="4571"/>
    <n v="4300"/>
    <n v="271"/>
    <m/>
  </r>
  <r>
    <x v="19"/>
    <s v="Diciembre"/>
    <n v="0.91099476439790572"/>
    <n v="0.95558739255014324"/>
    <n v="0.9533348508991577"/>
    <m/>
    <m/>
    <n v="4393"/>
    <n v="205"/>
    <n v="4188"/>
    <n v="4002"/>
    <n v="186"/>
    <m/>
  </r>
  <r>
    <x v="20"/>
    <s v="Enero"/>
    <n v="0.96516529842467269"/>
    <n v="0.98127678772840066"/>
    <n v="0.98358109607277566"/>
    <m/>
    <m/>
    <n v="4507"/>
    <n v="74"/>
    <n v="4433"/>
    <n v="4350"/>
    <n v="83"/>
    <m/>
  </r>
  <r>
    <x v="20"/>
    <s v="Febrero"/>
    <n v="0.90327203248149035"/>
    <n v="0.96528841245533437"/>
    <n v="0.93575352280869362"/>
    <m/>
    <m/>
    <n v="4187"/>
    <n v="269"/>
    <n v="3918"/>
    <n v="3782"/>
    <n v="136"/>
    <m/>
  </r>
  <r>
    <x v="20"/>
    <s v="Marzo"/>
    <n v="0.77565535460272306"/>
    <n v="0.84577886106802569"/>
    <n v="0.91709002235318027"/>
    <m/>
    <m/>
    <n v="4921"/>
    <n v="408"/>
    <n v="4513"/>
    <n v="3817"/>
    <n v="696"/>
    <m/>
  </r>
  <r>
    <x v="20"/>
    <s v="Abril"/>
    <n v="0.91550164473684215"/>
    <n v="0.94163670966377666"/>
    <n v="0.97224506578947367"/>
    <m/>
    <m/>
    <n v="4864"/>
    <n v="135"/>
    <n v="4729"/>
    <n v="4453"/>
    <n v="276"/>
    <m/>
  </r>
  <r>
    <x v="20"/>
    <s v="Mayo"/>
    <n v="0.92901716068642748"/>
    <n v="0.93687315634218293"/>
    <n v="0.99161466458658343"/>
    <m/>
    <m/>
    <n v="5128"/>
    <n v="43"/>
    <n v="5085"/>
    <n v="4764"/>
    <n v="321"/>
    <m/>
  </r>
  <r>
    <x v="20"/>
    <s v="Junio"/>
    <n v="0.88411374812914256"/>
    <n v="0.90699714849747748"/>
    <n v="0.97477015180671367"/>
    <m/>
    <m/>
    <n v="4677"/>
    <n v="118"/>
    <n v="4559"/>
    <n v="4135"/>
    <n v="424"/>
    <m/>
  </r>
  <r>
    <x v="20"/>
    <s v="Julio"/>
    <n v="0.90459636925453846"/>
    <n v="0.92660731948565778"/>
    <n v="0.97624565469293167"/>
    <m/>
    <m/>
    <n v="5178"/>
    <n v="123"/>
    <n v="5055"/>
    <n v="4684"/>
    <n v="371"/>
    <m/>
  </r>
  <r>
    <x v="20"/>
    <s v="Agosto"/>
    <n v="0.92190252495596003"/>
    <n v="0.93600953895071537"/>
    <n v="0.98492855744764141"/>
    <m/>
    <m/>
    <n v="5109"/>
    <n v="77"/>
    <n v="5032"/>
    <n v="4710"/>
    <n v="322"/>
    <m/>
  </r>
  <r>
    <x v="20"/>
    <s v="Septiembre"/>
    <n v="0.9079052969502408"/>
    <n v="0.928395568321707"/>
    <n v="0.9779293739967897"/>
    <m/>
    <m/>
    <n v="4984"/>
    <n v="110"/>
    <n v="4874"/>
    <n v="4525"/>
    <n v="349"/>
    <m/>
  </r>
  <r>
    <x v="20"/>
    <s v="Octubre"/>
    <n v="0.90556199304750873"/>
    <n v="0.92031403336604511"/>
    <n v="0.98397064503669374"/>
    <m/>
    <m/>
    <n v="5178"/>
    <n v="83"/>
    <n v="5095"/>
    <n v="4689"/>
    <n v="406"/>
    <m/>
  </r>
  <r>
    <x v="20"/>
    <s v="Noviembre"/>
    <n v="0.5567765567765568"/>
    <n v="0.5802757158006363"/>
    <n v="0.9595034595034595"/>
    <m/>
    <m/>
    <n v="4914"/>
    <n v="199"/>
    <n v="4715"/>
    <n v="2736"/>
    <n v="1979"/>
    <m/>
  </r>
  <r>
    <x v="20"/>
    <s v="Diciembre"/>
    <n v="0.71919278660369257"/>
    <n v="0.74676772180115913"/>
    <n v="0.96307428080721336"/>
    <m/>
    <m/>
    <n v="4658"/>
    <n v="172"/>
    <n v="4486"/>
    <n v="3350"/>
    <n v="1136"/>
    <m/>
  </r>
  <r>
    <x v="21"/>
    <s v="Enero"/>
    <n v="0.90504128639721859"/>
    <n v="0.93679712100764734"/>
    <n v="0.96610169491525422"/>
    <m/>
    <m/>
    <n v="4602"/>
    <n v="156"/>
    <n v="4446"/>
    <n v="4165"/>
    <n v="281"/>
    <m/>
  </r>
  <r>
    <x v="21"/>
    <s v="Febrero"/>
    <n v="0.87273991655076499"/>
    <n v="0.9223419892209701"/>
    <n v="0.94622160407974043"/>
    <m/>
    <m/>
    <n v="4314"/>
    <n v="232"/>
    <n v="4082"/>
    <n v="3765"/>
    <n v="317"/>
    <m/>
  </r>
  <r>
    <x v="21"/>
    <s v="Marzo"/>
    <n v="0.8835173994582205"/>
    <n v="0.94621736219593844"/>
    <n v="0.93373619504063343"/>
    <m/>
    <m/>
    <n v="4799"/>
    <n v="318"/>
    <n v="4481"/>
    <n v="4240"/>
    <n v="241"/>
    <m/>
  </r>
  <r>
    <x v="21"/>
    <s v="Abril"/>
    <n v="0.86400651465798051"/>
    <n v="0.92968236582694419"/>
    <n v="0.92935667752442996"/>
    <m/>
    <m/>
    <n v="4912"/>
    <n v="347"/>
    <n v="4565"/>
    <n v="4244"/>
    <n v="321"/>
    <m/>
  </r>
  <r>
    <x v="21"/>
    <s v="Mayo"/>
    <n v="0.82853740821591582"/>
    <n v="0.88565973695375477"/>
    <n v="0.93550307600714433"/>
    <m/>
    <m/>
    <n v="5039"/>
    <n v="325"/>
    <n v="4714"/>
    <n v="4175"/>
    <n v="539"/>
    <m/>
  </r>
  <r>
    <x v="21"/>
    <s v="Junio"/>
    <n v="0.83391003460207613"/>
    <n v="0.91084926634059582"/>
    <n v="0.91553022593120292"/>
    <m/>
    <m/>
    <n v="4913"/>
    <n v="415"/>
    <n v="4498"/>
    <n v="4097"/>
    <n v="401"/>
    <m/>
  </r>
  <r>
    <x v="21"/>
    <s v="Julio"/>
    <n v="0.84971319311663485"/>
    <n v="0.92410064462466213"/>
    <n v="0.91950286806883363"/>
    <m/>
    <m/>
    <n v="5230"/>
    <n v="421"/>
    <n v="4809"/>
    <n v="4444"/>
    <n v="365"/>
    <m/>
  </r>
  <r>
    <x v="21"/>
    <s v="Agosto"/>
    <n v="0.8256298353501289"/>
    <n v="0.92901785714285712"/>
    <n v="0.88871255703233487"/>
    <m/>
    <m/>
    <n v="5041"/>
    <n v="561"/>
    <n v="4480"/>
    <n v="4162"/>
    <n v="318"/>
    <m/>
  </r>
  <r>
    <x v="21"/>
    <s v="Septiembre"/>
    <n v="0.80791618160651923"/>
    <n v="0.87774030354131538"/>
    <n v="0.92045013581684132"/>
    <m/>
    <m/>
    <n v="5154"/>
    <n v="410"/>
    <n v="4744"/>
    <n v="4164"/>
    <n v="580"/>
    <m/>
  </r>
  <r>
    <x v="21"/>
    <s v="Octubre"/>
    <n v="0.66959847036328868"/>
    <n v="0.77272727272727271"/>
    <n v="0.86653919694072656"/>
    <m/>
    <m/>
    <n v="5230"/>
    <n v="698"/>
    <n v="4532"/>
    <n v="3502"/>
    <n v="1030"/>
    <m/>
  </r>
  <r>
    <x v="21"/>
    <s v="Noviembre"/>
    <n v="0.64760528488852187"/>
    <n v="0.71719250114311839"/>
    <n v="0.90297274979355902"/>
    <m/>
    <m/>
    <n v="4844"/>
    <n v="470"/>
    <n v="4374"/>
    <n v="3137"/>
    <n v="1237"/>
    <m/>
  </r>
  <r>
    <x v="21"/>
    <s v="Diciembre"/>
    <n v="0.77899015832263585"/>
    <n v="0.83375314861460958"/>
    <n v="0.93431750106974754"/>
    <m/>
    <m/>
    <n v="4674"/>
    <n v="307"/>
    <n v="4367"/>
    <n v="3641"/>
    <n v="726"/>
    <m/>
  </r>
  <r>
    <x v="22"/>
    <s v="Enero"/>
    <n v="0.88524955436720143"/>
    <n v="0.89886877828054301"/>
    <n v="0.98484848484848486"/>
    <m/>
    <m/>
    <n v="4488"/>
    <n v="68"/>
    <n v="4420"/>
    <n v="3973"/>
    <n v="447"/>
    <m/>
  </r>
  <r>
    <x v="22"/>
    <s v="Febrero"/>
    <n v="0.83450175262894344"/>
    <n v="0.85068912710566613"/>
    <n v="0.98097145718577872"/>
    <m/>
    <m/>
    <n v="3994"/>
    <n v="76"/>
    <n v="3918"/>
    <n v="3333"/>
    <n v="585"/>
    <m/>
  </r>
  <r>
    <x v="22"/>
    <s v="Marzo"/>
    <n v="0.72352074120867549"/>
    <n v="0.79408366073492032"/>
    <n v="0.91113918719730469"/>
    <m/>
    <m/>
    <n v="4749"/>
    <n v="422"/>
    <n v="4327"/>
    <n v="3436"/>
    <n v="891"/>
    <m/>
  </r>
  <r>
    <x v="22"/>
    <s v="Abril"/>
    <n v="0.62457191780821919"/>
    <n v="0.65869074492099322"/>
    <n v="0.94820205479452058"/>
    <m/>
    <m/>
    <n v="4672"/>
    <n v="242"/>
    <n v="4430"/>
    <n v="2918"/>
    <n v="1512"/>
    <m/>
  </r>
  <r>
    <x v="22"/>
    <s v="Mayo"/>
    <n v="0.56692242114237001"/>
    <n v="0.5997745208568207"/>
    <n v="0.94522591645353793"/>
    <m/>
    <m/>
    <n v="4692"/>
    <n v="257"/>
    <n v="4435"/>
    <n v="2660"/>
    <n v="1775"/>
    <m/>
  </r>
  <r>
    <x v="22"/>
    <s v="Junio"/>
    <n v="0.76002480363786684"/>
    <n v="0.80724478594950599"/>
    <n v="0.9415047540305912"/>
    <m/>
    <m/>
    <n v="4838"/>
    <n v="283"/>
    <n v="4555"/>
    <n v="3677"/>
    <n v="878"/>
    <m/>
  </r>
  <r>
    <x v="22"/>
    <s v="Julio"/>
    <n v="0.80044301248489735"/>
    <n v="0.84664536741214058"/>
    <n v="0.94542891663310513"/>
    <m/>
    <m/>
    <n v="4966"/>
    <n v="271"/>
    <n v="4695"/>
    <n v="3975"/>
    <n v="720"/>
    <m/>
  </r>
  <r>
    <x v="22"/>
    <s v="Agosto"/>
    <n v="0.85169756300770671"/>
    <n v="0.8590336134453781"/>
    <n v="0.9914601124765674"/>
    <m/>
    <m/>
    <n v="4801"/>
    <n v="41"/>
    <n v="4760"/>
    <n v="4089"/>
    <n v="671"/>
    <m/>
  </r>
  <r>
    <x v="22"/>
    <s v="Septiembre"/>
    <n v="0.81329243353783232"/>
    <n v="0.82923269391159304"/>
    <n v="0.98077709611451946"/>
    <m/>
    <m/>
    <n v="4890"/>
    <n v="94"/>
    <n v="4796"/>
    <n v="3977"/>
    <n v="819"/>
    <m/>
  </r>
  <r>
    <x v="22"/>
    <s v="Octubre"/>
    <n v="0.78345895294357304"/>
    <n v="0.79528535980148884"/>
    <n v="0.98512935424730086"/>
    <m/>
    <m/>
    <n v="4909"/>
    <n v="73"/>
    <n v="4836"/>
    <n v="3846"/>
    <n v="990"/>
    <m/>
  </r>
  <r>
    <x v="22"/>
    <s v="Noviembre"/>
    <n v="0.84913331906698053"/>
    <n v="0.86260869565217391"/>
    <n v="0.98437834367643917"/>
    <m/>
    <m/>
    <n v="4673"/>
    <n v="73"/>
    <n v="4600"/>
    <n v="3968"/>
    <n v="632"/>
    <m/>
  </r>
  <r>
    <x v="22"/>
    <s v="Diciembre"/>
    <n v="0.86183340678713094"/>
    <n v="0.89210766423357668"/>
    <n v="0.96606434552666376"/>
    <m/>
    <m/>
    <n v="4538"/>
    <n v="154"/>
    <n v="4384"/>
    <n v="3911"/>
    <n v="473"/>
    <m/>
  </r>
  <r>
    <x v="23"/>
    <s v="Enero"/>
    <n v="0.7818467760053921"/>
    <n v="0.8262108262108262"/>
    <n v="0.94630420130307791"/>
    <m/>
    <m/>
    <n v="4451"/>
    <n v="239"/>
    <n v="4212"/>
    <n v="3480"/>
    <n v="732"/>
    <m/>
  </r>
  <r>
    <x v="23"/>
    <s v="Febrero"/>
    <n v="0.81574539363484089"/>
    <n v="0.83288541412167116"/>
    <n v="0.97942091409428089"/>
    <m/>
    <m/>
    <n v="4179"/>
    <n v="86"/>
    <n v="4093"/>
    <n v="3409"/>
    <n v="684"/>
    <m/>
  </r>
  <r>
    <x v="23"/>
    <s v="Marzo"/>
    <n v="0.84084826024294834"/>
    <n v="0.85047896709704285"/>
    <n v="0.98867613753345684"/>
    <m/>
    <m/>
    <n v="4857"/>
    <n v="55"/>
    <n v="4802"/>
    <n v="4084"/>
    <n v="718"/>
    <m/>
  </r>
  <r>
    <x v="23"/>
    <s v="Abril"/>
    <n v="0.77912570591926378"/>
    <n v="0.79305939961677663"/>
    <n v="0.98243045387994143"/>
    <m/>
    <m/>
    <n v="4781"/>
    <n v="84"/>
    <n v="4697"/>
    <n v="3725"/>
    <n v="972"/>
    <m/>
  </r>
  <r>
    <x v="23"/>
    <s v="Mayo"/>
    <n v="0.86452542721844761"/>
    <n v="0.88811336717428091"/>
    <n v="0.97344039530574433"/>
    <m/>
    <m/>
    <n v="4857"/>
    <n v="129"/>
    <n v="4728"/>
    <n v="4199"/>
    <n v="529"/>
    <m/>
  </r>
  <r>
    <x v="23"/>
    <s v="Junio"/>
    <n v="0.86665239726027399"/>
    <n v="0.90037802979764292"/>
    <n v="0.96254280821917804"/>
    <m/>
    <m/>
    <n v="4672"/>
    <n v="175"/>
    <n v="4497"/>
    <n v="4049"/>
    <n v="448"/>
    <m/>
  </r>
  <r>
    <x v="23"/>
    <s v="Julio"/>
    <n v="0.85133712360496949"/>
    <n v="0.88275109170305677"/>
    <n v="0.96441356074963147"/>
    <m/>
    <m/>
    <n v="4749"/>
    <n v="169"/>
    <n v="4580"/>
    <n v="4043"/>
    <n v="537"/>
    <m/>
  </r>
  <r>
    <x v="23"/>
    <s v="Agosto"/>
    <n v="0.86407571486105517"/>
    <n v="0.91570635936833122"/>
    <n v="0.94361659283125254"/>
    <m/>
    <m/>
    <n v="4966"/>
    <n v="280"/>
    <n v="4686"/>
    <n v="4291"/>
    <n v="395"/>
    <m/>
  </r>
  <r>
    <x v="23"/>
    <s v="Septiembre"/>
    <n v="0.84089979550102245"/>
    <n v="0.86115183246073301"/>
    <n v="0.97648261758691202"/>
    <m/>
    <m/>
    <n v="4890"/>
    <n v="115"/>
    <n v="4775"/>
    <n v="4112"/>
    <n v="663"/>
    <m/>
  </r>
  <r>
    <x v="23"/>
    <s v="Octubre"/>
    <n v="0.84586544469902103"/>
    <n v="0.86736437419906021"/>
    <n v="0.97521349718808581"/>
    <m/>
    <m/>
    <n v="4801"/>
    <n v="119"/>
    <n v="4682"/>
    <n v="4061"/>
    <n v="621"/>
    <m/>
  </r>
  <r>
    <x v="23"/>
    <s v="Noviembre"/>
    <n v="0.86948337167956491"/>
    <n v="0.90448215839860746"/>
    <n v="0.96130516628320439"/>
    <m/>
    <m/>
    <n v="4781"/>
    <n v="185"/>
    <n v="4596"/>
    <n v="4157"/>
    <n v="439"/>
    <m/>
  </r>
  <r>
    <x v="23"/>
    <s v="Diciembre"/>
    <n v="0.85575469660980352"/>
    <n v="0.89317106152805947"/>
    <n v="0.95810839991362562"/>
    <m/>
    <m/>
    <n v="4631"/>
    <n v="194"/>
    <n v="4437"/>
    <n v="3963"/>
    <n v="474"/>
    <m/>
  </r>
  <r>
    <x v="24"/>
    <s v="Enero"/>
    <n v="0.9254671881790526"/>
    <n v="0.94749721913236928"/>
    <n v="0.97674923946110381"/>
    <m/>
    <m/>
    <n v="4602"/>
    <n v="107"/>
    <n v="4495"/>
    <n v="4259"/>
    <n v="236"/>
    <m/>
  </r>
  <r>
    <x v="24"/>
    <s v="Febrero"/>
    <n v="0.914121181772659"/>
    <n v="0.92995415180845642"/>
    <n v="0.98297446169253877"/>
    <m/>
    <m/>
    <n v="3994"/>
    <n v="68"/>
    <n v="3926"/>
    <n v="3651"/>
    <n v="275"/>
    <m/>
  </r>
  <r>
    <x v="24"/>
    <s v="Marzo"/>
    <n v="0.89790575916230364"/>
    <n v="0.9174897119341564"/>
    <n v="0.97865485300040278"/>
    <m/>
    <m/>
    <n v="4966"/>
    <n v="106"/>
    <n v="4860"/>
    <n v="4459"/>
    <n v="401"/>
    <m/>
  </r>
  <r>
    <x v="24"/>
    <s v="Abril"/>
    <n v="0.85695480473892061"/>
    <n v="0.90605427974947805"/>
    <n v="0.94580956559894691"/>
    <m/>
    <m/>
    <n v="4558"/>
    <n v="247"/>
    <n v="4311"/>
    <n v="3906"/>
    <n v="405"/>
    <m/>
  </r>
  <r>
    <x v="24"/>
    <s v="Mayo"/>
    <n v="0.89149680872966852"/>
    <n v="0.91234723978086807"/>
    <n v="0.97714638665843112"/>
    <m/>
    <m/>
    <n v="4857"/>
    <n v="111"/>
    <n v="4746"/>
    <n v="4330"/>
    <n v="416"/>
    <m/>
  </r>
  <r>
    <x v="24"/>
    <s v="Junio"/>
    <n v="0.92894903785155425"/>
    <n v="0.9425016090967604"/>
    <n v="0.98562063861281457"/>
    <m/>
    <m/>
    <n v="4729"/>
    <n v="68"/>
    <n v="4661"/>
    <n v="4393"/>
    <n v="268"/>
    <m/>
  </r>
  <r>
    <x v="24"/>
    <s v="Julio"/>
    <n v="0.9282949684253412"/>
    <n v="0.94937499999999997"/>
    <n v="0.97779588510898352"/>
    <m/>
    <m/>
    <n v="4909"/>
    <n v="109"/>
    <n v="4800"/>
    <n v="4557"/>
    <n v="243"/>
    <m/>
  </r>
  <r>
    <x v="24"/>
    <s v="Agosto"/>
    <n v="0.91784132098268223"/>
    <n v="0.92473118279569888"/>
    <n v="0.99254933548127267"/>
    <m/>
    <m/>
    <n v="4966"/>
    <n v="37"/>
    <n v="4929"/>
    <n v="4558"/>
    <n v="371"/>
    <m/>
  </r>
  <r>
    <x v="24"/>
    <s v="Septiembre"/>
    <n v="0.89613076763914756"/>
    <n v="0.90587743149968625"/>
    <n v="0.98924063728533007"/>
    <m/>
    <m/>
    <n v="4833"/>
    <n v="52"/>
    <n v="4781"/>
    <n v="4331"/>
    <n v="450"/>
    <m/>
  </r>
  <r>
    <x v="24"/>
    <s v="Octubre"/>
    <n v="0.88019761218608483"/>
    <n v="0.88916614680806816"/>
    <n v="0.98991354466858794"/>
    <m/>
    <m/>
    <n v="4858"/>
    <n v="49"/>
    <n v="4809"/>
    <n v="4276"/>
    <n v="533"/>
    <m/>
  </r>
  <r>
    <x v="24"/>
    <s v="Noviembre"/>
    <n v="0.80108763856933696"/>
    <n v="0.80955400549566692"/>
    <n v="0.9895419368332985"/>
    <m/>
    <m/>
    <n v="4781"/>
    <n v="50"/>
    <n v="4731"/>
    <n v="3830"/>
    <n v="901"/>
    <m/>
  </r>
  <r>
    <x v="24"/>
    <s v="Diciembre"/>
    <n v="0.85412075804319088"/>
    <n v="0.87831407205982326"/>
    <n v="0.97245482591449983"/>
    <m/>
    <m/>
    <n v="4538"/>
    <n v="125"/>
    <n v="4413"/>
    <n v="3876"/>
    <n v="537"/>
    <m/>
  </r>
  <r>
    <x v="25"/>
    <s v="Enero"/>
    <n v="0.92981312472837896"/>
    <n v="0.94251101321585906"/>
    <n v="0.98652759669708823"/>
    <m/>
    <m/>
    <n v="4602"/>
    <n v="62"/>
    <n v="4540"/>
    <n v="4279"/>
    <n v="261"/>
    <m/>
  </r>
  <r>
    <x v="25"/>
    <s v="Febrero"/>
    <n v="0.91451932606541131"/>
    <n v="0.92067847343477172"/>
    <n v="0.99331020812685833"/>
    <m/>
    <m/>
    <n v="4036"/>
    <n v="27"/>
    <n v="4009"/>
    <n v="3691"/>
    <n v="318"/>
    <m/>
  </r>
  <r>
    <x v="25"/>
    <s v="Marzo"/>
    <n v="0.89583333333333337"/>
    <n v="0.90507261629130709"/>
    <n v="0.98979166666666663"/>
    <m/>
    <m/>
    <n v="4800"/>
    <n v="49"/>
    <n v="4751"/>
    <n v="4300"/>
    <n v="451"/>
    <m/>
  </r>
  <r>
    <x v="25"/>
    <s v="Abril"/>
    <n v="0.85376949740034658"/>
    <n v="0.87228862328463919"/>
    <n v="0.97876949740034658"/>
    <m/>
    <m/>
    <n v="4616"/>
    <n v="98"/>
    <n v="4518"/>
    <n v="3941"/>
    <n v="577"/>
    <m/>
  </r>
  <r>
    <x v="25"/>
    <s v="Mayo"/>
    <n v="0.80317068149063209"/>
    <n v="0.84055160525748762"/>
    <n v="0.95552810376775787"/>
    <m/>
    <m/>
    <n v="4857"/>
    <n v="216"/>
    <n v="4641"/>
    <n v="3901"/>
    <n v="740"/>
    <m/>
  </r>
  <r>
    <x v="25"/>
    <s v="Junio"/>
    <n v="0.73851365657421131"/>
    <n v="0.78399640368622159"/>
    <n v="0.94198602583103963"/>
    <m/>
    <m/>
    <n v="4723"/>
    <n v="274"/>
    <n v="4449"/>
    <n v="3488"/>
    <n v="961"/>
    <m/>
  </r>
  <r>
    <x v="25"/>
    <s v="Julio"/>
    <n v="0.8670234664470976"/>
    <n v="0.88338926174496646"/>
    <n v="0.98147385755454919"/>
    <m/>
    <m/>
    <n v="4858"/>
    <n v="90"/>
    <n v="4768"/>
    <n v="4212"/>
    <n v="556"/>
    <m/>
  </r>
  <r>
    <x v="25"/>
    <s v="Agosto"/>
    <n v="0.84877164720096654"/>
    <n v="0.85531655844155841"/>
    <n v="0.99234796616995569"/>
    <m/>
    <m/>
    <n v="4966"/>
    <n v="38"/>
    <n v="4928"/>
    <n v="4215"/>
    <n v="713"/>
    <m/>
  </r>
  <r>
    <x v="25"/>
    <s v="Septiembre"/>
    <n v="0.79746031746031742"/>
    <n v="0.83547671840354765"/>
    <n v="0.95449735449735451"/>
    <m/>
    <m/>
    <n v="4725"/>
    <n v="215"/>
    <n v="4510"/>
    <n v="3768"/>
    <n v="742"/>
    <m/>
  </r>
  <r>
    <x v="25"/>
    <s v="Octubre"/>
    <n v="0.81071284736206206"/>
    <n v="0.84704397222806649"/>
    <n v="0.95710833668948847"/>
    <m/>
    <m/>
    <n v="4966"/>
    <n v="213"/>
    <n v="4753"/>
    <n v="4026"/>
    <n v="727"/>
    <m/>
  </r>
  <r>
    <x v="25"/>
    <s v="Noviembre"/>
    <n v="0.77640660949592133"/>
    <n v="0.82838652086587816"/>
    <n v="0.93725162099979087"/>
    <m/>
    <m/>
    <n v="4781"/>
    <n v="300"/>
    <n v="4481"/>
    <n v="3712"/>
    <n v="769"/>
    <m/>
  </r>
  <r>
    <x v="25"/>
    <s v="Diciembre"/>
    <n v="0.82092772384034518"/>
    <n v="0.86694007746639323"/>
    <n v="0.94692556634304204"/>
    <m/>
    <m/>
    <n v="4635"/>
    <n v="246"/>
    <n v="4389"/>
    <n v="3805"/>
    <n v="584"/>
    <m/>
  </r>
  <r>
    <x v="26"/>
    <s v="Enero"/>
    <n v="0.91945227547321784"/>
    <n v="0.93815492089582908"/>
    <n v="0.98006443817962141"/>
    <m/>
    <m/>
    <n v="4966"/>
    <n v="99"/>
    <n v="4867"/>
    <n v="4566"/>
    <n v="301"/>
    <m/>
  </r>
  <r>
    <x v="26"/>
    <s v="Febrero"/>
    <n v="0.90309734513274331"/>
    <n v="0.91504147052230445"/>
    <n v="0.98694690265486729"/>
    <m/>
    <m/>
    <n v="4520"/>
    <n v="59"/>
    <n v="4461"/>
    <n v="4082"/>
    <n v="379"/>
    <m/>
  </r>
  <r>
    <x v="26"/>
    <s v="Marzo"/>
    <n v="0.84694095075676823"/>
    <n v="0.86765669360122299"/>
    <n v="0.97612449371136223"/>
    <m/>
    <m/>
    <n v="4691"/>
    <n v="112"/>
    <n v="4579"/>
    <n v="3973"/>
    <n v="606"/>
    <m/>
  </r>
  <r>
    <x v="26"/>
    <s v="Abril"/>
    <n v="0.82426868905742146"/>
    <n v="0.83751651254953763"/>
    <n v="0.98418201516793069"/>
    <m/>
    <m/>
    <n v="4615"/>
    <n v="73"/>
    <n v="4542"/>
    <n v="3804"/>
    <n v="738"/>
    <m/>
  </r>
  <r>
    <x v="26"/>
    <s v="Mayo"/>
    <n v="0.74501424501424507"/>
    <n v="0.79604261796042619"/>
    <n v="0.9358974358974359"/>
    <m/>
    <m/>
    <n v="4914"/>
    <n v="315"/>
    <n v="4599"/>
    <n v="3661"/>
    <n v="938"/>
    <m/>
  </r>
  <r>
    <x v="26"/>
    <s v="Junio"/>
    <n v="0.79321056134901269"/>
    <n v="0.81213084961381188"/>
    <n v="0.97670290658974923"/>
    <m/>
    <m/>
    <n v="4507"/>
    <n v="105"/>
    <n v="4402"/>
    <n v="3575"/>
    <n v="827"/>
    <m/>
  </r>
  <r>
    <x v="26"/>
    <s v="Julio"/>
    <n v="0.85740476675493993"/>
    <n v="0.86604938271604937"/>
    <n v="0.99001833367284575"/>
    <n v="185"/>
    <n v="6"/>
    <n v="4909"/>
    <n v="49"/>
    <n v="4860"/>
    <n v="4209"/>
    <n v="651"/>
    <m/>
  </r>
  <r>
    <x v="26"/>
    <s v="Agosto"/>
    <n v="0.87003463027093098"/>
    <n v="0.8916492693110647"/>
    <n v="0.97575881034833978"/>
    <n v="185"/>
    <n v="6"/>
    <n v="4909"/>
    <n v="119"/>
    <n v="4790"/>
    <n v="4271"/>
    <n v="519"/>
    <m/>
  </r>
  <r>
    <x v="26"/>
    <s v="Septiembre"/>
    <n v="0.91718946047678795"/>
    <n v="0.92648922686945501"/>
    <n v="0.9899623588456713"/>
    <n v="185"/>
    <n v="6"/>
    <n v="4782"/>
    <n v="48"/>
    <n v="4734"/>
    <n v="4386"/>
    <n v="348"/>
    <m/>
  </r>
  <r>
    <x v="26"/>
    <s v="Octubre"/>
    <n v="0.85521546516310909"/>
    <n v="0.9111778588285776"/>
    <n v="0.93858236004832862"/>
    <n v="185"/>
    <n v="6"/>
    <n v="4966"/>
    <n v="305"/>
    <n v="4661"/>
    <n v="4247"/>
    <n v="414"/>
    <m/>
  </r>
  <r>
    <x v="26"/>
    <s v="Noviembre"/>
    <n v="0.78302286198137172"/>
    <n v="0.90043816942551125"/>
    <n v="0.86960203217612198"/>
    <n v="185"/>
    <n v="6"/>
    <n v="4724"/>
    <n v="616"/>
    <n v="4108"/>
    <n v="3699"/>
    <n v="409"/>
    <m/>
  </r>
  <r>
    <x v="26"/>
    <s v="Diciembre"/>
    <n v="0.84081804764916723"/>
    <n v="0.9167816091954023"/>
    <n v="0.91714104996837442"/>
    <n v="185"/>
    <n v="6"/>
    <n v="4743"/>
    <n v="393"/>
    <n v="4350"/>
    <n v="3988"/>
    <n v="362"/>
    <m/>
  </r>
  <r>
    <x v="27"/>
    <s v="Enero"/>
    <n v="0.94703987112364074"/>
    <n v="0.95376191441898195"/>
    <n v="0.99295207410390651"/>
    <n v="185"/>
    <n v="6"/>
    <n v="4966"/>
    <n v="35"/>
    <n v="4931"/>
    <n v="4703"/>
    <n v="228"/>
    <m/>
  </r>
  <r>
    <x v="27"/>
    <s v="Febrero"/>
    <n v="0.93860045146726867"/>
    <n v="0.94866529774127306"/>
    <n v="0.98939051918735887"/>
    <n v="185"/>
    <n v="6"/>
    <n v="4430"/>
    <n v="47"/>
    <n v="4383"/>
    <n v="4158"/>
    <n v="225"/>
    <m/>
  </r>
  <r>
    <x v="27"/>
    <s v="Marzo"/>
    <n v="0.93258426966292129"/>
    <n v="0.96098665995469423"/>
    <n v="0.97044455300439669"/>
    <n v="185"/>
    <n v="6"/>
    <n v="4094"/>
    <n v="121"/>
    <n v="3973"/>
    <n v="3818"/>
    <n v="155"/>
    <m/>
  </r>
  <r>
    <x v="27"/>
    <s v="Abril"/>
    <n v="0.95729435368300375"/>
    <n v="0.98758131283264339"/>
    <n v="0.96933218687302947"/>
    <n v="185"/>
    <n v="6"/>
    <n v="3489"/>
    <n v="107"/>
    <n v="3382"/>
    <n v="3340"/>
    <n v="42"/>
    <m/>
  </r>
  <r>
    <x v="27"/>
    <s v="Mayo"/>
    <n v="0.93737463784265651"/>
    <n v="0.98964705882352944"/>
    <n v="0.947180744372632"/>
    <n v="185"/>
    <n v="6"/>
    <n v="4487"/>
    <n v="237"/>
    <n v="4250"/>
    <n v="4206"/>
    <n v="44"/>
    <m/>
  </r>
  <r>
    <x v="27"/>
    <s v="Junio"/>
    <n v="0.91330090928314656"/>
    <n v="0.99014213663457129"/>
    <n v="0.92239374074857261"/>
    <n v="185"/>
    <n v="6"/>
    <n v="4729"/>
    <n v="367"/>
    <n v="4362"/>
    <n v="4319"/>
    <n v="43"/>
    <m/>
  </r>
  <r>
    <x v="27"/>
    <s v="Julio"/>
    <n v="0.84887790817376985"/>
    <n v="0.97309417040358748"/>
    <n v="0.87234918674078654"/>
    <n v="185"/>
    <n v="6"/>
    <n v="4857"/>
    <n v="620"/>
    <n v="4237"/>
    <n v="4123"/>
    <n v="114"/>
    <m/>
  </r>
  <r>
    <x v="27"/>
    <s v="Agosto"/>
    <n v="0.92439075192668196"/>
    <n v="0.9842537147926369"/>
    <n v="0.93917933763799211"/>
    <n v="185"/>
    <n v="6"/>
    <n v="4801"/>
    <n v="292"/>
    <n v="4509"/>
    <n v="4438"/>
    <n v="71"/>
    <m/>
  </r>
  <r>
    <x v="27"/>
    <s v="Septiembre"/>
    <n v="0.92106339468302656"/>
    <n v="0.98469610843900302"/>
    <n v="0.93537832310838442"/>
    <n v="185"/>
    <n v="6"/>
    <n v="4890"/>
    <n v="316"/>
    <n v="4574"/>
    <n v="4504"/>
    <n v="70"/>
    <m/>
  </r>
  <r>
    <x v="27"/>
    <s v="Octubre"/>
    <n v="0.92198003666734574"/>
    <n v="0.98434101783384076"/>
    <n v="0.93664697494398041"/>
    <n v="185"/>
    <n v="6"/>
    <n v="4909"/>
    <n v="311"/>
    <n v="4598"/>
    <n v="4526"/>
    <n v="72"/>
    <m/>
  </r>
  <r>
    <x v="27"/>
    <s v="Noviembre"/>
    <n v="0.92017975604536695"/>
    <n v="0.98398169336384445"/>
    <n v="0.93515942649261719"/>
    <n v="185"/>
    <n v="6"/>
    <n v="4673"/>
    <n v="303"/>
    <n v="4370"/>
    <n v="4300"/>
    <n v="70"/>
    <m/>
  </r>
  <r>
    <x v="27"/>
    <s v="Diciembre"/>
    <n v="0.8642641346568839"/>
    <n v="0.93881856540084385"/>
    <n v="0.92058696590418643"/>
    <n v="185"/>
    <n v="6"/>
    <n v="4634"/>
    <n v="368"/>
    <n v="4266"/>
    <n v="4005"/>
    <n v="261"/>
    <m/>
  </r>
  <r>
    <x v="28"/>
    <s v="Enero"/>
    <n v="0.86711101853780459"/>
    <n v="0.9329896907216495"/>
    <n v="0.92938971047698393"/>
    <n v="185"/>
    <n v="6"/>
    <n v="4801"/>
    <n v="339"/>
    <n v="4462"/>
    <n v="4163"/>
    <n v="299"/>
    <m/>
  </r>
  <r>
    <x v="28"/>
    <s v="Febrero"/>
    <n v="0.79056252905625291"/>
    <n v="0.87272260713369254"/>
    <n v="0.90585774058577406"/>
    <n v="185"/>
    <n v="6"/>
    <n v="4302"/>
    <n v="405"/>
    <n v="3897"/>
    <n v="3401"/>
    <n v="496"/>
    <m/>
  </r>
  <r>
    <x v="28"/>
    <s v="Marzo"/>
    <n v="0.74466371325010072"/>
    <n v="0.82031943212067437"/>
    <n v="0.9077728554168345"/>
    <n v="185"/>
    <n v="6"/>
    <n v="4966"/>
    <n v="458"/>
    <n v="4508"/>
    <n v="3698"/>
    <n v="810"/>
    <m/>
  </r>
  <r>
    <x v="28"/>
    <s v="Abril"/>
    <n v="0.5355630821337849"/>
    <n v="0.59029398040130654"/>
    <n v="0.90728196443691789"/>
    <n v="185"/>
    <n v="6"/>
    <n v="4724"/>
    <n v="438"/>
    <n v="4286"/>
    <n v="2530"/>
    <n v="1756"/>
    <m/>
  </r>
  <r>
    <x v="28"/>
    <s v="Mayo"/>
    <n v="0.68017241379310345"/>
    <n v="0.76434972148219904"/>
    <n v="0.88987068965517246"/>
    <n v="185"/>
    <n v="6"/>
    <n v="4640"/>
    <n v="511"/>
    <n v="4129"/>
    <n v="3156"/>
    <n v="973"/>
    <m/>
  </r>
  <r>
    <x v="28"/>
    <s v="Junio"/>
    <n v="0.66338912133891215"/>
    <n v="0.72596153846153844"/>
    <n v="0.9138075313807531"/>
    <n v="185"/>
    <n v="6"/>
    <n v="4780"/>
    <n v="412"/>
    <n v="4368"/>
    <n v="3171"/>
    <n v="1197"/>
    <m/>
  </r>
  <r>
    <x v="28"/>
    <s v="Julio"/>
    <n v="0.61254838052556526"/>
    <n v="0.71323529411764708"/>
    <n v="0.8588307190873905"/>
    <n v="185"/>
    <n v="6"/>
    <n v="4909"/>
    <n v="693"/>
    <n v="4216"/>
    <n v="3007"/>
    <n v="1209"/>
    <m/>
  </r>
  <r>
    <x v="28"/>
    <s v="Agosto"/>
    <n v="0.48888431453272951"/>
    <n v="0.60850627722264927"/>
    <n v="0.80341704405104986"/>
    <n v="185"/>
    <n v="6"/>
    <n v="4858"/>
    <n v="955"/>
    <n v="3903"/>
    <n v="2375"/>
    <n v="1528"/>
    <m/>
  </r>
  <r>
    <x v="28"/>
    <s v="Septiembre"/>
    <n v="0.70208459825946168"/>
    <n v="0.767817618415228"/>
    <n v="0.91438979963570133"/>
    <n v="185"/>
    <n v="6"/>
    <n v="4941"/>
    <n v="423"/>
    <n v="4518"/>
    <n v="3469"/>
    <n v="1049"/>
    <m/>
  </r>
  <r>
    <x v="28"/>
    <s v="Octubre"/>
    <n v="0.80285592497868707"/>
    <n v="0.8768621973929237"/>
    <n v="0.9156010230179028"/>
    <n v="185"/>
    <n v="6"/>
    <n v="4692"/>
    <n v="396"/>
    <n v="4296"/>
    <n v="3767"/>
    <n v="529"/>
    <m/>
  </r>
  <r>
    <x v="28"/>
    <s v="Noviembre"/>
    <n v="0.75732217573221761"/>
    <n v="0.84817244611059039"/>
    <n v="0.89288702928870289"/>
    <n v="185"/>
    <n v="6"/>
    <n v="4780"/>
    <n v="512"/>
    <n v="4268"/>
    <n v="3620"/>
    <n v="648"/>
    <m/>
  </r>
  <r>
    <x v="28"/>
    <s v="Diciembre"/>
    <n v="0.77749999999999997"/>
    <n v="0.83921744996626935"/>
    <n v="0.92645833333333338"/>
    <n v="185"/>
    <n v="6"/>
    <n v="4800"/>
    <n v="353"/>
    <n v="4447"/>
    <n v="3732"/>
    <n v="715"/>
    <m/>
  </r>
  <r>
    <x v="29"/>
    <s v="Enero"/>
    <n v="0.81226842321943182"/>
    <n v="0.8827740492170022"/>
    <n v="0.92013174145738985"/>
    <n v="185"/>
    <n v="6"/>
    <n v="4858"/>
    <n v="388"/>
    <n v="4470"/>
    <n v="3946"/>
    <n v="524"/>
    <m/>
  </r>
  <r>
    <x v="29"/>
    <s v="Febrero"/>
    <n v="0.75153026524597599"/>
    <n v="0.81710623613507516"/>
    <n v="0.91974608932214919"/>
    <n v="185"/>
    <n v="6"/>
    <n v="4411"/>
    <n v="354"/>
    <n v="4057"/>
    <n v="3315"/>
    <n v="742"/>
    <m/>
  </r>
  <r>
    <x v="29"/>
    <s v="Marzo"/>
    <n v="0.84105414865143091"/>
    <n v="0.87007454739084134"/>
    <n v="0.96664607782581846"/>
    <n v="185"/>
    <n v="6"/>
    <n v="4857"/>
    <n v="162"/>
    <n v="4695"/>
    <n v="4085"/>
    <n v="610"/>
    <m/>
  </r>
  <r>
    <x v="29"/>
    <s v="Abril"/>
    <n v="0.76099674972914411"/>
    <n v="0.77459197176885752"/>
    <n v="0.98244853737811488"/>
    <n v="185"/>
    <n v="6"/>
    <n v="4615"/>
    <n v="81"/>
    <n v="4534"/>
    <n v="3512"/>
    <n v="1022"/>
    <m/>
  </r>
  <r>
    <x v="29"/>
    <s v="Mayo"/>
    <n v="0.61541701769165968"/>
    <n v="0.62811693895098886"/>
    <n v="0.97978096040438079"/>
    <n v="185"/>
    <n v="6"/>
    <n v="4748"/>
    <n v="96"/>
    <n v="4652"/>
    <n v="2922"/>
    <n v="1730"/>
    <m/>
  </r>
  <r>
    <x v="29"/>
    <s v="Junio"/>
    <n v="0.81913527397260277"/>
    <n v="0.83177570093457942"/>
    <n v="0.98480308219178081"/>
    <n v="185"/>
    <n v="6"/>
    <n v="4672"/>
    <n v="71"/>
    <n v="4601"/>
    <n v="3827"/>
    <n v="774"/>
    <m/>
  </r>
  <r>
    <x v="29"/>
    <s v="Julio"/>
    <n v="0.85940716344174561"/>
    <n v="0.877838519764508"/>
    <n v="0.97900370522848912"/>
    <n v="185"/>
    <n v="6"/>
    <n v="4858"/>
    <n v="102"/>
    <n v="4756"/>
    <n v="4175"/>
    <n v="581"/>
    <m/>
  </r>
  <r>
    <x v="29"/>
    <s v="Agosto"/>
    <n v="0.87797019734192505"/>
    <n v="0.89841335256542343"/>
    <n v="0.97724526782118404"/>
    <n v="185"/>
    <n v="6"/>
    <n v="4966"/>
    <n v="113"/>
    <n v="4853"/>
    <n v="4360"/>
    <n v="493"/>
    <m/>
  </r>
  <r>
    <x v="29"/>
    <s v="Septiembre"/>
    <n v="0.91799591002044989"/>
    <n v="0.94346364018495166"/>
    <n v="0.9730061349693252"/>
    <n v="185"/>
    <n v="6"/>
    <n v="4890"/>
    <n v="132"/>
    <n v="4758"/>
    <n v="4489"/>
    <n v="269"/>
    <m/>
  </r>
  <r>
    <x v="29"/>
    <s v="Octubre"/>
    <n v="0.92050298380221651"/>
    <n v="0.94363119947563912"/>
    <n v="0.97549019607843135"/>
    <n v="185"/>
    <n v="6"/>
    <n v="4692"/>
    <n v="115"/>
    <n v="4577"/>
    <n v="4319"/>
    <n v="258"/>
    <m/>
  </r>
  <r>
    <x v="29"/>
    <s v="Noviembre"/>
    <n v="0.85585774058577402"/>
    <n v="0.91500782822634752"/>
    <n v="0.93535564853556485"/>
    <n v="185"/>
    <n v="6"/>
    <n v="4780"/>
    <n v="309"/>
    <n v="4471"/>
    <n v="4091"/>
    <n v="380"/>
    <m/>
  </r>
  <r>
    <x v="29"/>
    <s v="Diciembre"/>
    <n v="0.9390191897654584"/>
    <n v="0.96073298429319376"/>
    <n v="0.97739872068230282"/>
    <n v="185"/>
    <n v="6"/>
    <n v="4690"/>
    <n v="106"/>
    <n v="4584"/>
    <n v="4404"/>
    <n v="180"/>
    <m/>
  </r>
  <r>
    <x v="30"/>
    <s v="Enero"/>
    <n v="0.64478453483689091"/>
    <n v="0.6841880341880342"/>
    <n v="0.94240837696335078"/>
    <n v="185"/>
    <n v="6"/>
    <n v="4966"/>
    <n v="286"/>
    <n v="4680"/>
    <n v="3202"/>
    <n v="1478"/>
    <s v="Se produjeron mayores atrasos a causa de precauciones por el estado de la vía y/o infraestructura."/>
  </r>
  <r>
    <x v="30"/>
    <s v="Febrero"/>
    <n v="0.42980009298000932"/>
    <n v="0.45575548434804042"/>
    <n v="0.94304974430497446"/>
    <n v="185"/>
    <n v="6"/>
    <n v="4302"/>
    <n v="245"/>
    <n v="4057"/>
    <n v="1849"/>
    <n v="2208"/>
    <s v="Se produjeron mayores atrasos a causa de precauciones por el estado de la vía y/o infraestructura."/>
  </r>
  <r>
    <x v="30"/>
    <s v="Marzo"/>
    <n v="0.53161498187676193"/>
    <n v="0.55991516436903499"/>
    <n v="0.94945630285944427"/>
    <n v="185"/>
    <n v="6"/>
    <n v="4966"/>
    <n v="251"/>
    <n v="4715"/>
    <n v="2640"/>
    <n v="2075"/>
    <s v="Se produjeron mayores atrasos a causa de precauciones por el estado de la vía y/o infraestructura."/>
  </r>
  <r>
    <x v="30"/>
    <s v="Abril"/>
    <n v="0.63010092145677932"/>
    <n v="0.6452482588182431"/>
    <n v="0.97652479157525229"/>
    <n v="185"/>
    <n v="6"/>
    <n v="4558"/>
    <n v="107"/>
    <n v="4451"/>
    <n v="2872"/>
    <n v="1579"/>
    <s v="Se produjeron mayores atrasos a causa de precauciones por el estado de la vía y/o infraestructura."/>
  </r>
  <r>
    <x v="30"/>
    <s v="Mayo"/>
    <n v="0.73315080033698399"/>
    <n v="0.74828030954428204"/>
    <n v="0.97978096040438079"/>
    <n v="185"/>
    <n v="6"/>
    <n v="4748"/>
    <n v="96"/>
    <n v="4652"/>
    <n v="3481"/>
    <n v="1171"/>
    <s v="Se produjeron mayores atrasos a causa de precauciones por el estado de la vía y/o infraestructura."/>
  </r>
  <r>
    <x v="30"/>
    <s v="Junio"/>
    <n v="0.78441558441558445"/>
    <n v="0.80856760374832659"/>
    <n v="0.97012987012987018"/>
    <n v="185"/>
    <n v="6"/>
    <n v="4620"/>
    <n v="138"/>
    <n v="4482"/>
    <n v="3624"/>
    <n v="858"/>
    <s v="Se produjeron mayores atrasos a causa de precauciones por el estado de la vía y/o infraestructura."/>
  </r>
  <r>
    <x v="30"/>
    <s v="Julio"/>
    <n v="0.8017926257893665"/>
    <n v="0.82085505735140774"/>
    <n v="0.97677734772866165"/>
    <n v="185"/>
    <n v="6"/>
    <n v="4909"/>
    <n v="114"/>
    <n v="4795"/>
    <n v="3936"/>
    <n v="859"/>
    <s v="Se produjeron mayores atrasos a causa de precauciones por el estado de la vía y/o infraestructura."/>
  </r>
  <r>
    <x v="30"/>
    <s v="Agosto"/>
    <n v="0.84313334662148698"/>
    <n v="0.8636178031849735"/>
    <n v="0.97628064580426555"/>
    <n v="185"/>
    <n v="6"/>
    <n v="5017"/>
    <n v="119"/>
    <n v="4898"/>
    <n v="4230"/>
    <n v="668"/>
    <m/>
  </r>
  <r>
    <x v="30"/>
    <s v="Septiembre"/>
    <n v="0.861576660459342"/>
    <n v="0.8816430235020114"/>
    <n v="0.97723980964204427"/>
    <n v="185"/>
    <n v="6"/>
    <n v="4833"/>
    <n v="110"/>
    <n v="4723"/>
    <n v="4164"/>
    <n v="559"/>
    <m/>
  </r>
  <r>
    <x v="30"/>
    <s v="Octubre"/>
    <n v="0.87541666666666662"/>
    <n v="0.89920821741921675"/>
    <n v="0.97354166666666664"/>
    <n v="185"/>
    <n v="6"/>
    <n v="4800"/>
    <n v="127"/>
    <n v="4673"/>
    <n v="4202"/>
    <n v="471"/>
    <m/>
  </r>
  <r>
    <x v="30"/>
    <s v="Noviembre"/>
    <n v="0.89217715231788075"/>
    <n v="0.92391770252893268"/>
    <n v="0.96564569536423839"/>
    <n v="185"/>
    <n v="6"/>
    <n v="4832"/>
    <n v="166"/>
    <n v="4666"/>
    <n v="4311"/>
    <n v="355"/>
    <m/>
  </r>
  <r>
    <x v="30"/>
    <s v="Diciembre"/>
    <n v="0.81754076685764654"/>
    <n v="0.88480801335559267"/>
    <n v="0.92397531952401935"/>
    <n v="185"/>
    <n v="6"/>
    <n v="4538"/>
    <n v="345"/>
    <n v="4193"/>
    <n v="3710"/>
    <n v="483"/>
    <m/>
  </r>
  <r>
    <x v="31"/>
    <s v="Enero"/>
    <n v="0.88222511951325511"/>
    <n v="0.92503987240829344"/>
    <n v="0.95371577574967403"/>
    <n v="171"/>
    <n v="6"/>
    <n v="4602"/>
    <n v="213"/>
    <n v="4389"/>
    <n v="4060"/>
    <n v="329"/>
    <s v="A partir del 18-12-2023, entra en vigencia un nuevo itinerario de trenes:_x000a_De Lunes a Viernes 171 trenes, sábados 114 trenes y domingos/feriados 77 trenes."/>
  </r>
  <r>
    <x v="31"/>
    <s v="Febrero"/>
    <n v="0.73650107991360692"/>
    <n v="0.79921874999999998"/>
    <n v="0.9215262778977682"/>
    <n v="171"/>
    <n v="6"/>
    <n v="4167"/>
    <n v="327"/>
    <n v="3840"/>
    <n v="3069"/>
    <n v="771"/>
    <m/>
  </r>
  <r>
    <x v="31"/>
    <s v="Marzo"/>
    <n v="0.775609756097561"/>
    <n v="0.83000453926463913"/>
    <n v="0.93446447507953345"/>
    <n v="171"/>
    <n v="6"/>
    <n v="4715"/>
    <n v="309"/>
    <n v="4406"/>
    <n v="3657"/>
    <n v="749"/>
    <m/>
  </r>
  <r>
    <x v="31"/>
    <s v="Abril"/>
    <n v="0.79965753424657537"/>
    <n v="0.82001755926251096"/>
    <n v="0.97517123287671237"/>
    <n v="171"/>
    <n v="6"/>
    <n v="4672"/>
    <n v="116"/>
    <n v="4556"/>
    <n v="3736"/>
    <n v="820"/>
    <m/>
  </r>
  <r>
    <x v="31"/>
    <s v="Mayo"/>
    <n v="0.6766381766381766"/>
    <n v="0.7380688124306326"/>
    <n v="0.91676841676841681"/>
    <n v="171"/>
    <n v="6"/>
    <n v="4914"/>
    <n v="409"/>
    <n v="4505"/>
    <n v="3325"/>
    <n v="1180"/>
    <m/>
  </r>
  <r>
    <x v="31"/>
    <s v="Junio"/>
    <n v="0.70759436107321505"/>
    <n v="0.77936388680190338"/>
    <n v="0.907912687585266"/>
    <n v="171"/>
    <n v="6"/>
    <n v="4398"/>
    <n v="405"/>
    <n v="3993"/>
    <n v="3112"/>
    <n v="881"/>
    <m/>
  </r>
  <r>
    <x v="31"/>
    <s v="Julio"/>
    <n v="0.74204591220298022"/>
    <n v="0.79162191192266385"/>
    <n v="0.93737414418042686"/>
    <n v="171"/>
    <n v="6"/>
    <n v="4966"/>
    <n v="311"/>
    <n v="4655"/>
    <n v="3685"/>
    <n v="970"/>
    <m/>
  </r>
  <r>
    <x v="31"/>
    <s v="Agosto"/>
    <n v="0.66995569875151029"/>
    <n v="0.72499455219001963"/>
    <n v="0.9240837696335078"/>
    <n v="171"/>
    <n v="6"/>
    <n v="4966"/>
    <n v="377"/>
    <n v="4589"/>
    <n v="3327"/>
    <n v="1262"/>
    <m/>
  </r>
  <r>
    <x v="31"/>
    <s v="Septiembre"/>
    <n v="0.81116687578419067"/>
    <n v="0.83888408304498274"/>
    <n v="0.96695943120033456"/>
    <n v="171"/>
    <n v="6"/>
    <n v="4782"/>
    <n v="158"/>
    <n v="4624"/>
    <n v="3879"/>
    <n v="745"/>
    <m/>
  </r>
</pivotCacheRecords>
</file>

<file path=xl/pivotCache/pivotCacheRecords4.xml><?xml version="1.0" encoding="utf-8"?>
<pivotCacheRecords xmlns="http://schemas.openxmlformats.org/spreadsheetml/2006/main" xmlns:r="http://schemas.openxmlformats.org/officeDocument/2006/relationships" count="381">
  <r>
    <x v="0"/>
    <s v="Enero"/>
    <n v="0.8594345421020283"/>
    <n v="0.94774298495323306"/>
    <n v="0.90682237246465891"/>
    <m/>
    <m/>
    <n v="16270"/>
    <n v="1516"/>
    <n v="14754"/>
    <n v="13983"/>
    <n v="771"/>
    <m/>
  </r>
  <r>
    <x v="0"/>
    <s v="Febrero"/>
    <n v="0.80690151911995811"/>
    <n v="0.9260539565642143"/>
    <n v="0.87133315872184391"/>
    <m/>
    <m/>
    <n v="15272"/>
    <n v="1965"/>
    <n v="13307"/>
    <n v="12323"/>
    <n v="984"/>
    <m/>
  </r>
  <r>
    <x v="0"/>
    <s v="Marzo"/>
    <n v="0.80901887671871364"/>
    <n v="0.94526889040163375"/>
    <n v="0.85586110463761356"/>
    <m/>
    <m/>
    <n v="17164"/>
    <n v="2474"/>
    <n v="14690"/>
    <n v="13886"/>
    <n v="804"/>
    <m/>
  </r>
  <r>
    <x v="0"/>
    <s v="Abril"/>
    <n v="0.81981981981981977"/>
    <n v="0.94764805894020965"/>
    <n v="0.86511000796715087"/>
    <m/>
    <m/>
    <n v="16317"/>
    <n v="2201"/>
    <n v="14116"/>
    <n v="13377"/>
    <n v="739"/>
    <m/>
  </r>
  <r>
    <x v="0"/>
    <s v="Mayo"/>
    <n v="0.79655950710669188"/>
    <n v="0.93398183248694655"/>
    <n v="0.85286402732873789"/>
    <m/>
    <m/>
    <n v="16393"/>
    <n v="2412"/>
    <n v="13981"/>
    <n v="13058"/>
    <n v="923"/>
    <m/>
  </r>
  <r>
    <x v="0"/>
    <s v="Junio"/>
    <n v="0.79262164480941288"/>
    <n v="0.91438670908448216"/>
    <n v="0.86683417085427139"/>
    <m/>
    <m/>
    <n v="16318"/>
    <n v="2173"/>
    <n v="14145"/>
    <n v="12934"/>
    <n v="1211"/>
    <m/>
  </r>
  <r>
    <x v="0"/>
    <s v="Julio"/>
    <n v="0.79713321092222944"/>
    <n v="0.93070539419087139"/>
    <n v="0.85648285257359469"/>
    <m/>
    <m/>
    <n v="16883"/>
    <n v="2423"/>
    <n v="14460"/>
    <n v="13458"/>
    <n v="1002"/>
    <m/>
  </r>
  <r>
    <x v="0"/>
    <s v="Agosto"/>
    <n v="0.80787467739031271"/>
    <n v="0.92610430714187419"/>
    <n v="0.87233659444211031"/>
    <m/>
    <m/>
    <n v="16661"/>
    <n v="2127"/>
    <n v="14534"/>
    <n v="13460"/>
    <n v="1074"/>
    <m/>
  </r>
  <r>
    <x v="0"/>
    <s v="Septiembre"/>
    <n v="0.7758412736702448"/>
    <n v="0.88975724462272632"/>
    <n v="0.87196960559642989"/>
    <m/>
    <m/>
    <n v="16582"/>
    <n v="2123"/>
    <n v="14459"/>
    <n v="12865"/>
    <n v="1594"/>
    <m/>
  </r>
  <r>
    <x v="0"/>
    <s v="Octubre"/>
    <n v="0.82159822019120921"/>
    <n v="0.92255755857133215"/>
    <n v="0.89056581083518727"/>
    <m/>
    <m/>
    <n v="16631"/>
    <n v="1820"/>
    <n v="14811"/>
    <n v="13664"/>
    <n v="1147"/>
    <m/>
  </r>
  <r>
    <x v="0"/>
    <s v="Noviembre"/>
    <n v="0.79464447258910798"/>
    <n v="0.91882845188284523"/>
    <n v="0.8648453048670165"/>
    <m/>
    <m/>
    <n v="16581"/>
    <n v="2241"/>
    <n v="14340"/>
    <n v="13176"/>
    <n v="1164"/>
    <m/>
  </r>
  <r>
    <x v="0"/>
    <s v="Diciembre"/>
    <n v="0.78173127987254376"/>
    <n v="0.89646772228989036"/>
    <n v="0.87201274561869357"/>
    <m/>
    <m/>
    <n v="16947"/>
    <n v="2169"/>
    <n v="14778"/>
    <n v="13248"/>
    <n v="1530"/>
    <m/>
  </r>
  <r>
    <x v="1"/>
    <s v="Enero"/>
    <n v="0.7946922443215253"/>
    <n v="0.90789915966386558"/>
    <n v="0.87530893256443454"/>
    <m/>
    <m/>
    <n v="16994"/>
    <n v="2119"/>
    <n v="14875"/>
    <n v="13505"/>
    <n v="1370"/>
    <m/>
  </r>
  <r>
    <x v="1"/>
    <s v="Febrero"/>
    <n v="0.71454938900203668"/>
    <n v="0.8385241616252147"/>
    <n v="0.85215122199592663"/>
    <m/>
    <m/>
    <n v="15712"/>
    <n v="2323"/>
    <n v="13389"/>
    <n v="11227"/>
    <n v="2162"/>
    <m/>
  </r>
  <r>
    <x v="1"/>
    <s v="Marzo"/>
    <n v="0.74881570686604648"/>
    <n v="0.87350199733688416"/>
    <n v="0.85725700587865994"/>
    <m/>
    <m/>
    <n v="17521"/>
    <n v="2501"/>
    <n v="15020"/>
    <n v="13120"/>
    <n v="1900"/>
    <m/>
  </r>
  <r>
    <x v="1"/>
    <s v="Abril"/>
    <n v="0.73526227141482192"/>
    <n v="0.88074650526012399"/>
    <n v="0.83481713185755535"/>
    <m/>
    <m/>
    <n v="16624"/>
    <n v="2746"/>
    <n v="13878"/>
    <n v="12223"/>
    <n v="1655"/>
    <m/>
  </r>
  <r>
    <x v="1"/>
    <s v="Mayo"/>
    <n v="0.7839825820877957"/>
    <n v="0.88120907467425091"/>
    <n v="0.88966694127339063"/>
    <m/>
    <m/>
    <n v="16994"/>
    <n v="1875"/>
    <n v="15119"/>
    <n v="13323"/>
    <n v="1796"/>
    <m/>
  </r>
  <r>
    <x v="1"/>
    <s v="Junio"/>
    <n v="0.78513536816692531"/>
    <n v="0.88839024390243904"/>
    <n v="0.88377306432143476"/>
    <m/>
    <m/>
    <n v="17397"/>
    <n v="2022"/>
    <n v="15375"/>
    <n v="13659"/>
    <n v="1716"/>
    <m/>
  </r>
  <r>
    <x v="1"/>
    <s v="Julio"/>
    <n v="0.78797606093579975"/>
    <n v="0.90366256941411371"/>
    <n v="0.8719804134929271"/>
    <m/>
    <m/>
    <n v="18380"/>
    <n v="2353"/>
    <n v="16027"/>
    <n v="14483"/>
    <n v="1544"/>
    <m/>
  </r>
  <r>
    <x v="1"/>
    <s v="Agosto"/>
    <n v="0.80645855758880514"/>
    <n v="0.91271243223487852"/>
    <n v="0.88358449946178685"/>
    <m/>
    <m/>
    <n v="18580"/>
    <n v="2163"/>
    <n v="16417"/>
    <n v="14984"/>
    <n v="1433"/>
    <m/>
  </r>
  <r>
    <x v="1"/>
    <s v="Septiembre"/>
    <n v="0.79899636042792543"/>
    <n v="0.91074234709912627"/>
    <n v="0.87730230506231388"/>
    <m/>
    <m/>
    <n v="18134"/>
    <n v="2225"/>
    <n v="15909"/>
    <n v="14489"/>
    <n v="1420"/>
    <m/>
  </r>
  <r>
    <x v="1"/>
    <s v="Octubre"/>
    <n v="0.80497749536669316"/>
    <n v="0.91221122112211217"/>
    <n v="0.88244638602065129"/>
    <m/>
    <m/>
    <n v="18885"/>
    <n v="2220"/>
    <n v="16665"/>
    <n v="15202"/>
    <n v="1463"/>
    <m/>
  </r>
  <r>
    <x v="1"/>
    <s v="Noviembre"/>
    <n v="0.79495585047321948"/>
    <n v="0.89889991629797916"/>
    <n v="0.88436525141437106"/>
    <m/>
    <m/>
    <n v="18913"/>
    <n v="2187"/>
    <n v="16726"/>
    <n v="15035"/>
    <n v="1691"/>
    <m/>
  </r>
  <r>
    <x v="1"/>
    <s v="Diciembre"/>
    <n v="0.7500765696784073"/>
    <n v="0.8834245175254013"/>
    <n v="0.84905564063297601"/>
    <m/>
    <m/>
    <n v="19590"/>
    <n v="2957"/>
    <n v="16633"/>
    <n v="14694"/>
    <n v="1939"/>
    <m/>
  </r>
  <r>
    <x v="2"/>
    <s v="Enero"/>
    <n v="0.80075542965061375"/>
    <n v="0.85539666528214564"/>
    <n v="0.93612175748486359"/>
    <m/>
    <m/>
    <n v="18003"/>
    <n v="1150"/>
    <n v="16853"/>
    <n v="14416"/>
    <n v="2437"/>
    <m/>
  </r>
  <r>
    <x v="2"/>
    <s v="Febrero"/>
    <n v="0.93614097968936683"/>
    <n v="0.95374596798734101"/>
    <n v="0.98154121863799282"/>
    <m/>
    <m/>
    <n v="16740"/>
    <n v="309"/>
    <n v="16431"/>
    <n v="15671"/>
    <n v="760"/>
    <m/>
  </r>
  <r>
    <x v="2"/>
    <s v="Marzo"/>
    <n v="0.93738934492193782"/>
    <n v="0.95815738963531671"/>
    <n v="0.97832501743655775"/>
    <m/>
    <m/>
    <n v="18639"/>
    <n v="404"/>
    <n v="18235"/>
    <n v="17472"/>
    <n v="763"/>
    <m/>
  </r>
  <r>
    <x v="2"/>
    <s v="Abril"/>
    <n v="0.95828584454068844"/>
    <n v="0.97297922814326221"/>
    <n v="0.9848985639389104"/>
    <m/>
    <m/>
    <n v="17548"/>
    <n v="265"/>
    <n v="17283"/>
    <n v="16816"/>
    <n v="467"/>
    <m/>
  </r>
  <r>
    <x v="2"/>
    <s v="Mayo"/>
    <n v="0.95519929724387831"/>
    <n v="0.96484028393966281"/>
    <n v="0.99000768639508074"/>
    <m/>
    <m/>
    <n v="18214"/>
    <n v="182"/>
    <n v="18032"/>
    <n v="17398"/>
    <n v="634"/>
    <m/>
  </r>
  <r>
    <x v="2"/>
    <s v="Junio"/>
    <n v="0.97308031774051196"/>
    <n v="0.98032677559186399"/>
    <n v="0.99260812003530452"/>
    <m/>
    <m/>
    <n v="18128"/>
    <n v="134"/>
    <n v="17994"/>
    <n v="17640"/>
    <n v="354"/>
    <m/>
  </r>
  <r>
    <x v="2"/>
    <s v="Julio"/>
    <n v="0.97008914187520134"/>
    <n v="0.9848980481953985"/>
    <n v="0.98496402105037051"/>
    <m/>
    <m/>
    <n v="18622"/>
    <n v="280"/>
    <n v="18342"/>
    <n v="18065"/>
    <n v="277"/>
    <m/>
  </r>
  <r>
    <x v="2"/>
    <s v="Agosto"/>
    <n v="0.96724868792894636"/>
    <n v="0.97960748236737194"/>
    <n v="0.98738393217601939"/>
    <m/>
    <m/>
    <n v="19816"/>
    <n v="250"/>
    <n v="19566"/>
    <n v="19167"/>
    <n v="399"/>
    <m/>
  </r>
  <r>
    <x v="2"/>
    <s v="Septiembre"/>
    <n v="0.96597837782446072"/>
    <n v="0.97608076624385198"/>
    <n v="0.98965004867551365"/>
    <m/>
    <m/>
    <n v="19517"/>
    <n v="202"/>
    <n v="19315"/>
    <n v="18853"/>
    <n v="462"/>
    <m/>
  </r>
  <r>
    <x v="2"/>
    <s v="Octubre"/>
    <n v="0.96223210271269422"/>
    <n v="0.96788944723618087"/>
    <n v="0.99415496827696459"/>
    <m/>
    <m/>
    <n v="20017"/>
    <n v="117"/>
    <n v="19900"/>
    <n v="19261"/>
    <n v="639"/>
    <m/>
  </r>
  <r>
    <x v="2"/>
    <s v="Noviembre"/>
    <n v="0.97179281268821527"/>
    <n v="0.97837291561394646"/>
    <n v="0.99327444288295519"/>
    <m/>
    <m/>
    <n v="19924"/>
    <n v="134"/>
    <n v="19790"/>
    <n v="19362"/>
    <n v="428"/>
    <m/>
  </r>
  <r>
    <x v="2"/>
    <s v="Diciembre"/>
    <n v="0.97802811656270361"/>
    <n v="0.98195924471863905"/>
    <n v="0.99599664835676383"/>
    <m/>
    <m/>
    <n v="21482"/>
    <n v="86"/>
    <n v="21396"/>
    <n v="21010"/>
    <n v="386"/>
    <m/>
  </r>
  <r>
    <x v="3"/>
    <s v="Enero"/>
    <n v="0.97150401036217804"/>
    <n v="0.97734676489750916"/>
    <n v="0.99402182035570164"/>
    <m/>
    <m/>
    <n v="20073"/>
    <n v="120"/>
    <n v="19953"/>
    <n v="19501"/>
    <n v="452"/>
    <m/>
  </r>
  <r>
    <x v="3"/>
    <s v="Febrero"/>
    <n v="0.96977844697784465"/>
    <n v="0.97496891387792617"/>
    <n v="0.99467627446762741"/>
    <m/>
    <m/>
    <n v="18596"/>
    <n v="99"/>
    <n v="18497"/>
    <n v="18034"/>
    <n v="463"/>
    <m/>
  </r>
  <r>
    <x v="3"/>
    <s v="Marzo"/>
    <n v="0.97120977122915864"/>
    <n v="0.98057254710056274"/>
    <n v="0.99045172547499027"/>
    <m/>
    <m/>
    <n v="20632"/>
    <n v="197"/>
    <n v="20435"/>
    <n v="20038"/>
    <n v="397"/>
    <m/>
  </r>
  <r>
    <x v="3"/>
    <s v="Abril"/>
    <n v="0.9716855265108465"/>
    <n v="0.97602620737578794"/>
    <n v="0.99555270049908584"/>
    <m/>
    <m/>
    <n v="20237"/>
    <n v="90"/>
    <n v="20147"/>
    <n v="19664"/>
    <n v="483"/>
    <m/>
  </r>
  <r>
    <x v="3"/>
    <s v="Mayo"/>
    <n v="0.96389022628791521"/>
    <n v="0.96775752888287325"/>
    <n v="0.99600385170919592"/>
    <m/>
    <m/>
    <n v="20770"/>
    <n v="83"/>
    <n v="20687"/>
    <n v="20020"/>
    <n v="667"/>
    <m/>
  </r>
  <r>
    <x v="3"/>
    <s v="Junio"/>
    <n v="0.97704160246533123"/>
    <n v="0.97880113197838947"/>
    <n v="0.9982023626091423"/>
    <m/>
    <m/>
    <n v="19470"/>
    <n v="35"/>
    <n v="19435"/>
    <n v="19023"/>
    <n v="412"/>
    <m/>
  </r>
  <r>
    <x v="3"/>
    <s v="Julio"/>
    <n v="0.97452046951044946"/>
    <n v="0.97872340425531912"/>
    <n v="0.99570569710850276"/>
    <m/>
    <m/>
    <n v="20958"/>
    <n v="90"/>
    <n v="20868"/>
    <n v="20424"/>
    <n v="444"/>
    <m/>
  </r>
  <r>
    <x v="3"/>
    <s v="Agosto"/>
    <n v="0.94029778827157517"/>
    <n v="0.97824343292560656"/>
    <n v="0.9612104274080856"/>
    <m/>
    <m/>
    <n v="20753"/>
    <n v="805"/>
    <n v="19948"/>
    <n v="19514"/>
    <n v="434"/>
    <m/>
  </r>
  <r>
    <x v="3"/>
    <s v="Septiembre"/>
    <n v="0.95295933097715169"/>
    <n v="0.97758259715058982"/>
    <n v="0.9748120862163373"/>
    <m/>
    <m/>
    <n v="20089"/>
    <n v="506"/>
    <n v="19583"/>
    <n v="19144"/>
    <n v="439"/>
    <m/>
  </r>
  <r>
    <x v="3"/>
    <s v="Octubre"/>
    <n v="0.9421077065923863"/>
    <n v="0.978494623655914"/>
    <n v="0.96281337047353766"/>
    <m/>
    <m/>
    <n v="21540"/>
    <n v="801"/>
    <n v="20739"/>
    <n v="20293"/>
    <n v="446"/>
    <m/>
  </r>
  <r>
    <x v="3"/>
    <s v="Noviembre"/>
    <n v="0.95417839509021274"/>
    <n v="0.96114158222552759"/>
    <n v="0.99275529509482718"/>
    <m/>
    <m/>
    <n v="21671"/>
    <n v="157"/>
    <n v="21514"/>
    <n v="20678"/>
    <n v="836"/>
    <m/>
  </r>
  <r>
    <x v="3"/>
    <s v="Diciembre"/>
    <n v="0.90752923976608191"/>
    <n v="0.96161107614852104"/>
    <n v="0.94375913742690054"/>
    <m/>
    <m/>
    <n v="21888"/>
    <n v="1231"/>
    <n v="20657"/>
    <n v="19864"/>
    <n v="793"/>
    <m/>
  </r>
  <r>
    <x v="4"/>
    <s v="Enero"/>
    <n v="0.96419919246298791"/>
    <n v="0.9709948495527243"/>
    <n v="0.9930013458950202"/>
    <m/>
    <m/>
    <n v="22290"/>
    <n v="156"/>
    <n v="22134"/>
    <n v="21492"/>
    <n v="642"/>
    <m/>
  </r>
  <r>
    <x v="4"/>
    <s v="Febrero"/>
    <n v="0.94056082148499209"/>
    <n v="0.96251389309891888"/>
    <n v="0.97719194312796209"/>
    <m/>
    <m/>
    <n v="20256"/>
    <n v="462"/>
    <n v="19794"/>
    <n v="19052"/>
    <n v="742"/>
    <m/>
  </r>
  <r>
    <x v="4"/>
    <s v="Marzo"/>
    <n v="0.96702740041446"/>
    <n v="0.97046862002033463"/>
    <n v="0.9964540640110523"/>
    <m/>
    <m/>
    <n v="21715"/>
    <n v="77"/>
    <n v="21638"/>
    <n v="20999"/>
    <n v="639"/>
    <m/>
  </r>
  <r>
    <x v="4"/>
    <s v="Abril"/>
    <n v="0.95088264886124574"/>
    <n v="0.95745072757413885"/>
    <n v="0.99314003475715718"/>
    <m/>
    <m/>
    <n v="21866"/>
    <n v="150"/>
    <n v="21716"/>
    <n v="20792"/>
    <n v="924"/>
    <m/>
  </r>
  <r>
    <x v="4"/>
    <s v="Mayo"/>
    <n v="0.94810361195244341"/>
    <n v="0.95684109676536333"/>
    <n v="0.99086840558745082"/>
    <m/>
    <m/>
    <n v="22121"/>
    <n v="202"/>
    <n v="21919"/>
    <n v="20973"/>
    <n v="946"/>
    <m/>
  </r>
  <r>
    <x v="4"/>
    <s v="Junio"/>
    <n v="0.95685894328647603"/>
    <n v="0.96273897776043704"/>
    <n v="0.99389238972370331"/>
    <m/>
    <m/>
    <n v="20630"/>
    <n v="126"/>
    <n v="20504"/>
    <n v="19740"/>
    <n v="764"/>
    <m/>
  </r>
  <r>
    <x v="4"/>
    <s v="Julio"/>
    <n v="0.96425249169435212"/>
    <n v="0.96798292422625398"/>
    <n v="0.99614617940199335"/>
    <m/>
    <m/>
    <n v="22575"/>
    <n v="87"/>
    <n v="22488"/>
    <n v="21768"/>
    <n v="720"/>
    <m/>
  </r>
  <r>
    <x v="4"/>
    <s v="Agosto"/>
    <n v="0.96230538104343077"/>
    <n v="0.98042671614100185"/>
    <n v="0.98151688973868711"/>
    <m/>
    <m/>
    <n v="21966"/>
    <n v="406"/>
    <n v="21560"/>
    <n v="21138"/>
    <n v="422"/>
    <m/>
  </r>
  <r>
    <x v="4"/>
    <s v="Septiembre"/>
    <n v="0.96641656120050623"/>
    <n v="0.97509919277602952"/>
    <n v="0.99109564274091488"/>
    <m/>
    <m/>
    <n v="22124"/>
    <n v="197"/>
    <n v="21927"/>
    <n v="21381"/>
    <n v="546"/>
    <m/>
  </r>
  <r>
    <x v="4"/>
    <s v="Octubre"/>
    <n v="0.96849261341351811"/>
    <n v="0.97285939415163725"/>
    <n v="0.99551139582516235"/>
    <m/>
    <m/>
    <n v="22947"/>
    <n v="103"/>
    <n v="22844"/>
    <n v="22224"/>
    <n v="620"/>
    <m/>
  </r>
  <r>
    <x v="4"/>
    <s v="Noviembre"/>
    <n v="0.95339120746483452"/>
    <n v="0.96463128229215589"/>
    <n v="0.98834780186620863"/>
    <m/>
    <m/>
    <n v="21541"/>
    <n v="251"/>
    <n v="21290"/>
    <n v="20537"/>
    <n v="753"/>
    <m/>
  </r>
  <r>
    <x v="4"/>
    <s v="Diciembre"/>
    <n v="0.95513428120063193"/>
    <n v="0.97831715210355985"/>
    <n v="0.976303317535545"/>
    <m/>
    <m/>
    <n v="22155"/>
    <n v="525"/>
    <n v="21630"/>
    <n v="21161"/>
    <n v="469"/>
    <m/>
  </r>
  <r>
    <x v="5"/>
    <s v="Enero"/>
    <n v="0.97008509129586951"/>
    <n v="0.97518488817606697"/>
    <n v="0.9947704307746853"/>
    <m/>
    <m/>
    <n v="22564"/>
    <n v="118"/>
    <n v="22446"/>
    <n v="21889"/>
    <n v="557"/>
    <m/>
  </r>
  <r>
    <x v="5"/>
    <s v="Febrero"/>
    <n v="0.97524990388312183"/>
    <n v="0.97745773324984342"/>
    <n v="0.9977412533640907"/>
    <m/>
    <m/>
    <n v="20808"/>
    <n v="47"/>
    <n v="20761"/>
    <n v="20293"/>
    <n v="468"/>
    <m/>
  </r>
  <r>
    <x v="5"/>
    <s v="Marzo"/>
    <n v="0.97426502660734537"/>
    <n v="0.97810474689087401"/>
    <n v="0.9960743260926459"/>
    <m/>
    <m/>
    <n v="22926"/>
    <n v="90"/>
    <n v="22836"/>
    <n v="22336"/>
    <n v="500"/>
    <m/>
  </r>
  <r>
    <x v="5"/>
    <s v="Abril"/>
    <n v="0.96837676438653641"/>
    <n v="0.9745048941497837"/>
    <n v="0.99371154542164319"/>
    <m/>
    <m/>
    <n v="22104"/>
    <n v="139"/>
    <n v="21965"/>
    <n v="21405"/>
    <n v="560"/>
    <m/>
  </r>
  <r>
    <x v="5"/>
    <s v="Mayo"/>
    <n v="0.9747509212501706"/>
    <n v="0.97916095420893889"/>
    <n v="0.99549611027705742"/>
    <m/>
    <m/>
    <n v="21981"/>
    <n v="99"/>
    <n v="21882"/>
    <n v="21426"/>
    <n v="456"/>
    <m/>
  </r>
  <r>
    <x v="5"/>
    <s v="Junio"/>
    <n v="0.9826515116653628"/>
    <n v="0.98441821869813761"/>
    <n v="0.99820532879296853"/>
    <m/>
    <m/>
    <n v="21731"/>
    <n v="39"/>
    <n v="21692"/>
    <n v="21354"/>
    <n v="338"/>
    <m/>
  </r>
  <r>
    <x v="5"/>
    <s v="Julio"/>
    <n v="0.96795430763864665"/>
    <n v="0.97087506013031877"/>
    <n v="0.99699162888036275"/>
    <m/>
    <m/>
    <n v="22936"/>
    <n v="69"/>
    <n v="22867"/>
    <n v="22201"/>
    <n v="666"/>
    <m/>
  </r>
  <r>
    <x v="5"/>
    <s v="Agosto"/>
    <n v="0.97440033963065165"/>
    <n v="0.97922266308289607"/>
    <n v="0.99507535555083848"/>
    <m/>
    <m/>
    <n v="23555"/>
    <n v="116"/>
    <n v="23439"/>
    <n v="22952"/>
    <n v="487"/>
    <m/>
  </r>
  <r>
    <x v="5"/>
    <s v="Septiembre"/>
    <n v="0.96975959510754961"/>
    <n v="0.9759752111719513"/>
    <n v="0.99363137916490929"/>
    <m/>
    <m/>
    <n v="23710"/>
    <n v="151"/>
    <n v="23559"/>
    <n v="22993"/>
    <n v="566"/>
    <m/>
  </r>
  <r>
    <x v="5"/>
    <s v="Octubre"/>
    <n v="0.96729654194301928"/>
    <n v="0.9768725250652962"/>
    <n v="0.99019730530179784"/>
    <m/>
    <m/>
    <n v="23973"/>
    <n v="235"/>
    <n v="23738"/>
    <n v="23189"/>
    <n v="549"/>
    <m/>
  </r>
  <r>
    <x v="5"/>
    <s v="Noviembre"/>
    <n v="0.97167006455997285"/>
    <n v="0.97693983003800655"/>
    <n v="0.99460584437648658"/>
    <m/>
    <m/>
    <n v="23544"/>
    <n v="127"/>
    <n v="23417"/>
    <n v="22877"/>
    <n v="540"/>
    <m/>
  </r>
  <r>
    <x v="5"/>
    <s v="Diciembre"/>
    <n v="0.93406639176975303"/>
    <n v="0.98165900634712189"/>
    <n v="0.95151818068224414"/>
    <m/>
    <m/>
    <n v="24009"/>
    <n v="1164"/>
    <n v="22845"/>
    <n v="22426"/>
    <n v="419"/>
    <m/>
  </r>
  <r>
    <x v="6"/>
    <s v="Enero"/>
    <n v="0.97150661903761293"/>
    <n v="0.979782995676867"/>
    <n v="0.99155284723681447"/>
    <m/>
    <m/>
    <n v="23795"/>
    <n v="201"/>
    <n v="23594"/>
    <n v="23117"/>
    <n v="477"/>
    <m/>
  </r>
  <r>
    <x v="6"/>
    <s v="Febrero"/>
    <n v="0.97509457755359397"/>
    <n v="0.97910731244064575"/>
    <n v="0.99590163934426235"/>
    <m/>
    <m/>
    <n v="22204"/>
    <n v="91"/>
    <n v="22113"/>
    <n v="21651"/>
    <n v="462"/>
    <m/>
  </r>
  <r>
    <x v="6"/>
    <s v="Marzo"/>
    <n v="0.94826771653543307"/>
    <n v="0.95887575142322545"/>
    <n v="0.98893700787401573"/>
    <m/>
    <m/>
    <n v="25400"/>
    <n v="281"/>
    <n v="25119"/>
    <n v="24086"/>
    <n v="1033"/>
    <m/>
  </r>
  <r>
    <x v="6"/>
    <s v="Abril"/>
    <n v="0.93926879630754279"/>
    <n v="0.94844644317252658"/>
    <n v="0.99032349487833515"/>
    <m/>
    <m/>
    <n v="24699"/>
    <n v="239"/>
    <n v="24460"/>
    <n v="23199"/>
    <n v="1261"/>
    <m/>
  </r>
  <r>
    <x v="6"/>
    <s v="Mayo"/>
    <n v="0.95870147523287885"/>
    <n v="0.96979010797913212"/>
    <n v="0.98856594570823175"/>
    <m/>
    <m/>
    <n v="25013"/>
    <n v="286"/>
    <n v="24727"/>
    <n v="23980"/>
    <n v="747"/>
    <m/>
  </r>
  <r>
    <x v="6"/>
    <s v="Junio"/>
    <n v="0.96258059250795724"/>
    <n v="0.97118036971468569"/>
    <n v="0.9911450257079899"/>
    <m/>
    <m/>
    <n v="24506"/>
    <n v="217"/>
    <n v="24289"/>
    <n v="23589"/>
    <n v="700"/>
    <m/>
  </r>
  <r>
    <x v="6"/>
    <s v="Julio"/>
    <n v="0.96881951219512197"/>
    <n v="0.9761717521233092"/>
    <n v="0.9924682926829268"/>
    <m/>
    <m/>
    <n v="25625"/>
    <n v="193"/>
    <n v="25432"/>
    <n v="24826"/>
    <n v="606"/>
    <m/>
  </r>
  <r>
    <x v="6"/>
    <s v="Agosto"/>
    <n v="0.96664568911264948"/>
    <n v="0.97388547652070534"/>
    <n v="0.99256607929515417"/>
    <m/>
    <m/>
    <n v="25424"/>
    <n v="189"/>
    <n v="25235"/>
    <n v="24576"/>
    <n v="659"/>
    <m/>
  </r>
  <r>
    <x v="6"/>
    <s v="Septiembre"/>
    <n v="0.96262642225031603"/>
    <n v="0.97281111510360518"/>
    <n v="0.98953065739570167"/>
    <m/>
    <m/>
    <n v="25312"/>
    <n v="265"/>
    <n v="25047"/>
    <n v="24366"/>
    <n v="681"/>
    <m/>
  </r>
  <r>
    <x v="6"/>
    <s v="Octubre"/>
    <n v="0.9768344355126124"/>
    <n v="0.98549798250169784"/>
    <n v="0.99120896527145286"/>
    <m/>
    <m/>
    <n v="25253"/>
    <n v="222"/>
    <n v="25031"/>
    <n v="24668"/>
    <n v="363"/>
    <m/>
  </r>
  <r>
    <x v="6"/>
    <s v="Noviembre"/>
    <n v="0.96811113742205379"/>
    <n v="0.97912425657605873"/>
    <n v="0.98875207198673931"/>
    <m/>
    <m/>
    <n v="25338"/>
    <n v="285"/>
    <n v="25053"/>
    <n v="24530"/>
    <n v="523"/>
    <m/>
  </r>
  <r>
    <x v="6"/>
    <s v="Diciembre"/>
    <n v="0.96785004481508907"/>
    <n v="0.97495485593153808"/>
    <n v="0.9927126768247535"/>
    <m/>
    <m/>
    <n v="25661"/>
    <n v="187"/>
    <n v="25474"/>
    <n v="24836"/>
    <n v="638"/>
    <m/>
  </r>
  <r>
    <x v="7"/>
    <s v="Enero"/>
    <n v="0.96915641821539433"/>
    <n v="0.9774519516544482"/>
    <n v="0.99151310361086009"/>
    <m/>
    <m/>
    <n v="25451"/>
    <n v="216"/>
    <n v="25235"/>
    <n v="24666"/>
    <n v="569"/>
    <m/>
  </r>
  <r>
    <x v="7"/>
    <s v="Febrero"/>
    <n v="0.96485766946549256"/>
    <n v="0.97270625154843504"/>
    <n v="0.9919311898423101"/>
    <m/>
    <m/>
    <n v="24415"/>
    <n v="197"/>
    <n v="24218"/>
    <n v="23557"/>
    <n v="661"/>
    <m/>
  </r>
  <r>
    <x v="7"/>
    <s v="Marzo"/>
    <n v="0.97552247896760436"/>
    <n v="0.98127512923607119"/>
    <n v="0.99413757661121471"/>
    <m/>
    <m/>
    <n v="26269"/>
    <n v="154"/>
    <n v="26115"/>
    <n v="25626"/>
    <n v="489"/>
    <m/>
  </r>
  <r>
    <x v="7"/>
    <s v="Abril"/>
    <n v="0.97018947717567061"/>
    <n v="0.97569111453946544"/>
    <n v="0.99436129192752598"/>
    <m/>
    <m/>
    <n v="24119"/>
    <n v="136"/>
    <n v="23983"/>
    <n v="23400"/>
    <n v="583"/>
    <m/>
  </r>
  <r>
    <x v="7"/>
    <s v="Mayo"/>
    <n v="0.94862125854348334"/>
    <n v="0.96399489062749477"/>
    <n v="0.98405216434912401"/>
    <m/>
    <m/>
    <n v="25458"/>
    <n v="406"/>
    <n v="25052"/>
    <n v="24150"/>
    <n v="902"/>
    <m/>
  </r>
  <r>
    <x v="7"/>
    <s v="Junio"/>
    <n v="0.89911748036596228"/>
    <n v="0.94146072654825996"/>
    <n v="0.95502388470569188"/>
    <m/>
    <m/>
    <n v="24702"/>
    <n v="1111"/>
    <n v="23591"/>
    <n v="22210"/>
    <n v="1381"/>
    <m/>
  </r>
  <r>
    <x v="7"/>
    <s v="Julio"/>
    <n v="0.97204896304381727"/>
    <n v="0.98030350684069822"/>
    <n v="0.99157960392951816"/>
    <m/>
    <m/>
    <n v="25652"/>
    <n v="216"/>
    <n v="25436"/>
    <n v="24935"/>
    <n v="501"/>
    <m/>
  </r>
  <r>
    <x v="7"/>
    <s v="Agosto"/>
    <n v="0.97085314469055628"/>
    <n v="0.97853190991973815"/>
    <n v="0.99215276972438049"/>
    <m/>
    <m/>
    <n v="25869"/>
    <n v="203"/>
    <n v="25666"/>
    <n v="25115"/>
    <n v="551"/>
    <m/>
  </r>
  <r>
    <x v="7"/>
    <s v="Septiembre"/>
    <n v="0.96781508593252707"/>
    <n v="0.9747565813198702"/>
    <n v="0.99287873965626994"/>
    <m/>
    <m/>
    <n v="25136"/>
    <n v="179"/>
    <n v="24957"/>
    <n v="24327"/>
    <n v="630"/>
    <m/>
  </r>
  <r>
    <x v="7"/>
    <s v="Octubre"/>
    <n v="0.96648988410921233"/>
    <n v="0.97723932472691166"/>
    <n v="0.98900019642506387"/>
    <m/>
    <m/>
    <n v="25455"/>
    <n v="280"/>
    <n v="25175"/>
    <n v="24602"/>
    <n v="573"/>
    <m/>
  </r>
  <r>
    <x v="7"/>
    <s v="Noviembre"/>
    <n v="0.92036934732854547"/>
    <n v="0.96928894984000336"/>
    <n v="0.94953042380238339"/>
    <m/>
    <m/>
    <n v="25342"/>
    <n v="1279"/>
    <n v="24063"/>
    <n v="23324"/>
    <n v="739"/>
    <m/>
  </r>
  <r>
    <x v="7"/>
    <s v="Diciembre"/>
    <n v="0.93270546566851809"/>
    <n v="0.9640970170986396"/>
    <n v="0.96743942686951623"/>
    <m/>
    <m/>
    <n v="24846"/>
    <n v="809"/>
    <n v="24037"/>
    <n v="23174"/>
    <n v="863"/>
    <m/>
  </r>
  <r>
    <x v="8"/>
    <s v="Enero"/>
    <n v="0.9305374907723134"/>
    <n v="0.96366813498853254"/>
    <n v="0.96562027630330083"/>
    <m/>
    <m/>
    <n v="28447"/>
    <n v="978"/>
    <n v="27469"/>
    <n v="26471"/>
    <n v="998"/>
    <m/>
  </r>
  <r>
    <x v="8"/>
    <s v="Febrero"/>
    <n v="0.94928863769245764"/>
    <n v="0.95893215734141823"/>
    <n v="0.98994348080296235"/>
    <m/>
    <m/>
    <n v="25655"/>
    <n v="258"/>
    <n v="25397"/>
    <n v="24354"/>
    <n v="1043"/>
    <m/>
  </r>
  <r>
    <x v="8"/>
    <s v="Marzo"/>
    <n v="0.93072024207452231"/>
    <n v="0.94613348594320057"/>
    <n v="0.98370922909116498"/>
    <m/>
    <m/>
    <n v="28421"/>
    <n v="463"/>
    <n v="27958"/>
    <n v="26452"/>
    <n v="1506"/>
    <m/>
  </r>
  <r>
    <x v="8"/>
    <s v="Abril"/>
    <n v="0.95454029726561018"/>
    <n v="0.96203544882790171"/>
    <n v="0.9922090692485156"/>
    <m/>
    <m/>
    <n v="26441"/>
    <n v="206"/>
    <n v="26235"/>
    <n v="25239"/>
    <n v="996"/>
    <m/>
  </r>
  <r>
    <x v="8"/>
    <s v="Mayo"/>
    <n v="0.94438969449528365"/>
    <n v="0.95443389179383209"/>
    <n v="0.98947627762917079"/>
    <m/>
    <m/>
    <n v="28412"/>
    <n v="299"/>
    <n v="28113"/>
    <n v="26832"/>
    <n v="1281"/>
    <m/>
  </r>
  <r>
    <x v="8"/>
    <s v="Junio"/>
    <n v="0.93984417466932413"/>
    <n v="0.95750572251347554"/>
    <n v="0.98155462946185901"/>
    <m/>
    <m/>
    <n v="27595"/>
    <n v="509"/>
    <n v="27086"/>
    <n v="25935"/>
    <n v="1151"/>
    <m/>
  </r>
  <r>
    <x v="8"/>
    <s v="Julio"/>
    <n v="0.89808827663761592"/>
    <n v="0.96317792937097202"/>
    <n v="0.93242198481866745"/>
    <m/>
    <m/>
    <n v="28456"/>
    <n v="1923"/>
    <n v="26533"/>
    <n v="25556"/>
    <n v="977"/>
    <m/>
  </r>
  <r>
    <x v="8"/>
    <s v="Agosto"/>
    <n v="0.94082881139183627"/>
    <n v="0.95916138125440453"/>
    <n v="0.98088687657691909"/>
    <m/>
    <m/>
    <n v="28933"/>
    <n v="553"/>
    <n v="28380"/>
    <n v="27221"/>
    <n v="1159"/>
    <m/>
  </r>
  <r>
    <x v="8"/>
    <s v="Septiembre"/>
    <n v="0.95127778179975386"/>
    <n v="0.96963435782016749"/>
    <n v="0.98106855860421338"/>
    <m/>
    <m/>
    <n v="27626"/>
    <n v="523"/>
    <n v="27103"/>
    <n v="26280"/>
    <n v="823"/>
    <m/>
  </r>
  <r>
    <x v="8"/>
    <s v="Octubre"/>
    <n v="0.93118026197241666"/>
    <n v="0.95011137432379877"/>
    <n v="0.98007484926190314"/>
    <m/>
    <m/>
    <n v="28858"/>
    <n v="575"/>
    <n v="28283"/>
    <n v="26872"/>
    <n v="1411"/>
    <m/>
  </r>
  <r>
    <x v="8"/>
    <s v="Noviembre"/>
    <n v="0.93559056798378204"/>
    <n v="0.95246026286252217"/>
    <n v="0.98228829533734041"/>
    <m/>
    <m/>
    <n v="28117"/>
    <n v="498"/>
    <n v="27619"/>
    <n v="26306"/>
    <n v="1313"/>
    <m/>
  </r>
  <r>
    <x v="8"/>
    <s v="Diciembre"/>
    <n v="0.83734895909157081"/>
    <n v="0.95926450967311538"/>
    <n v="0.87290726452176448"/>
    <m/>
    <m/>
    <n v="27476"/>
    <n v="3492"/>
    <n v="23984"/>
    <n v="23007"/>
    <n v="977"/>
    <m/>
  </r>
  <r>
    <x v="9"/>
    <s v="Enero"/>
    <n v="0.9476510544471709"/>
    <n v="0.95897362075790837"/>
    <n v="0.98819303673672609"/>
    <m/>
    <m/>
    <n v="28119"/>
    <n v="332"/>
    <n v="27787"/>
    <n v="26647"/>
    <n v="1140"/>
    <m/>
  </r>
  <r>
    <x v="9"/>
    <s v="Febrero"/>
    <n v="0.92269010629599346"/>
    <n v="0.94831715618303292"/>
    <n v="0.97297628781684387"/>
    <m/>
    <m/>
    <n v="24460"/>
    <n v="661"/>
    <n v="23799"/>
    <n v="22569"/>
    <n v="1230"/>
    <m/>
  </r>
  <r>
    <x v="9"/>
    <s v="Marzo"/>
    <n v="0.89254976303317535"/>
    <n v="0.91645579475999528"/>
    <n v="0.97391469194312796"/>
    <m/>
    <m/>
    <n v="26375"/>
    <n v="688"/>
    <n v="25687"/>
    <n v="23541"/>
    <n v="2146"/>
    <m/>
  </r>
  <r>
    <x v="9"/>
    <s v="Abril"/>
    <n v="0.95242760296249851"/>
    <n v="0.96299377946828324"/>
    <n v="0.98902778322034568"/>
    <m/>
    <m/>
    <n v="25519"/>
    <n v="280"/>
    <n v="25239"/>
    <n v="24305"/>
    <n v="934"/>
    <m/>
  </r>
  <r>
    <x v="9"/>
    <s v="Mayo"/>
    <n v="0.85958010361079729"/>
    <n v="0.90635781172991625"/>
    <n v="0.94838935846998795"/>
    <m/>
    <m/>
    <n v="25673"/>
    <n v="1325"/>
    <n v="24348"/>
    <n v="22068"/>
    <n v="2280"/>
    <m/>
  </r>
  <r>
    <x v="9"/>
    <s v="Junio"/>
    <n v="0.87468733341534421"/>
    <n v="0.92816116961099993"/>
    <n v="0.94238733751588966"/>
    <m/>
    <m/>
    <n v="24387"/>
    <n v="1405"/>
    <n v="22982"/>
    <n v="21331"/>
    <n v="1651"/>
    <m/>
  </r>
  <r>
    <x v="9"/>
    <s v="Julio"/>
    <n v="0.84336697212233691"/>
    <n v="0.89247135842880521"/>
    <n v="0.94497931407802649"/>
    <m/>
    <m/>
    <n v="25863"/>
    <n v="1423"/>
    <n v="24440"/>
    <n v="21812"/>
    <n v="2628"/>
    <m/>
  </r>
  <r>
    <x v="9"/>
    <s v="Agosto"/>
    <n v="0.97801606518313544"/>
    <n v="0.98463860083578392"/>
    <n v="0.99327414581651874"/>
    <m/>
    <m/>
    <n v="26019"/>
    <n v="175"/>
    <n v="25844"/>
    <n v="25447"/>
    <n v="397"/>
    <m/>
  </r>
  <r>
    <x v="9"/>
    <s v="Septiembre"/>
    <n v="0.8017109192155597"/>
    <n v="0.87826010078684469"/>
    <n v="0.91283996449035587"/>
    <m/>
    <m/>
    <n v="24782"/>
    <n v="2160"/>
    <n v="22622"/>
    <n v="19868"/>
    <n v="2754"/>
    <m/>
  </r>
  <r>
    <x v="9"/>
    <s v="Octubre"/>
    <n v="0.83448415101958406"/>
    <n v="0.8553807947019868"/>
    <n v="0.97557036139713305"/>
    <m/>
    <m/>
    <n v="24765"/>
    <n v="605"/>
    <n v="24160"/>
    <n v="20666"/>
    <n v="3494"/>
    <m/>
  </r>
  <r>
    <x v="9"/>
    <s v="Noviembre"/>
    <n v="0.81064891846921794"/>
    <n v="0.84407484407484412"/>
    <n v="0.96039933444259562"/>
    <m/>
    <m/>
    <n v="24040"/>
    <n v="952"/>
    <n v="23088"/>
    <n v="19488"/>
    <n v="3600"/>
    <m/>
  </r>
  <r>
    <x v="9"/>
    <s v="Diciembre"/>
    <n v="0.86377227114478805"/>
    <n v="0.89307190649614632"/>
    <n v="0.96719229981568711"/>
    <m/>
    <m/>
    <n v="24415"/>
    <n v="801"/>
    <n v="23614"/>
    <n v="21089"/>
    <n v="2525"/>
    <m/>
  </r>
  <r>
    <x v="10"/>
    <s v="Enero"/>
    <n v="0.84770725096001809"/>
    <n v="0.89030176504080472"/>
    <n v="0.95215721707702738"/>
    <m/>
    <m/>
    <n v="22135"/>
    <n v="1059"/>
    <n v="21076"/>
    <n v="18764"/>
    <n v="2312"/>
    <m/>
  </r>
  <r>
    <x v="10"/>
    <s v="Febrero"/>
    <n v="0.80678877165040808"/>
    <n v="0.87593213011996107"/>
    <n v="0.92106310969540117"/>
    <m/>
    <m/>
    <n v="20092"/>
    <n v="1586"/>
    <n v="18506"/>
    <n v="16210"/>
    <n v="2296"/>
    <m/>
  </r>
  <r>
    <x v="10"/>
    <s v="Marzo"/>
    <n v="0.7746075715604801"/>
    <n v="0.851804843377164"/>
    <n v="0.90937211449676825"/>
    <m/>
    <m/>
    <n v="21660"/>
    <n v="1963"/>
    <n v="19697"/>
    <n v="16778"/>
    <n v="2919"/>
    <m/>
  </r>
  <r>
    <x v="10"/>
    <s v="Abril"/>
    <n v="0.8373290878441656"/>
    <n v="0.87502446662752009"/>
    <n v="0.95692077168008993"/>
    <m/>
    <m/>
    <n v="21356"/>
    <n v="920"/>
    <n v="20436"/>
    <n v="17882"/>
    <n v="2554"/>
    <m/>
  </r>
  <r>
    <x v="10"/>
    <s v="Mayo"/>
    <n v="0.82390938452440521"/>
    <n v="0.87518724329548203"/>
    <n v="0.94140927080016379"/>
    <m/>
    <m/>
    <n v="21983"/>
    <n v="1288"/>
    <n v="20695"/>
    <n v="18112"/>
    <n v="2583"/>
    <m/>
  </r>
  <r>
    <x v="10"/>
    <s v="Junio"/>
    <n v="0.82157459351526096"/>
    <n v="0.87751993093992786"/>
    <n v="0.93624607777883428"/>
    <m/>
    <m/>
    <n v="21034"/>
    <n v="1341"/>
    <n v="19693"/>
    <n v="17281"/>
    <n v="2412"/>
    <m/>
  </r>
  <r>
    <x v="10"/>
    <s v="Julio"/>
    <n v="0.83433557896640598"/>
    <n v="0.88351048549267452"/>
    <n v="0.94434145679793824"/>
    <m/>
    <m/>
    <n v="22117"/>
    <n v="1231"/>
    <n v="20886"/>
    <n v="18453"/>
    <n v="2433"/>
    <m/>
  </r>
  <r>
    <x v="10"/>
    <s v="Agosto"/>
    <n v="0.85063945703864441"/>
    <n v="0.89337147844639475"/>
    <n v="0.95216769010572977"/>
    <m/>
    <m/>
    <n v="21659"/>
    <n v="1036"/>
    <n v="20623"/>
    <n v="18424"/>
    <n v="2199"/>
    <m/>
  </r>
  <r>
    <x v="10"/>
    <s v="Septiembre"/>
    <n v="0.8115125841016696"/>
    <n v="0.86304128902316213"/>
    <n v="0.94029404435584352"/>
    <m/>
    <m/>
    <n v="20065"/>
    <n v="1198"/>
    <n v="18867"/>
    <n v="16283"/>
    <n v="2584"/>
    <m/>
  </r>
  <r>
    <x v="10"/>
    <s v="Octubre"/>
    <n v="0.85443161807865387"/>
    <n v="0.89081544188892858"/>
    <n v="0.95915672079827818"/>
    <m/>
    <m/>
    <n v="20444"/>
    <n v="835"/>
    <n v="19609"/>
    <n v="17468"/>
    <n v="2141"/>
    <m/>
  </r>
  <r>
    <x v="10"/>
    <s v="Noviembre"/>
    <n v="0.83836162814481485"/>
    <n v="0.87556742323097458"/>
    <n v="0.95750664757619142"/>
    <m/>
    <m/>
    <n v="19556"/>
    <n v="831"/>
    <n v="18725"/>
    <n v="16395"/>
    <n v="2330"/>
    <m/>
  </r>
  <r>
    <x v="10"/>
    <s v="Diciembre"/>
    <n v="0.81000347342827372"/>
    <n v="0.8665463424992037"/>
    <n v="0.93474916885823456"/>
    <m/>
    <m/>
    <n v="20153"/>
    <n v="1315"/>
    <n v="18838"/>
    <n v="16324"/>
    <n v="2514"/>
    <m/>
  </r>
  <r>
    <x v="11"/>
    <s v="Enero"/>
    <n v="0.82744169994576744"/>
    <n v="0.88266540443883457"/>
    <n v="0.93743529063747966"/>
    <m/>
    <m/>
    <n v="20283"/>
    <n v="1269"/>
    <n v="19014"/>
    <n v="16783"/>
    <n v="2231"/>
    <m/>
  </r>
  <r>
    <x v="11"/>
    <s v="Febrero"/>
    <n v="0.80314919163726373"/>
    <n v="0.8637856819211599"/>
    <n v="0.92980146400547681"/>
    <m/>
    <m/>
    <n v="18989"/>
    <n v="1333"/>
    <n v="17656"/>
    <n v="15251"/>
    <n v="2405"/>
    <m/>
  </r>
  <r>
    <x v="11"/>
    <s v="Marzo"/>
    <n v="0.79673934015049197"/>
    <n v="0.84738111116811166"/>
    <n v="0.94023731429673929"/>
    <m/>
    <m/>
    <n v="20732"/>
    <n v="1239"/>
    <n v="19493"/>
    <n v="16518"/>
    <n v="2975"/>
    <m/>
  </r>
  <r>
    <x v="11"/>
    <s v="Abril"/>
    <n v="0.80240826283282296"/>
    <n v="0.85941408638612482"/>
    <n v="0.93366896766491925"/>
    <m/>
    <m/>
    <n v="19267"/>
    <n v="1278"/>
    <n v="17989"/>
    <n v="15460"/>
    <n v="2529"/>
    <m/>
  </r>
  <r>
    <x v="11"/>
    <s v="Mayo"/>
    <n v="0.72600946531064348"/>
    <n v="0.79791943337760074"/>
    <n v="0.90987815929916427"/>
    <m/>
    <m/>
    <n v="19862"/>
    <n v="1790"/>
    <n v="18072"/>
    <n v="14420"/>
    <n v="3652"/>
    <m/>
  </r>
  <r>
    <x v="11"/>
    <s v="Junio"/>
    <n v="0.60597453973728255"/>
    <n v="0.81058344640434188"/>
    <n v="0.74757823198255313"/>
    <m/>
    <m/>
    <n v="19717"/>
    <n v="4977"/>
    <n v="14740"/>
    <n v="11948"/>
    <n v="2792"/>
    <s v="Un incendio en el Puesto Central de Operaciones ocasionó una reducción en la cantidad de servicios"/>
  </r>
  <r>
    <x v="11"/>
    <s v="Julio"/>
    <n v="0.76606024749790469"/>
    <n v="0.87287231054435144"/>
    <n v="0.87763151407582707"/>
    <m/>
    <m/>
    <n v="20283"/>
    <n v="2482"/>
    <n v="17801"/>
    <n v="15538"/>
    <n v="2263"/>
    <m/>
  </r>
  <r>
    <x v="11"/>
    <s v="Agosto"/>
    <n v="0.70292264179030417"/>
    <n v="0.79152930658769627"/>
    <n v="0.88805636877884186"/>
    <m/>
    <m/>
    <n v="20153"/>
    <n v="2256"/>
    <n v="17897"/>
    <n v="14166"/>
    <n v="3731"/>
    <m/>
  </r>
  <r>
    <x v="11"/>
    <s v="Septiembre"/>
    <n v="0.70698790362891129"/>
    <n v="0.77306515085264538"/>
    <n v="0.91452564230730782"/>
    <m/>
    <m/>
    <n v="20006"/>
    <n v="1710"/>
    <n v="18296"/>
    <n v="14144"/>
    <n v="4152"/>
    <m/>
  </r>
  <r>
    <x v="11"/>
    <s v="Octubre"/>
    <n v="0.71806541962588777"/>
    <n v="0.80363839910439405"/>
    <n v="0.89351805541662499"/>
    <m/>
    <m/>
    <n v="19994"/>
    <n v="2129"/>
    <n v="17865"/>
    <n v="14357"/>
    <n v="3508"/>
    <m/>
  </r>
  <r>
    <x v="11"/>
    <s v="Noviembre"/>
    <n v="0.82823188695261396"/>
    <n v="0.87281624921069245"/>
    <n v="0.94891895940480353"/>
    <m/>
    <m/>
    <n v="20027"/>
    <n v="1023"/>
    <n v="19004"/>
    <n v="16587"/>
    <n v="2417"/>
    <m/>
  </r>
  <r>
    <x v="11"/>
    <s v="Diciembre"/>
    <n v="0.84834313873384626"/>
    <n v="0.89758459246648226"/>
    <n v="0.94514004123296624"/>
    <m/>
    <m/>
    <n v="19887"/>
    <n v="1091"/>
    <n v="18796"/>
    <n v="16871"/>
    <n v="1925"/>
    <m/>
  </r>
  <r>
    <x v="12"/>
    <s v="Enero"/>
    <n v="0.90468804723069995"/>
    <n v="0.94290034937685774"/>
    <n v="0.9594736578776204"/>
    <m/>
    <m/>
    <n v="19987"/>
    <n v="810"/>
    <n v="19177"/>
    <n v="18082"/>
    <n v="1095"/>
    <m/>
  </r>
  <r>
    <x v="12"/>
    <s v="Febrero"/>
    <n v="0.87641242937853103"/>
    <n v="0.92236007089360239"/>
    <n v="0.9501847023033464"/>
    <m/>
    <m/>
    <n v="18408"/>
    <n v="917"/>
    <n v="17491"/>
    <n v="16133"/>
    <n v="1358"/>
    <m/>
  </r>
  <r>
    <x v="12"/>
    <s v="Marzo"/>
    <n v="0.83769659320613321"/>
    <n v="0.88264935064935068"/>
    <n v="0.94907065029827931"/>
    <m/>
    <m/>
    <n v="20283"/>
    <n v="1033"/>
    <n v="19250"/>
    <n v="16991"/>
    <n v="2259"/>
    <m/>
  </r>
  <r>
    <x v="12"/>
    <s v="Abril"/>
    <n v="0.78973467614130155"/>
    <n v="0.84632663123870044"/>
    <n v="0.93313225295230307"/>
    <m/>
    <m/>
    <n v="19561"/>
    <n v="1308"/>
    <n v="18253"/>
    <n v="15448"/>
    <n v="2805"/>
    <m/>
  </r>
  <r>
    <x v="12"/>
    <s v="Mayo"/>
    <n v="0.79006602641056423"/>
    <n v="0.83624523506988568"/>
    <n v="0.94477791116446574"/>
    <m/>
    <m/>
    <n v="19992"/>
    <n v="1104"/>
    <n v="18888"/>
    <n v="15795"/>
    <n v="3093"/>
    <m/>
  </r>
  <r>
    <x v="12"/>
    <s v="Junio"/>
    <n v="0.80622484845397591"/>
    <n v="0.84954374664519594"/>
    <n v="0.94900922011104882"/>
    <m/>
    <m/>
    <n v="19631"/>
    <n v="1001"/>
    <n v="18630"/>
    <n v="15827"/>
    <n v="2803"/>
    <m/>
  </r>
  <r>
    <x v="12"/>
    <s v="Julio"/>
    <n v="0.77886154461784718"/>
    <n v="0.84053981106612685"/>
    <n v="0.92662064825930368"/>
    <m/>
    <m/>
    <n v="19992"/>
    <n v="1467"/>
    <n v="18525"/>
    <n v="15571"/>
    <n v="2954"/>
    <m/>
  </r>
  <r>
    <x v="12"/>
    <s v="Agosto"/>
    <n v="0.80860819405413398"/>
    <n v="0.87295081967213117"/>
    <n v="0.92629295469112061"/>
    <m/>
    <m/>
    <n v="20283"/>
    <n v="1495"/>
    <n v="18788"/>
    <n v="16401"/>
    <n v="2387"/>
    <m/>
  </r>
  <r>
    <x v="12"/>
    <s v="Septiembre"/>
    <n v="0.84807576062865198"/>
    <n v="0.88165060745705903"/>
    <n v="0.96191819464033845"/>
    <m/>
    <m/>
    <n v="19852"/>
    <n v="756"/>
    <n v="19096"/>
    <n v="16836"/>
    <n v="2260"/>
    <m/>
  </r>
  <r>
    <x v="12"/>
    <s v="Octubre"/>
    <n v="0.84262757543700573"/>
    <n v="0.88143542182642143"/>
    <n v="0.95597199133544908"/>
    <m/>
    <m/>
    <n v="19851"/>
    <n v="874"/>
    <n v="18977"/>
    <n v="16727"/>
    <n v="2250"/>
    <m/>
  </r>
  <r>
    <x v="12"/>
    <s v="Noviembre"/>
    <n v="0.84301096910536377"/>
    <n v="0.88533079687169736"/>
    <n v="0.95219885277246652"/>
    <m/>
    <m/>
    <n v="19874"/>
    <n v="950"/>
    <n v="18924"/>
    <n v="16754"/>
    <n v="2170"/>
    <m/>
  </r>
  <r>
    <x v="12"/>
    <s v="Diciembre"/>
    <n v="0.78920716874348407"/>
    <n v="0.83884755421877477"/>
    <n v="0.94082311472968272"/>
    <m/>
    <m/>
    <n v="20143"/>
    <n v="1192"/>
    <n v="18951"/>
    <n v="15897"/>
    <n v="3054"/>
    <m/>
  </r>
  <r>
    <x v="13"/>
    <s v="Enero"/>
    <n v="0.83481901009603543"/>
    <n v="0.87574912171936348"/>
    <n v="0.95326274316670767"/>
    <m/>
    <m/>
    <n v="20305"/>
    <n v="949"/>
    <n v="19356"/>
    <n v="16951"/>
    <n v="2405"/>
    <m/>
  </r>
  <r>
    <x v="13"/>
    <s v="Febrero"/>
    <n v="0.83166919904493164"/>
    <n v="0.87178612059158134"/>
    <n v="0.95398306924245713"/>
    <m/>
    <m/>
    <n v="18428"/>
    <n v="848"/>
    <n v="17580"/>
    <n v="15326"/>
    <n v="2254"/>
    <m/>
  </r>
  <r>
    <x v="13"/>
    <s v="Marzo"/>
    <n v="0.81945333661659692"/>
    <n v="0.8606972894682392"/>
    <n v="0.95208076828367394"/>
    <m/>
    <m/>
    <n v="20305"/>
    <n v="973"/>
    <n v="19332"/>
    <n v="16639"/>
    <n v="2693"/>
    <m/>
  </r>
  <r>
    <x v="13"/>
    <s v="Abril"/>
    <n v="0.76798410706817233"/>
    <n v="0.82407719062044205"/>
    <n v="0.93193224592220825"/>
    <m/>
    <m/>
    <n v="19128"/>
    <n v="1302"/>
    <n v="17826"/>
    <n v="14690"/>
    <n v="3136"/>
    <m/>
  </r>
  <r>
    <x v="13"/>
    <s v="Mayo"/>
    <n v="0.72183080997351723"/>
    <n v="0.76946841376371578"/>
    <n v="0.93809024134312702"/>
    <m/>
    <m/>
    <n v="20013"/>
    <n v="1239"/>
    <n v="18774"/>
    <n v="14446"/>
    <n v="4328"/>
    <m/>
  </r>
  <r>
    <x v="13"/>
    <s v="Junio"/>
    <n v="0.7831171484015933"/>
    <n v="0.82009733140809671"/>
    <n v="0.95490756817485445"/>
    <m/>
    <m/>
    <n v="19582"/>
    <n v="883"/>
    <n v="18699"/>
    <n v="15335"/>
    <n v="3364"/>
    <m/>
  </r>
  <r>
    <x v="13"/>
    <s v="Julio"/>
    <n v="0.799036886263218"/>
    <n v="0.8440843297671492"/>
    <n v="0.94663158417316184"/>
    <m/>
    <m/>
    <n v="20143"/>
    <n v="1075"/>
    <n v="19068"/>
    <n v="16095"/>
    <n v="2973"/>
    <m/>
  </r>
  <r>
    <x v="13"/>
    <s v="Agosto"/>
    <n v="0.81881310022162024"/>
    <n v="0.86409230289485994"/>
    <n v="0.94759911351883774"/>
    <m/>
    <m/>
    <n v="20305"/>
    <n v="1064"/>
    <n v="19241"/>
    <n v="16626"/>
    <n v="2615"/>
    <m/>
  </r>
  <r>
    <x v="13"/>
    <s v="Septiembre"/>
    <n v="0.80768060064935066"/>
    <n v="0.8654598825831703"/>
    <n v="0.93323863636363635"/>
    <m/>
    <m/>
    <n v="19712"/>
    <n v="1316"/>
    <n v="18396"/>
    <n v="15921"/>
    <n v="2475"/>
    <m/>
  </r>
  <r>
    <x v="13"/>
    <s v="Octubre"/>
    <n v="0.77269774646479783"/>
    <n v="0.81449489097229533"/>
    <n v="0.94868335581871788"/>
    <m/>
    <m/>
    <n v="20013"/>
    <n v="1027"/>
    <n v="18986"/>
    <n v="15464"/>
    <n v="3522"/>
    <m/>
  </r>
  <r>
    <x v="13"/>
    <s v="Noviembre"/>
    <n v="0.76200060380396495"/>
    <n v="0.80360838418678693"/>
    <n v="0.94822381000301903"/>
    <m/>
    <m/>
    <n v="19874"/>
    <n v="1029"/>
    <n v="18845"/>
    <n v="15144"/>
    <n v="3701"/>
    <m/>
  </r>
  <r>
    <x v="13"/>
    <s v="Diciembre"/>
    <n v="0.72416790224449101"/>
    <n v="0.77708893399901247"/>
    <n v="0.93189835881180016"/>
    <m/>
    <m/>
    <n v="19559"/>
    <n v="1332"/>
    <n v="18227"/>
    <n v="14164"/>
    <n v="4063"/>
    <m/>
  </r>
  <r>
    <x v="14"/>
    <s v="Enero"/>
    <n v="0.75917261758187637"/>
    <n v="0.81478936518843492"/>
    <n v="0.93174095050480177"/>
    <m/>
    <m/>
    <n v="20305"/>
    <n v="1386"/>
    <n v="18919"/>
    <n v="15415"/>
    <n v="3504"/>
    <m/>
  </r>
  <r>
    <x v="14"/>
    <s v="Febrero"/>
    <n v="0.68281962231387017"/>
    <n v="0.7375300392708517"/>
    <n v="0.92581940525287609"/>
    <m/>
    <m/>
    <n v="18428"/>
    <n v="1367"/>
    <n v="17061"/>
    <n v="12583"/>
    <n v="4478"/>
    <m/>
  </r>
  <r>
    <x v="14"/>
    <s v="Marzo"/>
    <n v="0.65180989903964537"/>
    <n v="0.70919515593184013"/>
    <n v="0.91908396946564885"/>
    <m/>
    <m/>
    <n v="20305"/>
    <n v="1643"/>
    <n v="18662"/>
    <n v="13235"/>
    <n v="5427"/>
    <m/>
  </r>
  <r>
    <x v="14"/>
    <s v="Abril"/>
    <n v="0.61606484893146651"/>
    <n v="0.67629723795215535"/>
    <n v="0.9109379934729972"/>
    <m/>
    <m/>
    <n v="18998"/>
    <n v="1692"/>
    <n v="17306"/>
    <n v="11704"/>
    <n v="5602"/>
    <m/>
  </r>
  <r>
    <x v="14"/>
    <s v="Mayo"/>
    <n v="0.60340778493978908"/>
    <n v="0.66198881701567813"/>
    <n v="0.91150752011192726"/>
    <m/>
    <m/>
    <n v="20013"/>
    <n v="1771"/>
    <n v="18242"/>
    <n v="12076"/>
    <n v="6166"/>
    <m/>
  </r>
  <r>
    <x v="14"/>
    <s v="Junio"/>
    <n v="0.60736354273944382"/>
    <n v="0.66956176203451412"/>
    <n v="0.90710607621009265"/>
    <m/>
    <m/>
    <n v="19420"/>
    <n v="1804"/>
    <n v="17616"/>
    <n v="11795"/>
    <n v="5821"/>
    <m/>
  </r>
  <r>
    <x v="14"/>
    <s v="Julio"/>
    <n v="0.6611202718233149"/>
    <n v="0.71195652173913049"/>
    <n v="0.9285964123319842"/>
    <m/>
    <m/>
    <n v="20013"/>
    <n v="1429"/>
    <n v="18584"/>
    <n v="13231"/>
    <n v="5353"/>
    <m/>
  </r>
  <r>
    <x v="14"/>
    <s v="Agosto"/>
    <n v="0.64654026101945339"/>
    <n v="0.6938322498810845"/>
    <n v="0.93183944841172128"/>
    <m/>
    <m/>
    <n v="20305"/>
    <n v="1384"/>
    <n v="18921"/>
    <n v="13128"/>
    <n v="5793"/>
    <m/>
  </r>
  <r>
    <x v="14"/>
    <s v="Septiembre"/>
    <n v="0.58594678377680187"/>
    <n v="0.64617400717907814"/>
    <n v="0.90679411004908295"/>
    <m/>
    <m/>
    <n v="19355"/>
    <n v="1804"/>
    <n v="17551"/>
    <n v="11341"/>
    <n v="6210"/>
    <m/>
  </r>
  <r>
    <x v="14"/>
    <s v="Octubre"/>
    <n v="0.67653508771929827"/>
    <n v="0.73695640371355664"/>
    <n v="0.91801236044657097"/>
    <m/>
    <m/>
    <n v="20064"/>
    <n v="1645"/>
    <n v="18419"/>
    <n v="13574"/>
    <n v="4845"/>
    <m/>
  </r>
  <r>
    <x v="14"/>
    <s v="Noviembre"/>
    <n v="0.7048440065681445"/>
    <n v="0.75447654619356253"/>
    <n v="0.93421592775041051"/>
    <m/>
    <m/>
    <n v="19488"/>
    <n v="1282"/>
    <n v="18206"/>
    <n v="13736"/>
    <n v="4470"/>
    <m/>
  </r>
  <r>
    <x v="14"/>
    <s v="Diciembre"/>
    <n v="0.76605078447564001"/>
    <n v="0.80817815528694326"/>
    <n v="0.94787365813377378"/>
    <m/>
    <m/>
    <n v="19376"/>
    <n v="1010"/>
    <n v="18366"/>
    <n v="14843"/>
    <n v="3523"/>
    <m/>
  </r>
  <r>
    <x v="15"/>
    <s v="Enero"/>
    <n v="0.81164658634538156"/>
    <n v="0.85436482773198053"/>
    <n v="0.95"/>
    <m/>
    <m/>
    <n v="19920"/>
    <n v="996"/>
    <n v="18924"/>
    <n v="16168"/>
    <n v="2756"/>
    <m/>
  </r>
  <r>
    <x v="15"/>
    <s v="Febrero"/>
    <n v="0.607059199318569"/>
    <n v="0.65238285943131757"/>
    <n v="0.93052597955706984"/>
    <m/>
    <m/>
    <n v="18784"/>
    <n v="1305"/>
    <n v="17479"/>
    <n v="11403"/>
    <n v="6076"/>
    <m/>
  </r>
  <r>
    <x v="15"/>
    <s v="Marzo"/>
    <n v="0.69528610779065536"/>
    <n v="0.74108132062929311"/>
    <n v="0.93820487500649652"/>
    <m/>
    <m/>
    <n v="19241"/>
    <n v="1189"/>
    <n v="18052"/>
    <n v="13378"/>
    <n v="4674"/>
    <m/>
  </r>
  <r>
    <x v="15"/>
    <s v="Abril"/>
    <n v="0.71731890091590345"/>
    <n v="0.7633181969210322"/>
    <n v="0.93973771856786015"/>
    <m/>
    <m/>
    <n v="19216"/>
    <n v="1158"/>
    <n v="18058"/>
    <n v="13784"/>
    <n v="4274"/>
    <m/>
  </r>
  <r>
    <x v="15"/>
    <s v="Mayo"/>
    <n v="0.70024768740838095"/>
    <n v="0.7452657628577577"/>
    <n v="0.93959460142546636"/>
    <m/>
    <m/>
    <n v="19783"/>
    <n v="1195"/>
    <n v="18588"/>
    <n v="13853"/>
    <n v="4735"/>
    <m/>
  </r>
  <r>
    <x v="15"/>
    <s v="Junio"/>
    <n v="0.7066772235418316"/>
    <n v="0.75188138829607998"/>
    <n v="0.93987859593560308"/>
    <m/>
    <m/>
    <n v="18945"/>
    <n v="1139"/>
    <n v="17806"/>
    <n v="13388"/>
    <n v="4418"/>
    <m/>
  </r>
  <r>
    <x v="15"/>
    <s v="Julio"/>
    <n v="0.68142570281124493"/>
    <n v="0.75160575858250278"/>
    <n v="0.90662650602409633"/>
    <m/>
    <m/>
    <n v="19920"/>
    <n v="1860"/>
    <n v="18060"/>
    <n v="13574"/>
    <n v="4486"/>
    <m/>
  </r>
  <r>
    <x v="15"/>
    <s v="Agosto"/>
    <n v="0.70646715178845954"/>
    <n v="0.77562732080567121"/>
    <n v="0.91083324792456699"/>
    <m/>
    <m/>
    <n v="19514"/>
    <n v="1740"/>
    <n v="17774"/>
    <n v="13786"/>
    <n v="3988"/>
    <m/>
  </r>
  <r>
    <x v="15"/>
    <s v="Septiembre"/>
    <n v="0.7342330784625648"/>
    <n v="0.79546339022627455"/>
    <n v="0.92302560681479962"/>
    <m/>
    <m/>
    <n v="19487"/>
    <n v="1500"/>
    <n v="17987"/>
    <n v="14308"/>
    <n v="3679"/>
    <m/>
  </r>
  <r>
    <x v="15"/>
    <s v="Octubre"/>
    <n v="0.7782741830229406"/>
    <n v="0.80813135261923374"/>
    <n v="0.96305406355102652"/>
    <m/>
    <m/>
    <n v="19921"/>
    <n v="736"/>
    <n v="19185"/>
    <n v="15504"/>
    <n v="3681"/>
    <m/>
  </r>
  <r>
    <x v="15"/>
    <s v="Noviembre"/>
    <n v="0.76652167077197209"/>
    <n v="0.82030286034772859"/>
    <n v="0.93443739845920026"/>
    <m/>
    <m/>
    <n v="19081"/>
    <n v="1251"/>
    <n v="17830"/>
    <n v="14626"/>
    <n v="3204"/>
    <m/>
  </r>
  <r>
    <x v="15"/>
    <s v="Diciembre"/>
    <n v="0.8270558375634518"/>
    <n v="0.85734582193222475"/>
    <n v="0.96467005076142132"/>
    <m/>
    <m/>
    <n v="19700"/>
    <n v="696"/>
    <n v="19004"/>
    <n v="16293"/>
    <n v="2711"/>
    <m/>
  </r>
  <r>
    <x v="16"/>
    <s v="Enero"/>
    <n v="0.86347493196808267"/>
    <n v="0.89415866647561737"/>
    <n v="0.96568423965684236"/>
    <m/>
    <m/>
    <n v="21681"/>
    <n v="744"/>
    <n v="20937"/>
    <n v="18721"/>
    <n v="2216"/>
    <m/>
  </r>
  <r>
    <x v="16"/>
    <s v="Febrero"/>
    <n v="0.88188142770719902"/>
    <n v="0.90384416658055178"/>
    <n v="0.97570074611816904"/>
    <m/>
    <m/>
    <n v="19836"/>
    <n v="482"/>
    <n v="19354"/>
    <n v="17493"/>
    <n v="1861"/>
    <m/>
  </r>
  <r>
    <x v="16"/>
    <s v="Marzo"/>
    <n v="0.84908197329376855"/>
    <n v="0.87764784817406305"/>
    <n v="0.96745178041543023"/>
    <m/>
    <m/>
    <n v="21568"/>
    <n v="702"/>
    <n v="20866"/>
    <n v="18313"/>
    <n v="2553"/>
    <m/>
  </r>
  <r>
    <x v="16"/>
    <s v="Abril"/>
    <n v="0.83445406608291806"/>
    <n v="0.87129363034803253"/>
    <n v="0.95771854288616898"/>
    <m/>
    <m/>
    <n v="20671"/>
    <n v="874"/>
    <n v="19797"/>
    <n v="17249"/>
    <n v="2548"/>
    <m/>
  </r>
  <r>
    <x v="16"/>
    <s v="Mayo"/>
    <n v="0.83072559678562985"/>
    <n v="0.86083761939750181"/>
    <n v="0.96502008981328291"/>
    <m/>
    <m/>
    <n v="21155"/>
    <n v="740"/>
    <n v="20415"/>
    <n v="17574"/>
    <n v="2841"/>
    <m/>
  </r>
  <r>
    <x v="16"/>
    <s v="Junio"/>
    <n v="0.85094375414967272"/>
    <n v="0.87335118033584813"/>
    <n v="0.97434316608176041"/>
    <m/>
    <m/>
    <n v="21086"/>
    <n v="541"/>
    <n v="20545"/>
    <n v="17943"/>
    <n v="2602"/>
    <m/>
  </r>
  <r>
    <x v="16"/>
    <s v="Julio"/>
    <n v="0.88805008285766895"/>
    <n v="0.91884168413031053"/>
    <n v="0.96648867611857858"/>
    <m/>
    <m/>
    <n v="21724"/>
    <n v="728"/>
    <n v="20996"/>
    <n v="19292"/>
    <n v="1704"/>
    <m/>
  </r>
  <r>
    <x v="16"/>
    <s v="Agosto"/>
    <n v="0.88628200942208124"/>
    <n v="0.90679583850338841"/>
    <n v="0.97737767619758387"/>
    <m/>
    <m/>
    <n v="21439"/>
    <n v="485"/>
    <n v="20954"/>
    <n v="19001"/>
    <n v="1953"/>
    <m/>
  </r>
  <r>
    <x v="16"/>
    <s v="Septiembre"/>
    <n v="0.87160771102376944"/>
    <n v="0.89855771549852881"/>
    <n v="0.97000748643084411"/>
    <m/>
    <m/>
    <n v="21372"/>
    <n v="641"/>
    <n v="20731"/>
    <n v="18628"/>
    <n v="2103"/>
    <m/>
  </r>
  <r>
    <x v="16"/>
    <s v="Octubre"/>
    <n v="0.8832681242807825"/>
    <n v="0.91055328841226157"/>
    <n v="0.97003452243958577"/>
    <m/>
    <m/>
    <n v="21725"/>
    <n v="651"/>
    <n v="21074"/>
    <n v="19189"/>
    <n v="1885"/>
    <m/>
  </r>
  <r>
    <x v="16"/>
    <s v="Noviembre"/>
    <n v="0.89623446836763732"/>
    <n v="0.91600019388299159"/>
    <n v="0.97842170160295927"/>
    <m/>
    <m/>
    <n v="21086"/>
    <n v="455"/>
    <n v="20631"/>
    <n v="18898"/>
    <n v="1733"/>
    <m/>
  </r>
  <r>
    <x v="16"/>
    <s v="Diciembre"/>
    <n v="0.90389429763560503"/>
    <n v="0.93515276512062928"/>
    <n v="0.96657394529439034"/>
    <m/>
    <m/>
    <n v="21570"/>
    <n v="721"/>
    <n v="20849"/>
    <n v="19497"/>
    <n v="1352"/>
    <m/>
  </r>
  <r>
    <x v="17"/>
    <s v="Enero"/>
    <n v="0.89246057665391432"/>
    <n v="0.92881767419276529"/>
    <n v="0.96085658299897359"/>
    <m/>
    <m/>
    <n v="21434"/>
    <n v="839"/>
    <n v="20595"/>
    <n v="19129"/>
    <n v="1466"/>
    <m/>
  </r>
  <r>
    <x v="17"/>
    <s v="Febrero"/>
    <n v="0.90774349667271625"/>
    <n v="0.93247022268254787"/>
    <n v="0.97348255696713049"/>
    <m/>
    <m/>
    <n v="19836"/>
    <n v="526"/>
    <n v="19310"/>
    <n v="18006"/>
    <n v="1304"/>
    <m/>
  </r>
  <r>
    <x v="17"/>
    <s v="Marzo"/>
    <n v="0.92321771758030569"/>
    <n v="0.93763360907147508"/>
    <n v="0.98462524023062137"/>
    <m/>
    <m/>
    <n v="21854"/>
    <n v="336"/>
    <n v="21518"/>
    <n v="20176"/>
    <n v="1342"/>
    <m/>
  </r>
  <r>
    <x v="17"/>
    <s v="Abril"/>
    <n v="0.90551631990837944"/>
    <n v="0.92737757794936959"/>
    <n v="0.97642679900744422"/>
    <m/>
    <m/>
    <n v="20956"/>
    <n v="494"/>
    <n v="20462"/>
    <n v="18976"/>
    <n v="1486"/>
    <m/>
  </r>
  <r>
    <x v="17"/>
    <s v="Mayo"/>
    <n v="0.85208026946249826"/>
    <n v="0.87781633351253607"/>
    <n v="0.97068172114426676"/>
    <m/>
    <m/>
    <n v="21079"/>
    <n v="618"/>
    <n v="20461"/>
    <n v="17961"/>
    <n v="2500"/>
    <m/>
  </r>
  <r>
    <x v="17"/>
    <s v="Junio"/>
    <n v="0.87846912420756051"/>
    <n v="0.90424400618716161"/>
    <n v="0.97149565625733736"/>
    <m/>
    <m/>
    <n v="21295"/>
    <n v="607"/>
    <n v="20688"/>
    <n v="18707"/>
    <n v="1981"/>
    <m/>
  </r>
  <r>
    <x v="17"/>
    <s v="Julio"/>
    <n v="0.87871332239839617"/>
    <n v="0.92022139517129498"/>
    <n v="0.95489338436303994"/>
    <m/>
    <m/>
    <n v="21948"/>
    <n v="990"/>
    <n v="20958"/>
    <n v="19286"/>
    <n v="1672"/>
    <m/>
  </r>
  <r>
    <x v="17"/>
    <s v="Agosto"/>
    <n v="0.90397761159792633"/>
    <n v="0.92537453623256472"/>
    <n v="0.97687755195669124"/>
    <m/>
    <m/>
    <n v="21797"/>
    <n v="504"/>
    <n v="21293"/>
    <n v="19704"/>
    <n v="1589"/>
    <m/>
  </r>
  <r>
    <x v="17"/>
    <s v="Septiembre"/>
    <n v="0.89290012033694344"/>
    <n v="0.91919191919191923"/>
    <n v="0.97139683421271872"/>
    <m/>
    <m/>
    <n v="21606"/>
    <n v="618"/>
    <n v="20988"/>
    <n v="19292"/>
    <n v="1696"/>
    <m/>
  </r>
  <r>
    <x v="17"/>
    <s v="Octubre"/>
    <n v="0.85793702700177521"/>
    <n v="0.91309103564858551"/>
    <n v="0.93959637484817338"/>
    <m/>
    <m/>
    <n v="21406"/>
    <n v="1293"/>
    <n v="20113"/>
    <n v="18365"/>
    <n v="1748"/>
    <m/>
  </r>
  <r>
    <x v="17"/>
    <s v="Noviembre"/>
    <n v="0.88763781374618811"/>
    <n v="0.92554544565111041"/>
    <n v="0.95904292751583387"/>
    <m/>
    <m/>
    <n v="21315"/>
    <n v="873"/>
    <n v="20442"/>
    <n v="18920"/>
    <n v="1522"/>
    <m/>
  </r>
  <r>
    <x v="17"/>
    <s v="Diciembre"/>
    <n v="0.86600885282183693"/>
    <n v="0.92485719913334652"/>
    <n v="0.93637034304684619"/>
    <m/>
    <m/>
    <n v="21688"/>
    <n v="1380"/>
    <n v="20308"/>
    <n v="18782"/>
    <n v="1526"/>
    <m/>
  </r>
  <r>
    <x v="18"/>
    <s v="Enero"/>
    <n v="0.83235509904622162"/>
    <n v="0.89759185086287885"/>
    <n v="0.92732024944974323"/>
    <m/>
    <m/>
    <n v="21808"/>
    <n v="1585"/>
    <n v="20223"/>
    <n v="18152"/>
    <n v="2071"/>
    <m/>
  </r>
  <r>
    <x v="18"/>
    <s v="Febrero"/>
    <n v="0.8188571998404468"/>
    <n v="0.89792236194641883"/>
    <n v="0.91194654966094935"/>
    <m/>
    <m/>
    <n v="20056"/>
    <n v="1766"/>
    <n v="18290"/>
    <n v="16423"/>
    <n v="1867"/>
    <m/>
  </r>
  <r>
    <x v="18"/>
    <s v="Marzo"/>
    <n v="0.86947725027055001"/>
    <n v="0.91885038038884193"/>
    <n v="0.94626640944807794"/>
    <m/>
    <m/>
    <n v="21253"/>
    <n v="1142"/>
    <n v="20111"/>
    <n v="18479"/>
    <n v="1632"/>
    <m/>
  </r>
  <r>
    <x v="18"/>
    <s v="Abril"/>
    <n v="0.84179332759774406"/>
    <n v="0.87774732120608023"/>
    <n v="0.95903833285536755"/>
    <m/>
    <m/>
    <n v="20922"/>
    <n v="857"/>
    <n v="20065"/>
    <n v="17612"/>
    <n v="2453"/>
    <m/>
  </r>
  <r>
    <x v="18"/>
    <s v="Mayo"/>
    <n v="0.83604752511583103"/>
    <n v="0.86810517290654476"/>
    <n v="0.96307170053672186"/>
    <m/>
    <m/>
    <n v="21799"/>
    <n v="805"/>
    <n v="20994"/>
    <n v="18225"/>
    <n v="2769"/>
    <m/>
  </r>
  <r>
    <x v="18"/>
    <s v="Junio"/>
    <n v="0.83584246096481007"/>
    <n v="0.86909954444121351"/>
    <n v="0.96173386157072949"/>
    <m/>
    <m/>
    <n v="21455"/>
    <n v="821"/>
    <n v="20634"/>
    <n v="17933"/>
    <n v="2701"/>
    <m/>
  </r>
  <r>
    <x v="18"/>
    <s v="Julio"/>
    <n v="0.84213374216530645"/>
    <n v="0.89047823391980163"/>
    <n v="0.94570951887090227"/>
    <m/>
    <m/>
    <n v="22177"/>
    <n v="1204"/>
    <n v="20973"/>
    <n v="18676"/>
    <n v="2297"/>
    <m/>
  </r>
  <r>
    <x v="18"/>
    <s v="Agosto"/>
    <n v="0.86484441080888574"/>
    <n v="0.89952308190952446"/>
    <n v="0.9614477140186084"/>
    <m/>
    <m/>
    <n v="22463"/>
    <n v="866"/>
    <n v="21597"/>
    <n v="19427"/>
    <n v="2170"/>
    <m/>
  </r>
  <r>
    <x v="18"/>
    <s v="Septiembre"/>
    <n v="0.89177508870894373"/>
    <n v="0.92593642246469232"/>
    <n v="0.9631061777818215"/>
    <m/>
    <m/>
    <n v="21982"/>
    <n v="811"/>
    <n v="21171"/>
    <n v="19603"/>
    <n v="1568"/>
    <m/>
  </r>
  <r>
    <x v="18"/>
    <s v="Octubre"/>
    <n v="0.89935565840820397"/>
    <n v="0.93060381256456004"/>
    <n v="0.96642163535711045"/>
    <m/>
    <m/>
    <n v="22038"/>
    <n v="740"/>
    <n v="21298"/>
    <n v="19820"/>
    <n v="1478"/>
    <m/>
  </r>
  <r>
    <x v="18"/>
    <s v="Noviembre"/>
    <n v="0.91334624608005899"/>
    <n v="0.93938244082910405"/>
    <n v="0.9722837114923446"/>
    <m/>
    <m/>
    <n v="21684"/>
    <n v="601"/>
    <n v="21083"/>
    <n v="19805"/>
    <n v="1278"/>
    <m/>
  </r>
  <r>
    <x v="18"/>
    <s v="Diciembre"/>
    <n v="0.90013605442176869"/>
    <n v="0.92204775620180246"/>
    <n v="0.97623582766439909"/>
    <m/>
    <m/>
    <n v="22050"/>
    <n v="524"/>
    <n v="21526"/>
    <n v="19848"/>
    <n v="1678"/>
    <m/>
  </r>
  <r>
    <x v="19"/>
    <s v="Enero"/>
    <n v="0.92071406312602944"/>
    <n v="0.9394077034883721"/>
    <n v="0.98010060989182213"/>
    <m/>
    <m/>
    <n v="22463"/>
    <n v="447"/>
    <n v="22016"/>
    <n v="20682"/>
    <n v="1334"/>
    <m/>
  </r>
  <r>
    <x v="19"/>
    <s v="Febrero"/>
    <n v="0.8822978765334778"/>
    <n v="0.90668826894840771"/>
    <n v="0.97309947282849685"/>
    <m/>
    <m/>
    <n v="20297"/>
    <n v="546"/>
    <n v="19751"/>
    <n v="17908"/>
    <n v="1843"/>
    <m/>
  </r>
  <r>
    <x v="19"/>
    <s v="Marzo"/>
    <n v="0.84369299221357064"/>
    <n v="0.88068366541266085"/>
    <n v="0.95799777530589547"/>
    <m/>
    <m/>
    <n v="22475"/>
    <n v="944"/>
    <n v="21531"/>
    <n v="18962"/>
    <n v="2569"/>
    <m/>
  </r>
  <r>
    <x v="19"/>
    <s v="Abril"/>
    <n v="0.74277694429656871"/>
    <n v="0.83590218397690763"/>
    <n v="0.88859313749213575"/>
    <m/>
    <m/>
    <n v="20663"/>
    <n v="2302"/>
    <n v="18361"/>
    <n v="15348"/>
    <n v="3013"/>
    <m/>
  </r>
  <r>
    <x v="19"/>
    <s v="Mayo"/>
    <n v="0.71418903676968193"/>
    <n v="0.78308186989859019"/>
    <n v="0.91202346041055715"/>
    <m/>
    <m/>
    <n v="22165"/>
    <n v="1950"/>
    <n v="20215"/>
    <n v="15830"/>
    <n v="4385"/>
    <m/>
  </r>
  <r>
    <x v="19"/>
    <s v="Junio"/>
    <n v="0.76732420515200739"/>
    <n v="0.80346034214618978"/>
    <n v="0.95502436760269205"/>
    <m/>
    <m/>
    <n v="21545"/>
    <n v="969"/>
    <n v="20576"/>
    <n v="16532"/>
    <n v="4044"/>
    <m/>
  </r>
  <r>
    <x v="19"/>
    <s v="Julio"/>
    <n v="0.77667493796526055"/>
    <n v="0.82661096706040527"/>
    <n v="0.93958944281524925"/>
    <m/>
    <m/>
    <n v="22165"/>
    <n v="1339"/>
    <n v="20826"/>
    <n v="17215"/>
    <n v="3611"/>
    <m/>
  </r>
  <r>
    <x v="19"/>
    <s v="Agosto"/>
    <n v="0.75294483708938975"/>
    <n v="0.84340768771161123"/>
    <n v="0.89274125438947416"/>
    <m/>
    <m/>
    <n v="22497"/>
    <n v="2413"/>
    <n v="20084"/>
    <n v="16939"/>
    <n v="3145"/>
    <m/>
  </r>
  <r>
    <x v="19"/>
    <s v="Septiembre"/>
    <n v="0.69386220509446372"/>
    <n v="0.80422703998256895"/>
    <n v="0.86276905724222197"/>
    <m/>
    <m/>
    <n v="21278"/>
    <n v="2920"/>
    <n v="18358"/>
    <n v="14764"/>
    <n v="3594"/>
    <m/>
  </r>
  <r>
    <x v="19"/>
    <s v="Octubre"/>
    <n v="0.76152990882810767"/>
    <n v="0.85057870945308234"/>
    <n v="0.89530798309984438"/>
    <m/>
    <m/>
    <n v="22485"/>
    <n v="2354"/>
    <n v="20131"/>
    <n v="17123"/>
    <n v="3008"/>
    <m/>
  </r>
  <r>
    <x v="19"/>
    <s v="Noviembre"/>
    <n v="0.75240727942870311"/>
    <n v="0.84660445826853292"/>
    <n v="0.88873531444367659"/>
    <m/>
    <m/>
    <n v="21705"/>
    <n v="2415"/>
    <n v="19290"/>
    <n v="16331"/>
    <n v="2959"/>
    <m/>
  </r>
  <r>
    <x v="19"/>
    <s v="Diciembre"/>
    <n v="0.79268123642748234"/>
    <n v="0.88011080900836203"/>
    <n v="0.90066072171140787"/>
    <m/>
    <m/>
    <n v="21643"/>
    <n v="2150"/>
    <n v="19493"/>
    <n v="17156"/>
    <n v="2337"/>
    <m/>
  </r>
  <r>
    <x v="20"/>
    <s v="Enero"/>
    <n v="0.84742630487694948"/>
    <n v="0.90690270609232548"/>
    <n v="0.9344181015054539"/>
    <m/>
    <m/>
    <n v="22186"/>
    <n v="1455"/>
    <n v="20731"/>
    <n v="18801"/>
    <n v="1930"/>
    <m/>
  </r>
  <r>
    <x v="20"/>
    <s v="Febrero"/>
    <n v="0.81701625724396121"/>
    <n v="0.85146980224478885"/>
    <n v="0.95953638648135797"/>
    <m/>
    <m/>
    <n v="19499"/>
    <n v="789"/>
    <n v="18710"/>
    <n v="15931"/>
    <n v="2779"/>
    <m/>
  </r>
  <r>
    <x v="20"/>
    <s v="Marzo"/>
    <n v="0.7135174551089235"/>
    <n v="0.76756385743001421"/>
    <n v="0.92958709324582989"/>
    <m/>
    <m/>
    <n v="21942"/>
    <n v="1545"/>
    <n v="20397"/>
    <n v="15656"/>
    <n v="4741"/>
    <m/>
  </r>
  <r>
    <x v="20"/>
    <s v="Abril"/>
    <n v="0.62900813312143589"/>
    <n v="0.74541627430343982"/>
    <n v="0.84383472001495752"/>
    <m/>
    <m/>
    <n v="21394"/>
    <n v="3341"/>
    <n v="18053"/>
    <n v="13457"/>
    <n v="4596"/>
    <m/>
  </r>
  <r>
    <x v="20"/>
    <s v="Mayo"/>
    <n v="0.61907938625750503"/>
    <n v="0.72300420713655011"/>
    <n v="0.85625972870802758"/>
    <m/>
    <m/>
    <n v="22485"/>
    <n v="3232"/>
    <n v="19253"/>
    <n v="13920"/>
    <n v="5333"/>
    <m/>
  </r>
  <r>
    <x v="20"/>
    <s v="Junio"/>
    <n v="0.62033462033462028"/>
    <n v="0.73091828138163439"/>
    <n v="0.84870584870584875"/>
    <m/>
    <m/>
    <n v="20979"/>
    <n v="3174"/>
    <n v="17805"/>
    <n v="13014"/>
    <n v="4791"/>
    <m/>
  </r>
  <r>
    <x v="20"/>
    <s v="Julio"/>
    <n v="0.59385589441769215"/>
    <n v="0.69168051516410467"/>
    <n v="0.85856964508649902"/>
    <m/>
    <m/>
    <n v="22428"/>
    <n v="3172"/>
    <n v="19256"/>
    <n v="13319"/>
    <n v="5937"/>
    <m/>
  </r>
  <r>
    <x v="20"/>
    <s v="Agosto"/>
    <n v="0.53855782556216192"/>
    <n v="0.62928332636857498"/>
    <n v="0.85582726094148154"/>
    <m/>
    <m/>
    <n v="22369"/>
    <n v="3225"/>
    <n v="19144"/>
    <n v="12047"/>
    <n v="7097"/>
    <m/>
  </r>
  <r>
    <x v="20"/>
    <s v="Septiembre"/>
    <n v="0.58659475406813255"/>
    <n v="0.69278092334494779"/>
    <n v="0.84672474991932878"/>
    <m/>
    <m/>
    <n v="21693"/>
    <n v="3325"/>
    <n v="18368"/>
    <n v="12725"/>
    <n v="5643"/>
    <m/>
  </r>
  <r>
    <x v="20"/>
    <s v="Octubre"/>
    <n v="0.64950882339867533"/>
    <n v="0.73144115733093062"/>
    <n v="0.88798506467529004"/>
    <m/>
    <m/>
    <n v="22497"/>
    <n v="2520"/>
    <n v="19977"/>
    <n v="14612"/>
    <n v="5365"/>
    <m/>
  </r>
  <r>
    <x v="20"/>
    <s v="Noviembre"/>
    <n v="0.64429716828104"/>
    <n v="0.70715702731573327"/>
    <n v="0.91110905130462994"/>
    <m/>
    <m/>
    <n v="21577"/>
    <n v="1918"/>
    <n v="19659"/>
    <n v="13902"/>
    <n v="5757"/>
    <m/>
  </r>
  <r>
    <x v="20"/>
    <s v="Diciembre"/>
    <n v="0.67401222739301037"/>
    <n v="0.77244444444444449"/>
    <n v="0.87257049000821241"/>
    <m/>
    <m/>
    <n v="21918"/>
    <n v="2793"/>
    <n v="19125"/>
    <n v="14773"/>
    <n v="4352"/>
    <m/>
  </r>
  <r>
    <x v="21"/>
    <s v="Enero"/>
    <n v="0.75187903046475424"/>
    <n v="0.82496462206607135"/>
    <n v="0.9114076050700467"/>
    <m/>
    <m/>
    <n v="22485"/>
    <n v="1992"/>
    <n v="20493"/>
    <n v="16906"/>
    <n v="3587"/>
    <m/>
  </r>
  <r>
    <x v="21"/>
    <s v="Febrero"/>
    <n v="0.78887210473313196"/>
    <n v="0.85257945145842406"/>
    <n v="0.92527693856998994"/>
    <m/>
    <m/>
    <n v="19860"/>
    <n v="1484"/>
    <n v="18376"/>
    <n v="15667"/>
    <n v="2709"/>
    <m/>
  </r>
  <r>
    <x v="21"/>
    <s v="Marzo"/>
    <n v="0.76694025577400271"/>
    <n v="0.81908062378962387"/>
    <n v="0.93634281351402937"/>
    <m/>
    <m/>
    <n v="20956"/>
    <n v="1334"/>
    <n v="19622"/>
    <n v="16072"/>
    <n v="3550"/>
    <m/>
  </r>
  <r>
    <x v="21"/>
    <s v="Abril"/>
    <n v="0.7413427220989679"/>
    <n v="0.81725861335601868"/>
    <n v="0.90710909617054114"/>
    <m/>
    <m/>
    <n v="20734"/>
    <n v="1926"/>
    <n v="18808"/>
    <n v="15371"/>
    <n v="3437"/>
    <m/>
  </r>
  <r>
    <x v="21"/>
    <s v="Mayo"/>
    <n v="0.75443979544397954"/>
    <n v="0.78734656251516177"/>
    <n v="0.95820548582054854"/>
    <m/>
    <m/>
    <n v="21510"/>
    <n v="899"/>
    <n v="20611"/>
    <n v="16228"/>
    <n v="4383"/>
    <m/>
  </r>
  <r>
    <x v="21"/>
    <s v="Junio"/>
    <n v="0.72743925954492861"/>
    <n v="0.7629303807068103"/>
    <n v="0.95348052448900888"/>
    <m/>
    <m/>
    <n v="20744"/>
    <n v="965"/>
    <n v="19779"/>
    <n v="15090"/>
    <n v="4689"/>
    <m/>
  </r>
  <r>
    <x v="21"/>
    <s v="Julio"/>
    <n v="0.75027457440966505"/>
    <n v="0.78268964529526897"/>
    <n v="0.95858502654219291"/>
    <m/>
    <m/>
    <n v="21852"/>
    <n v="905"/>
    <n v="20947"/>
    <n v="16395"/>
    <n v="4552"/>
    <m/>
  </r>
  <r>
    <x v="21"/>
    <s v="Agosto"/>
    <n v="0.73961982158703465"/>
    <n v="0.7984672011294307"/>
    <n v="0.92629956564382798"/>
    <m/>
    <m/>
    <n v="21411"/>
    <n v="1578"/>
    <n v="19833"/>
    <n v="15836"/>
    <n v="3997"/>
    <m/>
  </r>
  <r>
    <x v="21"/>
    <s v="Septiembre"/>
    <n v="0.76234132581100145"/>
    <n v="0.78993520728796218"/>
    <n v="0.96506817113305121"/>
    <m/>
    <m/>
    <n v="21270"/>
    <n v="743"/>
    <n v="20527"/>
    <n v="16215"/>
    <n v="4312"/>
    <m/>
  </r>
  <r>
    <x v="21"/>
    <s v="Octubre"/>
    <n v="0.7459129316678913"/>
    <n v="0.78373944511459592"/>
    <n v="0.95173585598824395"/>
    <m/>
    <m/>
    <n v="21776"/>
    <n v="1051"/>
    <n v="20725"/>
    <n v="16243"/>
    <n v="4482"/>
    <m/>
  </r>
  <r>
    <x v="21"/>
    <s v="Noviembre"/>
    <n v="0.71541329717689217"/>
    <n v="0.76517505697120369"/>
    <n v="0.93496682969347733"/>
    <m/>
    <m/>
    <n v="20651"/>
    <n v="1343"/>
    <n v="19308"/>
    <n v="14774"/>
    <n v="4534"/>
    <m/>
  </r>
  <r>
    <x v="21"/>
    <s v="Diciembre"/>
    <n v="0.774129746835443"/>
    <n v="0.83869930894091171"/>
    <n v="0.92301226265822789"/>
    <m/>
    <m/>
    <n v="20224"/>
    <n v="1557"/>
    <n v="18667"/>
    <n v="15656"/>
    <n v="3011"/>
    <m/>
  </r>
  <r>
    <x v="22"/>
    <s v="Enero"/>
    <n v="0.86125746399719005"/>
    <n v="0.92274608891995058"/>
    <n v="0.9333634402127553"/>
    <m/>
    <m/>
    <n v="19929"/>
    <n v="1328"/>
    <n v="18601"/>
    <n v="17164"/>
    <n v="1437"/>
    <m/>
  </r>
  <r>
    <x v="22"/>
    <s v="Febrero"/>
    <n v="0.83845886039224793"/>
    <n v="0.88835608016722001"/>
    <n v="0.94383196007891379"/>
    <m/>
    <m/>
    <n v="17234"/>
    <n v="968"/>
    <n v="16266"/>
    <n v="14450"/>
    <n v="1816"/>
    <m/>
  </r>
  <r>
    <x v="22"/>
    <s v="Marzo"/>
    <n v="0.79505169867060566"/>
    <n v="0.86929687950625834"/>
    <n v="0.91459168600970664"/>
    <m/>
    <m/>
    <n v="18956"/>
    <n v="1619"/>
    <n v="17337"/>
    <n v="15071"/>
    <n v="2266"/>
    <m/>
  </r>
  <r>
    <x v="22"/>
    <s v="Abril"/>
    <n v="0.78462874511506731"/>
    <n v="0.82908924065152556"/>
    <n v="0.94637429439861054"/>
    <m/>
    <m/>
    <n v="18424"/>
    <n v="988"/>
    <n v="17436"/>
    <n v="14456"/>
    <n v="2980"/>
    <m/>
  </r>
  <r>
    <x v="22"/>
    <s v="Mayo"/>
    <n v="0.68599085203701737"/>
    <n v="0.76000235696187612"/>
    <n v="0.90261674289969152"/>
    <m/>
    <m/>
    <n v="18802"/>
    <n v="1831"/>
    <n v="16971"/>
    <n v="12898"/>
    <n v="4073"/>
    <m/>
  </r>
  <r>
    <x v="22"/>
    <s v="Junio"/>
    <n v="0.5241810506065302"/>
    <n v="0.62991266375545851"/>
    <n v="0.83214877357986428"/>
    <m/>
    <m/>
    <n v="18713"/>
    <n v="3141"/>
    <n v="15572"/>
    <n v="9809"/>
    <n v="5763"/>
    <m/>
  </r>
  <r>
    <x v="22"/>
    <s v="Julio"/>
    <n v="0.6285446565073729"/>
    <n v="0.70601595391092398"/>
    <n v="0.89026976377176115"/>
    <m/>
    <m/>
    <n v="20277"/>
    <n v="2225"/>
    <n v="18052"/>
    <n v="12745"/>
    <n v="5307"/>
    <m/>
  </r>
  <r>
    <x v="22"/>
    <s v="Agosto"/>
    <n v="0.69003323907327474"/>
    <n v="0.75893490478528947"/>
    <n v="0.90921268045840153"/>
    <m/>
    <m/>
    <n v="20157"/>
    <n v="1830"/>
    <n v="18327"/>
    <n v="13909"/>
    <n v="4418"/>
    <m/>
  </r>
  <r>
    <x v="22"/>
    <s v="Septiembre"/>
    <n v="0.72616750289463528"/>
    <n v="0.90849830999517145"/>
    <n v="0.79930528753377073"/>
    <m/>
    <m/>
    <n v="20728"/>
    <n v="4160"/>
    <n v="16568"/>
    <n v="15052"/>
    <n v="1516"/>
    <m/>
  </r>
  <r>
    <x v="22"/>
    <s v="Octubre"/>
    <n v="0.83368459083518998"/>
    <n v="0.93421052631578949"/>
    <n v="0.89239477328837236"/>
    <m/>
    <m/>
    <n v="16607"/>
    <n v="1787"/>
    <n v="14820"/>
    <n v="13845"/>
    <n v="975"/>
    <m/>
  </r>
  <r>
    <x v="22"/>
    <s v="Noviembre"/>
    <n v="0.85388994307400379"/>
    <n v="0.92853703831075041"/>
    <n v="0.91960784313725485"/>
    <m/>
    <m/>
    <n v="15810"/>
    <n v="1271"/>
    <n v="14539"/>
    <n v="13500"/>
    <n v="1039"/>
    <m/>
  </r>
  <r>
    <x v="22"/>
    <s v="Diciembre"/>
    <n v="0.81303889336889767"/>
    <n v="0.86452080997295688"/>
    <n v="0.94045034427144714"/>
    <m/>
    <m/>
    <n v="16121"/>
    <n v="960"/>
    <n v="15161"/>
    <n v="13107"/>
    <n v="2054"/>
    <m/>
  </r>
  <r>
    <x v="23"/>
    <s v="Enero"/>
    <n v="0.91397652237710936"/>
    <n v="0.94908259793029015"/>
    <n v="0.96301051601858645"/>
    <m/>
    <m/>
    <n v="16356"/>
    <n v="605"/>
    <n v="15751"/>
    <n v="14949"/>
    <n v="802"/>
    <m/>
  </r>
  <r>
    <x v="23"/>
    <s v="Febrero"/>
    <n v="0.86388122454342398"/>
    <n v="0.91714325568419586"/>
    <n v="0.94192615950597824"/>
    <m/>
    <m/>
    <n v="15222"/>
    <n v="884"/>
    <n v="14338"/>
    <n v="13150"/>
    <n v="1188"/>
    <m/>
  </r>
  <r>
    <x v="23"/>
    <s v="Marzo"/>
    <n v="0.90155046615322254"/>
    <n v="0.93939073966527642"/>
    <n v="0.95971828131333603"/>
    <m/>
    <m/>
    <n v="19736"/>
    <n v="795"/>
    <n v="18941"/>
    <n v="17793"/>
    <n v="1148"/>
    <m/>
  </r>
  <r>
    <x v="23"/>
    <s v="Abril"/>
    <n v="0.84527843811643311"/>
    <n v="0.88907804436878224"/>
    <n v="0.95073592635678517"/>
    <m/>
    <m/>
    <n v="19771"/>
    <n v="974"/>
    <n v="18797"/>
    <n v="16712"/>
    <n v="2085"/>
    <m/>
  </r>
  <r>
    <x v="23"/>
    <s v="Mayo"/>
    <n v="0.8545382481173206"/>
    <n v="0.90697796708208445"/>
    <n v="0.94218192627824016"/>
    <m/>
    <m/>
    <n v="20184"/>
    <n v="1167"/>
    <n v="19017"/>
    <n v="17248"/>
    <n v="1769"/>
    <m/>
  </r>
  <r>
    <x v="23"/>
    <s v="Junio"/>
    <n v="0.79689587830198372"/>
    <n v="0.86394027189659017"/>
    <n v="0.92239695754959394"/>
    <m/>
    <m/>
    <n v="19458"/>
    <n v="1510"/>
    <n v="17948"/>
    <n v="15506"/>
    <n v="2442"/>
    <m/>
  </r>
  <r>
    <x v="23"/>
    <s v="Julio"/>
    <n v="0.81500125849484018"/>
    <n v="0.88171223178303015"/>
    <n v="0.92433929020891015"/>
    <m/>
    <m/>
    <n v="19865"/>
    <n v="1503"/>
    <n v="18362"/>
    <n v="16190"/>
    <n v="2172"/>
    <m/>
  </r>
  <r>
    <x v="23"/>
    <s v="Agosto"/>
    <n v="0.80425552681665124"/>
    <n v="0.86522811991389725"/>
    <n v="0.92953003757747299"/>
    <m/>
    <m/>
    <n v="20491"/>
    <n v="1444"/>
    <n v="19047"/>
    <n v="16480"/>
    <n v="2567"/>
    <m/>
  </r>
  <r>
    <x v="23"/>
    <s v="Septiembre"/>
    <n v="0.72744473212507466"/>
    <n v="0.79640228945216684"/>
    <n v="0.91341366261700851"/>
    <m/>
    <m/>
    <n v="20084"/>
    <n v="1739"/>
    <n v="18345"/>
    <n v="14610"/>
    <n v="3735"/>
    <m/>
  </r>
  <r>
    <x v="23"/>
    <s v="Octubre"/>
    <n v="0.79653937947494036"/>
    <n v="0.84085660298131426"/>
    <n v="0.94729514717581542"/>
    <m/>
    <m/>
    <n v="20112"/>
    <n v="1060"/>
    <n v="19052"/>
    <n v="16020"/>
    <n v="3032"/>
    <m/>
  </r>
  <r>
    <x v="23"/>
    <s v="Noviembre"/>
    <n v="0.83637651105154009"/>
    <n v="0.87482806052269602"/>
    <n v="0.95604673511709071"/>
    <m/>
    <m/>
    <n v="19771"/>
    <n v="869"/>
    <n v="18902"/>
    <n v="16536"/>
    <n v="2366"/>
    <m/>
  </r>
  <r>
    <x v="23"/>
    <s v="Diciembre"/>
    <n v="0.79261137629276057"/>
    <n v="0.85104906305055794"/>
    <n v="0.93133452665075578"/>
    <m/>
    <m/>
    <n v="20112"/>
    <n v="1381"/>
    <n v="18731"/>
    <n v="15941"/>
    <n v="2790"/>
    <m/>
  </r>
  <r>
    <x v="24"/>
    <s v="Enero"/>
    <n v="0.86642916402322967"/>
    <n v="0.9269082176046779"/>
    <n v="0.93475184227221708"/>
    <m/>
    <m/>
    <n v="20491"/>
    <n v="1337"/>
    <n v="19154"/>
    <n v="17754"/>
    <n v="1400"/>
    <m/>
  </r>
  <r>
    <x v="24"/>
    <s v="Febrero"/>
    <n v="0.87024087024087027"/>
    <n v="0.91867822826341694"/>
    <n v="0.94727494727494732"/>
    <m/>
    <m/>
    <n v="18018"/>
    <n v="950"/>
    <n v="17068"/>
    <n v="15680"/>
    <n v="1388"/>
    <m/>
  </r>
  <r>
    <x v="24"/>
    <s v="Marzo"/>
    <n v="0.73892284186401835"/>
    <n v="0.8460066692177336"/>
    <n v="0.87342436974789917"/>
    <m/>
    <m/>
    <n v="20944"/>
    <n v="2651"/>
    <n v="18293"/>
    <n v="15476"/>
    <n v="2817"/>
    <m/>
  </r>
  <r>
    <x v="24"/>
    <s v="Abril"/>
    <n v="0.69798488664987401"/>
    <n v="0.84538409909085366"/>
    <n v="0.82564231738035265"/>
    <m/>
    <m/>
    <n v="19850"/>
    <n v="3461"/>
    <n v="16389"/>
    <n v="13855"/>
    <n v="2534"/>
    <m/>
  </r>
  <r>
    <x v="24"/>
    <s v="Mayo"/>
    <n v="0.82539295128380352"/>
    <n v="0.87985222187532519"/>
    <n v="0.93810407107292781"/>
    <m/>
    <m/>
    <n v="20486"/>
    <n v="1268"/>
    <n v="19218"/>
    <n v="16909"/>
    <n v="2309"/>
    <m/>
  </r>
  <r>
    <x v="24"/>
    <s v="Junio"/>
    <n v="0.80739505985755422"/>
    <n v="0.86582525323655268"/>
    <n v="0.93251502752942361"/>
    <m/>
    <m/>
    <n v="19797"/>
    <n v="1336"/>
    <n v="18461"/>
    <n v="15984"/>
    <n v="2477"/>
    <m/>
  </r>
  <r>
    <x v="24"/>
    <s v="Julio"/>
    <n v="0.80293622141997589"/>
    <n v="0.86104372064213075"/>
    <n v="0.93251504211793024"/>
    <m/>
    <m/>
    <n v="20775"/>
    <n v="1402"/>
    <n v="19373"/>
    <n v="16681"/>
    <n v="2692"/>
    <m/>
  </r>
  <r>
    <x v="24"/>
    <s v="Agosto"/>
    <n v="0.84656033820138354"/>
    <n v="0.90327541134860834"/>
    <n v="0.9372117601844735"/>
    <m/>
    <m/>
    <n v="20816"/>
    <n v="1307"/>
    <n v="19509"/>
    <n v="17622"/>
    <n v="1887"/>
    <m/>
  </r>
  <r>
    <x v="24"/>
    <s v="Septiembre"/>
    <n v="0.83901840490797541"/>
    <n v="0.91008304940374785"/>
    <n v="0.92191411042944782"/>
    <m/>
    <m/>
    <n v="20375"/>
    <n v="1591"/>
    <n v="18784"/>
    <n v="17095"/>
    <n v="1689"/>
    <m/>
  </r>
  <r>
    <x v="24"/>
    <s v="Octubre"/>
    <n v="0.85884662576687121"/>
    <n v="0.91998317648914363"/>
    <n v="0.93354601226993861"/>
    <m/>
    <m/>
    <n v="20375"/>
    <n v="1354"/>
    <n v="19021"/>
    <n v="17499"/>
    <n v="1522"/>
    <m/>
  </r>
  <r>
    <x v="24"/>
    <s v="Noviembre"/>
    <n v="0.894425550791069"/>
    <n v="0.92980478557155299"/>
    <n v="0.96194982502834048"/>
    <m/>
    <m/>
    <n v="20289"/>
    <n v="772"/>
    <n v="19517"/>
    <n v="18147"/>
    <n v="1370"/>
    <m/>
  </r>
  <r>
    <x v="24"/>
    <s v="Diciembre"/>
    <n v="0.8651990496048102"/>
    <n v="0.93531477695654452"/>
    <n v="0.92503515492411381"/>
    <m/>
    <m/>
    <n v="20623"/>
    <n v="1546"/>
    <n v="19077"/>
    <n v="17843"/>
    <n v="1234"/>
    <m/>
  </r>
  <r>
    <x v="25"/>
    <s v="Enero"/>
    <n v="0.88676856714178542"/>
    <n v="0.91659397111563434"/>
    <n v="0.96746061515378845"/>
    <m/>
    <m/>
    <n v="21328"/>
    <n v="694"/>
    <n v="20634"/>
    <n v="18913"/>
    <n v="1721"/>
    <m/>
  </r>
  <r>
    <x v="25"/>
    <s v="Febrero"/>
    <n v="0.88400553368096202"/>
    <n v="0.91376086239137611"/>
    <n v="0.9674364158774077"/>
    <m/>
    <m/>
    <n v="18794"/>
    <n v="612"/>
    <n v="18182"/>
    <n v="16614"/>
    <n v="1568"/>
    <m/>
  </r>
  <r>
    <x v="25"/>
    <s v="Marzo"/>
    <n v="0.90094428706326724"/>
    <n v="0.92550198855369092"/>
    <n v="0.97346553352219078"/>
    <m/>
    <m/>
    <n v="21180"/>
    <n v="562"/>
    <n v="20618"/>
    <n v="19082"/>
    <n v="1536"/>
    <m/>
  </r>
  <r>
    <x v="25"/>
    <s v="Abril"/>
    <n v="0.8706229082371747"/>
    <n v="0.90244912753067885"/>
    <n v="0.96473350317198658"/>
    <m/>
    <m/>
    <n v="20019"/>
    <n v="706"/>
    <n v="19313"/>
    <n v="17429"/>
    <n v="1884"/>
    <m/>
  </r>
  <r>
    <x v="25"/>
    <s v="Mayo"/>
    <n v="0.8816345925397957"/>
    <n v="0.9175155770942538"/>
    <n v="0.96089332382988835"/>
    <m/>
    <m/>
    <n v="21045"/>
    <n v="823"/>
    <n v="20222"/>
    <n v="18554"/>
    <n v="1668"/>
    <m/>
  </r>
  <r>
    <x v="25"/>
    <s v="Junio"/>
    <n v="0.81680584551148228"/>
    <n v="0.88513548254408969"/>
    <n v="0.92280318846080855"/>
    <m/>
    <m/>
    <n v="21076"/>
    <n v="1627"/>
    <n v="19449"/>
    <n v="17215"/>
    <n v="2234"/>
    <m/>
  </r>
  <r>
    <x v="25"/>
    <s v="Julio"/>
    <n v="0.88047310868109796"/>
    <n v="0.90824125230202579"/>
    <n v="0.9694264673064048"/>
    <m/>
    <m/>
    <n v="22405"/>
    <n v="685"/>
    <n v="21720"/>
    <n v="19727"/>
    <n v="1993"/>
    <m/>
  </r>
  <r>
    <x v="25"/>
    <s v="Agosto"/>
    <n v="0.89543057996485065"/>
    <n v="0.91888723567338471"/>
    <n v="0.9744727592267135"/>
    <m/>
    <m/>
    <n v="22760"/>
    <n v="581"/>
    <n v="22179"/>
    <n v="20380"/>
    <n v="1799"/>
    <m/>
  </r>
  <r>
    <x v="25"/>
    <s v="Septiembre"/>
    <n v="0.85867620751341678"/>
    <n v="0.91697281410727405"/>
    <n v="0.93642493463602583"/>
    <m/>
    <m/>
    <n v="21801"/>
    <n v="1386"/>
    <n v="20415"/>
    <n v="18720"/>
    <n v="1695"/>
    <m/>
  </r>
  <r>
    <x v="25"/>
    <s v="Octubre"/>
    <n v="0.85419213973799124"/>
    <n v="0.88840948315014989"/>
    <n v="0.96148471615720521"/>
    <m/>
    <m/>
    <n v="22900"/>
    <n v="882"/>
    <n v="22018"/>
    <n v="19561"/>
    <n v="2457"/>
    <m/>
  </r>
  <r>
    <x v="25"/>
    <s v="Noviembre"/>
    <n v="0.77639779604371784"/>
    <n v="0.84718115513502856"/>
    <n v="0.91644837864691542"/>
    <m/>
    <m/>
    <n v="22142"/>
    <n v="1850"/>
    <n v="20292"/>
    <n v="17191"/>
    <n v="3101"/>
    <m/>
  </r>
  <r>
    <x v="25"/>
    <s v="Diciembre"/>
    <n v="0.79651928931703553"/>
    <n v="0.85453127285136254"/>
    <n v="0.93211250965601855"/>
    <m/>
    <m/>
    <n v="22007"/>
    <n v="1494"/>
    <n v="20513"/>
    <n v="17529"/>
    <n v="2984"/>
    <m/>
  </r>
  <r>
    <x v="26"/>
    <s v="Enero"/>
    <n v="0.87003138075313813"/>
    <n v="0.89092207444434524"/>
    <n v="0.97655160390516038"/>
    <m/>
    <m/>
    <n v="22944"/>
    <n v="538"/>
    <n v="22406"/>
    <n v="19962"/>
    <n v="2444"/>
    <m/>
  </r>
  <r>
    <x v="26"/>
    <s v="Febrero"/>
    <n v="0.87233941916564184"/>
    <n v="0.91279386290522146"/>
    <n v="0.95568063570144735"/>
    <m/>
    <m/>
    <n v="21142"/>
    <n v="937"/>
    <n v="20205"/>
    <n v="18443"/>
    <n v="1762"/>
    <m/>
  </r>
  <r>
    <x v="26"/>
    <s v="Marzo"/>
    <n v="0.89366786140979693"/>
    <n v="0.92761344846591953"/>
    <n v="0.96340546041860264"/>
    <m/>
    <m/>
    <n v="22599"/>
    <n v="827"/>
    <n v="21772"/>
    <n v="20196"/>
    <n v="1576"/>
    <m/>
  </r>
  <r>
    <x v="26"/>
    <s v="Abril"/>
    <n v="0.8684067427949973"/>
    <n v="0.9154048244566515"/>
    <n v="0.94865869131774516"/>
    <m/>
    <m/>
    <n v="22068"/>
    <n v="1133"/>
    <n v="20935"/>
    <n v="19164"/>
    <n v="1771"/>
    <m/>
  </r>
  <r>
    <x v="26"/>
    <s v="Mayo"/>
    <n v="0.79125692446429341"/>
    <n v="0.88911407064273307"/>
    <n v="0.88993859234766182"/>
    <m/>
    <m/>
    <n v="23287"/>
    <n v="2563"/>
    <n v="20724"/>
    <n v="18426"/>
    <n v="2298"/>
    <m/>
  </r>
  <r>
    <x v="26"/>
    <s v="Junio"/>
    <n v="0.80198474685288978"/>
    <n v="0.90132699953529194"/>
    <n v="0.88978222916475236"/>
    <m/>
    <m/>
    <n v="21766"/>
    <n v="2399"/>
    <n v="19367"/>
    <n v="17456"/>
    <n v="1911"/>
    <m/>
  </r>
  <r>
    <x v="26"/>
    <s v="Julio"/>
    <n v="0.86795857861040693"/>
    <n v="0.93687676823894994"/>
    <n v="0.92643836205044472"/>
    <n v="830"/>
    <n v="6.3484532257316451"/>
    <n v="23273"/>
    <n v="1712"/>
    <n v="21561"/>
    <n v="20200"/>
    <n v="1361"/>
    <m/>
  </r>
  <r>
    <x v="26"/>
    <s v="Agosto"/>
    <n v="0.88886502276827906"/>
    <n v="0.93870792124126667"/>
    <n v="0.94690265486725667"/>
    <n v="830"/>
    <n v="6.3468832229380272"/>
    <n v="23278"/>
    <n v="1236"/>
    <n v="22042"/>
    <n v="20691"/>
    <n v="1351"/>
    <m/>
  </r>
  <r>
    <x v="26"/>
    <s v="Septiembre"/>
    <n v="0.89380335264717592"/>
    <n v="0.94664355647163534"/>
    <n v="0.94418152063337613"/>
    <n v="830"/>
    <n v="6.3522274792710922"/>
    <n v="22609"/>
    <n v="1262"/>
    <n v="21347"/>
    <n v="20208"/>
    <n v="1139"/>
    <m/>
  </r>
  <r>
    <x v="26"/>
    <s v="Octubre"/>
    <n v="0.89791391152254596"/>
    <n v="0.95650988411724613"/>
    <n v="0.93873981485431512"/>
    <n v="830"/>
    <n v="6.375414678482163"/>
    <n v="23441"/>
    <n v="1436"/>
    <n v="22005"/>
    <n v="21048"/>
    <n v="957"/>
    <m/>
  </r>
  <r>
    <x v="26"/>
    <s v="Noviembre"/>
    <n v="0.8645184913950934"/>
    <n v="0.92838535266650279"/>
    <n v="0.9312065177590626"/>
    <n v="810"/>
    <n v="6.4485131481936593"/>
    <n v="21848"/>
    <n v="1503"/>
    <n v="20345"/>
    <n v="18888"/>
    <n v="1457"/>
    <m/>
  </r>
  <r>
    <x v="26"/>
    <s v="Diciembre"/>
    <n v="0.87255560030429136"/>
    <n v="0.9341733339721171"/>
    <n v="0.93404036335973506"/>
    <n v="810"/>
    <n v="6.4268193359842858"/>
    <n v="22347"/>
    <n v="1474"/>
    <n v="20873"/>
    <n v="19499"/>
    <n v="1374"/>
    <m/>
  </r>
  <r>
    <x v="27"/>
    <s v="Enero"/>
    <n v="0.933044044261228"/>
    <n v="0.96746906636670416"/>
    <n v="0.96441744413104791"/>
    <n v="810"/>
    <n v="6.449448818897638"/>
    <n v="23045"/>
    <n v="820"/>
    <n v="22225"/>
    <n v="21502"/>
    <n v="723"/>
    <m/>
  </r>
  <r>
    <x v="27"/>
    <s v="Febrero"/>
    <n v="0.90090996168582371"/>
    <n v="0.9372228588510787"/>
    <n v="0.96125478927203067"/>
    <n v="810"/>
    <n v="6.4489562054705791"/>
    <n v="20880"/>
    <n v="809"/>
    <n v="20071"/>
    <n v="18811"/>
    <n v="1260"/>
    <m/>
  </r>
  <r>
    <x v="27"/>
    <s v="Marzo"/>
    <n v="0.81419453663517993"/>
    <n v="0.94210090984284534"/>
    <n v="0.86423283124840444"/>
    <n v="810"/>
    <n v="6.4318799480089801"/>
    <n v="19585"/>
    <n v="2659"/>
    <n v="16926"/>
    <n v="15946"/>
    <n v="980"/>
    <m/>
  </r>
  <r>
    <x v="27"/>
    <s v="Abril"/>
    <n v="0.80574926803300506"/>
    <n v="0.98266571447120687"/>
    <n v="0.81996273622571203"/>
    <n v="804"/>
    <n v="6.7738102966954488"/>
    <n v="18785"/>
    <n v="3382"/>
    <n v="15403"/>
    <n v="15136"/>
    <n v="267"/>
    <m/>
  </r>
  <r>
    <x v="27"/>
    <s v="Mayo"/>
    <n v="0.85879951758048056"/>
    <n v="0.98552113275843711"/>
    <n v="0.87141664347342052"/>
    <n v="804"/>
    <n v="6.8015543489832853"/>
    <n v="21558"/>
    <n v="2772"/>
    <n v="18786"/>
    <n v="18514"/>
    <n v="272"/>
    <m/>
  </r>
  <r>
    <x v="27"/>
    <s v="Junio"/>
    <n v="0.87770153573262377"/>
    <n v="0.98506915339480305"/>
    <n v="0.89100499463193761"/>
    <n v="804"/>
    <n v="6.8088851634534784"/>
    <n v="21423"/>
    <n v="2335"/>
    <n v="19088"/>
    <n v="18803"/>
    <n v="285"/>
    <m/>
  </r>
  <r>
    <x v="27"/>
    <s v="Julio"/>
    <n v="0.80426207209249601"/>
    <n v="0.98418687232980084"/>
    <n v="0.81718431194740426"/>
    <n v="804"/>
    <n v="6.7942628863119348"/>
    <n v="22055"/>
    <n v="4032"/>
    <n v="18023"/>
    <n v="17738"/>
    <n v="285"/>
    <m/>
  </r>
  <r>
    <x v="27"/>
    <s v="Agosto"/>
    <n v="0.85180447693010508"/>
    <n v="0.98614343135180871"/>
    <n v="0.86377341251713113"/>
    <n v="804"/>
    <n v="6.8045271842606301"/>
    <n v="21890"/>
    <n v="2982"/>
    <n v="18908"/>
    <n v="18646"/>
    <n v="262"/>
    <m/>
  </r>
  <r>
    <x v="27"/>
    <s v="Septiembre"/>
    <n v="0.85124532433172151"/>
    <n v="0.98485328266835548"/>
    <n v="0.86433719551135846"/>
    <n v="804"/>
    <n v="6.8195060164661179"/>
    <n v="21922"/>
    <n v="2974"/>
    <n v="18948"/>
    <n v="18661"/>
    <n v="287"/>
    <m/>
  </r>
  <r>
    <x v="27"/>
    <s v="Octubre"/>
    <n v="0.80924309243092429"/>
    <n v="0.97669997827503807"/>
    <n v="0.82854828548285486"/>
    <n v="804"/>
    <n v="6.8175103193569413"/>
    <n v="22222"/>
    <n v="3810"/>
    <n v="18412"/>
    <n v="17983"/>
    <n v="429"/>
    <m/>
  </r>
  <r>
    <x v="27"/>
    <s v="Noviembre"/>
    <n v="0.78012983347445664"/>
    <n v="0.96784359498103301"/>
    <n v="0.8060494872518581"/>
    <n v="804"/>
    <n v="6.7889699445579224"/>
    <n v="21258"/>
    <n v="4123"/>
    <n v="17135"/>
    <n v="16584"/>
    <n v="551"/>
    <m/>
  </r>
  <r>
    <x v="27"/>
    <s v="Diciembre"/>
    <n v="0.76866393404872657"/>
    <n v="0.95213645958126536"/>
    <n v="0.80730437986459724"/>
    <n v="810"/>
    <n v="6.7323292829026187"/>
    <n v="21713"/>
    <n v="4184"/>
    <n v="17529"/>
    <n v="16690"/>
    <n v="839"/>
    <m/>
  </r>
  <r>
    <x v="28"/>
    <s v="Enero"/>
    <n v="0.82796522365872338"/>
    <n v="0.96614802354920104"/>
    <n v="0.85697553943871341"/>
    <n v="803"/>
    <n v="6.7457947855340619"/>
    <n v="22199"/>
    <n v="3175"/>
    <n v="19024"/>
    <n v="18380"/>
    <n v="644"/>
    <m/>
  </r>
  <r>
    <x v="28"/>
    <s v="Febrero"/>
    <n v="0.83447826304969164"/>
    <n v="0.96620993961913604"/>
    <n v="0.86366143509000648"/>
    <n v="803"/>
    <n v="6.7508128193218768"/>
    <n v="19943"/>
    <n v="2719"/>
    <n v="17224"/>
    <n v="16642"/>
    <n v="582"/>
    <m/>
  </r>
  <r>
    <x v="28"/>
    <s v="Marzo"/>
    <n v="0.85389596088622643"/>
    <n v="0.96524596693885678"/>
    <n v="0.88464079637052373"/>
    <n v="803"/>
    <n v="6.7564230233021307"/>
    <n v="22703"/>
    <n v="2619"/>
    <n v="20084"/>
    <n v="19386"/>
    <n v="698"/>
    <m/>
  </r>
  <r>
    <x v="28"/>
    <s v="Abril"/>
    <n v="0.84621841314719914"/>
    <n v="0.96796199909040381"/>
    <n v="0.87422689521116803"/>
    <n v="823"/>
    <n v="6.5449997473343773"/>
    <n v="22636"/>
    <n v="2847"/>
    <n v="19789"/>
    <n v="19155"/>
    <n v="634"/>
    <m/>
  </r>
  <r>
    <x v="28"/>
    <s v="Mayo"/>
    <n v="0.86068514034615728"/>
    <n v="0.9631209232313096"/>
    <n v="0.89364182584521568"/>
    <n v="823"/>
    <n v="6.4807827395885598"/>
    <n v="22302"/>
    <n v="2372"/>
    <n v="19930"/>
    <n v="19195"/>
    <n v="735"/>
    <m/>
  </r>
  <r>
    <x v="28"/>
    <s v="Junio"/>
    <n v="0.84120957655887085"/>
    <n v="0.95686413982318874"/>
    <n v="0.87913167768447387"/>
    <n v="823"/>
    <n v="6.5057412864546285"/>
    <n v="22388"/>
    <n v="2706"/>
    <n v="19682"/>
    <n v="18833"/>
    <n v="849"/>
    <m/>
  </r>
  <r>
    <x v="28"/>
    <s v="Julio"/>
    <n v="0.81838671925794282"/>
    <n v="0.94089799172771216"/>
    <n v="0.86979324693337956"/>
    <n v="823"/>
    <n v="6.4769522100961776"/>
    <n v="23071"/>
    <n v="3004"/>
    <n v="20067"/>
    <n v="18881"/>
    <n v="1186"/>
    <m/>
  </r>
  <r>
    <x v="28"/>
    <s v="Agosto"/>
    <n v="0.78986809237915767"/>
    <n v="0.899580754641645"/>
    <n v="0.87804022963320039"/>
    <n v="823"/>
    <n v="6.4641645038929925"/>
    <n v="22819"/>
    <n v="2783"/>
    <n v="20036"/>
    <n v="18024"/>
    <n v="2012"/>
    <m/>
  </r>
  <r>
    <x v="28"/>
    <s v="Septiembre"/>
    <n v="0.81425315568022438"/>
    <n v="0.88555221888555224"/>
    <n v="0.9194863253856943"/>
    <n v="823"/>
    <n v="6.4150340817007487"/>
    <n v="22816"/>
    <n v="1837"/>
    <n v="20979"/>
    <n v="18578"/>
    <n v="2401"/>
    <m/>
  </r>
  <r>
    <x v="28"/>
    <s v="Octubre"/>
    <n v="0.83822338223382231"/>
    <n v="0.89030685402925147"/>
    <n v="0.94149941499414991"/>
    <n v="823"/>
    <n v="6.385527196252748"/>
    <n v="22222"/>
    <n v="1300"/>
    <n v="20922"/>
    <n v="18627"/>
    <n v="2295"/>
    <m/>
  </r>
  <r>
    <x v="28"/>
    <s v="Noviembre"/>
    <n v="0.88921634293369056"/>
    <n v="0.93633627985706225"/>
    <n v="0.9496762670238893"/>
    <n v="823"/>
    <n v="6.3977807034041749"/>
    <n v="22395"/>
    <n v="1127"/>
    <n v="21268"/>
    <n v="19914"/>
    <n v="1354"/>
    <m/>
  </r>
  <r>
    <x v="28"/>
    <s v="Diciembre"/>
    <n v="0.83046467831647175"/>
    <n v="0.92723716381418098"/>
    <n v="0.89563351289799853"/>
    <n v="827"/>
    <n v="6.3578484107579465"/>
    <n v="22833"/>
    <n v="2383"/>
    <n v="20450"/>
    <n v="18962"/>
    <n v="1488"/>
    <m/>
  </r>
  <r>
    <x v="29"/>
    <s v="Enero"/>
    <n v="0.74819988789721037"/>
    <n v="0.92727369883509669"/>
    <n v="0.80688138662527487"/>
    <n v="827"/>
    <n v="6.3752271027038585"/>
    <n v="23193"/>
    <n v="4479"/>
    <n v="18714"/>
    <n v="17353"/>
    <n v="1361"/>
    <m/>
  </r>
  <r>
    <x v="29"/>
    <s v="Febrero"/>
    <n v="0.91138698630136983"/>
    <n v="0.95963339510191814"/>
    <n v="0.94972412480974122"/>
    <n v="827"/>
    <n v="6.389392497621075"/>
    <n v="21024"/>
    <n v="1057"/>
    <n v="19967"/>
    <n v="19161"/>
    <n v="806"/>
    <m/>
  </r>
  <r>
    <x v="29"/>
    <s v="Marzo"/>
    <n v="0.90477422693750809"/>
    <n v="0.95493650143383857"/>
    <n v="0.94747056540302754"/>
    <n v="827"/>
    <n v="6.3865901952751605"/>
    <n v="23187"/>
    <n v="1218"/>
    <n v="21969"/>
    <n v="20979"/>
    <n v="990"/>
    <m/>
  </r>
  <r>
    <x v="29"/>
    <s v="Abril"/>
    <n v="0.86769480519480524"/>
    <n v="0.92318764093460637"/>
    <n v="0.93988997113997119"/>
    <n v="827"/>
    <n v="6.3983591613491342"/>
    <n v="22176"/>
    <n v="1333"/>
    <n v="20843"/>
    <n v="19242"/>
    <n v="1601"/>
    <m/>
  </r>
  <r>
    <x v="29"/>
    <s v="Mayo"/>
    <n v="0.79586472752759774"/>
    <n v="0.85428128085766686"/>
    <n v="0.93161906430699137"/>
    <n v="827"/>
    <n v="6.3907932477547371"/>
    <n v="22828"/>
    <n v="1561"/>
    <n v="21267"/>
    <n v="18168"/>
    <n v="3099"/>
    <m/>
  </r>
  <r>
    <x v="29"/>
    <s v="Junio"/>
    <n v="0.6365300473256541"/>
    <n v="0.71438592974896031"/>
    <n v="0.89101705509420481"/>
    <n v="827"/>
    <n v="6.3708473217417447"/>
    <n v="22398"/>
    <n v="2441"/>
    <n v="19957"/>
    <n v="14257"/>
    <n v="5700"/>
    <s v="Todos los ramales de la línea Roca sin servicios el día 04/06/2022 por trabajos en infraestructura."/>
  </r>
  <r>
    <x v="29"/>
    <s v="Julio"/>
    <n v="0.63733436253698705"/>
    <n v="0.7094033412887828"/>
    <n v="0.89840902268536382"/>
    <n v="827"/>
    <n v="6.3575178997613362"/>
    <n v="23319"/>
    <n v="2369"/>
    <n v="20950"/>
    <n v="14862"/>
    <n v="6088"/>
    <m/>
  </r>
  <r>
    <x v="29"/>
    <s v="Agosto"/>
    <n v="0.60531688643130588"/>
    <n v="0.71775861199374591"/>
    <n v="0.84334325818800515"/>
    <n v="827"/>
    <n v="6.394562969687799"/>
    <n v="23510"/>
    <n v="3683"/>
    <n v="19827"/>
    <n v="14231"/>
    <n v="5596"/>
    <m/>
  </r>
  <r>
    <x v="29"/>
    <s v="Septiembre"/>
    <n v="0.6908629219386192"/>
    <n v="0.74550007086502579"/>
    <n v="0.92671073945974347"/>
    <n v="827"/>
    <n v="6.3833797892946569"/>
    <n v="22841"/>
    <n v="1674"/>
    <n v="21167"/>
    <n v="15780"/>
    <n v="5387"/>
    <m/>
  </r>
  <r>
    <x v="29"/>
    <s v="Octubre"/>
    <n v="0.58024474757664812"/>
    <n v="0.68317496385044407"/>
    <n v="0.8493354971709286"/>
    <n v="827"/>
    <n v="6.385870687874406"/>
    <n v="22799"/>
    <n v="3435"/>
    <n v="19364"/>
    <n v="13229"/>
    <n v="6135"/>
    <m/>
  </r>
  <r>
    <x v="29"/>
    <s v="Noviembre"/>
    <n v="0.44858093903293622"/>
    <n v="0.57083937130754658"/>
    <n v="0.78582690960056056"/>
    <n v="827"/>
    <n v="6.3708616653661796"/>
    <n v="22832"/>
    <n v="4890"/>
    <n v="17942"/>
    <n v="10242"/>
    <n v="7700"/>
    <m/>
  </r>
  <r>
    <x v="29"/>
    <s v="Diciembre"/>
    <n v="0.50690613829928066"/>
    <n v="0.62565359477124183"/>
    <n v="0.81020255063765945"/>
    <n v="827"/>
    <n v="6.3723311546840957"/>
    <n v="22661"/>
    <n v="4301"/>
    <n v="18360"/>
    <n v="11487"/>
    <n v="6873"/>
    <m/>
  </r>
  <r>
    <x v="30"/>
    <s v="Enero"/>
    <n v="0.69536019536019533"/>
    <n v="0.7939864299656102"/>
    <n v="0.87578347578347582"/>
    <n v="869"/>
    <n v="6.1404405613904638"/>
    <n v="24570"/>
    <n v="3052"/>
    <n v="21518"/>
    <n v="17085"/>
    <n v="4433"/>
    <s v="Desde enero de 2023 se discrimina la información de los ramales Ezeiza-Cañuelas, Cañuelas-Monte y Cañuelas-Lobos / Desde Enero de 2023 se incorpora a la red ferroviaria metropolitana del AMBA el Tren Universitario de La Plata,  inaugurado el 25 de abril de 2013. Tramo estaciones La Plata-Policlínico."/>
  </r>
  <r>
    <x v="30"/>
    <s v="Febrero"/>
    <n v="0.67728640889094693"/>
    <n v="0.79588616205038909"/>
    <n v="0.85098402407964802"/>
    <n v="869"/>
    <n v="6.131087772759428"/>
    <n v="21595"/>
    <n v="3218"/>
    <n v="18377"/>
    <n v="14626"/>
    <n v="3751"/>
    <m/>
  </r>
  <r>
    <x v="30"/>
    <s v="Marzo"/>
    <n v="0.61357391839245434"/>
    <n v="0.73124480719417428"/>
    <n v="0.83908140250153784"/>
    <n v="869"/>
    <n v="6.1725722105468943"/>
    <n v="24385"/>
    <n v="3924"/>
    <n v="20461"/>
    <n v="14962"/>
    <n v="5499"/>
    <m/>
  </r>
  <r>
    <x v="30"/>
    <s v="Abril"/>
    <n v="0.59695065688299132"/>
    <n v="0.70103199174406605"/>
    <n v="0.85153126235774856"/>
    <n v="869"/>
    <n v="6.1607843137254905"/>
    <n v="22759"/>
    <n v="3379"/>
    <n v="19380"/>
    <n v="13586"/>
    <n v="5794"/>
    <m/>
  </r>
  <r>
    <x v="30"/>
    <s v="Mayo"/>
    <n v="0.55863334862959413"/>
    <n v="0.68074830969447409"/>
    <n v="0.82061657836552504"/>
    <n v="869"/>
    <n v="6.1548980733058816"/>
    <n v="23971"/>
    <n v="4300"/>
    <n v="19671"/>
    <n v="13391"/>
    <n v="6280"/>
    <m/>
  </r>
  <r>
    <x v="30"/>
    <s v="Junio"/>
    <n v="0.57620964213841985"/>
    <n v="0.69084710201940724"/>
    <n v="0.8340624726572754"/>
    <n v="869"/>
    <n v="6.1427222659323366"/>
    <n v="22858"/>
    <n v="3793"/>
    <n v="19065"/>
    <n v="13171"/>
    <n v="5894"/>
    <m/>
  </r>
  <r>
    <x v="30"/>
    <s v="Julio"/>
    <n v="0.68724843354496035"/>
    <n v="0.78400000000000003"/>
    <n v="0.87659238972571474"/>
    <n v="869"/>
    <n v="6.1666745562130174"/>
    <n v="24099"/>
    <n v="2974"/>
    <n v="21125"/>
    <n v="16562"/>
    <n v="4563"/>
    <m/>
  </r>
  <r>
    <x v="30"/>
    <s v="Agosto"/>
    <n v="0.71521757080340187"/>
    <n v="0.81759403464061542"/>
    <n v="0.87478325489224673"/>
    <n v="869"/>
    <n v="6.1514465052621645"/>
    <n v="24222"/>
    <n v="3033"/>
    <n v="21189"/>
    <n v="17324"/>
    <n v="3865"/>
    <m/>
  </r>
  <r>
    <x v="30"/>
    <s v="Septiembre"/>
    <n v="0.76286819398988392"/>
    <n v="0.83420869161050426"/>
    <n v="0.91448123432651851"/>
    <n v="869"/>
    <n v="6.1735068556820822"/>
    <n v="23527"/>
    <n v="2012"/>
    <n v="21515"/>
    <n v="17948"/>
    <n v="3567"/>
    <m/>
  </r>
  <r>
    <x v="30"/>
    <s v="Octubre"/>
    <n v="0.75384878549435508"/>
    <n v="0.8515942028985507"/>
    <n v="0.8852206637016764"/>
    <n v="869"/>
    <n v="6.17256038647343"/>
    <n v="23384"/>
    <n v="2684"/>
    <n v="20700"/>
    <n v="17628"/>
    <n v="3072"/>
    <m/>
  </r>
  <r>
    <x v="30"/>
    <s v="Noviembre"/>
    <n v="0.75708693594872456"/>
    <n v="0.83981485899699382"/>
    <n v="0.90149266572030795"/>
    <n v="869"/>
    <n v="6.1857613207997328"/>
    <n v="23247"/>
    <n v="2290"/>
    <n v="20957"/>
    <n v="17600"/>
    <n v="3357"/>
    <m/>
  </r>
  <r>
    <x v="30"/>
    <s v="Diciembre"/>
    <n v="0.65867928586792857"/>
    <n v="0.77238561267214856"/>
    <n v="0.85278554527855455"/>
    <n v="869"/>
    <n v="6.1968924986127227"/>
    <n v="23245"/>
    <n v="3422"/>
    <n v="19823"/>
    <n v="15311"/>
    <n v="4512"/>
    <m/>
  </r>
  <r>
    <x v="31"/>
    <s v="Enero"/>
    <n v="0.75823631409462477"/>
    <n v="0.83947344364201482"/>
    <n v="0.90322846998596318"/>
    <n v="850"/>
    <n v="6.204680500959868"/>
    <n v="24222"/>
    <n v="2344"/>
    <n v="21878"/>
    <n v="18366"/>
    <n v="3512"/>
    <s v="A partir del xx-01-2024, entra en vigencia un nuevo itinerario de trenes en los ramales:_x000a_Plza. Constitución - La Plata: De Lunes a Viernes 79 trenes, sábados 73 trenes y domingos/feriados 51 trenes._x000a_Plza. Constitución - Ezeiza: De Lunes a Viernes 176 trenes, sábados 138 trenes y domingos/feriados 92 trenes._x000a_Ezeiza - Cañuelas: De Lunes a Viernes 57 trenes, sábados 46 trenes y domingos/feriados 42 trenes._x000a_Plza. Constitución - Glew-A. Korn: De Lunes a Viernes 182 trenes, sábados 141 trenes y domingos/feriados 91 trenes._x000a_Plza. Constitución - Bosques (vía Temperley): De Lunes a Viernes 135 trenes, sábados 140 trenes y domingos/feriados 106 trenes._x000a_Plza. Constitución - Bosques (vía Quilmes): De Lunes a Viernes 112 trenes, sábados 99 trenes y domingos/feriados 73 trenes._x000a_Temperley - Bosques - J. Gutierrez: De Lunes a Viernes 37 trenes, sábados 37 trenes y domingos/feriados 36 trenes."/>
  </r>
  <r>
    <x v="31"/>
    <s v="Febrero"/>
    <n v="0.71723911102758064"/>
    <n v="0.81443738995891801"/>
    <n v="0.88065592256730729"/>
    <n v="803"/>
    <n v="6.1666222056234323"/>
    <n v="21283"/>
    <n v="2540"/>
    <n v="18743"/>
    <n v="15265"/>
    <n v="3478"/>
    <s v="A partir del 12-02-2024, entra en vigencia un nuevo itinerario de trenes en los ramales:_x000a_Plaza. Constitución - La Plata: De Lunes a Viernes 81 trenes, sábados 73 trenes y domingos/feriados 51 trenes. _x000a_Plaza. Constitucion - Ezeiza: De Lunes a Viernes 174 trenes, sábados 138 trenes y domingos/feriados 92 trenes._x000a_Ezeiza - Cañuelas: De Lunes a Viernes 57 trenes, sábados 46 trenes y domingos/feriados 42 trenes._x000a_Plaza. Constitución - Glew-A. Korn: De Lunes a Viernes 181 trenes, sábados 140 trenes y domingos/feriados 91 trenes. _x000a_Plaza. Constitución - Bosques (vía Temperley): De Lunes a Viernes 134 trenes, sábados 140 trenes y domingos/feriados 106 trenes._x000a_Plaza. Constitución - Bosques (vía Quilmes): De Lunes a Viernes 67 trenes, sábados 60 trenes y domingos/feriados 44 trenes. _x000a_Temperley - Bosques - J. Gutierrez: De Lunes a Viernes 37 trenes, sábados 37 trenes y domingos/feriados 36 trenes."/>
  </r>
  <r>
    <x v="31"/>
    <s v="Marzo"/>
    <n v="0.79340074027263696"/>
    <n v="0.84322379467498199"/>
    <n v="0.94091360476663355"/>
    <n v="803"/>
    <n v="6.1669944830894696"/>
    <n v="22154"/>
    <n v="1309"/>
    <n v="20845"/>
    <n v="17577"/>
    <n v="3268"/>
    <m/>
  </r>
  <r>
    <x v="31"/>
    <s v="Abril"/>
    <n v="0.80077799388719084"/>
    <n v="0.84060084585095518"/>
    <n v="0.95262572936926926"/>
    <n v="803"/>
    <n v="6.1689271304263285"/>
    <n v="21594"/>
    <n v="1023"/>
    <n v="20571"/>
    <n v="17292"/>
    <n v="3279"/>
    <m/>
  </r>
  <r>
    <x v="31"/>
    <s v="Mayo"/>
    <n v="0.65640405993233442"/>
    <n v="0.72933784436926052"/>
    <n v="0.9"/>
    <n v="803"/>
    <n v="6.1044519628376568"/>
    <n v="20690"/>
    <n v="2069"/>
    <n v="18621"/>
    <n v="13581"/>
    <n v="5040"/>
    <m/>
  </r>
  <r>
    <x v="31"/>
    <s v="Junio"/>
    <n v="0.77616793382106819"/>
    <n v="0.81773299748110828"/>
    <n v="0.9491703724955769"/>
    <n v="803"/>
    <n v="6.174206549118388"/>
    <n v="20913"/>
    <n v="1063"/>
    <n v="19850"/>
    <n v="16232"/>
    <n v="3618"/>
    <m/>
  </r>
  <r>
    <x v="31"/>
    <s v="Julio"/>
    <n v="0.77809582525982035"/>
    <n v="0.81763072651550206"/>
    <n v="0.95164699665316188"/>
    <n v="795"/>
    <n v="6.1962980101804721"/>
    <n v="22708"/>
    <n v="1098"/>
    <n v="21610"/>
    <n v="17669"/>
    <n v="3941"/>
    <m/>
  </r>
  <r>
    <x v="31"/>
    <s v="Agosto"/>
    <n v="0.69509078089194432"/>
    <n v="0.73107763615295485"/>
    <n v="0.95077560373699987"/>
    <n v="795"/>
    <n v="6.1810892236384705"/>
    <n v="22692"/>
    <n v="1117"/>
    <n v="21575"/>
    <n v="15773"/>
    <n v="5802"/>
    <m/>
  </r>
  <r>
    <x v="31"/>
    <s v="Septiembre"/>
    <n v="0.82250627710568358"/>
    <n v="0.86226369944962911"/>
    <n v="0.953891805523853"/>
    <n v="793"/>
    <n v="6.1682220626944249"/>
    <n v="21905"/>
    <n v="1010"/>
    <n v="20895"/>
    <n v="18017"/>
    <n v="2878"/>
    <m/>
  </r>
</pivotCacheRecords>
</file>

<file path=xl/pivotCache/pivotCacheRecords5.xml><?xml version="1.0" encoding="utf-8"?>
<pivotCacheRecords xmlns="http://schemas.openxmlformats.org/spreadsheetml/2006/main" xmlns:r="http://schemas.openxmlformats.org/officeDocument/2006/relationships" count="381">
  <r>
    <x v="0"/>
    <s v="Enero"/>
    <n v="0.77551020408163263"/>
    <n v="0.83353365384615385"/>
    <n v="0.93038859379368188"/>
    <m/>
    <m/>
    <n v="3577"/>
    <n v="249"/>
    <n v="3328"/>
    <n v="2774"/>
    <n v="554"/>
    <m/>
  </r>
  <r>
    <x v="0"/>
    <s v="Febrero"/>
    <n v="0.78778718258766622"/>
    <n v="0.81692789968652035"/>
    <n v="0.964328899637243"/>
    <m/>
    <m/>
    <n v="3308"/>
    <n v="118"/>
    <n v="3190"/>
    <n v="2606"/>
    <n v="584"/>
    <m/>
  </r>
  <r>
    <x v="0"/>
    <s v="Marzo"/>
    <n v="0.84287652645861599"/>
    <n v="0.88515246508976919"/>
    <n v="0.9522388059701492"/>
    <m/>
    <m/>
    <n v="3685"/>
    <n v="176"/>
    <n v="3509"/>
    <n v="3106"/>
    <n v="403"/>
    <m/>
  </r>
  <r>
    <x v="0"/>
    <s v="Abril"/>
    <n v="0.85376162299239222"/>
    <n v="0.87144089732528041"/>
    <n v="0.97971259509721054"/>
    <m/>
    <m/>
    <n v="3549"/>
    <n v="72"/>
    <n v="3477"/>
    <n v="3030"/>
    <n v="447"/>
    <m/>
  </r>
  <r>
    <x v="0"/>
    <s v="Mayo"/>
    <n v="0.78636741479634242"/>
    <n v="0.83544303797468356"/>
    <n v="0.94125796619562208"/>
    <m/>
    <m/>
    <n v="3609"/>
    <n v="212"/>
    <n v="3397"/>
    <n v="2838"/>
    <n v="559"/>
    <m/>
  </r>
  <r>
    <x v="0"/>
    <s v="Junio"/>
    <n v="0.71163719338277243"/>
    <n v="0.7868180384736676"/>
    <n v="0.90444951511694238"/>
    <m/>
    <m/>
    <n v="3506"/>
    <n v="335"/>
    <n v="3171"/>
    <n v="2495"/>
    <n v="676"/>
    <m/>
  </r>
  <r>
    <x v="0"/>
    <s v="Julio"/>
    <n v="0.80418617460754616"/>
    <n v="0.84859052600988083"/>
    <n v="0.94767281740567333"/>
    <m/>
    <m/>
    <n v="3631"/>
    <n v="190"/>
    <n v="3441"/>
    <n v="2920"/>
    <n v="521"/>
    <m/>
  </r>
  <r>
    <x v="0"/>
    <s v="Agosto"/>
    <n v="0.86916410399776345"/>
    <n v="0.90483119906868448"/>
    <n v="0.96058149287112105"/>
    <m/>
    <m/>
    <n v="3577"/>
    <n v="141"/>
    <n v="3436"/>
    <n v="3109"/>
    <n v="327"/>
    <m/>
  </r>
  <r>
    <x v="0"/>
    <s v="Septiembre"/>
    <n v="0.9185393258426966"/>
    <n v="0.92660810427883256"/>
    <n v="0.99129213483146073"/>
    <m/>
    <m/>
    <n v="3560"/>
    <n v="31"/>
    <n v="3529"/>
    <n v="3270"/>
    <n v="259"/>
    <m/>
  </r>
  <r>
    <x v="0"/>
    <s v="Octubre"/>
    <n v="0.8607062780269058"/>
    <n v="0.87793024585477419"/>
    <n v="0.98038116591928248"/>
    <m/>
    <m/>
    <n v="3568"/>
    <n v="70"/>
    <n v="3498"/>
    <n v="3071"/>
    <n v="427"/>
    <m/>
  </r>
  <r>
    <x v="0"/>
    <s v="Noviembre"/>
    <n v="0.87721768515911014"/>
    <n v="0.89306192660550454"/>
    <n v="0.98225851872711911"/>
    <m/>
    <m/>
    <n v="3551"/>
    <n v="63"/>
    <n v="3488"/>
    <n v="3115"/>
    <n v="373"/>
    <m/>
  </r>
  <r>
    <x v="0"/>
    <s v="Diciembre"/>
    <n v="0.90311896218603371"/>
    <n v="0.91422184967868114"/>
    <n v="0.98785536847916089"/>
    <m/>
    <m/>
    <n v="3623"/>
    <n v="44"/>
    <n v="3579"/>
    <n v="3272"/>
    <n v="307"/>
    <m/>
  </r>
  <r>
    <x v="1"/>
    <s v="Enero"/>
    <n v="0.89402859545836832"/>
    <n v="0.92220936957779065"/>
    <n v="0.96944210821418564"/>
    <m/>
    <m/>
    <n v="3567"/>
    <n v="109"/>
    <n v="3458"/>
    <n v="3189"/>
    <n v="269"/>
    <m/>
  </r>
  <r>
    <x v="1"/>
    <s v="Febrero"/>
    <n v="0.92212121212121212"/>
    <n v="0.93630769230769229"/>
    <n v="0.98484848484848486"/>
    <m/>
    <m/>
    <n v="3300"/>
    <n v="50"/>
    <n v="3250"/>
    <n v="3043"/>
    <n v="207"/>
    <m/>
  </r>
  <r>
    <x v="1"/>
    <s v="Marzo"/>
    <n v="0.79934747145187601"/>
    <n v="0.85044836563494364"/>
    <n v="0.93991299619358348"/>
    <m/>
    <m/>
    <n v="3678"/>
    <n v="221"/>
    <n v="3457"/>
    <n v="2940"/>
    <n v="517"/>
    <m/>
  </r>
  <r>
    <x v="1"/>
    <s v="Abril"/>
    <n v="0.80096501809408926"/>
    <n v="0.83759066540523497"/>
    <n v="0.95627261761158022"/>
    <m/>
    <m/>
    <n v="3316"/>
    <n v="145"/>
    <n v="3171"/>
    <n v="2656"/>
    <n v="515"/>
    <m/>
  </r>
  <r>
    <x v="1"/>
    <s v="Mayo"/>
    <n v="0.82090379817022452"/>
    <n v="0.86200873362445418"/>
    <n v="0.95231494316606602"/>
    <m/>
    <m/>
    <n v="3607"/>
    <n v="172"/>
    <n v="3435"/>
    <n v="2961"/>
    <n v="474"/>
    <m/>
  </r>
  <r>
    <x v="1"/>
    <s v="Junio"/>
    <n v="0.82936621737883565"/>
    <n v="0.89397217928902628"/>
    <n v="0.92773157441927157"/>
    <m/>
    <m/>
    <n v="3487"/>
    <n v="252"/>
    <n v="3235"/>
    <n v="2892"/>
    <n v="343"/>
    <m/>
  </r>
  <r>
    <x v="1"/>
    <s v="Julio"/>
    <n v="0.87074453362856352"/>
    <n v="0.89527603870233352"/>
    <n v="0.97259894824245774"/>
    <m/>
    <m/>
    <n v="3613"/>
    <n v="99"/>
    <n v="3514"/>
    <n v="3146"/>
    <n v="368"/>
    <m/>
  </r>
  <r>
    <x v="1"/>
    <s v="Agosto"/>
    <n v="0.89500954458685578"/>
    <n v="0.90662983425414367"/>
    <n v="0.98718298336514865"/>
    <m/>
    <m/>
    <n v="3667"/>
    <n v="47"/>
    <n v="3620"/>
    <n v="3282"/>
    <n v="338"/>
    <m/>
  </r>
  <r>
    <x v="1"/>
    <s v="Septiembre"/>
    <n v="0.95641838351822506"/>
    <n v="0.96277585748471151"/>
    <n v="0.99339672477548868"/>
    <m/>
    <m/>
    <n v="3786"/>
    <n v="25"/>
    <n v="3761"/>
    <n v="3621"/>
    <n v="140"/>
    <m/>
  </r>
  <r>
    <x v="1"/>
    <s v="Octubre"/>
    <n v="0.92661021298434698"/>
    <n v="0.94060953373274292"/>
    <n v="0.98511675647934305"/>
    <m/>
    <m/>
    <n v="3897"/>
    <n v="58"/>
    <n v="3839"/>
    <n v="3611"/>
    <n v="228"/>
    <m/>
  </r>
  <r>
    <x v="1"/>
    <s v="Noviembre"/>
    <n v="0.90169840452907879"/>
    <n v="0.91297550807712347"/>
    <n v="0.98764796706124547"/>
    <m/>
    <m/>
    <n v="3886"/>
    <n v="48"/>
    <n v="3838"/>
    <n v="3504"/>
    <n v="334"/>
    <m/>
  </r>
  <r>
    <x v="1"/>
    <s v="Diciembre"/>
    <n v="0.94938917975567194"/>
    <n v="0.95462521935322131"/>
    <n v="0.99451508352031914"/>
    <m/>
    <m/>
    <n v="4011"/>
    <n v="22"/>
    <n v="3989"/>
    <n v="3808"/>
    <n v="181"/>
    <m/>
  </r>
  <r>
    <x v="2"/>
    <s v="Enero"/>
    <n v="0.95740927419354838"/>
    <n v="0.96543837357052098"/>
    <n v="0.9916834677419355"/>
    <m/>
    <m/>
    <n v="3968"/>
    <n v="33"/>
    <n v="3935"/>
    <n v="3799"/>
    <n v="136"/>
    <m/>
  </r>
  <r>
    <x v="2"/>
    <s v="Febrero"/>
    <n v="0.93070953436807091"/>
    <n v="0.94939214023183494"/>
    <n v="0.98032150776053217"/>
    <m/>
    <m/>
    <n v="3608"/>
    <n v="71"/>
    <n v="3537"/>
    <n v="3358"/>
    <n v="179"/>
    <m/>
  </r>
  <r>
    <x v="2"/>
    <s v="Marzo"/>
    <n v="0.92233489982686123"/>
    <n v="0.929925187032419"/>
    <n v="0.99183774424931981"/>
    <m/>
    <m/>
    <n v="4043"/>
    <n v="33"/>
    <n v="4010"/>
    <n v="3729"/>
    <n v="281"/>
    <m/>
  </r>
  <r>
    <x v="2"/>
    <s v="Abril"/>
    <n v="0.86054499656514771"/>
    <n v="0.87619491723012355"/>
    <n v="0.98213876803297462"/>
    <m/>
    <m/>
    <n v="4367"/>
    <n v="78"/>
    <n v="4289"/>
    <n v="3758"/>
    <n v="531"/>
    <m/>
  </r>
  <r>
    <x v="2"/>
    <s v="Mayo"/>
    <n v="0.87923681257014585"/>
    <n v="0.89470077661032432"/>
    <n v="0.98271604938271606"/>
    <m/>
    <m/>
    <n v="4455"/>
    <n v="77"/>
    <n v="4378"/>
    <n v="3917"/>
    <n v="461"/>
    <m/>
  </r>
  <r>
    <x v="2"/>
    <s v="Junio"/>
    <n v="0.94069529652351735"/>
    <n v="0.94910591471801931"/>
    <n v="0.99113837764144508"/>
    <m/>
    <m/>
    <n v="4401"/>
    <n v="39"/>
    <n v="4362"/>
    <n v="4140"/>
    <n v="222"/>
    <m/>
  </r>
  <r>
    <x v="2"/>
    <s v="Julio"/>
    <n v="0.96280809859154926"/>
    <n v="0.96985147417424078"/>
    <n v="0.992737676056338"/>
    <m/>
    <m/>
    <n v="4544"/>
    <n v="33"/>
    <n v="4511"/>
    <n v="4375"/>
    <n v="136"/>
    <m/>
  </r>
  <r>
    <x v="2"/>
    <s v="Agosto"/>
    <n v="0.96509598603839442"/>
    <n v="0.97466402291253584"/>
    <n v="0.99018324607329844"/>
    <m/>
    <m/>
    <n v="4584"/>
    <n v="45"/>
    <n v="4539"/>
    <n v="4424"/>
    <n v="115"/>
    <m/>
  </r>
  <r>
    <x v="2"/>
    <s v="Septiembre"/>
    <n v="0.96081540203850513"/>
    <n v="0.97382920110192839"/>
    <n v="0.98663646659116644"/>
    <m/>
    <m/>
    <n v="4415"/>
    <n v="59"/>
    <n v="4356"/>
    <n v="4242"/>
    <n v="114"/>
    <m/>
  </r>
  <r>
    <x v="2"/>
    <s v="Octubre"/>
    <n v="0.97621669235851138"/>
    <n v="0.97945205479452058"/>
    <n v="0.99669676282757103"/>
    <m/>
    <m/>
    <n v="4541"/>
    <n v="15"/>
    <n v="4526"/>
    <n v="4433"/>
    <n v="93"/>
    <m/>
  </r>
  <r>
    <x v="2"/>
    <s v="Noviembre"/>
    <n v="0.95682326621923941"/>
    <n v="0.97072174307762138"/>
    <n v="0.9856823266219239"/>
    <m/>
    <m/>
    <n v="4470"/>
    <n v="64"/>
    <n v="4406"/>
    <n v="4277"/>
    <n v="129"/>
    <m/>
  </r>
  <r>
    <x v="2"/>
    <s v="Diciembre"/>
    <n v="0.92881053336308861"/>
    <n v="0.9506624029237094"/>
    <n v="0.97701405936174957"/>
    <m/>
    <m/>
    <n v="4481"/>
    <n v="103"/>
    <n v="4378"/>
    <n v="4162"/>
    <n v="216"/>
    <m/>
  </r>
  <r>
    <x v="3"/>
    <s v="Enero"/>
    <n v="0.95765116786727789"/>
    <n v="0.96693850562045403"/>
    <n v="0.99039511023793936"/>
    <m/>
    <m/>
    <n v="4581"/>
    <n v="44"/>
    <n v="4537"/>
    <n v="4387"/>
    <n v="150"/>
    <m/>
  </r>
  <r>
    <x v="3"/>
    <s v="Febrero"/>
    <n v="0.96383028054718289"/>
    <n v="0.97399250234301782"/>
    <n v="0.98956642708091813"/>
    <m/>
    <m/>
    <n v="4313"/>
    <n v="45"/>
    <n v="4268"/>
    <n v="4157"/>
    <n v="111"/>
    <m/>
  </r>
  <r>
    <x v="3"/>
    <s v="Marzo"/>
    <n v="0.95160937157871683"/>
    <n v="0.96513435487452814"/>
    <n v="0.98598642434858774"/>
    <m/>
    <m/>
    <n v="4567"/>
    <n v="64"/>
    <n v="4503"/>
    <n v="4346"/>
    <n v="157"/>
    <m/>
  </r>
  <r>
    <x v="3"/>
    <s v="Abril"/>
    <n v="0.9615992771628642"/>
    <n v="0.97391901166781059"/>
    <n v="0.98735035012423766"/>
    <m/>
    <m/>
    <n v="4427"/>
    <n v="56"/>
    <n v="4371"/>
    <n v="4257"/>
    <n v="114"/>
    <m/>
  </r>
  <r>
    <x v="3"/>
    <s v="Mayo"/>
    <n v="0.94142167617376038"/>
    <n v="0.95567928730512253"/>
    <n v="0.98508117595436595"/>
    <m/>
    <m/>
    <n v="4558"/>
    <n v="68"/>
    <n v="4490"/>
    <n v="4291"/>
    <n v="199"/>
    <m/>
  </r>
  <r>
    <x v="3"/>
    <s v="Junio"/>
    <n v="0.88737280296022203"/>
    <n v="0.91313660161827703"/>
    <n v="0.97178538390379277"/>
    <m/>
    <m/>
    <n v="4324"/>
    <n v="122"/>
    <n v="4202"/>
    <n v="3837"/>
    <n v="365"/>
    <m/>
  </r>
  <r>
    <x v="3"/>
    <s v="Julio"/>
    <n v="0.93673647469458987"/>
    <n v="0.95105204872646731"/>
    <n v="0.98494764397905754"/>
    <m/>
    <m/>
    <n v="4584"/>
    <n v="69"/>
    <n v="4515"/>
    <n v="4294"/>
    <n v="221"/>
    <m/>
  </r>
  <r>
    <x v="3"/>
    <s v="Agosto"/>
    <n v="0.87565905096660812"/>
    <n v="0.92418270345467191"/>
    <n v="0.94749560632688923"/>
    <m/>
    <m/>
    <n v="4552"/>
    <n v="239"/>
    <n v="4313"/>
    <n v="3986"/>
    <n v="327"/>
    <m/>
  </r>
  <r>
    <x v="3"/>
    <s v="Septiembre"/>
    <n v="0.86417657045840413"/>
    <n v="0.91443970357062654"/>
    <n v="0.94503395585738537"/>
    <m/>
    <m/>
    <n v="4712"/>
    <n v="259"/>
    <n v="4453"/>
    <n v="4072"/>
    <n v="381"/>
    <m/>
  </r>
  <r>
    <x v="3"/>
    <s v="Octubre"/>
    <n v="0.80095482923246419"/>
    <n v="0.87766599597585515"/>
    <n v="0.91259640102827766"/>
    <m/>
    <m/>
    <n v="5446"/>
    <n v="476"/>
    <n v="4970"/>
    <n v="4362"/>
    <n v="608"/>
    <m/>
  </r>
  <r>
    <x v="3"/>
    <s v="Noviembre"/>
    <n v="0.86730841827104566"/>
    <n v="0.93603585251578736"/>
    <n v="0.9265760664401661"/>
    <m/>
    <m/>
    <n v="5298"/>
    <n v="389"/>
    <n v="4909"/>
    <n v="4595"/>
    <n v="314"/>
    <m/>
  </r>
  <r>
    <x v="3"/>
    <s v="Diciembre"/>
    <n v="0.82300209803547586"/>
    <n v="0.90158796489761805"/>
    <n v="0.91283616250238409"/>
    <m/>
    <m/>
    <n v="5243"/>
    <n v="457"/>
    <n v="4786"/>
    <n v="4315"/>
    <n v="471"/>
    <m/>
  </r>
  <r>
    <x v="4"/>
    <s v="Enero"/>
    <n v="0.8882397286091217"/>
    <n v="0.91817650496785508"/>
    <n v="0.96739540143234071"/>
    <m/>
    <m/>
    <n v="5306"/>
    <n v="173"/>
    <n v="5133"/>
    <n v="4713"/>
    <n v="420"/>
    <m/>
  </r>
  <r>
    <x v="4"/>
    <s v="Febrero"/>
    <n v="0.88329187396351572"/>
    <n v="0.90891638225255977"/>
    <n v="0.97180762852404645"/>
    <m/>
    <m/>
    <n v="4824"/>
    <n v="136"/>
    <n v="4688"/>
    <n v="4261"/>
    <n v="427"/>
    <m/>
  </r>
  <r>
    <x v="4"/>
    <s v="Marzo"/>
    <n v="0.87850826605151866"/>
    <n v="0.90477133240942387"/>
    <n v="0.97097270280661285"/>
    <m/>
    <m/>
    <n v="5202"/>
    <n v="151"/>
    <n v="5051"/>
    <n v="4570"/>
    <n v="481"/>
    <m/>
  </r>
  <r>
    <x v="4"/>
    <s v="Abril"/>
    <n v="0.85866202629543698"/>
    <n v="0.90966816878328549"/>
    <n v="0.9439288476411446"/>
    <m/>
    <m/>
    <n v="5172"/>
    <n v="290"/>
    <n v="4882"/>
    <n v="4441"/>
    <n v="441"/>
    <m/>
  </r>
  <r>
    <x v="4"/>
    <s v="Mayo"/>
    <n v="0.91478458910609228"/>
    <n v="0.96207584830339321"/>
    <n v="0.95084456253558547"/>
    <m/>
    <m/>
    <n v="5269"/>
    <n v="259"/>
    <n v="5010"/>
    <n v="4820"/>
    <n v="190"/>
    <m/>
  </r>
  <r>
    <x v="4"/>
    <s v="Junio"/>
    <n v="0.95273833671399599"/>
    <n v="0.96626208599053698"/>
    <n v="0.98600405679513181"/>
    <m/>
    <m/>
    <n v="4930"/>
    <n v="69"/>
    <n v="4861"/>
    <n v="4697"/>
    <n v="164"/>
    <m/>
  </r>
  <r>
    <x v="4"/>
    <s v="Julio"/>
    <n v="0.9632825040128411"/>
    <n v="0.97403124365997162"/>
    <n v="0.9889646869983949"/>
    <m/>
    <m/>
    <n v="4984"/>
    <n v="55"/>
    <n v="4929"/>
    <n v="4801"/>
    <n v="128"/>
    <m/>
  </r>
  <r>
    <x v="4"/>
    <s v="Agosto"/>
    <n v="0.96191300584289119"/>
    <n v="0.98101964246303242"/>
    <n v="0.98052369616966029"/>
    <m/>
    <m/>
    <n v="4621"/>
    <n v="90"/>
    <n v="4531"/>
    <n v="4445"/>
    <n v="86"/>
    <m/>
  </r>
  <r>
    <x v="4"/>
    <s v="Septiembre"/>
    <n v="0.96854663774403471"/>
    <n v="0.97895198421398821"/>
    <n v="0.98937093275488064"/>
    <m/>
    <m/>
    <n v="4610"/>
    <n v="49"/>
    <n v="4561"/>
    <n v="4465"/>
    <n v="96"/>
    <m/>
  </r>
  <r>
    <x v="4"/>
    <s v="Octubre"/>
    <n v="0.96041244706315598"/>
    <n v="0.9736792981146164"/>
    <n v="0.98637451666359788"/>
    <m/>
    <m/>
    <n v="5431"/>
    <n v="74"/>
    <n v="5357"/>
    <n v="5216"/>
    <n v="141"/>
    <m/>
  </r>
  <r>
    <x v="4"/>
    <s v="Noviembre"/>
    <n v="0.93927203065134102"/>
    <n v="0.94762272902976419"/>
    <n v="0.9911877394636015"/>
    <m/>
    <m/>
    <n v="5220"/>
    <n v="46"/>
    <n v="5174"/>
    <n v="4903"/>
    <n v="271"/>
    <m/>
  </r>
  <r>
    <x v="4"/>
    <s v="Diciembre"/>
    <n v="0.9530841121495327"/>
    <n v="0.96243865609664025"/>
    <n v="0.9902803738317757"/>
    <m/>
    <m/>
    <n v="5350"/>
    <n v="52"/>
    <n v="5298"/>
    <n v="5099"/>
    <n v="199"/>
    <m/>
  </r>
  <r>
    <x v="5"/>
    <s v="Enero"/>
    <n v="0.95415896487985208"/>
    <n v="0.96001487818486142"/>
    <n v="0.99390018484288356"/>
    <m/>
    <m/>
    <n v="5410"/>
    <n v="33"/>
    <n v="5377"/>
    <n v="5162"/>
    <n v="215"/>
    <m/>
  </r>
  <r>
    <x v="5"/>
    <s v="Febrero"/>
    <n v="0.94590761750405183"/>
    <n v="0.95422031473533619"/>
    <n v="0.9912884927066451"/>
    <m/>
    <m/>
    <n v="4936"/>
    <n v="43"/>
    <n v="4893"/>
    <n v="4669"/>
    <n v="224"/>
    <m/>
  </r>
  <r>
    <x v="5"/>
    <s v="Marzo"/>
    <n v="0.96020633750921147"/>
    <n v="0.9684132292827945"/>
    <n v="0.99152542372881358"/>
    <m/>
    <m/>
    <n v="5428"/>
    <n v="46"/>
    <n v="5382"/>
    <n v="5212"/>
    <n v="170"/>
    <m/>
  </r>
  <r>
    <x v="5"/>
    <s v="Abril"/>
    <n v="0.96697212676594124"/>
    <n v="0.97497593840230989"/>
    <n v="0.99179075983199694"/>
    <m/>
    <m/>
    <n v="5238"/>
    <n v="43"/>
    <n v="5195"/>
    <n v="5065"/>
    <n v="130"/>
    <m/>
  </r>
  <r>
    <x v="5"/>
    <s v="Mayo"/>
    <n v="0.98439284354777312"/>
    <n v="0.98739977090492559"/>
    <n v="0.99695470118005325"/>
    <m/>
    <m/>
    <n v="5254"/>
    <n v="16"/>
    <n v="5238"/>
    <n v="5172"/>
    <n v="66"/>
    <m/>
  </r>
  <r>
    <x v="5"/>
    <s v="Junio"/>
    <n v="0.97209302325581393"/>
    <n v="0.97606538237011087"/>
    <n v="0.99593023255813951"/>
    <m/>
    <m/>
    <n v="5160"/>
    <n v="21"/>
    <n v="5139"/>
    <n v="5016"/>
    <n v="123"/>
    <m/>
  </r>
  <r>
    <x v="5"/>
    <s v="Julio"/>
    <n v="0.97688073394495412"/>
    <n v="0.98174442190669375"/>
    <n v="0.99504587155963298"/>
    <m/>
    <m/>
    <n v="5450"/>
    <n v="27"/>
    <n v="5423"/>
    <n v="5324"/>
    <n v="99"/>
    <m/>
  </r>
  <r>
    <x v="5"/>
    <s v="Agosto"/>
    <n v="0.97786946736684166"/>
    <n v="0.98118178396687994"/>
    <n v="0.99662415603900978"/>
    <m/>
    <m/>
    <n v="5332"/>
    <n v="18"/>
    <n v="5314"/>
    <n v="5214"/>
    <n v="100"/>
    <m/>
  </r>
  <r>
    <x v="5"/>
    <s v="Septiembre"/>
    <n v="0.97959565705728191"/>
    <n v="0.98364661654135344"/>
    <n v="0.9958816922500936"/>
    <m/>
    <m/>
    <n v="5342"/>
    <n v="22"/>
    <n v="5320"/>
    <n v="5233"/>
    <n v="87"/>
    <m/>
  </r>
  <r>
    <x v="5"/>
    <s v="Octubre"/>
    <n v="0.98391866913123849"/>
    <n v="0.98738638471526619"/>
    <n v="0.99648798521256932"/>
    <m/>
    <m/>
    <n v="5410"/>
    <n v="19"/>
    <n v="5391"/>
    <n v="5323"/>
    <n v="68"/>
    <m/>
  </r>
  <r>
    <x v="5"/>
    <s v="Noviembre"/>
    <n v="0.9864452080946926"/>
    <n v="0.99231803341655467"/>
    <n v="0.99408171057655592"/>
    <m/>
    <m/>
    <n v="5238"/>
    <n v="31"/>
    <n v="5207"/>
    <n v="5167"/>
    <n v="40"/>
    <m/>
  </r>
  <r>
    <x v="5"/>
    <s v="Diciembre"/>
    <n v="0.91869767441860462"/>
    <n v="0.99196464443551624"/>
    <n v="0.92613953488372092"/>
    <m/>
    <m/>
    <n v="5375"/>
    <n v="397"/>
    <n v="4978"/>
    <n v="4938"/>
    <n v="40"/>
    <m/>
  </r>
  <r>
    <x v="6"/>
    <s v="Enero"/>
    <n v="0.99010640283740903"/>
    <n v="0.99307245834113467"/>
    <n v="0.99701325368676497"/>
    <m/>
    <m/>
    <n v="5357"/>
    <n v="16"/>
    <n v="5341"/>
    <n v="5304"/>
    <n v="37"/>
    <m/>
  </r>
  <r>
    <x v="6"/>
    <s v="Febrero"/>
    <n v="0.98326612903225807"/>
    <n v="0.98644822006472488"/>
    <n v="0.99677419354838714"/>
    <m/>
    <m/>
    <n v="4960"/>
    <n v="16"/>
    <n v="4944"/>
    <n v="4877"/>
    <n v="67"/>
    <m/>
  </r>
  <r>
    <x v="6"/>
    <s v="Marzo"/>
    <n v="0.97451653714079156"/>
    <n v="0.98143429195485987"/>
    <n v="0.99295138261341043"/>
    <m/>
    <m/>
    <n v="5533"/>
    <n v="39"/>
    <n v="5494"/>
    <n v="5392"/>
    <n v="102"/>
    <m/>
  </r>
  <r>
    <x v="6"/>
    <s v="Abril"/>
    <n v="0.96530028598665396"/>
    <n v="0.9749663007895244"/>
    <n v="0.99008579599618685"/>
    <m/>
    <m/>
    <n v="5245"/>
    <n v="52"/>
    <n v="5193"/>
    <n v="5063"/>
    <n v="130"/>
    <m/>
  </r>
  <r>
    <x v="6"/>
    <s v="Mayo"/>
    <n v="0.96544561933534745"/>
    <n v="0.97576335877862597"/>
    <n v="0.98942598187311182"/>
    <m/>
    <m/>
    <n v="5296"/>
    <n v="56"/>
    <n v="5240"/>
    <n v="5113"/>
    <n v="127"/>
    <m/>
  </r>
  <r>
    <x v="6"/>
    <s v="Junio"/>
    <n v="0.97048611111111116"/>
    <n v="0.98031956352299299"/>
    <n v="0.98996913580246915"/>
    <m/>
    <m/>
    <n v="5184"/>
    <n v="52"/>
    <n v="5132"/>
    <n v="5031"/>
    <n v="101"/>
    <m/>
  </r>
  <r>
    <x v="6"/>
    <s v="Julio"/>
    <n v="0.96339220014716709"/>
    <n v="0.97396317649246789"/>
    <n v="0.98914643119941137"/>
    <m/>
    <m/>
    <n v="5436"/>
    <n v="59"/>
    <n v="5377"/>
    <n v="5237"/>
    <n v="140"/>
    <m/>
  </r>
  <r>
    <x v="6"/>
    <s v="Agosto"/>
    <n v="0.97562790697674417"/>
    <n v="0.98165481093223517"/>
    <n v="0.99386046511627912"/>
    <m/>
    <m/>
    <n v="5375"/>
    <n v="33"/>
    <n v="5342"/>
    <n v="5244"/>
    <n v="98"/>
    <m/>
  </r>
  <r>
    <x v="6"/>
    <s v="Septiembre"/>
    <n v="0.96405840509172591"/>
    <n v="0.97500946611132144"/>
    <n v="0.98876825159116433"/>
    <m/>
    <m/>
    <n v="5342"/>
    <n v="60"/>
    <n v="5282"/>
    <n v="5150"/>
    <n v="132"/>
    <m/>
  </r>
  <r>
    <x v="6"/>
    <s v="Octubre"/>
    <n v="0.98077282060854953"/>
    <n v="0.98629622676928852"/>
    <n v="0.99439985066268433"/>
    <m/>
    <m/>
    <n v="5357"/>
    <n v="30"/>
    <n v="5327"/>
    <n v="5254"/>
    <n v="73"/>
    <m/>
  </r>
  <r>
    <x v="6"/>
    <s v="Noviembre"/>
    <n v="0.95937850992137774"/>
    <n v="0.97693480747235995"/>
    <n v="0.98202920254586301"/>
    <m/>
    <m/>
    <n v="5342"/>
    <n v="96"/>
    <n v="5246"/>
    <n v="5125"/>
    <n v="121"/>
    <m/>
  </r>
  <r>
    <x v="6"/>
    <s v="Diciembre"/>
    <n v="0.97830521045800112"/>
    <n v="0.98524743230625589"/>
    <n v="0.9929538290376414"/>
    <m/>
    <m/>
    <n v="5393"/>
    <n v="38"/>
    <n v="5355"/>
    <n v="5276"/>
    <n v="79"/>
    <m/>
  </r>
  <r>
    <x v="7"/>
    <s v="Enero"/>
    <n v="0.97953488372093023"/>
    <n v="0.98503274087932646"/>
    <n v="0.99441860465116283"/>
    <m/>
    <m/>
    <n v="5375"/>
    <n v="30"/>
    <n v="5345"/>
    <n v="5265"/>
    <n v="80"/>
    <m/>
  </r>
  <r>
    <x v="7"/>
    <s v="Febrero"/>
    <n v="0.97903319743739081"/>
    <n v="0.98515335026372342"/>
    <n v="0.99378761405552318"/>
    <m/>
    <m/>
    <n v="5151"/>
    <n v="32"/>
    <n v="5119"/>
    <n v="5043"/>
    <n v="76"/>
    <m/>
  </r>
  <r>
    <x v="7"/>
    <s v="Marzo"/>
    <n v="0.96764865353334539"/>
    <n v="0.97540535616687918"/>
    <n v="0.99204771371769385"/>
    <m/>
    <m/>
    <n v="5533"/>
    <n v="44"/>
    <n v="5489"/>
    <n v="5354"/>
    <n v="135"/>
    <m/>
  </r>
  <r>
    <x v="7"/>
    <s v="Abril"/>
    <n v="0.97222222222222221"/>
    <n v="0.9769666211204372"/>
    <n v="0.99514374514374515"/>
    <m/>
    <m/>
    <n v="5148"/>
    <n v="25"/>
    <n v="5123"/>
    <n v="5005"/>
    <n v="118"/>
    <m/>
  </r>
  <r>
    <x v="7"/>
    <s v="Mayo"/>
    <n v="0.94976744186046513"/>
    <n v="0.96905846621108582"/>
    <n v="0.98009302325581393"/>
    <m/>
    <m/>
    <n v="5375"/>
    <n v="107"/>
    <n v="5268"/>
    <n v="5105"/>
    <n v="163"/>
    <m/>
  </r>
  <r>
    <x v="7"/>
    <s v="Junio"/>
    <n v="0.87735486351403302"/>
    <n v="0.93199918317337149"/>
    <n v="0.94136870434448294"/>
    <m/>
    <m/>
    <n v="5202"/>
    <n v="305"/>
    <n v="4897"/>
    <n v="4564"/>
    <n v="333"/>
    <m/>
  </r>
  <r>
    <x v="7"/>
    <s v="Julio"/>
    <n v="0.96467991169977929"/>
    <n v="0.97093130901684876"/>
    <n v="0.99356144223693887"/>
    <m/>
    <m/>
    <n v="5436"/>
    <n v="35"/>
    <n v="5401"/>
    <n v="5244"/>
    <n v="157"/>
    <m/>
  </r>
  <r>
    <x v="7"/>
    <s v="Agosto"/>
    <n v="0.97433076640997429"/>
    <n v="0.97953917050691242"/>
    <n v="0.99468280161349465"/>
    <m/>
    <m/>
    <n v="5454"/>
    <n v="29"/>
    <n v="5425"/>
    <n v="5314"/>
    <n v="111"/>
    <m/>
  </r>
  <r>
    <x v="7"/>
    <s v="Septiembre"/>
    <n v="0.94440270473328325"/>
    <n v="0.95335608646188852"/>
    <n v="0.99060856498873029"/>
    <m/>
    <m/>
    <n v="5324"/>
    <n v="50"/>
    <n v="5274"/>
    <n v="5028"/>
    <n v="246"/>
    <m/>
  </r>
  <r>
    <x v="7"/>
    <s v="Octubre"/>
    <n v="0.98027906976744184"/>
    <n v="0.982839022570416"/>
    <n v="0.99739534883720926"/>
    <m/>
    <m/>
    <n v="5375"/>
    <n v="14"/>
    <n v="5361"/>
    <n v="5269"/>
    <n v="92"/>
    <m/>
  </r>
  <r>
    <x v="7"/>
    <s v="Noviembre"/>
    <n v="0.9477697293175753"/>
    <n v="0.97528442526480974"/>
    <n v="0.97178802897445671"/>
    <m/>
    <m/>
    <n v="5246"/>
    <n v="148"/>
    <n v="5098"/>
    <n v="4972"/>
    <n v="126"/>
    <m/>
  </r>
  <r>
    <x v="7"/>
    <s v="Diciembre"/>
    <n v="0.91114058355437666"/>
    <n v="0.95171185434395411"/>
    <n v="0.95737021599090566"/>
    <m/>
    <m/>
    <n v="5278"/>
    <n v="225"/>
    <n v="5053"/>
    <n v="4809"/>
    <n v="244"/>
    <m/>
  </r>
  <r>
    <x v="8"/>
    <s v="Enero"/>
    <n v="0.9741784037558685"/>
    <n v="0.97770931496919178"/>
    <n v="0.99638858793788376"/>
    <m/>
    <m/>
    <n v="5538"/>
    <n v="20"/>
    <n v="5518"/>
    <n v="5395"/>
    <n v="123"/>
    <m/>
  </r>
  <r>
    <x v="8"/>
    <s v="Febrero"/>
    <n v="0.96557971014492749"/>
    <n v="0.97519821101849968"/>
    <n v="0.99013687600644118"/>
    <m/>
    <m/>
    <n v="4968"/>
    <n v="49"/>
    <n v="4919"/>
    <n v="4797"/>
    <n v="122"/>
    <m/>
  </r>
  <r>
    <x v="8"/>
    <s v="Marzo"/>
    <n v="0.96252036936447583"/>
    <n v="0.97380472614031877"/>
    <n v="0.98841209487597326"/>
    <m/>
    <m/>
    <n v="5523"/>
    <n v="64"/>
    <n v="5459"/>
    <n v="5316"/>
    <n v="143"/>
    <m/>
  </r>
  <r>
    <x v="8"/>
    <s v="Abril"/>
    <n v="0.9656741892660724"/>
    <n v="0.9752920896380004"/>
    <n v="0.99013844111511473"/>
    <m/>
    <m/>
    <n v="5273"/>
    <n v="52"/>
    <n v="5221"/>
    <n v="5092"/>
    <n v="129"/>
    <m/>
  </r>
  <r>
    <x v="8"/>
    <s v="Mayo"/>
    <n v="0.95576739752144901"/>
    <n v="0.97207678883071558"/>
    <n v="0.98322211630123924"/>
    <m/>
    <m/>
    <n v="5245"/>
    <n v="88"/>
    <n v="5157"/>
    <n v="5013"/>
    <n v="144"/>
    <m/>
  </r>
  <r>
    <x v="8"/>
    <s v="Junio"/>
    <n v="0.95623674571042994"/>
    <n v="0.96723868954758185"/>
    <n v="0.98862540967804124"/>
    <m/>
    <m/>
    <n v="5187"/>
    <n v="59"/>
    <n v="5128"/>
    <n v="4960"/>
    <n v="168"/>
    <m/>
  </r>
  <r>
    <x v="8"/>
    <s v="Julio"/>
    <n v="0.90392931002068055"/>
    <n v="0.96720981693824182"/>
    <n v="0.93457416807670612"/>
    <m/>
    <m/>
    <n v="5319"/>
    <n v="348"/>
    <n v="4971"/>
    <n v="4808"/>
    <n v="163"/>
    <m/>
  </r>
  <r>
    <x v="8"/>
    <s v="Agosto"/>
    <n v="0.9652269399707174"/>
    <n v="0.97540225633438138"/>
    <n v="0.98956808199121526"/>
    <m/>
    <m/>
    <n v="5464"/>
    <n v="57"/>
    <n v="5407"/>
    <n v="5274"/>
    <n v="133"/>
    <m/>
  </r>
  <r>
    <x v="8"/>
    <s v="Septiembre"/>
    <n v="0.96500570559147969"/>
    <n v="0.97464464079907798"/>
    <n v="0.9901103081019399"/>
    <m/>
    <m/>
    <n v="5258"/>
    <n v="52"/>
    <n v="5206"/>
    <n v="5074"/>
    <n v="132"/>
    <m/>
  </r>
  <r>
    <x v="8"/>
    <s v="Octubre"/>
    <n v="0.9857169016663615"/>
    <n v="0.9875252247294074"/>
    <n v="0.99816883354696939"/>
    <m/>
    <m/>
    <n v="5461"/>
    <n v="10"/>
    <n v="5451"/>
    <n v="5383"/>
    <n v="68"/>
    <m/>
  </r>
  <r>
    <x v="8"/>
    <s v="Noviembre"/>
    <n v="0.97371406959152795"/>
    <n v="0.97666919575113809"/>
    <n v="0.99697428139183053"/>
    <m/>
    <m/>
    <n v="5288"/>
    <n v="16"/>
    <n v="5272"/>
    <n v="5149"/>
    <n v="123"/>
    <m/>
  </r>
  <r>
    <x v="8"/>
    <s v="Diciembre"/>
    <n v="0.87308202311043759"/>
    <n v="0.9750370213666173"/>
    <n v="0.89543474142830082"/>
    <m/>
    <m/>
    <n v="5279"/>
    <n v="552"/>
    <n v="4727"/>
    <n v="4609"/>
    <n v="118"/>
    <m/>
  </r>
  <r>
    <x v="9"/>
    <s v="Enero"/>
    <n v="0.95669651014069068"/>
    <n v="0.96712227558182495"/>
    <n v="0.98921980632194406"/>
    <m/>
    <m/>
    <n v="5473"/>
    <n v="59"/>
    <n v="5414"/>
    <n v="5236"/>
    <n v="178"/>
    <m/>
  </r>
  <r>
    <x v="9"/>
    <s v="Febrero"/>
    <n v="0.95297877196986991"/>
    <n v="0.9588883785025264"/>
    <n v="0.99383702351061398"/>
    <m/>
    <m/>
    <n v="4381"/>
    <n v="27"/>
    <n v="4354"/>
    <n v="4175"/>
    <n v="179"/>
    <m/>
  </r>
  <r>
    <x v="9"/>
    <s v="Marzo"/>
    <n v="0.94120180917510232"/>
    <n v="0.95602712754320718"/>
    <n v="0.98449278483738967"/>
    <m/>
    <m/>
    <n v="4643"/>
    <n v="72"/>
    <n v="4571"/>
    <n v="4370"/>
    <n v="201"/>
    <m/>
  </r>
  <r>
    <x v="9"/>
    <s v="Abril"/>
    <n v="0.90724441435341907"/>
    <n v="0.94788964866776704"/>
    <n v="0.95712028887384337"/>
    <m/>
    <m/>
    <n v="4431"/>
    <n v="190"/>
    <n v="4241"/>
    <n v="4020"/>
    <n v="221"/>
    <m/>
  </r>
  <r>
    <x v="9"/>
    <s v="Mayo"/>
    <n v="0.93153980752405952"/>
    <n v="0.94288244410006639"/>
    <n v="0.98797025371828517"/>
    <m/>
    <m/>
    <n v="4572"/>
    <n v="55"/>
    <n v="4517"/>
    <n v="4259"/>
    <n v="258"/>
    <m/>
  </r>
  <r>
    <x v="9"/>
    <s v="Junio"/>
    <n v="0.90249537892791132"/>
    <n v="0.91797884841363098"/>
    <n v="0.9831330868761553"/>
    <m/>
    <m/>
    <n v="4328"/>
    <n v="73"/>
    <n v="4255"/>
    <n v="3906"/>
    <n v="349"/>
    <m/>
  </r>
  <r>
    <x v="9"/>
    <s v="Julio"/>
    <n v="0.87265999129299088"/>
    <n v="0.88950521411138228"/>
    <n v="0.98106225511536782"/>
    <m/>
    <m/>
    <n v="4594"/>
    <n v="87"/>
    <n v="4507"/>
    <n v="4009"/>
    <n v="498"/>
    <m/>
  </r>
  <r>
    <x v="9"/>
    <s v="Agosto"/>
    <n v="0.92244367417677642"/>
    <n v="0.94182702941827035"/>
    <n v="0.97941941074523398"/>
    <m/>
    <m/>
    <n v="4616"/>
    <n v="95"/>
    <n v="4521"/>
    <n v="4258"/>
    <n v="263"/>
    <m/>
  </r>
  <r>
    <x v="9"/>
    <s v="Septiembre"/>
    <n v="0.96977272727272723"/>
    <n v="0.97420091324200908"/>
    <n v="0.99545454545454548"/>
    <m/>
    <m/>
    <n v="4400"/>
    <n v="20"/>
    <n v="4380"/>
    <n v="4267"/>
    <n v="113"/>
    <m/>
  </r>
  <r>
    <x v="9"/>
    <s v="Octubre"/>
    <n v="0.8590308370044053"/>
    <n v="0.89142857142857146"/>
    <n v="0.96365638766519823"/>
    <m/>
    <m/>
    <n v="4540"/>
    <n v="165"/>
    <n v="4375"/>
    <n v="3900"/>
    <n v="475"/>
    <m/>
  </r>
  <r>
    <x v="9"/>
    <s v="Noviembre"/>
    <n v="0.90954207083239347"/>
    <n v="0.92583237657864526"/>
    <n v="0.98240469208211145"/>
    <m/>
    <m/>
    <n v="4433"/>
    <n v="78"/>
    <n v="4355"/>
    <n v="4032"/>
    <n v="323"/>
    <m/>
  </r>
  <r>
    <x v="9"/>
    <s v="Diciembre"/>
    <n v="0.89489018377409235"/>
    <n v="0.91708773541570965"/>
    <n v="0.97579560735096371"/>
    <m/>
    <m/>
    <n v="4462"/>
    <n v="108"/>
    <n v="4354"/>
    <n v="3993"/>
    <n v="361"/>
    <m/>
  </r>
  <r>
    <x v="10"/>
    <s v="Enero"/>
    <n v="0.91475770925110134"/>
    <n v="0.93451845184518456"/>
    <n v="0.97885462555066083"/>
    <m/>
    <m/>
    <n v="4540"/>
    <n v="96"/>
    <n v="4444"/>
    <n v="4153"/>
    <n v="291"/>
    <m/>
  </r>
  <r>
    <x v="10"/>
    <s v="Febrero"/>
    <n v="0.89085188770571155"/>
    <n v="0.94047010730710268"/>
    <n v="0.94724104549854793"/>
    <m/>
    <m/>
    <n v="4132"/>
    <n v="218"/>
    <n v="3914"/>
    <n v="3681"/>
    <n v="233"/>
    <m/>
  </r>
  <r>
    <x v="10"/>
    <s v="Marzo"/>
    <n v="0.86618607794548319"/>
    <n v="0.93347899975722259"/>
    <n v="0.92791169182248256"/>
    <m/>
    <m/>
    <n v="4439"/>
    <n v="320"/>
    <n v="4119"/>
    <n v="3845"/>
    <n v="274"/>
    <m/>
  </r>
  <r>
    <x v="10"/>
    <s v="Abril"/>
    <n v="0.84444952032891729"/>
    <n v="0.91374196737518532"/>
    <n v="0.92416628597533124"/>
    <m/>
    <m/>
    <n v="4378"/>
    <n v="332"/>
    <n v="4046"/>
    <n v="3697"/>
    <n v="349"/>
    <m/>
  </r>
  <r>
    <x v="10"/>
    <s v="Mayo"/>
    <n v="0.49522964277790105"/>
    <n v="0.81608775137111522"/>
    <n v="0.60683381406700687"/>
    <m/>
    <m/>
    <n v="4507"/>
    <n v="1772"/>
    <n v="2735"/>
    <n v="2232"/>
    <n v="503"/>
    <m/>
  </r>
  <r>
    <x v="10"/>
    <s v="Junio"/>
    <n v="0.65870221327967804"/>
    <n v="0.82853527364757984"/>
    <n v="0.79502012072434602"/>
    <m/>
    <m/>
    <n v="3976"/>
    <n v="815"/>
    <n v="3161"/>
    <n v="2619"/>
    <n v="542"/>
    <m/>
  </r>
  <r>
    <x v="10"/>
    <s v="Julio"/>
    <n v="0.6766887934400625"/>
    <n v="0.79953863898500577"/>
    <n v="0.84634908238969153"/>
    <m/>
    <m/>
    <n v="5122"/>
    <n v="787"/>
    <n v="4335"/>
    <n v="3466"/>
    <n v="869"/>
    <m/>
  </r>
  <r>
    <x v="10"/>
    <s v="Agosto"/>
    <n v="0.72014340129957433"/>
    <n v="0.85638156141753263"/>
    <n v="0.84091418328478607"/>
    <m/>
    <m/>
    <n v="4463"/>
    <n v="710"/>
    <n v="3753"/>
    <n v="3214"/>
    <n v="539"/>
    <m/>
  </r>
  <r>
    <x v="10"/>
    <s v="Septiembre"/>
    <n v="0.70623877917414724"/>
    <n v="0.85284552845528461"/>
    <n v="0.82809694793536803"/>
    <m/>
    <m/>
    <n v="4456"/>
    <n v="766"/>
    <n v="3690"/>
    <n v="3147"/>
    <n v="543"/>
    <m/>
  </r>
  <r>
    <x v="10"/>
    <s v="Octubre"/>
    <n v="0.65066079295154189"/>
    <n v="0.83164414414414412"/>
    <n v="0.78237885462555068"/>
    <m/>
    <m/>
    <n v="4540"/>
    <n v="988"/>
    <n v="3552"/>
    <n v="2954"/>
    <n v="598"/>
    <m/>
  </r>
  <r>
    <x v="10"/>
    <s v="Noviembre"/>
    <n v="0.65327210103329503"/>
    <n v="0.83284543325526927"/>
    <n v="0.78438576349024114"/>
    <m/>
    <m/>
    <n v="4355"/>
    <n v="939"/>
    <n v="3416"/>
    <n v="2845"/>
    <n v="571"/>
    <m/>
  </r>
  <r>
    <x v="10"/>
    <s v="Diciembre"/>
    <n v="0.62617660242043927"/>
    <n v="0.79578467673027631"/>
    <n v="0.78686687584043025"/>
    <m/>
    <m/>
    <n v="4462"/>
    <n v="951"/>
    <n v="3511"/>
    <n v="2794"/>
    <n v="717"/>
    <m/>
  </r>
  <r>
    <x v="11"/>
    <s v="Enero"/>
    <n v="0.54947974319238435"/>
    <n v="0.75280558083105853"/>
    <n v="0.72990923179101175"/>
    <m/>
    <m/>
    <n v="4517"/>
    <n v="1220"/>
    <n v="3297"/>
    <n v="2482"/>
    <n v="815"/>
    <m/>
  </r>
  <r>
    <x v="11"/>
    <s v="Febrero"/>
    <n v="0.47509487666034156"/>
    <n v="0.71484653818700927"/>
    <n v="0.66461100569259957"/>
    <m/>
    <m/>
    <n v="4216"/>
    <n v="1414"/>
    <n v="2802"/>
    <n v="2003"/>
    <n v="799"/>
    <m/>
  </r>
  <r>
    <x v="11"/>
    <s v="Marzo"/>
    <n v="0.55067128627111306"/>
    <n v="0.74552917033128119"/>
    <n v="0.73863144218276311"/>
    <m/>
    <m/>
    <n v="4618"/>
    <n v="1207"/>
    <n v="3411"/>
    <n v="2543"/>
    <n v="868"/>
    <m/>
  </r>
  <r>
    <x v="11"/>
    <s v="Abril"/>
    <n v="0.64860465116279065"/>
    <n v="0.79936944683290345"/>
    <n v="0.81139534883720932"/>
    <m/>
    <m/>
    <n v="4300"/>
    <n v="811"/>
    <n v="3489"/>
    <n v="2789"/>
    <n v="700"/>
    <m/>
  </r>
  <r>
    <x v="11"/>
    <s v="Mayo"/>
    <n v="0.73038321167883213"/>
    <n v="0.77699587478767285"/>
    <n v="0.94000912408759119"/>
    <m/>
    <m/>
    <n v="4384"/>
    <n v="263"/>
    <n v="4121"/>
    <n v="3202"/>
    <n v="919"/>
    <m/>
  </r>
  <r>
    <x v="11"/>
    <s v="Junio"/>
    <n v="0.81795340338053901"/>
    <n v="0.84358068315665491"/>
    <n v="0.96962083142987665"/>
    <m/>
    <m/>
    <n v="4378"/>
    <n v="133"/>
    <n v="4245"/>
    <n v="3581"/>
    <n v="664"/>
    <m/>
  </r>
  <r>
    <x v="11"/>
    <s v="Julio"/>
    <n v="0.8448085012176223"/>
    <n v="0.87043795620437958"/>
    <n v="0.97055567854770863"/>
    <m/>
    <m/>
    <n v="4517"/>
    <n v="133"/>
    <n v="4384"/>
    <n v="3816"/>
    <n v="568"/>
    <m/>
  </r>
  <r>
    <x v="11"/>
    <s v="Agosto"/>
    <n v="0.85163603765127749"/>
    <n v="0.88372093023255816"/>
    <n v="0.96369341102644557"/>
    <m/>
    <m/>
    <n v="4462"/>
    <n v="162"/>
    <n v="4300"/>
    <n v="3800"/>
    <n v="500"/>
    <m/>
  </r>
  <r>
    <x v="11"/>
    <s v="Septiembre"/>
    <n v="0.77221723518850982"/>
    <n v="0.8396778916544656"/>
    <n v="0.91965888689407538"/>
    <m/>
    <m/>
    <n v="4456"/>
    <n v="358"/>
    <n v="4098"/>
    <n v="3441"/>
    <n v="657"/>
    <m/>
  </r>
  <r>
    <x v="11"/>
    <s v="Octubre"/>
    <n v="0.78936697454381621"/>
    <n v="0.88551933282789996"/>
    <n v="0.8914169858076143"/>
    <m/>
    <m/>
    <n v="4439"/>
    <n v="482"/>
    <n v="3957"/>
    <n v="3504"/>
    <n v="453"/>
    <m/>
  </r>
  <r>
    <x v="11"/>
    <s v="Noviembre"/>
    <n v="0.83774685816876127"/>
    <n v="0.87526377491207508"/>
    <n v="0.95713644524236985"/>
    <m/>
    <m/>
    <n v="4456"/>
    <n v="191"/>
    <n v="4265"/>
    <n v="3733"/>
    <n v="532"/>
    <m/>
  </r>
  <r>
    <x v="11"/>
    <s v="Diciembre"/>
    <n v="0.7085841694537347"/>
    <n v="0.79909479507166203"/>
    <n v="0.88673355629877371"/>
    <m/>
    <m/>
    <n v="4485"/>
    <n v="508"/>
    <n v="3977"/>
    <n v="3178"/>
    <n v="799"/>
    <m/>
  </r>
  <r>
    <x v="12"/>
    <s v="Enero"/>
    <n v="0.78046875000000004"/>
    <n v="0.84303797468354436"/>
    <n v="0.92578125"/>
    <m/>
    <m/>
    <n v="3840"/>
    <n v="285"/>
    <n v="3555"/>
    <n v="2997"/>
    <n v="843"/>
    <m/>
  </r>
  <r>
    <x v="12"/>
    <s v="Febrero"/>
    <n v="0.8061002178649237"/>
    <n v="0.84090909090909094"/>
    <n v="0.95860566448801743"/>
    <m/>
    <m/>
    <n v="3672"/>
    <n v="152"/>
    <n v="3520"/>
    <n v="2960"/>
    <n v="712"/>
    <m/>
  </r>
  <r>
    <x v="12"/>
    <s v="Marzo"/>
    <n v="0.83151779230210598"/>
    <n v="0.85660847880299251"/>
    <n v="0.97070927136286611"/>
    <m/>
    <m/>
    <n v="4131"/>
    <n v="121"/>
    <n v="4010"/>
    <n v="3435"/>
    <n v="696"/>
    <m/>
  </r>
  <r>
    <x v="12"/>
    <s v="Abril"/>
    <n v="0.83362434522324769"/>
    <n v="0.85189905684425182"/>
    <n v="0.97854826640059867"/>
    <m/>
    <m/>
    <n v="4009"/>
    <n v="86"/>
    <n v="3923"/>
    <n v="3342"/>
    <n v="667"/>
    <m/>
  </r>
  <r>
    <x v="12"/>
    <s v="Mayo"/>
    <n v="0.85651750972762641"/>
    <n v="0.87113529557259461"/>
    <n v="0.9832198443579766"/>
    <m/>
    <m/>
    <n v="4112"/>
    <n v="69"/>
    <n v="4043"/>
    <n v="3522"/>
    <n v="590"/>
    <m/>
  </r>
  <r>
    <x v="12"/>
    <s v="Junio"/>
    <n v="0.79346470441506611"/>
    <n v="0.83556606251641707"/>
    <n v="0.94961336991768519"/>
    <m/>
    <m/>
    <n v="4009"/>
    <n v="202"/>
    <n v="3807"/>
    <n v="3181"/>
    <n v="828"/>
    <m/>
  </r>
  <r>
    <x v="12"/>
    <s v="Julio"/>
    <n v="0.83049610894941639"/>
    <n v="0.85955197583689902"/>
    <n v="0.96619649805447472"/>
    <m/>
    <m/>
    <n v="4112"/>
    <n v="139"/>
    <n v="3973"/>
    <n v="3415"/>
    <n v="558"/>
    <m/>
  </r>
  <r>
    <x v="12"/>
    <s v="Agosto"/>
    <n v="0.82293423271500843"/>
    <n v="0.87231869254341166"/>
    <n v="0.94338713562996868"/>
    <m/>
    <m/>
    <n v="4151"/>
    <n v="235"/>
    <n v="3916"/>
    <n v="3416"/>
    <n v="500"/>
    <m/>
  </r>
  <r>
    <x v="12"/>
    <s v="Septiembre"/>
    <n v="0.88216403162055335"/>
    <n v="0.91004077471967382"/>
    <n v="0.96936758893280628"/>
    <m/>
    <m/>
    <n v="4048"/>
    <n v="124"/>
    <n v="3924"/>
    <n v="3571"/>
    <n v="353"/>
    <m/>
  </r>
  <r>
    <x v="12"/>
    <s v="Octubre"/>
    <n v="0.82503660322108341"/>
    <n v="0.8522813208974036"/>
    <n v="0.96803318692044904"/>
    <m/>
    <m/>
    <n v="4098"/>
    <n v="131"/>
    <n v="3967"/>
    <n v="3381"/>
    <n v="586"/>
    <m/>
  </r>
  <r>
    <x v="12"/>
    <s v="Noviembre"/>
    <n v="0.82707509881422925"/>
    <n v="0.85039370078740162"/>
    <n v="0.97257905138339917"/>
    <m/>
    <m/>
    <n v="4048"/>
    <n v="111"/>
    <n v="3937"/>
    <n v="3348"/>
    <n v="589"/>
    <m/>
  </r>
  <r>
    <x v="12"/>
    <s v="Diciembre"/>
    <n v="0.86514161220043573"/>
    <n v="0.88677981241625725"/>
    <n v="0.97559912854030506"/>
    <m/>
    <m/>
    <n v="4590"/>
    <n v="112"/>
    <n v="4478"/>
    <n v="3971"/>
    <n v="507"/>
    <m/>
  </r>
  <r>
    <x v="13"/>
    <s v="Enero"/>
    <n v="0.86421075176697371"/>
    <n v="0.8905318914146988"/>
    <n v="0.97044334975369462"/>
    <m/>
    <m/>
    <n v="4669"/>
    <n v="138"/>
    <n v="4531"/>
    <n v="4035"/>
    <n v="496"/>
    <m/>
  </r>
  <r>
    <x v="13"/>
    <s v="Febrero"/>
    <n v="0.81687145557655949"/>
    <n v="0.84523227383863075"/>
    <n v="0.96644612476370506"/>
    <m/>
    <m/>
    <n v="4232"/>
    <n v="142"/>
    <n v="4090"/>
    <n v="3457"/>
    <n v="633"/>
    <m/>
  </r>
  <r>
    <x v="13"/>
    <s v="Marzo"/>
    <n v="0.8054755043227666"/>
    <n v="0.81793478260869568"/>
    <n v="0.98476739398929602"/>
    <m/>
    <m/>
    <n v="4858"/>
    <n v="74"/>
    <n v="4784"/>
    <n v="3913"/>
    <n v="871"/>
    <m/>
  </r>
  <r>
    <x v="13"/>
    <s v="Abril"/>
    <n v="0.84536923704610367"/>
    <n v="0.86930983847283405"/>
    <n v="0.97246022031823742"/>
    <m/>
    <m/>
    <n v="4902"/>
    <n v="135"/>
    <n v="4767"/>
    <n v="4144"/>
    <n v="623"/>
    <m/>
  </r>
  <r>
    <x v="13"/>
    <s v="Mayo"/>
    <n v="0.80749607535321821"/>
    <n v="0.85764902042517721"/>
    <n v="0.94152276295133441"/>
    <m/>
    <m/>
    <n v="5096"/>
    <n v="298"/>
    <n v="4798"/>
    <n v="4115"/>
    <n v="683"/>
    <m/>
  </r>
  <r>
    <x v="13"/>
    <s v="Junio"/>
    <n v="0.72020933977455714"/>
    <n v="0.76322525597269619"/>
    <n v="0.94363929146537839"/>
    <m/>
    <m/>
    <n v="4968"/>
    <n v="280"/>
    <n v="4688"/>
    <n v="3578"/>
    <n v="1110"/>
    <m/>
  </r>
  <r>
    <x v="13"/>
    <s v="Julio"/>
    <n v="0.6880608661724541"/>
    <n v="0.72871900826446279"/>
    <n v="0.94420600858369097"/>
    <m/>
    <m/>
    <n v="5126"/>
    <n v="286"/>
    <n v="4840"/>
    <n v="3527"/>
    <n v="1313"/>
    <m/>
  </r>
  <r>
    <x v="13"/>
    <s v="Agosto"/>
    <n v="0.74611197511664074"/>
    <n v="0.7808748728382503"/>
    <n v="0.9554821150855366"/>
    <m/>
    <m/>
    <n v="5144"/>
    <n v="229"/>
    <n v="4915"/>
    <n v="3838"/>
    <n v="1077"/>
    <m/>
  </r>
  <r>
    <x v="13"/>
    <s v="Septiembre"/>
    <n v="0.85654261704681878"/>
    <n v="0.87635619242579321"/>
    <n v="0.97739095638255302"/>
    <m/>
    <m/>
    <n v="4998"/>
    <n v="113"/>
    <n v="4885"/>
    <n v="4281"/>
    <n v="604"/>
    <m/>
  </r>
  <r>
    <x v="13"/>
    <s v="Octubre"/>
    <n v="0.86499215070643642"/>
    <n v="0.88978603148970525"/>
    <n v="0.97213500784929352"/>
    <m/>
    <m/>
    <n v="5096"/>
    <n v="142"/>
    <n v="4954"/>
    <n v="4408"/>
    <n v="546"/>
    <m/>
  </r>
  <r>
    <x v="13"/>
    <s v="Noviembre"/>
    <n v="0.81818181818181823"/>
    <n v="0.84392350400987048"/>
    <n v="0.96949760765550241"/>
    <m/>
    <m/>
    <n v="5016"/>
    <n v="153"/>
    <n v="4863"/>
    <n v="4104"/>
    <n v="759"/>
    <m/>
  </r>
  <r>
    <x v="13"/>
    <s v="Diciembre"/>
    <n v="0.83359840954274356"/>
    <n v="0.86417971970321517"/>
    <n v="0.96461232604373759"/>
    <m/>
    <m/>
    <n v="5030"/>
    <n v="178"/>
    <n v="4852"/>
    <n v="4193"/>
    <n v="659"/>
    <m/>
  </r>
  <r>
    <x v="14"/>
    <s v="Enero"/>
    <n v="0.8322317262830482"/>
    <n v="0.87635619242579321"/>
    <n v="0.9496500777604977"/>
    <m/>
    <m/>
    <n v="5144"/>
    <n v="259"/>
    <n v="4885"/>
    <n v="4281"/>
    <n v="604"/>
    <m/>
  </r>
  <r>
    <x v="14"/>
    <s v="Febrero"/>
    <n v="0.86501495087569413"/>
    <n v="0.89463220675944333"/>
    <n v="0.96689448953438706"/>
    <m/>
    <m/>
    <n v="4682"/>
    <n v="155"/>
    <n v="4527"/>
    <n v="4050"/>
    <n v="477"/>
    <m/>
  </r>
  <r>
    <x v="14"/>
    <s v="Marzo"/>
    <n v="0.81009296148738374"/>
    <n v="0.83807654563297351"/>
    <n v="0.96660975147030925"/>
    <m/>
    <m/>
    <n v="5271"/>
    <n v="176"/>
    <n v="5095"/>
    <n v="4270"/>
    <n v="825"/>
    <m/>
  </r>
  <r>
    <x v="14"/>
    <s v="Abril"/>
    <n v="0.81743321952199233"/>
    <n v="0.85057471264367812"/>
    <n v="0.96103635268126131"/>
    <m/>
    <m/>
    <n v="4979"/>
    <n v="194"/>
    <n v="4785"/>
    <n v="4070"/>
    <n v="715"/>
    <m/>
  </r>
  <r>
    <x v="14"/>
    <s v="Mayo"/>
    <n v="0.8255368098159509"/>
    <n v="0.85538339292808896"/>
    <n v="0.96510736196319014"/>
    <m/>
    <m/>
    <n v="5216"/>
    <n v="182"/>
    <n v="5034"/>
    <n v="4306"/>
    <n v="728"/>
    <m/>
  </r>
  <r>
    <x v="14"/>
    <s v="Junio"/>
    <n v="0.84560710760118463"/>
    <n v="0.86788247213779124"/>
    <n v="0.9743336623889437"/>
    <m/>
    <m/>
    <n v="5065"/>
    <n v="130"/>
    <n v="4935"/>
    <n v="4283"/>
    <n v="652"/>
    <m/>
  </r>
  <r>
    <x v="14"/>
    <s v="Julio"/>
    <n v="0.84336656441717794"/>
    <n v="0.88191659983961512"/>
    <n v="0.95628834355828218"/>
    <m/>
    <m/>
    <n v="5216"/>
    <n v="228"/>
    <n v="4988"/>
    <n v="4399"/>
    <n v="589"/>
    <m/>
  </r>
  <r>
    <x v="14"/>
    <s v="Agosto"/>
    <n v="0.84917472965281726"/>
    <n v="0.87200467562828754"/>
    <n v="0.97381900967558344"/>
    <m/>
    <m/>
    <n v="5271"/>
    <n v="138"/>
    <n v="5133"/>
    <n v="4476"/>
    <n v="657"/>
    <m/>
  </r>
  <r>
    <x v="14"/>
    <s v="Septiembre"/>
    <n v="0.80118460019743332"/>
    <n v="0.8313870108584307"/>
    <n v="0.96367226061204347"/>
    <m/>
    <m/>
    <n v="5065"/>
    <n v="184"/>
    <n v="4881"/>
    <n v="4058"/>
    <n v="823"/>
    <m/>
  </r>
  <r>
    <x v="14"/>
    <s v="Octubre"/>
    <n v="0.80459115917283253"/>
    <n v="0.84549441786283897"/>
    <n v="0.95162208309618668"/>
    <m/>
    <m/>
    <n v="5271"/>
    <n v="255"/>
    <n v="5016"/>
    <n v="4241"/>
    <n v="775"/>
    <m/>
  </r>
  <r>
    <x v="14"/>
    <s v="Noviembre"/>
    <n v="0.82814930015552102"/>
    <n v="0.856453558504222"/>
    <n v="0.96695178849144636"/>
    <m/>
    <m/>
    <n v="5144"/>
    <n v="170"/>
    <n v="4974"/>
    <n v="4260"/>
    <n v="714"/>
    <m/>
  </r>
  <r>
    <x v="14"/>
    <s v="Diciembre"/>
    <n v="0.81282697151714789"/>
    <n v="0.8433856051467632"/>
    <n v="0.96376671187754315"/>
    <m/>
    <m/>
    <n v="5161"/>
    <n v="187"/>
    <n v="4974"/>
    <n v="4195"/>
    <n v="779"/>
    <m/>
  </r>
  <r>
    <x v="15"/>
    <s v="Enero"/>
    <n v="0.85221020679188009"/>
    <n v="0.88634569850039469"/>
    <n v="0.9614873837981408"/>
    <m/>
    <m/>
    <n v="5271"/>
    <n v="203"/>
    <n v="5068"/>
    <n v="4492"/>
    <n v="576"/>
    <m/>
  </r>
  <r>
    <x v="15"/>
    <s v="Febrero"/>
    <n v="0.81076178960096734"/>
    <n v="0.84570107210426737"/>
    <n v="0.95868601370415152"/>
    <m/>
    <m/>
    <n v="4962"/>
    <n v="205"/>
    <n v="4757"/>
    <n v="4023"/>
    <n v="734"/>
    <m/>
  </r>
  <r>
    <x v="15"/>
    <s v="Marzo"/>
    <n v="0.857699046135877"/>
    <n v="0.87212984956452888"/>
    <n v="0.98345337745766015"/>
    <m/>
    <m/>
    <n v="5137"/>
    <n v="85"/>
    <n v="5052"/>
    <n v="4406"/>
    <n v="646"/>
    <m/>
  </r>
  <r>
    <x v="15"/>
    <s v="Abril"/>
    <n v="0.85911210216906553"/>
    <n v="0.88273276400749845"/>
    <n v="0.97324143523211026"/>
    <m/>
    <m/>
    <n v="4933"/>
    <n v="132"/>
    <n v="4801"/>
    <n v="4238"/>
    <n v="563"/>
    <m/>
  </r>
  <r>
    <x v="15"/>
    <s v="Mayo"/>
    <n v="0.90274757857284049"/>
    <n v="0.91670012043356086"/>
    <n v="0.98477960071160309"/>
    <m/>
    <m/>
    <n v="5059"/>
    <n v="77"/>
    <n v="4982"/>
    <n v="4567"/>
    <n v="415"/>
    <m/>
  </r>
  <r>
    <x v="15"/>
    <s v="Junio"/>
    <n v="0.87711340206185562"/>
    <n v="0.90069870844802036"/>
    <n v="0.97381443298969073"/>
    <m/>
    <m/>
    <n v="4850"/>
    <n v="127"/>
    <n v="4723"/>
    <n v="4254"/>
    <n v="469"/>
    <m/>
  </r>
  <r>
    <x v="15"/>
    <s v="Julio"/>
    <n v="0.86916256157635463"/>
    <n v="0.89165150596321008"/>
    <n v="0.97477832512315266"/>
    <m/>
    <m/>
    <n v="5075"/>
    <n v="128"/>
    <n v="4947"/>
    <n v="4411"/>
    <n v="536"/>
    <m/>
  </r>
  <r>
    <x v="15"/>
    <s v="Agosto"/>
    <n v="0.88418530351437696"/>
    <n v="0.90459652706843718"/>
    <n v="0.97743610223642174"/>
    <m/>
    <m/>
    <n v="5008"/>
    <n v="113"/>
    <n v="4895"/>
    <n v="4428"/>
    <n v="467"/>
    <m/>
  </r>
  <r>
    <x v="15"/>
    <s v="Septiembre"/>
    <n v="0.87903877221324722"/>
    <n v="0.91932418162618801"/>
    <n v="0.95617932148626816"/>
    <m/>
    <m/>
    <n v="4952"/>
    <n v="217"/>
    <n v="4735"/>
    <n v="4353"/>
    <n v="382"/>
    <m/>
  </r>
  <r>
    <x v="15"/>
    <s v="Octubre"/>
    <n v="0.92157635467980292"/>
    <n v="0.934652278177458"/>
    <n v="0.98600985221674875"/>
    <m/>
    <m/>
    <n v="5075"/>
    <n v="71"/>
    <n v="5004"/>
    <n v="4677"/>
    <n v="327"/>
    <m/>
  </r>
  <r>
    <x v="15"/>
    <s v="Noviembre"/>
    <n v="0.89334698055271233"/>
    <n v="0.91068447412353926"/>
    <n v="0.98096212896622315"/>
    <m/>
    <m/>
    <n v="4885"/>
    <n v="93"/>
    <n v="4792"/>
    <n v="4364"/>
    <n v="428"/>
    <m/>
  </r>
  <r>
    <x v="15"/>
    <s v="Diciembre"/>
    <n v="0.87320859872611467"/>
    <n v="0.9030465212021408"/>
    <n v="0.96695859872611467"/>
    <m/>
    <m/>
    <n v="5024"/>
    <n v="166"/>
    <n v="4858"/>
    <n v="4387"/>
    <n v="471"/>
    <m/>
  </r>
  <r>
    <x v="16"/>
    <s v="Enero"/>
    <n v="0.92745601897608221"/>
    <n v="0.94807031723580526"/>
    <n v="0.9782565724451473"/>
    <m/>
    <m/>
    <n v="5059"/>
    <n v="110"/>
    <n v="4949"/>
    <n v="4692"/>
    <n v="257"/>
    <m/>
  </r>
  <r>
    <x v="16"/>
    <s v="Febrero"/>
    <n v="0.91550825369244138"/>
    <n v="0.92923280423280419"/>
    <n v="0.98523023457862724"/>
    <m/>
    <m/>
    <n v="4604"/>
    <n v="68"/>
    <n v="4536"/>
    <n v="4215"/>
    <n v="321"/>
    <m/>
  </r>
  <r>
    <x v="16"/>
    <s v="Marzo"/>
    <n v="0.9140127388535032"/>
    <n v="0.92936652499494032"/>
    <n v="0.98347929936305734"/>
    <m/>
    <m/>
    <n v="5024"/>
    <n v="83"/>
    <n v="4941"/>
    <n v="4592"/>
    <n v="349"/>
    <m/>
  </r>
  <r>
    <x v="16"/>
    <s v="Abril"/>
    <n v="0.88577319587628867"/>
    <n v="0.91190829972405008"/>
    <n v="0.97134020618556705"/>
    <m/>
    <m/>
    <n v="4850"/>
    <n v="139"/>
    <n v="4711"/>
    <n v="4296"/>
    <n v="415"/>
    <m/>
  </r>
  <r>
    <x v="16"/>
    <s v="Mayo"/>
    <n v="0.91002622553964096"/>
    <n v="0.92647360854384886"/>
    <n v="0.98224732701230588"/>
    <m/>
    <m/>
    <n v="4957"/>
    <n v="88"/>
    <n v="4869"/>
    <n v="4511"/>
    <n v="358"/>
    <m/>
  </r>
  <r>
    <x v="16"/>
    <s v="Junio"/>
    <n v="0.88107703814510097"/>
    <n v="0.89923664122137403"/>
    <n v="0.97980553477935672"/>
    <m/>
    <m/>
    <n v="5348"/>
    <n v="108"/>
    <n v="5240"/>
    <n v="4712"/>
    <n v="528"/>
    <m/>
  </r>
  <r>
    <x v="16"/>
    <s v="Julio"/>
    <n v="0.88113374667847655"/>
    <n v="0.90403489640130863"/>
    <n v="0.97466784765279013"/>
    <m/>
    <m/>
    <n v="5645"/>
    <n v="143"/>
    <n v="5502"/>
    <n v="4974"/>
    <n v="528"/>
    <m/>
  </r>
  <r>
    <x v="16"/>
    <s v="Agosto"/>
    <n v="0.71085201793721975"/>
    <n v="0.74171813587871982"/>
    <n v="0.95838565022421529"/>
    <m/>
    <m/>
    <n v="5575"/>
    <n v="232"/>
    <n v="5343"/>
    <n v="3963"/>
    <n v="1380"/>
    <m/>
  </r>
  <r>
    <x v="16"/>
    <s v="Septiembre"/>
    <n v="0.76080691642651299"/>
    <n v="0.78747203579418346"/>
    <n v="0.96613832853025938"/>
    <m/>
    <m/>
    <n v="5552"/>
    <n v="188"/>
    <n v="5364"/>
    <n v="4224"/>
    <n v="1140"/>
    <m/>
  </r>
  <r>
    <x v="16"/>
    <s v="Octubre"/>
    <n v="0.662356067316209"/>
    <n v="0.69240740740740736"/>
    <n v="0.95659875996457044"/>
    <m/>
    <m/>
    <n v="5645"/>
    <n v="245"/>
    <n v="5400"/>
    <n v="3739"/>
    <n v="1661"/>
    <m/>
  </r>
  <r>
    <x v="16"/>
    <s v="Noviembre"/>
    <n v="0.86529347429821368"/>
    <n v="0.88152274837511602"/>
    <n v="0.98158950054684657"/>
    <m/>
    <m/>
    <n v="5486"/>
    <n v="101"/>
    <n v="5385"/>
    <n v="4747"/>
    <n v="638"/>
    <m/>
  </r>
  <r>
    <x v="16"/>
    <s v="Diciembre"/>
    <n v="0.81801994301994307"/>
    <n v="0.86630209315481799"/>
    <n v="0.94426638176638178"/>
    <m/>
    <m/>
    <n v="5616"/>
    <n v="313"/>
    <n v="5303"/>
    <n v="4594"/>
    <n v="709"/>
    <m/>
  </r>
  <r>
    <x v="17"/>
    <s v="Enero"/>
    <n v="0.82511210762331844"/>
    <n v="0.86776079984908505"/>
    <n v="0.95085201793721974"/>
    <m/>
    <m/>
    <n v="5575"/>
    <n v="274"/>
    <n v="5301"/>
    <n v="4600"/>
    <n v="701"/>
    <m/>
  </r>
  <r>
    <x v="17"/>
    <s v="Febrero"/>
    <n v="0.77152831652443754"/>
    <n v="0.81432958034800407"/>
    <n v="0.94743987587276957"/>
    <m/>
    <m/>
    <n v="5156"/>
    <n v="271"/>
    <n v="4885"/>
    <n v="3978"/>
    <n v="907"/>
    <m/>
  </r>
  <r>
    <x v="17"/>
    <s v="Marzo"/>
    <n v="0.81850158283503338"/>
    <n v="0.84973525652729598"/>
    <n v="0.96324305311290892"/>
    <m/>
    <m/>
    <n v="5686"/>
    <n v="209"/>
    <n v="5477"/>
    <n v="4654"/>
    <n v="823"/>
    <m/>
  </r>
  <r>
    <x v="17"/>
    <s v="Abril"/>
    <n v="0.87860422405876948"/>
    <n v="0.89958631064309891"/>
    <n v="0.97667584940312213"/>
    <m/>
    <m/>
    <n v="5445"/>
    <n v="127"/>
    <n v="5318"/>
    <n v="4784"/>
    <n v="534"/>
    <m/>
  </r>
  <r>
    <x v="17"/>
    <s v="Mayo"/>
    <n v="0.79583637691745801"/>
    <n v="0.82678808575222917"/>
    <n v="0.962563915266618"/>
    <m/>
    <m/>
    <n v="5476"/>
    <n v="205"/>
    <n v="5271"/>
    <n v="4358"/>
    <n v="913"/>
    <m/>
  </r>
  <r>
    <x v="17"/>
    <s v="Junio"/>
    <n v="0.82336857455340873"/>
    <n v="0.85194266314598266"/>
    <n v="0.96646008020415608"/>
    <m/>
    <m/>
    <n v="5486"/>
    <n v="184"/>
    <n v="5302"/>
    <n v="4517"/>
    <n v="785"/>
    <m/>
  </r>
  <r>
    <x v="17"/>
    <s v="Julio"/>
    <n v="0.83029229406554472"/>
    <n v="0.87705838323353291"/>
    <n v="0.94667847652790083"/>
    <m/>
    <m/>
    <n v="5645"/>
    <n v="301"/>
    <n v="5344"/>
    <n v="4687"/>
    <n v="657"/>
    <m/>
  </r>
  <r>
    <x v="17"/>
    <s v="Agosto"/>
    <n v="0.80982905982905984"/>
    <n v="0.84803281745291814"/>
    <n v="0.95495014245014243"/>
    <m/>
    <m/>
    <n v="5616"/>
    <n v="253"/>
    <n v="5363"/>
    <n v="4548"/>
    <n v="815"/>
    <m/>
  </r>
  <r>
    <x v="17"/>
    <s v="Septiembre"/>
    <n v="0.80273578113750899"/>
    <n v="0.85538933640199466"/>
    <n v="0.93844492440604754"/>
    <m/>
    <m/>
    <n v="5556"/>
    <n v="342"/>
    <n v="5214"/>
    <n v="4460"/>
    <n v="754"/>
    <m/>
  </r>
  <r>
    <x v="17"/>
    <s v="Octubre"/>
    <n v="0.88719346049046321"/>
    <n v="0.91666666666666663"/>
    <n v="0.96784741144414166"/>
    <m/>
    <m/>
    <n v="5505"/>
    <n v="177"/>
    <n v="5328"/>
    <n v="4884"/>
    <n v="444"/>
    <m/>
  </r>
  <r>
    <x v="17"/>
    <s v="Noviembre"/>
    <n v="0.84287276704338321"/>
    <n v="0.885823754789272"/>
    <n v="0.95151294203426906"/>
    <m/>
    <m/>
    <n v="5486"/>
    <n v="266"/>
    <n v="5220"/>
    <n v="4624"/>
    <n v="596"/>
    <m/>
  </r>
  <r>
    <x v="17"/>
    <s v="Diciembre"/>
    <n v="0.79713004484304928"/>
    <n v="0.87120172515193095"/>
    <n v="0.91497757847533634"/>
    <m/>
    <m/>
    <n v="5575"/>
    <n v="474"/>
    <n v="5101"/>
    <n v="4444"/>
    <n v="657"/>
    <m/>
  </r>
  <r>
    <x v="18"/>
    <s v="Enero"/>
    <n v="0.7471509971509972"/>
    <n v="0.81889149102263858"/>
    <n v="0.91239316239316237"/>
    <m/>
    <m/>
    <n v="5616"/>
    <n v="492"/>
    <n v="5124"/>
    <n v="4196"/>
    <n v="928"/>
    <m/>
  </r>
  <r>
    <x v="18"/>
    <s v="Febrero"/>
    <n v="0.79693560899922422"/>
    <n v="0.90129414345251146"/>
    <n v="0.88421256788207914"/>
    <m/>
    <m/>
    <n v="5156"/>
    <n v="597"/>
    <n v="4559"/>
    <n v="4109"/>
    <n v="450"/>
    <m/>
  </r>
  <r>
    <x v="18"/>
    <s v="Marzo"/>
    <n v="0.83619430241051862"/>
    <n v="0.89398672393596257"/>
    <n v="0.93535427319211106"/>
    <m/>
    <m/>
    <n v="5476"/>
    <n v="354"/>
    <n v="5122"/>
    <n v="4579"/>
    <n v="543"/>
    <m/>
  </r>
  <r>
    <x v="18"/>
    <s v="Abril"/>
    <n v="0.78418604651162793"/>
    <n v="0.83747268030995425"/>
    <n v="0.93637209302325586"/>
    <m/>
    <m/>
    <n v="5375"/>
    <n v="342"/>
    <n v="5033"/>
    <n v="4215"/>
    <n v="818"/>
    <m/>
  </r>
  <r>
    <x v="18"/>
    <s v="Mayo"/>
    <n v="0.72329059829059827"/>
    <n v="0.79976373301831072"/>
    <n v="0.90438034188034189"/>
    <m/>
    <m/>
    <n v="5616"/>
    <n v="537"/>
    <n v="5079"/>
    <n v="4062"/>
    <n v="1017"/>
    <m/>
  </r>
  <r>
    <x v="18"/>
    <s v="Junio"/>
    <n v="0.67936565803864379"/>
    <n v="0.74450659208949266"/>
    <n v="0.9125045570543201"/>
    <m/>
    <m/>
    <n v="5486"/>
    <n v="480"/>
    <n v="5006"/>
    <n v="3727"/>
    <n v="1279"/>
    <m/>
  </r>
  <r>
    <x v="18"/>
    <s v="Julio"/>
    <n v="0.66844729344729348"/>
    <n v="0.74513695911075828"/>
    <n v="0.89707977207977208"/>
    <m/>
    <m/>
    <n v="5616"/>
    <n v="578"/>
    <n v="5038"/>
    <n v="3754"/>
    <n v="1284"/>
    <m/>
  </r>
  <r>
    <x v="18"/>
    <s v="Agosto"/>
    <n v="0.68923672177277528"/>
    <n v="0.77313079502860527"/>
    <n v="0.89148786493141052"/>
    <m/>
    <m/>
    <n v="5686"/>
    <n v="617"/>
    <n v="5069"/>
    <n v="3919"/>
    <n v="1150"/>
    <m/>
  </r>
  <r>
    <x v="18"/>
    <s v="Septiembre"/>
    <n v="0.82073434125269984"/>
    <n v="0.8784434598343287"/>
    <n v="0.93430525557955368"/>
    <m/>
    <m/>
    <n v="5556"/>
    <n v="365"/>
    <n v="5191"/>
    <n v="4560"/>
    <n v="631"/>
    <m/>
  </r>
  <r>
    <x v="18"/>
    <s v="Octubre"/>
    <n v="0.79946188340807178"/>
    <n v="0.87255285826155049"/>
    <n v="0.91623318385650221"/>
    <m/>
    <m/>
    <n v="5575"/>
    <n v="467"/>
    <n v="5108"/>
    <n v="4457"/>
    <n v="651"/>
    <m/>
  </r>
  <r>
    <x v="18"/>
    <s v="Noviembre"/>
    <n v="0.82063434196135621"/>
    <n v="0.88153514783630316"/>
    <n v="0.93091505650747353"/>
    <m/>
    <m/>
    <n v="5486"/>
    <n v="379"/>
    <n v="5107"/>
    <n v="4502"/>
    <n v="605"/>
    <m/>
  </r>
  <r>
    <x v="18"/>
    <s v="Diciembre"/>
    <n v="0.74708520179372195"/>
    <n v="0.84913353720693174"/>
    <n v="0.87982062780269055"/>
    <m/>
    <m/>
    <n v="5575"/>
    <n v="670"/>
    <n v="4905"/>
    <n v="4165"/>
    <n v="740"/>
    <m/>
  </r>
  <r>
    <x v="19"/>
    <s v="Enero"/>
    <n v="0.69591980302497358"/>
    <n v="0.81403003497222792"/>
    <n v="0.85490678860358771"/>
    <m/>
    <m/>
    <n v="5686"/>
    <n v="825"/>
    <n v="4861"/>
    <n v="3957"/>
    <n v="904"/>
    <m/>
  </r>
  <r>
    <x v="19"/>
    <s v="Febrero"/>
    <n v="0.73416245627671983"/>
    <n v="0.7994075327972916"/>
    <n v="0.91838321026039638"/>
    <m/>
    <m/>
    <n v="5146"/>
    <n v="420"/>
    <n v="4726"/>
    <n v="3778"/>
    <n v="948"/>
    <m/>
  </r>
  <r>
    <x v="19"/>
    <s v="Marzo"/>
    <n v="0.76873021456208235"/>
    <n v="0.83051491544746348"/>
    <n v="0.92560675342947596"/>
    <m/>
    <m/>
    <n v="5686"/>
    <n v="423"/>
    <n v="5263"/>
    <n v="4371"/>
    <n v="892"/>
    <m/>
  </r>
  <r>
    <x v="19"/>
    <s v="Abril"/>
    <n v="0.72932187201528176"/>
    <n v="0.80838450137624396"/>
    <n v="0.90219675262655208"/>
    <m/>
    <m/>
    <n v="5235"/>
    <n v="512"/>
    <n v="4723"/>
    <n v="3818"/>
    <n v="905"/>
    <m/>
  </r>
  <r>
    <x v="19"/>
    <s v="Mayo"/>
    <n v="0.64316239316239321"/>
    <n v="0.70768025078369901"/>
    <n v="0.90883190883190879"/>
    <m/>
    <m/>
    <n v="5616"/>
    <n v="512"/>
    <n v="5104"/>
    <n v="3612"/>
    <n v="1492"/>
    <m/>
  </r>
  <r>
    <x v="19"/>
    <s v="Junio"/>
    <n v="0.77134986225895319"/>
    <n v="0.82111436950146632"/>
    <n v="0.93939393939393945"/>
    <m/>
    <m/>
    <n v="5445"/>
    <n v="330"/>
    <n v="5115"/>
    <n v="4200"/>
    <n v="915"/>
    <m/>
  </r>
  <r>
    <x v="19"/>
    <s v="Julio"/>
    <n v="0.75712250712250717"/>
    <n v="0.81176021382206953"/>
    <n v="0.93269230769230771"/>
    <m/>
    <m/>
    <n v="5616"/>
    <n v="378"/>
    <n v="5238"/>
    <n v="4252"/>
    <n v="986"/>
    <m/>
  </r>
  <r>
    <x v="19"/>
    <s v="Agosto"/>
    <n v="0.79563841013014425"/>
    <n v="0.84355771023680781"/>
    <n v="0.94319380935631381"/>
    <m/>
    <m/>
    <n v="5686"/>
    <n v="323"/>
    <n v="5363"/>
    <n v="4524"/>
    <n v="839"/>
    <m/>
  </r>
  <r>
    <x v="19"/>
    <s v="Septiembre"/>
    <n v="0.84372093023255812"/>
    <n v="0.88263915920591673"/>
    <n v="0.95590697674418601"/>
    <m/>
    <m/>
    <n v="5375"/>
    <n v="237"/>
    <n v="5138"/>
    <n v="4535"/>
    <n v="603"/>
    <m/>
  </r>
  <r>
    <x v="19"/>
    <s v="Octubre"/>
    <n v="0.84400281392894827"/>
    <n v="0.88575119970468807"/>
    <n v="0.95286669011607461"/>
    <m/>
    <m/>
    <n v="5686"/>
    <n v="268"/>
    <n v="5418"/>
    <n v="4799"/>
    <n v="619"/>
    <m/>
  </r>
  <r>
    <x v="19"/>
    <s v="Noviembre"/>
    <n v="0.79857819905213268"/>
    <n v="0.8718407960199005"/>
    <n v="0.91596791833758662"/>
    <m/>
    <m/>
    <n v="5486"/>
    <n v="461"/>
    <n v="5025"/>
    <n v="4381"/>
    <n v="644"/>
    <m/>
  </r>
  <r>
    <x v="19"/>
    <s v="Diciembre"/>
    <n v="0.79043238270469185"/>
    <n v="0.84884410195613513"/>
    <n v="0.9311867525298988"/>
    <m/>
    <m/>
    <n v="5435"/>
    <n v="374"/>
    <n v="5061"/>
    <n v="4296"/>
    <n v="765"/>
    <m/>
  </r>
  <r>
    <x v="20"/>
    <s v="Enero"/>
    <n v="0.82763532763532766"/>
    <n v="0.89195931682978313"/>
    <n v="0.92788461538461542"/>
    <m/>
    <m/>
    <n v="5616"/>
    <n v="405"/>
    <n v="5211"/>
    <n v="4648"/>
    <n v="563"/>
    <m/>
  </r>
  <r>
    <x v="20"/>
    <s v="Febrero"/>
    <n v="0.8740396279822078"/>
    <n v="0.91841937539834284"/>
    <n v="0.95167812373635263"/>
    <m/>
    <m/>
    <n v="4946"/>
    <n v="239"/>
    <n v="4707"/>
    <n v="4323"/>
    <n v="384"/>
    <m/>
  </r>
  <r>
    <x v="20"/>
    <s v="Marzo"/>
    <n v="0.83754969280809544"/>
    <n v="0.88386727688787181"/>
    <n v="0.94759667509938561"/>
    <m/>
    <m/>
    <n v="5534"/>
    <n v="290"/>
    <n v="5244"/>
    <n v="4635"/>
    <n v="609"/>
    <m/>
  </r>
  <r>
    <x v="20"/>
    <s v="Abril"/>
    <n v="0.77880354505169869"/>
    <n v="0.85143318530480416"/>
    <n v="0.91469719350073853"/>
    <m/>
    <m/>
    <n v="5416"/>
    <n v="462"/>
    <n v="4954"/>
    <n v="4218"/>
    <n v="736"/>
    <m/>
  </r>
  <r>
    <x v="20"/>
    <s v="Mayo"/>
    <n v="0.72775237425255013"/>
    <n v="0.81200941915227631"/>
    <n v="0.89623637003165668"/>
    <m/>
    <m/>
    <n v="5686"/>
    <n v="590"/>
    <n v="5096"/>
    <n v="4138"/>
    <n v="958"/>
    <m/>
  </r>
  <r>
    <x v="20"/>
    <s v="Junio"/>
    <n v="0.74043355325164939"/>
    <n v="0.81561461794019929"/>
    <n v="0.90782280867106502"/>
    <m/>
    <m/>
    <n v="5305"/>
    <n v="489"/>
    <n v="4816"/>
    <n v="3928"/>
    <n v="888"/>
    <m/>
  </r>
  <r>
    <x v="20"/>
    <s v="Julio"/>
    <n v="0.65353499824129446"/>
    <n v="0.77063459145582747"/>
    <n v="0.84804783679212103"/>
    <m/>
    <m/>
    <n v="5686"/>
    <n v="864"/>
    <n v="4822"/>
    <n v="3716"/>
    <n v="1106"/>
    <m/>
  </r>
  <r>
    <x v="20"/>
    <s v="Agosto"/>
    <n v="0.68563839878580912"/>
    <n v="0.76535366370182123"/>
    <n v="0.89584519066590784"/>
    <m/>
    <m/>
    <n v="5271"/>
    <n v="549"/>
    <n v="4722"/>
    <n v="3614"/>
    <n v="1108"/>
    <m/>
  </r>
  <r>
    <x v="20"/>
    <s v="Septiembre"/>
    <n v="0.6796498905908096"/>
    <n v="0.74969828626599078"/>
    <n v="0.90656455142231951"/>
    <m/>
    <m/>
    <n v="4570"/>
    <n v="427"/>
    <n v="4143"/>
    <n v="3106"/>
    <n v="1037"/>
    <m/>
  </r>
  <r>
    <x v="20"/>
    <s v="Octubre"/>
    <n v="0.67843551797040169"/>
    <n v="0.71918422232182877"/>
    <n v="0.94334038054968283"/>
    <m/>
    <m/>
    <n v="4730"/>
    <n v="268"/>
    <n v="4462"/>
    <n v="3209"/>
    <n v="1253"/>
    <m/>
  </r>
  <r>
    <x v="20"/>
    <s v="Noviembre"/>
    <n v="0.66083150984682715"/>
    <n v="0.70908664005635125"/>
    <n v="0.93194748358862145"/>
    <m/>
    <m/>
    <n v="4570"/>
    <n v="311"/>
    <n v="4259"/>
    <n v="3020"/>
    <n v="1239"/>
    <m/>
  </r>
  <r>
    <x v="20"/>
    <s v="Diciembre"/>
    <n v="0.66567036720751493"/>
    <n v="0.72192637184533459"/>
    <n v="0.92207514944491886"/>
    <m/>
    <m/>
    <n v="4684"/>
    <n v="365"/>
    <n v="4319"/>
    <n v="3118"/>
    <n v="1201"/>
    <m/>
  </r>
  <r>
    <x v="21"/>
    <s v="Enero"/>
    <n v="0.75602536997885839"/>
    <n v="0.81662480018269012"/>
    <n v="0.92579281183932349"/>
    <m/>
    <m/>
    <n v="4730"/>
    <n v="351"/>
    <n v="4379"/>
    <n v="3576"/>
    <n v="803"/>
    <m/>
  </r>
  <r>
    <x v="21"/>
    <s v="Febrero"/>
    <n v="0.73510242085661082"/>
    <n v="0.77118437118437122"/>
    <n v="0.95321229050279332"/>
    <m/>
    <m/>
    <n v="4296"/>
    <n v="201"/>
    <n v="4095"/>
    <n v="3158"/>
    <n v="937"/>
    <m/>
  </r>
  <r>
    <x v="21"/>
    <s v="Marzo"/>
    <n v="0.6650106458481192"/>
    <n v="0.70743676859192151"/>
    <n v="0.94002838892831797"/>
    <m/>
    <m/>
    <n v="5636"/>
    <n v="338"/>
    <n v="5298"/>
    <n v="3748"/>
    <n v="1550"/>
    <m/>
  </r>
  <r>
    <x v="21"/>
    <s v="Abril"/>
    <n v="0.41089787525702537"/>
    <n v="0.53706606942889135"/>
    <n v="0.76507882111034953"/>
    <m/>
    <m/>
    <n v="5836"/>
    <n v="1371"/>
    <n v="4465"/>
    <n v="2398"/>
    <n v="2067"/>
    <m/>
  </r>
  <r>
    <x v="21"/>
    <s v="Mayo"/>
    <n v="0.49420636380356814"/>
    <n v="0.58235804074555697"/>
    <n v="0.84862975905830418"/>
    <m/>
    <m/>
    <n v="5437"/>
    <n v="823"/>
    <n v="4614"/>
    <n v="2687"/>
    <n v="1927"/>
    <s v="Servicios extendidos a Cabred desde el 25/05/2014"/>
  </r>
  <r>
    <x v="21"/>
    <s v="Junio"/>
    <n v="0.52949326999208235"/>
    <n v="0.59669863930403744"/>
    <n v="0.88737133808392721"/>
    <m/>
    <m/>
    <n v="5052"/>
    <n v="569"/>
    <n v="4483"/>
    <n v="2675"/>
    <n v="1808"/>
    <m/>
  </r>
  <r>
    <x v="21"/>
    <s v="Julio"/>
    <n v="0.53285498489425986"/>
    <n v="0.59966000849978751"/>
    <n v="0.88859516616314205"/>
    <m/>
    <m/>
    <n v="5296"/>
    <n v="590"/>
    <n v="4706"/>
    <n v="2822"/>
    <n v="1884"/>
    <m/>
  </r>
  <r>
    <x v="21"/>
    <s v="Agosto"/>
    <n v="0.70477290223248656"/>
    <n v="0.77322635135135132"/>
    <n v="0.91147036181678209"/>
    <m/>
    <m/>
    <n v="5196"/>
    <n v="460"/>
    <n v="4736"/>
    <n v="3662"/>
    <n v="1074"/>
    <m/>
  </r>
  <r>
    <x v="21"/>
    <s v="Septiembre"/>
    <n v="0.76632970451010884"/>
    <n v="0.7928399034593725"/>
    <n v="0.96656298600311041"/>
    <m/>
    <m/>
    <n v="5144"/>
    <n v="172"/>
    <n v="4972"/>
    <n v="3942"/>
    <n v="1030"/>
    <m/>
  </r>
  <r>
    <x v="21"/>
    <s v="Octubre"/>
    <n v="0.78593155893536126"/>
    <n v="0.80979431929480905"/>
    <n v="0.97053231939163498"/>
    <m/>
    <m/>
    <n v="5260"/>
    <n v="155"/>
    <n v="5105"/>
    <n v="4134"/>
    <n v="971"/>
    <m/>
  </r>
  <r>
    <x v="21"/>
    <s v="Noviembre"/>
    <n v="0.77232854864433809"/>
    <n v="0.80290155440414512"/>
    <n v="0.96192185007974484"/>
    <m/>
    <m/>
    <n v="5016"/>
    <n v="191"/>
    <n v="4825"/>
    <n v="3874"/>
    <n v="951"/>
    <m/>
  </r>
  <r>
    <x v="21"/>
    <s v="Diciembre"/>
    <n v="0.75487139516757595"/>
    <n v="0.82478177560144772"/>
    <n v="0.9152377240841777"/>
    <m/>
    <m/>
    <n v="5132"/>
    <n v="435"/>
    <n v="4697"/>
    <n v="3874"/>
    <n v="823"/>
    <m/>
  </r>
  <r>
    <x v="22"/>
    <s v="Enero"/>
    <n v="0.80950570342205319"/>
    <n v="0.86246708527445815"/>
    <n v="0.93859315589353609"/>
    <m/>
    <m/>
    <n v="5260"/>
    <n v="323"/>
    <n v="4937"/>
    <n v="4258"/>
    <n v="679"/>
    <m/>
  </r>
  <r>
    <x v="22"/>
    <s v="Febrero"/>
    <n v="0.83805841924398627"/>
    <n v="0.85947136563876647"/>
    <n v="0.97508591065292094"/>
    <m/>
    <m/>
    <n v="4656"/>
    <n v="116"/>
    <n v="4540"/>
    <n v="3902"/>
    <n v="638"/>
    <m/>
  </r>
  <r>
    <x v="22"/>
    <s v="Marzo"/>
    <n v="0.72642244738893214"/>
    <n v="0.77731442869057543"/>
    <n v="0.93452844894777864"/>
    <m/>
    <m/>
    <n v="5132"/>
    <n v="336"/>
    <n v="4796"/>
    <n v="3728"/>
    <n v="1068"/>
    <m/>
  </r>
  <r>
    <x v="22"/>
    <s v="Abril"/>
    <n v="0.76535087719298245"/>
    <n v="0.79301797149349307"/>
    <n v="0.9651116427432217"/>
    <m/>
    <m/>
    <n v="5016"/>
    <n v="175"/>
    <n v="4841"/>
    <n v="3839"/>
    <n v="1002"/>
    <m/>
  </r>
  <r>
    <x v="22"/>
    <s v="Mayo"/>
    <n v="0.74142634450506628"/>
    <n v="0.79155398377366337"/>
    <n v="0.93667186282151205"/>
    <m/>
    <m/>
    <n v="5132"/>
    <n v="325"/>
    <n v="4807"/>
    <n v="3805"/>
    <n v="1002"/>
    <m/>
  </r>
  <r>
    <x v="22"/>
    <s v="Junio"/>
    <n v="0.7488188976377953"/>
    <n v="0.82177576150356446"/>
    <n v="0.91122047244094484"/>
    <m/>
    <m/>
    <n v="5080"/>
    <n v="451"/>
    <n v="4629"/>
    <n v="3804"/>
    <n v="825"/>
    <m/>
  </r>
  <r>
    <x v="22"/>
    <s v="Julio"/>
    <n v="0.81711026615969584"/>
    <n v="0.85159500693481271"/>
    <n v="0.95950570342205321"/>
    <m/>
    <m/>
    <n v="5260"/>
    <n v="213"/>
    <n v="5047"/>
    <n v="4298"/>
    <n v="749"/>
    <m/>
  </r>
  <r>
    <x v="22"/>
    <s v="Agosto"/>
    <n v="0.83647919876733434"/>
    <n v="0.85290652003142187"/>
    <n v="0.98073959938366717"/>
    <m/>
    <m/>
    <n v="5192"/>
    <n v="100"/>
    <n v="5092"/>
    <n v="4343"/>
    <n v="749"/>
    <m/>
  </r>
  <r>
    <x v="22"/>
    <s v="Septiembre"/>
    <n v="0.90007776049766719"/>
    <n v="0.9179222839016653"/>
    <n v="0.98055987558320368"/>
    <m/>
    <m/>
    <n v="5144"/>
    <n v="100"/>
    <n v="5044"/>
    <n v="4630"/>
    <n v="414"/>
    <m/>
  </r>
  <r>
    <x v="22"/>
    <s v="Octubre"/>
    <n v="0.9226224509243377"/>
    <n v="0.93491695635380456"/>
    <n v="0.98684962835906231"/>
    <m/>
    <m/>
    <n v="5247"/>
    <n v="69"/>
    <n v="5178"/>
    <n v="4841"/>
    <n v="337"/>
    <m/>
  </r>
  <r>
    <x v="22"/>
    <s v="Noviembre"/>
    <n v="0.8422540900828116"/>
    <n v="0.86838817159516868"/>
    <n v="0.96990506968289236"/>
    <m/>
    <m/>
    <n v="4951"/>
    <n v="149"/>
    <n v="4802"/>
    <n v="4170"/>
    <n v="632"/>
    <m/>
  </r>
  <r>
    <x v="22"/>
    <s v="Diciembre"/>
    <n v="0.77391643889105821"/>
    <n v="0.81900826446280994"/>
    <n v="0.94494338149160484"/>
    <m/>
    <m/>
    <n v="5122"/>
    <n v="282"/>
    <n v="4840"/>
    <n v="3964"/>
    <n v="876"/>
    <m/>
  </r>
  <r>
    <x v="23"/>
    <s v="Enero"/>
    <n v="0.76230932612473445"/>
    <n v="0.79741466370430214"/>
    <n v="0.95597605715389067"/>
    <m/>
    <m/>
    <n v="5179"/>
    <n v="228"/>
    <n v="4951"/>
    <n v="3948"/>
    <n v="1003"/>
    <m/>
  </r>
  <r>
    <x v="23"/>
    <s v="Febrero"/>
    <n v="0.85661002900953165"/>
    <n v="0.89499891751461358"/>
    <n v="0.95710733526730207"/>
    <m/>
    <m/>
    <n v="4826"/>
    <n v="207"/>
    <n v="4619"/>
    <n v="4134"/>
    <n v="485"/>
    <m/>
  </r>
  <r>
    <x v="23"/>
    <s v="Marzo"/>
    <n v="0.88265895953757223"/>
    <n v="0.90892857142857142"/>
    <n v="0.97109826589595372"/>
    <m/>
    <m/>
    <n v="5190"/>
    <n v="150"/>
    <n v="5040"/>
    <n v="4581"/>
    <n v="459"/>
    <m/>
  </r>
  <r>
    <x v="23"/>
    <s v="Abril"/>
    <n v="0.78762805358550037"/>
    <n v="0.81909444785904528"/>
    <n v="0.96158392434988182"/>
    <m/>
    <m/>
    <n v="5076"/>
    <n v="195"/>
    <n v="4881"/>
    <n v="3998"/>
    <n v="883"/>
    <m/>
  </r>
  <r>
    <x v="23"/>
    <s v="Mayo"/>
    <n v="0.70019267822736031"/>
    <n v="0.7313342724894345"/>
    <n v="0.95741811175337188"/>
    <m/>
    <m/>
    <n v="5190"/>
    <n v="221"/>
    <n v="4969"/>
    <n v="3634"/>
    <n v="1335"/>
    <m/>
  </r>
  <r>
    <x v="23"/>
    <s v="Junio"/>
    <n v="0.80011980830670926"/>
    <n v="0.82669692593356714"/>
    <n v="0.96785143769968052"/>
    <m/>
    <m/>
    <n v="5008"/>
    <n v="161"/>
    <n v="4847"/>
    <n v="4007"/>
    <n v="840"/>
    <m/>
  </r>
  <r>
    <x v="23"/>
    <s v="Julio"/>
    <n v="0.81745411948457636"/>
    <n v="0.84330312185297085"/>
    <n v="0.96934791097227646"/>
    <m/>
    <m/>
    <n v="5122"/>
    <n v="157"/>
    <n v="4965"/>
    <n v="4187"/>
    <n v="778"/>
    <m/>
  </r>
  <r>
    <x v="23"/>
    <s v="Agosto"/>
    <n v="0.82236591860022823"/>
    <n v="0.85725614591593968"/>
    <n v="0.95930011411182958"/>
    <m/>
    <m/>
    <n v="5258"/>
    <n v="214"/>
    <n v="5044"/>
    <n v="4324"/>
    <n v="720"/>
    <m/>
  </r>
  <r>
    <x v="23"/>
    <s v="Septiembre"/>
    <n v="0.84117418351477447"/>
    <n v="0.87431804404930291"/>
    <n v="0.96209175738724728"/>
    <m/>
    <m/>
    <n v="5144"/>
    <n v="195"/>
    <n v="4949"/>
    <n v="4327"/>
    <n v="622"/>
    <m/>
  </r>
  <r>
    <x v="23"/>
    <s v="Octubre"/>
    <n v="0.8229387912724464"/>
    <n v="0.85120830836828443"/>
    <n v="0.96678895539679477"/>
    <m/>
    <m/>
    <n v="5179"/>
    <n v="172"/>
    <n v="5007"/>
    <n v="4262"/>
    <n v="745"/>
    <m/>
  </r>
  <r>
    <x v="23"/>
    <s v="Noviembre"/>
    <n v="0.87115839243498816"/>
    <n v="0.88973843058350099"/>
    <n v="0.97911741528762808"/>
    <m/>
    <m/>
    <n v="5076"/>
    <n v="106"/>
    <n v="4970"/>
    <n v="4422"/>
    <n v="548"/>
    <m/>
  </r>
  <r>
    <x v="23"/>
    <s v="Diciembre"/>
    <n v="0.81448412698412698"/>
    <n v="0.86239495798319332"/>
    <n v="0.94444444444444442"/>
    <m/>
    <m/>
    <n v="5040"/>
    <n v="280"/>
    <n v="4760"/>
    <n v="4105"/>
    <n v="655"/>
    <m/>
  </r>
  <r>
    <x v="24"/>
    <s v="Enero"/>
    <n v="0.90478071908336621"/>
    <n v="0.93412196614317766"/>
    <n v="0.96858949032003161"/>
    <m/>
    <m/>
    <n v="5062"/>
    <n v="159"/>
    <n v="4903"/>
    <n v="4580"/>
    <n v="323"/>
    <m/>
  </r>
  <r>
    <x v="24"/>
    <s v="Febrero"/>
    <n v="0.90427426536064115"/>
    <n v="0.9318651066758431"/>
    <n v="0.97039180765805877"/>
    <m/>
    <m/>
    <n v="4492"/>
    <n v="133"/>
    <n v="4359"/>
    <n v="4062"/>
    <n v="297"/>
    <m/>
  </r>
  <r>
    <x v="24"/>
    <s v="Marzo"/>
    <n v="0.87356775977874357"/>
    <n v="0.89532293986636968"/>
    <n v="0.97570130383247733"/>
    <m/>
    <m/>
    <n v="5062"/>
    <n v="123"/>
    <n v="4939"/>
    <n v="4422"/>
    <n v="517"/>
    <m/>
  </r>
  <r>
    <x v="24"/>
    <s v="Abril"/>
    <n v="0.82538686741948974"/>
    <n v="0.87789145907473309"/>
    <n v="0.94019238812212469"/>
    <m/>
    <m/>
    <n v="4782"/>
    <n v="286"/>
    <n v="4496"/>
    <n v="3947"/>
    <n v="549"/>
    <m/>
  </r>
  <r>
    <x v="24"/>
    <s v="Mayo"/>
    <n v="0.81264728986645718"/>
    <n v="0.85478206982028504"/>
    <n v="0.9507069913589945"/>
    <m/>
    <m/>
    <n v="5092"/>
    <n v="251"/>
    <n v="4841"/>
    <n v="4138"/>
    <n v="703"/>
    <m/>
  </r>
  <r>
    <x v="24"/>
    <s v="Junio"/>
    <n v="0.78333333333333333"/>
    <n v="0.82876566815381347"/>
    <n v="0.94518072289156629"/>
    <m/>
    <m/>
    <n v="4980"/>
    <n v="273"/>
    <n v="4707"/>
    <n v="3901"/>
    <n v="806"/>
    <m/>
  </r>
  <r>
    <x v="24"/>
    <s v="Julio"/>
    <n v="0.77871362940275646"/>
    <n v="0.83807169344870214"/>
    <n v="0.92917304747320062"/>
    <m/>
    <m/>
    <n v="5224"/>
    <n v="370"/>
    <n v="4854"/>
    <n v="4068"/>
    <n v="786"/>
    <m/>
  </r>
  <r>
    <x v="24"/>
    <s v="Agosto"/>
    <n v="0.669283799310609"/>
    <n v="0.74855429428143072"/>
    <n v="0.89410187667560326"/>
    <m/>
    <m/>
    <n v="5222"/>
    <n v="553"/>
    <n v="4669"/>
    <n v="3495"/>
    <n v="1174"/>
    <m/>
  </r>
  <r>
    <x v="24"/>
    <s v="Septiembre"/>
    <n v="0.65593490182204139"/>
    <n v="0.72634671890303626"/>
    <n v="0.90306032195294539"/>
    <m/>
    <m/>
    <n v="5653"/>
    <n v="548"/>
    <n v="5105"/>
    <n v="3708"/>
    <n v="1397"/>
    <m/>
  </r>
  <r>
    <x v="24"/>
    <s v="Octubre"/>
    <n v="0.67883336176019105"/>
    <n v="0.7535024611889436"/>
    <n v="0.90090397407470579"/>
    <m/>
    <m/>
    <n v="5863"/>
    <n v="581"/>
    <n v="5282"/>
    <n v="3980"/>
    <n v="1302"/>
    <m/>
  </r>
  <r>
    <x v="24"/>
    <s v="Noviembre"/>
    <n v="0.56582827406764957"/>
    <n v="0.76988435213594519"/>
    <n v="0.73495229835212494"/>
    <m/>
    <m/>
    <n v="5765"/>
    <n v="1528"/>
    <n v="4237"/>
    <n v="3262"/>
    <n v="975"/>
    <m/>
  </r>
  <r>
    <x v="24"/>
    <s v="Diciembre"/>
    <n v="0.51217391304347826"/>
    <n v="0.72269938650306753"/>
    <n v="0.70869565217391306"/>
    <m/>
    <m/>
    <n v="5750"/>
    <n v="1675"/>
    <n v="4075"/>
    <n v="2945"/>
    <n v="1130"/>
    <m/>
  </r>
  <r>
    <x v="25"/>
    <s v="Enero"/>
    <n v="0.55917266187050363"/>
    <n v="0.69459338695263628"/>
    <n v="0.80503597122302162"/>
    <m/>
    <m/>
    <n v="5560"/>
    <n v="1084"/>
    <n v="4476"/>
    <n v="3109"/>
    <n v="1367"/>
    <m/>
  </r>
  <r>
    <x v="25"/>
    <s v="Febrero"/>
    <n v="0.74564705882352944"/>
    <n v="0.79324155193992496"/>
    <n v="0.94"/>
    <m/>
    <m/>
    <n v="4250"/>
    <n v="255"/>
    <n v="3995"/>
    <n v="3169"/>
    <n v="826"/>
    <m/>
  </r>
  <r>
    <x v="25"/>
    <s v="Marzo"/>
    <n v="0.29546253957087582"/>
    <n v="0.46293744833287409"/>
    <n v="0.63823425958494551"/>
    <m/>
    <m/>
    <n v="5686"/>
    <n v="2057"/>
    <n v="3629"/>
    <n v="1680"/>
    <n v="1949"/>
    <m/>
  </r>
  <r>
    <x v="25"/>
    <s v="Abril"/>
    <n v="0.3856543164811097"/>
    <n v="0.53848114169215089"/>
    <n v="0.71618908559956196"/>
    <m/>
    <m/>
    <n v="5479"/>
    <n v="1555"/>
    <n v="3924"/>
    <n v="2113"/>
    <n v="1811"/>
    <m/>
  </r>
  <r>
    <x v="25"/>
    <s v="Mayo"/>
    <n v="0.40318825004477882"/>
    <n v="0.60413311862587227"/>
    <n v="0.66738312735088667"/>
    <m/>
    <m/>
    <n v="5583"/>
    <n v="1857"/>
    <n v="3726"/>
    <n v="2251"/>
    <n v="1475"/>
    <m/>
  </r>
  <r>
    <x v="25"/>
    <s v="Junio"/>
    <n v="0.59479956663055256"/>
    <n v="0.73317307692307687"/>
    <n v="0.81126760563380285"/>
    <m/>
    <m/>
    <n v="4615"/>
    <n v="871"/>
    <n v="3744"/>
    <n v="2745"/>
    <n v="999"/>
    <m/>
  </r>
  <r>
    <x v="25"/>
    <s v="Julio"/>
    <n v="0.6841326854003803"/>
    <n v="0.76295947219604143"/>
    <n v="0.89668286499049232"/>
    <m/>
    <m/>
    <n v="4733"/>
    <n v="489"/>
    <n v="4244"/>
    <n v="3238"/>
    <n v="1006"/>
    <m/>
  </r>
  <r>
    <x v="25"/>
    <s v="Agosto"/>
    <n v="0.76067839195979903"/>
    <n v="0.82343608340888486"/>
    <n v="0.92378559463986598"/>
    <m/>
    <m/>
    <n v="4776"/>
    <n v="364"/>
    <n v="4412"/>
    <n v="3633"/>
    <n v="779"/>
    <m/>
  </r>
  <r>
    <x v="25"/>
    <s v="Septiembre"/>
    <n v="0.79826652221018424"/>
    <n v="0.90294117647058825"/>
    <n v="0.88407367280606719"/>
    <m/>
    <m/>
    <n v="4615"/>
    <n v="535"/>
    <n v="4080"/>
    <n v="3684"/>
    <n v="396"/>
    <m/>
  </r>
  <r>
    <x v="25"/>
    <s v="Octubre"/>
    <n v="0.86578726968174202"/>
    <n v="0.92257920571173579"/>
    <n v="0.93844221105527637"/>
    <m/>
    <m/>
    <n v="4776"/>
    <n v="294"/>
    <n v="4482"/>
    <n v="4135"/>
    <n v="347"/>
    <m/>
  </r>
  <r>
    <x v="25"/>
    <s v="Noviembre"/>
    <n v="0.79046587215601305"/>
    <n v="0.90972568578553614"/>
    <n v="0.86890574214517879"/>
    <m/>
    <m/>
    <n v="4615"/>
    <n v="605"/>
    <n v="4010"/>
    <n v="3648"/>
    <n v="362"/>
    <m/>
  </r>
  <r>
    <x v="25"/>
    <s v="Diciembre"/>
    <n v="0.69553502694380287"/>
    <n v="0.84144353899883584"/>
    <n v="0.82659738260200155"/>
    <m/>
    <m/>
    <n v="5196"/>
    <n v="901"/>
    <n v="4295"/>
    <n v="3614"/>
    <n v="681"/>
    <m/>
  </r>
  <r>
    <x v="26"/>
    <s v="Enero"/>
    <n v="0.75076713262870776"/>
    <n v="0.86812536960378472"/>
    <n v="0.86481418342993521"/>
    <m/>
    <m/>
    <n v="5866"/>
    <n v="793"/>
    <n v="5073"/>
    <n v="4404"/>
    <n v="669"/>
    <m/>
  </r>
  <r>
    <x v="26"/>
    <s v="Febrero"/>
    <n v="0.68011958146487295"/>
    <n v="0.83390607101947312"/>
    <n v="0.8155829596412556"/>
    <m/>
    <m/>
    <n v="5352"/>
    <n v="987"/>
    <n v="4365"/>
    <n v="3640"/>
    <n v="725"/>
    <m/>
  </r>
  <r>
    <x v="26"/>
    <s v="Marzo"/>
    <n v="0.68999646518204316"/>
    <n v="0.83490162532078704"/>
    <n v="0.82644043831742664"/>
    <m/>
    <m/>
    <n v="5658"/>
    <n v="982"/>
    <n v="4676"/>
    <n v="3904"/>
    <n v="772"/>
    <m/>
  </r>
  <r>
    <x v="26"/>
    <s v="Abril"/>
    <n v="0.83441324694024477"/>
    <n v="0.89967009509023865"/>
    <n v="0.92746580273578116"/>
    <m/>
    <m/>
    <n v="5556"/>
    <n v="403"/>
    <n v="5153"/>
    <n v="4636"/>
    <n v="517"/>
    <m/>
  </r>
  <r>
    <x v="26"/>
    <s v="Mayo"/>
    <n v="0.75269003818118707"/>
    <n v="0.88347932369117943"/>
    <n v="0.85196112460951057"/>
    <m/>
    <m/>
    <n v="5762"/>
    <n v="853"/>
    <n v="4909"/>
    <n v="4337"/>
    <n v="572"/>
    <m/>
  </r>
  <r>
    <x v="26"/>
    <s v="Junio"/>
    <n v="0.77512839325018346"/>
    <n v="0.86297733306105784"/>
    <n v="0.89820249449743217"/>
    <m/>
    <m/>
    <n v="5452"/>
    <n v="555"/>
    <n v="4897"/>
    <n v="4226"/>
    <n v="671"/>
    <m/>
  </r>
  <r>
    <x v="26"/>
    <s v="Julio"/>
    <n v="0.5406888720666162"/>
    <n v="0.6598152424942263"/>
    <n v="0.81945495836487514"/>
    <n v="183"/>
    <s v="7"/>
    <n v="5284"/>
    <n v="954"/>
    <n v="4330"/>
    <n v="2857"/>
    <n v="1473"/>
    <m/>
  </r>
  <r>
    <x v="26"/>
    <s v="Agosto"/>
    <n v="0.69177688326624498"/>
    <n v="0.75819327731092434"/>
    <n v="0.91240176346559321"/>
    <n v="183"/>
    <s v="7"/>
    <n v="5217"/>
    <n v="457"/>
    <n v="4760"/>
    <n v="3609"/>
    <n v="1151"/>
    <m/>
  </r>
  <r>
    <x v="26"/>
    <s v="Septiembre"/>
    <n v="0.72463485881207401"/>
    <n v="0.79457612641469144"/>
    <n v="0.91197663096397275"/>
    <n v="183"/>
    <s v="7"/>
    <n v="5135"/>
    <n v="452"/>
    <n v="4683"/>
    <n v="3721"/>
    <n v="962"/>
    <m/>
  </r>
  <r>
    <x v="26"/>
    <s v="Octubre"/>
    <n v="0.67431365174877778"/>
    <n v="0.72503032753740393"/>
    <n v="0.930048890560361"/>
    <n v="183"/>
    <s v="7"/>
    <n v="5318"/>
    <n v="372"/>
    <n v="4946"/>
    <n v="3586"/>
    <n v="1360"/>
    <m/>
  </r>
  <r>
    <x v="26"/>
    <s v="Noviembre"/>
    <n v="0.62142161635832527"/>
    <n v="0.68038379530916848"/>
    <n v="0.91333982473222974"/>
    <n v="183"/>
    <s v="7"/>
    <n v="5135"/>
    <n v="445"/>
    <n v="4690"/>
    <n v="3191"/>
    <n v="1499"/>
    <m/>
  </r>
  <r>
    <x v="26"/>
    <s v="Diciembre"/>
    <n v="0.65103868877453785"/>
    <n v="0.69459129727531521"/>
    <n v="0.9372975033352392"/>
    <n v="183"/>
    <s v="7"/>
    <n v="5247"/>
    <n v="329"/>
    <n v="4918"/>
    <n v="3416"/>
    <n v="1502"/>
    <m/>
  </r>
  <r>
    <x v="27"/>
    <s v="Enero"/>
    <n v="0.79428356525009403"/>
    <n v="0.82921083627797409"/>
    <n v="0.957878901842798"/>
    <n v="183"/>
    <s v="7"/>
    <n v="5318"/>
    <n v="224"/>
    <n v="5094"/>
    <n v="4224"/>
    <n v="870"/>
    <m/>
  </r>
  <r>
    <x v="27"/>
    <s v="Febrero"/>
    <n v="0.74964146691251787"/>
    <n v="0.79925731760594143"/>
    <n v="0.93792255685310388"/>
    <n v="183"/>
    <s v="7"/>
    <n v="4881"/>
    <n v="303"/>
    <n v="4578"/>
    <n v="3659"/>
    <n v="919"/>
    <m/>
  </r>
  <r>
    <x v="27"/>
    <s v="Marzo"/>
    <n v="0.61111111111111116"/>
    <n v="0.70967741935483875"/>
    <n v="0.86111111111111116"/>
    <n v="183"/>
    <s v="7"/>
    <n v="4608"/>
    <n v="640"/>
    <n v="3968"/>
    <n v="2816"/>
    <n v="1152"/>
    <m/>
  </r>
  <r>
    <x v="27"/>
    <s v="Abril"/>
    <n v="0.8"/>
    <n v="0.90444145356662176"/>
    <n v="0.88452380952380949"/>
    <n v="183"/>
    <s v="7"/>
    <n v="3360"/>
    <n v="388"/>
    <n v="2972"/>
    <n v="2688"/>
    <n v="284"/>
    <m/>
  </r>
  <r>
    <x v="27"/>
    <s v="Mayo"/>
    <n v="0.88594470046082952"/>
    <n v="0.91547619047619044"/>
    <n v="0.967741935483871"/>
    <n v="183"/>
    <s v="7"/>
    <n v="3472"/>
    <n v="112"/>
    <n v="3360"/>
    <n v="3076"/>
    <n v="284"/>
    <m/>
  </r>
  <r>
    <x v="27"/>
    <s v="Junio"/>
    <n v="0.81964285714285712"/>
    <n v="0.86278195488721809"/>
    <n v="0.95"/>
    <n v="183"/>
    <s v="7"/>
    <n v="3360"/>
    <n v="168"/>
    <n v="3192"/>
    <n v="2754"/>
    <n v="438"/>
    <m/>
  </r>
  <r>
    <x v="27"/>
    <s v="Julio"/>
    <n v="0.7589285714285714"/>
    <n v="0.91239612188365649"/>
    <n v="0.83179723502304148"/>
    <n v="183"/>
    <s v="7"/>
    <n v="3472"/>
    <n v="584"/>
    <n v="2888"/>
    <n v="2635"/>
    <n v="253"/>
    <m/>
  </r>
  <r>
    <x v="27"/>
    <s v="Agosto"/>
    <n v="0.92050691244239635"/>
    <n v="0.93861967694566817"/>
    <n v="0.98070276497695852"/>
    <n v="183"/>
    <s v="7"/>
    <n v="3472"/>
    <n v="67"/>
    <n v="3405"/>
    <n v="3196"/>
    <n v="209"/>
    <m/>
  </r>
  <r>
    <x v="27"/>
    <s v="Septiembre"/>
    <n v="0.91428571428571426"/>
    <n v="0.93203883495145634"/>
    <n v="0.98095238095238091"/>
    <n v="183"/>
    <s v="7"/>
    <n v="3360"/>
    <n v="64"/>
    <n v="3296"/>
    <n v="3072"/>
    <n v="224"/>
    <m/>
  </r>
  <r>
    <x v="27"/>
    <s v="Octubre"/>
    <n v="0.88248847926267282"/>
    <n v="0.9159940209267563"/>
    <n v="0.96342165898617516"/>
    <n v="112"/>
    <s v="7"/>
    <n v="3472"/>
    <n v="127"/>
    <n v="3345"/>
    <n v="3064"/>
    <n v="281"/>
    <m/>
  </r>
  <r>
    <x v="27"/>
    <s v="Noviembre"/>
    <n v="0.84851190476190474"/>
    <n v="0.88238935314144229"/>
    <n v="0.96160714285714288"/>
    <n v="112"/>
    <s v="7"/>
    <n v="3360"/>
    <n v="129"/>
    <n v="3231"/>
    <n v="2851"/>
    <n v="380"/>
    <m/>
  </r>
  <r>
    <x v="27"/>
    <s v="Diciembre"/>
    <n v="0.79205069124423966"/>
    <n v="0.83867032631899974"/>
    <n v="0.94441244239631339"/>
    <n v="112"/>
    <s v="7"/>
    <n v="3472"/>
    <n v="193"/>
    <n v="3279"/>
    <n v="2750"/>
    <n v="529"/>
    <m/>
  </r>
  <r>
    <x v="28"/>
    <s v="Enero"/>
    <n v="0.8482142857142857"/>
    <n v="0.89188370684433682"/>
    <n v="0.95103686635944695"/>
    <n v="112"/>
    <s v="7"/>
    <n v="3472"/>
    <n v="170"/>
    <n v="3302"/>
    <n v="2945"/>
    <n v="357"/>
    <m/>
  </r>
  <r>
    <x v="28"/>
    <s v="Febrero"/>
    <n v="0.87340561224489799"/>
    <n v="0.90039447731755429"/>
    <n v="0.97002551020408168"/>
    <n v="112"/>
    <s v="7"/>
    <n v="3136"/>
    <n v="94"/>
    <n v="3042"/>
    <n v="2739"/>
    <n v="303"/>
    <m/>
  </r>
  <r>
    <x v="28"/>
    <s v="Marzo"/>
    <n v="0.83957373271889402"/>
    <n v="0.87197128327849238"/>
    <n v="0.96284562211981561"/>
    <n v="112"/>
    <s v="7"/>
    <n v="3472"/>
    <n v="129"/>
    <n v="3343"/>
    <n v="2915"/>
    <n v="428"/>
    <m/>
  </r>
  <r>
    <x v="28"/>
    <s v="Abril"/>
    <n v="0.85446428571428568"/>
    <n v="0.91374920432845319"/>
    <n v="0.93511904761904763"/>
    <n v="112"/>
    <s v="7"/>
    <n v="3360"/>
    <n v="218"/>
    <n v="3142"/>
    <n v="2871"/>
    <n v="271"/>
    <m/>
  </r>
  <r>
    <x v="28"/>
    <s v="Mayo"/>
    <n v="0.90351382488479259"/>
    <n v="0.92810650887573964"/>
    <n v="0.97350230414746541"/>
    <n v="112"/>
    <s v="7"/>
    <n v="3472"/>
    <n v="92"/>
    <n v="3380"/>
    <n v="3137"/>
    <n v="243"/>
    <m/>
  </r>
  <r>
    <x v="28"/>
    <s v="Junio"/>
    <n v="0.89821428571428574"/>
    <n v="0.92321810951361272"/>
    <n v="0.97291666666666665"/>
    <n v="112"/>
    <s v="7"/>
    <n v="3360"/>
    <n v="91"/>
    <n v="3269"/>
    <n v="3018"/>
    <n v="251"/>
    <m/>
  </r>
  <r>
    <x v="28"/>
    <s v="Julio"/>
    <n v="0.89141705069124422"/>
    <n v="0.92720191731575796"/>
    <n v="0.96140552995391704"/>
    <n v="112"/>
    <s v="7"/>
    <n v="3472"/>
    <n v="134"/>
    <n v="3338"/>
    <n v="3095"/>
    <n v="243"/>
    <m/>
  </r>
  <r>
    <x v="28"/>
    <s v="Agosto"/>
    <n v="0.85829493087557607"/>
    <n v="0.8858501783590963"/>
    <n v="0.96889400921658986"/>
    <n v="112"/>
    <s v="7"/>
    <n v="3472"/>
    <n v="108"/>
    <n v="3364"/>
    <n v="2980"/>
    <n v="384"/>
    <m/>
  </r>
  <r>
    <x v="28"/>
    <s v="Septiembre"/>
    <n v="0.75089285714285714"/>
    <n v="0.79589905362776026"/>
    <n v="0.94345238095238093"/>
    <n v="112"/>
    <s v="7"/>
    <n v="3360"/>
    <n v="190"/>
    <n v="3170"/>
    <n v="2523"/>
    <n v="647"/>
    <m/>
  </r>
  <r>
    <x v="28"/>
    <s v="Octubre"/>
    <n v="0.77937788018433185"/>
    <n v="0.80848521063639078"/>
    <n v="0.96399769585253459"/>
    <n v="112"/>
    <s v="7"/>
    <n v="3472"/>
    <n v="125"/>
    <n v="3347"/>
    <n v="2706"/>
    <n v="641"/>
    <m/>
  </r>
  <r>
    <x v="28"/>
    <s v="Noviembre"/>
    <n v="0.78914002205071665"/>
    <n v="0.81381466742467312"/>
    <n v="0.9696802646085998"/>
    <n v="112"/>
    <s v="7"/>
    <n v="3628"/>
    <n v="110"/>
    <n v="3518"/>
    <n v="2863"/>
    <n v="655"/>
    <m/>
  </r>
  <r>
    <x v="28"/>
    <s v="Diciembre"/>
    <n v="0.78153153153153154"/>
    <n v="0.81608654750705545"/>
    <n v="0.95765765765765765"/>
    <n v="112"/>
    <s v="7"/>
    <n v="4440"/>
    <n v="188"/>
    <n v="4252"/>
    <n v="3470"/>
    <n v="782"/>
    <m/>
  </r>
  <r>
    <x v="29"/>
    <s v="Enero"/>
    <n v="0.77916194790486981"/>
    <n v="0.82533589251439543"/>
    <n v="0.94405436013590038"/>
    <n v="153"/>
    <s v="7"/>
    <n v="4415"/>
    <n v="247"/>
    <n v="4168"/>
    <n v="3440"/>
    <n v="728"/>
    <m/>
  </r>
  <r>
    <x v="29"/>
    <s v="Febrero"/>
    <n v="0.79068602904356533"/>
    <n v="0.82089940213153101"/>
    <n v="0.96319479218828241"/>
    <n v="153"/>
    <s v="7"/>
    <n v="3994"/>
    <n v="147"/>
    <n v="3847"/>
    <n v="3158"/>
    <n v="689"/>
    <m/>
  </r>
  <r>
    <x v="29"/>
    <s v="Marzo"/>
    <n v="0.78505096262740659"/>
    <n v="0.84207968901846453"/>
    <n v="0.93227633069082672"/>
    <n v="153"/>
    <s v="7"/>
    <n v="4415"/>
    <n v="299"/>
    <n v="4116"/>
    <n v="3466"/>
    <n v="650"/>
    <m/>
  </r>
  <r>
    <x v="29"/>
    <s v="Abril"/>
    <n v="0.79900568181818177"/>
    <n v="0.82761157430112797"/>
    <n v="0.96543560606060608"/>
    <n v="153"/>
    <s v="7"/>
    <n v="4224"/>
    <n v="146"/>
    <n v="4078"/>
    <n v="3375"/>
    <n v="703"/>
    <m/>
  </r>
  <r>
    <x v="29"/>
    <s v="Mayo"/>
    <n v="0.69956591272561119"/>
    <n v="0.72404823835422083"/>
    <n v="0.96618688599497371"/>
    <n v="153"/>
    <s v="7"/>
    <n v="4377"/>
    <n v="148"/>
    <n v="4229"/>
    <n v="3062"/>
    <n v="1167"/>
    <m/>
  </r>
  <r>
    <x v="29"/>
    <s v="Junio"/>
    <n v="0.69474425152510555"/>
    <n v="0.72166707287350718"/>
    <n v="0.96269357109338338"/>
    <n v="153"/>
    <s v="7"/>
    <n v="4262"/>
    <n v="159"/>
    <n v="4103"/>
    <n v="2961"/>
    <n v="1142"/>
    <m/>
  </r>
  <r>
    <x v="29"/>
    <s v="Julio"/>
    <n v="0.57667044167610415"/>
    <n v="0.59863625675993415"/>
    <n v="0.96330690826727072"/>
    <n v="153"/>
    <s v="7"/>
    <n v="4415"/>
    <n v="162"/>
    <n v="4253"/>
    <n v="2546"/>
    <n v="1707"/>
    <m/>
  </r>
  <r>
    <x v="29"/>
    <s v="Agosto"/>
    <n v="0.62250168425780372"/>
    <n v="0.64963674712913055"/>
    <n v="0.95823040646754998"/>
    <n v="153"/>
    <s v="7"/>
    <n v="4453"/>
    <n v="186"/>
    <n v="4267"/>
    <n v="2772"/>
    <n v="1495"/>
    <m/>
  </r>
  <r>
    <x v="29"/>
    <s v="Septiembre"/>
    <n v="0.66920239741816501"/>
    <n v="0.70086914534041522"/>
    <n v="0.95481788842784698"/>
    <n v="153"/>
    <s v="7"/>
    <n v="4338"/>
    <n v="196"/>
    <n v="4142"/>
    <n v="2903"/>
    <n v="1239"/>
    <m/>
  </r>
  <r>
    <x v="29"/>
    <s v="Octubre"/>
    <n v="0.71507352941176472"/>
    <n v="0.74042350701879611"/>
    <n v="0.96576286764705888"/>
    <n v="153"/>
    <s v="7"/>
    <n v="4352"/>
    <n v="149"/>
    <n v="4203"/>
    <n v="3112"/>
    <n v="1091"/>
    <m/>
  </r>
  <r>
    <x v="29"/>
    <s v="Noviembre"/>
    <n v="0.62395348837209297"/>
    <n v="0.65970002458814847"/>
    <n v="0.94581395348837205"/>
    <n v="153"/>
    <s v="7"/>
    <n v="4300"/>
    <n v="233"/>
    <n v="4067"/>
    <n v="2683"/>
    <n v="1384"/>
    <m/>
  </r>
  <r>
    <x v="29"/>
    <s v="Diciembre"/>
    <n v="0.66902050113895217"/>
    <n v="0.71932402645113891"/>
    <n v="0.93006833712984049"/>
    <n v="153"/>
    <s v="7"/>
    <n v="4390"/>
    <n v="307"/>
    <n v="4083"/>
    <n v="2937"/>
    <n v="1146"/>
    <m/>
  </r>
  <r>
    <x v="30"/>
    <s v="Enero"/>
    <n v="0.69144397035706262"/>
    <n v="0.73819228002877013"/>
    <n v="0.93667190657983379"/>
    <n v="153"/>
    <s v="7"/>
    <n v="4453"/>
    <n v="282"/>
    <n v="4171"/>
    <n v="3079"/>
    <n v="1092"/>
    <m/>
  </r>
  <r>
    <x v="30"/>
    <s v="Febrero"/>
    <n v="0.58133487431378217"/>
    <n v="0.66380732431540745"/>
    <n v="0.87575845131464891"/>
    <n v="153"/>
    <s v="7"/>
    <n v="3461"/>
    <n v="430"/>
    <n v="3031"/>
    <n v="2012"/>
    <n v="1019"/>
    <m/>
  </r>
  <r>
    <x v="30"/>
    <s v="Marzo"/>
    <n v="0.56661991584852733"/>
    <n v="0.62558067513161975"/>
    <n v="0.90575035063113607"/>
    <n v="115"/>
    <s v="7"/>
    <n v="3565"/>
    <n v="336"/>
    <n v="3229"/>
    <n v="2020"/>
    <n v="1209"/>
    <s v="De acuerdo a lo informado en memo ME-2023-14148436-APN-GLSM#SOFSE de fecha 07 de febrero de 2023, brinda sevicio de emergencia por falta de material rodante. De lunes a domingo/feriados circulan 115 trenes."/>
  </r>
  <r>
    <x v="30"/>
    <s v="Abril"/>
    <n v="0.59971014492753627"/>
    <n v="0.65703397904096539"/>
    <n v="0.9127536231884058"/>
    <n v="115"/>
    <s v="7"/>
    <n v="3450"/>
    <n v="301"/>
    <n v="3149"/>
    <n v="2069"/>
    <n v="1080"/>
    <m/>
  </r>
  <r>
    <x v="30"/>
    <s v="Mayo"/>
    <n v="0.63197755960729318"/>
    <n v="0.67596759675967599"/>
    <n v="0.93492286115007017"/>
    <n v="115"/>
    <s v="7"/>
    <n v="3565"/>
    <n v="232"/>
    <n v="3333"/>
    <n v="2253"/>
    <n v="1080"/>
    <m/>
  </r>
  <r>
    <x v="30"/>
    <s v="Junio"/>
    <n v="0.58324175824175828"/>
    <n v="0.61181556195965414"/>
    <n v="0.95329670329670335"/>
    <n v="115"/>
    <s v="7"/>
    <n v="3640"/>
    <n v="170"/>
    <n v="3470"/>
    <n v="2123"/>
    <n v="1347"/>
    <m/>
  </r>
  <r>
    <x v="30"/>
    <s v="Julio"/>
    <n v="0.51730460692184277"/>
    <n v="0.5407283181600383"/>
    <n v="0.95668118267247304"/>
    <n v="115"/>
    <s v="7"/>
    <n v="4363"/>
    <n v="189"/>
    <n v="4174"/>
    <n v="2257"/>
    <n v="1917"/>
    <m/>
  </r>
  <r>
    <x v="30"/>
    <s v="Agosto"/>
    <n v="0.6278118609406953"/>
    <n v="0.67324561403508776"/>
    <n v="0.93251533742331283"/>
    <n v="115"/>
    <s v="7"/>
    <n v="4401"/>
    <n v="297"/>
    <n v="4104"/>
    <n v="2763"/>
    <n v="1341"/>
    <m/>
  </r>
  <r>
    <x v="30"/>
    <s v="Septiembre"/>
    <n v="0.653954802259887"/>
    <n v="0.70471841704718419"/>
    <n v="0.92796610169491522"/>
    <n v="115"/>
    <s v="7"/>
    <n v="4248"/>
    <n v="306"/>
    <n v="3942"/>
    <n v="2778"/>
    <n v="1164"/>
    <m/>
  </r>
  <r>
    <x v="30"/>
    <s v="Octubre"/>
    <n v="0.62890173410404626"/>
    <n v="0.66503667481662587"/>
    <n v="0.94566473988439304"/>
    <n v="115"/>
    <s v="7"/>
    <n v="4325"/>
    <n v="235"/>
    <n v="4090"/>
    <n v="2720"/>
    <n v="1370"/>
    <m/>
  </r>
  <r>
    <x v="30"/>
    <s v="Noviembre"/>
    <n v="0.62547080979284364"/>
    <n v="0.6480487804878049"/>
    <n v="0.96516007532956682"/>
    <n v="115"/>
    <s v="7"/>
    <n v="4248"/>
    <n v="148"/>
    <n v="4100"/>
    <n v="2657"/>
    <n v="1443"/>
    <m/>
  </r>
  <r>
    <x v="30"/>
    <s v="Diciembre"/>
    <n v="0.65498076100897817"/>
    <n v="0.71521942110177406"/>
    <n v="0.91577597263787947"/>
    <n v="173"/>
    <n v="7"/>
    <n v="4678"/>
    <n v="394"/>
    <n v="4284"/>
    <n v="3064"/>
    <n v="1220"/>
    <s v="A Partir del 12-12-2023, entra en vigencia un nuevo itinerario de trenes, a partir del cual se divide la traza en dos ramales para los servicios brindados de lunes a sábados habiles. _x000a_- En el primero de ellos, los trenes circulan entre Retiro - J. C. Paz - Pilar: Lunes a Viernes habiles 151 trenes, Sábados habiles 156 trenes. (entre 5 y 7 coches)_x000a_- En el segundo de ellos, circulan entre Pilar - Dr. Cabred: Lunes a Viernes habiles 22 trenes, Sábados habiles 22 trenes (2 coches)_x000a_Para los días Domingos/Feriados, el servicio se presta entre las cabeceras Retiro y Dr. Cabred: 115 trenes."/>
  </r>
  <r>
    <x v="31"/>
    <s v="Enero"/>
    <n v="0.72709398348407395"/>
    <n v="0.76121860848085632"/>
    <n v="0.9551710578057413"/>
    <n v="173"/>
    <n v="7"/>
    <n v="5086"/>
    <n v="228"/>
    <n v="4858"/>
    <n v="3698"/>
    <n v="1160"/>
    <m/>
  </r>
  <r>
    <x v="31"/>
    <s v="Febrero"/>
    <n v="0.61977021461088233"/>
    <n v="0.67445152158527955"/>
    <n v="0.91892477780186432"/>
    <n v="173"/>
    <n v="5"/>
    <n v="4613"/>
    <n v="374"/>
    <n v="4239"/>
    <n v="2859"/>
    <n v="1380"/>
    <m/>
  </r>
  <r>
    <x v="31"/>
    <s v="Marzo"/>
    <n v="0.62100364225010118"/>
    <n v="0.64231896190874838"/>
    <n v="0.9668150546337515"/>
    <n v="173"/>
    <n v="5"/>
    <n v="4942"/>
    <n v="164"/>
    <n v="4778"/>
    <n v="3069"/>
    <n v="1709"/>
    <m/>
  </r>
  <r>
    <x v="31"/>
    <s v="Abril"/>
    <n v="0.58462181362306731"/>
    <n v="0.61011774967291754"/>
    <n v="0.95821145006268282"/>
    <n v="173"/>
    <n v="5"/>
    <n v="4786"/>
    <n v="200"/>
    <n v="4586"/>
    <n v="2798"/>
    <n v="1788"/>
    <m/>
  </r>
  <r>
    <x v="31"/>
    <s v="Mayo"/>
    <n v="0.492810188989318"/>
    <n v="0.61845836555813349"/>
    <n v="0.79683648315529987"/>
    <n v="173"/>
    <n v="5"/>
    <n v="4868"/>
    <n v="989"/>
    <n v="3879"/>
    <n v="2399"/>
    <n v="1480"/>
    <s v="El 10/05/2024 se produjo el choque de una formaciòn de pasajeros contra otra formaciòn sin pasajeros en el puente sobre la aveniza Figueroa Alcorta. En un principio los servicios fueron reducidos entre las estaciones Pilar y Villa del Parque y luego entre Pilar y Palermo. Con motivo de la colisión de dos formaciones en puente ferroviario de Figueroa Alcorta y Dorrego del viaducto Palermo el día 10 de mayo de 2024 y consecuentemente con los trabajos de reparación de las consecuencias de dicha colisión, en la línea San Martín se implementa un itinerario de emergencia. En el mismo se establece como estaciones cabecera provisorias, las estaciones Palermo y Villa del Parque en lugar de la estación cabecera Retiro. De lunes a sábados habiles 141 trenes, domingos/feriados 105 trenes."/>
  </r>
  <r>
    <x v="31"/>
    <s v="Junio"/>
    <n v="0.50817103201253633"/>
    <n v="0.5802658486707567"/>
    <n v="0.87575554063129613"/>
    <n v="173"/>
    <n v="5"/>
    <n v="4467"/>
    <n v="555"/>
    <n v="3912"/>
    <n v="2270"/>
    <n v="1642"/>
    <s v="El 10/05/2024 se produjo el choque de una formaciòn de pasajeros contra otra formaciòn sin pasajeros en el puente sobre la aveniza Figueroa Alcorta. En un principio los servicios fueron reducidos entre las estaciones Pilar y Villa del Parque y luego entre Pilar y Palermo. Con motivo de la colisión de dos formaciones en puente ferroviario de Figueroa Alcorta y Dorrego del viaducto Palermo el día 10 de mayo de 2024 y consecuentemente con los trabajos de reparación de las consecuencias de dicha colisión, en la línea San Martín se implementa un itinerario de emergencia. En el mismo se establece como estaciones cabecera provisorias, las estaciones Palermo y Villa del Parque en lugar de la estación cabecera Retiro. De lunes a sábados habiles 141 trenes, domingos/feriados 105 trenes."/>
  </r>
  <r>
    <x v="31"/>
    <s v="Julio"/>
    <n v="0.44694208181449979"/>
    <n v="0.52373042240151879"/>
    <n v="0.85338193600648038"/>
    <n v="166"/>
    <n v="5"/>
    <n v="4938"/>
    <n v="724"/>
    <n v="4214"/>
    <n v="2207"/>
    <n v="2007"/>
    <s v="El dia 10 de julio de 2024 la linea San Martin deja de prestar el cronograma de servicios de emergencia y vuelve a su cronogrma previo. Luego del accidente de mayo, el 10/07 volvió el tren a Retiro."/>
  </r>
  <r>
    <x v="31"/>
    <s v="Agosto"/>
    <n v="0.40099700897308077"/>
    <n v="0.46028839551384754"/>
    <n v="0.87118644067796613"/>
    <n v="166"/>
    <n v="5"/>
    <n v="5015"/>
    <n v="646"/>
    <n v="4369"/>
    <n v="2011"/>
    <n v="2358"/>
    <m/>
  </r>
  <r>
    <x v="31"/>
    <s v="Septiembre"/>
    <n v="0.42738070431339864"/>
    <n v="0.48258823529411765"/>
    <n v="0.88560116690977286"/>
    <n v="173"/>
    <s v="7 - 2"/>
    <n v="4799"/>
    <m/>
    <n v="4250"/>
    <n v="2051"/>
    <n v="2199"/>
    <m/>
  </r>
</pivotCacheRecords>
</file>

<file path=xl/pivotCache/pivotCacheRecords6.xml><?xml version="1.0" encoding="utf-8"?>
<pivotCacheRecords xmlns="http://schemas.openxmlformats.org/spreadsheetml/2006/main" xmlns:r="http://schemas.openxmlformats.org/officeDocument/2006/relationships" count="381">
  <r>
    <x v="0"/>
    <s v="Enero"/>
    <n v="0.80222602739726023"/>
    <n v="0.94423916694659049"/>
    <n v="0.84960045662100458"/>
    <m/>
    <m/>
    <n v="3504"/>
    <n v="527"/>
    <n v="2977"/>
    <n v="2811"/>
    <n v="166"/>
    <m/>
  </r>
  <r>
    <x v="0"/>
    <s v="Febrero"/>
    <n v="0.89221364221364219"/>
    <n v="0.96251301631377995"/>
    <n v="0.92696267696267698"/>
    <m/>
    <m/>
    <n v="3108"/>
    <n v="227"/>
    <n v="2881"/>
    <n v="2773"/>
    <n v="108"/>
    <m/>
  </r>
  <r>
    <x v="0"/>
    <s v="Marzo"/>
    <n v="0.92718867379370129"/>
    <n v="0.9756764974156279"/>
    <n v="0.95030338052585961"/>
    <m/>
    <m/>
    <n v="3461"/>
    <n v="172"/>
    <n v="3289"/>
    <n v="3209"/>
    <n v="80"/>
    <m/>
  </r>
  <r>
    <x v="0"/>
    <s v="Abril"/>
    <n v="0.85922330097087374"/>
    <n v="0.95675675675675675"/>
    <n v="0.89805825242718451"/>
    <m/>
    <m/>
    <n v="3296"/>
    <n v="336"/>
    <n v="2960"/>
    <n v="2832"/>
    <n v="128"/>
    <m/>
  </r>
  <r>
    <x v="0"/>
    <s v="Mayo"/>
    <n v="0.89900512511305397"/>
    <n v="0.96504854368932036"/>
    <n v="0.93156466686765149"/>
    <m/>
    <m/>
    <n v="3317"/>
    <n v="227"/>
    <n v="3090"/>
    <n v="2982"/>
    <n v="108"/>
    <m/>
  </r>
  <r>
    <x v="0"/>
    <s v="Junio"/>
    <n v="0.74855929632999696"/>
    <n v="0.92296185489902771"/>
    <n v="0.81104033970276013"/>
    <m/>
    <m/>
    <n v="3297"/>
    <n v="623"/>
    <n v="2674"/>
    <n v="2468"/>
    <n v="206"/>
    <m/>
  </r>
  <r>
    <x v="0"/>
    <s v="Julio"/>
    <n v="0.79671939074399534"/>
    <n v="0.90878717006348142"/>
    <n v="0.8766842413591095"/>
    <m/>
    <m/>
    <n v="3414"/>
    <n v="421"/>
    <n v="2993"/>
    <n v="2720"/>
    <n v="273"/>
    <m/>
  </r>
  <r>
    <x v="0"/>
    <s v="Agosto"/>
    <n v="0.81660692951015534"/>
    <n v="0.9395189003436426"/>
    <n v="0.86917562724014341"/>
    <m/>
    <m/>
    <n v="3348"/>
    <n v="438"/>
    <n v="2910"/>
    <n v="2734"/>
    <n v="176"/>
    <m/>
  </r>
  <r>
    <x v="0"/>
    <s v="Septiembre"/>
    <n v="0.81730148482892184"/>
    <n v="0.91507047343693526"/>
    <n v="0.89315687540348609"/>
    <m/>
    <m/>
    <n v="3098"/>
    <n v="331"/>
    <n v="2767"/>
    <n v="2532"/>
    <n v="235"/>
    <m/>
  </r>
  <r>
    <x v="0"/>
    <s v="Octubre"/>
    <n v="0.86561898652982683"/>
    <n v="0.95777146912704048"/>
    <n v="0.90378447722899291"/>
    <m/>
    <m/>
    <n v="3118"/>
    <n v="300"/>
    <n v="2818"/>
    <n v="2699"/>
    <n v="119"/>
    <m/>
  </r>
  <r>
    <x v="0"/>
    <s v="Noviembre"/>
    <n v="0.88554801163918528"/>
    <n v="0.96818663838812302"/>
    <n v="0.91464597478176524"/>
    <m/>
    <m/>
    <n v="3093"/>
    <n v="264"/>
    <n v="2829"/>
    <n v="2739"/>
    <n v="90"/>
    <m/>
  </r>
  <r>
    <x v="0"/>
    <s v="Diciembre"/>
    <n v="0.87816455696202533"/>
    <n v="0.97163865546218486"/>
    <n v="0.90379746835443042"/>
    <m/>
    <m/>
    <n v="3160"/>
    <n v="304"/>
    <n v="2856"/>
    <n v="2775"/>
    <n v="81"/>
    <m/>
  </r>
  <r>
    <x v="1"/>
    <s v="Enero"/>
    <n v="0.85397946084724008"/>
    <n v="0.94529307282415631"/>
    <n v="0.90340179717586655"/>
    <m/>
    <m/>
    <n v="3116"/>
    <n v="301"/>
    <n v="2815"/>
    <n v="2661"/>
    <n v="154"/>
    <m/>
  </r>
  <r>
    <x v="1"/>
    <s v="Febrero"/>
    <n v="0.88664812239221136"/>
    <n v="0.97254004576659037"/>
    <n v="0.91168289290681503"/>
    <m/>
    <m/>
    <n v="2876"/>
    <n v="254"/>
    <n v="2622"/>
    <n v="2550"/>
    <n v="72"/>
    <m/>
  </r>
  <r>
    <x v="1"/>
    <s v="Marzo"/>
    <n v="0.79893849516078674"/>
    <n v="0.95806813927368029"/>
    <n v="0.83390571339369346"/>
    <m/>
    <m/>
    <n v="3203"/>
    <n v="532"/>
    <n v="2671"/>
    <n v="2559"/>
    <n v="112"/>
    <m/>
  </r>
  <r>
    <x v="1"/>
    <s v="Abril"/>
    <n v="0.8110898661567878"/>
    <n v="0.91147400085947572"/>
    <n v="0.88986615678776293"/>
    <m/>
    <m/>
    <n v="2615"/>
    <n v="288"/>
    <n v="2327"/>
    <n v="2121"/>
    <n v="206"/>
    <m/>
  </r>
  <r>
    <x v="1"/>
    <s v="Mayo"/>
    <n v="0.89234042553191484"/>
    <n v="0.96591432519576237"/>
    <n v="0.92382978723404252"/>
    <m/>
    <m/>
    <n v="2350"/>
    <n v="179"/>
    <n v="2171"/>
    <n v="2097"/>
    <n v="74"/>
    <m/>
  </r>
  <r>
    <x v="1"/>
    <s v="Junio"/>
    <n v="0.93061840120663653"/>
    <n v="0.97742574257425741"/>
    <n v="0.95211161387631971"/>
    <m/>
    <m/>
    <n v="2652"/>
    <n v="127"/>
    <n v="2525"/>
    <n v="2468"/>
    <n v="57"/>
    <m/>
  </r>
  <r>
    <x v="1"/>
    <s v="Julio"/>
    <n v="0.92700729927007297"/>
    <n v="0.97355308547336139"/>
    <n v="0.95218978102189777"/>
    <m/>
    <m/>
    <n v="2740"/>
    <n v="131"/>
    <n v="2609"/>
    <n v="2540"/>
    <n v="69"/>
    <m/>
  </r>
  <r>
    <x v="1"/>
    <s v="Agosto"/>
    <n v="0.94546767786204411"/>
    <n v="0.96427255985267035"/>
    <n v="0.98049837486457203"/>
    <m/>
    <m/>
    <n v="2769"/>
    <n v="54"/>
    <n v="2715"/>
    <n v="2618"/>
    <n v="97"/>
    <m/>
  </r>
  <r>
    <x v="1"/>
    <s v="Septiembre"/>
    <n v="0.94970414201183428"/>
    <n v="0.97052154195011342"/>
    <n v="0.97855029585798814"/>
    <m/>
    <m/>
    <n v="2704"/>
    <n v="58"/>
    <n v="2646"/>
    <n v="2568"/>
    <n v="78"/>
    <m/>
  </r>
  <r>
    <x v="1"/>
    <s v="Octubre"/>
    <n v="0.98029916089018609"/>
    <n v="0.98786764705882357"/>
    <n v="0.99233856256840569"/>
    <m/>
    <m/>
    <n v="2741"/>
    <n v="21"/>
    <n v="2720"/>
    <n v="2687"/>
    <n v="33"/>
    <m/>
  </r>
  <r>
    <x v="1"/>
    <s v="Noviembre"/>
    <n v="0.93676035502958577"/>
    <n v="0.94797904191616766"/>
    <n v="0.98816568047337283"/>
    <m/>
    <m/>
    <n v="2704"/>
    <n v="32"/>
    <n v="2672"/>
    <n v="2533"/>
    <n v="139"/>
    <m/>
  </r>
  <r>
    <x v="1"/>
    <s v="Diciembre"/>
    <n v="0.95710059171597628"/>
    <n v="0.97513187641296162"/>
    <n v="0.98150887573964496"/>
    <m/>
    <m/>
    <n v="2704"/>
    <n v="50"/>
    <n v="2654"/>
    <n v="2588"/>
    <n v="66"/>
    <m/>
  </r>
  <r>
    <x v="2"/>
    <s v="Enero"/>
    <n v="0.96782544378698221"/>
    <n v="0.97795216741405078"/>
    <n v="0.98964497041420119"/>
    <m/>
    <m/>
    <n v="2704"/>
    <n v="28"/>
    <n v="2676"/>
    <n v="2617"/>
    <n v="59"/>
    <m/>
  </r>
  <r>
    <x v="2"/>
    <s v="Febrero"/>
    <n v="0.97575516693163755"/>
    <n v="0.98713309207880984"/>
    <n v="0.98847376788553254"/>
    <m/>
    <m/>
    <n v="2516"/>
    <n v="29"/>
    <n v="2487"/>
    <n v="2455"/>
    <n v="32"/>
    <m/>
  </r>
  <r>
    <x v="2"/>
    <s v="Marzo"/>
    <n v="0.95913107511045659"/>
    <n v="0.98413298073290523"/>
    <n v="0.97459499263622973"/>
    <m/>
    <m/>
    <n v="2716"/>
    <n v="69"/>
    <n v="2647"/>
    <n v="2605"/>
    <n v="42"/>
    <m/>
  </r>
  <r>
    <x v="2"/>
    <s v="Abril"/>
    <n v="0.95901145268233878"/>
    <n v="0.97249388753056232"/>
    <n v="0.98613622664255574"/>
    <m/>
    <m/>
    <n v="3318"/>
    <n v="46"/>
    <n v="3272"/>
    <n v="3182"/>
    <n v="90"/>
    <m/>
  </r>
  <r>
    <x v="2"/>
    <s v="Mayo"/>
    <n v="0.97502937720329019"/>
    <n v="0.98079196217494091"/>
    <n v="0.99412455934195065"/>
    <m/>
    <m/>
    <n v="3404"/>
    <n v="20"/>
    <n v="3384"/>
    <n v="3319"/>
    <n v="65"/>
    <m/>
  </r>
  <r>
    <x v="2"/>
    <s v="Junio"/>
    <n v="0.95711678832116787"/>
    <n v="0.97009864364981502"/>
    <n v="0.98661800486618001"/>
    <m/>
    <m/>
    <n v="3288"/>
    <n v="44"/>
    <n v="3244"/>
    <n v="3147"/>
    <n v="97"/>
    <m/>
  </r>
  <r>
    <x v="2"/>
    <s v="Julio"/>
    <n v="0.95131195335276963"/>
    <n v="0.96452852497783037"/>
    <n v="0.98629737609329449"/>
    <m/>
    <m/>
    <n v="3430"/>
    <n v="47"/>
    <n v="3383"/>
    <n v="3263"/>
    <n v="120"/>
    <m/>
  </r>
  <r>
    <x v="2"/>
    <s v="Agosto"/>
    <n v="0.93456861609727848"/>
    <n v="0.96243291592128799"/>
    <n v="0.97104806022003476"/>
    <m/>
    <m/>
    <n v="3454"/>
    <n v="100"/>
    <n v="3354"/>
    <n v="3228"/>
    <n v="126"/>
    <m/>
  </r>
  <r>
    <x v="2"/>
    <s v="Septiembre"/>
    <n v="0.91775754126351738"/>
    <n v="0.96010717475439122"/>
    <n v="0.9558907228229937"/>
    <m/>
    <m/>
    <n v="3514"/>
    <n v="155"/>
    <n v="3359"/>
    <n v="3225"/>
    <n v="134"/>
    <m/>
  </r>
  <r>
    <x v="2"/>
    <s v="Octubre"/>
    <n v="0.94595328625746877"/>
    <n v="0.964552755469399"/>
    <n v="0.98071700162954911"/>
    <m/>
    <m/>
    <n v="3682"/>
    <n v="71"/>
    <n v="3611"/>
    <n v="3483"/>
    <n v="128"/>
    <m/>
  </r>
  <r>
    <x v="2"/>
    <s v="Noviembre"/>
    <n v="0.93974918211559433"/>
    <n v="0.96825842696629216"/>
    <n v="0.9705561613958561"/>
    <m/>
    <m/>
    <n v="3668"/>
    <n v="108"/>
    <n v="3560"/>
    <n v="3447"/>
    <n v="113"/>
    <m/>
  </r>
  <r>
    <x v="2"/>
    <s v="Diciembre"/>
    <n v="0.8109823399558499"/>
    <n v="0.87184811628596859"/>
    <n v="0.93018763796909487"/>
    <m/>
    <m/>
    <n v="3624"/>
    <n v="253"/>
    <n v="3371"/>
    <n v="2939"/>
    <n v="432"/>
    <m/>
  </r>
  <r>
    <x v="3"/>
    <s v="Enero"/>
    <n v="0.83315508021390372"/>
    <n v="0.91271236086701812"/>
    <n v="0.91283422459893049"/>
    <m/>
    <m/>
    <n v="3740"/>
    <n v="326"/>
    <n v="3414"/>
    <n v="3116"/>
    <n v="298"/>
    <m/>
  </r>
  <r>
    <x v="3"/>
    <s v="Febrero"/>
    <n v="0.78259637188208619"/>
    <n v="0.8563895781637717"/>
    <n v="0.91383219954648531"/>
    <m/>
    <m/>
    <n v="3528"/>
    <n v="304"/>
    <n v="3224"/>
    <n v="2761"/>
    <n v="463"/>
    <m/>
  </r>
  <r>
    <x v="3"/>
    <s v="Marzo"/>
    <n v="0.71711229946524069"/>
    <n v="0.78859159070861506"/>
    <n v="0.90935828877005342"/>
    <m/>
    <m/>
    <n v="3740"/>
    <n v="339"/>
    <n v="3401"/>
    <n v="2682"/>
    <n v="719"/>
    <m/>
  </r>
  <r>
    <x v="3"/>
    <s v="Abril"/>
    <n v="0.77368421052631575"/>
    <n v="0.85152439024390247"/>
    <n v="0.90858725761772852"/>
    <m/>
    <m/>
    <n v="3610"/>
    <n v="330"/>
    <n v="3280"/>
    <n v="2793"/>
    <n v="487"/>
    <m/>
  </r>
  <r>
    <x v="3"/>
    <s v="Mayo"/>
    <n v="0.82428028245518736"/>
    <n v="0.90273646638905414"/>
    <n v="0.91309071156979904"/>
    <m/>
    <m/>
    <n v="3682"/>
    <n v="320"/>
    <n v="3362"/>
    <n v="3035"/>
    <n v="327"/>
    <m/>
  </r>
  <r>
    <x v="3"/>
    <s v="Junio"/>
    <n v="0.88469493278179934"/>
    <n v="0.96150604102275916"/>
    <n v="0.92011375387797312"/>
    <m/>
    <m/>
    <n v="3868"/>
    <n v="309"/>
    <n v="3559"/>
    <n v="3422"/>
    <n v="137"/>
    <m/>
  </r>
  <r>
    <x v="3"/>
    <s v="Julio"/>
    <n v="0.88999762413875028"/>
    <n v="0.96596183599793706"/>
    <n v="0.92135899263483012"/>
    <m/>
    <m/>
    <n v="4209"/>
    <n v="331"/>
    <n v="3878"/>
    <n v="3746"/>
    <n v="132"/>
    <m/>
  </r>
  <r>
    <x v="3"/>
    <s v="Agosto"/>
    <n v="0.85927654609101511"/>
    <n v="0.96869244935543275"/>
    <n v="0.88704784130688452"/>
    <m/>
    <m/>
    <n v="4285"/>
    <n v="484"/>
    <n v="3801"/>
    <n v="3682"/>
    <n v="119"/>
    <m/>
  </r>
  <r>
    <x v="3"/>
    <s v="Septiembre"/>
    <n v="0.87123221605980228"/>
    <n v="0.97149771443936539"/>
    <n v="0.89679286231010369"/>
    <m/>
    <m/>
    <n v="4147"/>
    <n v="428"/>
    <n v="3719"/>
    <n v="3613"/>
    <n v="106"/>
    <m/>
  </r>
  <r>
    <x v="3"/>
    <s v="Octubre"/>
    <n v="0.86631139944392954"/>
    <n v="0.98550342646283606"/>
    <n v="0.87905468025949951"/>
    <m/>
    <m/>
    <n v="4316"/>
    <n v="522"/>
    <n v="3794"/>
    <n v="3739"/>
    <n v="55"/>
    <m/>
  </r>
  <r>
    <x v="3"/>
    <s v="Noviembre"/>
    <n v="0.915692007797271"/>
    <n v="0.97231565329883574"/>
    <n v="0.94176413255360625"/>
    <m/>
    <m/>
    <n v="4104"/>
    <n v="239"/>
    <n v="3865"/>
    <n v="3758"/>
    <n v="107"/>
    <m/>
  </r>
  <r>
    <x v="3"/>
    <s v="Diciembre"/>
    <n v="0.91427889207258839"/>
    <n v="0.96961256014180808"/>
    <n v="0.94293218720152816"/>
    <m/>
    <m/>
    <n v="4188"/>
    <n v="239"/>
    <n v="3949"/>
    <n v="3829"/>
    <n v="120"/>
    <m/>
  </r>
  <r>
    <x v="4"/>
    <s v="Enero"/>
    <n v="0.94860255802936999"/>
    <n v="0.9933035714285714"/>
    <n v="0.95499763145428707"/>
    <m/>
    <m/>
    <n v="4222"/>
    <n v="190"/>
    <n v="4032"/>
    <n v="4005"/>
    <n v="27"/>
    <m/>
  </r>
  <r>
    <x v="4"/>
    <s v="Febrero"/>
    <n v="0.94325313807531386"/>
    <n v="0.98984632272228323"/>
    <n v="0.95292887029288698"/>
    <m/>
    <m/>
    <n v="3824"/>
    <n v="180"/>
    <n v="3644"/>
    <n v="3607"/>
    <n v="37"/>
    <m/>
  </r>
  <r>
    <x v="4"/>
    <s v="Marzo"/>
    <n v="0.93528841492971404"/>
    <n v="0.98822023047375163"/>
    <n v="0.94643722733882696"/>
    <m/>
    <m/>
    <n v="4126"/>
    <n v="221"/>
    <n v="3905"/>
    <n v="3859"/>
    <n v="46"/>
    <m/>
  </r>
  <r>
    <x v="4"/>
    <s v="Abril"/>
    <n v="0.91321118611378982"/>
    <n v="0.98364061282783688"/>
    <n v="0.92839922854387658"/>
    <m/>
    <m/>
    <n v="4148"/>
    <n v="297"/>
    <n v="3851"/>
    <n v="3788"/>
    <n v="63"/>
    <m/>
  </r>
  <r>
    <x v="4"/>
    <s v="Mayo"/>
    <n v="0.9190520882214922"/>
    <n v="0.98964123294593231"/>
    <n v="0.92867198498357584"/>
    <m/>
    <m/>
    <n v="4262"/>
    <n v="304"/>
    <n v="3958"/>
    <n v="3917"/>
    <n v="41"/>
    <m/>
  </r>
  <r>
    <x v="4"/>
    <s v="Junio"/>
    <n v="0.95792322834645671"/>
    <n v="0.99108961303462317"/>
    <n v="0.96653543307086609"/>
    <m/>
    <m/>
    <n v="4064"/>
    <n v="136"/>
    <n v="3928"/>
    <n v="3893"/>
    <n v="35"/>
    <m/>
  </r>
  <r>
    <x v="4"/>
    <s v="Julio"/>
    <n v="0.97623514696685432"/>
    <n v="0.98485804416403788"/>
    <n v="0.9912445278298937"/>
    <m/>
    <m/>
    <n v="4797"/>
    <n v="42"/>
    <n v="4755"/>
    <n v="4683"/>
    <n v="72"/>
    <m/>
  </r>
  <r>
    <x v="4"/>
    <s v="Agosto"/>
    <n v="0.98234042553191492"/>
    <n v="0.98801626364219985"/>
    <n v="0.99425531914893617"/>
    <m/>
    <m/>
    <n v="4700"/>
    <n v="27"/>
    <n v="4673"/>
    <n v="4617"/>
    <n v="56"/>
    <m/>
  </r>
  <r>
    <x v="4"/>
    <s v="Septiembre"/>
    <n v="0.97629218282785135"/>
    <n v="0.98470486859112449"/>
    <n v="0.99145664246048693"/>
    <m/>
    <m/>
    <n v="4682"/>
    <n v="40"/>
    <n v="4642"/>
    <n v="4571"/>
    <n v="71"/>
    <m/>
  </r>
  <r>
    <x v="4"/>
    <s v="Octubre"/>
    <n v="0.97917955060812201"/>
    <n v="0.98466003316749584"/>
    <n v="0.99443413729128016"/>
    <m/>
    <m/>
    <n v="4851"/>
    <n v="27"/>
    <n v="4824"/>
    <n v="4750"/>
    <n v="74"/>
    <m/>
  </r>
  <r>
    <x v="4"/>
    <s v="Noviembre"/>
    <n v="0.97557251908396947"/>
    <n v="0.98502532481832195"/>
    <n v="0.99040348964013081"/>
    <m/>
    <m/>
    <n v="4585"/>
    <n v="44"/>
    <n v="4541"/>
    <n v="4473"/>
    <n v="68"/>
    <m/>
  </r>
  <r>
    <x v="4"/>
    <s v="Diciembre"/>
    <n v="0.97659709044908283"/>
    <n v="0.98364833297940113"/>
    <n v="0.99283154121863804"/>
    <m/>
    <m/>
    <n v="4743"/>
    <n v="34"/>
    <n v="4709"/>
    <n v="4632"/>
    <n v="77"/>
    <m/>
  </r>
  <r>
    <x v="5"/>
    <s v="Enero"/>
    <n v="0.93058477071939416"/>
    <n v="0.97102721685689197"/>
    <n v="0.95835086243163647"/>
    <m/>
    <m/>
    <n v="4754"/>
    <n v="198"/>
    <n v="4556"/>
    <n v="4424"/>
    <n v="132"/>
    <m/>
  </r>
  <r>
    <x v="5"/>
    <s v="Febrero"/>
    <n v="0.91689686924493552"/>
    <n v="0.98006889763779526"/>
    <n v="0.9355432780847146"/>
    <m/>
    <m/>
    <n v="4344"/>
    <n v="280"/>
    <n v="4064"/>
    <n v="3983"/>
    <n v="81"/>
    <m/>
  </r>
  <r>
    <x v="5"/>
    <s v="Marzo"/>
    <n v="0.91327913279132789"/>
    <n v="0.97659384752563527"/>
    <n v="0.9351678132165937"/>
    <m/>
    <m/>
    <n v="4797"/>
    <n v="311"/>
    <n v="4486"/>
    <n v="4381"/>
    <n v="105"/>
    <m/>
  </r>
  <r>
    <x v="5"/>
    <s v="Abril"/>
    <n v="0.91897147796024203"/>
    <n v="0.98199030247056107"/>
    <n v="0.93582541054451163"/>
    <m/>
    <m/>
    <n v="4628"/>
    <n v="297"/>
    <n v="4331"/>
    <n v="4253"/>
    <n v="78"/>
    <m/>
  </r>
  <r>
    <x v="5"/>
    <s v="Mayo"/>
    <n v="0.93671975893241499"/>
    <n v="0.9821710674791243"/>
    <n v="0.95372363323288856"/>
    <m/>
    <m/>
    <n v="4646"/>
    <n v="215"/>
    <n v="4431"/>
    <n v="4352"/>
    <n v="79"/>
    <m/>
  </r>
  <r>
    <x v="5"/>
    <s v="Junio"/>
    <n v="0.98578924355050279"/>
    <n v="0.99186097668279805"/>
    <n v="0.99387844337560127"/>
    <m/>
    <m/>
    <n v="4574"/>
    <n v="28"/>
    <n v="4546"/>
    <n v="4509"/>
    <n v="37"/>
    <m/>
  </r>
  <r>
    <x v="5"/>
    <s v="Julio"/>
    <n v="0.98415676464456947"/>
    <n v="0.9884840871021775"/>
    <n v="0.99562226391494679"/>
    <m/>
    <m/>
    <n v="4797"/>
    <n v="21"/>
    <n v="4776"/>
    <n v="4721"/>
    <n v="55"/>
    <m/>
  </r>
  <r>
    <x v="5"/>
    <s v="Agosto"/>
    <n v="0.98085106382978726"/>
    <n v="0.98715203426124198"/>
    <n v="0.99361702127659579"/>
    <m/>
    <m/>
    <n v="4700"/>
    <n v="30"/>
    <n v="4670"/>
    <n v="4610"/>
    <n v="60"/>
    <m/>
  </r>
  <r>
    <x v="5"/>
    <s v="Septiembre"/>
    <n v="0.97415634344297308"/>
    <n v="0.98255062473071952"/>
    <n v="0.99145664246048693"/>
    <m/>
    <m/>
    <n v="4682"/>
    <n v="40"/>
    <n v="4642"/>
    <n v="4561"/>
    <n v="81"/>
    <m/>
  </r>
  <r>
    <x v="5"/>
    <s v="Octubre"/>
    <n v="0.97370635254522508"/>
    <n v="0.98720409468969927"/>
    <n v="0.98632730332351704"/>
    <m/>
    <m/>
    <n v="4754"/>
    <n v="65"/>
    <n v="4689"/>
    <n v="4629"/>
    <n v="60"/>
    <m/>
  </r>
  <r>
    <x v="5"/>
    <s v="Noviembre"/>
    <n v="0.97882454624027659"/>
    <n v="0.98649825783972123"/>
    <n v="0.99222126188418325"/>
    <m/>
    <m/>
    <n v="4628"/>
    <n v="36"/>
    <n v="4592"/>
    <n v="4530"/>
    <n v="62"/>
    <m/>
  </r>
  <r>
    <x v="5"/>
    <s v="Diciembre"/>
    <n v="0.93991144845034791"/>
    <n v="0.98150594451783357"/>
    <n v="0.95762175838077168"/>
    <m/>
    <m/>
    <n v="4743"/>
    <n v="201"/>
    <n v="4542"/>
    <n v="4458"/>
    <n v="84"/>
    <m/>
  </r>
  <r>
    <x v="6"/>
    <s v="Enero"/>
    <n v="0.98127659574468085"/>
    <n v="0.98631308810949525"/>
    <n v="0.99489361702127654"/>
    <m/>
    <m/>
    <n v="4700"/>
    <n v="24"/>
    <n v="4676"/>
    <n v="4612"/>
    <n v="64"/>
    <m/>
  </r>
  <r>
    <x v="6"/>
    <s v="Febrero"/>
    <n v="0.98526703499079193"/>
    <n v="0.99234871319267326"/>
    <n v="0.99286372007366486"/>
    <m/>
    <m/>
    <n v="4344"/>
    <n v="31"/>
    <n v="4313"/>
    <n v="4280"/>
    <n v="33"/>
    <m/>
  </r>
  <r>
    <x v="6"/>
    <s v="Marzo"/>
    <n v="0.98103483817769532"/>
    <n v="0.99083905892150737"/>
    <n v="0.99010513296227587"/>
    <m/>
    <m/>
    <n v="4851"/>
    <n v="48"/>
    <n v="4803"/>
    <n v="4759"/>
    <n v="44"/>
    <m/>
  </r>
  <r>
    <x v="6"/>
    <s v="Abril"/>
    <n v="0.98919619706136563"/>
    <n v="0.99327402907355178"/>
    <n v="0.99589455488331891"/>
    <m/>
    <m/>
    <n v="4628"/>
    <n v="19"/>
    <n v="4609"/>
    <n v="4578"/>
    <n v="31"/>
    <m/>
  </r>
  <r>
    <x v="6"/>
    <s v="Mayo"/>
    <n v="0.98123267221155897"/>
    <n v="0.99052744886975241"/>
    <n v="0.99061633610577948"/>
    <m/>
    <m/>
    <n v="4689"/>
    <n v="44"/>
    <n v="4645"/>
    <n v="4601"/>
    <n v="44"/>
    <m/>
  </r>
  <r>
    <x v="6"/>
    <s v="Junio"/>
    <n v="0.9889429455992923"/>
    <n v="0.9942196531791907"/>
    <n v="0.99469261388766028"/>
    <m/>
    <m/>
    <n v="4522"/>
    <n v="24"/>
    <n v="4498"/>
    <n v="4472"/>
    <n v="26"/>
    <m/>
  </r>
  <r>
    <x v="6"/>
    <s v="Julio"/>
    <n v="0.96870981568795544"/>
    <n v="0.98646879092099515"/>
    <n v="0.98199742820402913"/>
    <m/>
    <m/>
    <n v="4666"/>
    <n v="84"/>
    <n v="4582"/>
    <n v="4520"/>
    <n v="62"/>
    <m/>
  </r>
  <r>
    <x v="6"/>
    <s v="Agosto"/>
    <n v="0.946520618556701"/>
    <n v="0.97586359610274576"/>
    <n v="0.96993127147766323"/>
    <m/>
    <m/>
    <n v="4656"/>
    <n v="140"/>
    <n v="4516"/>
    <n v="4407"/>
    <n v="109"/>
    <m/>
  </r>
  <r>
    <x v="6"/>
    <s v="Septiembre"/>
    <n v="0.95974760661444736"/>
    <n v="0.98547810545129577"/>
    <n v="0.97389033942558745"/>
    <m/>
    <m/>
    <n v="4596"/>
    <n v="120"/>
    <n v="4476"/>
    <n v="4411"/>
    <n v="65"/>
    <m/>
  </r>
  <r>
    <x v="6"/>
    <s v="Octubre"/>
    <n v="0.94515499674831993"/>
    <n v="0.97234611953612848"/>
    <n v="0.97203555170171252"/>
    <m/>
    <m/>
    <n v="4613"/>
    <n v="129"/>
    <n v="4484"/>
    <n v="4360"/>
    <n v="124"/>
    <m/>
  </r>
  <r>
    <x v="6"/>
    <s v="Noviembre"/>
    <n v="0.96583986074847694"/>
    <n v="0.97753798722748297"/>
    <n v="0.98803307223672754"/>
    <m/>
    <m/>
    <n v="4596"/>
    <n v="55"/>
    <n v="4541"/>
    <n v="4439"/>
    <n v="102"/>
    <m/>
  </r>
  <r>
    <x v="6"/>
    <s v="Diciembre"/>
    <n v="0.97212172802723984"/>
    <n v="0.98299978480740258"/>
    <n v="0.98893381570546923"/>
    <m/>
    <m/>
    <n v="4699"/>
    <n v="52"/>
    <n v="4647"/>
    <n v="4568"/>
    <n v="79"/>
    <m/>
  </r>
  <r>
    <x v="7"/>
    <s v="Enero"/>
    <n v="0.95897766323024058"/>
    <n v="0.96540540540540543"/>
    <n v="0.99334192439862545"/>
    <m/>
    <m/>
    <n v="4656"/>
    <n v="31"/>
    <n v="4625"/>
    <n v="4465"/>
    <n v="160"/>
    <m/>
  </r>
  <r>
    <x v="7"/>
    <s v="Febrero"/>
    <n v="0.97516930022573367"/>
    <n v="0.98450319051959889"/>
    <n v="0.99051918735891653"/>
    <m/>
    <m/>
    <n v="4430"/>
    <n v="42"/>
    <n v="4388"/>
    <n v="4320"/>
    <n v="68"/>
    <m/>
  </r>
  <r>
    <x v="7"/>
    <s v="Marzo"/>
    <n v="0.98992020159596805"/>
    <n v="0.99221216585981897"/>
    <n v="0.99769004619907597"/>
    <m/>
    <m/>
    <n v="4762"/>
    <n v="11"/>
    <n v="4751"/>
    <n v="4714"/>
    <n v="37"/>
    <m/>
  </r>
  <r>
    <x v="7"/>
    <s v="Abril"/>
    <n v="0.97661344726782096"/>
    <n v="0.98592508513053345"/>
    <n v="0.99055543062738927"/>
    <m/>
    <m/>
    <n v="4447"/>
    <n v="42"/>
    <n v="4405"/>
    <n v="4343"/>
    <n v="62"/>
    <m/>
  </r>
  <r>
    <x v="7"/>
    <s v="Mayo"/>
    <n v="0.95133207468009229"/>
    <n v="0.97150814053127676"/>
    <n v="0.9792322215229704"/>
    <m/>
    <m/>
    <n v="4767"/>
    <n v="99"/>
    <n v="4668"/>
    <n v="4535"/>
    <n v="133"/>
    <m/>
  </r>
  <r>
    <x v="7"/>
    <s v="Junio"/>
    <n v="0.96716033483580166"/>
    <n v="0.99054737304902174"/>
    <n v="0.97638978321528225"/>
    <m/>
    <m/>
    <n v="4659"/>
    <n v="110"/>
    <n v="4549"/>
    <n v="4506"/>
    <n v="43"/>
    <m/>
  </r>
  <r>
    <x v="7"/>
    <s v="Julio"/>
    <n v="0.98101001669449084"/>
    <n v="0.98781256566505571"/>
    <n v="0.99311352253756258"/>
    <m/>
    <m/>
    <n v="4792"/>
    <n v="33"/>
    <n v="4759"/>
    <n v="4701"/>
    <n v="58"/>
    <m/>
  </r>
  <r>
    <x v="7"/>
    <s v="Agosto"/>
    <n v="0.98409419541417065"/>
    <n v="0.98838174273858925"/>
    <n v="0.99566205329477375"/>
    <m/>
    <m/>
    <n v="4841"/>
    <n v="21"/>
    <n v="4820"/>
    <n v="4764"/>
    <n v="56"/>
    <m/>
  </r>
  <r>
    <x v="7"/>
    <s v="Septiembre"/>
    <n v="0.97991023723017734"/>
    <n v="0.9909228441754917"/>
    <n v="0.98888651421243856"/>
    <m/>
    <m/>
    <n v="4679"/>
    <n v="52"/>
    <n v="4627"/>
    <n v="4585"/>
    <n v="42"/>
    <m/>
  </r>
  <r>
    <x v="7"/>
    <s v="Octubre"/>
    <n v="0.98557089084065241"/>
    <n v="0.99221052631578943"/>
    <n v="0.99330823923044753"/>
    <m/>
    <m/>
    <n v="4782"/>
    <n v="32"/>
    <n v="4750"/>
    <n v="4713"/>
    <n v="37"/>
    <m/>
  </r>
  <r>
    <x v="7"/>
    <s v="Noviembre"/>
    <n v="0.9634329963432996"/>
    <n v="0.99268617021276595"/>
    <n v="0.97053129705312968"/>
    <m/>
    <m/>
    <n v="4649"/>
    <n v="137"/>
    <n v="4512"/>
    <n v="4479"/>
    <n v="33"/>
    <m/>
  </r>
  <r>
    <x v="7"/>
    <s v="Diciembre"/>
    <n v="0.97026101839965773"/>
    <n v="0.98266522210184182"/>
    <n v="0.98737697903294819"/>
    <m/>
    <m/>
    <n v="4674"/>
    <n v="59"/>
    <n v="4615"/>
    <n v="4535"/>
    <n v="80"/>
    <m/>
  </r>
  <r>
    <x v="8"/>
    <s v="Enero"/>
    <n v="0.98657302210287134"/>
    <n v="0.99355107135427501"/>
    <n v="0.99297665771534804"/>
    <m/>
    <m/>
    <n v="4841"/>
    <n v="34"/>
    <n v="4807"/>
    <n v="4776"/>
    <n v="31"/>
    <m/>
  </r>
  <r>
    <x v="8"/>
    <s v="Febrero"/>
    <n v="0.98745437956204385"/>
    <n v="0.99357355978884554"/>
    <n v="0.99384124087591241"/>
    <m/>
    <m/>
    <n v="4384"/>
    <n v="27"/>
    <n v="4357"/>
    <n v="4329"/>
    <n v="28"/>
    <m/>
  </r>
  <r>
    <x v="8"/>
    <s v="Marzo"/>
    <n v="0.98185941043083902"/>
    <n v="0.98920041536863967"/>
    <n v="0.99257884972170685"/>
    <m/>
    <m/>
    <n v="4851"/>
    <n v="36"/>
    <n v="4815"/>
    <n v="4763"/>
    <n v="52"/>
    <m/>
  </r>
  <r>
    <x v="8"/>
    <s v="Abril"/>
    <n v="0.98571742474181501"/>
    <n v="0.99006841756786579"/>
    <n v="0.99560536145902001"/>
    <m/>
    <m/>
    <n v="4551"/>
    <n v="20"/>
    <n v="4531"/>
    <n v="4486"/>
    <n v="45"/>
    <m/>
  </r>
  <r>
    <x v="8"/>
    <s v="Mayo"/>
    <n v="0.97156001672940195"/>
    <n v="0.98767006802721091"/>
    <n v="0.98368883312421584"/>
    <m/>
    <m/>
    <n v="4782"/>
    <n v="78"/>
    <n v="4704"/>
    <n v="4646"/>
    <n v="58"/>
    <m/>
  </r>
  <r>
    <x v="8"/>
    <s v="Junio"/>
    <n v="0.98701298701298701"/>
    <n v="0.99368054042275"/>
    <n v="0.99329004329004333"/>
    <m/>
    <m/>
    <n v="4620"/>
    <n v="31"/>
    <n v="4589"/>
    <n v="4560"/>
    <n v="29"/>
    <m/>
  </r>
  <r>
    <x v="8"/>
    <s v="Julio"/>
    <n v="0.97044439719328091"/>
    <n v="0.99002169197396961"/>
    <n v="0.98022538805018078"/>
    <m/>
    <m/>
    <n v="4703"/>
    <n v="93"/>
    <n v="4610"/>
    <n v="4564"/>
    <n v="46"/>
    <m/>
  </r>
  <r>
    <x v="8"/>
    <s v="Agosto"/>
    <n v="0.9797562487089444"/>
    <n v="0.99101546176347677"/>
    <n v="0.98863871101012191"/>
    <m/>
    <m/>
    <n v="4841"/>
    <n v="55"/>
    <n v="4786"/>
    <n v="4743"/>
    <n v="43"/>
    <m/>
  </r>
  <r>
    <x v="8"/>
    <s v="Septiembre"/>
    <n v="0.98008658008658012"/>
    <n v="0.98886219698624156"/>
    <n v="0.99112554112554108"/>
    <m/>
    <m/>
    <n v="4620"/>
    <n v="41"/>
    <n v="4579"/>
    <n v="4528"/>
    <n v="51"/>
    <m/>
  </r>
  <r>
    <x v="8"/>
    <s v="Octubre"/>
    <n v="0.98636645321214622"/>
    <n v="0.99354972950478571"/>
    <n v="0.99277008882462303"/>
    <m/>
    <m/>
    <n v="4841"/>
    <n v="35"/>
    <n v="4806"/>
    <n v="4775"/>
    <n v="31"/>
    <m/>
  </r>
  <r>
    <x v="8"/>
    <s v="Noviembre"/>
    <n v="0.98643493005510807"/>
    <n v="0.99232409381663111"/>
    <n v="0.99406528189910981"/>
    <m/>
    <m/>
    <n v="4718"/>
    <n v="28"/>
    <n v="4690"/>
    <n v="4654"/>
    <n v="36"/>
    <m/>
  </r>
  <r>
    <x v="8"/>
    <s v="Diciembre"/>
    <n v="0.91093379340090574"/>
    <n v="0.98992266229200843"/>
    <n v="0.92020703040759111"/>
    <m/>
    <m/>
    <n v="4637"/>
    <n v="370"/>
    <n v="4267"/>
    <n v="4224"/>
    <n v="43"/>
    <m/>
  </r>
  <r>
    <x v="9"/>
    <s v="Enero"/>
    <n v="0.83179406563175473"/>
    <n v="0.99389528058229626"/>
    <n v="0.8369031243859304"/>
    <m/>
    <m/>
    <n v="5089"/>
    <n v="830"/>
    <n v="4259"/>
    <n v="4233"/>
    <n v="26"/>
    <m/>
  </r>
  <r>
    <x v="9"/>
    <s v="Febrero"/>
    <n v="0.72368421052631582"/>
    <n v="0.98880047155909223"/>
    <n v="0.73188093183779124"/>
    <m/>
    <m/>
    <n v="4636"/>
    <n v="1243"/>
    <n v="3393"/>
    <n v="3355"/>
    <n v="38"/>
    <m/>
  </r>
  <r>
    <x v="9"/>
    <s v="Marzo"/>
    <n v="0.72859450726979003"/>
    <n v="0.98176870748299316"/>
    <n v="0.74212439418416798"/>
    <m/>
    <m/>
    <n v="4952"/>
    <n v="1277"/>
    <n v="3675"/>
    <n v="3608"/>
    <n v="67"/>
    <m/>
  </r>
  <r>
    <x v="9"/>
    <s v="Abril"/>
    <n v="0.68722109533468556"/>
    <n v="0.97608758282915586"/>
    <n v="0.70405679513184583"/>
    <m/>
    <m/>
    <n v="4930"/>
    <n v="1459"/>
    <n v="3471"/>
    <n v="3388"/>
    <n v="83"/>
    <m/>
  </r>
  <r>
    <x v="9"/>
    <s v="Mayo"/>
    <n v="0.71378022410064867"/>
    <n v="0.9734584450402145"/>
    <n v="0.73324159622567331"/>
    <m/>
    <m/>
    <n v="5087"/>
    <n v="1357"/>
    <n v="3730"/>
    <n v="3631"/>
    <n v="99"/>
    <m/>
  </r>
  <r>
    <x v="9"/>
    <s v="Junio"/>
    <n v="0.73312564901349953"/>
    <n v="0.98962713765068688"/>
    <n v="0.74080996884735206"/>
    <m/>
    <m/>
    <n v="4815"/>
    <n v="1248"/>
    <n v="3567"/>
    <n v="3530"/>
    <n v="37"/>
    <m/>
  </r>
  <r>
    <x v="9"/>
    <s v="Julio"/>
    <n v="0.72476525821596249"/>
    <n v="0.98484848484848486"/>
    <n v="0.7359154929577465"/>
    <m/>
    <m/>
    <n v="5112"/>
    <n v="1350"/>
    <n v="3762"/>
    <n v="3705"/>
    <n v="57"/>
    <m/>
  </r>
  <r>
    <x v="9"/>
    <s v="Agosto"/>
    <n v="0.72705743043220838"/>
    <n v="0.98450026723677175"/>
    <n v="0.73850404578646145"/>
    <m/>
    <m/>
    <n v="5067"/>
    <n v="1325"/>
    <n v="3742"/>
    <n v="3684"/>
    <n v="58"/>
    <m/>
  </r>
  <r>
    <x v="9"/>
    <s v="Septiembre"/>
    <n v="0.84694793536804314"/>
    <n v="0.98847564169722368"/>
    <n v="0.85682226211849188"/>
    <m/>
    <m/>
    <n v="4456"/>
    <n v="638"/>
    <n v="3818"/>
    <n v="3774"/>
    <n v="44"/>
    <m/>
  </r>
  <r>
    <x v="9"/>
    <s v="Octubre"/>
    <n v="0.97950325536532434"/>
    <n v="0.98401162790697672"/>
    <n v="0.99541837472871952"/>
    <m/>
    <m/>
    <n v="4147"/>
    <n v="19"/>
    <n v="4128"/>
    <n v="4062"/>
    <n v="66"/>
    <m/>
  </r>
  <r>
    <x v="9"/>
    <s v="Noviembre"/>
    <n v="0.96443670728674458"/>
    <n v="0.97022767075306482"/>
    <n v="0.99403133548868439"/>
    <m/>
    <m/>
    <n v="4021"/>
    <n v="24"/>
    <n v="3997"/>
    <n v="3878"/>
    <n v="119"/>
    <m/>
  </r>
  <r>
    <x v="9"/>
    <s v="Diciembre"/>
    <n v="0.960693359375"/>
    <n v="0.97376886909180893"/>
    <n v="0.986572265625"/>
    <m/>
    <m/>
    <n v="4096"/>
    <n v="55"/>
    <n v="4041"/>
    <n v="3935"/>
    <n v="106"/>
    <m/>
  </r>
  <r>
    <x v="10"/>
    <s v="Enero"/>
    <n v="0.96672293224017358"/>
    <n v="0.97164323800290842"/>
    <n v="0.99493609838437425"/>
    <m/>
    <m/>
    <n v="4147"/>
    <n v="21"/>
    <n v="4126"/>
    <n v="4009"/>
    <n v="117"/>
    <m/>
  </r>
  <r>
    <x v="10"/>
    <s v="Febrero"/>
    <n v="0.96382978723404256"/>
    <n v="0.97367006985491666"/>
    <n v="0.98989361702127665"/>
    <m/>
    <m/>
    <n v="3760"/>
    <n v="38"/>
    <n v="3722"/>
    <n v="3624"/>
    <n v="98"/>
    <m/>
  </r>
  <r>
    <x v="10"/>
    <s v="Marzo"/>
    <n v="0.92988929889298888"/>
    <n v="0.96873398257303944"/>
    <n v="0.95990159901599015"/>
    <m/>
    <m/>
    <n v="4065"/>
    <n v="163"/>
    <n v="3902"/>
    <n v="3780"/>
    <n v="122"/>
    <m/>
  </r>
  <r>
    <x v="10"/>
    <s v="Abril"/>
    <n v="0.96450887278180453"/>
    <n v="0.96838143036386448"/>
    <n v="0.99600099975006251"/>
    <m/>
    <m/>
    <n v="4001"/>
    <n v="16"/>
    <n v="3985"/>
    <n v="3859"/>
    <n v="126"/>
    <m/>
  </r>
  <r>
    <x v="10"/>
    <s v="Mayo"/>
    <n v="0.95553935860058314"/>
    <n v="0.95880058508044852"/>
    <n v="0.99659863945578231"/>
    <m/>
    <m/>
    <n v="4116"/>
    <n v="14"/>
    <n v="4102"/>
    <n v="3933"/>
    <n v="169"/>
    <m/>
  </r>
  <r>
    <x v="10"/>
    <s v="Junio"/>
    <n v="0.96683544303797464"/>
    <n v="0.97027439024390238"/>
    <n v="0.9964556962025316"/>
    <m/>
    <m/>
    <n v="3950"/>
    <n v="14"/>
    <n v="3936"/>
    <n v="3819"/>
    <n v="117"/>
    <m/>
  </r>
  <r>
    <x v="10"/>
    <s v="Julio"/>
    <n v="0.94670846394984332"/>
    <n v="0.95314396698227721"/>
    <n v="0.99324813117916566"/>
    <m/>
    <m/>
    <n v="4147"/>
    <n v="28"/>
    <n v="4119"/>
    <n v="3926"/>
    <n v="193"/>
    <m/>
  </r>
  <r>
    <x v="10"/>
    <s v="Agosto"/>
    <n v="0.9456334563345633"/>
    <n v="0.95836449763151332"/>
    <n v="0.98671586715867154"/>
    <m/>
    <m/>
    <n v="4065"/>
    <n v="54"/>
    <n v="4011"/>
    <n v="3844"/>
    <n v="167"/>
    <m/>
  </r>
  <r>
    <x v="10"/>
    <s v="Septiembre"/>
    <n v="0.96079812206572768"/>
    <n v="0.96784109718609601"/>
    <n v="0.99272300469483565"/>
    <m/>
    <m/>
    <n v="4260"/>
    <n v="31"/>
    <n v="4229"/>
    <n v="4093"/>
    <n v="136"/>
    <m/>
  </r>
  <r>
    <x v="10"/>
    <s v="Octubre"/>
    <n v="0.96537365768134997"/>
    <n v="0.97305058537662914"/>
    <n v="0.99211045364891515"/>
    <m/>
    <m/>
    <n v="4563"/>
    <n v="36"/>
    <n v="4527"/>
    <n v="4405"/>
    <n v="122"/>
    <m/>
  </r>
  <r>
    <x v="10"/>
    <s v="Noviembre"/>
    <n v="0.95881006864988561"/>
    <n v="0.9730608453320948"/>
    <n v="0.98535469107551488"/>
    <m/>
    <m/>
    <n v="4370"/>
    <n v="64"/>
    <n v="4306"/>
    <n v="4190"/>
    <n v="116"/>
    <m/>
  </r>
  <r>
    <x v="10"/>
    <s v="Diciembre"/>
    <n v="0.96611721611721613"/>
    <n v="0.97639981490050898"/>
    <n v="0.98946886446886451"/>
    <m/>
    <m/>
    <n v="4368"/>
    <n v="46"/>
    <n v="4322"/>
    <n v="4220"/>
    <n v="102"/>
    <m/>
  </r>
  <r>
    <x v="11"/>
    <s v="Enero"/>
    <n v="0.97910592808551988"/>
    <n v="0.98196881091617938"/>
    <n v="0.99708454810495628"/>
    <m/>
    <m/>
    <n v="4116"/>
    <n v="12"/>
    <n v="4104"/>
    <n v="4030"/>
    <n v="74"/>
    <m/>
  </r>
  <r>
    <x v="11"/>
    <s v="Febrero"/>
    <n v="0.95797665369649809"/>
    <n v="0.97312252964426882"/>
    <n v="0.98443579766536971"/>
    <m/>
    <m/>
    <n v="3855"/>
    <n v="60"/>
    <n v="3795"/>
    <n v="3693"/>
    <n v="102"/>
    <m/>
  </r>
  <r>
    <x v="11"/>
    <s v="Marzo"/>
    <n v="0.93434125269978396"/>
    <n v="0.94392319441413919"/>
    <n v="0.98984881209503239"/>
    <m/>
    <m/>
    <n v="4630"/>
    <n v="47"/>
    <n v="4583"/>
    <n v="4326"/>
    <n v="257"/>
    <m/>
  </r>
  <r>
    <x v="11"/>
    <s v="Abril"/>
    <n v="0.94323950161513614"/>
    <n v="0.9502556950255695"/>
    <n v="0.99261652053530225"/>
    <m/>
    <m/>
    <n v="4334"/>
    <n v="32"/>
    <n v="4302"/>
    <n v="4088"/>
    <n v="214"/>
    <m/>
  </r>
  <r>
    <x v="11"/>
    <s v="Mayo"/>
    <n v="0.92052382027545721"/>
    <n v="0.94005072630850817"/>
    <n v="0.97922781666290359"/>
    <m/>
    <m/>
    <n v="4429"/>
    <n v="92"/>
    <n v="4337"/>
    <n v="4077"/>
    <n v="260"/>
    <m/>
  </r>
  <r>
    <x v="11"/>
    <s v="Junio"/>
    <n v="0.92092706203135655"/>
    <n v="0.93537964458804523"/>
    <n v="0.98454896614405818"/>
    <m/>
    <m/>
    <n v="4401"/>
    <n v="68"/>
    <n v="4333"/>
    <n v="4053"/>
    <n v="280"/>
    <m/>
  </r>
  <r>
    <x v="11"/>
    <s v="Julio"/>
    <n v="0.94593998234774934"/>
    <n v="0.95330220146764511"/>
    <n v="0.99227714033539272"/>
    <m/>
    <m/>
    <n v="4532"/>
    <n v="35"/>
    <n v="4497"/>
    <n v="4287"/>
    <n v="210"/>
    <m/>
  </r>
  <r>
    <x v="11"/>
    <s v="Agosto"/>
    <n v="0.94172597864768681"/>
    <n v="0.94530029024335793"/>
    <n v="0.99621886120996439"/>
    <m/>
    <m/>
    <n v="4496"/>
    <n v="17"/>
    <n v="4479"/>
    <n v="4234"/>
    <n v="245"/>
    <m/>
  </r>
  <r>
    <x v="11"/>
    <s v="Septiembre"/>
    <n v="0.94046553267681288"/>
    <n v="0.94767704104645922"/>
    <n v="0.99239033124440468"/>
    <m/>
    <m/>
    <n v="4468"/>
    <n v="34"/>
    <n v="4434"/>
    <n v="4202"/>
    <n v="232"/>
    <m/>
  </r>
  <r>
    <x v="11"/>
    <s v="Octubre"/>
    <n v="0.93594624860022402"/>
    <n v="0.94568906992532242"/>
    <n v="0.98969764837625984"/>
    <m/>
    <m/>
    <n v="4465"/>
    <n v="46"/>
    <n v="4419"/>
    <n v="4179"/>
    <n v="240"/>
    <m/>
  </r>
  <r>
    <x v="11"/>
    <s v="Noviembre"/>
    <n v="0.94717994628469115"/>
    <n v="0.95508914466260442"/>
    <n v="0.99171888988361678"/>
    <m/>
    <m/>
    <n v="4468"/>
    <n v="37"/>
    <n v="4431"/>
    <n v="4232"/>
    <n v="199"/>
    <m/>
  </r>
  <r>
    <x v="11"/>
    <s v="Diciembre"/>
    <n v="0.94367130550033129"/>
    <n v="0.95314591700133866"/>
    <n v="0.99005964214711728"/>
    <m/>
    <m/>
    <n v="4527"/>
    <n v="45"/>
    <n v="4482"/>
    <n v="4272"/>
    <n v="210"/>
    <m/>
  </r>
  <r>
    <x v="12"/>
    <s v="Enero"/>
    <n v="0.92593416370106763"/>
    <n v="0.9495894160583942"/>
    <n v="0.97508896797153022"/>
    <m/>
    <m/>
    <n v="4496"/>
    <n v="112"/>
    <n v="4384"/>
    <n v="4163"/>
    <n v="333"/>
    <m/>
  </r>
  <r>
    <x v="12"/>
    <s v="Febrero"/>
    <n v="0.95970077220077221"/>
    <n v="0.96342054263565891"/>
    <n v="0.99613899613899615"/>
    <m/>
    <m/>
    <n v="4144"/>
    <n v="16"/>
    <n v="4128"/>
    <n v="3977"/>
    <n v="167"/>
    <m/>
  </r>
  <r>
    <x v="12"/>
    <s v="Marzo"/>
    <n v="0.95244356782818318"/>
    <n v="0.9576906126046717"/>
    <n v="0.99452114836730221"/>
    <m/>
    <m/>
    <n v="4563"/>
    <n v="25"/>
    <n v="4538"/>
    <n v="4346"/>
    <n v="217"/>
    <m/>
  </r>
  <r>
    <x v="12"/>
    <s v="Abril"/>
    <n v="0.92638036809815949"/>
    <n v="0.93831990794016107"/>
    <n v="0.98727561917745965"/>
    <m/>
    <m/>
    <n v="4401"/>
    <n v="56"/>
    <n v="4345"/>
    <n v="4077"/>
    <n v="324"/>
    <m/>
  </r>
  <r>
    <x v="12"/>
    <s v="Mayo"/>
    <n v="0.90591637010676151"/>
    <n v="0.91858367162832655"/>
    <n v="0.98620996441281139"/>
    <m/>
    <m/>
    <n v="4496"/>
    <n v="62"/>
    <n v="4434"/>
    <n v="4073"/>
    <n v="423"/>
    <m/>
  </r>
  <r>
    <x v="12"/>
    <s v="Junio"/>
    <n v="0.89138832083617359"/>
    <n v="0.94895984518626031"/>
    <n v="0.93933197000681667"/>
    <m/>
    <m/>
    <n v="4401"/>
    <n v="267"/>
    <n v="4134"/>
    <n v="3923"/>
    <n v="478"/>
    <m/>
  </r>
  <r>
    <x v="12"/>
    <s v="Julio"/>
    <n v="0.92949288256227758"/>
    <n v="0.94291516245487361"/>
    <n v="0.98576512455516019"/>
    <m/>
    <m/>
    <n v="4496"/>
    <n v="64"/>
    <n v="4432"/>
    <n v="4179"/>
    <n v="253"/>
    <m/>
  </r>
  <r>
    <x v="12"/>
    <s v="Agosto"/>
    <n v="0.90802348336594907"/>
    <n v="0.94202571621926456"/>
    <n v="0.96390519678190911"/>
    <m/>
    <m/>
    <n v="4599"/>
    <n v="166"/>
    <n v="4433"/>
    <n v="4176"/>
    <n v="257"/>
    <m/>
  </r>
  <r>
    <x v="12"/>
    <s v="Septiembre"/>
    <n v="0.93597063621533438"/>
    <n v="0.94541709577754895"/>
    <n v="0.9900081566068516"/>
    <m/>
    <m/>
    <n v="4904"/>
    <n v="49"/>
    <n v="4855"/>
    <n v="4590"/>
    <n v="265"/>
    <m/>
  </r>
  <r>
    <x v="12"/>
    <s v="Octubre"/>
    <n v="0.93846153846153846"/>
    <n v="0.94427244582043346"/>
    <n v="0.99384615384615382"/>
    <m/>
    <m/>
    <n v="4875"/>
    <n v="30"/>
    <n v="4845"/>
    <n v="4575"/>
    <n v="270"/>
    <m/>
  </r>
  <r>
    <x v="12"/>
    <s v="Noviembre"/>
    <n v="0.93372756933115819"/>
    <n v="0.94140625"/>
    <n v="0.99184339314845027"/>
    <m/>
    <m/>
    <n v="4904"/>
    <n v="40"/>
    <n v="4864"/>
    <n v="4579"/>
    <n v="285"/>
    <m/>
  </r>
  <r>
    <x v="12"/>
    <s v="Diciembre"/>
    <n v="0.92177419354838708"/>
    <n v="0.94462809917355373"/>
    <n v="0.97580645161290325"/>
    <m/>
    <m/>
    <n v="4960"/>
    <n v="120"/>
    <n v="4840"/>
    <n v="4572"/>
    <n v="268"/>
    <m/>
  </r>
  <r>
    <x v="13"/>
    <s v="Enero"/>
    <n v="0.95239047809561916"/>
    <n v="0.96181818181818179"/>
    <n v="0.99019803960792163"/>
    <m/>
    <m/>
    <n v="4999"/>
    <n v="49"/>
    <n v="4950"/>
    <n v="4761"/>
    <n v="189"/>
    <m/>
  </r>
  <r>
    <x v="13"/>
    <s v="Febrero"/>
    <n v="0.95202464788732399"/>
    <n v="0.96154701044676594"/>
    <n v="0.9900968309859155"/>
    <m/>
    <m/>
    <n v="4544"/>
    <n v="45"/>
    <n v="4499"/>
    <n v="4326"/>
    <n v="173"/>
    <m/>
  </r>
  <r>
    <x v="13"/>
    <s v="Marzo"/>
    <n v="0.92958591718343664"/>
    <n v="0.94106925880923453"/>
    <n v="0.9877975595119024"/>
    <m/>
    <m/>
    <n v="4999"/>
    <n v="61"/>
    <n v="4938"/>
    <n v="4647"/>
    <n v="291"/>
    <m/>
  </r>
  <r>
    <x v="13"/>
    <s v="Abril"/>
    <n v="0.9056443024494143"/>
    <n v="0.91657684845871956"/>
    <n v="0.98807241746538876"/>
    <m/>
    <m/>
    <n v="4695"/>
    <n v="56"/>
    <n v="4639"/>
    <n v="4252"/>
    <n v="387"/>
    <m/>
  </r>
  <r>
    <x v="13"/>
    <s v="Mayo"/>
    <n v="0.91107041107041109"/>
    <n v="0.92366412213740456"/>
    <n v="0.98636548636548638"/>
    <m/>
    <m/>
    <n v="4914"/>
    <n v="67"/>
    <n v="4847"/>
    <n v="4477"/>
    <n v="370"/>
    <m/>
  </r>
  <r>
    <x v="13"/>
    <s v="Junio"/>
    <n v="0.93753890848723798"/>
    <n v="0.94657448145820244"/>
    <n v="0.99045445113093999"/>
    <m/>
    <m/>
    <n v="4819"/>
    <n v="46"/>
    <n v="4773"/>
    <n v="4518"/>
    <n v="255"/>
    <m/>
  </r>
  <r>
    <x v="13"/>
    <s v="Julio"/>
    <n v="0.94254032258064513"/>
    <n v="0.9494313566206336"/>
    <n v="0.99274193548387102"/>
    <m/>
    <m/>
    <n v="4960"/>
    <n v="36"/>
    <n v="4924"/>
    <n v="4675"/>
    <n v="249"/>
    <m/>
  </r>
  <r>
    <x v="13"/>
    <s v="Agosto"/>
    <n v="0.93858771754350867"/>
    <n v="0.95307739183424744"/>
    <n v="0.98479695939187839"/>
    <m/>
    <m/>
    <n v="4999"/>
    <n v="76"/>
    <n v="4923"/>
    <n v="4692"/>
    <n v="231"/>
    <m/>
  </r>
  <r>
    <x v="13"/>
    <s v="Septiembre"/>
    <n v="0.91880781089414187"/>
    <n v="0.94105263157894736"/>
    <n v="0.97636176772867422"/>
    <m/>
    <m/>
    <n v="4865"/>
    <n v="115"/>
    <n v="4750"/>
    <n v="4470"/>
    <n v="280"/>
    <m/>
  </r>
  <r>
    <x v="13"/>
    <s v="Octubre"/>
    <n v="0.88949938949938945"/>
    <n v="0.91520100502512558"/>
    <n v="0.97191697191697191"/>
    <m/>
    <m/>
    <n v="4914"/>
    <n v="138"/>
    <n v="4776"/>
    <n v="4371"/>
    <n v="405"/>
    <m/>
  </r>
  <r>
    <x v="13"/>
    <s v="Noviembre"/>
    <n v="0.90334420880913535"/>
    <n v="0.92061512884455532"/>
    <n v="0.98123980424143553"/>
    <m/>
    <m/>
    <n v="4904"/>
    <n v="92"/>
    <n v="4812"/>
    <n v="4430"/>
    <n v="382"/>
    <m/>
  </r>
  <r>
    <x v="13"/>
    <s v="Diciembre"/>
    <n v="0.88267223382045934"/>
    <n v="0.92113289760348582"/>
    <n v="0.95824634655532359"/>
    <m/>
    <m/>
    <n v="4790"/>
    <n v="200"/>
    <n v="4590"/>
    <n v="4228"/>
    <n v="362"/>
    <m/>
  </r>
  <r>
    <x v="14"/>
    <s v="Enero"/>
    <n v="0.9079815963192639"/>
    <n v="0.9308859721082855"/>
    <n v="0.97539507901580313"/>
    <m/>
    <m/>
    <n v="4999"/>
    <n v="123"/>
    <n v="4876"/>
    <n v="4539"/>
    <n v="337"/>
    <m/>
  </r>
  <r>
    <x v="14"/>
    <s v="Febrero"/>
    <n v="0.91153169014084512"/>
    <n v="0.9212633451957295"/>
    <n v="0.98943661971830987"/>
    <m/>
    <m/>
    <n v="4544"/>
    <n v="48"/>
    <n v="4496"/>
    <n v="4142"/>
    <n v="354"/>
    <m/>
  </r>
  <r>
    <x v="14"/>
    <s v="Marzo"/>
    <n v="0.87817563512702546"/>
    <n v="0.89848546868604173"/>
    <n v="0.97739547909581914"/>
    <m/>
    <m/>
    <n v="4999"/>
    <n v="113"/>
    <n v="4886"/>
    <n v="4390"/>
    <n v="496"/>
    <m/>
  </r>
  <r>
    <x v="14"/>
    <s v="Abril"/>
    <n v="0.87782318778231883"/>
    <n v="0.90890868596881957"/>
    <n v="0.9657990965799097"/>
    <m/>
    <m/>
    <n v="4649"/>
    <n v="159"/>
    <n v="4490"/>
    <n v="4081"/>
    <n v="409"/>
    <m/>
  </r>
  <r>
    <x v="14"/>
    <s v="Mayo"/>
    <n v="0.87321937321937326"/>
    <n v="0.91473033468343634"/>
    <n v="0.95461945461945463"/>
    <m/>
    <m/>
    <n v="4914"/>
    <n v="223"/>
    <n v="4691"/>
    <n v="4291"/>
    <n v="400"/>
    <m/>
  </r>
  <r>
    <x v="14"/>
    <s v="Junio"/>
    <n v="0.90271966527196656"/>
    <n v="0.93015736150032335"/>
    <n v="0.97050209205020921"/>
    <m/>
    <m/>
    <n v="4780"/>
    <n v="141"/>
    <n v="4639"/>
    <n v="4315"/>
    <n v="324"/>
    <m/>
  </r>
  <r>
    <x v="14"/>
    <s v="Julio"/>
    <n v="0.92592592592592593"/>
    <n v="0.94261446032732543"/>
    <n v="0.98229548229548225"/>
    <m/>
    <m/>
    <n v="4914"/>
    <n v="87"/>
    <n v="4827"/>
    <n v="4550"/>
    <n v="277"/>
    <m/>
  </r>
  <r>
    <x v="14"/>
    <s v="Agosto"/>
    <n v="0.93978795759151834"/>
    <n v="0.95507216914006909"/>
    <n v="0.98399679935987194"/>
    <m/>
    <m/>
    <n v="4999"/>
    <n v="80"/>
    <n v="4919"/>
    <n v="4698"/>
    <n v="221"/>
    <m/>
  </r>
  <r>
    <x v="14"/>
    <s v="Septiembre"/>
    <n v="0.92573221757322177"/>
    <n v="0.93789741415854178"/>
    <n v="0.98702928870292883"/>
    <m/>
    <m/>
    <n v="4780"/>
    <n v="62"/>
    <n v="4718"/>
    <n v="4425"/>
    <n v="293"/>
    <m/>
  </r>
  <r>
    <x v="14"/>
    <s v="Octubre"/>
    <n v="0.90278055611122221"/>
    <n v="0.93186041709684075"/>
    <n v="0.96879375875175033"/>
    <m/>
    <m/>
    <n v="4999"/>
    <n v="156"/>
    <n v="4843"/>
    <n v="4513"/>
    <n v="330"/>
    <m/>
  </r>
  <r>
    <x v="14"/>
    <s v="Noviembre"/>
    <n v="0.90130505709624797"/>
    <n v="0.92217817650740663"/>
    <n v="0.97736541598694948"/>
    <m/>
    <m/>
    <n v="4904"/>
    <n v="111"/>
    <n v="4793"/>
    <n v="4420"/>
    <n v="373"/>
    <m/>
  </r>
  <r>
    <x v="14"/>
    <s v="Diciembre"/>
    <n v="0.92255125284738038"/>
    <n v="0.94666383340416493"/>
    <n v="0.97452888796852355"/>
    <m/>
    <m/>
    <n v="4829"/>
    <n v="123"/>
    <n v="4706"/>
    <n v="4455"/>
    <n v="251"/>
    <m/>
  </r>
  <r>
    <x v="15"/>
    <s v="Enero"/>
    <n v="0.95759151830366074"/>
    <n v="0.96902834008097161"/>
    <n v="0.98819763952790562"/>
    <m/>
    <m/>
    <n v="4999"/>
    <n v="59"/>
    <n v="4940"/>
    <n v="4787"/>
    <n v="153"/>
    <m/>
  </r>
  <r>
    <x v="15"/>
    <s v="Febrero"/>
    <n v="0.93839966130397967"/>
    <n v="0.96160520607375266"/>
    <n v="0.9758679085520745"/>
    <m/>
    <m/>
    <n v="4724"/>
    <n v="114"/>
    <n v="4610"/>
    <n v="4433"/>
    <n v="177"/>
    <m/>
  </r>
  <r>
    <x v="15"/>
    <s v="Marzo"/>
    <n v="0.87578288100208768"/>
    <n v="0.91533929740344755"/>
    <n v="0.95678496868475993"/>
    <m/>
    <m/>
    <n v="4790"/>
    <n v="207"/>
    <n v="4583"/>
    <n v="4195"/>
    <n v="388"/>
    <m/>
  </r>
  <r>
    <x v="15"/>
    <s v="Abril"/>
    <n v="0.90724216642456945"/>
    <n v="0.92372702302979082"/>
    <n v="0.98215397385349656"/>
    <m/>
    <m/>
    <n v="4819"/>
    <n v="86"/>
    <n v="4733"/>
    <n v="4372"/>
    <n v="361"/>
    <m/>
  </r>
  <r>
    <x v="15"/>
    <s v="Mayo"/>
    <n v="0.90544354838709673"/>
    <n v="0.92369395310571778"/>
    <n v="0.98024193548387095"/>
    <m/>
    <m/>
    <n v="4960"/>
    <n v="98"/>
    <n v="4862"/>
    <n v="4491"/>
    <n v="371"/>
    <m/>
  </r>
  <r>
    <x v="15"/>
    <s v="Junio"/>
    <n v="0.8983945923109421"/>
    <n v="0.91917008861033067"/>
    <n v="0.97739754964089565"/>
    <m/>
    <m/>
    <n v="4734"/>
    <n v="107"/>
    <n v="4627"/>
    <n v="4253"/>
    <n v="374"/>
    <m/>
  </r>
  <r>
    <x v="15"/>
    <s v="Julio"/>
    <n v="0.90058011602320465"/>
    <n v="0.92519523222359223"/>
    <n v="0.97339467893578713"/>
    <m/>
    <m/>
    <n v="4999"/>
    <n v="133"/>
    <n v="4866"/>
    <n v="4502"/>
    <n v="364"/>
    <m/>
  </r>
  <r>
    <x v="15"/>
    <s v="Agosto"/>
    <n v="0.904126213592233"/>
    <n v="0.93047460449625308"/>
    <n v="0.97168284789644011"/>
    <m/>
    <m/>
    <n v="4944"/>
    <n v="140"/>
    <n v="4804"/>
    <n v="4470"/>
    <n v="334"/>
    <m/>
  </r>
  <r>
    <x v="15"/>
    <s v="Septiembre"/>
    <n v="0.8731668648434403"/>
    <n v="0.90472279260780286"/>
    <n v="0.96512088783194605"/>
    <m/>
    <m/>
    <n v="5046"/>
    <n v="176"/>
    <n v="4870"/>
    <n v="4406"/>
    <n v="464"/>
    <m/>
  </r>
  <r>
    <x v="15"/>
    <s v="Octubre"/>
    <n v="0.8"/>
    <n v="0.83434588902389628"/>
    <n v="0.9588349514563107"/>
    <m/>
    <m/>
    <n v="5150"/>
    <n v="212"/>
    <n v="4938"/>
    <n v="4120"/>
    <n v="818"/>
    <m/>
  </r>
  <r>
    <x v="15"/>
    <s v="Noviembre"/>
    <n v="0.92222222222222228"/>
    <n v="0.93545081967213117"/>
    <n v="0.98585858585858588"/>
    <m/>
    <m/>
    <n v="4950"/>
    <n v="70"/>
    <n v="4880"/>
    <n v="4565"/>
    <n v="315"/>
    <m/>
  </r>
  <r>
    <x v="15"/>
    <s v="Diciembre"/>
    <n v="0.9317957815888035"/>
    <n v="0.94862532610876982"/>
    <n v="0.98225901833234774"/>
    <m/>
    <m/>
    <n v="5073"/>
    <n v="90"/>
    <n v="4983"/>
    <n v="4727"/>
    <n v="256"/>
    <m/>
  </r>
  <r>
    <x v="16"/>
    <s v="Enero"/>
    <n v="0.94406548431105053"/>
    <n v="0.96398009950248753"/>
    <n v="0.97934125901383751"/>
    <m/>
    <m/>
    <n v="5131"/>
    <n v="106"/>
    <n v="5025"/>
    <n v="4844"/>
    <n v="181"/>
    <m/>
  </r>
  <r>
    <x v="16"/>
    <s v="Febrero"/>
    <n v="0.9122544833475662"/>
    <n v="0.93113968184789719"/>
    <n v="0.97971818958155421"/>
    <m/>
    <m/>
    <n v="4684"/>
    <n v="95"/>
    <n v="4589"/>
    <n v="4273"/>
    <n v="316"/>
    <m/>
  </r>
  <r>
    <x v="16"/>
    <s v="Marzo"/>
    <n v="0.90104474669820622"/>
    <n v="0.93266680269332791"/>
    <n v="0.9660950128129312"/>
    <m/>
    <m/>
    <n v="5073"/>
    <n v="172"/>
    <n v="4901"/>
    <n v="4571"/>
    <n v="330"/>
    <m/>
  </r>
  <r>
    <x v="16"/>
    <s v="Abril"/>
    <n v="0.9174161896974653"/>
    <n v="0.94167016365925305"/>
    <n v="0.97424366312346689"/>
    <m/>
    <m/>
    <n v="4892"/>
    <n v="126"/>
    <n v="4766"/>
    <n v="4488"/>
    <n v="278"/>
    <m/>
  </r>
  <r>
    <x v="16"/>
    <s v="Mayo"/>
    <n v="0.93289129997990761"/>
    <n v="0.94793793385055125"/>
    <n v="0.98412698412698407"/>
    <m/>
    <m/>
    <n v="4977"/>
    <n v="79"/>
    <n v="4898"/>
    <n v="4643"/>
    <n v="255"/>
    <m/>
  </r>
  <r>
    <x v="16"/>
    <s v="Junio"/>
    <n v="0.83839806802173478"/>
    <n v="0.88751597784405623"/>
    <n v="0.94465687261018316"/>
    <m/>
    <m/>
    <n v="4969"/>
    <n v="275"/>
    <n v="4694"/>
    <n v="4166"/>
    <n v="528"/>
    <m/>
  </r>
  <r>
    <x v="16"/>
    <s v="Julio"/>
    <n v="0.88"/>
    <n v="0.90876278323641468"/>
    <n v="0.96834951456310681"/>
    <m/>
    <m/>
    <n v="5150"/>
    <n v="163"/>
    <n v="4987"/>
    <n v="4532"/>
    <n v="455"/>
    <m/>
  </r>
  <r>
    <x v="16"/>
    <s v="Agosto"/>
    <n v="0.87870993272655318"/>
    <n v="0.90521810028536487"/>
    <n v="0.97071626434507319"/>
    <m/>
    <m/>
    <n v="5054"/>
    <n v="148"/>
    <n v="4906"/>
    <n v="4441"/>
    <n v="465"/>
    <m/>
  </r>
  <r>
    <x v="16"/>
    <s v="Septiembre"/>
    <n v="0.89331241419886254"/>
    <n v="0.92845495311863024"/>
    <n v="0.96214944106687583"/>
    <m/>
    <m/>
    <n v="5099"/>
    <n v="193"/>
    <n v="4906"/>
    <n v="4555"/>
    <n v="351"/>
    <m/>
  </r>
  <r>
    <x v="16"/>
    <s v="Octubre"/>
    <n v="0.88423309296433439"/>
    <n v="0.91122715404699739"/>
    <n v="0.97037614500097447"/>
    <m/>
    <m/>
    <n v="5131"/>
    <n v="152"/>
    <n v="4979"/>
    <n v="4537"/>
    <n v="442"/>
    <m/>
  </r>
  <r>
    <x v="16"/>
    <s v="Noviembre"/>
    <n v="0.91648218957536731"/>
    <n v="0.93357933579335795"/>
    <n v="0.9816864560273697"/>
    <m/>
    <m/>
    <n v="4969"/>
    <n v="91"/>
    <n v="4878"/>
    <n v="4554"/>
    <n v="324"/>
    <m/>
  </r>
  <r>
    <x v="16"/>
    <s v="Diciembre"/>
    <n v="0.93416124581115711"/>
    <n v="0.95718036760250458"/>
    <n v="0.97595111373940469"/>
    <m/>
    <m/>
    <n v="5073"/>
    <n v="122"/>
    <n v="4951"/>
    <n v="4739"/>
    <n v="212"/>
    <m/>
  </r>
  <r>
    <x v="17"/>
    <s v="Enero"/>
    <n v="0.86901464186782751"/>
    <n v="0.92677780122388687"/>
    <n v="0.93767313019390586"/>
    <m/>
    <m/>
    <n v="5054"/>
    <n v="315"/>
    <n v="4739"/>
    <n v="4392"/>
    <n v="347"/>
    <m/>
  </r>
  <r>
    <x v="17"/>
    <s v="Febrero"/>
    <n v="0.84372331340734419"/>
    <n v="0.87939474855362709"/>
    <n v="0.95943637916310842"/>
    <m/>
    <m/>
    <n v="4684"/>
    <n v="190"/>
    <n v="4494"/>
    <n v="3952"/>
    <n v="542"/>
    <m/>
  </r>
  <r>
    <x v="17"/>
    <s v="Marzo"/>
    <n v="0.75747572815533981"/>
    <n v="0.81423502400333958"/>
    <n v="0.93029126213592228"/>
    <m/>
    <m/>
    <n v="5150"/>
    <n v="359"/>
    <n v="4791"/>
    <n v="3901"/>
    <n v="890"/>
    <m/>
  </r>
  <r>
    <x v="17"/>
    <s v="Abril"/>
    <n v="0.76776011269873212"/>
    <n v="0.81972496776966053"/>
    <n v="0.93660696317166436"/>
    <m/>
    <m/>
    <n v="4969"/>
    <n v="315"/>
    <n v="4654"/>
    <n v="3815"/>
    <n v="839"/>
    <m/>
  </r>
  <r>
    <x v="17"/>
    <s v="Mayo"/>
    <n v="0.80504167513722302"/>
    <n v="0.8405858628741244"/>
    <n v="0.95771498272006506"/>
    <m/>
    <m/>
    <n v="4919"/>
    <n v="208"/>
    <n v="4711"/>
    <n v="3960"/>
    <n v="751"/>
    <m/>
  </r>
  <r>
    <x v="17"/>
    <s v="Junio"/>
    <n v="0.83940430670154964"/>
    <n v="0.87570858702498422"/>
    <n v="0.95854296639162806"/>
    <m/>
    <m/>
    <n v="4969"/>
    <n v="206"/>
    <n v="4763"/>
    <n v="4171"/>
    <n v="592"/>
    <m/>
  </r>
  <r>
    <x v="17"/>
    <s v="Julio"/>
    <n v="0.83728943338437978"/>
    <n v="0.86613861386138613"/>
    <n v="0.96669218989280248"/>
    <m/>
    <m/>
    <n v="5224"/>
    <n v="174"/>
    <n v="5050"/>
    <n v="4374"/>
    <n v="676"/>
    <m/>
  </r>
  <r>
    <x v="17"/>
    <s v="Agosto"/>
    <n v="0.86102897693672387"/>
    <n v="0.88546523413744171"/>
    <n v="0.97240291740587426"/>
    <m/>
    <m/>
    <n v="5073"/>
    <n v="140"/>
    <n v="4933"/>
    <n v="4368"/>
    <n v="565"/>
    <m/>
  </r>
  <r>
    <x v="17"/>
    <s v="Septiembre"/>
    <n v="0.89694807768529528"/>
    <n v="0.91842532467532467"/>
    <n v="0.97661514070550937"/>
    <m/>
    <m/>
    <n v="5046"/>
    <n v="118"/>
    <n v="4928"/>
    <n v="4526"/>
    <n v="402"/>
    <m/>
  </r>
  <r>
    <x v="17"/>
    <s v="Octubre"/>
    <n v="0.8503114325899136"/>
    <n v="0.89263868382197853"/>
    <n v="0.95258187663250959"/>
    <m/>
    <m/>
    <n v="4977"/>
    <n v="236"/>
    <n v="4741"/>
    <n v="4232"/>
    <n v="509"/>
    <m/>
  </r>
  <r>
    <x v="17"/>
    <s v="Noviembre"/>
    <n v="0.87361642181525456"/>
    <n v="0.90324594257178525"/>
    <n v="0.96719661903803578"/>
    <m/>
    <m/>
    <n v="4969"/>
    <n v="163"/>
    <n v="4806"/>
    <n v="4341"/>
    <n v="465"/>
    <m/>
  </r>
  <r>
    <x v="17"/>
    <s v="Diciembre"/>
    <n v="0.90416339355852315"/>
    <n v="0.93387423935091274"/>
    <n v="0.96818538884524741"/>
    <m/>
    <m/>
    <n v="5092"/>
    <n v="162"/>
    <n v="4930"/>
    <n v="4604"/>
    <n v="326"/>
    <m/>
  </r>
  <r>
    <x v="18"/>
    <s v="Enero"/>
    <n v="0.87975556869702343"/>
    <n v="0.91774624717252729"/>
    <n v="0.95860437610881133"/>
    <m/>
    <m/>
    <n v="5073"/>
    <n v="210"/>
    <n v="4863"/>
    <n v="4463"/>
    <n v="400"/>
    <m/>
  </r>
  <r>
    <x v="18"/>
    <s v="Febrero"/>
    <n v="0.89325362937660124"/>
    <n v="0.93895870736086173"/>
    <n v="0.95132365499573013"/>
    <m/>
    <m/>
    <n v="4684"/>
    <n v="228"/>
    <n v="4456"/>
    <n v="4184"/>
    <n v="272"/>
    <m/>
  </r>
  <r>
    <x v="18"/>
    <s v="Marzo"/>
    <n v="0.86663956088635896"/>
    <n v="0.90088757396449703"/>
    <n v="0.96198414311851999"/>
    <m/>
    <m/>
    <n v="4919"/>
    <n v="187"/>
    <n v="4732"/>
    <n v="4263"/>
    <n v="469"/>
    <m/>
  </r>
  <r>
    <x v="18"/>
    <s v="Abril"/>
    <n v="0.7471381847914963"/>
    <n v="0.85297549591598598"/>
    <n v="0.87591986917416187"/>
    <m/>
    <m/>
    <n v="4892"/>
    <n v="607"/>
    <n v="4285"/>
    <n v="3655"/>
    <n v="630"/>
    <m/>
  </r>
  <r>
    <x v="18"/>
    <s v="Mayo"/>
    <n v="0.84565345949142523"/>
    <n v="0.90012589173310953"/>
    <n v="0.93948354031145276"/>
    <m/>
    <m/>
    <n v="5073"/>
    <n v="307"/>
    <n v="4766"/>
    <n v="4290"/>
    <n v="476"/>
    <m/>
  </r>
  <r>
    <x v="18"/>
    <s v="Junio"/>
    <n v="0.88589253370899579"/>
    <n v="0.92576235541535223"/>
    <n v="0.95693298450392428"/>
    <m/>
    <m/>
    <n v="4969"/>
    <n v="214"/>
    <n v="4755"/>
    <n v="4402"/>
    <n v="353"/>
    <m/>
  </r>
  <r>
    <x v="18"/>
    <s v="Julio"/>
    <n v="0.87443327419672778"/>
    <n v="0.91861669082625808"/>
    <n v="0.95190222747880937"/>
    <m/>
    <m/>
    <n v="5073"/>
    <n v="244"/>
    <n v="4829"/>
    <n v="4436"/>
    <n v="393"/>
    <m/>
  </r>
  <r>
    <x v="18"/>
    <s v="Agosto"/>
    <n v="0.85766990291262135"/>
    <n v="0.89831197884889158"/>
    <n v="0.95475728155339801"/>
    <m/>
    <m/>
    <n v="5150"/>
    <n v="233"/>
    <n v="4917"/>
    <n v="4417"/>
    <n v="500"/>
    <m/>
  </r>
  <r>
    <x v="18"/>
    <s v="Septiembre"/>
    <n v="0.86127625842251287"/>
    <n v="0.91514002947989048"/>
    <n v="0.94114149821640902"/>
    <m/>
    <m/>
    <n v="5046"/>
    <n v="297"/>
    <n v="4749"/>
    <n v="4346"/>
    <n v="403"/>
    <m/>
  </r>
  <r>
    <x v="18"/>
    <s v="Octubre"/>
    <n v="0.88603086664028496"/>
    <n v="0.92007396753647008"/>
    <n v="0.96299960427384246"/>
    <m/>
    <m/>
    <n v="5054"/>
    <n v="187"/>
    <n v="4867"/>
    <n v="4478"/>
    <n v="389"/>
    <m/>
  </r>
  <r>
    <x v="18"/>
    <s v="Noviembre"/>
    <n v="0.85711410746629102"/>
    <n v="0.89985210226072254"/>
    <n v="0.95250553431273899"/>
    <m/>
    <m/>
    <n v="4969"/>
    <n v="236"/>
    <n v="4733"/>
    <n v="4259"/>
    <n v="474"/>
    <m/>
  </r>
  <r>
    <x v="18"/>
    <s v="Diciembre"/>
    <n v="0.86644242184408393"/>
    <n v="0.90926079734219267"/>
    <n v="0.95290858725761773"/>
    <m/>
    <m/>
    <n v="5054"/>
    <n v="238"/>
    <n v="4816"/>
    <n v="4379"/>
    <n v="437"/>
    <m/>
  </r>
  <r>
    <x v="19"/>
    <s v="Enero"/>
    <n v="0.90543689320388354"/>
    <n v="0.94087974172719935"/>
    <n v="0.9623300970873786"/>
    <m/>
    <m/>
    <n v="5150"/>
    <n v="194"/>
    <n v="4956"/>
    <n v="4663"/>
    <n v="293"/>
    <m/>
  </r>
  <r>
    <x v="19"/>
    <s v="Febrero"/>
    <n v="0.91152352179542517"/>
    <n v="0.93368700265251992"/>
    <n v="0.97626240828657751"/>
    <m/>
    <m/>
    <n v="4634"/>
    <n v="110"/>
    <n v="4524"/>
    <n v="4224"/>
    <n v="300"/>
    <m/>
  </r>
  <r>
    <x v="19"/>
    <s v="Marzo"/>
    <n v="0.92349514563106794"/>
    <n v="0.94402540690750303"/>
    <n v="0.97825242718446603"/>
    <m/>
    <m/>
    <n v="5150"/>
    <n v="112"/>
    <n v="5038"/>
    <n v="4756"/>
    <n v="282"/>
    <m/>
  </r>
  <r>
    <x v="19"/>
    <s v="Abril"/>
    <n v="0.85183621781342334"/>
    <n v="0.89988851727982166"/>
    <n v="0.94660194174757284"/>
    <m/>
    <m/>
    <n v="4738"/>
    <n v="253"/>
    <n v="4485"/>
    <n v="4036"/>
    <n v="449"/>
    <m/>
  </r>
  <r>
    <x v="19"/>
    <s v="Mayo"/>
    <n v="0.85669229252907553"/>
    <n v="0.89167008617152232"/>
    <n v="0.96077271831263555"/>
    <m/>
    <m/>
    <n v="5073"/>
    <n v="199"/>
    <n v="4874"/>
    <n v="4346"/>
    <n v="528"/>
    <m/>
  </r>
  <r>
    <x v="19"/>
    <s v="Junio"/>
    <n v="0.87515151515151512"/>
    <n v="0.91238416175231674"/>
    <n v="0.95919191919191915"/>
    <m/>
    <m/>
    <n v="4950"/>
    <n v="202"/>
    <n v="4748"/>
    <n v="4332"/>
    <n v="416"/>
    <m/>
  </r>
  <r>
    <x v="19"/>
    <s v="Julio"/>
    <n v="0.85905775675142915"/>
    <n v="0.91535391724427639"/>
    <n v="0.93849793021880545"/>
    <m/>
    <m/>
    <n v="5073"/>
    <n v="312"/>
    <n v="4761"/>
    <n v="4358"/>
    <n v="403"/>
    <m/>
  </r>
  <r>
    <x v="19"/>
    <s v="Agosto"/>
    <n v="0.84815533980582525"/>
    <n v="0.89526542324246772"/>
    <n v="0.94737864077669898"/>
    <m/>
    <m/>
    <n v="5150"/>
    <n v="271"/>
    <n v="4879"/>
    <n v="4368"/>
    <n v="511"/>
    <m/>
  </r>
  <r>
    <x v="19"/>
    <s v="Septiembre"/>
    <n v="0.87502565154935363"/>
    <n v="0.91777873439517865"/>
    <n v="0.95341678637389693"/>
    <m/>
    <m/>
    <n v="4873"/>
    <n v="227"/>
    <n v="4646"/>
    <n v="4264"/>
    <n v="382"/>
    <m/>
  </r>
  <r>
    <x v="19"/>
    <s v="Octubre"/>
    <n v="0.8584466019417476"/>
    <n v="0.90557148709545265"/>
    <n v="0.94796116504854366"/>
    <m/>
    <m/>
    <n v="5150"/>
    <n v="268"/>
    <n v="4882"/>
    <n v="4421"/>
    <n v="461"/>
    <m/>
  </r>
  <r>
    <x v="19"/>
    <s v="Noviembre"/>
    <n v="0.8645602736969209"/>
    <n v="0.89912097111762246"/>
    <n v="0.96156168243107265"/>
    <m/>
    <m/>
    <n v="4969"/>
    <n v="191"/>
    <n v="4778"/>
    <n v="4296"/>
    <n v="482"/>
    <m/>
  </r>
  <r>
    <x v="19"/>
    <s v="Diciembre"/>
    <n v="0.79508030087416137"/>
    <n v="0.86622369878183836"/>
    <n v="0.91786948566781867"/>
    <m/>
    <m/>
    <n v="4919"/>
    <n v="404"/>
    <n v="4515"/>
    <n v="3911"/>
    <n v="604"/>
    <m/>
  </r>
  <r>
    <x v="20"/>
    <s v="Enero"/>
    <n v="0.90183323477232402"/>
    <n v="0.92761557177615572"/>
    <n v="0.97220579538734475"/>
    <m/>
    <m/>
    <n v="5073"/>
    <n v="141"/>
    <n v="4932"/>
    <n v="4575"/>
    <n v="357"/>
    <m/>
  </r>
  <r>
    <x v="20"/>
    <s v="Febrero"/>
    <n v="0.90074107343364029"/>
    <n v="0.92547300415320721"/>
    <n v="0.97327644284751857"/>
    <m/>
    <m/>
    <n v="4453"/>
    <n v="119"/>
    <n v="4334"/>
    <n v="4011"/>
    <n v="323"/>
    <m/>
  </r>
  <r>
    <x v="20"/>
    <s v="Marzo"/>
    <n v="0.92125049465769693"/>
    <n v="0.93269230769230771"/>
    <n v="0.98773248911753064"/>
    <m/>
    <m/>
    <n v="5054"/>
    <n v="62"/>
    <n v="4992"/>
    <n v="4656"/>
    <n v="336"/>
    <m/>
  </r>
  <r>
    <x v="20"/>
    <s v="Abril"/>
    <n v="0.88225674570727719"/>
    <n v="0.92618025751072963"/>
    <n v="0.9525756336876533"/>
    <m/>
    <m/>
    <n v="4892"/>
    <n v="232"/>
    <n v="4660"/>
    <n v="4316"/>
    <n v="344"/>
    <m/>
  </r>
  <r>
    <x v="20"/>
    <s v="Mayo"/>
    <n v="0.87117046347211313"/>
    <n v="0.90623084780388152"/>
    <n v="0.96131186174391203"/>
    <m/>
    <m/>
    <n v="5092"/>
    <n v="197"/>
    <n v="4895"/>
    <n v="4436"/>
    <n v="459"/>
    <m/>
  </r>
  <r>
    <x v="20"/>
    <s v="Junio"/>
    <n v="0.86780650542118432"/>
    <n v="0.89179344332547672"/>
    <n v="0.97310258548790662"/>
    <m/>
    <m/>
    <n v="4796"/>
    <n v="129"/>
    <n v="4667"/>
    <n v="4162"/>
    <n v="505"/>
    <m/>
  </r>
  <r>
    <x v="20"/>
    <s v="Julio"/>
    <n v="0.85262135922330096"/>
    <n v="0.88154988958040559"/>
    <n v="0.96718446601941743"/>
    <m/>
    <m/>
    <n v="5150"/>
    <n v="169"/>
    <n v="4981"/>
    <n v="4391"/>
    <n v="590"/>
    <m/>
  </r>
  <r>
    <x v="20"/>
    <s v="Agosto"/>
    <n v="0.81290196842720719"/>
    <n v="0.86571191365711919"/>
    <n v="0.93899824595595405"/>
    <m/>
    <m/>
    <n v="5131"/>
    <n v="313"/>
    <n v="4818"/>
    <n v="4171"/>
    <n v="647"/>
    <m/>
  </r>
  <r>
    <x v="20"/>
    <s v="Septiembre"/>
    <n v="0.82249949688066004"/>
    <n v="0.8642419116092197"/>
    <n v="0.9517005433688871"/>
    <m/>
    <m/>
    <n v="4969"/>
    <n v="240"/>
    <n v="4729"/>
    <n v="4087"/>
    <n v="642"/>
    <m/>
  </r>
  <r>
    <x v="20"/>
    <s v="Octubre"/>
    <n v="0.6285436893203884"/>
    <n v="0.70354270810693331"/>
    <n v="0.89339805825242713"/>
    <m/>
    <m/>
    <n v="5150"/>
    <n v="549"/>
    <n v="4601"/>
    <n v="3237"/>
    <n v="1364"/>
    <s v="Cancelación de trenes por robo de cables."/>
  </r>
  <r>
    <x v="20"/>
    <s v="Noviembre"/>
    <n v="0.57131313131313133"/>
    <n v="0.65691056910569101"/>
    <n v="0.86969696969696975"/>
    <m/>
    <m/>
    <n v="4950"/>
    <n v="645"/>
    <n v="4305"/>
    <n v="2828"/>
    <n v="1477"/>
    <s v="Cancelación de trenes por robo de cables."/>
  </r>
  <r>
    <x v="20"/>
    <s v="Diciembre"/>
    <n v="0.6288192391090085"/>
    <n v="0.71078431372549022"/>
    <n v="0.88468361916026017"/>
    <m/>
    <m/>
    <n v="5073"/>
    <n v="585"/>
    <n v="4488"/>
    <n v="3190"/>
    <n v="1298"/>
    <s v="Cancelación de trenes por robo de cables."/>
  </r>
  <r>
    <x v="21"/>
    <s v="Enero"/>
    <n v="0.80252427184466024"/>
    <n v="0.8605038517593171"/>
    <n v="0.93262135922330092"/>
    <m/>
    <m/>
    <n v="5150"/>
    <n v="347"/>
    <n v="4803"/>
    <n v="4133"/>
    <n v="670"/>
    <m/>
  </r>
  <r>
    <x v="21"/>
    <s v="Febrero"/>
    <n v="0.74338172502134925"/>
    <n v="0.80378578024007385"/>
    <n v="0.92485055508112723"/>
    <m/>
    <m/>
    <n v="4684"/>
    <n v="352"/>
    <n v="4332"/>
    <n v="3482"/>
    <n v="850"/>
    <m/>
  </r>
  <r>
    <x v="21"/>
    <s v="Marzo"/>
    <n v="0.78081632653061228"/>
    <n v="0.81892123287671237"/>
    <n v="0.95346938775510204"/>
    <m/>
    <m/>
    <n v="4900"/>
    <n v="228"/>
    <n v="4672"/>
    <n v="3826"/>
    <n v="846"/>
    <m/>
  </r>
  <r>
    <x v="21"/>
    <s v="Abril"/>
    <n v="0.53642520008208494"/>
    <n v="0.70801733477789819"/>
    <n v="0.75764416170736715"/>
    <m/>
    <m/>
    <n v="4873"/>
    <n v="1181"/>
    <n v="3692"/>
    <n v="2614"/>
    <n v="1078"/>
    <m/>
  </r>
  <r>
    <x v="21"/>
    <s v="Mayo"/>
    <n v="0.68698060941828254"/>
    <n v="0.75396308360477737"/>
    <n v="0.91115947764147209"/>
    <m/>
    <m/>
    <n v="5054"/>
    <n v="449"/>
    <n v="4605"/>
    <n v="3472"/>
    <n v="1133"/>
    <m/>
  </r>
  <r>
    <x v="21"/>
    <s v="Junio"/>
    <n v="0.68560915780866716"/>
    <n v="0.78676988036593953"/>
    <n v="0.8714227309893704"/>
    <m/>
    <m/>
    <n v="4892"/>
    <n v="629"/>
    <n v="4263"/>
    <n v="3354"/>
    <n v="909"/>
    <m/>
  </r>
  <r>
    <x v="21"/>
    <s v="Julio"/>
    <n v="0.6827184466019417"/>
    <n v="0.7901123595505618"/>
    <n v="0.86407766990291257"/>
    <m/>
    <m/>
    <n v="5150"/>
    <n v="700"/>
    <n v="4450"/>
    <n v="3516"/>
    <n v="934"/>
    <m/>
  </r>
  <r>
    <x v="21"/>
    <s v="Agosto"/>
    <n v="0.75069252077562332"/>
    <n v="0.84367356015121187"/>
    <n v="0.88979026513652548"/>
    <m/>
    <m/>
    <n v="5054"/>
    <n v="557"/>
    <n v="4497"/>
    <n v="3794"/>
    <n v="703"/>
    <m/>
  </r>
  <r>
    <x v="21"/>
    <s v="Septiembre"/>
    <n v="0.7782401902497027"/>
    <n v="0.8262150220913107"/>
    <n v="0.94193420531113758"/>
    <m/>
    <m/>
    <n v="5046"/>
    <n v="293"/>
    <n v="4753"/>
    <n v="3927"/>
    <n v="826"/>
    <m/>
  </r>
  <r>
    <x v="21"/>
    <s v="Octubre"/>
    <n v="0.74718446601941746"/>
    <n v="0.83074265975820383"/>
    <n v="0.89941747572815534"/>
    <m/>
    <m/>
    <n v="5150"/>
    <n v="518"/>
    <n v="4632"/>
    <n v="3848"/>
    <n v="784"/>
    <m/>
  </r>
  <r>
    <x v="21"/>
    <s v="Noviembre"/>
    <n v="0.76626308229017037"/>
    <n v="0.83273862622658346"/>
    <n v="0.92017237841165611"/>
    <m/>
    <m/>
    <n v="4873"/>
    <n v="389"/>
    <n v="4484"/>
    <n v="3734"/>
    <n v="750"/>
    <m/>
  </r>
  <r>
    <x v="21"/>
    <s v="Diciembre"/>
    <n v="0.75980784627702158"/>
    <n v="0.83593922043602731"/>
    <n v="0.90892714171337075"/>
    <m/>
    <m/>
    <n v="4996"/>
    <n v="455"/>
    <n v="4541"/>
    <n v="3796"/>
    <n v="745"/>
    <m/>
  </r>
  <r>
    <x v="22"/>
    <s v="Enero"/>
    <n v="0.74702786981095304"/>
    <n v="0.83836395450568679"/>
    <n v="0.89105437536542587"/>
    <m/>
    <m/>
    <n v="5131"/>
    <n v="559"/>
    <n v="4572"/>
    <n v="3833"/>
    <n v="739"/>
    <m/>
  </r>
  <r>
    <x v="22"/>
    <s v="Febrero"/>
    <n v="0.79271523178807946"/>
    <n v="0.86239193083573484"/>
    <n v="0.91920529801324502"/>
    <m/>
    <m/>
    <n v="4530"/>
    <n v="366"/>
    <n v="4164"/>
    <n v="3591"/>
    <n v="573"/>
    <m/>
  </r>
  <r>
    <x v="22"/>
    <s v="Marzo"/>
    <n v="0.64571657325860687"/>
    <n v="0.77529440038452291"/>
    <n v="0.8328662930344275"/>
    <m/>
    <m/>
    <n v="4996"/>
    <n v="835"/>
    <n v="4161"/>
    <n v="3226"/>
    <n v="935"/>
    <m/>
  </r>
  <r>
    <x v="22"/>
    <s v="Abril"/>
    <n v="0.74223221586263288"/>
    <n v="0.80260831122900089"/>
    <n v="0.92477514309076048"/>
    <m/>
    <m/>
    <n v="4892"/>
    <n v="368"/>
    <n v="4524"/>
    <n v="3631"/>
    <n v="893"/>
    <m/>
  </r>
  <r>
    <x v="22"/>
    <s v="Mayo"/>
    <n v="0.69097850110508341"/>
    <n v="0.78141331515564649"/>
    <n v="0.88426763110307416"/>
    <m/>
    <m/>
    <n v="4977"/>
    <n v="576"/>
    <n v="4401"/>
    <n v="3439"/>
    <n v="962"/>
    <m/>
  </r>
  <r>
    <x v="22"/>
    <s v="Junio"/>
    <n v="0.72193263833199683"/>
    <n v="0.81915377616014562"/>
    <n v="0.88131515637530067"/>
    <m/>
    <m/>
    <n v="4988"/>
    <n v="592"/>
    <n v="4396"/>
    <n v="3601"/>
    <n v="795"/>
    <m/>
  </r>
  <r>
    <x v="22"/>
    <s v="Julio"/>
    <n v="0.61922330097087375"/>
    <n v="0.73142201834862386"/>
    <n v="0.84660194174757286"/>
    <m/>
    <m/>
    <n v="5150"/>
    <n v="790"/>
    <n v="4360"/>
    <n v="3189"/>
    <n v="1171"/>
    <m/>
  </r>
  <r>
    <x v="22"/>
    <s v="Agosto"/>
    <n v="0.68440838939453896"/>
    <n v="0.79884526558891455"/>
    <n v="0.85674713098535815"/>
    <m/>
    <m/>
    <n v="5054"/>
    <n v="724"/>
    <n v="4330"/>
    <n v="3459"/>
    <n v="871"/>
    <m/>
  </r>
  <r>
    <x v="22"/>
    <s v="Septiembre"/>
    <n v="0.79825604439159725"/>
    <n v="0.86979054199956818"/>
    <n v="0.91775663892191839"/>
    <m/>
    <m/>
    <n v="5046"/>
    <n v="415"/>
    <n v="4631"/>
    <n v="4028"/>
    <n v="603"/>
    <m/>
  </r>
  <r>
    <x v="22"/>
    <s v="Octubre"/>
    <n v="0.84681348664977585"/>
    <n v="0.88402848423194302"/>
    <n v="0.95790294289612166"/>
    <m/>
    <m/>
    <n v="5131"/>
    <n v="216"/>
    <n v="4915"/>
    <n v="4345"/>
    <n v="570"/>
    <m/>
  </r>
  <r>
    <x v="22"/>
    <s v="Noviembre"/>
    <n v="0.81071136549468525"/>
    <n v="0.85327022375215145"/>
    <n v="0.95012264922322154"/>
    <m/>
    <m/>
    <n v="4892"/>
    <n v="244"/>
    <n v="4648"/>
    <n v="3966"/>
    <n v="682"/>
    <m/>
  </r>
  <r>
    <x v="22"/>
    <s v="Diciembre"/>
    <n v="0.78943154523618897"/>
    <n v="0.83754512635379064"/>
    <n v="0.94255404323458769"/>
    <m/>
    <m/>
    <n v="4996"/>
    <n v="287"/>
    <n v="4709"/>
    <n v="3944"/>
    <n v="765"/>
    <m/>
  </r>
  <r>
    <x v="23"/>
    <s v="Enero"/>
    <n v="0.67510882469331224"/>
    <n v="0.74808156106117074"/>
    <n v="0.90245350217649389"/>
    <m/>
    <m/>
    <n v="5054"/>
    <n v="493"/>
    <n v="4561"/>
    <n v="3412"/>
    <n v="1149"/>
    <m/>
  </r>
  <r>
    <x v="23"/>
    <s v="Febrero"/>
    <n v="0.55890469114837615"/>
    <n v="0.6490017254128666"/>
    <n v="0.86117597113139466"/>
    <m/>
    <m/>
    <n v="4711"/>
    <n v="654"/>
    <n v="4057"/>
    <n v="2633"/>
    <n v="1424"/>
    <m/>
  </r>
  <r>
    <x v="23"/>
    <s v="Marzo"/>
    <n v="0.5162625665286813"/>
    <n v="0.5909296028880866"/>
    <n v="0.87364478612260987"/>
    <m/>
    <m/>
    <n v="5073"/>
    <n v="641"/>
    <n v="4432"/>
    <n v="2619"/>
    <n v="1813"/>
    <m/>
  </r>
  <r>
    <x v="23"/>
    <s v="Abril"/>
    <n v="0.36667337492453211"/>
    <n v="0.49754232659748771"/>
    <n v="0.73696920909639763"/>
    <m/>
    <m/>
    <n v="4969"/>
    <n v="1307"/>
    <n v="3662"/>
    <n v="1822"/>
    <n v="1840"/>
    <m/>
  </r>
  <r>
    <x v="23"/>
    <s v="Mayo"/>
    <n v="0.41237926276365072"/>
    <n v="0.53572343149807944"/>
    <n v="0.76976148235757935"/>
    <m/>
    <m/>
    <n v="5073"/>
    <n v="1168"/>
    <n v="3905"/>
    <n v="2092"/>
    <n v="1813"/>
    <m/>
  </r>
  <r>
    <x v="23"/>
    <s v="Junio"/>
    <n v="0.56520850367947673"/>
    <n v="0.65723793677204656"/>
    <n v="0.85997547015535569"/>
    <m/>
    <m/>
    <n v="4892"/>
    <n v="685"/>
    <n v="4207"/>
    <n v="2765"/>
    <n v="1442"/>
    <m/>
  </r>
  <r>
    <x v="23"/>
    <s v="Julio"/>
    <n v="0.56545236188951165"/>
    <n v="0.6586616927022616"/>
    <n v="0.85848678943154522"/>
    <m/>
    <m/>
    <n v="4996"/>
    <n v="707"/>
    <n v="4289"/>
    <n v="2825"/>
    <n v="1464"/>
    <m/>
  </r>
  <r>
    <x v="23"/>
    <s v="Agosto"/>
    <n v="0.65956125827814571"/>
    <n v="0.71473424534649022"/>
    <n v="0.92280629139072845"/>
    <m/>
    <m/>
    <n v="4832"/>
    <n v="373"/>
    <n v="4459"/>
    <n v="3187"/>
    <n v="1272"/>
    <m/>
  </r>
  <r>
    <x v="23"/>
    <s v="Septiembre"/>
    <n v="0.76547085201793719"/>
    <n v="0.78573072497123131"/>
    <n v="0.97421524663677128"/>
    <m/>
    <m/>
    <n v="4460"/>
    <n v="115"/>
    <n v="4345"/>
    <n v="3414"/>
    <n v="931"/>
    <m/>
  </r>
  <r>
    <x v="23"/>
    <s v="Octubre"/>
    <n v="0.77585441633377716"/>
    <n v="0.80627306273062727"/>
    <n v="0.96227252552152687"/>
    <m/>
    <m/>
    <n v="4506"/>
    <n v="170"/>
    <n v="4336"/>
    <n v="3496"/>
    <n v="840"/>
    <m/>
  </r>
  <r>
    <x v="23"/>
    <s v="Noviembre"/>
    <n v="0.73961407491486941"/>
    <n v="0.77350427350427353"/>
    <n v="0.95618615209988644"/>
    <m/>
    <m/>
    <n v="4405"/>
    <n v="193"/>
    <n v="4212"/>
    <n v="3258"/>
    <n v="954"/>
    <m/>
  </r>
  <r>
    <x v="23"/>
    <s v="Diciembre"/>
    <n v="0.59476253883710606"/>
    <n v="0.6917914300464636"/>
    <n v="0.85974256546826455"/>
    <m/>
    <m/>
    <n v="4506"/>
    <n v="632"/>
    <n v="3874"/>
    <n v="2680"/>
    <n v="1194"/>
    <m/>
  </r>
  <r>
    <x v="24"/>
    <s v="Enero"/>
    <n v="0.5851786888840167"/>
    <n v="0.63775388291517321"/>
    <n v="0.91756193817145359"/>
    <m/>
    <m/>
    <n v="4561"/>
    <n v="376"/>
    <n v="4185"/>
    <n v="2669"/>
    <n v="1516"/>
    <m/>
  </r>
  <r>
    <x v="24"/>
    <s v="Febrero"/>
    <n v="0.57602773650321937"/>
    <n v="0.63103635377102552"/>
    <n v="0.91282813273897967"/>
    <m/>
    <m/>
    <n v="4038"/>
    <n v="352"/>
    <n v="3686"/>
    <n v="2326"/>
    <n v="1360"/>
    <m/>
  </r>
  <r>
    <x v="24"/>
    <s v="Marzo"/>
    <n v="0.44924358693269018"/>
    <n v="0.5020828228375398"/>
    <n v="0.89475992106994084"/>
    <m/>
    <m/>
    <n v="4561"/>
    <n v="480"/>
    <n v="4081"/>
    <n v="2049"/>
    <n v="2032"/>
    <m/>
  </r>
  <r>
    <x v="24"/>
    <s v="Abril"/>
    <n v="0.3690557451649602"/>
    <n v="0.44462719298245612"/>
    <n v="0.83003412969283275"/>
    <m/>
    <m/>
    <n v="4395"/>
    <n v="747"/>
    <n v="3648"/>
    <n v="1622"/>
    <n v="2026"/>
    <m/>
  </r>
  <r>
    <x v="24"/>
    <s v="Mayo"/>
    <n v="0.44944057420308214"/>
    <n v="0.51901511457825455"/>
    <n v="0.86594891281401731"/>
    <m/>
    <m/>
    <n v="4737"/>
    <n v="635"/>
    <n v="4102"/>
    <n v="2129"/>
    <n v="1973"/>
    <m/>
  </r>
  <r>
    <x v="24"/>
    <s v="Junio"/>
    <n v="0.40699453551912568"/>
    <n v="0.49892818863879956"/>
    <n v="0.81573770491803277"/>
    <m/>
    <m/>
    <n v="4575"/>
    <n v="843"/>
    <n v="3732"/>
    <n v="1862"/>
    <n v="1870"/>
    <m/>
  </r>
  <r>
    <x v="24"/>
    <s v="Julio"/>
    <n v="0.56850886339937434"/>
    <n v="0.63043478260869568"/>
    <n v="0.90177267987486964"/>
    <m/>
    <m/>
    <n v="4795"/>
    <n v="471"/>
    <n v="4324"/>
    <n v="2726"/>
    <n v="1598"/>
    <m/>
  </r>
  <r>
    <x v="24"/>
    <s v="Agosto"/>
    <n v="0.49645685702375991"/>
    <n v="0.53721244925575107"/>
    <n v="0.92413505627344728"/>
    <m/>
    <m/>
    <n v="4798"/>
    <n v="364"/>
    <n v="4434"/>
    <n v="2382"/>
    <n v="2052"/>
    <m/>
  </r>
  <r>
    <x v="24"/>
    <s v="Septiembre"/>
    <n v="0.46173523768919206"/>
    <n v="0.5084507042253521"/>
    <n v="0.90812193562140264"/>
    <m/>
    <m/>
    <n v="4691"/>
    <n v="431"/>
    <n v="4260"/>
    <n v="2166"/>
    <n v="2094"/>
    <m/>
  </r>
  <r>
    <x v="24"/>
    <s v="Octubre"/>
    <n v="0.43234114418408276"/>
    <n v="0.4717806956922368"/>
    <n v="0.91640278657378083"/>
    <m/>
    <m/>
    <n v="4737"/>
    <n v="396"/>
    <n v="4341"/>
    <n v="2048"/>
    <n v="2293"/>
    <m/>
  </r>
  <r>
    <x v="24"/>
    <s v="Noviembre"/>
    <n v="0.50399309302827544"/>
    <n v="0.55279356060606055"/>
    <n v="0.91172026764515435"/>
    <m/>
    <m/>
    <n v="4633"/>
    <n v="409"/>
    <n v="4224"/>
    <n v="2335"/>
    <n v="1889"/>
    <m/>
  </r>
  <r>
    <x v="24"/>
    <s v="Diciembre"/>
    <n v="0.57992724160068476"/>
    <n v="0.64894636015325668"/>
    <n v="0.89364433982452385"/>
    <m/>
    <m/>
    <n v="4673"/>
    <n v="497"/>
    <n v="4176"/>
    <n v="2710"/>
    <n v="1466"/>
    <m/>
  </r>
  <r>
    <x v="25"/>
    <s v="Enero"/>
    <n v="0.63130471029595669"/>
    <n v="0.66425438596491226"/>
    <n v="0.95039599833263855"/>
    <m/>
    <m/>
    <n v="4798"/>
    <n v="238"/>
    <n v="4560"/>
    <n v="3029"/>
    <n v="1531"/>
    <m/>
  </r>
  <r>
    <x v="25"/>
    <s v="Febrero"/>
    <n v="0.67161716171617158"/>
    <n v="0.69538686844032216"/>
    <n v="0.96581801037246584"/>
    <m/>
    <m/>
    <n v="4242"/>
    <n v="145"/>
    <n v="4097"/>
    <n v="2849"/>
    <n v="1248"/>
    <m/>
  </r>
  <r>
    <x v="25"/>
    <s v="Marzo"/>
    <n v="0.63985644922947016"/>
    <n v="0.66644678979771332"/>
    <n v="0.9601013299556681"/>
    <m/>
    <m/>
    <n v="4737"/>
    <n v="189"/>
    <n v="4548"/>
    <n v="3031"/>
    <n v="1517"/>
    <m/>
  </r>
  <r>
    <x v="25"/>
    <s v="Abril"/>
    <n v="0.55468066491688539"/>
    <n v="0.60976196201009858"/>
    <n v="0.90966754155730534"/>
    <m/>
    <m/>
    <n v="4572"/>
    <n v="413"/>
    <n v="4159"/>
    <n v="2536"/>
    <n v="1623"/>
    <m/>
  </r>
  <r>
    <x v="25"/>
    <s v="Mayo"/>
    <n v="0.39413130673421998"/>
    <n v="0.57007633587786255"/>
    <n v="0.69136584336077689"/>
    <m/>
    <m/>
    <n v="4737"/>
    <n v="1462"/>
    <n v="3275"/>
    <n v="1867"/>
    <n v="1408"/>
    <m/>
  </r>
  <r>
    <x v="25"/>
    <s v="Junio"/>
    <m/>
    <m/>
    <m/>
    <m/>
    <m/>
    <m/>
    <m/>
    <n v="2717"/>
    <m/>
    <m/>
    <s v="Con motivo de la revisión de los andenes provisorios, durantre junio se despacharon 2717 trenes especiales."/>
  </r>
  <r>
    <x v="25"/>
    <s v="Julio"/>
    <n v="0.73337555414819511"/>
    <n v="0.91013885250196491"/>
    <n v="0.8057842516360566"/>
    <m/>
    <m/>
    <n v="4737"/>
    <n v="920"/>
    <n v="3817"/>
    <n v="3474"/>
    <n v="343"/>
    <m/>
  </r>
  <r>
    <x v="25"/>
    <s v="Agosto"/>
    <n v="0.85889954147561487"/>
    <n v="0.89392624728850323"/>
    <n v="0.96081700708628592"/>
    <m/>
    <m/>
    <n v="4798"/>
    <n v="188"/>
    <n v="4610"/>
    <n v="4121"/>
    <n v="489"/>
    <m/>
  </r>
  <r>
    <x v="25"/>
    <s v="Septiembre"/>
    <n v="0.83498920086393091"/>
    <n v="0.90986114379854088"/>
    <n v="0.91771058315334775"/>
    <m/>
    <m/>
    <n v="4630"/>
    <n v="381"/>
    <n v="4249"/>
    <n v="3866"/>
    <n v="383"/>
    <m/>
  </r>
  <r>
    <x v="25"/>
    <s v="Octubre"/>
    <n v="0.86932055022926225"/>
    <n v="0.90028059572631125"/>
    <n v="0.96561067111296373"/>
    <m/>
    <m/>
    <n v="4798"/>
    <n v="165"/>
    <n v="4633"/>
    <n v="4171"/>
    <n v="462"/>
    <m/>
  </r>
  <r>
    <x v="25"/>
    <s v="Noviembre"/>
    <n v="0.82387222102309521"/>
    <n v="0.89307440336920918"/>
    <n v="0.92251241096481762"/>
    <m/>
    <m/>
    <n v="4633"/>
    <n v="359"/>
    <n v="4274"/>
    <n v="3817"/>
    <n v="457"/>
    <m/>
  </r>
  <r>
    <x v="25"/>
    <s v="Diciembre"/>
    <n v="0.80039525691699609"/>
    <n v="0.88363636363636366"/>
    <n v="0.90579710144927539"/>
    <m/>
    <m/>
    <n v="4554"/>
    <n v="429"/>
    <n v="4125"/>
    <n v="3645"/>
    <n v="480"/>
    <m/>
  </r>
  <r>
    <x v="26"/>
    <s v="Enero"/>
    <n v="0.8595248020008337"/>
    <n v="0.89652173913043476"/>
    <n v="0.95873280533555649"/>
    <m/>
    <m/>
    <n v="4798"/>
    <n v="198"/>
    <n v="4600"/>
    <n v="4124"/>
    <n v="476"/>
    <m/>
  </r>
  <r>
    <x v="26"/>
    <s v="Febrero"/>
    <n v="0.83455545371219064"/>
    <n v="0.86282871357498225"/>
    <n v="0.96723189734188819"/>
    <m/>
    <m/>
    <n v="4364"/>
    <n v="143"/>
    <n v="4221"/>
    <n v="3642"/>
    <n v="579"/>
    <m/>
  </r>
  <r>
    <x v="26"/>
    <s v="Marzo"/>
    <n v="0.7355018189599829"/>
    <n v="0.77865881286814675"/>
    <n v="0.94457521934517441"/>
    <m/>
    <m/>
    <n v="4673"/>
    <n v="259"/>
    <n v="4414"/>
    <n v="3437"/>
    <n v="977"/>
    <m/>
  </r>
  <r>
    <x v="26"/>
    <s v="Abril"/>
    <n v="0.72200349956255472"/>
    <n v="0.75902506323292707"/>
    <n v="0.95122484689413822"/>
    <m/>
    <m/>
    <n v="4572"/>
    <n v="223"/>
    <n v="4349"/>
    <n v="3301"/>
    <n v="1048"/>
    <m/>
  </r>
  <r>
    <x v="26"/>
    <s v="Mayo"/>
    <n v="0.61181434599156115"/>
    <n v="0.73735062293414699"/>
    <n v="0.82974683544303796"/>
    <m/>
    <m/>
    <n v="4740"/>
    <n v="807"/>
    <n v="3933"/>
    <n v="2900"/>
    <n v="1033"/>
    <m/>
  </r>
  <r>
    <x v="26"/>
    <s v="Junio"/>
    <n v="0.70585625554569653"/>
    <n v="0.74589779653070787"/>
    <n v="0.94631765749778174"/>
    <m/>
    <m/>
    <n v="4508"/>
    <n v="242"/>
    <n v="4266"/>
    <n v="3182"/>
    <n v="1084"/>
    <m/>
  </r>
  <r>
    <x v="26"/>
    <s v="Julio"/>
    <n v="0.79449770737807424"/>
    <n v="0.83413566739606126"/>
    <n v="0.95248020008336809"/>
    <n v="165"/>
    <n v="6"/>
    <n v="4798"/>
    <n v="228"/>
    <n v="4570"/>
    <n v="3812"/>
    <n v="758"/>
    <m/>
  </r>
  <r>
    <x v="26"/>
    <s v="Agosto"/>
    <n v="0.72947061275531466"/>
    <n v="0.77433628318584069"/>
    <n v="0.94205919132972071"/>
    <n v="165"/>
    <n v="6"/>
    <n v="4798"/>
    <n v="278"/>
    <n v="4520"/>
    <n v="3500"/>
    <n v="1020"/>
    <m/>
  </r>
  <r>
    <x v="26"/>
    <s v="Septiembre"/>
    <n v="0.6993308871141809"/>
    <n v="0.74551311550851362"/>
    <n v="0.93805309734513276"/>
    <n v="165"/>
    <n v="6"/>
    <n v="4633"/>
    <n v="287"/>
    <n v="4346"/>
    <n v="3240"/>
    <n v="1106"/>
    <m/>
  </r>
  <r>
    <x v="26"/>
    <s v="Octubre"/>
    <n v="0.81316392418246197"/>
    <n v="0.85651601579640191"/>
    <n v="0.94938554467819203"/>
    <n v="165"/>
    <n v="6"/>
    <n v="4801"/>
    <n v="243"/>
    <n v="4558"/>
    <n v="3904"/>
    <n v="654"/>
    <m/>
  </r>
  <r>
    <x v="26"/>
    <s v="Noviembre"/>
    <n v="0.83520518358531315"/>
    <n v="0.87429346597332125"/>
    <n v="0.95529157667386611"/>
    <n v="165"/>
    <n v="6"/>
    <n v="4630"/>
    <n v="207"/>
    <n v="4423"/>
    <n v="3867"/>
    <n v="556"/>
    <m/>
  </r>
  <r>
    <x v="26"/>
    <s v="Diciembre"/>
    <n v="0.87185982689465902"/>
    <n v="0.90095986038394416"/>
    <n v="0.96770107663077898"/>
    <n v="165"/>
    <n v="6"/>
    <n v="4737"/>
    <n v="153"/>
    <n v="4584"/>
    <n v="4130"/>
    <n v="454"/>
    <m/>
  </r>
  <r>
    <x v="27"/>
    <s v="Enero"/>
    <n v="0.89016256773655689"/>
    <n v="0.91888984509466443"/>
    <n v="0.96873697373905798"/>
    <n v="165"/>
    <n v="6"/>
    <n v="4798"/>
    <n v="150"/>
    <n v="4648"/>
    <n v="4271"/>
    <n v="377"/>
    <m/>
  </r>
  <r>
    <x v="27"/>
    <s v="Febrero"/>
    <n v="0.84741144414168934"/>
    <n v="0.90891378470530926"/>
    <n v="0.93233424159854672"/>
    <n v="165"/>
    <n v="6"/>
    <n v="4404"/>
    <n v="298"/>
    <n v="4106"/>
    <n v="3732"/>
    <n v="374"/>
    <m/>
  </r>
  <r>
    <x v="27"/>
    <s v="Marzo"/>
    <n v="0.74952963311382881"/>
    <n v="0.84760638297872337"/>
    <n v="0.88428974600188148"/>
    <n v="165"/>
    <n v="6"/>
    <n v="4252"/>
    <n v="492"/>
    <n v="3760"/>
    <n v="3187"/>
    <n v="573"/>
    <m/>
  </r>
  <r>
    <x v="27"/>
    <s v="Abril"/>
    <n v="0.7100244498777506"/>
    <n v="0.8203389830508474"/>
    <n v="0.86552567237163813"/>
    <n v="165"/>
    <n v="6"/>
    <n v="4090"/>
    <n v="550"/>
    <n v="3540"/>
    <n v="2904"/>
    <n v="636"/>
    <m/>
  </r>
  <r>
    <x v="27"/>
    <s v="Mayo"/>
    <n v="0.9023122889062094"/>
    <n v="0.91902619740672131"/>
    <n v="0.98181345804104958"/>
    <n v="165"/>
    <n v="6"/>
    <n v="3849"/>
    <n v="70"/>
    <n v="3779"/>
    <n v="3473"/>
    <n v="306"/>
    <m/>
  </r>
  <r>
    <x v="27"/>
    <s v="Junio"/>
    <n v="0.90316421167484995"/>
    <n v="0.9374292185730464"/>
    <n v="0.96344789961811239"/>
    <n v="165"/>
    <n v="6"/>
    <n v="3666"/>
    <n v="134"/>
    <n v="3532"/>
    <n v="3311"/>
    <n v="221"/>
    <m/>
  </r>
  <r>
    <x v="27"/>
    <s v="Julio"/>
    <n v="0.920545746388443"/>
    <n v="0.96332586786114227"/>
    <n v="0.95559122525414664"/>
    <n v="165"/>
    <n v="6"/>
    <n v="3738"/>
    <n v="166"/>
    <n v="3572"/>
    <n v="3441"/>
    <n v="131"/>
    <m/>
  </r>
  <r>
    <x v="27"/>
    <s v="Agosto"/>
    <n v="0.82334047109207709"/>
    <n v="0.90443987062628639"/>
    <n v="0.91033190578158463"/>
    <n v="165"/>
    <n v="6"/>
    <n v="3736"/>
    <n v="335"/>
    <n v="3401"/>
    <n v="3076"/>
    <n v="325"/>
    <m/>
  </r>
  <r>
    <x v="27"/>
    <s v="Septiembre"/>
    <n v="0.72909880564603691"/>
    <n v="0.78377589728625618"/>
    <n v="0.93023887079261669"/>
    <n v="165"/>
    <n v="6"/>
    <n v="3684"/>
    <n v="257"/>
    <n v="3427"/>
    <n v="2686"/>
    <n v="741"/>
    <m/>
  </r>
  <r>
    <x v="27"/>
    <s v="Octubre"/>
    <n v="0.75828253379273791"/>
    <n v="0.84971784971784969"/>
    <n v="0.89239332096474955"/>
    <n v="165"/>
    <n v="6"/>
    <n v="3773"/>
    <n v="406"/>
    <n v="3367"/>
    <n v="2861"/>
    <n v="506"/>
    <m/>
  </r>
  <r>
    <x v="27"/>
    <s v="Noviembre"/>
    <n v="0.74792243767313016"/>
    <n v="0.84190832553788586"/>
    <n v="0.88836565096952913"/>
    <n v="165"/>
    <n v="6"/>
    <n v="3610"/>
    <n v="403"/>
    <n v="3207"/>
    <n v="2700"/>
    <n v="507"/>
    <m/>
  </r>
  <r>
    <x v="27"/>
    <s v="Diciembre"/>
    <n v="0.71223993515266149"/>
    <n v="0.786865671641791"/>
    <n v="0.90516076736017292"/>
    <n v="165"/>
    <n v="6"/>
    <n v="3701"/>
    <n v="351"/>
    <n v="3350"/>
    <n v="2636"/>
    <n v="714"/>
    <m/>
  </r>
  <r>
    <x v="28"/>
    <s v="Enero"/>
    <n v="0.71814775160599575"/>
    <n v="0.78981454224315573"/>
    <n v="0.90926124197002145"/>
    <n v="128"/>
    <n v="6"/>
    <n v="3736"/>
    <n v="339"/>
    <n v="3397"/>
    <n v="2683"/>
    <n v="714"/>
    <m/>
  </r>
  <r>
    <x v="28"/>
    <s v="Febrero"/>
    <n v="0.76565295169946335"/>
    <n v="0.79480037140204274"/>
    <n v="0.96332737030411453"/>
    <n v="128"/>
    <n v="6"/>
    <n v="3354"/>
    <n v="123"/>
    <n v="3231"/>
    <n v="2568"/>
    <n v="663"/>
    <m/>
  </r>
  <r>
    <x v="28"/>
    <s v="Marzo"/>
    <n v="0.65112582781456951"/>
    <n v="0.66884353741496594"/>
    <n v="0.97350993377483441"/>
    <n v="128"/>
    <n v="6"/>
    <n v="3775"/>
    <n v="100"/>
    <n v="3675"/>
    <n v="2458"/>
    <n v="1217"/>
    <m/>
  </r>
  <r>
    <x v="28"/>
    <s v="Abril"/>
    <n v="0.74362489717576086"/>
    <n v="0.77001703577512781"/>
    <n v="0.96572525363312312"/>
    <n v="128"/>
    <n v="6"/>
    <n v="3647"/>
    <n v="125"/>
    <n v="3522"/>
    <n v="2712"/>
    <n v="810"/>
    <m/>
  </r>
  <r>
    <x v="28"/>
    <s v="Mayo"/>
    <n v="0.86681222707423577"/>
    <n v="0.88222222222222224"/>
    <n v="0.98253275109170302"/>
    <n v="128"/>
    <n v="6"/>
    <n v="3664"/>
    <n v="64"/>
    <n v="3600"/>
    <n v="3176"/>
    <n v="424"/>
    <m/>
  </r>
  <r>
    <x v="28"/>
    <s v="Junio"/>
    <n v="0.8623526185906224"/>
    <n v="0.91344757478942784"/>
    <n v="0.94406361392925697"/>
    <n v="128"/>
    <n v="6"/>
    <n v="3647"/>
    <n v="204"/>
    <n v="3443"/>
    <n v="3145"/>
    <n v="298"/>
    <m/>
  </r>
  <r>
    <x v="28"/>
    <s v="Julio"/>
    <n v="0.89265836204611715"/>
    <n v="0.93115841857893278"/>
    <n v="0.95865359130665251"/>
    <n v="128"/>
    <n v="6"/>
    <n v="3773"/>
    <n v="156"/>
    <n v="3617"/>
    <n v="3368"/>
    <n v="249"/>
    <m/>
  </r>
  <r>
    <x v="28"/>
    <s v="Agosto"/>
    <n v="0.88309256286784377"/>
    <n v="0.91796440489432707"/>
    <n v="0.96201177100053503"/>
    <n v="128"/>
    <n v="6"/>
    <n v="3738"/>
    <n v="142"/>
    <n v="3596"/>
    <n v="3301"/>
    <n v="295"/>
    <m/>
  </r>
  <r>
    <x v="28"/>
    <s v="Septiembre"/>
    <n v="0.77735950524334496"/>
    <n v="0.81436619718309855"/>
    <n v="0.95455767679483727"/>
    <n v="128"/>
    <n v="6"/>
    <n v="3719"/>
    <n v="169"/>
    <n v="3550"/>
    <n v="2891"/>
    <n v="659"/>
    <m/>
  </r>
  <r>
    <x v="28"/>
    <s v="Octubre"/>
    <n v="0.83941605839416056"/>
    <n v="0.87786259541984735"/>
    <n v="0.95620437956204385"/>
    <n v="128"/>
    <n v="6"/>
    <n v="3699"/>
    <n v="162"/>
    <n v="3537"/>
    <n v="3105"/>
    <n v="432"/>
    <m/>
  </r>
  <r>
    <x v="28"/>
    <s v="Noviembre"/>
    <n v="0.85659446120098715"/>
    <n v="0.87851518560179975"/>
    <n v="0.9750479846449136"/>
    <n v="128"/>
    <n v="6"/>
    <n v="3647"/>
    <n v="91"/>
    <n v="3556"/>
    <n v="3124"/>
    <n v="432"/>
    <m/>
  </r>
  <r>
    <x v="28"/>
    <s v="Diciembre"/>
    <n v="0.86069518716577542"/>
    <n v="0.88604459124690338"/>
    <n v="0.97139037433155084"/>
    <n v="128"/>
    <n v="6"/>
    <n v="3740"/>
    <n v="107"/>
    <n v="3633"/>
    <n v="3219"/>
    <n v="414"/>
    <m/>
  </r>
  <r>
    <x v="29"/>
    <s v="Enero"/>
    <n v="0.80069555912252544"/>
    <n v="0.87822769953051638"/>
    <n v="0.9117174959871589"/>
    <n v="128"/>
    <n v="6"/>
    <n v="3738"/>
    <n v="330"/>
    <n v="3408"/>
    <n v="2993"/>
    <n v="415"/>
    <m/>
  </r>
  <r>
    <x v="29"/>
    <s v="Febrero"/>
    <n v="0.80153347095252137"/>
    <n v="0.852304797742239"/>
    <n v="0.94043055145974641"/>
    <n v="128"/>
    <n v="6"/>
    <n v="3391"/>
    <n v="202"/>
    <n v="3189"/>
    <n v="2718"/>
    <n v="471"/>
    <m/>
  </r>
  <r>
    <x v="29"/>
    <s v="Marzo"/>
    <n v="0.86623863028357406"/>
    <n v="0.90497484628283953"/>
    <n v="0.95719636169074374"/>
    <n v="128"/>
    <n v="6"/>
    <n v="3738"/>
    <n v="160"/>
    <n v="3578"/>
    <n v="3238"/>
    <n v="340"/>
    <m/>
  </r>
  <r>
    <x v="29"/>
    <s v="Abril"/>
    <n v="0.7800554016620499"/>
    <n v="0.810126582278481"/>
    <n v="0.96288088642659275"/>
    <n v="128"/>
    <n v="6"/>
    <n v="3610"/>
    <n v="134"/>
    <n v="3476"/>
    <n v="2816"/>
    <n v="660"/>
    <m/>
  </r>
  <r>
    <x v="29"/>
    <s v="Mayo"/>
    <n v="0.84652796541475273"/>
    <n v="0.8880385487528345"/>
    <n v="0.95325587679005674"/>
    <n v="128"/>
    <n v="6"/>
    <n v="3701"/>
    <n v="173"/>
    <n v="3528"/>
    <n v="3133"/>
    <n v="395"/>
    <m/>
  </r>
  <r>
    <x v="29"/>
    <s v="Junio"/>
    <n v="0.82299168975069248"/>
    <n v="0.85891876264816425"/>
    <n v="0.95817174515235459"/>
    <n v="128"/>
    <n v="6"/>
    <n v="3610"/>
    <n v="151"/>
    <n v="3459"/>
    <n v="2971"/>
    <n v="488"/>
    <m/>
  </r>
  <r>
    <x v="29"/>
    <s v="Julio"/>
    <n v="0.77100053504547883"/>
    <n v="0.79811686513431179"/>
    <n v="0.96602461209202783"/>
    <n v="128"/>
    <n v="6"/>
    <n v="3738"/>
    <n v="127"/>
    <n v="3611"/>
    <n v="2882"/>
    <n v="729"/>
    <m/>
  </r>
  <r>
    <x v="29"/>
    <s v="Agosto"/>
    <n v="0.78696309086984673"/>
    <n v="0.84086715867158668"/>
    <n v="0.93589466868120008"/>
    <n v="128"/>
    <n v="6"/>
    <n v="4633"/>
    <n v="297"/>
    <n v="4336"/>
    <n v="3646"/>
    <n v="690"/>
    <m/>
  </r>
  <r>
    <x v="29"/>
    <s v="Septiembre"/>
    <n v="0.81308007770343194"/>
    <n v="0.863198900091659"/>
    <n v="0.94193826894021149"/>
    <n v="128"/>
    <n v="6"/>
    <n v="4633"/>
    <n v="269"/>
    <n v="4364"/>
    <n v="3767"/>
    <n v="597"/>
    <m/>
  </r>
  <r>
    <x v="29"/>
    <s v="Octubre"/>
    <n v="0.7466295741493687"/>
    <n v="0.81442577030812324"/>
    <n v="0.9167558313717098"/>
    <n v="128"/>
    <n v="6"/>
    <n v="4673"/>
    <n v="389"/>
    <n v="4284"/>
    <n v="3489"/>
    <n v="795"/>
    <m/>
  </r>
  <r>
    <x v="29"/>
    <s v="Noviembre"/>
    <n v="0.74875890351823871"/>
    <n v="0.81854648419065601"/>
    <n v="0.91474206777466005"/>
    <n v="128"/>
    <n v="6"/>
    <n v="4633"/>
    <n v="395"/>
    <n v="4238"/>
    <n v="3469"/>
    <n v="769"/>
    <m/>
  </r>
  <r>
    <x v="29"/>
    <s v="Diciembre"/>
    <n v="0.79670447250160492"/>
    <n v="0.83269961977186313"/>
    <n v="0.95677295099507809"/>
    <n v="128"/>
    <n v="6"/>
    <n v="4673"/>
    <n v="202"/>
    <n v="4471"/>
    <n v="3723"/>
    <n v="748"/>
    <m/>
  </r>
  <r>
    <x v="30"/>
    <s v="Enero"/>
    <n v="0.87140475197999168"/>
    <n v="0.9065481352992194"/>
    <n v="0.96123384743643181"/>
    <n v="128"/>
    <n v="6"/>
    <n v="4798"/>
    <n v="186"/>
    <n v="4612"/>
    <n v="4181"/>
    <n v="431"/>
    <m/>
  </r>
  <r>
    <x v="30"/>
    <s v="Febrero"/>
    <n v="0.913955681282414"/>
    <n v="0.93919573643410847"/>
    <n v="0.97312588401697309"/>
    <n v="128"/>
    <n v="6"/>
    <n v="4242"/>
    <n v="114"/>
    <n v="4128"/>
    <n v="3877"/>
    <n v="251"/>
    <m/>
  </r>
  <r>
    <x v="30"/>
    <s v="Marzo"/>
    <n v="0.87724051688203419"/>
    <n v="0.92363396971691902"/>
    <n v="0.94977073780741972"/>
    <n v="128"/>
    <n v="6"/>
    <n v="4798"/>
    <n v="241"/>
    <n v="4557"/>
    <n v="4209"/>
    <n v="348"/>
    <m/>
  </r>
  <r>
    <x v="30"/>
    <s v="Abril"/>
    <n v="0.90019697964543666"/>
    <n v="0.93434802362562475"/>
    <n v="0.96344933245786823"/>
    <n v="128"/>
    <n v="6"/>
    <n v="4569"/>
    <n v="167"/>
    <n v="4402"/>
    <n v="4113"/>
    <n v="289"/>
    <m/>
  </r>
  <r>
    <x v="30"/>
    <s v="Mayo"/>
    <n v="0.92087254063301971"/>
    <n v="0.94037999563223407"/>
    <n v="0.97925577416595377"/>
    <n v="128"/>
    <n v="6"/>
    <n v="4676"/>
    <n v="97"/>
    <n v="4579"/>
    <n v="4306"/>
    <n v="273"/>
    <m/>
  </r>
  <r>
    <x v="30"/>
    <s v="Junio"/>
    <n v="0.85999113867966326"/>
    <n v="0.91946944576030321"/>
    <n v="0.9353123615418697"/>
    <n v="128"/>
    <n v="6"/>
    <n v="4514"/>
    <n v="292"/>
    <n v="4222"/>
    <n v="3882"/>
    <n v="340"/>
    <m/>
  </r>
  <r>
    <x v="30"/>
    <s v="Julio"/>
    <n v="0.79670626349892004"/>
    <n v="0.85116815690798964"/>
    <n v="0.93601511879049681"/>
    <n v="128"/>
    <n v="6"/>
    <n v="3704"/>
    <n v="237"/>
    <n v="3467"/>
    <n v="2951"/>
    <n v="516"/>
    <m/>
  </r>
  <r>
    <x v="30"/>
    <s v="Agosto"/>
    <n v="0.60337640683618177"/>
    <n v="0.90809284818067759"/>
    <n v="0.6644435181325552"/>
    <n v="128"/>
    <n v="6"/>
    <n v="4798"/>
    <n v="1610"/>
    <n v="3188"/>
    <n v="2895"/>
    <n v="293"/>
    <m/>
  </r>
  <r>
    <x v="30"/>
    <s v="Septiembre"/>
    <n v="0.60626732040076747"/>
    <n v="0.92578125"/>
    <n v="0.65487102963120869"/>
    <n v="128"/>
    <n v="6"/>
    <n v="4691"/>
    <n v="1619"/>
    <n v="3072"/>
    <n v="2844"/>
    <n v="228"/>
    <m/>
  </r>
  <r>
    <x v="30"/>
    <s v="Octubre"/>
    <n v="0.57420872540633017"/>
    <n v="0.87687785760940562"/>
    <n v="0.6548331907613345"/>
    <n v="128"/>
    <n v="6"/>
    <n v="4676"/>
    <n v="1614"/>
    <n v="3062"/>
    <n v="2685"/>
    <n v="377"/>
    <m/>
  </r>
  <r>
    <x v="30"/>
    <s v="Noviembre"/>
    <n v="0.59594215411180662"/>
    <n v="0.89759427828348504"/>
    <n v="0.66393265702568527"/>
    <n v="128"/>
    <n v="6"/>
    <n v="4633"/>
    <n v="1557"/>
    <n v="3076"/>
    <n v="2761"/>
    <n v="315"/>
    <m/>
  </r>
  <r>
    <x v="30"/>
    <s v="Diciembre"/>
    <n v="0.57671731221913114"/>
    <n v="0.91760299625468167"/>
    <n v="0.62850417290819605"/>
    <n v="128"/>
    <n v="6"/>
    <n v="4673"/>
    <n v="1736"/>
    <n v="2937"/>
    <n v="2695"/>
    <n v="242"/>
    <m/>
  </r>
  <r>
    <x v="31"/>
    <s v="Enero"/>
    <n v="0.92042606516290726"/>
    <n v="0.93716108452950553"/>
    <n v="0.9821428571428571"/>
    <n v="128"/>
    <n v="6"/>
    <n v="3192"/>
    <n v="57"/>
    <n v="3135"/>
    <n v="2938"/>
    <n v="197"/>
    <m/>
  </r>
  <r>
    <x v="31"/>
    <s v="Febrero"/>
    <n v="0.83751288217107522"/>
    <n v="0.89929915160457397"/>
    <n v="0.93129508759876334"/>
    <n v="128"/>
    <n v="6"/>
    <n v="2911"/>
    <n v="200"/>
    <n v="2711"/>
    <n v="2438"/>
    <n v="273"/>
    <m/>
  </r>
  <r>
    <x v="31"/>
    <s v="Marzo"/>
    <n v="0.79987212276214836"/>
    <n v="0.82140512147078137"/>
    <n v="0.97378516624040923"/>
    <n v="165"/>
    <n v="6"/>
    <n v="3128"/>
    <n v="82"/>
    <n v="3046"/>
    <n v="2502"/>
    <n v="544"/>
    <m/>
  </r>
  <r>
    <x v="31"/>
    <s v="Abril"/>
    <n v="0.83763227513227512"/>
    <n v="0.86362086600750088"/>
    <n v="0.96990740740740744"/>
    <n v="165"/>
    <n v="6"/>
    <n v="3024"/>
    <n v="91"/>
    <n v="2933"/>
    <n v="2533"/>
    <n v="400"/>
    <m/>
  </r>
  <r>
    <x v="31"/>
    <s v="Mayo"/>
    <n v="0.79052765416401782"/>
    <n v="0.87140854940434476"/>
    <n v="0.90718372536554359"/>
    <n v="165"/>
    <n v="6"/>
    <n v="3146"/>
    <n v="292"/>
    <n v="2854"/>
    <n v="2487"/>
    <n v="367"/>
    <m/>
  </r>
  <r>
    <x v="31"/>
    <s v="Junio"/>
    <n v="0.8705679862306368"/>
    <n v="0.89363957597173149"/>
    <n v="0.97418244406196208"/>
    <n v="165"/>
    <n v="6"/>
    <n v="2905"/>
    <n v="75"/>
    <n v="2830"/>
    <n v="2529"/>
    <n v="301"/>
    <m/>
  </r>
  <r>
    <x v="31"/>
    <s v="Julio"/>
    <n v="0.8771929824561403"/>
    <n v="0.89257252151737332"/>
    <n v="0.98276942355889729"/>
    <n v="113"/>
    <n v="6"/>
    <n v="3192"/>
    <n v="55"/>
    <n v="3137"/>
    <n v="2800"/>
    <n v="337"/>
    <s v="Valores respecto IT 18 c/autorización provisional"/>
  </r>
  <r>
    <x v="31"/>
    <s v="Agosto"/>
    <n v="0.91769107429182251"/>
    <n v="0.93138052617304046"/>
    <n v="0.98530197755211113"/>
    <n v="113"/>
    <n v="6"/>
    <n v="3742"/>
    <n v="55"/>
    <n v="3687"/>
    <n v="3434"/>
    <n v="253"/>
    <m/>
  </r>
  <r>
    <x v="31"/>
    <s v="Septiembre"/>
    <n v="0.92886014551333873"/>
    <n v="0.95194697597348799"/>
    <n v="0.97574777687954728"/>
    <n v="113"/>
    <n v="6"/>
    <n v="3711"/>
    <n v="90"/>
    <n v="3621"/>
    <n v="3447"/>
    <n v="174"/>
    <m/>
  </r>
</pivotCacheRecords>
</file>

<file path=xl/pivotCache/pivotCacheRecords7.xml><?xml version="1.0" encoding="utf-8"?>
<pivotCacheRecords xmlns="http://schemas.openxmlformats.org/spreadsheetml/2006/main" xmlns:r="http://schemas.openxmlformats.org/officeDocument/2006/relationships" count="381">
  <r>
    <x v="0"/>
    <s v="Enero"/>
    <n v="0.54281422133199797"/>
    <n v="0.77789738069608894"/>
    <n v="0.69779669504256381"/>
    <n v="0"/>
    <n v="0"/>
    <n v="3994"/>
    <n v="1207"/>
    <n v="2787"/>
    <n v="2168"/>
    <n v="619"/>
    <m/>
  </r>
  <r>
    <x v="0"/>
    <s v="Febrero"/>
    <n v="0.48095635251598556"/>
    <n v="0.74472664657770127"/>
    <n v="0.64581595774256328"/>
    <n v="0"/>
    <n v="0"/>
    <n v="3597"/>
    <n v="1274"/>
    <n v="2323"/>
    <n v="1730"/>
    <n v="593"/>
    <m/>
  </r>
  <r>
    <x v="0"/>
    <s v="Marzo"/>
    <n v="0.39090457256461231"/>
    <n v="0.70066815144766148"/>
    <n v="0.55790258449304175"/>
    <n v="0"/>
    <n v="0"/>
    <n v="4024"/>
    <n v="1779"/>
    <n v="2245"/>
    <n v="1573"/>
    <n v="672"/>
    <m/>
  </r>
  <r>
    <x v="0"/>
    <s v="Abril"/>
    <n v="0.46314715633766895"/>
    <n v="0.72092100039698293"/>
    <n v="0.64243815353226219"/>
    <n v="0"/>
    <n v="0"/>
    <n v="3921"/>
    <n v="1402"/>
    <n v="2519"/>
    <n v="1816"/>
    <n v="703"/>
    <m/>
  </r>
  <r>
    <x v="0"/>
    <s v="Mayo"/>
    <n v="0.44055944055944057"/>
    <n v="0.74524714828897343"/>
    <n v="0.59115884115884121"/>
    <n v="0"/>
    <n v="0"/>
    <n v="4004"/>
    <n v="1637"/>
    <n v="2367"/>
    <n v="1764"/>
    <n v="603"/>
    <m/>
  </r>
  <r>
    <x v="0"/>
    <s v="Junio"/>
    <n v="0.3827129015808261"/>
    <n v="0.76425661914460286"/>
    <n v="0.50076491585925553"/>
    <n v="0"/>
    <n v="0"/>
    <n v="3922"/>
    <n v="1958"/>
    <n v="1964"/>
    <n v="1501"/>
    <n v="463"/>
    <m/>
  </r>
  <r>
    <x v="0"/>
    <s v="Julio"/>
    <n v="0.40507889546351084"/>
    <n v="0.73842696629213478"/>
    <n v="0.54857001972386588"/>
    <n v="0"/>
    <n v="0"/>
    <n v="4056"/>
    <n v="1831"/>
    <n v="2225"/>
    <n v="1643"/>
    <n v="582"/>
    <m/>
  </r>
  <r>
    <x v="0"/>
    <s v="Agosto"/>
    <n v="0.512031753907219"/>
    <n v="0.80562060889929743"/>
    <n v="0.63557429918134456"/>
    <n v="0"/>
    <n v="0"/>
    <n v="4031"/>
    <n v="1469"/>
    <n v="2562"/>
    <n v="2064"/>
    <n v="498"/>
    <m/>
  </r>
  <r>
    <x v="0"/>
    <s v="Septiembre"/>
    <n v="0.48960973137354286"/>
    <n v="0.79245283018867929"/>
    <n v="0.61784085149518497"/>
    <n v="0"/>
    <n v="0"/>
    <n v="3946"/>
    <n v="1508"/>
    <n v="2438"/>
    <n v="1932"/>
    <n v="506"/>
    <m/>
  </r>
  <r>
    <x v="0"/>
    <s v="Octubre"/>
    <n v="0.49875992063492064"/>
    <n v="0.81781211874745829"/>
    <n v="0.60987103174603174"/>
    <n v="0"/>
    <n v="0"/>
    <n v="4032"/>
    <n v="1573"/>
    <n v="2459"/>
    <n v="2011"/>
    <n v="448"/>
    <m/>
  </r>
  <r>
    <x v="0"/>
    <s v="Noviembre"/>
    <n v="0.49911280101394168"/>
    <n v="0.82419422352448724"/>
    <n v="0.60557667934093795"/>
    <n v="0"/>
    <n v="0"/>
    <n v="3945"/>
    <n v="1556"/>
    <n v="2389"/>
    <n v="1969"/>
    <n v="420"/>
    <m/>
  </r>
  <r>
    <x v="0"/>
    <s v="Diciembre"/>
    <n v="0.43984220907297833"/>
    <n v="0.83131407269338309"/>
    <n v="0.52909270216962523"/>
    <n v="0"/>
    <n v="0"/>
    <n v="4056"/>
    <n v="1910"/>
    <n v="2146"/>
    <n v="1784"/>
    <n v="362"/>
    <m/>
  </r>
  <r>
    <x v="1"/>
    <s v="Enero"/>
    <n v="0.442274412855377"/>
    <n v="0.84307257304429783"/>
    <n v="0.52459826946847965"/>
    <n v="0"/>
    <n v="0"/>
    <n v="4045"/>
    <n v="1923"/>
    <n v="2122"/>
    <n v="1789"/>
    <n v="333"/>
    <m/>
  </r>
  <r>
    <x v="1"/>
    <s v="Febrero"/>
    <n v="0.48291757049891543"/>
    <n v="0.87175721977484089"/>
    <n v="0.55395878524945774"/>
    <n v="0"/>
    <n v="0"/>
    <n v="3688"/>
    <n v="1645"/>
    <n v="2043"/>
    <n v="1781"/>
    <n v="262"/>
    <m/>
  </r>
  <r>
    <x v="1"/>
    <s v="Marzo"/>
    <n v="0.4886391399951136"/>
    <n v="0.8806693086745927"/>
    <n v="0.55484974346445148"/>
    <n v="0"/>
    <n v="0"/>
    <n v="4093"/>
    <n v="1822"/>
    <n v="2271"/>
    <n v="2000"/>
    <n v="271"/>
    <m/>
  </r>
  <r>
    <x v="1"/>
    <s v="Abril"/>
    <n v="0.46892189218921893"/>
    <n v="0.86067642604745076"/>
    <n v="0.54482948294829481"/>
    <n v="0"/>
    <n v="0"/>
    <n v="3636"/>
    <n v="1655"/>
    <n v="1981"/>
    <n v="1705"/>
    <n v="276"/>
    <m/>
  </r>
  <r>
    <x v="1"/>
    <s v="Mayo"/>
    <n v="0.71944990176817292"/>
    <n v="0.74552117263843654"/>
    <n v="0.96502946954813362"/>
    <n v="0"/>
    <n v="0"/>
    <n v="2545"/>
    <n v="89"/>
    <n v="2456"/>
    <n v="1831"/>
    <n v="625"/>
    <m/>
  </r>
  <r>
    <x v="1"/>
    <s v="Junio"/>
    <n v="0.8592677345537757"/>
    <n v="0.89796731765643678"/>
    <n v="0.95690312738367655"/>
    <n v="0"/>
    <n v="0"/>
    <n v="2622"/>
    <n v="113"/>
    <n v="2509"/>
    <n v="2253"/>
    <n v="256"/>
    <m/>
  </r>
  <r>
    <x v="1"/>
    <s v="Julio"/>
    <n v="0.78539823008849563"/>
    <n v="0.82654249126891732"/>
    <n v="0.9502212389380531"/>
    <n v="0"/>
    <n v="0"/>
    <n v="2712"/>
    <n v="135"/>
    <n v="2577"/>
    <n v="2130"/>
    <n v="447"/>
    <m/>
  </r>
  <r>
    <x v="1"/>
    <s v="Agosto"/>
    <n v="0.90605504587155961"/>
    <n v="0.93700189753320684"/>
    <n v="0.96697247706422018"/>
    <n v="0"/>
    <n v="0"/>
    <n v="2725"/>
    <n v="90"/>
    <n v="2635"/>
    <n v="2469"/>
    <n v="166"/>
    <m/>
  </r>
  <r>
    <x v="1"/>
    <s v="Septiembre"/>
    <n v="0.90747734138972813"/>
    <n v="0.94792899408284026"/>
    <n v="0.95732628398791542"/>
    <n v="0"/>
    <n v="0"/>
    <n v="2648"/>
    <n v="113"/>
    <n v="2535"/>
    <n v="2403"/>
    <n v="132"/>
    <m/>
  </r>
  <r>
    <x v="1"/>
    <s v="Octubre"/>
    <n v="0.95206489675516226"/>
    <n v="0.96595585484474378"/>
    <n v="0.98561946902654862"/>
    <n v="0"/>
    <n v="0"/>
    <n v="2712"/>
    <n v="39"/>
    <n v="2673"/>
    <n v="2582"/>
    <n v="91"/>
    <m/>
  </r>
  <r>
    <x v="1"/>
    <s v="Noviembre"/>
    <n v="0.93957703927492442"/>
    <n v="0.95398773006134974"/>
    <n v="0.98489425981873113"/>
    <n v="0"/>
    <n v="0"/>
    <n v="2648"/>
    <n v="40"/>
    <n v="2608"/>
    <n v="2488"/>
    <n v="120"/>
    <m/>
  </r>
  <r>
    <x v="1"/>
    <s v="Diciembre"/>
    <n v="0.91526661796932063"/>
    <n v="0.93298585256887567"/>
    <n v="0.98100803506208911"/>
    <n v="0"/>
    <n v="0"/>
    <n v="2738"/>
    <n v="52"/>
    <n v="2686"/>
    <n v="2506"/>
    <n v="180"/>
    <m/>
  </r>
  <r>
    <x v="2"/>
    <s v="Enero"/>
    <n v="0.95977579953841086"/>
    <n v="0.9706568856285428"/>
    <n v="0.98878997692054071"/>
    <n v="0"/>
    <n v="0"/>
    <n v="3033"/>
    <n v="34"/>
    <n v="2999"/>
    <n v="2911"/>
    <n v="88"/>
    <m/>
  </r>
  <r>
    <x v="2"/>
    <s v="Febrero"/>
    <n v="0.97359625668449201"/>
    <n v="0.97784491440080568"/>
    <n v="0.9956550802139037"/>
    <n v="0"/>
    <n v="0"/>
    <n v="2992"/>
    <n v="13"/>
    <n v="2979"/>
    <n v="2913"/>
    <n v="66"/>
    <m/>
  </r>
  <r>
    <x v="2"/>
    <s v="Marzo"/>
    <n v="0.96300751879699253"/>
    <n v="0.97741147741147738"/>
    <n v="0.98526315789473684"/>
    <n v="0"/>
    <n v="0"/>
    <n v="3325"/>
    <n v="49"/>
    <n v="3276"/>
    <n v="3202"/>
    <n v="74"/>
    <m/>
  </r>
  <r>
    <x v="2"/>
    <s v="Abril"/>
    <n v="0.95281823939202026"/>
    <n v="0.98591087811271294"/>
    <n v="0.96643445218492718"/>
    <n v="0"/>
    <n v="0"/>
    <n v="3158"/>
    <n v="106"/>
    <n v="3052"/>
    <n v="3009"/>
    <n v="43"/>
    <m/>
  </r>
  <r>
    <x v="2"/>
    <s v="Mayo"/>
    <n v="0.95995108529501683"/>
    <n v="0.97153465346534651"/>
    <n v="0.98807704066034852"/>
    <n v="0"/>
    <n v="0"/>
    <n v="3271"/>
    <n v="39"/>
    <n v="3232"/>
    <n v="3140"/>
    <n v="92"/>
    <m/>
  </r>
  <r>
    <x v="2"/>
    <s v="Junio"/>
    <n v="0.98619391277063073"/>
    <n v="0.99023314429741649"/>
    <n v="0.99592092877314087"/>
    <n v="0"/>
    <n v="0"/>
    <n v="3187"/>
    <n v="13"/>
    <n v="3174"/>
    <n v="3143"/>
    <n v="31"/>
    <m/>
  </r>
  <r>
    <x v="2"/>
    <s v="Julio"/>
    <n v="0.99514563106796117"/>
    <n v="0.99665755089638408"/>
    <n v="0.99848300970873782"/>
    <n v="0"/>
    <n v="0"/>
    <n v="3296"/>
    <n v="5"/>
    <n v="3291"/>
    <n v="3280"/>
    <n v="11"/>
    <m/>
  </r>
  <r>
    <x v="2"/>
    <s v="Agosto"/>
    <n v="0.97365373480023165"/>
    <n v="0.99057437407952875"/>
    <n v="0.98291835552982054"/>
    <n v="0"/>
    <n v="0"/>
    <n v="3454"/>
    <n v="59"/>
    <n v="3395"/>
    <n v="3363"/>
    <n v="32"/>
    <m/>
  </r>
  <r>
    <x v="2"/>
    <s v="Septiembre"/>
    <n v="0.97162921348314601"/>
    <n v="0.98547008547008552"/>
    <n v="0.9859550561797753"/>
    <n v="0"/>
    <n v="0"/>
    <n v="3560"/>
    <n v="50"/>
    <n v="3510"/>
    <n v="3459"/>
    <n v="51"/>
    <m/>
  </r>
  <r>
    <x v="2"/>
    <s v="Octubre"/>
    <n v="0.98315382491024583"/>
    <n v="0.98861427381282974"/>
    <n v="0.99447666390499867"/>
    <n v="0"/>
    <n v="0"/>
    <n v="3621"/>
    <n v="20"/>
    <n v="3601"/>
    <n v="3560"/>
    <n v="41"/>
    <m/>
  </r>
  <r>
    <x v="2"/>
    <s v="Noviembre"/>
    <n v="0.98439125910509884"/>
    <n v="0.989281045751634"/>
    <n v="0.995057232049948"/>
    <n v="0"/>
    <n v="0"/>
    <n v="3844"/>
    <n v="19"/>
    <n v="3825"/>
    <n v="3784"/>
    <n v="41"/>
    <m/>
  </r>
  <r>
    <x v="2"/>
    <s v="Diciembre"/>
    <n v="0.98702983138780809"/>
    <n v="0.99114352696014585"/>
    <n v="0.99584954604409859"/>
    <n v="0"/>
    <n v="0"/>
    <n v="3855"/>
    <n v="16"/>
    <n v="3839"/>
    <n v="3805"/>
    <n v="34"/>
    <m/>
  </r>
  <r>
    <x v="3"/>
    <s v="Enero"/>
    <n v="0.9943074003795066"/>
    <n v="0.99548800759914513"/>
    <n v="0.99881404174573052"/>
    <n v="0"/>
    <n v="0"/>
    <n v="4216"/>
    <n v="5"/>
    <n v="4211"/>
    <n v="4192"/>
    <n v="19"/>
    <m/>
  </r>
  <r>
    <x v="3"/>
    <s v="Febrero"/>
    <n v="0.99048334585524667"/>
    <n v="0.99471830985915488"/>
    <n v="0.99574254946155771"/>
    <n v="0"/>
    <n v="0"/>
    <n v="3993"/>
    <n v="17"/>
    <n v="3976"/>
    <n v="3955"/>
    <n v="21"/>
    <m/>
  </r>
  <r>
    <x v="3"/>
    <s v="Marzo"/>
    <n v="0.96997635933806148"/>
    <n v="0.98772267693789118"/>
    <n v="0.98203309692671392"/>
    <n v="0"/>
    <n v="0"/>
    <n v="4230"/>
    <n v="76"/>
    <n v="4154"/>
    <n v="4103"/>
    <n v="51"/>
    <m/>
  </r>
  <r>
    <x v="3"/>
    <s v="Abril"/>
    <n v="0.87984401657323907"/>
    <n v="0.88415380847416114"/>
    <n v="0.99512551791372161"/>
    <n v="0"/>
    <n v="0"/>
    <n v="4103"/>
    <n v="20"/>
    <n v="4083"/>
    <n v="3610"/>
    <n v="473"/>
    <m/>
  </r>
  <r>
    <x v="3"/>
    <s v="Mayo"/>
    <n v="0.74946821082486415"/>
    <n v="0.75177809388335703"/>
    <n v="0.99692744032143699"/>
    <n v="0"/>
    <n v="0"/>
    <n v="4231"/>
    <n v="13"/>
    <n v="4218"/>
    <n v="3171"/>
    <n v="1047"/>
    <m/>
  </r>
  <r>
    <x v="3"/>
    <s v="Junio"/>
    <n v="0.9800102511532548"/>
    <n v="0.98480556270924546"/>
    <n v="0.99513070220399791"/>
    <n v="0"/>
    <n v="0"/>
    <n v="3902"/>
    <n v="19"/>
    <n v="3883"/>
    <n v="3824"/>
    <n v="59"/>
    <m/>
  </r>
  <r>
    <x v="3"/>
    <s v="Julio"/>
    <n v="0.99224993945265194"/>
    <n v="0.99345295829291946"/>
    <n v="0.99878905303947685"/>
    <n v="0"/>
    <n v="0"/>
    <n v="4129"/>
    <n v="5"/>
    <n v="4124"/>
    <n v="4097"/>
    <n v="27"/>
    <m/>
  </r>
  <r>
    <x v="3"/>
    <s v="Agosto"/>
    <n v="0.98248601313549011"/>
    <n v="0.99409303470342114"/>
    <n v="0.98832400875699344"/>
    <n v="0"/>
    <n v="0"/>
    <n v="4111"/>
    <n v="48"/>
    <n v="4063"/>
    <n v="4039"/>
    <n v="24"/>
    <m/>
  </r>
  <r>
    <x v="3"/>
    <s v="Septiembre"/>
    <n v="0.95737211634904718"/>
    <n v="0.99271970878835158"/>
    <n v="0.96439317953861581"/>
    <n v="0"/>
    <n v="0"/>
    <n v="3988"/>
    <n v="142"/>
    <n v="3846"/>
    <n v="3818"/>
    <n v="28"/>
    <m/>
  </r>
  <r>
    <x v="3"/>
    <s v="Octubre"/>
    <n v="0.95490716180371349"/>
    <n v="0.99148723084626944"/>
    <n v="0.96310585965758377"/>
    <n v="0"/>
    <n v="0"/>
    <n v="4147"/>
    <n v="153"/>
    <n v="3994"/>
    <n v="3960"/>
    <n v="34"/>
    <m/>
  </r>
  <r>
    <x v="3"/>
    <s v="Noviembre"/>
    <n v="0.99150849150849152"/>
    <n v="0.99573614246300479"/>
    <n v="0.99575424575424576"/>
    <n v="0"/>
    <n v="0"/>
    <n v="4004"/>
    <n v="17"/>
    <n v="3987"/>
    <n v="3970"/>
    <n v="17"/>
    <m/>
  </r>
  <r>
    <x v="3"/>
    <s v="Diciembre"/>
    <n v="0.96654456654456655"/>
    <n v="0.99222862872900475"/>
    <n v="0.9741147741147741"/>
    <n v="0"/>
    <n v="0"/>
    <n v="4095"/>
    <n v="106"/>
    <n v="3989"/>
    <n v="3958"/>
    <n v="31"/>
    <m/>
  </r>
  <r>
    <x v="4"/>
    <s v="Enero"/>
    <n v="0.99055461370791964"/>
    <n v="0.99464980544747084"/>
    <n v="0.9958827803342214"/>
    <n v="0"/>
    <n v="0"/>
    <n v="4129"/>
    <n v="17"/>
    <n v="4112"/>
    <n v="4090"/>
    <n v="22"/>
    <m/>
  </r>
  <r>
    <x v="4"/>
    <s v="Febrero"/>
    <n v="0.99465240641711228"/>
    <n v="0.99651754620948296"/>
    <n v="0.99812834224598934"/>
    <n v="0"/>
    <n v="0"/>
    <n v="3740"/>
    <n v="7"/>
    <n v="3733"/>
    <n v="3720"/>
    <n v="13"/>
    <m/>
  </r>
  <r>
    <x v="4"/>
    <s v="Marzo"/>
    <n v="0.98650968849644349"/>
    <n v="0.99357707509881421"/>
    <n v="0.99288692666176115"/>
    <n v="0"/>
    <n v="0"/>
    <n v="4077"/>
    <n v="29"/>
    <n v="4048"/>
    <n v="4022"/>
    <n v="26"/>
    <m/>
  </r>
  <r>
    <x v="4"/>
    <s v="Abril"/>
    <n v="0.9945300845350572"/>
    <n v="0.99626400996264008"/>
    <n v="0.99825957235206364"/>
    <n v="0"/>
    <n v="0"/>
    <n v="4022"/>
    <n v="7"/>
    <n v="4015"/>
    <n v="4000"/>
    <n v="15"/>
    <m/>
  </r>
  <r>
    <x v="4"/>
    <s v="Mayo"/>
    <n v="0.98564826076380441"/>
    <n v="0.99022482893450636"/>
    <n v="0.99537825346630993"/>
    <n v="0"/>
    <n v="0"/>
    <n v="4111"/>
    <n v="19"/>
    <n v="4092"/>
    <n v="4052"/>
    <n v="40"/>
    <m/>
  </r>
  <r>
    <x v="4"/>
    <s v="Junio"/>
    <n v="0.99554896142433236"/>
    <n v="0.99628804751299183"/>
    <n v="0.99925816023738867"/>
    <n v="0"/>
    <n v="0"/>
    <n v="4044"/>
    <n v="3"/>
    <n v="4041"/>
    <n v="4026"/>
    <n v="15"/>
    <m/>
  </r>
  <r>
    <x v="4"/>
    <s v="Julio"/>
    <n v="0.98773432075908352"/>
    <n v="0.99094497329928022"/>
    <n v="0.99676000925711639"/>
    <n v="0"/>
    <n v="0"/>
    <n v="4321"/>
    <n v="14"/>
    <n v="4307"/>
    <n v="4268"/>
    <n v="39"/>
    <m/>
  </r>
  <r>
    <x v="4"/>
    <s v="Agosto"/>
    <n v="0.97815362931642003"/>
    <n v="0.99213724088634736"/>
    <n v="0.98590556730091616"/>
    <n v="0"/>
    <n v="0"/>
    <n v="4257"/>
    <n v="60"/>
    <n v="4197"/>
    <n v="4164"/>
    <n v="33"/>
    <m/>
  </r>
  <r>
    <x v="4"/>
    <s v="Septiembre"/>
    <n v="0.99669499527856464"/>
    <n v="0.99740137018662889"/>
    <n v="0.99929178470254953"/>
    <n v="0"/>
    <n v="0"/>
    <n v="4236"/>
    <n v="3"/>
    <n v="4233"/>
    <n v="4222"/>
    <n v="11"/>
    <m/>
  </r>
  <r>
    <x v="4"/>
    <s v="Octubre"/>
    <n v="0.99224806201550386"/>
    <n v="0.99497027892089618"/>
    <n v="0.99726402188782493"/>
    <n v="0"/>
    <n v="0"/>
    <n v="4386"/>
    <n v="12"/>
    <n v="4374"/>
    <n v="4352"/>
    <n v="22"/>
    <m/>
  </r>
  <r>
    <x v="4"/>
    <s v="Noviembre"/>
    <n v="0.99090303971599736"/>
    <n v="0.99376947040498442"/>
    <n v="0.99711559795873084"/>
    <n v="0"/>
    <n v="0"/>
    <n v="4507"/>
    <n v="13"/>
    <n v="4494"/>
    <n v="4466"/>
    <n v="28"/>
    <m/>
  </r>
  <r>
    <x v="4"/>
    <s v="Diciembre"/>
    <n v="0.99454446262956897"/>
    <n v="0.99781061850027364"/>
    <n v="0.99672667757774136"/>
    <n v="0"/>
    <n v="0"/>
    <n v="5499"/>
    <n v="18"/>
    <n v="5481"/>
    <n v="5469"/>
    <n v="12"/>
    <m/>
  </r>
  <r>
    <x v="5"/>
    <s v="Enero"/>
    <n v="0.96135265700483097"/>
    <n v="0.99448561089091847"/>
    <n v="0.96668332500416454"/>
    <n v="0"/>
    <n v="0"/>
    <n v="6003"/>
    <n v="200"/>
    <n v="5803"/>
    <n v="5771"/>
    <n v="32"/>
    <m/>
  </r>
  <r>
    <x v="5"/>
    <s v="Febrero"/>
    <n v="0.99707815924032139"/>
    <n v="0.99798939864741365"/>
    <n v="0.99908692476260041"/>
    <n v="0"/>
    <n v="0"/>
    <n v="5476"/>
    <n v="5"/>
    <n v="5471"/>
    <n v="5460"/>
    <n v="11"/>
    <m/>
  </r>
  <r>
    <x v="5"/>
    <s v="Marzo"/>
    <n v="0.99303944315545245"/>
    <n v="0.99601063829787229"/>
    <n v="0.99701690420947964"/>
    <n v="0"/>
    <n v="0"/>
    <n v="6034"/>
    <n v="18"/>
    <n v="6016"/>
    <n v="5992"/>
    <n v="24"/>
    <m/>
  </r>
  <r>
    <x v="5"/>
    <s v="Abril"/>
    <n v="0.99227467811158798"/>
    <n v="0.99483648881239239"/>
    <n v="0.9974248927038627"/>
    <n v="0"/>
    <n v="0"/>
    <n v="5825"/>
    <n v="15"/>
    <n v="5810"/>
    <n v="5780"/>
    <n v="30"/>
    <m/>
  </r>
  <r>
    <x v="5"/>
    <s v="Mayo"/>
    <n v="0.99132505528151049"/>
    <n v="0.9952185792349727"/>
    <n v="0.99608777002891646"/>
    <n v="0"/>
    <n v="0"/>
    <n v="5879"/>
    <n v="23"/>
    <n v="5856"/>
    <n v="5828"/>
    <n v="28"/>
    <m/>
  </r>
  <r>
    <x v="5"/>
    <s v="Junio"/>
    <n v="0.98951529735304233"/>
    <n v="0.99241510084468199"/>
    <n v="0.99707803368855275"/>
    <n v="0"/>
    <n v="0"/>
    <n v="5818"/>
    <n v="17"/>
    <n v="5801"/>
    <n v="5757"/>
    <n v="44"/>
    <m/>
  </r>
  <r>
    <x v="5"/>
    <s v="Julio"/>
    <n v="0.99096583442838371"/>
    <n v="0.99390444810543654"/>
    <n v="0.9970433639947438"/>
    <n v="0"/>
    <n v="0"/>
    <n v="6088"/>
    <n v="18"/>
    <n v="6070"/>
    <n v="6033"/>
    <n v="37"/>
    <m/>
  </r>
  <r>
    <x v="5"/>
    <s v="Agosto"/>
    <n v="0.9926666666666667"/>
    <n v="0.99432387312186976"/>
    <n v="0.99833333333333329"/>
    <n v="0"/>
    <n v="0"/>
    <n v="6000"/>
    <n v="10"/>
    <n v="5990"/>
    <n v="5956"/>
    <n v="34"/>
    <m/>
  </r>
  <r>
    <x v="5"/>
    <s v="Septiembre"/>
    <n v="0.99195979899497488"/>
    <n v="0.99295774647887325"/>
    <n v="0.99899497487437183"/>
    <n v="0"/>
    <n v="0"/>
    <n v="5970"/>
    <n v="6"/>
    <n v="5964"/>
    <n v="5922"/>
    <n v="42"/>
    <m/>
  </r>
  <r>
    <x v="5"/>
    <s v="Octubre"/>
    <n v="0.99422156182928845"/>
    <n v="0.99603043334435992"/>
    <n v="0.99818391943206208"/>
    <n v="0"/>
    <n v="0"/>
    <n v="6057"/>
    <n v="11"/>
    <n v="6046"/>
    <n v="6022"/>
    <n v="24"/>
    <m/>
  </r>
  <r>
    <x v="5"/>
    <s v="Noviembre"/>
    <n v="0.9947395214661463"/>
    <n v="0.9971083517605035"/>
    <n v="0.99762430001696933"/>
    <n v="0"/>
    <n v="0"/>
    <n v="5893"/>
    <n v="14"/>
    <n v="5879"/>
    <n v="5862"/>
    <n v="17"/>
    <m/>
  </r>
  <r>
    <x v="5"/>
    <s v="Diciembre"/>
    <n v="0.95027349577324716"/>
    <n v="0.98895980679661899"/>
    <n v="0.96088181667495443"/>
    <n v="0"/>
    <n v="0"/>
    <n v="6033"/>
    <n v="236"/>
    <n v="5797"/>
    <n v="5733"/>
    <n v="64"/>
    <m/>
  </r>
  <r>
    <x v="6"/>
    <s v="Enero"/>
    <n v="0.99531772575250832"/>
    <n v="0.99698492462311561"/>
    <n v="0.99832775919732442"/>
    <n v="0"/>
    <n v="0"/>
    <n v="5980"/>
    <n v="10"/>
    <n v="5970"/>
    <n v="5952"/>
    <n v="18"/>
    <m/>
  </r>
  <r>
    <x v="6"/>
    <s v="Febrero"/>
    <n v="0.98863636363636365"/>
    <n v="0.99293478260869561"/>
    <n v="0.99567099567099571"/>
    <n v="0"/>
    <n v="0"/>
    <n v="5544"/>
    <n v="24"/>
    <n v="5520"/>
    <n v="5481"/>
    <n v="39"/>
    <m/>
  </r>
  <r>
    <x v="6"/>
    <s v="Marzo"/>
    <n v="0.99074825515338416"/>
    <n v="0.99478487614080835"/>
    <n v="0.99594221717253695"/>
    <n v="0"/>
    <n v="0"/>
    <n v="6161"/>
    <n v="25"/>
    <n v="6136"/>
    <n v="6104"/>
    <n v="32"/>
    <m/>
  </r>
  <r>
    <x v="6"/>
    <s v="Abril"/>
    <n v="0.98990071893187259"/>
    <n v="0.99125814192663697"/>
    <n v="0.99863060595686404"/>
    <n v="0"/>
    <n v="0"/>
    <n v="5842"/>
    <n v="8"/>
    <n v="5834"/>
    <n v="5783"/>
    <n v="51"/>
    <m/>
  </r>
  <r>
    <x v="6"/>
    <s v="Mayo"/>
    <n v="0.99208221024258758"/>
    <n v="0.99476351351351355"/>
    <n v="0.99730458221024254"/>
    <n v="0"/>
    <n v="0"/>
    <n v="5936"/>
    <n v="16"/>
    <n v="5920"/>
    <n v="5889"/>
    <n v="31"/>
    <m/>
  </r>
  <r>
    <x v="6"/>
    <s v="Junio"/>
    <n v="0.99431426602343209"/>
    <n v="0.995"/>
    <n v="0.99931082012405237"/>
    <n v="0"/>
    <n v="0"/>
    <n v="5804"/>
    <n v="4"/>
    <n v="5800"/>
    <n v="5771"/>
    <n v="29"/>
    <m/>
  </r>
  <r>
    <x v="6"/>
    <s v="Julio"/>
    <n v="0.98039825762289978"/>
    <n v="0.98932496075353216"/>
    <n v="0.99097697573117616"/>
    <n v="0"/>
    <n v="0"/>
    <n v="6428"/>
    <n v="58"/>
    <n v="6370"/>
    <n v="6302"/>
    <n v="68"/>
    <m/>
  </r>
  <r>
    <x v="6"/>
    <s v="Agosto"/>
    <n v="0.96892612338156892"/>
    <n v="0.97561349693251531"/>
    <n v="0.99314546839299311"/>
    <n v="0"/>
    <n v="0"/>
    <n v="6565"/>
    <n v="45"/>
    <n v="6520"/>
    <n v="6361"/>
    <n v="159"/>
    <m/>
  </r>
  <r>
    <x v="6"/>
    <s v="Septiembre"/>
    <n v="0.99356420471958318"/>
    <n v="0.99478367597422523"/>
    <n v="0.99877413423230155"/>
    <n v="0"/>
    <n v="0"/>
    <n v="6526"/>
    <n v="8"/>
    <n v="6518"/>
    <n v="6484"/>
    <n v="34"/>
    <m/>
  </r>
  <r>
    <x v="6"/>
    <s v="Octubre"/>
    <n v="0.99294694878871514"/>
    <n v="0.99462448164644446"/>
    <n v="0.99831340079730146"/>
    <n v="0"/>
    <n v="0"/>
    <n v="6522"/>
    <n v="11"/>
    <n v="6511"/>
    <n v="6476"/>
    <n v="35"/>
    <m/>
  </r>
  <r>
    <x v="6"/>
    <s v="Noviembre"/>
    <n v="0.9973942366646229"/>
    <n v="0.99846555163418749"/>
    <n v="0.99892703862660948"/>
    <n v="0"/>
    <n v="0"/>
    <n v="6524"/>
    <n v="7"/>
    <n v="6517"/>
    <n v="6507"/>
    <n v="10"/>
    <m/>
  </r>
  <r>
    <x v="6"/>
    <s v="Diciembre"/>
    <n v="0.98910741301059002"/>
    <n v="0.99195873160370207"/>
    <n v="0.997125567322239"/>
    <n v="0"/>
    <n v="0"/>
    <n v="6610"/>
    <n v="19"/>
    <n v="6591"/>
    <n v="6538"/>
    <n v="53"/>
    <m/>
  </r>
  <r>
    <x v="7"/>
    <s v="Enero"/>
    <n v="0.98400121895474635"/>
    <n v="0.98912544034308469"/>
    <n v="0.99481944232820352"/>
    <n v="0"/>
    <n v="0"/>
    <n v="6563"/>
    <n v="34"/>
    <n v="6529"/>
    <n v="6458"/>
    <n v="71"/>
    <m/>
  </r>
  <r>
    <x v="7"/>
    <s v="Febrero"/>
    <n v="0.99809190650341861"/>
    <n v="0.99872712808273667"/>
    <n v="0.99936396883447287"/>
    <n v="0"/>
    <n v="0"/>
    <n v="6289"/>
    <n v="4"/>
    <n v="6285"/>
    <n v="6277"/>
    <n v="8"/>
    <m/>
  </r>
  <r>
    <x v="7"/>
    <s v="Marzo"/>
    <n v="0.99024101730001479"/>
    <n v="0.99702248027393181"/>
    <n v="0.99319828478485883"/>
    <n v="0"/>
    <n v="0"/>
    <n v="6763"/>
    <n v="46"/>
    <n v="6717"/>
    <n v="6697"/>
    <n v="20"/>
    <m/>
  </r>
  <r>
    <x v="7"/>
    <s v="Abril"/>
    <n v="0.99807630650849632"/>
    <n v="0.99903722721437738"/>
    <n v="0.99903815325424816"/>
    <n v="0"/>
    <n v="0"/>
    <n v="6238"/>
    <n v="6"/>
    <n v="6232"/>
    <n v="6226"/>
    <n v="6"/>
    <m/>
  </r>
  <r>
    <x v="7"/>
    <s v="Mayo"/>
    <n v="0.9782178217821782"/>
    <n v="0.98030834987024884"/>
    <n v="0.99786747905559792"/>
    <n v="0"/>
    <n v="0"/>
    <n v="6565"/>
    <n v="14"/>
    <n v="6551"/>
    <n v="6422"/>
    <n v="129"/>
    <m/>
  </r>
  <r>
    <x v="7"/>
    <s v="Junio"/>
    <n v="0.94028436018957351"/>
    <n v="0.9485258964143426"/>
    <n v="0.99131121642969988"/>
    <n v="0"/>
    <n v="0"/>
    <n v="6330"/>
    <n v="55"/>
    <n v="6275"/>
    <n v="5952"/>
    <n v="323"/>
    <m/>
  </r>
  <r>
    <x v="7"/>
    <s v="Julio"/>
    <n v="0.97309145880574455"/>
    <n v="0.98154925282098204"/>
    <n v="0.99138321995464851"/>
    <n v="0"/>
    <n v="0"/>
    <n v="6615"/>
    <n v="57"/>
    <n v="6558"/>
    <n v="6437"/>
    <n v="121"/>
    <m/>
  </r>
  <r>
    <x v="7"/>
    <s v="Agosto"/>
    <n v="0.99505321540998348"/>
    <n v="0.99774537802495111"/>
    <n v="0.99730175385999098"/>
    <n v="0"/>
    <n v="0"/>
    <n v="6671"/>
    <n v="18"/>
    <n v="6653"/>
    <n v="6638"/>
    <n v="15"/>
    <m/>
  </r>
  <r>
    <x v="7"/>
    <s v="Septiembre"/>
    <n v="0.99105628373168853"/>
    <n v="0.99535387951060861"/>
    <n v="0.99568234387047028"/>
    <n v="0"/>
    <n v="0"/>
    <n v="6485"/>
    <n v="28"/>
    <n v="6457"/>
    <n v="6427"/>
    <n v="30"/>
    <m/>
  </r>
  <r>
    <x v="7"/>
    <s v="Octubre"/>
    <n v="0.97686805661238774"/>
    <n v="0.99704877291084193"/>
    <n v="0.97975954953583932"/>
    <n v="0"/>
    <n v="0"/>
    <n v="6571"/>
    <n v="133"/>
    <n v="6438"/>
    <n v="6419"/>
    <n v="19"/>
    <m/>
  </r>
  <r>
    <x v="7"/>
    <s v="Noviembre"/>
    <n v="0.92679938744257273"/>
    <n v="0.99245654312889475"/>
    <n v="0.93384379785604898"/>
    <n v="0"/>
    <n v="0"/>
    <n v="6530"/>
    <n v="432"/>
    <n v="6098"/>
    <n v="6052"/>
    <n v="46"/>
    <m/>
  </r>
  <r>
    <x v="7"/>
    <s v="Diciembre"/>
    <n v="0.96706495098039214"/>
    <n v="0.98779533719292756"/>
    <n v="0.97901348039215685"/>
    <n v="0"/>
    <n v="0"/>
    <n v="6528"/>
    <n v="137"/>
    <n v="6391"/>
    <n v="6313"/>
    <n v="78"/>
    <m/>
  </r>
  <r>
    <x v="8"/>
    <s v="Enero"/>
    <n v="0.98735119047619047"/>
    <n v="0.99505098980203954"/>
    <n v="0.99226190476190479"/>
    <n v="0"/>
    <n v="0"/>
    <n v="6720"/>
    <n v="52"/>
    <n v="6668"/>
    <n v="6635"/>
    <n v="33"/>
    <m/>
  </r>
  <r>
    <x v="8"/>
    <s v="Febrero"/>
    <n v="0.99056311881188119"/>
    <n v="0.99487259167184583"/>
    <n v="0.99566831683168322"/>
    <n v="0"/>
    <n v="0"/>
    <n v="6464"/>
    <n v="28"/>
    <n v="6436"/>
    <n v="6403"/>
    <n v="33"/>
    <m/>
  </r>
  <r>
    <x v="8"/>
    <s v="Marzo"/>
    <n v="0.96154382053782916"/>
    <n v="0.98095238095238091"/>
    <n v="0.98021457433468018"/>
    <n v="0"/>
    <n v="0"/>
    <n v="7177"/>
    <n v="142"/>
    <n v="7035"/>
    <n v="6901"/>
    <n v="134"/>
    <m/>
  </r>
  <r>
    <x v="8"/>
    <s v="Abril"/>
    <n v="0.94756724085826538"/>
    <n v="0.98368627450980395"/>
    <n v="0.96328195829555752"/>
    <n v="0"/>
    <n v="0"/>
    <n v="6618"/>
    <n v="243"/>
    <n v="6375"/>
    <n v="6271"/>
    <n v="104"/>
    <m/>
  </r>
  <r>
    <x v="8"/>
    <s v="Mayo"/>
    <n v="0.79686162624821688"/>
    <n v="0.99218472468916519"/>
    <n v="0.80313837375178321"/>
    <n v="0"/>
    <n v="0"/>
    <n v="7010"/>
    <n v="1380"/>
    <n v="5630"/>
    <n v="5586"/>
    <n v="44"/>
    <m/>
  </r>
  <r>
    <x v="8"/>
    <s v="Junio"/>
    <n v="0.95606326889279436"/>
    <n v="0.97099509147701923"/>
    <n v="0.98462214411247806"/>
    <n v="0"/>
    <n v="0"/>
    <n v="6828"/>
    <n v="105"/>
    <n v="6723"/>
    <n v="6528"/>
    <n v="195"/>
    <m/>
  </r>
  <r>
    <x v="8"/>
    <s v="Julio"/>
    <n v="0.932744371615845"/>
    <n v="0.99121744397334943"/>
    <n v="0.94100883442576233"/>
    <n v="0"/>
    <n v="0"/>
    <n v="7018"/>
    <n v="414"/>
    <n v="6604"/>
    <n v="6546"/>
    <n v="58"/>
    <m/>
  </r>
  <r>
    <x v="8"/>
    <s v="Agosto"/>
    <n v="0.9345964912280702"/>
    <n v="0.97112439842496723"/>
    <n v="0.96238596491228068"/>
    <n v="0"/>
    <n v="0"/>
    <n v="7125"/>
    <n v="268"/>
    <n v="6857"/>
    <n v="6659"/>
    <n v="198"/>
    <m/>
  </r>
  <r>
    <x v="8"/>
    <s v="Septiembre"/>
    <n v="0.93976429506765602"/>
    <n v="0.97098616957306072"/>
    <n v="0.96784519132838642"/>
    <n v="0"/>
    <n v="0"/>
    <n v="6873"/>
    <n v="221"/>
    <n v="6652"/>
    <n v="6459"/>
    <n v="193"/>
    <m/>
  </r>
  <r>
    <x v="8"/>
    <s v="Octubre"/>
    <n v="0.89726315789473687"/>
    <n v="0.97069541451563923"/>
    <n v="0.92435087719298248"/>
    <n v="0"/>
    <n v="0"/>
    <n v="7125"/>
    <n v="539"/>
    <n v="6586"/>
    <n v="6393"/>
    <n v="193"/>
    <m/>
  </r>
  <r>
    <x v="8"/>
    <s v="Noviembre"/>
    <n v="0.94820311363305687"/>
    <n v="0.97210620525059666"/>
    <n v="0.97541102866288376"/>
    <n v="0"/>
    <n v="0"/>
    <n v="6873"/>
    <n v="169"/>
    <n v="6704"/>
    <n v="6517"/>
    <n v="187"/>
    <m/>
  </r>
  <r>
    <x v="8"/>
    <s v="Diciembre"/>
    <n v="0.89202418658220561"/>
    <n v="0.96390790292470441"/>
    <n v="0.92542470486610995"/>
    <n v="0"/>
    <n v="0"/>
    <n v="6946"/>
    <n v="518"/>
    <n v="6428"/>
    <n v="6196"/>
    <n v="232"/>
    <m/>
  </r>
  <r>
    <x v="9"/>
    <s v="Enero"/>
    <n v="0.79716252282623967"/>
    <n v="0.97946151190887121"/>
    <n v="0.81387835370136252"/>
    <n v="0"/>
    <n v="0"/>
    <n v="7119"/>
    <n v="1325"/>
    <n v="5794"/>
    <n v="5675"/>
    <n v="119"/>
    <m/>
  </r>
  <r>
    <x v="9"/>
    <s v="Febrero"/>
    <n v="0.7485307763686978"/>
    <n v="0.98694942903752036"/>
    <n v="0.75842870399010209"/>
    <n v="0"/>
    <n v="0"/>
    <n v="6466"/>
    <n v="1562"/>
    <n v="4904"/>
    <n v="4840"/>
    <n v="64"/>
    <m/>
  </r>
  <r>
    <x v="9"/>
    <s v="Marzo"/>
    <n v="0.68735632183908046"/>
    <n v="0.9781230832140666"/>
    <n v="0.70272988505747125"/>
    <n v="0"/>
    <n v="0"/>
    <n v="6960"/>
    <n v="2069"/>
    <n v="4891"/>
    <n v="4784"/>
    <n v="107"/>
    <m/>
  </r>
  <r>
    <x v="9"/>
    <s v="Abril"/>
    <n v="0.27994772760272979"/>
    <n v="0.98317185109637939"/>
    <n v="0.28473936401916655"/>
    <n v="0"/>
    <n v="0"/>
    <n v="6887"/>
    <n v="4926"/>
    <n v="1961"/>
    <n v="1928"/>
    <n v="33"/>
    <m/>
  </r>
  <r>
    <x v="9"/>
    <s v="Mayo"/>
    <n v="0.73972602739726023"/>
    <n v="0.98314933178384656"/>
    <n v="0.75240454677936464"/>
    <n v="0"/>
    <n v="0"/>
    <n v="6862"/>
    <n v="1699"/>
    <n v="5163"/>
    <n v="5076"/>
    <n v="87"/>
    <m/>
  </r>
  <r>
    <x v="9"/>
    <s v="Junio"/>
    <n v="0.65923862581244197"/>
    <n v="1"/>
    <n v="0.65923862581244197"/>
    <n v="0"/>
    <n v="0"/>
    <n v="6462"/>
    <n v="2202"/>
    <n v="4260"/>
    <n v="4260"/>
    <n v="0"/>
    <m/>
  </r>
  <r>
    <x v="9"/>
    <s v="Julio"/>
    <n v="0.639848418597872"/>
    <n v="1"/>
    <n v="0.639848418597872"/>
    <n v="0"/>
    <n v="0"/>
    <n v="6861"/>
    <n v="2471"/>
    <n v="4390"/>
    <n v="4390"/>
    <n v="0"/>
    <m/>
  </r>
  <r>
    <x v="9"/>
    <s v="Agosto"/>
    <n v="0.64782736347621839"/>
    <n v="1"/>
    <n v="0.64782736347621839"/>
    <n v="0"/>
    <n v="0"/>
    <n v="6812"/>
    <n v="2399"/>
    <n v="4413"/>
    <n v="4413"/>
    <n v="0"/>
    <m/>
  </r>
  <r>
    <x v="9"/>
    <s v="Septiembre"/>
    <n v="0.64223095525997587"/>
    <n v="1"/>
    <n v="0.64223095525997587"/>
    <n v="0"/>
    <n v="0"/>
    <n v="6616"/>
    <n v="2367"/>
    <n v="4249"/>
    <n v="4249"/>
    <n v="0"/>
    <m/>
  </r>
  <r>
    <x v="9"/>
    <s v="Octubre"/>
    <n v="0.68996473228598909"/>
    <n v="1"/>
    <n v="0.68996473228598909"/>
    <n v="0"/>
    <n v="0"/>
    <n v="6238"/>
    <n v="1934"/>
    <n v="4304"/>
    <n v="4304"/>
    <n v="0"/>
    <m/>
  </r>
  <r>
    <x v="9"/>
    <s v="Noviembre"/>
    <n v="0.96518054532056008"/>
    <n v="0.98811769143719352"/>
    <n v="0.97678703021370672"/>
    <n v="0"/>
    <n v="0"/>
    <n v="5428"/>
    <n v="126"/>
    <n v="5302"/>
    <n v="5239"/>
    <n v="63"/>
    <m/>
  </r>
  <r>
    <x v="9"/>
    <s v="Diciembre"/>
    <n v="0.97881969587255613"/>
    <n v="0.99083745647791832"/>
    <n v="0.98787110789283128"/>
    <n v="0"/>
    <n v="0"/>
    <n v="5524"/>
    <n v="67"/>
    <n v="5457"/>
    <n v="5407"/>
    <n v="50"/>
    <m/>
  </r>
  <r>
    <x v="10"/>
    <s v="Enero"/>
    <n v="0.98374128997677324"/>
    <n v="0.99368345064067853"/>
    <n v="0.98999463998570658"/>
    <n v="0"/>
    <n v="0"/>
    <n v="5597"/>
    <n v="56"/>
    <n v="5541"/>
    <n v="5506"/>
    <n v="35"/>
    <m/>
  </r>
  <r>
    <x v="10"/>
    <s v="Febrero"/>
    <n v="0.81270572745227121"/>
    <n v="0.98938088559406934"/>
    <n v="0.8214285714285714"/>
    <n v="0"/>
    <n v="0"/>
    <n v="6076"/>
    <n v="1085"/>
    <n v="4991"/>
    <n v="4938"/>
    <n v="53"/>
    <m/>
  </r>
  <r>
    <x v="10"/>
    <s v="Marzo"/>
    <n v="0.92956204379562046"/>
    <n v="0.98396754877342085"/>
    <n v="0.9447080291970803"/>
    <n v="0"/>
    <n v="0"/>
    <n v="5480"/>
    <n v="303"/>
    <n v="5177"/>
    <n v="5094"/>
    <n v="83"/>
    <m/>
  </r>
  <r>
    <x v="10"/>
    <s v="Abril"/>
    <n v="0.93646971661418776"/>
    <n v="0.98442367601246106"/>
    <n v="0.95128727542137437"/>
    <n v="0"/>
    <n v="0"/>
    <n v="5399"/>
    <n v="263"/>
    <n v="5136"/>
    <n v="5056"/>
    <n v="80"/>
    <m/>
  </r>
  <r>
    <x v="10"/>
    <s v="Mayo"/>
    <n v="0.80821177741761208"/>
    <n v="0.9827019925552879"/>
    <n v="0.82243832162794883"/>
    <n v="0"/>
    <n v="0"/>
    <n v="5553"/>
    <n v="986"/>
    <n v="4567"/>
    <n v="4488"/>
    <n v="79"/>
    <m/>
  </r>
  <r>
    <x v="10"/>
    <s v="Junio"/>
    <n v="0.75854299662035296"/>
    <n v="0.9637404580152672"/>
    <n v="0.78708223807735633"/>
    <n v="0"/>
    <n v="0"/>
    <n v="5326"/>
    <n v="1134"/>
    <n v="4192"/>
    <n v="4040"/>
    <n v="152"/>
    <m/>
  </r>
  <r>
    <x v="10"/>
    <s v="Julio"/>
    <n v="0.70136843928633297"/>
    <n v="0.97028516654684882"/>
    <n v="0.72284773947687508"/>
    <n v="0"/>
    <n v="0"/>
    <n v="5773"/>
    <n v="1600"/>
    <n v="4173"/>
    <n v="4049"/>
    <n v="124"/>
    <m/>
  </r>
  <r>
    <x v="10"/>
    <s v="Agosto"/>
    <n v="0.58083941605839418"/>
    <n v="0.97250229147571032"/>
    <n v="0.5972627737226277"/>
    <n v="0"/>
    <n v="0"/>
    <n v="5480"/>
    <n v="2207"/>
    <n v="3273"/>
    <n v="3183"/>
    <n v="90"/>
    <m/>
  </r>
  <r>
    <x v="10"/>
    <s v="Septiembre"/>
    <n v="0.63377192982456143"/>
    <n v="0.96226415094339623"/>
    <n v="0.658625730994152"/>
    <n v="0"/>
    <n v="0"/>
    <n v="5472"/>
    <n v="1868"/>
    <n v="3604"/>
    <n v="3468"/>
    <n v="136"/>
    <m/>
  </r>
  <r>
    <x v="10"/>
    <s v="Octubre"/>
    <n v="0.7277112738967304"/>
    <n v="0.97114926084883169"/>
    <n v="0.74932999821332857"/>
    <n v="0"/>
    <n v="0"/>
    <n v="5597"/>
    <n v="1403"/>
    <n v="4194"/>
    <n v="4073"/>
    <n v="121"/>
    <m/>
  </r>
  <r>
    <x v="10"/>
    <s v="Noviembre"/>
    <n v="0.72287581699346404"/>
    <n v="0.934798357884569"/>
    <n v="0.77329598506069097"/>
    <n v="0"/>
    <n v="0"/>
    <n v="5355"/>
    <n v="1214"/>
    <n v="4141"/>
    <n v="3871"/>
    <n v="270"/>
    <m/>
  </r>
  <r>
    <x v="10"/>
    <s v="Diciembre"/>
    <n v="0.70510499637943524"/>
    <n v="0.92189349112426033"/>
    <n v="0.76484431571325129"/>
    <n v="0"/>
    <n v="0"/>
    <n v="5524"/>
    <n v="1299"/>
    <n v="4225"/>
    <n v="3895"/>
    <n v="330"/>
    <m/>
  </r>
  <r>
    <x v="11"/>
    <s v="Enero"/>
    <n v="0.72807491446065187"/>
    <n v="0.92453693116853419"/>
    <n v="0.78750225103547633"/>
    <n v="0"/>
    <n v="0"/>
    <n v="5553"/>
    <n v="1180"/>
    <n v="4373"/>
    <n v="4043"/>
    <n v="330"/>
    <m/>
  </r>
  <r>
    <x v="11"/>
    <s v="Febrero"/>
    <n v="0.68986733320515281"/>
    <n v="0.94049803407601573"/>
    <n v="0.73351278600269176"/>
    <n v="0"/>
    <n v="0"/>
    <n v="5201"/>
    <n v="1386"/>
    <n v="3815"/>
    <n v="3588"/>
    <n v="227"/>
    <m/>
  </r>
  <r>
    <x v="11"/>
    <s v="Marzo"/>
    <n v="0.68218694885361553"/>
    <n v="0.88919540229885052"/>
    <n v="0.76719576719576721"/>
    <n v="0"/>
    <n v="0"/>
    <n v="5670"/>
    <n v="1320"/>
    <n v="4350"/>
    <n v="3868"/>
    <n v="482"/>
    <m/>
  </r>
  <r>
    <x v="11"/>
    <s v="Abril"/>
    <n v="0.68004543733434308"/>
    <n v="0.86575078332128219"/>
    <n v="0.78549791745550923"/>
    <n v="0"/>
    <n v="0"/>
    <n v="5282"/>
    <n v="1133"/>
    <n v="4149"/>
    <n v="3592"/>
    <n v="557"/>
    <m/>
  </r>
  <r>
    <x v="11"/>
    <s v="Mayo"/>
    <n v="0.71821684094661531"/>
    <n v="0.94314622982413876"/>
    <n v="0.76151164923867176"/>
    <n v="0"/>
    <n v="0"/>
    <n v="5451"/>
    <n v="1300"/>
    <n v="4151"/>
    <n v="3915"/>
    <n v="236"/>
    <m/>
  </r>
  <r>
    <x v="11"/>
    <s v="Junio"/>
    <n v="0.73587701426190033"/>
    <n v="0.969970703125"/>
    <n v="0.75865901092794963"/>
    <n v="0"/>
    <n v="0"/>
    <n v="5399"/>
    <n v="1303"/>
    <n v="4096"/>
    <n v="3973"/>
    <n v="123"/>
    <m/>
  </r>
  <r>
    <x v="11"/>
    <s v="Julio"/>
    <n v="0.73383756528002886"/>
    <n v="0.97325053737759737"/>
    <n v="0.75400684314784805"/>
    <n v="0"/>
    <n v="0"/>
    <n v="5553"/>
    <n v="1366"/>
    <n v="4187"/>
    <n v="4075"/>
    <n v="112"/>
    <m/>
  </r>
  <r>
    <x v="11"/>
    <s v="Agosto"/>
    <n v="0.93102824040550325"/>
    <n v="0.97645718625403455"/>
    <n v="0.95347574221578568"/>
    <n v="0"/>
    <n v="0"/>
    <n v="5524"/>
    <n v="257"/>
    <n v="5267"/>
    <n v="5143"/>
    <n v="124"/>
    <m/>
  </r>
  <r>
    <x v="11"/>
    <s v="Septiembre"/>
    <n v="0.95924707602339176"/>
    <n v="0.98535761216444528"/>
    <n v="0.97350146198830412"/>
    <n v="0"/>
    <n v="0"/>
    <n v="5472"/>
    <n v="145"/>
    <n v="5327"/>
    <n v="5249"/>
    <n v="78"/>
    <m/>
  </r>
  <r>
    <x v="11"/>
    <s v="Octubre"/>
    <n v="0.92664233576642341"/>
    <n v="0.97616301422529794"/>
    <n v="0.94927007299270072"/>
    <n v="0"/>
    <n v="0"/>
    <n v="5480"/>
    <n v="278"/>
    <n v="5202"/>
    <n v="5078"/>
    <n v="124"/>
    <m/>
  </r>
  <r>
    <x v="11"/>
    <s v="Noviembre"/>
    <n v="0.79879385964912286"/>
    <n v="0.85038910505836574"/>
    <n v="0.93932748538011701"/>
    <n v="0"/>
    <n v="0"/>
    <n v="5472"/>
    <n v="332"/>
    <n v="5140"/>
    <n v="4371"/>
    <n v="769"/>
    <m/>
  </r>
  <r>
    <x v="11"/>
    <s v="Diciembre"/>
    <m/>
    <m/>
    <m/>
    <m/>
    <m/>
    <m/>
    <m/>
    <m/>
    <m/>
    <m/>
    <s v="Sin Datos"/>
  </r>
  <r>
    <x v="12"/>
    <s v="Enero"/>
    <n v="0.83321571394965888"/>
    <n v="0.85062439961575409"/>
    <n v="0.97953422724064931"/>
    <m/>
    <m/>
    <n v="4251"/>
    <n v="87"/>
    <n v="4164"/>
    <n v="3542"/>
    <n v="622"/>
    <m/>
  </r>
  <r>
    <x v="12"/>
    <s v="Febrero"/>
    <n v="0.89772727272727271"/>
    <n v="0.93040685224839403"/>
    <n v="0.96487603305785119"/>
    <m/>
    <m/>
    <n v="3872"/>
    <n v="136"/>
    <n v="3736"/>
    <n v="3476"/>
    <n v="260"/>
    <m/>
  </r>
  <r>
    <x v="12"/>
    <s v="Marzo"/>
    <n v="0.88493919550982225"/>
    <n v="0.90874159462055715"/>
    <n v="0.97380729653882137"/>
    <m/>
    <m/>
    <n v="4276"/>
    <n v="112"/>
    <n v="4164"/>
    <n v="3784"/>
    <n v="380"/>
    <m/>
  </r>
  <r>
    <x v="12"/>
    <s v="Abril"/>
    <n v="0.89305589160416166"/>
    <n v="0.92067847343477172"/>
    <n v="0.96999758045003626"/>
    <m/>
    <m/>
    <n v="4133"/>
    <n v="124"/>
    <n v="4009"/>
    <n v="3691"/>
    <n v="318"/>
    <m/>
  </r>
  <r>
    <x v="12"/>
    <s v="Mayo"/>
    <n v="0.90708068689720067"/>
    <n v="0.94140625"/>
    <n v="0.96353799106092686"/>
    <m/>
    <m/>
    <n v="4251"/>
    <n v="155"/>
    <n v="4096"/>
    <n v="3856"/>
    <n v="240"/>
    <m/>
  </r>
  <r>
    <x v="12"/>
    <s v="Junio"/>
    <n v="0.86184369707234454"/>
    <n v="0.90913731495661054"/>
    <n v="0.94797967578030484"/>
    <m/>
    <m/>
    <n v="4133"/>
    <n v="215"/>
    <n v="3918"/>
    <n v="3562"/>
    <n v="356"/>
    <m/>
  </r>
  <r>
    <x v="12"/>
    <s v="Julio"/>
    <n v="0.83721477299458946"/>
    <n v="0.88576406172224986"/>
    <n v="0.94518936720771585"/>
    <m/>
    <m/>
    <n v="4251"/>
    <n v="233"/>
    <n v="4018"/>
    <n v="3559"/>
    <n v="459"/>
    <m/>
  </r>
  <r>
    <x v="12"/>
    <s v="Agosto"/>
    <n v="0.80425631431244149"/>
    <n v="0.87372967479674801"/>
    <n v="0.92048643592142187"/>
    <m/>
    <m/>
    <n v="4276"/>
    <n v="340"/>
    <n v="3936"/>
    <n v="3439"/>
    <n v="497"/>
    <m/>
  </r>
  <r>
    <x v="12"/>
    <s v="Septiembre"/>
    <n v="0.83092833092833096"/>
    <n v="0.90161795407098122"/>
    <n v="0.92159692159692164"/>
    <m/>
    <m/>
    <n v="4158"/>
    <n v="326"/>
    <n v="3832"/>
    <n v="3455"/>
    <n v="377"/>
    <m/>
  </r>
  <r>
    <x v="12"/>
    <s v="Octubre"/>
    <n v="0.90949799670044784"/>
    <n v="0.93938656280428434"/>
    <n v="0.9681828894650012"/>
    <m/>
    <m/>
    <n v="4243"/>
    <n v="135"/>
    <n v="4108"/>
    <n v="3859"/>
    <n v="249"/>
    <m/>
  </r>
  <r>
    <x v="12"/>
    <s v="Noviembre"/>
    <n v="0.86724386724386726"/>
    <n v="0.91779078645965895"/>
    <n v="0.94492544492544495"/>
    <m/>
    <m/>
    <n v="4158"/>
    <n v="229"/>
    <n v="3929"/>
    <n v="3606"/>
    <n v="323"/>
    <m/>
  </r>
  <r>
    <x v="12"/>
    <s v="Diciembre"/>
    <n v="0.87441424554826619"/>
    <n v="0.91785538612887363"/>
    <n v="0.95267104029990624"/>
    <m/>
    <m/>
    <n v="4268"/>
    <n v="202"/>
    <n v="4066"/>
    <n v="3732"/>
    <n v="334"/>
    <m/>
  </r>
  <r>
    <x v="13"/>
    <s v="Enero"/>
    <n v="0.93334892422825066"/>
    <n v="0.9568448813234236"/>
    <n v="0.97544434050514495"/>
    <m/>
    <m/>
    <n v="4276"/>
    <n v="105"/>
    <n v="4171"/>
    <n v="3991"/>
    <n v="180"/>
    <m/>
  </r>
  <r>
    <x v="13"/>
    <s v="Febrero"/>
    <n v="0.91503099173553715"/>
    <n v="0.94404476418864913"/>
    <n v="0.96926652892561982"/>
    <m/>
    <m/>
    <n v="3872"/>
    <n v="119"/>
    <n v="3753"/>
    <n v="3543"/>
    <n v="210"/>
    <m/>
  </r>
  <r>
    <x v="13"/>
    <s v="Marzo"/>
    <n v="0.84494855004677272"/>
    <n v="0.89342235410484672"/>
    <n v="0.94574368568755851"/>
    <m/>
    <m/>
    <n v="4276"/>
    <n v="232"/>
    <n v="4044"/>
    <n v="3613"/>
    <n v="431"/>
    <m/>
  </r>
  <r>
    <x v="13"/>
    <s v="Abril"/>
    <n v="0.90518084066471161"/>
    <n v="0.93158953722334004"/>
    <n v="0.97165200391006845"/>
    <m/>
    <m/>
    <n v="4092"/>
    <n v="116"/>
    <n v="3976"/>
    <n v="3704"/>
    <n v="272"/>
    <m/>
  </r>
  <r>
    <x v="13"/>
    <s v="Mayo"/>
    <n v="0.8543872030110562"/>
    <n v="0.90213611525086934"/>
    <n v="0.94707127734650676"/>
    <m/>
    <m/>
    <n v="4251"/>
    <n v="225"/>
    <n v="4026"/>
    <n v="3632"/>
    <n v="394"/>
    <m/>
  </r>
  <r>
    <x v="13"/>
    <s v="Junio"/>
    <n v="0.87055407694168885"/>
    <n v="0.91459074733096091"/>
    <n v="0.95185095572223566"/>
    <m/>
    <m/>
    <n v="4133"/>
    <n v="199"/>
    <n v="3934"/>
    <n v="3598"/>
    <n v="336"/>
    <m/>
  </r>
  <r>
    <x v="13"/>
    <s v="Julio"/>
    <n v="0.88074039362699152"/>
    <n v="0.94210526315789478"/>
    <n v="0.93486410496719774"/>
    <m/>
    <m/>
    <n v="4268"/>
    <n v="278"/>
    <n v="3990"/>
    <n v="3759"/>
    <n v="231"/>
    <m/>
  </r>
  <r>
    <x v="13"/>
    <s v="Agosto"/>
    <n v="0.87207670720299346"/>
    <n v="0.91509202453987726"/>
    <n v="0.95299345182413475"/>
    <m/>
    <m/>
    <n v="4276"/>
    <n v="201"/>
    <n v="4075"/>
    <n v="3729"/>
    <n v="346"/>
    <m/>
  </r>
  <r>
    <x v="13"/>
    <s v="Septiembre"/>
    <n v="0.83397590361445784"/>
    <n v="0.90318371607515657"/>
    <n v="0.92337349397590363"/>
    <m/>
    <m/>
    <n v="4150"/>
    <n v="318"/>
    <n v="3832"/>
    <n v="3461"/>
    <n v="371"/>
    <m/>
  </r>
  <r>
    <x v="13"/>
    <s v="Octubre"/>
    <n v="0.86661961891319694"/>
    <n v="0.91278493557978191"/>
    <n v="0.94942366501999531"/>
    <m/>
    <m/>
    <n v="4251"/>
    <n v="215"/>
    <n v="4036"/>
    <n v="3684"/>
    <n v="352"/>
    <m/>
  </r>
  <r>
    <x v="13"/>
    <s v="Noviembre"/>
    <n v="0.86002886002886003"/>
    <n v="0.90211907164480321"/>
    <n v="0.95334295334295338"/>
    <m/>
    <m/>
    <n v="4158"/>
    <n v="194"/>
    <n v="3964"/>
    <n v="3576"/>
    <n v="388"/>
    <m/>
  </r>
  <r>
    <x v="13"/>
    <s v="Diciembre"/>
    <n v="0.853959222380275"/>
    <n v="0.8962428464792237"/>
    <n v="0.95282124229492648"/>
    <m/>
    <m/>
    <n v="4218"/>
    <n v="199"/>
    <n v="4019"/>
    <n v="3602"/>
    <n v="417"/>
    <m/>
  </r>
  <r>
    <x v="14"/>
    <s v="Enero"/>
    <n v="0.92235734331150609"/>
    <n v="0.9549636803874092"/>
    <n v="0.96585594013096354"/>
    <m/>
    <m/>
    <n v="4276"/>
    <n v="146"/>
    <n v="4130"/>
    <n v="3944"/>
    <n v="186"/>
    <m/>
  </r>
  <r>
    <x v="14"/>
    <s v="Febrero"/>
    <n v="0.85537190082644632"/>
    <n v="0.93665158371040724"/>
    <n v="0.91322314049586772"/>
    <m/>
    <m/>
    <n v="3872"/>
    <n v="336"/>
    <n v="3536"/>
    <n v="3312"/>
    <n v="224"/>
    <m/>
  </r>
  <r>
    <x v="14"/>
    <s v="Marzo"/>
    <n v="0.83044901777362023"/>
    <n v="0.90379231356579282"/>
    <n v="0.91884939195509818"/>
    <m/>
    <m/>
    <n v="4276"/>
    <n v="347"/>
    <n v="3929"/>
    <n v="3551"/>
    <n v="378"/>
    <m/>
  </r>
  <r>
    <x v="14"/>
    <s v="Abril"/>
    <n v="0.66593191280920894"/>
    <n v="0.88336582196231317"/>
    <n v="0.75385745775165325"/>
    <m/>
    <m/>
    <n v="4083"/>
    <n v="1005"/>
    <n v="3078"/>
    <n v="2719"/>
    <n v="359"/>
    <m/>
  </r>
  <r>
    <x v="14"/>
    <s v="Mayo"/>
    <n v="0.73606210303458008"/>
    <n v="0.85258855585831061"/>
    <n v="0.86332627617031288"/>
    <m/>
    <m/>
    <n v="4251"/>
    <n v="581"/>
    <n v="3670"/>
    <n v="3129"/>
    <n v="541"/>
    <m/>
  </r>
  <r>
    <x v="14"/>
    <s v="Junio"/>
    <n v="0.81187878787878787"/>
    <n v="0.8739561586638831"/>
    <n v="0.928969696969697"/>
    <m/>
    <m/>
    <n v="4125"/>
    <n v="293"/>
    <n v="3832"/>
    <n v="3349"/>
    <n v="483"/>
    <m/>
  </r>
  <r>
    <x v="14"/>
    <s v="Julio"/>
    <n v="0.84450717478240411"/>
    <n v="0.95605858854860182"/>
    <n v="0.88332157139496592"/>
    <m/>
    <m/>
    <n v="4251"/>
    <n v="496"/>
    <n v="3755"/>
    <n v="3590"/>
    <n v="165"/>
    <m/>
  </r>
  <r>
    <x v="14"/>
    <s v="Agosto"/>
    <n v="0.92048643592142187"/>
    <n v="0.94889103182256507"/>
    <n v="0.97006548175865293"/>
    <m/>
    <m/>
    <n v="4276"/>
    <n v="128"/>
    <n v="4148"/>
    <n v="3936"/>
    <n v="212"/>
    <m/>
  </r>
  <r>
    <x v="14"/>
    <s v="Septiembre"/>
    <n v="0.94787878787878788"/>
    <n v="0.97142857142857142"/>
    <n v="0.97575757575757571"/>
    <m/>
    <m/>
    <n v="4125"/>
    <n v="100"/>
    <n v="4025"/>
    <n v="3910"/>
    <n v="115"/>
    <m/>
  </r>
  <r>
    <x v="14"/>
    <s v="Octubre"/>
    <n v="0.94761459307764262"/>
    <n v="0.9707714422616196"/>
    <n v="0.97614593077642653"/>
    <m/>
    <m/>
    <n v="4276"/>
    <n v="102"/>
    <n v="4174"/>
    <n v="4052"/>
    <n v="122"/>
    <m/>
  </r>
  <r>
    <x v="14"/>
    <s v="Noviembre"/>
    <n v="0.95767195767195767"/>
    <n v="0.9766985528574933"/>
    <n v="0.98051948051948057"/>
    <m/>
    <m/>
    <n v="4158"/>
    <n v="81"/>
    <n v="4077"/>
    <n v="3982"/>
    <n v="95"/>
    <m/>
  </r>
  <r>
    <x v="14"/>
    <s v="Diciembre"/>
    <n v="0.94628490298154277"/>
    <n v="0.97655677655677653"/>
    <n v="0.96900141978230003"/>
    <m/>
    <m/>
    <n v="4226"/>
    <n v="131"/>
    <n v="4095"/>
    <n v="3999"/>
    <n v="96"/>
    <m/>
  </r>
  <r>
    <x v="15"/>
    <s v="Enero"/>
    <n v="0.92025257249766135"/>
    <n v="0.9445511281805089"/>
    <n v="0.97427502338634242"/>
    <m/>
    <m/>
    <n v="4276"/>
    <n v="110"/>
    <n v="4166"/>
    <n v="3935"/>
    <n v="231"/>
    <m/>
  </r>
  <r>
    <x v="15"/>
    <s v="Febrero"/>
    <n v="0.84383561643835614"/>
    <n v="0.89416732647136443"/>
    <n v="0.94371108343711085"/>
    <m/>
    <m/>
    <n v="4015"/>
    <n v="226"/>
    <n v="3789"/>
    <n v="3388"/>
    <n v="401"/>
    <m/>
  </r>
  <r>
    <x v="15"/>
    <s v="Marzo"/>
    <n v="0.91583688952110009"/>
    <n v="0.95218141483855068"/>
    <n v="0.96183025130393551"/>
    <m/>
    <m/>
    <n v="4218"/>
    <n v="161"/>
    <n v="4057"/>
    <n v="3863"/>
    <n v="194"/>
    <m/>
  </r>
  <r>
    <x v="15"/>
    <s v="Abril"/>
    <n v="0.89523348657149771"/>
    <n v="0.94774590163934425"/>
    <n v="0.94459230583111542"/>
    <m/>
    <m/>
    <n v="4133"/>
    <n v="229"/>
    <n v="3904"/>
    <n v="3700"/>
    <n v="204"/>
    <m/>
  </r>
  <r>
    <x v="15"/>
    <s v="Mayo"/>
    <n v="0.93720712277413309"/>
    <n v="0.95397090388743144"/>
    <n v="0.98242736644798501"/>
    <m/>
    <m/>
    <n v="4268"/>
    <n v="75"/>
    <n v="4193"/>
    <n v="4000"/>
    <n v="193"/>
    <m/>
  </r>
  <r>
    <x v="15"/>
    <s v="Junio"/>
    <n v="0.94206426484907502"/>
    <n v="0.9598214285714286"/>
    <n v="0.98149951314508277"/>
    <m/>
    <m/>
    <n v="4108"/>
    <n v="76"/>
    <n v="4032"/>
    <n v="3870"/>
    <n v="162"/>
    <m/>
  </r>
  <r>
    <x v="15"/>
    <s v="Julio"/>
    <n v="0.9179497996203333"/>
    <n v="0.93894282632146708"/>
    <n v="0.97764184771145324"/>
    <m/>
    <m/>
    <n v="4741"/>
    <n v="106"/>
    <n v="4635"/>
    <n v="4352"/>
    <n v="283"/>
    <m/>
  </r>
  <r>
    <x v="15"/>
    <s v="Agosto"/>
    <n v="0.91860465116279066"/>
    <n v="0.94429028815368199"/>
    <n v="0.9727990033222591"/>
    <m/>
    <m/>
    <n v="4816"/>
    <n v="131"/>
    <n v="4685"/>
    <n v="4424"/>
    <n v="261"/>
    <m/>
  </r>
  <r>
    <x v="15"/>
    <s v="Septiembre"/>
    <n v="0.87714467273882657"/>
    <n v="0.91777482269503541"/>
    <n v="0.9557297182800254"/>
    <m/>
    <m/>
    <n v="4721"/>
    <n v="209"/>
    <n v="4512"/>
    <n v="4141"/>
    <n v="371"/>
    <m/>
  </r>
  <r>
    <x v="15"/>
    <s v="Octubre"/>
    <n v="0.91180712961055022"/>
    <n v="0.93059936908517349"/>
    <n v="0.97980630537811664"/>
    <m/>
    <m/>
    <n v="4853"/>
    <n v="98"/>
    <n v="4755"/>
    <n v="4425"/>
    <n v="330"/>
    <m/>
  </r>
  <r>
    <x v="15"/>
    <s v="Noviembre"/>
    <n v="0.85784418356456782"/>
    <n v="0.89669790272199912"/>
    <n v="0.9566702241195304"/>
    <m/>
    <m/>
    <n v="4685"/>
    <n v="203"/>
    <n v="4482"/>
    <n v="4019"/>
    <n v="463"/>
    <m/>
  </r>
  <r>
    <x v="15"/>
    <s v="Diciembre"/>
    <n v="0.80373056994818648"/>
    <n v="0.86659217877094974"/>
    <n v="0.92746113989637302"/>
    <m/>
    <m/>
    <n v="4825"/>
    <n v="350"/>
    <n v="4475"/>
    <n v="3878"/>
    <n v="597"/>
    <m/>
  </r>
  <r>
    <x v="16"/>
    <s v="Enero"/>
    <n v="0.82422116773261811"/>
    <n v="0.87341495408832537"/>
    <n v="0.94367650092840938"/>
    <m/>
    <m/>
    <n v="4847"/>
    <n v="273"/>
    <n v="4574"/>
    <n v="3995"/>
    <n v="579"/>
    <m/>
  </r>
  <r>
    <x v="16"/>
    <s v="Febrero"/>
    <n v="0.81710646041856227"/>
    <n v="0.86658624849215926"/>
    <n v="0.94290263876251135"/>
    <m/>
    <m/>
    <n v="4396"/>
    <n v="251"/>
    <n v="4145"/>
    <n v="3592"/>
    <n v="553"/>
    <m/>
  </r>
  <r>
    <x v="16"/>
    <s v="Marzo"/>
    <n v="0.73984245439469321"/>
    <n v="0.77401865105183254"/>
    <n v="0.9558457711442786"/>
    <m/>
    <m/>
    <n v="4824"/>
    <n v="213"/>
    <n v="4611"/>
    <n v="3569"/>
    <n v="1042"/>
    <m/>
  </r>
  <r>
    <x v="16"/>
    <s v="Abril"/>
    <n v="0.77413127413127414"/>
    <n v="0.81119352663519895"/>
    <n v="0.95431145431145437"/>
    <m/>
    <m/>
    <n v="4662"/>
    <n v="213"/>
    <n v="4449"/>
    <n v="3609"/>
    <n v="840"/>
    <m/>
  </r>
  <r>
    <x v="16"/>
    <s v="Mayo"/>
    <n v="0.7876383378575903"/>
    <n v="0.81804380828453693"/>
    <n v="0.96283148882856551"/>
    <m/>
    <m/>
    <n v="4789"/>
    <n v="178"/>
    <n v="4611"/>
    <n v="3772"/>
    <n v="839"/>
    <m/>
  </r>
  <r>
    <x v="16"/>
    <s v="Junio"/>
    <n v="0.77616712854402048"/>
    <n v="0.82524932003626472"/>
    <n v="0.94052440844169682"/>
    <m/>
    <m/>
    <n v="4691"/>
    <n v="279"/>
    <n v="4412"/>
    <n v="3641"/>
    <n v="771"/>
    <m/>
  </r>
  <r>
    <x v="16"/>
    <s v="Julio"/>
    <n v="0.82834743140086653"/>
    <n v="0.85699039487726791"/>
    <n v="0.96657726428718793"/>
    <m/>
    <m/>
    <n v="4847"/>
    <n v="162"/>
    <n v="4685"/>
    <n v="4015"/>
    <n v="670"/>
    <m/>
  </r>
  <r>
    <x v="16"/>
    <s v="Agosto"/>
    <n v="0.8262764632627646"/>
    <n v="0.84630102040816324"/>
    <n v="0.97633872976338731"/>
    <m/>
    <m/>
    <n v="4818"/>
    <n v="114"/>
    <n v="4704"/>
    <n v="3981"/>
    <n v="723"/>
    <m/>
  </r>
  <r>
    <x v="16"/>
    <s v="Septiembre"/>
    <n v="0.80338983050847457"/>
    <n v="0.84341637010676151"/>
    <n v="0.9525423728813559"/>
    <m/>
    <m/>
    <n v="4720"/>
    <n v="224"/>
    <n v="4496"/>
    <n v="3792"/>
    <n v="704"/>
    <m/>
  </r>
  <r>
    <x v="16"/>
    <s v="Octubre"/>
    <n v="0.80730348669279972"/>
    <n v="0.83043293718166389"/>
    <n v="0.97214772023932328"/>
    <m/>
    <m/>
    <n v="4847"/>
    <n v="135"/>
    <n v="4712"/>
    <n v="3913"/>
    <n v="799"/>
    <m/>
  </r>
  <r>
    <x v="16"/>
    <s v="Noviembre"/>
    <n v="0.75399701556171395"/>
    <n v="0.80901189387008232"/>
    <n v="0.93199744191004052"/>
    <m/>
    <m/>
    <n v="4691"/>
    <n v="319"/>
    <n v="4372"/>
    <n v="3537"/>
    <n v="835"/>
    <m/>
  </r>
  <r>
    <x v="16"/>
    <s v="Diciembre"/>
    <n v="0.8063847429519071"/>
    <n v="0.86061946902654862"/>
    <n v="0.93698175787728022"/>
    <m/>
    <m/>
    <n v="4824"/>
    <n v="304"/>
    <n v="4520"/>
    <n v="3890"/>
    <n v="630"/>
    <m/>
  </r>
  <r>
    <x v="17"/>
    <s v="Enero"/>
    <n v="0.87754254877542548"/>
    <n v="0.89690284259652098"/>
    <n v="0.97841427978414275"/>
    <m/>
    <m/>
    <n v="4818"/>
    <n v="104"/>
    <n v="4714"/>
    <n v="4228"/>
    <n v="486"/>
    <m/>
  </r>
  <r>
    <x v="17"/>
    <s v="Febrero"/>
    <n v="0.79686078252957238"/>
    <n v="0.83305588585017831"/>
    <n v="0.95655141037306646"/>
    <m/>
    <m/>
    <n v="4396"/>
    <n v="191"/>
    <n v="4205"/>
    <n v="3503"/>
    <n v="702"/>
    <m/>
  </r>
  <r>
    <x v="17"/>
    <s v="Marzo"/>
    <n v="0.8357716876159077"/>
    <n v="0.85389473684210526"/>
    <n v="0.97877601483618382"/>
    <m/>
    <m/>
    <n v="4853"/>
    <n v="103"/>
    <n v="4750"/>
    <n v="4056"/>
    <n v="694"/>
    <m/>
  </r>
  <r>
    <x v="17"/>
    <s v="Abril"/>
    <n v="0.77886872998932766"/>
    <n v="0.82166178788561139"/>
    <n v="0.94791889007470653"/>
    <m/>
    <m/>
    <n v="4685"/>
    <n v="244"/>
    <n v="4441"/>
    <n v="3649"/>
    <n v="792"/>
    <m/>
  </r>
  <r>
    <x v="17"/>
    <s v="Mayo"/>
    <n v="0.89760805707091906"/>
    <n v="0.90885914595283623"/>
    <n v="0.98762064624422996"/>
    <m/>
    <m/>
    <n v="4766"/>
    <n v="59"/>
    <n v="4707"/>
    <n v="4278"/>
    <n v="429"/>
    <m/>
  </r>
  <r>
    <x v="17"/>
    <s v="Junio"/>
    <n v="0.8900021317416329"/>
    <n v="0.90328861964517526"/>
    <n v="0.98529098273289273"/>
    <m/>
    <m/>
    <n v="4691"/>
    <n v="69"/>
    <n v="4622"/>
    <n v="4175"/>
    <n v="447"/>
    <m/>
  </r>
  <r>
    <x v="17"/>
    <s v="Julio"/>
    <n v="0.89147926552506707"/>
    <n v="0.91430385103681755"/>
    <n v="0.97503610480709713"/>
    <m/>
    <m/>
    <n v="4847"/>
    <n v="121"/>
    <n v="4726"/>
    <n v="4321"/>
    <n v="405"/>
    <m/>
  </r>
  <r>
    <x v="17"/>
    <s v="Agosto"/>
    <n v="0.88847429519071308"/>
    <n v="0.91561632129886772"/>
    <n v="0.97035655058043113"/>
    <m/>
    <m/>
    <n v="4824"/>
    <n v="143"/>
    <n v="4681"/>
    <n v="4286"/>
    <n v="395"/>
    <m/>
  </r>
  <r>
    <x v="17"/>
    <s v="Septiembre"/>
    <n v="0.88728813559322028"/>
    <n v="0.9055135135135135"/>
    <n v="0.9798728813559322"/>
    <m/>
    <m/>
    <n v="4720"/>
    <n v="95"/>
    <n v="4625"/>
    <n v="4188"/>
    <n v="437"/>
    <m/>
  </r>
  <r>
    <x v="17"/>
    <s v="Octubre"/>
    <n v="0.88703278346210068"/>
    <n v="0.91650485436893203"/>
    <n v="0.96784297348089376"/>
    <m/>
    <m/>
    <n v="4789"/>
    <n v="154"/>
    <n v="4635"/>
    <n v="4248"/>
    <n v="387"/>
    <m/>
  </r>
  <r>
    <x v="17"/>
    <s v="Noviembre"/>
    <n v="0.88829673843530166"/>
    <n v="0.90883315158124323"/>
    <n v="0.97740353869111063"/>
    <m/>
    <m/>
    <n v="4691"/>
    <n v="106"/>
    <n v="4585"/>
    <n v="4167"/>
    <n v="418"/>
    <m/>
  </r>
  <r>
    <x v="17"/>
    <s v="Diciembre"/>
    <n v="0.75695309256953092"/>
    <n v="0.91334835962935135"/>
    <n v="0.82876712328767121"/>
    <m/>
    <m/>
    <n v="4818"/>
    <n v="825"/>
    <n v="3993"/>
    <n v="3647"/>
    <n v="346"/>
    <m/>
  </r>
  <r>
    <x v="18"/>
    <s v="Enero"/>
    <n v="0.91894693200663347"/>
    <n v="0.94198895027624308"/>
    <n v="0.9755389718076285"/>
    <m/>
    <m/>
    <n v="4824"/>
    <n v="118"/>
    <n v="4706"/>
    <n v="4433"/>
    <n v="273"/>
    <m/>
  </r>
  <r>
    <x v="18"/>
    <s v="Febrero"/>
    <n v="0.9131028207461328"/>
    <n v="0.94647488799811363"/>
    <n v="0.9647406733393995"/>
    <m/>
    <m/>
    <n v="4396"/>
    <n v="155"/>
    <n v="4241"/>
    <n v="4014"/>
    <n v="227"/>
    <m/>
  </r>
  <r>
    <x v="18"/>
    <s v="Marzo"/>
    <n v="0.92299622324800668"/>
    <n v="0.94683598794662072"/>
    <n v="0.97482165337809479"/>
    <m/>
    <m/>
    <n v="4766"/>
    <n v="120"/>
    <n v="4646"/>
    <n v="4399"/>
    <n v="247"/>
    <m/>
  </r>
  <r>
    <x v="18"/>
    <s v="Abril"/>
    <n v="0.9153780068728522"/>
    <n v="0.93752749670039592"/>
    <n v="0.97637457044673537"/>
    <m/>
    <m/>
    <n v="4656"/>
    <n v="110"/>
    <n v="4546"/>
    <n v="4262"/>
    <n v="284"/>
    <m/>
  </r>
  <r>
    <x v="18"/>
    <s v="Mayo"/>
    <n v="0.93573797678275294"/>
    <n v="0.95615335733954676"/>
    <n v="0.97864842454394696"/>
    <m/>
    <m/>
    <n v="4824"/>
    <n v="103"/>
    <n v="4721"/>
    <n v="4514"/>
    <n v="207"/>
    <m/>
  </r>
  <r>
    <x v="18"/>
    <s v="Junio"/>
    <n v="0.92858665529737794"/>
    <n v="0.94572297003907946"/>
    <n v="0.98188019612023025"/>
    <m/>
    <m/>
    <n v="4691"/>
    <n v="85"/>
    <n v="4606"/>
    <n v="4356"/>
    <n v="250"/>
    <m/>
  </r>
  <r>
    <x v="18"/>
    <s v="Julio"/>
    <n v="0.91998341625207292"/>
    <n v="0.95236051502145924"/>
    <n v="0.96600331674958539"/>
    <m/>
    <m/>
    <n v="4824"/>
    <n v="164"/>
    <n v="4660"/>
    <n v="4438"/>
    <n v="222"/>
    <m/>
  </r>
  <r>
    <x v="18"/>
    <s v="Agosto"/>
    <n v="0.92994024314856794"/>
    <n v="0.96103066439522999"/>
    <n v="0.96764887698330926"/>
    <m/>
    <m/>
    <n v="4853"/>
    <n v="157"/>
    <n v="4696"/>
    <n v="4513"/>
    <n v="183"/>
    <m/>
  </r>
  <r>
    <x v="18"/>
    <s v="Septiembre"/>
    <n v="0.93411016949152548"/>
    <n v="0.9609851787271142"/>
    <n v="0.9720338983050848"/>
    <m/>
    <m/>
    <n v="4720"/>
    <n v="132"/>
    <n v="4588"/>
    <n v="4409"/>
    <n v="179"/>
    <m/>
  </r>
  <r>
    <x v="18"/>
    <s v="Octubre"/>
    <n v="0.94541303445413039"/>
    <n v="0.96076777051255013"/>
    <n v="0.98401826484018262"/>
    <m/>
    <m/>
    <n v="4818"/>
    <n v="77"/>
    <n v="4741"/>
    <n v="4555"/>
    <n v="186"/>
    <m/>
  </r>
  <r>
    <x v="18"/>
    <s v="Noviembre"/>
    <n v="0.94052440844169682"/>
    <n v="0.95373973194984873"/>
    <n v="0.9861436793860584"/>
    <m/>
    <m/>
    <n v="4691"/>
    <n v="65"/>
    <n v="4626"/>
    <n v="4412"/>
    <n v="214"/>
    <m/>
  </r>
  <r>
    <x v="18"/>
    <s v="Diciembre"/>
    <n v="0.87712743877127441"/>
    <n v="0.91650401214487098"/>
    <n v="0.9570361145703612"/>
    <m/>
    <m/>
    <n v="4818"/>
    <n v="207"/>
    <n v="4611"/>
    <n v="4226"/>
    <n v="385"/>
    <m/>
  </r>
  <r>
    <x v="19"/>
    <s v="Enero"/>
    <n v="0.90912837420152481"/>
    <n v="0.941929974380871"/>
    <n v="0.96517617968267055"/>
    <m/>
    <m/>
    <n v="4853"/>
    <n v="169"/>
    <n v="4684"/>
    <n v="4412"/>
    <n v="272"/>
    <m/>
  </r>
  <r>
    <x v="19"/>
    <s v="Febrero"/>
    <n v="0.8575262804741669"/>
    <n v="0.88935281837160751"/>
    <n v="0.96421382241109377"/>
    <m/>
    <m/>
    <n v="4471"/>
    <n v="160"/>
    <n v="4311"/>
    <n v="3834"/>
    <n v="477"/>
    <m/>
  </r>
  <r>
    <x v="19"/>
    <s v="Marzo"/>
    <n v="0.87161761801303572"/>
    <n v="0.90300798035604668"/>
    <n v="0.9652380011850682"/>
    <m/>
    <m/>
    <n v="5063"/>
    <n v="176"/>
    <n v="4887"/>
    <n v="4413"/>
    <n v="474"/>
    <m/>
  </r>
  <r>
    <x v="19"/>
    <s v="Abril"/>
    <n v="0.75171553337492203"/>
    <n v="0.8864639529180971"/>
    <n v="0.84799334580993968"/>
    <m/>
    <m/>
    <n v="4809"/>
    <n v="731"/>
    <n v="4078"/>
    <n v="3615"/>
    <n v="463"/>
    <m/>
  </r>
  <r>
    <x v="19"/>
    <s v="Mayo"/>
    <n v="0.86652165315404395"/>
    <n v="0.9153958637977857"/>
    <n v="0.94660866126161758"/>
    <m/>
    <m/>
    <n v="5057"/>
    <n v="270"/>
    <n v="4787"/>
    <n v="4382"/>
    <n v="405"/>
    <m/>
  </r>
  <r>
    <x v="19"/>
    <s v="Junio"/>
    <n v="0.80244648318042811"/>
    <n v="0.89515578803729812"/>
    <n v="0.89643221202854229"/>
    <m/>
    <m/>
    <n v="4905"/>
    <n v="508"/>
    <n v="4397"/>
    <n v="3936"/>
    <n v="461"/>
    <m/>
  </r>
  <r>
    <x v="19"/>
    <s v="Julio"/>
    <n v="0.88946015424164526"/>
    <n v="0.94674805304146492"/>
    <n v="0.93948981609649995"/>
    <m/>
    <m/>
    <n v="5057"/>
    <n v="306"/>
    <n v="4751"/>
    <n v="4498"/>
    <n v="253"/>
    <m/>
  </r>
  <r>
    <x v="19"/>
    <s v="Agosto"/>
    <n v="0.87522106504224795"/>
    <n v="0.91797197032151689"/>
    <n v="0.953428964433091"/>
    <m/>
    <m/>
    <n v="5089"/>
    <n v="237"/>
    <n v="4852"/>
    <n v="4454"/>
    <n v="398"/>
    <m/>
  </r>
  <r>
    <x v="19"/>
    <s v="Septiembre"/>
    <n v="0.85963472193720503"/>
    <n v="0.91703152364273199"/>
    <n v="0.93741021957726245"/>
    <m/>
    <m/>
    <n v="4873"/>
    <n v="305"/>
    <n v="4568"/>
    <n v="4189"/>
    <n v="379"/>
    <m/>
  </r>
  <r>
    <x v="19"/>
    <s v="Octubre"/>
    <n v="0.86578895657300059"/>
    <n v="0.91391827421696747"/>
    <n v="0.94733739438003539"/>
    <m/>
    <m/>
    <n v="5089"/>
    <n v="268"/>
    <n v="4821"/>
    <n v="4406"/>
    <n v="415"/>
    <m/>
  </r>
  <r>
    <x v="19"/>
    <s v="Noviembre"/>
    <n v="0.78832858885725909"/>
    <n v="0.88093615087480115"/>
    <n v="0.89487596583977225"/>
    <m/>
    <m/>
    <n v="4918"/>
    <n v="517"/>
    <n v="4401"/>
    <n v="3877"/>
    <n v="524"/>
    <m/>
  </r>
  <r>
    <x v="19"/>
    <s v="Diciembre"/>
    <n v="0.84377510040160641"/>
    <n v="0.89556692242114233"/>
    <n v="0.94216867469879517"/>
    <m/>
    <m/>
    <n v="4980"/>
    <n v="288"/>
    <n v="4692"/>
    <n v="4202"/>
    <n v="490"/>
    <m/>
  </r>
  <r>
    <x v="20"/>
    <s v="Enero"/>
    <n v="0.86012608353033881"/>
    <n v="0.93993541442411199"/>
    <n v="0.91509062253743101"/>
    <m/>
    <m/>
    <n v="5076"/>
    <n v="431"/>
    <n v="4645"/>
    <n v="4366"/>
    <n v="279"/>
    <m/>
  </r>
  <r>
    <x v="20"/>
    <s v="Febrero"/>
    <n v="0.90492021276595747"/>
    <n v="0.9457956914523975"/>
    <n v="0.95678191489361697"/>
    <m/>
    <m/>
    <n v="4512"/>
    <n v="195"/>
    <n v="4317"/>
    <n v="4083"/>
    <n v="234"/>
    <m/>
  </r>
  <r>
    <x v="20"/>
    <s v="Marzo"/>
    <n v="0.91063998414899938"/>
    <n v="0.94431888226833782"/>
    <n v="0.96433524866257181"/>
    <m/>
    <m/>
    <n v="5047"/>
    <n v="180"/>
    <n v="4867"/>
    <n v="4596"/>
    <n v="271"/>
    <m/>
  </r>
  <r>
    <x v="20"/>
    <s v="Abril"/>
    <n v="0.87331150225133036"/>
    <n v="0.90864565587734247"/>
    <n v="0.96111338518215306"/>
    <m/>
    <m/>
    <n v="4886"/>
    <n v="190"/>
    <n v="4696"/>
    <n v="4267"/>
    <n v="429"/>
    <m/>
  </r>
  <r>
    <x v="20"/>
    <s v="Mayo"/>
    <n v="0.8718805266260562"/>
    <n v="0.91844338646243018"/>
    <n v="0.94930241697779527"/>
    <m/>
    <m/>
    <n v="5089"/>
    <n v="258"/>
    <n v="4831"/>
    <n v="4437"/>
    <n v="394"/>
    <m/>
  </r>
  <r>
    <x v="20"/>
    <s v="Junio"/>
    <n v="0.84218136748605665"/>
    <n v="0.8917322834645669"/>
    <n v="0.94443296839495972"/>
    <m/>
    <m/>
    <n v="4841"/>
    <n v="269"/>
    <n v="4572"/>
    <n v="4077"/>
    <n v="495"/>
    <m/>
  </r>
  <r>
    <x v="20"/>
    <s v="Julio"/>
    <n v="0.82000393004519556"/>
    <n v="0.89376740201327909"/>
    <n v="0.91746905089408526"/>
    <m/>
    <m/>
    <n v="5089"/>
    <n v="420"/>
    <n v="4669"/>
    <n v="4173"/>
    <n v="496"/>
    <m/>
  </r>
  <r>
    <x v="20"/>
    <s v="Agosto"/>
    <n v="0.84160756501182032"/>
    <n v="0.86917599186164807"/>
    <n v="0.96828211189913316"/>
    <m/>
    <m/>
    <n v="5076"/>
    <n v="161"/>
    <n v="4915"/>
    <n v="4272"/>
    <n v="643"/>
    <m/>
  </r>
  <r>
    <x v="20"/>
    <s v="Septiembre"/>
    <n v="0.82126880845872308"/>
    <n v="0.86137769247174234"/>
    <n v="0.95343635624237499"/>
    <m/>
    <m/>
    <n v="4918"/>
    <n v="229"/>
    <n v="4689"/>
    <n v="4039"/>
    <n v="650"/>
    <m/>
  </r>
  <r>
    <x v="20"/>
    <s v="Octubre"/>
    <n v="0.82000393004519556"/>
    <n v="0.8452501519141179"/>
    <n v="0.97013165651404987"/>
    <m/>
    <m/>
    <n v="5089"/>
    <n v="152"/>
    <n v="4937"/>
    <n v="4173"/>
    <n v="764"/>
    <m/>
  </r>
  <r>
    <x v="20"/>
    <s v="Noviembre"/>
    <n v="0.79204892966360851"/>
    <n v="0.83386992916934966"/>
    <n v="0.9498470948012232"/>
    <m/>
    <m/>
    <n v="4905"/>
    <n v="246"/>
    <n v="4659"/>
    <n v="3885"/>
    <n v="774"/>
    <m/>
  </r>
  <r>
    <x v="20"/>
    <s v="Diciembre"/>
    <n v="0.76605048698071954"/>
    <n v="0.84130102597686096"/>
    <n v="0.91055456171735238"/>
    <m/>
    <m/>
    <n v="5031"/>
    <n v="450"/>
    <n v="4581"/>
    <n v="3854"/>
    <n v="727"/>
    <m/>
  </r>
  <r>
    <x v="21"/>
    <s v="Enero"/>
    <n v="0.84378070347808998"/>
    <n v="0.89983235540653816"/>
    <n v="0.93770878365101196"/>
    <m/>
    <m/>
    <n v="5089"/>
    <n v="317"/>
    <n v="4772"/>
    <n v="4294"/>
    <n v="478"/>
    <m/>
  </r>
  <r>
    <x v="21"/>
    <s v="Febrero"/>
    <n v="0.80512152777777779"/>
    <n v="0.87212035731076631"/>
    <n v="0.92317708333333337"/>
    <m/>
    <m/>
    <n v="4608"/>
    <n v="354"/>
    <n v="4254"/>
    <n v="3710"/>
    <n v="544"/>
    <m/>
  </r>
  <r>
    <x v="21"/>
    <s v="Marzo"/>
    <n v="0.80140562248995983"/>
    <n v="0.86273238218763515"/>
    <n v="0.92891566265060244"/>
    <m/>
    <m/>
    <n v="4980"/>
    <n v="354"/>
    <n v="4626"/>
    <n v="3991"/>
    <n v="635"/>
    <m/>
  </r>
  <r>
    <x v="21"/>
    <s v="Abril"/>
    <n v="0.73445516109172992"/>
    <n v="0.83680149637596446"/>
    <n v="0.87769341268212597"/>
    <m/>
    <m/>
    <n v="4873"/>
    <n v="596"/>
    <n v="4277"/>
    <n v="3579"/>
    <n v="698"/>
    <m/>
  </r>
  <r>
    <x v="21"/>
    <s v="Mayo"/>
    <n v="0.67922283901665348"/>
    <n v="0.79158964879852123"/>
    <n v="0.85804916732751779"/>
    <m/>
    <m/>
    <n v="5044"/>
    <n v="716"/>
    <n v="4328"/>
    <n v="3426"/>
    <n v="902"/>
    <m/>
  </r>
  <r>
    <x v="21"/>
    <s v="Junio"/>
    <n v="0.72206303724928367"/>
    <n v="0.76100086281276957"/>
    <n v="0.94883340155546458"/>
    <m/>
    <m/>
    <n v="4886"/>
    <n v="250"/>
    <n v="4636"/>
    <n v="3528"/>
    <n v="1108"/>
    <m/>
  </r>
  <r>
    <x v="21"/>
    <s v="Julio"/>
    <n v="0.69561799960699544"/>
    <n v="0.80308529945553542"/>
    <n v="0.86618196109255252"/>
    <m/>
    <m/>
    <n v="5089"/>
    <n v="681"/>
    <n v="4408"/>
    <n v="3540"/>
    <n v="868"/>
    <m/>
  </r>
  <r>
    <x v="21"/>
    <s v="Agosto"/>
    <n v="0.73572561459159402"/>
    <n v="0.79193341869398204"/>
    <n v="0.92902458366375895"/>
    <m/>
    <m/>
    <n v="5044"/>
    <n v="358"/>
    <n v="4686"/>
    <n v="3711"/>
    <n v="975"/>
    <m/>
  </r>
  <r>
    <x v="21"/>
    <s v="Septiembre"/>
    <n v="0.70808080808080809"/>
    <n v="0.73572628043660793"/>
    <n v="0.9624242424242424"/>
    <m/>
    <m/>
    <n v="4950"/>
    <n v="186"/>
    <n v="4764"/>
    <n v="3505"/>
    <n v="1259"/>
    <m/>
  </r>
  <r>
    <x v="21"/>
    <s v="Octubre"/>
    <n v="0.74616895874263256"/>
    <n v="0.85772357723577231"/>
    <n v="0.8699410609037328"/>
    <m/>
    <m/>
    <n v="5090"/>
    <n v="662"/>
    <n v="4428"/>
    <n v="3798"/>
    <n v="630"/>
    <m/>
  </r>
  <r>
    <x v="21"/>
    <s v="Noviembre"/>
    <n v="0.70898277276456112"/>
    <n v="0.89559585492227978"/>
    <n v="0.79163248564397048"/>
    <m/>
    <m/>
    <n v="4876"/>
    <n v="1016"/>
    <n v="3860"/>
    <n v="3457"/>
    <n v="403"/>
    <m/>
  </r>
  <r>
    <x v="21"/>
    <s v="Diciembre"/>
    <n v="0.80047885075818037"/>
    <n v="0.85398041719880802"/>
    <n v="0.93735035913806863"/>
    <m/>
    <m/>
    <n v="5012"/>
    <n v="314"/>
    <n v="4698"/>
    <n v="4012"/>
    <n v="686"/>
    <m/>
  </r>
  <r>
    <x v="22"/>
    <s v="Enero"/>
    <n v="0.8320880849390484"/>
    <n v="0.89604065212788486"/>
    <n v="0.92862760519071963"/>
    <m/>
    <m/>
    <n v="5086"/>
    <n v="363"/>
    <n v="4723"/>
    <n v="4232"/>
    <n v="491"/>
    <m/>
  </r>
  <r>
    <x v="22"/>
    <s v="Febrero"/>
    <n v="0.84728955486998681"/>
    <n v="0.87525608923287046"/>
    <n v="0.96804759806081975"/>
    <m/>
    <m/>
    <n v="4538"/>
    <n v="145"/>
    <n v="4393"/>
    <n v="3845"/>
    <n v="548"/>
    <m/>
  </r>
  <r>
    <x v="22"/>
    <s v="Marzo"/>
    <n v="0.77294493216280924"/>
    <n v="0.84881682734443475"/>
    <n v="0.91061452513966479"/>
    <m/>
    <m/>
    <n v="5012"/>
    <n v="448"/>
    <n v="4564"/>
    <n v="3874"/>
    <n v="690"/>
    <m/>
  </r>
  <r>
    <x v="22"/>
    <s v="Abril"/>
    <n v="0.80881147540983611"/>
    <n v="0.84032361081541407"/>
    <n v="0.96250000000000002"/>
    <m/>
    <m/>
    <n v="4880"/>
    <n v="183"/>
    <n v="4697"/>
    <n v="3947"/>
    <n v="750"/>
    <m/>
  </r>
  <r>
    <x v="22"/>
    <s v="Mayo"/>
    <n v="0.76857028753993606"/>
    <n v="0.81253958201393284"/>
    <n v="0.94588658146964855"/>
    <m/>
    <m/>
    <n v="5008"/>
    <n v="271"/>
    <n v="4737"/>
    <n v="3849"/>
    <n v="888"/>
    <m/>
  </r>
  <r>
    <x v="22"/>
    <s v="Junio"/>
    <n v="0.75340239691245181"/>
    <n v="0.82385606397156819"/>
    <n v="0.91448303879748116"/>
    <m/>
    <m/>
    <n v="4923"/>
    <n v="421"/>
    <n v="4502"/>
    <n v="3709"/>
    <n v="793"/>
    <m/>
  </r>
  <r>
    <x v="22"/>
    <s v="Julio"/>
    <n v="0.80864440078585464"/>
    <n v="0.85625130018722695"/>
    <n v="0.94440078585461684"/>
    <m/>
    <m/>
    <n v="5090"/>
    <n v="283"/>
    <n v="4807"/>
    <n v="4116"/>
    <n v="691"/>
    <m/>
  </r>
  <r>
    <x v="22"/>
    <s v="Agosto"/>
    <n v="0.80800475530017835"/>
    <n v="0.86160997253327698"/>
    <n v="0.93778482266693086"/>
    <m/>
    <m/>
    <n v="5047"/>
    <n v="314"/>
    <n v="4733"/>
    <n v="4078"/>
    <n v="655"/>
    <m/>
  </r>
  <r>
    <x v="22"/>
    <s v="Septiembre"/>
    <n v="0.73321270607157218"/>
    <n v="0.81955056179775276"/>
    <n v="0.89465219139525531"/>
    <m/>
    <m/>
    <n v="4974"/>
    <n v="524"/>
    <n v="4450"/>
    <n v="3647"/>
    <n v="803"/>
    <m/>
  </r>
  <r>
    <x v="22"/>
    <s v="Octubre"/>
    <n v="0.48879276445143532"/>
    <n v="0.61473788328387735"/>
    <n v="0.79512386944553681"/>
    <m/>
    <m/>
    <n v="5086"/>
    <n v="1042"/>
    <n v="4044"/>
    <n v="2486"/>
    <n v="1558"/>
    <m/>
  </r>
  <r>
    <x v="22"/>
    <s v="Noviembre"/>
    <n v="0.55819672131147546"/>
    <n v="0.59088937093275484"/>
    <n v="0.94467213114754101"/>
    <m/>
    <m/>
    <n v="4880"/>
    <n v="270"/>
    <n v="4610"/>
    <n v="2724"/>
    <n v="1886"/>
    <m/>
  </r>
  <r>
    <x v="22"/>
    <s v="Diciembre"/>
    <n v="0.45570630486831604"/>
    <n v="0.52074783401732783"/>
    <n v="0.87509976057462091"/>
    <m/>
    <m/>
    <n v="5012"/>
    <n v="626"/>
    <n v="4386"/>
    <n v="2284"/>
    <n v="2102"/>
    <m/>
  </r>
  <r>
    <x v="23"/>
    <s v="Enero"/>
    <n v="0.52546066970477512"/>
    <n v="0.57815565729234797"/>
    <n v="0.90885674658212801"/>
    <m/>
    <m/>
    <n v="5047"/>
    <n v="460"/>
    <n v="4587"/>
    <n v="2652"/>
    <n v="1935"/>
    <m/>
  </r>
  <r>
    <x v="23"/>
    <s v="Febrero"/>
    <n v="0.5519218517732003"/>
    <n v="0.58654931166779511"/>
    <n v="0.94096411127627944"/>
    <m/>
    <m/>
    <n v="4709"/>
    <n v="278"/>
    <n v="4431"/>
    <n v="2599"/>
    <n v="1832"/>
    <m/>
  </r>
  <r>
    <x v="23"/>
    <s v="Marzo"/>
    <n v="0.63432983567610379"/>
    <n v="0.65561694290976058"/>
    <n v="0.96753118194416943"/>
    <m/>
    <m/>
    <n v="5051"/>
    <n v="164"/>
    <n v="4887"/>
    <n v="3204"/>
    <n v="1683"/>
    <m/>
  </r>
  <r>
    <x v="23"/>
    <s v="Abril"/>
    <n v="0.59036389510063025"/>
    <n v="0.61603733559609675"/>
    <n v="0.95832486277698714"/>
    <m/>
    <m/>
    <n v="4919"/>
    <n v="205"/>
    <n v="4714"/>
    <n v="2904"/>
    <n v="1810"/>
    <m/>
  </r>
  <r>
    <x v="23"/>
    <s v="Mayo"/>
    <n v="0.63650762225301916"/>
    <n v="0.65212981744421905"/>
    <n v="0.97604434765392989"/>
    <m/>
    <m/>
    <n v="5051"/>
    <n v="121"/>
    <n v="4930"/>
    <n v="3215"/>
    <n v="1715"/>
    <m/>
  </r>
  <r>
    <x v="23"/>
    <s v="Junio"/>
    <n v="0.62459016393442623"/>
    <n v="0.66666666666666663"/>
    <n v="0.93688524590163935"/>
    <m/>
    <m/>
    <n v="4880"/>
    <n v="308"/>
    <n v="4572"/>
    <n v="3048"/>
    <n v="1524"/>
    <m/>
  </r>
  <r>
    <x v="23"/>
    <s v="Julio"/>
    <n v="0.60674381484437345"/>
    <n v="0.64923142613151152"/>
    <n v="0.93455706304868313"/>
    <m/>
    <m/>
    <n v="5012"/>
    <n v="328"/>
    <n v="4684"/>
    <n v="3041"/>
    <n v="1643"/>
    <m/>
  </r>
  <r>
    <x v="23"/>
    <s v="Agosto"/>
    <n v="0.58113948919449898"/>
    <n v="0.62273684210526314"/>
    <n v="0.93320235756385073"/>
    <m/>
    <m/>
    <n v="5090"/>
    <n v="340"/>
    <n v="4750"/>
    <n v="2958"/>
    <n v="1792"/>
    <m/>
  </r>
  <r>
    <x v="23"/>
    <s v="Septiembre"/>
    <n v="0.63715207745058489"/>
    <n v="0.68008611410118402"/>
    <n v="0.9368697055264219"/>
    <m/>
    <m/>
    <n v="4958"/>
    <n v="313"/>
    <n v="4645"/>
    <n v="3159"/>
    <n v="1486"/>
    <m/>
  </r>
  <r>
    <x v="23"/>
    <s v="Octubre"/>
    <n v="0.63820091143253421"/>
    <n v="0.72122704881325572"/>
    <n v="0.88488210818307911"/>
    <m/>
    <m/>
    <n v="5047"/>
    <n v="581"/>
    <n v="4466"/>
    <n v="3221"/>
    <n v="1245"/>
    <m/>
  </r>
  <r>
    <x v="23"/>
    <s v="Noviembre"/>
    <n v="0.6968896117096971"/>
    <n v="0.74086881348606004"/>
    <n v="0.94063834112624523"/>
    <m/>
    <m/>
    <n v="4919"/>
    <n v="292"/>
    <n v="4627"/>
    <n v="3428"/>
    <n v="1199"/>
    <m/>
  </r>
  <r>
    <x v="23"/>
    <s v="Diciembre"/>
    <n v="0.71111551416683183"/>
    <n v="0.7641047477113051"/>
    <n v="0.93065187239944525"/>
    <m/>
    <m/>
    <n v="5047"/>
    <n v="350"/>
    <n v="4697"/>
    <n v="3589"/>
    <n v="1108"/>
    <m/>
  </r>
  <r>
    <x v="24"/>
    <s v="Enero"/>
    <n v="0.731237721021611"/>
    <n v="0.76837324525185802"/>
    <n v="0.95166994106090375"/>
    <m/>
    <m/>
    <n v="5090"/>
    <n v="246"/>
    <n v="4844"/>
    <n v="3722"/>
    <n v="1122"/>
    <m/>
  </r>
  <r>
    <x v="24"/>
    <s v="Febrero"/>
    <n v="0.73975319524019389"/>
    <n v="0.78033472803347281"/>
    <n v="0.94799471132657553"/>
    <m/>
    <m/>
    <n v="4538"/>
    <n v="236"/>
    <n v="4302"/>
    <n v="3357"/>
    <n v="945"/>
    <m/>
  </r>
  <r>
    <x v="24"/>
    <s v="Marzo"/>
    <n v="0.79135559921414533"/>
    <n v="0.82591757227803975"/>
    <n v="0.9581532416502947"/>
    <m/>
    <m/>
    <n v="5090"/>
    <n v="213"/>
    <n v="4877"/>
    <n v="4028"/>
    <n v="849"/>
    <m/>
  </r>
  <r>
    <x v="24"/>
    <s v="Abril"/>
    <n v="0.82374376678174144"/>
    <n v="0.89107883817427391"/>
    <n v="0.92443421557345606"/>
    <m/>
    <m/>
    <n v="5214"/>
    <n v="394"/>
    <n v="4820"/>
    <n v="4295"/>
    <n v="525"/>
    <m/>
  </r>
  <r>
    <x v="24"/>
    <s v="Mayo"/>
    <n v="0.86282858200666424"/>
    <n v="0.91141963238169732"/>
    <n v="0.94668641243983709"/>
    <m/>
    <m/>
    <n v="5402"/>
    <n v="288"/>
    <n v="5114"/>
    <n v="4661"/>
    <n v="453"/>
    <m/>
  </r>
  <r>
    <x v="24"/>
    <s v="Junio"/>
    <n v="0.8835918054757802"/>
    <n v="0.92969379532634977"/>
    <n v="0.9504116408194524"/>
    <m/>
    <m/>
    <n v="5223"/>
    <n v="259"/>
    <n v="4964"/>
    <n v="4615"/>
    <n v="349"/>
    <m/>
  </r>
  <r>
    <x v="24"/>
    <s v="Julio"/>
    <n v="0.86389553062350566"/>
    <n v="0.90728220977400043"/>
    <n v="0.95217951075961005"/>
    <m/>
    <m/>
    <n v="5437"/>
    <n v="260"/>
    <n v="5177"/>
    <n v="4697"/>
    <n v="480"/>
    <m/>
  </r>
  <r>
    <x v="24"/>
    <s v="Agosto"/>
    <n v="0.85404411764705879"/>
    <n v="0.93499698128396058"/>
    <n v="0.91341911764705885"/>
    <m/>
    <m/>
    <n v="5440"/>
    <n v="471"/>
    <n v="4969"/>
    <n v="4646"/>
    <n v="323"/>
    <m/>
  </r>
  <r>
    <x v="24"/>
    <s v="Septiembre"/>
    <n v="0.93400200601805417"/>
    <n v="0.95390288875230489"/>
    <n v="0.97913741223671014"/>
    <m/>
    <m/>
    <n v="4985"/>
    <n v="104"/>
    <n v="4881"/>
    <n v="4656"/>
    <n v="225"/>
    <m/>
  </r>
  <r>
    <x v="24"/>
    <s v="Octubre"/>
    <n v="0.92677165354330704"/>
    <n v="0.95168789165150591"/>
    <n v="0.97381889763779528"/>
    <m/>
    <m/>
    <n v="5080"/>
    <n v="133"/>
    <n v="4947"/>
    <n v="4708"/>
    <n v="239"/>
    <m/>
  </r>
  <r>
    <x v="24"/>
    <s v="Noviembre"/>
    <n v="0.93977364591754242"/>
    <n v="0.96114096734187682"/>
    <n v="0.9777687954729184"/>
    <m/>
    <m/>
    <n v="4948"/>
    <n v="110"/>
    <n v="4838"/>
    <n v="4650"/>
    <n v="188"/>
    <m/>
  </r>
  <r>
    <x v="24"/>
    <s v="Diciembre"/>
    <n v="0.88008735358348222"/>
    <n v="0.94019088016967123"/>
    <n v="0.9360730593607306"/>
    <m/>
    <m/>
    <n v="5037"/>
    <n v="322"/>
    <n v="4715"/>
    <n v="4433"/>
    <n v="282"/>
    <m/>
  </r>
  <r>
    <x v="25"/>
    <s v="Enero"/>
    <n v="0.93515625000000002"/>
    <n v="0.95454545454545459"/>
    <n v="0.97968750000000004"/>
    <m/>
    <m/>
    <n v="5120"/>
    <n v="104"/>
    <n v="5016"/>
    <n v="4788"/>
    <n v="228"/>
    <m/>
  </r>
  <r>
    <x v="25"/>
    <s v="Febrero"/>
    <n v="0.91038562664329536"/>
    <n v="0.94993141289437588"/>
    <n v="0.95836985100788785"/>
    <m/>
    <m/>
    <n v="4564"/>
    <n v="190"/>
    <n v="4374"/>
    <n v="4155"/>
    <n v="219"/>
    <m/>
  </r>
  <r>
    <x v="25"/>
    <s v="Marzo"/>
    <n v="0.85975970061059681"/>
    <n v="0.83142857142857141"/>
    <n v="1.0340752412842229"/>
    <m/>
    <m/>
    <n v="5077"/>
    <n v="-173"/>
    <n v="5250"/>
    <n v="4365"/>
    <n v="885"/>
    <m/>
  </r>
  <r>
    <x v="25"/>
    <s v="Abril"/>
    <n v="0.89282040732359602"/>
    <n v="0.74969770253929868"/>
    <n v="1.1909072207364739"/>
    <m/>
    <m/>
    <n v="4861"/>
    <n v="-928"/>
    <n v="5789"/>
    <n v="4340"/>
    <n v="1449"/>
    <m/>
  </r>
  <r>
    <x v="25"/>
    <s v="Mayo"/>
    <n v="0.72136503902704663"/>
    <n v="0.65168907838635615"/>
    <n v="1.1069159557088402"/>
    <m/>
    <m/>
    <n v="5509"/>
    <n v="-589"/>
    <n v="6098"/>
    <n v="3974"/>
    <n v="2124"/>
    <m/>
  </r>
  <r>
    <x v="25"/>
    <s v="Junio"/>
    <n v="0.70202578268876614"/>
    <n v="0.66399581954363351"/>
    <n v="1.0572744014732964"/>
    <m/>
    <m/>
    <n v="5430"/>
    <n v="-311"/>
    <n v="5741"/>
    <n v="3812"/>
    <n v="1929"/>
    <m/>
  </r>
  <r>
    <x v="25"/>
    <s v="Julio"/>
    <n v="0.75992844364937384"/>
    <n v="0.68295819935691315"/>
    <n v="1.1127012522361359"/>
    <m/>
    <m/>
    <n v="5590"/>
    <n v="-630"/>
    <n v="6220"/>
    <n v="4248"/>
    <n v="1972"/>
    <m/>
  </r>
  <r>
    <x v="25"/>
    <s v="Agosto"/>
    <n v="0.71679999999999999"/>
    <n v="0.65871589609540926"/>
    <n v="1.0881777777777777"/>
    <m/>
    <m/>
    <n v="5625"/>
    <n v="-496"/>
    <n v="6121"/>
    <n v="4032"/>
    <n v="2089"/>
    <m/>
  </r>
  <r>
    <x v="25"/>
    <s v="Septiembre"/>
    <n v="0.66464088397790055"/>
    <n v="0.63215974776668415"/>
    <n v="1.0513812154696132"/>
    <m/>
    <m/>
    <n v="5430"/>
    <n v="-279"/>
    <n v="5709"/>
    <n v="3609"/>
    <n v="2100"/>
    <m/>
  </r>
  <r>
    <x v="25"/>
    <s v="Octubre"/>
    <n v="0.6186666666666667"/>
    <n v="0.71856287425149701"/>
    <n v="0.86097777777777773"/>
    <m/>
    <m/>
    <n v="5625"/>
    <n v="782"/>
    <n v="4843"/>
    <n v="3480"/>
    <n v="1363"/>
    <m/>
  </r>
  <r>
    <x v="25"/>
    <s v="Noviembre"/>
    <n v="0.54828030163693209"/>
    <n v="0.60442011354420111"/>
    <n v="0.90711789589847347"/>
    <m/>
    <m/>
    <n v="5437"/>
    <n v="505"/>
    <n v="4932"/>
    <n v="2981"/>
    <n v="1951"/>
    <m/>
  </r>
  <r>
    <x v="25"/>
    <s v="Diciembre"/>
    <n v="0.58202490525175965"/>
    <n v="0.58775287042099511"/>
    <n v="0.99025446670276118"/>
    <m/>
    <m/>
    <n v="5541"/>
    <n v="54"/>
    <n v="5487"/>
    <n v="3225"/>
    <n v="2262"/>
    <m/>
  </r>
  <r>
    <x v="26"/>
    <s v="Enero"/>
    <n v="0.7301333333333333"/>
    <n v="0.68851634534786255"/>
    <n v="1.0604444444444445"/>
    <m/>
    <m/>
    <n v="5625"/>
    <n v="-340"/>
    <n v="5965"/>
    <n v="4107"/>
    <n v="1858"/>
    <m/>
  </r>
  <r>
    <x v="26"/>
    <s v="Febrero"/>
    <n v="0.7140894819466248"/>
    <n v="0.69459820576445885"/>
    <n v="1.028061224489796"/>
    <m/>
    <m/>
    <n v="5096"/>
    <n v="-143"/>
    <n v="5239"/>
    <n v="3639"/>
    <n v="1600"/>
    <m/>
  </r>
  <r>
    <x v="26"/>
    <s v="Marzo"/>
    <n v="0.72985553772070622"/>
    <n v="0.80095120662321651"/>
    <n v="0.91123595505617982"/>
    <m/>
    <m/>
    <n v="6230"/>
    <n v="553"/>
    <n v="5677"/>
    <n v="4547"/>
    <n v="1130"/>
    <m/>
  </r>
  <r>
    <x v="26"/>
    <s v="Abril"/>
    <n v="0.88731466227347611"/>
    <n v="0.92622527944969901"/>
    <n v="0.95799011532125211"/>
    <m/>
    <m/>
    <n v="6070"/>
    <n v="255"/>
    <n v="5815"/>
    <n v="5386"/>
    <n v="429"/>
    <m/>
  </r>
  <r>
    <x v="26"/>
    <s v="Mayo"/>
    <n v="0.83784208870714061"/>
    <n v="0.90687776642832818"/>
    <n v="0.92387543252595161"/>
    <m/>
    <m/>
    <n v="6358"/>
    <n v="484"/>
    <n v="5874"/>
    <n v="5327"/>
    <n v="547"/>
    <m/>
  </r>
  <r>
    <x v="26"/>
    <s v="Junio"/>
    <n v="0.8667221297836939"/>
    <n v="0.93451740222461432"/>
    <n v="0.92745424292845258"/>
    <m/>
    <m/>
    <n v="6010"/>
    <n v="436"/>
    <n v="5574"/>
    <n v="5209"/>
    <n v="365"/>
    <m/>
  </r>
  <r>
    <x v="26"/>
    <s v="Julio"/>
    <n v="0.84188976377952751"/>
    <n v="0.90121375590020225"/>
    <n v="0.93417322834645666"/>
    <n v="220"/>
    <n v="4.6281186783546868"/>
    <n v="6350"/>
    <n v="418"/>
    <n v="5932"/>
    <n v="5346"/>
    <n v="586"/>
    <m/>
  </r>
  <r>
    <x v="26"/>
    <s v="Agosto"/>
    <n v="0.88944881889763783"/>
    <n v="0.93078444297956497"/>
    <n v="0.95559055118110237"/>
    <n v="220"/>
    <n v="4.6321687541199736"/>
    <n v="6350"/>
    <n v="282"/>
    <n v="6068"/>
    <n v="5648"/>
    <n v="420"/>
    <m/>
  </r>
  <r>
    <x v="26"/>
    <s v="Septiembre"/>
    <n v="0.92439974042829332"/>
    <n v="0.94150693985459355"/>
    <n v="0.981829980532122"/>
    <n v="220"/>
    <n v="4.6374752148050229"/>
    <n v="6164"/>
    <n v="112"/>
    <n v="6052"/>
    <n v="5698"/>
    <n v="354"/>
    <m/>
  </r>
  <r>
    <x v="26"/>
    <s v="Octubre"/>
    <n v="0.91306390977443608"/>
    <n v="0.93910101498308363"/>
    <n v="0.97227443609022557"/>
    <n v="220"/>
    <n v="4.6307394876752053"/>
    <n v="6384"/>
    <n v="177"/>
    <n v="6207"/>
    <n v="5829"/>
    <n v="378"/>
    <m/>
  </r>
  <r>
    <x v="26"/>
    <s v="Noviembre"/>
    <n v="0.83898858075040783"/>
    <n v="0.86787040161997975"/>
    <n v="0.96672104404567705"/>
    <n v="220"/>
    <n v="4.64326695916301"/>
    <n v="6130"/>
    <n v="204"/>
    <n v="5926"/>
    <n v="5143"/>
    <n v="783"/>
    <m/>
  </r>
  <r>
    <x v="26"/>
    <s v="Diciembre"/>
    <n v="0.88203324808184147"/>
    <n v="0.89461738002594038"/>
    <n v="0.98593350383631717"/>
    <n v="220"/>
    <n v="4.6540207522697798"/>
    <n v="6256"/>
    <n v="88"/>
    <n v="6168"/>
    <n v="5518"/>
    <n v="650"/>
    <m/>
  </r>
  <r>
    <x v="27"/>
    <s v="Enero"/>
    <n v="0.89458020050125309"/>
    <n v="0.90910538045208533"/>
    <n v="0.98402255639097747"/>
    <n v="220"/>
    <n v="4.6341929321872017"/>
    <n v="6384"/>
    <n v="102"/>
    <n v="6282"/>
    <n v="5711"/>
    <n v="571"/>
    <m/>
  </r>
  <r>
    <x v="27"/>
    <s v="Febrero"/>
    <n v="0.85059829059829062"/>
    <n v="0.87977369165487973"/>
    <n v="0.96683760683760689"/>
    <n v="220"/>
    <n v="4.6782178217821784"/>
    <n v="5850"/>
    <n v="194"/>
    <n v="5656"/>
    <n v="4976"/>
    <n v="680"/>
    <m/>
  </r>
  <r>
    <x v="27"/>
    <s v="Marzo"/>
    <n v="0.76304200542005418"/>
    <n v="0.87255471625024206"/>
    <n v="0.87449186991869921"/>
    <n v="220"/>
    <n v="4.7830718574472204"/>
    <n v="5904"/>
    <n v="741"/>
    <n v="5163"/>
    <n v="4505"/>
    <n v="658"/>
    <m/>
  </r>
  <r>
    <x v="27"/>
    <s v="Abril"/>
    <n v="0.85108130303859841"/>
    <n v="0.89855491329479764"/>
    <n v="0.94716671229126748"/>
    <n v="176"/>
    <n v="5"/>
    <n v="3653"/>
    <n v="193"/>
    <n v="3460"/>
    <n v="3109"/>
    <n v="351"/>
    <m/>
  </r>
  <r>
    <x v="27"/>
    <s v="Mayo"/>
    <n v="0.89030883919062831"/>
    <n v="0.90574214517876495"/>
    <n v="0.98296059637912669"/>
    <n v="176"/>
    <n v="5"/>
    <n v="3756"/>
    <n v="64"/>
    <n v="3692"/>
    <n v="3344"/>
    <n v="348"/>
    <m/>
  </r>
  <r>
    <x v="27"/>
    <s v="Junio"/>
    <n v="0.9188811188811189"/>
    <n v="0.93834801237800525"/>
    <n v="0.97925407925407926"/>
    <n v="176"/>
    <n v="5"/>
    <n v="4290"/>
    <n v="89"/>
    <n v="4201"/>
    <n v="3942"/>
    <n v="259"/>
    <m/>
  </r>
  <r>
    <x v="27"/>
    <s v="Julio"/>
    <n v="0.94810469314079426"/>
    <n v="0.96775679410409954"/>
    <n v="0.97969314079422387"/>
    <n v="176"/>
    <n v="5"/>
    <n v="4432"/>
    <n v="90"/>
    <n v="4342"/>
    <n v="4202"/>
    <n v="140"/>
    <m/>
  </r>
  <r>
    <x v="27"/>
    <s v="Agosto"/>
    <n v="0.93947606142728091"/>
    <n v="0.97060195986934206"/>
    <n v="0.96793134598012642"/>
    <n v="176"/>
    <n v="5"/>
    <n v="4428"/>
    <n v="142"/>
    <n v="4286"/>
    <n v="4160"/>
    <n v="126"/>
    <m/>
  </r>
  <r>
    <x v="27"/>
    <s v="Septiembre"/>
    <n v="0.91396103896103897"/>
    <n v="0.9581813761244834"/>
    <n v="0.95384972170686455"/>
    <n v="176"/>
    <n v="5"/>
    <n v="4312"/>
    <n v="199"/>
    <n v="4113"/>
    <n v="3941"/>
    <n v="172"/>
    <m/>
  </r>
  <r>
    <x v="27"/>
    <s v="Octubre"/>
    <n v="0.94483224498986718"/>
    <n v="0.9670430974879004"/>
    <n v="0.97703219995496515"/>
    <n v="176"/>
    <n v="5"/>
    <n v="4441"/>
    <n v="102"/>
    <n v="4339"/>
    <n v="4196"/>
    <n v="143"/>
    <m/>
  </r>
  <r>
    <x v="27"/>
    <s v="Noviembre"/>
    <n v="0.91893780573025852"/>
    <n v="0.95428156748911463"/>
    <n v="0.96296296296296291"/>
    <n v="176"/>
    <n v="5"/>
    <n v="4293"/>
    <n v="159"/>
    <n v="4134"/>
    <n v="3945"/>
    <n v="189"/>
    <m/>
  </r>
  <r>
    <x v="27"/>
    <s v="Diciembre"/>
    <n v="0.84923146473779387"/>
    <n v="0.9324894514767933"/>
    <n v="0.9107142857142857"/>
    <n v="176"/>
    <n v="5"/>
    <n v="4424"/>
    <n v="395"/>
    <n v="4029"/>
    <n v="3757"/>
    <n v="272"/>
    <m/>
  </r>
  <r>
    <x v="28"/>
    <s v="Enero"/>
    <n v="0.85998193315266491"/>
    <n v="0.90108849976336958"/>
    <n v="0.95438121047877145"/>
    <n v="146"/>
    <n v="5"/>
    <n v="4428"/>
    <n v="202"/>
    <n v="4226"/>
    <n v="3808"/>
    <n v="418"/>
    <m/>
  </r>
  <r>
    <x v="28"/>
    <s v="Febrero"/>
    <n v="0.8222333500250375"/>
    <n v="0.90021929824561409"/>
    <n v="0.91337005508262392"/>
    <n v="146"/>
    <n v="5"/>
    <n v="3994"/>
    <n v="346"/>
    <n v="3648"/>
    <n v="3284"/>
    <n v="364"/>
    <m/>
  </r>
  <r>
    <x v="28"/>
    <s v="Marzo"/>
    <n v="0.88526434195725534"/>
    <n v="0.92176153665963922"/>
    <n v="0.96040494938132737"/>
    <n v="146"/>
    <n v="5"/>
    <n v="4445"/>
    <n v="176"/>
    <n v="4269"/>
    <n v="3935"/>
    <n v="334"/>
    <m/>
  </r>
  <r>
    <x v="28"/>
    <s v="Abril"/>
    <n v="0.77206053550640275"/>
    <n v="0.83003754693366705"/>
    <n v="0.93015133876600697"/>
    <n v="146"/>
    <n v="5"/>
    <n v="4295"/>
    <n v="300"/>
    <n v="3995"/>
    <n v="3316"/>
    <n v="679"/>
    <m/>
  </r>
  <r>
    <x v="28"/>
    <s v="Mayo"/>
    <n v="0.80186109850204268"/>
    <n v="0.84279580152671751"/>
    <n v="0.95142986836132548"/>
    <n v="146"/>
    <n v="5"/>
    <n v="4406"/>
    <n v="214"/>
    <n v="4192"/>
    <n v="3533"/>
    <n v="659"/>
    <m/>
  </r>
  <r>
    <x v="28"/>
    <s v="Junio"/>
    <n v="0.7741335194231217"/>
    <n v="0.85706927633273244"/>
    <n v="0.90323331007210983"/>
    <n v="146"/>
    <n v="5"/>
    <n v="4299"/>
    <n v="416"/>
    <n v="3883"/>
    <n v="3328"/>
    <n v="555"/>
    <m/>
  </r>
  <r>
    <x v="28"/>
    <s v="Julio"/>
    <n v="0.84035127223598294"/>
    <n v="0.89754689754689754"/>
    <n v="0.93627561360054046"/>
    <n v="146"/>
    <n v="5.2861952861952863"/>
    <n v="4441"/>
    <n v="283"/>
    <n v="4158"/>
    <n v="3732"/>
    <n v="426"/>
    <m/>
  </r>
  <r>
    <x v="28"/>
    <s v="Agosto"/>
    <n v="0.8267148014440433"/>
    <n v="0.86578449905482047"/>
    <n v="0.95487364620938631"/>
    <n v="146"/>
    <n v="5.2868620037807181"/>
    <n v="4432"/>
    <n v="200"/>
    <n v="4232"/>
    <n v="3664"/>
    <n v="568"/>
    <m/>
  </r>
  <r>
    <x v="28"/>
    <s v="Septiembre"/>
    <n v="0.91396103896103897"/>
    <n v="0.93278106508875736"/>
    <n v="0.97982374768089053"/>
    <n v="146"/>
    <n v="5.2894674556213017"/>
    <n v="4312"/>
    <n v="87"/>
    <n v="4225"/>
    <n v="3941"/>
    <n v="284"/>
    <m/>
  </r>
  <r>
    <x v="28"/>
    <s v="Octubre"/>
    <n v="0.8124575311438279"/>
    <n v="0.8554734080610541"/>
    <n v="0.94971687429218576"/>
    <n v="146"/>
    <n v="5.2883377056999761"/>
    <n v="4415"/>
    <n v="222"/>
    <n v="4193"/>
    <n v="3587"/>
    <n v="606"/>
    <m/>
  </r>
  <r>
    <x v="28"/>
    <s v="Noviembre"/>
    <n v="0.79743589743589749"/>
    <n v="0.82533172496984319"/>
    <n v="0.96620046620046618"/>
    <n v="146"/>
    <n v="5.2863691194209892"/>
    <n v="4290"/>
    <n v="145"/>
    <n v="4145"/>
    <n v="3421"/>
    <n v="724"/>
    <m/>
  </r>
  <r>
    <x v="28"/>
    <s v="Diciembre"/>
    <n v="0.83062330623306235"/>
    <n v="0.88541165142031775"/>
    <n v="0.93812104787714545"/>
    <n v="146"/>
    <n v="5.2888781896966783"/>
    <n v="4428"/>
    <n v="274"/>
    <n v="4154"/>
    <n v="3678"/>
    <n v="476"/>
    <m/>
  </r>
  <r>
    <x v="29"/>
    <s v="Enero"/>
    <n v="0.81633574007220222"/>
    <n v="0.86307251908396942"/>
    <n v="0.94584837545126355"/>
    <n v="146"/>
    <n v="5.2833969465648858"/>
    <n v="4432"/>
    <n v="240"/>
    <n v="4192"/>
    <n v="3618"/>
    <n v="574"/>
    <m/>
  </r>
  <r>
    <x v="29"/>
    <s v="Febrero"/>
    <n v="0.86523583728475173"/>
    <n v="0.88897435897435895"/>
    <n v="0.97329673072123779"/>
    <n v="146"/>
    <n v="5.2882051282051279"/>
    <n v="4007"/>
    <n v="107"/>
    <n v="3900"/>
    <n v="3467"/>
    <n v="433"/>
    <m/>
  </r>
  <r>
    <x v="29"/>
    <s v="Marzo"/>
    <n v="0.80550541516245489"/>
    <n v="0.83586981971435259"/>
    <n v="0.963673285198556"/>
    <n v="146"/>
    <n v="5.2830718801217511"/>
    <n v="4432"/>
    <n v="161"/>
    <n v="4271"/>
    <n v="3570"/>
    <n v="701"/>
    <m/>
  </r>
  <r>
    <x v="29"/>
    <s v="Abril"/>
    <n v="0.79738856371004052"/>
    <n v="0.85825054519021082"/>
    <n v="0.92908599729851415"/>
    <n v="146"/>
    <n v="5.1296341167918582"/>
    <n v="4442"/>
    <n v="315"/>
    <n v="4127"/>
    <n v="3542"/>
    <n v="585"/>
    <m/>
  </r>
  <r>
    <x v="29"/>
    <s v="Mayo"/>
    <n v="0.64027865737808742"/>
    <n v="0.69532324621733155"/>
    <n v="0.92083597213426216"/>
    <n v="146"/>
    <n v="5.0563961485557085"/>
    <n v="4737"/>
    <n v="375"/>
    <n v="4362"/>
    <n v="3033"/>
    <n v="1329"/>
    <m/>
  </r>
  <r>
    <x v="29"/>
    <s v="Junio"/>
    <n v="0.50721255833686885"/>
    <n v="0.53015521064301552"/>
    <n v="0.95672464997878659"/>
    <n v="146"/>
    <n v="5.0013303769401327"/>
    <n v="4714"/>
    <n v="204"/>
    <n v="4510"/>
    <n v="2391"/>
    <n v="2119"/>
    <m/>
  </r>
  <r>
    <x v="29"/>
    <s v="Julio"/>
    <n v="0.82961750869298423"/>
    <n v="0.84079601990049746"/>
    <n v="0.98670484761709965"/>
    <n v="146"/>
    <n v="5.2985074626865671"/>
    <n v="4889"/>
    <n v="65"/>
    <n v="4824"/>
    <n v="4056"/>
    <n v="768"/>
    <m/>
  </r>
  <r>
    <x v="29"/>
    <s v="Agosto"/>
    <n v="0.88715242541100059"/>
    <n v="0.90703465449263332"/>
    <n v="0.97807996752587778"/>
    <n v="146"/>
    <n v="5.2975721103963478"/>
    <n v="4927"/>
    <n v="108"/>
    <n v="4819"/>
    <n v="4371"/>
    <n v="448"/>
    <m/>
  </r>
  <r>
    <x v="29"/>
    <s v="Septiembre"/>
    <n v="0.88534500729622678"/>
    <n v="0.91215635738831613"/>
    <n v="0.97060662914321449"/>
    <n v="146"/>
    <n v="5.2961769759450172"/>
    <n v="4797"/>
    <n v="141"/>
    <n v="4656"/>
    <n v="4247"/>
    <n v="409"/>
    <m/>
  </r>
  <r>
    <x v="29"/>
    <s v="Octubre"/>
    <n v="0.85856079404466501"/>
    <n v="0.87410526315789472"/>
    <n v="0.98221670802315963"/>
    <n v="146"/>
    <n v="5.2892631578947364"/>
    <n v="4836"/>
    <n v="86"/>
    <n v="4750"/>
    <n v="4152"/>
    <n v="598"/>
    <m/>
  </r>
  <r>
    <x v="29"/>
    <s v="Noviembre"/>
    <n v="0.70025456088247773"/>
    <n v="0.76007368178678336"/>
    <n v="0.92129826050063646"/>
    <n v="146"/>
    <n v="5.2779184895233708"/>
    <n v="4714"/>
    <n v="371"/>
    <n v="4343"/>
    <n v="3301"/>
    <n v="1042"/>
    <m/>
  </r>
  <r>
    <x v="29"/>
    <s v="Diciembre"/>
    <n v="0.80489901160292221"/>
    <n v="0.83225949788935794"/>
    <n v="0.96712505371723245"/>
    <n v="146"/>
    <n v="5.2617196178626973"/>
    <n v="4654"/>
    <n v="153"/>
    <n v="4501"/>
    <n v="3746"/>
    <n v="755"/>
    <m/>
  </r>
  <r>
    <x v="30"/>
    <s v="Enero"/>
    <n v="0.77669491525423728"/>
    <n v="0.79643710623506414"/>
    <n v="0.97521186440677965"/>
    <n v="154"/>
    <n v="5.2724310232457094"/>
    <n v="4720"/>
    <n v="117"/>
    <n v="4603"/>
    <n v="3666"/>
    <n v="937"/>
    <m/>
  </r>
  <r>
    <x v="30"/>
    <s v="Febrero"/>
    <n v="0.77679000480538207"/>
    <n v="0.80623441396508733"/>
    <n v="0.96347909658817876"/>
    <n v="154"/>
    <n v="5.2985037406483793"/>
    <n v="4162"/>
    <n v="152"/>
    <n v="4010"/>
    <n v="3233"/>
    <n v="777"/>
    <m/>
  </r>
  <r>
    <x v="30"/>
    <s v="Marzo"/>
    <n v="0.72385026737967917"/>
    <n v="0.74243089074155333"/>
    <n v="0.97497326203208556"/>
    <n v="154"/>
    <n v="5.3073716542343137"/>
    <n v="4675"/>
    <n v="117"/>
    <n v="4558"/>
    <n v="3384"/>
    <n v="1174"/>
    <m/>
  </r>
  <r>
    <x v="30"/>
    <s v="Abril"/>
    <n v="0.81174089068825916"/>
    <n v="0.82756248566842472"/>
    <n v="0.98088169140800718"/>
    <n v="154"/>
    <n v="5.3010777344645721"/>
    <n v="4446"/>
    <n v="85"/>
    <n v="4361"/>
    <n v="3609"/>
    <n v="752"/>
    <m/>
  </r>
  <r>
    <x v="30"/>
    <s v="Mayo"/>
    <n v="0.83250700582021986"/>
    <n v="0.85518157661647476"/>
    <n v="0.97348566501401168"/>
    <n v="154"/>
    <n v="5.3051372896368472"/>
    <n v="4639"/>
    <n v="123"/>
    <n v="4516"/>
    <n v="3862"/>
    <n v="654"/>
    <m/>
  </r>
  <r>
    <x v="30"/>
    <s v="Junio"/>
    <n v="0.74164610899304773"/>
    <n v="0.79114832535885171"/>
    <n v="0.93742991702175371"/>
    <n v="154"/>
    <n v="5.3093301435406701"/>
    <n v="4459"/>
    <n v="279"/>
    <n v="4180"/>
    <n v="3307"/>
    <n v="873"/>
    <m/>
  </r>
  <r>
    <x v="30"/>
    <s v="Julio"/>
    <n v="0.77359367735936768"/>
    <n v="0.81668711656441717"/>
    <n v="0.94723384472338445"/>
    <n v="154"/>
    <n v="5.3163190184049078"/>
    <n v="4302"/>
    <n v="227"/>
    <n v="4075"/>
    <n v="3328"/>
    <n v="747"/>
    <s v="Línea Belgrano Sur: A partir del 03-07-23 modifica su itinerario de servicios, con motivo de las obras de inversión que se encuentran desarrollandose, viendose modificados los diagramas de sus tres ramales activos:_x000a_   - Ramal G. Catán: De lunes a viernes brindara servicio especial con 91 trenes y un servicio adicional programado entre cabeceras. Sábados 91 trenes y Domingos/Feriados 74 trenes._x000a_   - Ramal Marinos del C. G. Belgrano: De lunes a viernes brindara servicio especial con 33 trenes. Sábados 33 trenes y Domingos/Feriados 32._x000a_   - Ramal Villars: De lunes a viernes brindara servicio especial con 18 trenes. Sábados 18 y Domingos/Feriados 16."/>
  </r>
  <r>
    <x v="30"/>
    <s v="Agosto"/>
    <n v="0.38844405972733176"/>
    <n v="0.40084859312192944"/>
    <n v="0.96905431724734903"/>
    <n v="154"/>
    <n v="5.311076373380974"/>
    <n v="4621"/>
    <n v="143"/>
    <n v="4478"/>
    <n v="1795"/>
    <n v="2683"/>
    <m/>
  </r>
  <r>
    <x v="30"/>
    <s v="Septiembre"/>
    <n v="0.91468381564844592"/>
    <n v="0.93186285215112474"/>
    <n v="0.9815648445873526"/>
    <n v="154"/>
    <n v="5.3671107228652541"/>
    <n v="4665"/>
    <n v="86"/>
    <n v="4579"/>
    <n v="4267"/>
    <n v="312"/>
    <m/>
  </r>
  <r>
    <x v="30"/>
    <s v="Octubre"/>
    <n v="0.90605296343001263"/>
    <n v="0.92809472551130245"/>
    <n v="0.97625052543085333"/>
    <n v="154"/>
    <n v="5.3532831001076424"/>
    <n v="4758"/>
    <n v="113"/>
    <n v="4645"/>
    <n v="4311"/>
    <n v="334"/>
    <m/>
  </r>
  <r>
    <x v="30"/>
    <s v="Noviembre"/>
    <n v="0.887534744494334"/>
    <n v="0.90970852509314049"/>
    <n v="0.97562540089801153"/>
    <n v="154"/>
    <n v="5.3618233618233617"/>
    <n v="4677"/>
    <n v="114"/>
    <n v="4563"/>
    <n v="4151"/>
    <n v="412"/>
    <m/>
  </r>
  <r>
    <x v="30"/>
    <s v="Diciembre"/>
    <n v="0.89367572156196939"/>
    <n v="0.93060773480662984"/>
    <n v="0.96031409168081494"/>
    <n v="154"/>
    <n v="5.3502762430939228"/>
    <n v="4712"/>
    <n v="187"/>
    <n v="4525"/>
    <n v="4211"/>
    <n v="314"/>
    <m/>
  </r>
  <r>
    <x v="31"/>
    <s v="Enero"/>
    <n v="0.84242172921418201"/>
    <n v="0.90469828545980846"/>
    <n v="0.93116317644619528"/>
    <n v="152"/>
    <n v="5.3389000222667553"/>
    <n v="4823"/>
    <n v="332"/>
    <n v="4491"/>
    <n v="4063"/>
    <n v="428"/>
    <s v="A partir del 08-01-2024, entra en vigencia un nuevo itinerario de trenes en los ramales:_x000a_Dr. Saenz - Gonzalez Catan: De Lunes a Viernes 108 trenes, sábados 92 trenes y domingos/feriados 74 trenes._x000a_Dr. Saenz - Marinos del Crucero Gral. Belgrano (reducido a Tapiales): De Lunes a Viernes 36 trenes, sábados 36 trenes y domingos/feriados 34 trenes."/>
  </r>
  <r>
    <x v="31"/>
    <s v="Febrero"/>
    <n v="0.7899348461019996"/>
    <n v="0.88253012048192769"/>
    <n v="0.89507975735789713"/>
    <n v="152"/>
    <n v="5.3162650602409638"/>
    <n v="4451"/>
    <n v="467"/>
    <n v="3984"/>
    <n v="3516"/>
    <n v="468"/>
    <m/>
  </r>
  <r>
    <x v="31"/>
    <s v="Marzo"/>
    <n v="0.83287613420552864"/>
    <n v="0.88497757847533631"/>
    <n v="0.94112682000422032"/>
    <n v="152"/>
    <n v="5.3213004484304935"/>
    <n v="4739"/>
    <n v="279"/>
    <n v="4460"/>
    <n v="3947"/>
    <n v="513"/>
    <m/>
  </r>
  <r>
    <x v="31"/>
    <s v="Abril"/>
    <n v="0.83643847487001732"/>
    <n v="0.88819875776397517"/>
    <n v="0.94172443674176776"/>
    <n v="152"/>
    <n v="5.3227513227513228"/>
    <n v="4616"/>
    <n v="269"/>
    <n v="4347"/>
    <n v="3861"/>
    <n v="486"/>
    <m/>
  </r>
  <r>
    <x v="31"/>
    <s v="Mayo"/>
    <n v="0.77489177489177485"/>
    <n v="0.82129920309104076"/>
    <n v="0.94349510138983828"/>
    <n v="146"/>
    <n v="5.2762617725187155"/>
    <n v="4389"/>
    <n v="248"/>
    <n v="4141"/>
    <n v="3401"/>
    <n v="740"/>
    <s v="A partir del día 1° de mayo de 2024, se implementan nuevos itinerarios en la línea Belgrano Sur, en los ramales:_x000a_Dr. Saenz - Gonzales Catán: Lunes a Viernes habiles 86 trenes, sábados 75 trenes y domingos/feriados 77 trenes._x000a_Dr. Saenz - Marinos del Crucero Gral. Belgrano: Lunes a Viernes habiles 46 trenes, sábados 44 trenes y domingos/feriados 38 trenes._x000a_Gonzales Catán - Villars - Lozano: Lunes a Viernes habiles 14 trenes, sábados 16 trenes y domingos/feriados 15 trenes."/>
  </r>
  <r>
    <x v="31"/>
    <s v="Junio"/>
    <n v="0.79475566150178789"/>
    <n v="0.82483918852053439"/>
    <n v="0.96352800953516093"/>
    <n v="146"/>
    <n v="5.2568035625927756"/>
    <n v="4195"/>
    <n v="153"/>
    <n v="4042"/>
    <n v="3334"/>
    <n v="708"/>
    <m/>
  </r>
  <r>
    <x v="31"/>
    <s v="Julio"/>
    <n v="0.64053624176323565"/>
    <n v="0.81804991294254203"/>
    <n v="0.78300386275846401"/>
    <n v="146"/>
    <n v="5.4056877539175856"/>
    <n v="4401"/>
    <n v="955"/>
    <n v="3446"/>
    <n v="2819"/>
    <n v="627"/>
    <m/>
  </r>
  <r>
    <x v="31"/>
    <s v="Agosto"/>
    <n v="0.77005226084980682"/>
    <n v="0.79219261337073399"/>
    <n v="0.97205180640763467"/>
    <n v="146"/>
    <n v="5.2727910238429176"/>
    <n v="4401"/>
    <n v="123"/>
    <n v="4278"/>
    <n v="3389"/>
    <n v="889"/>
    <m/>
  </r>
  <r>
    <x v="31"/>
    <s v="Septiembre"/>
    <n v="0.78101503759398494"/>
    <n v="0.80425840793612391"/>
    <n v="0.97109962406015038"/>
    <n v="146"/>
    <n v="5.3017178804742322"/>
    <n v="4256"/>
    <n v="123"/>
    <n v="4133"/>
    <n v="3324"/>
    <n v="809"/>
    <m/>
  </r>
</pivotCacheRecords>
</file>

<file path=xl/pivotCache/pivotCacheRecords8.xml><?xml version="1.0" encoding="utf-8"?>
<pivotCacheRecords xmlns="http://schemas.openxmlformats.org/spreadsheetml/2006/main" xmlns:r="http://schemas.openxmlformats.org/officeDocument/2006/relationships" count="381">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1"/>
    <s v="Mayo"/>
    <n v="0.93894009216589858"/>
    <n v="0.95433255269320838"/>
    <n v="0.9838709677419355"/>
    <m/>
    <m/>
    <n v="1736"/>
    <n v="28"/>
    <n v="1708"/>
    <n v="1630"/>
    <n v="78"/>
    <m/>
  </r>
  <r>
    <x v="1"/>
    <s v="Junio"/>
    <n v="0.89047619047619042"/>
    <n v="0.95774647887323938"/>
    <n v="0.92976190476190479"/>
    <m/>
    <m/>
    <n v="1680"/>
    <n v="118"/>
    <n v="1562"/>
    <n v="1496"/>
    <n v="66"/>
    <m/>
  </r>
  <r>
    <x v="1"/>
    <s v="Julio"/>
    <n v="0.9285714285714286"/>
    <n v="0.95610913404507714"/>
    <n v="0.97119815668202769"/>
    <m/>
    <m/>
    <n v="1736"/>
    <n v="50"/>
    <n v="1686"/>
    <n v="1612"/>
    <n v="74"/>
    <m/>
  </r>
  <r>
    <x v="1"/>
    <s v="Agosto"/>
    <n v="0.95103686635944695"/>
    <n v="0.96044211751018038"/>
    <n v="0.99020737327188935"/>
    <m/>
    <m/>
    <n v="1736"/>
    <n v="17"/>
    <n v="1719"/>
    <n v="1651"/>
    <n v="68"/>
    <m/>
  </r>
  <r>
    <x v="1"/>
    <s v="Septiembre"/>
    <n v="0.9107142857142857"/>
    <n v="0.93865030674846628"/>
    <n v="0.97023809523809523"/>
    <m/>
    <m/>
    <n v="1680"/>
    <n v="50"/>
    <n v="1630"/>
    <n v="1530"/>
    <n v="100"/>
    <m/>
  </r>
  <r>
    <x v="1"/>
    <s v="Octubre"/>
    <n v="0.94354838709677424"/>
    <n v="0.95565927654609106"/>
    <n v="0.98732718894009219"/>
    <m/>
    <m/>
    <n v="1736"/>
    <n v="22"/>
    <n v="1714"/>
    <n v="1638"/>
    <n v="76"/>
    <m/>
  </r>
  <r>
    <x v="1"/>
    <s v="Noviembre"/>
    <n v="0.90297619047619049"/>
    <n v="0.9323909035033805"/>
    <n v="0.96845238095238095"/>
    <m/>
    <m/>
    <n v="1680"/>
    <n v="53"/>
    <n v="1627"/>
    <n v="1517"/>
    <n v="110"/>
    <m/>
  </r>
  <r>
    <x v="1"/>
    <s v="Diciembre"/>
    <n v="0.87845622119815669"/>
    <n v="0.93386405388854865"/>
    <n v="0.94066820276497698"/>
    <m/>
    <m/>
    <n v="1736"/>
    <n v="103"/>
    <n v="1633"/>
    <n v="1525"/>
    <n v="108"/>
    <m/>
  </r>
  <r>
    <x v="2"/>
    <s v="Enero"/>
    <n v="0.90956221198156684"/>
    <n v="0.95871281117182761"/>
    <n v="0.94873271889400923"/>
    <m/>
    <m/>
    <n v="1736"/>
    <n v="89"/>
    <n v="1647"/>
    <n v="1579"/>
    <n v="68"/>
    <m/>
  </r>
  <r>
    <x v="2"/>
    <s v="Febrero"/>
    <n v="0.80788177339901479"/>
    <n v="0.89556313993174064"/>
    <n v="0.90209359605911332"/>
    <m/>
    <m/>
    <n v="1624"/>
    <n v="159"/>
    <n v="1465"/>
    <n v="1312"/>
    <n v="153"/>
    <m/>
  </r>
  <r>
    <x v="2"/>
    <s v="Marzo"/>
    <n v="0.91647465437788023"/>
    <n v="0.95785671282360019"/>
    <n v="0.95679723502304148"/>
    <m/>
    <m/>
    <n v="1736"/>
    <n v="75"/>
    <n v="1661"/>
    <n v="1591"/>
    <n v="70"/>
    <m/>
  </r>
  <r>
    <x v="2"/>
    <s v="Abril"/>
    <n v="0.84761904761904761"/>
    <n v="0.92889758643183296"/>
    <n v="0.91249999999999998"/>
    <m/>
    <m/>
    <n v="1680"/>
    <n v="147"/>
    <n v="1533"/>
    <n v="1424"/>
    <n v="109"/>
    <m/>
  </r>
  <r>
    <x v="2"/>
    <s v="Mayo"/>
    <n v="0.82718894009216593"/>
    <n v="0.86558167570825795"/>
    <n v="0.95564516129032262"/>
    <m/>
    <m/>
    <n v="1736"/>
    <n v="77"/>
    <n v="1659"/>
    <n v="1436"/>
    <n v="223"/>
    <m/>
  </r>
  <r>
    <x v="2"/>
    <s v="Junio"/>
    <n v="0.86071428571428577"/>
    <n v="0.96015936254980083"/>
    <n v="0.89642857142857146"/>
    <m/>
    <m/>
    <n v="1680"/>
    <n v="174"/>
    <n v="1506"/>
    <n v="1446"/>
    <n v="60"/>
    <m/>
  </r>
  <r>
    <x v="2"/>
    <s v="Julio"/>
    <n v="0.93172268907563027"/>
    <n v="0.95120643431635388"/>
    <n v="0.97951680672268904"/>
    <m/>
    <m/>
    <n v="1904"/>
    <n v="39"/>
    <n v="1865"/>
    <n v="1774"/>
    <n v="91"/>
    <m/>
  </r>
  <r>
    <x v="2"/>
    <s v="Agosto"/>
    <n v="0.95233050847457623"/>
    <n v="0.97241752298539752"/>
    <n v="0.97934322033898302"/>
    <m/>
    <m/>
    <n v="1888"/>
    <n v="39"/>
    <n v="1849"/>
    <n v="1798"/>
    <n v="51"/>
    <m/>
  </r>
  <r>
    <x v="2"/>
    <s v="Septiembre"/>
    <n v="0.96813186813186813"/>
    <n v="0.98052309404563165"/>
    <n v="0.98736263736263741"/>
    <m/>
    <m/>
    <n v="1820"/>
    <n v="23"/>
    <n v="1797"/>
    <n v="1762"/>
    <n v="35"/>
    <m/>
  </r>
  <r>
    <x v="2"/>
    <s v="Octubre"/>
    <n v="0.91928721174004191"/>
    <n v="0.9798882681564246"/>
    <n v="0.93815513626834379"/>
    <m/>
    <m/>
    <n v="1908"/>
    <n v="118"/>
    <n v="1790"/>
    <n v="1754"/>
    <n v="36"/>
    <m/>
  </r>
  <r>
    <x v="2"/>
    <s v="Noviembre"/>
    <n v="0.94207650273224042"/>
    <n v="0.98289623717217789"/>
    <n v="0.95846994535519126"/>
    <m/>
    <m/>
    <n v="1830"/>
    <n v="76"/>
    <n v="1754"/>
    <n v="1724"/>
    <n v="30"/>
    <m/>
  </r>
  <r>
    <x v="2"/>
    <s v="Diciembre"/>
    <n v="0.9617400419287212"/>
    <n v="0.98655913978494625"/>
    <n v="0.97484276729559749"/>
    <m/>
    <m/>
    <n v="1908"/>
    <n v="48"/>
    <n v="1860"/>
    <n v="1835"/>
    <n v="25"/>
    <m/>
  </r>
  <r>
    <x v="3"/>
    <s v="Enero"/>
    <n v="0.95127118644067798"/>
    <n v="0.97396963123644253"/>
    <n v="0.97669491525423724"/>
    <m/>
    <m/>
    <n v="1888"/>
    <n v="44"/>
    <n v="1844"/>
    <n v="1796"/>
    <n v="48"/>
    <m/>
  </r>
  <r>
    <x v="3"/>
    <s v="Febrero"/>
    <n v="0.89211136890951281"/>
    <n v="0.95706285003111391"/>
    <n v="0.93213457076566131"/>
    <m/>
    <m/>
    <n v="1724"/>
    <n v="117"/>
    <n v="1607"/>
    <n v="1538"/>
    <n v="69"/>
    <m/>
  </r>
  <r>
    <x v="3"/>
    <s v="Marzo"/>
    <n v="0.8103813559322034"/>
    <n v="0.94561186650185414"/>
    <n v="0.85699152542372881"/>
    <m/>
    <m/>
    <n v="1888"/>
    <n v="270"/>
    <n v="1618"/>
    <n v="1530"/>
    <n v="88"/>
    <m/>
  </r>
  <r>
    <x v="3"/>
    <s v="Abril"/>
    <n v="0.85322580645161294"/>
    <n v="0.95086878370281602"/>
    <n v="0.89731182795698927"/>
    <m/>
    <m/>
    <n v="1860"/>
    <n v="191"/>
    <n v="1669"/>
    <n v="1587"/>
    <n v="82"/>
    <m/>
  </r>
  <r>
    <x v="3"/>
    <s v="Mayo"/>
    <n v="0.94046364594309795"/>
    <n v="0.96330275229357798"/>
    <n v="0.97629083245521597"/>
    <m/>
    <m/>
    <n v="1898"/>
    <n v="45"/>
    <n v="1853"/>
    <n v="1785"/>
    <n v="68"/>
    <m/>
  </r>
  <r>
    <x v="3"/>
    <s v="Junio"/>
    <n v="0.96284153005464479"/>
    <n v="0.98106904231625836"/>
    <n v="0.98142076502732245"/>
    <m/>
    <m/>
    <n v="1830"/>
    <n v="34"/>
    <n v="1796"/>
    <n v="1762"/>
    <n v="34"/>
    <m/>
  </r>
  <r>
    <x v="3"/>
    <s v="Julio"/>
    <n v="0.91991570073761852"/>
    <n v="0.94225580140313003"/>
    <n v="0.97629083245521597"/>
    <m/>
    <m/>
    <n v="1898"/>
    <n v="45"/>
    <n v="1853"/>
    <n v="1746"/>
    <n v="107"/>
    <m/>
  </r>
  <r>
    <x v="3"/>
    <s v="Agosto"/>
    <n v="0.95656779661016944"/>
    <n v="0.9688841201716738"/>
    <n v="0.98728813559322037"/>
    <m/>
    <m/>
    <n v="1888"/>
    <n v="24"/>
    <n v="1864"/>
    <n v="1806"/>
    <n v="58"/>
    <m/>
  </r>
  <r>
    <x v="3"/>
    <s v="Septiembre"/>
    <n v="0.94699453551912571"/>
    <n v="0.96761585706309328"/>
    <n v="0.97868852459016398"/>
    <m/>
    <m/>
    <n v="1830"/>
    <n v="39"/>
    <n v="1791"/>
    <n v="1733"/>
    <n v="58"/>
    <m/>
  </r>
  <r>
    <x v="3"/>
    <s v="Octubre"/>
    <n v="0.94309799789251847"/>
    <n v="0.95314164004259849"/>
    <n v="0.98946259220231825"/>
    <m/>
    <m/>
    <n v="1898"/>
    <n v="20"/>
    <n v="1878"/>
    <n v="1790"/>
    <n v="88"/>
    <m/>
  </r>
  <r>
    <x v="3"/>
    <s v="Noviembre"/>
    <n v="0.92841530054644805"/>
    <n v="0.96424517593643588"/>
    <n v="0.96284153005464479"/>
    <m/>
    <m/>
    <n v="1830"/>
    <n v="68"/>
    <n v="1762"/>
    <n v="1699"/>
    <n v="63"/>
    <m/>
  </r>
  <r>
    <x v="3"/>
    <s v="Diciembre"/>
    <n v="0.92961418143899899"/>
    <n v="0.95296632816675575"/>
    <n v="0.97549530761209591"/>
    <m/>
    <m/>
    <n v="1918"/>
    <n v="47"/>
    <n v="1871"/>
    <n v="1783"/>
    <n v="88"/>
    <m/>
  </r>
  <r>
    <x v="4"/>
    <s v="Enero"/>
    <n v="0.93644067796610164"/>
    <n v="0.94494922501336187"/>
    <n v="0.9909957627118644"/>
    <m/>
    <m/>
    <n v="1888"/>
    <n v="17"/>
    <n v="1871"/>
    <n v="1768"/>
    <n v="103"/>
    <m/>
  </r>
  <r>
    <x v="4"/>
    <s v="Febrero"/>
    <n v="0.95069605568445481"/>
    <n v="0.96355085243974137"/>
    <n v="0.98665893271461713"/>
    <m/>
    <m/>
    <n v="1724"/>
    <n v="23"/>
    <n v="1701"/>
    <n v="1639"/>
    <n v="62"/>
    <m/>
  </r>
  <r>
    <x v="4"/>
    <s v="Marzo"/>
    <n v="0.92662473794549272"/>
    <n v="0.94142705005324812"/>
    <n v="0.98427672955974843"/>
    <m/>
    <m/>
    <n v="1908"/>
    <n v="30"/>
    <n v="1878"/>
    <n v="1768"/>
    <n v="110"/>
    <m/>
  </r>
  <r>
    <x v="4"/>
    <s v="Abril"/>
    <n v="0.89783783783783788"/>
    <n v="0.91515151515151516"/>
    <n v="0.98108108108108105"/>
    <m/>
    <m/>
    <n v="1850"/>
    <n v="35"/>
    <n v="1815"/>
    <n v="1661"/>
    <n v="154"/>
    <m/>
  </r>
  <r>
    <x v="4"/>
    <s v="Mayo"/>
    <n v="0.90779768177028453"/>
    <n v="0.91844349680170578"/>
    <n v="0.98840885142255008"/>
    <m/>
    <m/>
    <n v="1898"/>
    <n v="22"/>
    <n v="1876"/>
    <n v="1723"/>
    <n v="153"/>
    <m/>
  </r>
  <r>
    <x v="4"/>
    <s v="Junio"/>
    <n v="0.90815217391304348"/>
    <n v="0.93876404494382026"/>
    <n v="0.96739130434782605"/>
    <m/>
    <m/>
    <n v="1840"/>
    <n v="60"/>
    <n v="1780"/>
    <n v="1671"/>
    <n v="109"/>
    <m/>
  </r>
  <r>
    <x v="4"/>
    <s v="Julio"/>
    <n v="0.94625922023182296"/>
    <n v="0.95227995758218453"/>
    <n v="0.9936775553213909"/>
    <m/>
    <m/>
    <n v="1898"/>
    <n v="12"/>
    <n v="1886"/>
    <n v="1796"/>
    <n v="90"/>
    <m/>
  </r>
  <r>
    <x v="4"/>
    <s v="Agosto"/>
    <n v="0.89141949152542377"/>
    <n v="0.91120736329182461"/>
    <n v="0.97828389830508478"/>
    <m/>
    <m/>
    <n v="1888"/>
    <n v="41"/>
    <n v="1847"/>
    <n v="1683"/>
    <n v="164"/>
    <m/>
  </r>
  <r>
    <x v="4"/>
    <s v="Septiembre"/>
    <n v="0.88749999999999996"/>
    <n v="0.92731402612152192"/>
    <n v="0.95706521739130435"/>
    <m/>
    <m/>
    <n v="1840"/>
    <n v="79"/>
    <n v="1761"/>
    <n v="1633"/>
    <n v="128"/>
    <m/>
  </r>
  <r>
    <x v="4"/>
    <s v="Octubre"/>
    <n v="0.90360169491525422"/>
    <n v="0.91083822744260545"/>
    <n v="0.99205508474576276"/>
    <m/>
    <m/>
    <n v="1888"/>
    <n v="15"/>
    <n v="1873"/>
    <n v="1706"/>
    <n v="167"/>
    <m/>
  </r>
  <r>
    <x v="4"/>
    <s v="Noviembre"/>
    <n v="0.88524590163934425"/>
    <n v="0.93156986774008055"/>
    <n v="0.95027322404371584"/>
    <m/>
    <m/>
    <n v="1830"/>
    <n v="91"/>
    <n v="1739"/>
    <n v="1620"/>
    <n v="119"/>
    <m/>
  </r>
  <r>
    <x v="4"/>
    <s v="Diciembre"/>
    <n v="0.78786307053941906"/>
    <n v="0.89881656804733723"/>
    <n v="0.87655601659751037"/>
    <m/>
    <m/>
    <n v="1928"/>
    <n v="238"/>
    <n v="1690"/>
    <n v="1519"/>
    <n v="171"/>
    <m/>
  </r>
  <r>
    <x v="5"/>
    <s v="Enero"/>
    <n v="0.81885593220338981"/>
    <n v="0.84388646288209612"/>
    <n v="0.97033898305084743"/>
    <m/>
    <m/>
    <n v="1888"/>
    <n v="56"/>
    <n v="1832"/>
    <n v="1546"/>
    <n v="286"/>
    <m/>
  </r>
  <r>
    <x v="5"/>
    <s v="Febrero"/>
    <n v="0.84330985915492962"/>
    <n v="0.86254501800720285"/>
    <n v="0.97769953051643188"/>
    <m/>
    <m/>
    <n v="1704"/>
    <n v="38"/>
    <n v="1666"/>
    <n v="1437"/>
    <n v="229"/>
    <m/>
  </r>
  <r>
    <x v="5"/>
    <s v="Marzo"/>
    <n v="0.84567257559958287"/>
    <n v="0.8720430107526882"/>
    <n v="0.96976016684045885"/>
    <m/>
    <m/>
    <n v="1918"/>
    <n v="58"/>
    <n v="1860"/>
    <n v="1622"/>
    <n v="238"/>
    <m/>
  </r>
  <r>
    <x v="5"/>
    <s v="Abril"/>
    <n v="0.77945945945945949"/>
    <n v="0.79317931793179319"/>
    <n v="0.98270270270270266"/>
    <m/>
    <m/>
    <n v="1850"/>
    <n v="32"/>
    <n v="1818"/>
    <n v="1442"/>
    <n v="376"/>
    <m/>
  </r>
  <r>
    <x v="5"/>
    <s v="Mayo"/>
    <n v="0.72563559322033899"/>
    <n v="0.78826237054085158"/>
    <n v="0.92055084745762716"/>
    <m/>
    <m/>
    <n v="1888"/>
    <n v="150"/>
    <n v="1738"/>
    <n v="1370"/>
    <n v="368"/>
    <m/>
  </r>
  <r>
    <x v="5"/>
    <s v="Junio"/>
    <n v="0.76989247311827957"/>
    <n v="0.82726747544771806"/>
    <n v="0.9306451612903226"/>
    <m/>
    <m/>
    <n v="1860"/>
    <n v="129"/>
    <n v="1731"/>
    <n v="1432"/>
    <n v="299"/>
    <m/>
  </r>
  <r>
    <x v="5"/>
    <s v="Julio"/>
    <n v="0.89778714436248686"/>
    <n v="0.91909385113268605"/>
    <n v="0.97681770284510006"/>
    <n v="60"/>
    <n v="2"/>
    <n v="1898"/>
    <n v="44"/>
    <n v="1854"/>
    <n v="1704"/>
    <n v="150"/>
    <m/>
  </r>
  <r>
    <x v="5"/>
    <s v="Agosto"/>
    <n v="0.84193888303477349"/>
    <n v="0.85637727759914251"/>
    <n v="0.98314014752370915"/>
    <n v="60"/>
    <n v="2"/>
    <n v="1898"/>
    <n v="32"/>
    <n v="1866"/>
    <n v="1598"/>
    <n v="268"/>
    <m/>
  </r>
  <r>
    <x v="5"/>
    <s v="Septiembre"/>
    <n v="0.78032786885245897"/>
    <n v="0.94195250659630603"/>
    <n v="0.82841530054644807"/>
    <n v="60"/>
    <n v="2"/>
    <n v="1830"/>
    <n v="314"/>
    <n v="1516"/>
    <n v="1428"/>
    <n v="88"/>
    <m/>
  </r>
  <r>
    <x v="5"/>
    <s v="Octubre"/>
    <n v="0.83845338983050843"/>
    <n v="0.89586870401810981"/>
    <n v="0.93591101694915257"/>
    <n v="60"/>
    <n v="2"/>
    <n v="1888"/>
    <n v="121"/>
    <n v="1767"/>
    <n v="1583"/>
    <n v="184"/>
    <m/>
  </r>
  <r>
    <x v="5"/>
    <s v="Noviembre"/>
    <n v="0.82934782608695656"/>
    <n v="0.88927738927738931"/>
    <n v="0.93260869565217386"/>
    <n v="60"/>
    <n v="2"/>
    <n v="1840"/>
    <n v="124"/>
    <n v="1716"/>
    <n v="1526"/>
    <n v="190"/>
    <m/>
  </r>
  <r>
    <x v="5"/>
    <s v="Diciembre"/>
    <n v="0.86740041928721179"/>
    <n v="0.92821088053841838"/>
    <n v="0.93448637316561844"/>
    <n v="60"/>
    <n v="2"/>
    <n v="1908"/>
    <n v="125"/>
    <n v="1783"/>
    <n v="1655"/>
    <n v="128"/>
    <m/>
  </r>
  <r>
    <x v="6"/>
    <s v="Enero"/>
    <n v="0.89194915254237284"/>
    <n v="0.93711741791875347"/>
    <n v="0.95180084745762716"/>
    <n v="60"/>
    <n v="2"/>
    <n v="1888"/>
    <n v="91"/>
    <n v="1797"/>
    <n v="1684"/>
    <n v="113"/>
    <m/>
  </r>
  <r>
    <x v="6"/>
    <s v="Febrero"/>
    <n v="0.8577008928571429"/>
    <n v="0.91433670434265313"/>
    <n v="0.9380580357142857"/>
    <n v="60"/>
    <n v="2"/>
    <n v="1792"/>
    <n v="111"/>
    <n v="1681"/>
    <n v="1537"/>
    <n v="144"/>
    <m/>
  </r>
  <r>
    <x v="6"/>
    <s v="Marzo"/>
    <n v="0.69195046439628483"/>
    <n v="0.95717344753747324"/>
    <n v="0.72291021671826627"/>
    <n v="60"/>
    <n v="2"/>
    <n v="1938"/>
    <n v="537"/>
    <n v="1401"/>
    <n v="1341"/>
    <n v="60"/>
    <m/>
  </r>
  <r>
    <x v="6"/>
    <s v="Abril"/>
    <n v="0.42826086956521742"/>
    <n v="0.96332518337408313"/>
    <n v="0.44456521739130433"/>
    <n v="60"/>
    <n v="2"/>
    <n v="1840"/>
    <n v="1022"/>
    <n v="818"/>
    <n v="788"/>
    <n v="30"/>
    <m/>
  </r>
  <r>
    <x v="6"/>
    <s v="Mayo"/>
    <n v="0.41240875912408759"/>
    <n v="0.93942992874109266"/>
    <n v="0.43899895724713245"/>
    <n v="60"/>
    <n v="2"/>
    <n v="1918"/>
    <n v="1076"/>
    <n v="842"/>
    <n v="791"/>
    <n v="51"/>
    <m/>
  </r>
  <r>
    <x v="6"/>
    <s v="Junio"/>
    <n v="0.49655647382920109"/>
    <n v="0.87926829268292683"/>
    <n v="0.56473829201101933"/>
    <n v="60"/>
    <n v="2"/>
    <n v="1452"/>
    <n v="632"/>
    <n v="820"/>
    <n v="721"/>
    <n v="99"/>
    <m/>
  </r>
  <r>
    <x v="6"/>
    <s v="Julio"/>
    <n v="0.89268867924528306"/>
    <n v="0.89691943127962082"/>
    <n v="0.99528301886792447"/>
    <n v="60"/>
    <n v="2"/>
    <n v="848"/>
    <n v="4"/>
    <n v="844"/>
    <n v="757"/>
    <n v="87"/>
    <m/>
  </r>
  <r>
    <x v="6"/>
    <s v="Agosto"/>
    <n v="0.93971631205673756"/>
    <n v="0.94194312796208535"/>
    <n v="0.99763593380614657"/>
    <n v="60"/>
    <n v="2"/>
    <n v="846"/>
    <n v="2"/>
    <n v="844"/>
    <n v="795"/>
    <n v="49"/>
    <m/>
  </r>
  <r>
    <x v="6"/>
    <s v="Septiembre"/>
    <n v="0.83980582524271841"/>
    <n v="0.84184914841849146"/>
    <n v="0.99757281553398058"/>
    <n v="60"/>
    <n v="2"/>
    <n v="824"/>
    <n v="2"/>
    <n v="822"/>
    <n v="692"/>
    <n v="130"/>
    <m/>
  </r>
  <r>
    <x v="6"/>
    <s v="Octubre"/>
    <n v="0.89268867924528306"/>
    <n v="0.89479905437352247"/>
    <n v="0.99764150943396224"/>
    <n v="60"/>
    <n v="2"/>
    <n v="848"/>
    <n v="2"/>
    <n v="846"/>
    <n v="757"/>
    <n v="89"/>
    <m/>
  </r>
  <r>
    <x v="6"/>
    <s v="Noviembre"/>
    <n v="0.90975609756097564"/>
    <n v="0.91985203452527742"/>
    <n v="0.98902439024390243"/>
    <n v="60"/>
    <n v="2"/>
    <n v="820"/>
    <n v="9"/>
    <n v="811"/>
    <n v="746"/>
    <n v="65"/>
    <m/>
  </r>
  <r>
    <x v="6"/>
    <s v="Diciembre"/>
    <n v="0.89904988123515439"/>
    <n v="0.94037267080745346"/>
    <n v="0.9560570071258907"/>
    <n v="60"/>
    <n v="2"/>
    <n v="842"/>
    <n v="37"/>
    <n v="805"/>
    <n v="757"/>
    <n v="48"/>
    <m/>
  </r>
  <r>
    <x v="7"/>
    <s v="Enero"/>
    <n v="0.91252955082742315"/>
    <n v="0.919047619047619"/>
    <n v="0.99290780141843971"/>
    <n v="28"/>
    <n v="2"/>
    <n v="846"/>
    <n v="6"/>
    <n v="840"/>
    <n v="772"/>
    <n v="68"/>
    <m/>
  </r>
  <r>
    <x v="7"/>
    <s v="Febrero"/>
    <n v="0.86256544502617805"/>
    <n v="0.88101604278074863"/>
    <n v="0.97905759162303663"/>
    <n v="28"/>
    <n v="2"/>
    <n v="764"/>
    <n v="16"/>
    <n v="748"/>
    <n v="659"/>
    <n v="89"/>
    <m/>
  </r>
  <r>
    <x v="7"/>
    <s v="Marzo"/>
    <n v="0.86823529411764711"/>
    <n v="0.87440758293838861"/>
    <n v="0.99294117647058822"/>
    <n v="28"/>
    <n v="2"/>
    <n v="850"/>
    <n v="6"/>
    <n v="844"/>
    <n v="738"/>
    <n v="106"/>
    <m/>
  </r>
  <r>
    <x v="7"/>
    <s v="Abril"/>
    <n v="0.87073170731707317"/>
    <n v="0.87607361963190189"/>
    <n v="0.99390243902439024"/>
    <n v="28"/>
    <n v="2"/>
    <n v="820"/>
    <n v="5"/>
    <n v="815"/>
    <n v="714"/>
    <n v="101"/>
    <m/>
  </r>
  <r>
    <x v="7"/>
    <s v="Mayo"/>
    <n v="0.92298578199052128"/>
    <n v="0.92298578199052128"/>
    <n v="1"/>
    <n v="28"/>
    <n v="2"/>
    <n v="844"/>
    <n v="0"/>
    <n v="844"/>
    <n v="779"/>
    <n v="65"/>
    <m/>
  </r>
  <r>
    <x v="7"/>
    <s v="Junio"/>
    <n v="0.95246478873239437"/>
    <n v="0.9614928909952607"/>
    <n v="0.99061032863849763"/>
    <n v="58"/>
    <n v="2"/>
    <n v="1704"/>
    <n v="16"/>
    <n v="1688"/>
    <n v="1623"/>
    <n v="65"/>
    <m/>
  </r>
  <r>
    <x v="7"/>
    <s v="Julio"/>
    <n v="0.93629124004550623"/>
    <n v="0.94925028835063441"/>
    <n v="0.98634812286689422"/>
    <n v="58"/>
    <n v="2"/>
    <n v="1758"/>
    <n v="24"/>
    <n v="1734"/>
    <n v="1646"/>
    <n v="88"/>
    <m/>
  </r>
  <r>
    <x v="7"/>
    <s v="Agosto"/>
    <n v="0.95961319681456203"/>
    <n v="0.96787148594377514"/>
    <n v="0.99146757679180886"/>
    <n v="58"/>
    <n v="2"/>
    <n v="1758"/>
    <n v="15"/>
    <n v="1743"/>
    <n v="1687"/>
    <n v="56"/>
    <m/>
  </r>
  <r>
    <x v="7"/>
    <s v="Septiembre"/>
    <n v="0.97599531615925061"/>
    <n v="0.97828638497652587"/>
    <n v="0.99765807962529274"/>
    <n v="58"/>
    <n v="2"/>
    <n v="1708"/>
    <n v="4"/>
    <n v="1704"/>
    <n v="1667"/>
    <n v="37"/>
    <m/>
  </r>
  <r>
    <x v="7"/>
    <s v="Octubre"/>
    <n v="0.9"/>
    <n v="0.92051431911163062"/>
    <n v="0.97771428571428576"/>
    <n v="58"/>
    <n v="2"/>
    <n v="1750"/>
    <n v="39"/>
    <n v="1711"/>
    <n v="1575"/>
    <n v="136"/>
    <m/>
  </r>
  <r>
    <x v="7"/>
    <s v="Noviembre"/>
    <n v="0.93251173708920188"/>
    <n v="0.93968066232998226"/>
    <n v="0.99237089201877937"/>
    <n v="58"/>
    <n v="2"/>
    <n v="1704"/>
    <n v="13"/>
    <n v="1691"/>
    <n v="1589"/>
    <n v="102"/>
    <m/>
  </r>
  <r>
    <x v="7"/>
    <s v="Diciembre"/>
    <n v="0.92134213421342137"/>
    <n v="0.93680089485458617"/>
    <n v="0.98349834983498352"/>
    <n v="58"/>
    <n v="2"/>
    <n v="1818"/>
    <n v="30"/>
    <n v="1788"/>
    <n v="1675"/>
    <n v="113"/>
    <m/>
  </r>
  <r>
    <x v="8"/>
    <s v="Enero"/>
    <n v="0.9388830347734457"/>
    <n v="0.95806451612903221"/>
    <n v="0.97997892518440466"/>
    <n v="58"/>
    <n v="2"/>
    <n v="1898"/>
    <n v="38"/>
    <n v="1860"/>
    <n v="1782"/>
    <n v="78"/>
    <m/>
  </r>
  <r>
    <x v="8"/>
    <s v="Febrero"/>
    <n v="0.96674445740956827"/>
    <n v="0.97298884321785084"/>
    <n v="0.99358226371061842"/>
    <n v="58"/>
    <n v="2"/>
    <n v="1714"/>
    <n v="11"/>
    <n v="1703"/>
    <n v="1657"/>
    <n v="46"/>
    <m/>
  </r>
  <r>
    <x v="8"/>
    <s v="Marzo"/>
    <n v="0.9299262381454162"/>
    <n v="0.96028291621327533"/>
    <n v="0.96838777660695474"/>
    <n v="58"/>
    <n v="2"/>
    <n v="1898"/>
    <n v="60"/>
    <n v="1838"/>
    <n v="1765"/>
    <n v="73"/>
    <m/>
  </r>
  <r>
    <x v="8"/>
    <s v="Abril"/>
    <n v="0.90918918918918923"/>
    <n v="0.95513912549687674"/>
    <n v="0.95189189189189194"/>
    <n v="58"/>
    <n v="2"/>
    <n v="1850"/>
    <n v="89"/>
    <n v="1761"/>
    <n v="1682"/>
    <n v="79"/>
    <m/>
  </r>
  <r>
    <x v="8"/>
    <s v="Mayo"/>
    <n v="0.94631901840490795"/>
    <n v="0.96006224066390045"/>
    <n v="0.98568507157464214"/>
    <n v="58"/>
    <n v="2"/>
    <n v="1956"/>
    <n v="28"/>
    <n v="1928"/>
    <n v="1851"/>
    <n v="77"/>
    <m/>
  </r>
  <r>
    <x v="8"/>
    <s v="Junio"/>
    <n v="0.93125000000000002"/>
    <n v="0.93858267716535437"/>
    <n v="0.9921875"/>
    <n v="58"/>
    <n v="2"/>
    <n v="1920"/>
    <n v="15"/>
    <n v="1905"/>
    <n v="1788"/>
    <n v="117"/>
    <m/>
  </r>
  <r>
    <x v="8"/>
    <s v="Julio"/>
    <n v="0.90242669362992922"/>
    <n v="0.90655154900964952"/>
    <n v="0.99544994944388276"/>
    <n v="58"/>
    <n v="2"/>
    <n v="1978"/>
    <n v="9"/>
    <n v="1969"/>
    <n v="1785"/>
    <n v="184"/>
    <m/>
  </r>
  <r>
    <x v="8"/>
    <s v="Agosto"/>
    <n v="0.84336734693877546"/>
    <n v="0.84812724474089274"/>
    <n v="0.9943877551020408"/>
    <n v="58"/>
    <n v="2"/>
    <n v="1960"/>
    <n v="11"/>
    <n v="1949"/>
    <n v="1653"/>
    <n v="296"/>
    <m/>
  </r>
  <r>
    <x v="8"/>
    <s v="Septiembre"/>
    <n v="0.93270241850683488"/>
    <n v="0.9396186440677966"/>
    <n v="0.99263932702418511"/>
    <n v="58"/>
    <n v="2"/>
    <n v="1902"/>
    <n v="14"/>
    <n v="1888"/>
    <n v="1774"/>
    <n v="114"/>
    <m/>
  </r>
  <r>
    <x v="8"/>
    <s v="Octubre"/>
    <n v="0.94935451837140017"/>
    <n v="0.9617706237424547"/>
    <n v="0.98709036742800393"/>
    <n v="58"/>
    <n v="2"/>
    <n v="2014"/>
    <n v="26"/>
    <n v="1988"/>
    <n v="1912"/>
    <n v="76"/>
    <m/>
  </r>
  <r>
    <x v="8"/>
    <s v="Noviembre"/>
    <n v="0.92954784437434279"/>
    <n v="0.95567567567567568"/>
    <n v="0.97266035751840163"/>
    <n v="58"/>
    <n v="2"/>
    <n v="1902"/>
    <n v="52"/>
    <n v="1850"/>
    <n v="1768"/>
    <n v="82"/>
    <m/>
  </r>
  <r>
    <x v="8"/>
    <s v="Diciembre"/>
    <n v="0.95865970409051349"/>
    <n v="0.98085485307212827"/>
    <n v="0.97737162750217577"/>
    <n v="58"/>
    <n v="2"/>
    <n v="2298"/>
    <n v="52"/>
    <n v="2246"/>
    <n v="2203"/>
    <n v="43"/>
    <m/>
  </r>
  <r>
    <x v="9"/>
    <s v="Enero"/>
    <n v="0.926071741032371"/>
    <n v="0.9358974358974359"/>
    <n v="0.98950131233595795"/>
    <n v="58"/>
    <n v="2"/>
    <n v="2286"/>
    <n v="24"/>
    <n v="2262"/>
    <n v="2117"/>
    <n v="145"/>
    <m/>
  </r>
  <r>
    <x v="9"/>
    <s v="Febrero"/>
    <n v="0.92822736030828512"/>
    <n v="0.94229828850855746"/>
    <n v="0.98506743737957614"/>
    <n v="58"/>
    <n v="2"/>
    <n v="2076"/>
    <n v="31"/>
    <n v="2045"/>
    <n v="1927"/>
    <n v="118"/>
    <m/>
  </r>
  <r>
    <x v="9"/>
    <s v="Marzo"/>
    <n v="0.90769903762029747"/>
    <n v="0.93594948128101041"/>
    <n v="0.96981627296587924"/>
    <n v="58"/>
    <n v="2"/>
    <n v="2286"/>
    <n v="69"/>
    <n v="2217"/>
    <n v="2075"/>
    <n v="142"/>
    <m/>
  </r>
  <r>
    <x v="9"/>
    <s v="Abril"/>
    <n v="0.97759856630824371"/>
    <n v="0.98288288288288284"/>
    <n v="0.9946236559139785"/>
    <n v="58"/>
    <n v="2"/>
    <n v="2232"/>
    <n v="12"/>
    <n v="2220"/>
    <n v="2182"/>
    <n v="38"/>
    <m/>
  </r>
  <r>
    <x v="9"/>
    <s v="Mayo"/>
    <n v="0.94865100087032206"/>
    <n v="0.95697980684811235"/>
    <n v="0.99129677980852915"/>
    <n v="58"/>
    <n v="2"/>
    <n v="2298"/>
    <n v="20"/>
    <n v="2278"/>
    <n v="2180"/>
    <n v="98"/>
    <m/>
  </r>
  <r>
    <x v="9"/>
    <s v="Junio"/>
    <n v="0.89234234234234233"/>
    <n v="0.93179680150517408"/>
    <n v="0.95765765765765765"/>
    <n v="58"/>
    <n v="2"/>
    <n v="2220"/>
    <n v="94"/>
    <n v="2126"/>
    <n v="1981"/>
    <n v="145"/>
    <m/>
  </r>
  <r>
    <x v="9"/>
    <s v="Julio"/>
    <n v="0.96815008726003493"/>
    <n v="0.97710259797446064"/>
    <n v="0.99083769633507857"/>
    <n v="58"/>
    <n v="2"/>
    <n v="2292"/>
    <n v="21"/>
    <n v="2271"/>
    <n v="2219"/>
    <n v="52"/>
    <m/>
  </r>
  <r>
    <x v="9"/>
    <s v="Agosto"/>
    <n v="0.95844269466316712"/>
    <n v="0.98031319910514536"/>
    <n v="0.97769028871391073"/>
    <n v="58"/>
    <n v="2"/>
    <n v="2286"/>
    <n v="51"/>
    <n v="2235"/>
    <n v="2191"/>
    <n v="44"/>
    <m/>
  </r>
  <r>
    <x v="9"/>
    <s v="Septiembre"/>
    <n v="0.95483288166214997"/>
    <n v="0.97915701713756365"/>
    <n v="0.97515808491418243"/>
    <n v="58"/>
    <n v="2"/>
    <n v="2214"/>
    <n v="55"/>
    <n v="2159"/>
    <n v="2114"/>
    <n v="45"/>
    <m/>
  </r>
  <r>
    <x v="9"/>
    <s v="Octubre"/>
    <n v="0.96083550913838123"/>
    <n v="0.97440423654015884"/>
    <n v="0.98607484769364662"/>
    <n v="58"/>
    <n v="2"/>
    <n v="2298"/>
    <n v="32"/>
    <n v="2266"/>
    <n v="2208"/>
    <n v="58"/>
    <m/>
  </r>
  <r>
    <x v="9"/>
    <s v="Noviembre"/>
    <n v="0.91102077687443539"/>
    <n v="0.9482839680300893"/>
    <n v="0.96070460704607041"/>
    <n v="58"/>
    <n v="2"/>
    <n v="2214"/>
    <n v="87"/>
    <n v="2127"/>
    <n v="2017"/>
    <n v="110"/>
    <m/>
  </r>
  <r>
    <x v="9"/>
    <s v="Diciembre"/>
    <n v="0.81553819444444442"/>
    <n v="0.96507447354904985"/>
    <n v="0.84505208333333337"/>
    <n v="58"/>
    <n v="2"/>
    <n v="2304"/>
    <n v="357"/>
    <n v="1947"/>
    <n v="1879"/>
    <n v="68"/>
    <m/>
  </r>
  <r>
    <x v="10"/>
    <s v="Enero"/>
    <n v="0.95044679122664499"/>
    <n v="0.96296296296296291"/>
    <n v="0.98700243704305446"/>
    <n v="80"/>
    <n v="2"/>
    <n v="2462"/>
    <n v="32"/>
    <n v="2430"/>
    <n v="2340"/>
    <n v="90"/>
    <s v="A partir del 02-01-2024, entra en vigencia un nuevo itinerario de trenes:_x000a_De Lunes a Viernes 80 trenes, sábados, domingos/feriados 58 trenes."/>
  </r>
  <r>
    <x v="10"/>
    <s v="Febrero"/>
    <n v="0.92565217391304344"/>
    <n v="0.96993166287015942"/>
    <n v="0.95434782608695656"/>
    <n v="80"/>
    <n v="2"/>
    <n v="2300"/>
    <n v="105"/>
    <n v="2195"/>
    <n v="2129"/>
    <n v="66"/>
    <m/>
  </r>
  <r>
    <x v="10"/>
    <s v="Marzo"/>
    <n v="0.92182410423452765"/>
    <n v="0.94609277058086083"/>
    <n v="0.97434853420195444"/>
    <n v="80"/>
    <n v="2"/>
    <n v="2456"/>
    <n v="63"/>
    <n v="2393"/>
    <n v="2264"/>
    <n v="129"/>
    <m/>
  </r>
  <r>
    <x v="10"/>
    <s v="Abril"/>
    <n v="0.95042016806722684"/>
    <n v="0.95928753180661575"/>
    <n v="0.99075630252100844"/>
    <n v="80"/>
    <n v="2"/>
    <n v="2380"/>
    <n v="22"/>
    <n v="2358"/>
    <n v="2262"/>
    <n v="96"/>
    <m/>
  </r>
  <r>
    <x v="10"/>
    <s v="Mayo"/>
    <n v="0.87855402112103975"/>
    <n v="0.9315245478036176"/>
    <n v="0.94313566206336308"/>
    <n v="80"/>
    <n v="2"/>
    <n v="2462"/>
    <n v="140"/>
    <n v="2322"/>
    <n v="2163"/>
    <n v="159"/>
    <m/>
  </r>
  <r>
    <x v="10"/>
    <s v="Junio"/>
    <n v="0.92923336141533275"/>
    <n v="0.93633276740237692"/>
    <n v="0.99241786015164279"/>
    <n v="80"/>
    <n v="2"/>
    <n v="2374"/>
    <n v="18"/>
    <n v="2356"/>
    <n v="2206"/>
    <n v="150"/>
    <m/>
  </r>
  <r>
    <x v="10"/>
    <s v="Julio"/>
    <n v="0.96913078797725427"/>
    <n v="0.97110297110297106"/>
    <n v="0.99796913078797722"/>
    <n v="80"/>
    <n v="2"/>
    <n v="2462"/>
    <n v="5"/>
    <n v="2457"/>
    <n v="2386"/>
    <n v="71"/>
    <m/>
  </r>
  <r>
    <x v="10"/>
    <s v="Agosto"/>
    <n v="0.93257514216084481"/>
    <n v="0.95072463768115945"/>
    <n v="0.98090982940698623"/>
    <n v="80"/>
    <n v="2"/>
    <n v="2462"/>
    <n v="47"/>
    <n v="2415"/>
    <n v="2296"/>
    <n v="119"/>
    <m/>
  </r>
  <r>
    <x v="10"/>
    <s v="Septiembre"/>
    <n v="0.90218303946263645"/>
    <n v="0.92390369733447975"/>
    <n v="0.97649034424853065"/>
    <n v="80"/>
    <n v="2"/>
    <n v="2382"/>
    <n v="56"/>
    <n v="2326"/>
    <n v="2149"/>
    <n v="177"/>
    <m/>
  </r>
</pivotCacheRecords>
</file>

<file path=xl/pivotCache/pivotCacheRecords9.xml><?xml version="1.0" encoding="utf-8"?>
<pivotCacheRecords xmlns="http://schemas.openxmlformats.org/spreadsheetml/2006/main" xmlns:r="http://schemas.openxmlformats.org/officeDocument/2006/relationships" count="381">
  <r>
    <x v="0"/>
    <x v="0"/>
    <n v="0.79986183576635705"/>
    <n v="0.90395085571055822"/>
    <n v="0.88485101896122309"/>
    <n v="0"/>
    <n v="0"/>
    <n v="55007"/>
    <n v="6334"/>
    <n v="48673"/>
    <n v="43998"/>
    <n v="4675"/>
    <m/>
  </r>
  <r>
    <x v="0"/>
    <x v="1"/>
    <n v="0.77079019503441204"/>
    <n v="0.87774534022007633"/>
    <n v="0.87814786329842831"/>
    <n v="0"/>
    <n v="0"/>
    <n v="50709"/>
    <n v="6179"/>
    <n v="44530"/>
    <n v="39086"/>
    <n v="5444"/>
    <m/>
  </r>
  <r>
    <x v="0"/>
    <x v="2"/>
    <n v="0.74079445368044994"/>
    <n v="0.8676001491362525"/>
    <n v="0.85384316083619261"/>
    <n v="0"/>
    <n v="0"/>
    <n v="56542"/>
    <n v="8264"/>
    <n v="48278"/>
    <n v="41886"/>
    <n v="6392"/>
    <m/>
  </r>
  <r>
    <x v="0"/>
    <x v="3"/>
    <n v="0.77697721179624668"/>
    <n v="0.88654034074011134"/>
    <n v="0.87641495382782242"/>
    <n v="0"/>
    <n v="0"/>
    <n v="53712"/>
    <n v="6638"/>
    <n v="47074"/>
    <n v="41733"/>
    <n v="5341"/>
    <m/>
  </r>
  <r>
    <x v="0"/>
    <x v="4"/>
    <n v="0.77131150580295893"/>
    <n v="0.87471090366258775"/>
    <n v="0.88179020356705851"/>
    <n v="0"/>
    <n v="0"/>
    <n v="53938"/>
    <n v="6376"/>
    <n v="47562"/>
    <n v="41603"/>
    <n v="5959"/>
    <m/>
  </r>
  <r>
    <x v="0"/>
    <x v="5"/>
    <n v="0.73427617217381569"/>
    <n v="0.86492604558141584"/>
    <n v="0.84894676940873559"/>
    <n v="0"/>
    <n v="0"/>
    <n v="53597"/>
    <n v="8096"/>
    <n v="45501"/>
    <n v="39355"/>
    <n v="6146"/>
    <m/>
  </r>
  <r>
    <x v="0"/>
    <x v="6"/>
    <n v="0.75277697634160412"/>
    <n v="0.8793074395484034"/>
    <n v="0.85610213502596655"/>
    <n v="0"/>
    <n v="0"/>
    <n v="55456"/>
    <n v="7980"/>
    <n v="47476"/>
    <n v="41746"/>
    <n v="5730"/>
    <m/>
  </r>
  <r>
    <x v="0"/>
    <x v="7"/>
    <n v="0.77831567409572522"/>
    <n v="0.8905355127294009"/>
    <n v="0.87398611618560462"/>
    <n v="0"/>
    <n v="0"/>
    <n v="54740"/>
    <n v="6898"/>
    <n v="47842"/>
    <n v="42605"/>
    <n v="5237"/>
    <m/>
  </r>
  <r>
    <x v="0"/>
    <x v="8"/>
    <n v="0.79360368663594472"/>
    <n v="0.8960041623309053"/>
    <n v="0.88571428571428568"/>
    <n v="0"/>
    <n v="0"/>
    <n v="54250"/>
    <n v="6200"/>
    <n v="48050"/>
    <n v="43053"/>
    <n v="4997"/>
    <m/>
  </r>
  <r>
    <x v="0"/>
    <x v="9"/>
    <n v="0.80477215446032713"/>
    <n v="0.90343032981557592"/>
    <n v="0.89079603362952331"/>
    <n v="0"/>
    <n v="0"/>
    <n v="54357"/>
    <n v="5936"/>
    <n v="48421"/>
    <n v="43745"/>
    <n v="4676"/>
    <m/>
  </r>
  <r>
    <x v="0"/>
    <x v="10"/>
    <n v="0.78539553752535496"/>
    <n v="0.89714586624539228"/>
    <n v="0.87543794947446063"/>
    <n v="0"/>
    <n v="0"/>
    <n v="54230"/>
    <n v="6755"/>
    <n v="47475"/>
    <n v="42592"/>
    <n v="4883"/>
    <m/>
  </r>
  <r>
    <x v="0"/>
    <x v="11"/>
    <n v="0.76251937844756101"/>
    <n v="0.89516231430143478"/>
    <n v="0.85182247539387823"/>
    <n v="0"/>
    <n v="0"/>
    <n v="55474"/>
    <n v="8220"/>
    <n v="47254"/>
    <n v="42300"/>
    <n v="4954"/>
    <m/>
  </r>
  <r>
    <x v="1"/>
    <x v="0"/>
    <n v="0.78537986027287021"/>
    <n v="0.90759801331501633"/>
    <n v="0.86533889315629686"/>
    <n v="0"/>
    <n v="0"/>
    <n v="54678"/>
    <n v="7363"/>
    <n v="47315"/>
    <n v="42943"/>
    <n v="4372"/>
    <m/>
  </r>
  <r>
    <x v="1"/>
    <x v="1"/>
    <n v="0.75436000631313127"/>
    <n v="0.87998250943569911"/>
    <n v="0.85724431818181823"/>
    <n v="0"/>
    <n v="0"/>
    <n v="50688"/>
    <n v="7236"/>
    <n v="43452"/>
    <n v="38237"/>
    <n v="5215"/>
    <m/>
  </r>
  <r>
    <x v="1"/>
    <x v="2"/>
    <n v="0.72299095732491936"/>
    <n v="0.84954432477216235"/>
    <n v="0.85103382630307944"/>
    <n v="0"/>
    <n v="0"/>
    <n v="56731"/>
    <n v="8451"/>
    <n v="48280"/>
    <n v="41016"/>
    <n v="7264"/>
    <m/>
  </r>
  <r>
    <x v="1"/>
    <x v="3"/>
    <n v="0.71785404814828768"/>
    <n v="0.84631784667318111"/>
    <n v="0.84820856723053162"/>
    <n v="0"/>
    <n v="0"/>
    <n v="53086"/>
    <n v="8058"/>
    <n v="45028"/>
    <n v="38108"/>
    <n v="6920"/>
    <m/>
  </r>
  <r>
    <x v="1"/>
    <x v="4"/>
    <n v="0.76633094612724628"/>
    <n v="0.85276615429905167"/>
    <n v="0.89864137110031939"/>
    <n v="0"/>
    <n v="0"/>
    <n v="52921"/>
    <n v="5364"/>
    <n v="47557"/>
    <n v="40555"/>
    <n v="7002"/>
    <m/>
  </r>
  <r>
    <x v="1"/>
    <x v="5"/>
    <n v="0.77715398716773598"/>
    <n v="0.87579083279535186"/>
    <n v="0.88737396883593034"/>
    <n v="0"/>
    <n v="0"/>
    <n v="52368"/>
    <n v="5898"/>
    <n v="46470"/>
    <n v="40698"/>
    <n v="5772"/>
    <m/>
  </r>
  <r>
    <x v="1"/>
    <x v="6"/>
    <n v="0.81016837240013206"/>
    <n v="0.90172702404768712"/>
    <n v="0.89846300575914306"/>
    <n v="0"/>
    <n v="0"/>
    <n v="54522"/>
    <n v="5536"/>
    <n v="48986"/>
    <n v="44172"/>
    <n v="4814"/>
    <m/>
  </r>
  <r>
    <x v="1"/>
    <x v="7"/>
    <n v="0.83674168650364278"/>
    <n v="0.90780849523585916"/>
    <n v="0.92171607877082884"/>
    <n v="0"/>
    <n v="0"/>
    <n v="55452"/>
    <n v="4341"/>
    <n v="51111"/>
    <n v="46399"/>
    <n v="4712"/>
    <m/>
  </r>
  <r>
    <x v="1"/>
    <x v="8"/>
    <n v="0.84845368397854992"/>
    <n v="0.92448072997958941"/>
    <n v="0.91776243296848603"/>
    <n v="0"/>
    <n v="0"/>
    <n v="54452"/>
    <n v="4478"/>
    <n v="49974"/>
    <n v="46200"/>
    <n v="3774"/>
    <m/>
  </r>
  <r>
    <x v="1"/>
    <x v="9"/>
    <n v="0.83823316960416061"/>
    <n v="0.9193685753332409"/>
    <n v="0.91174877203120486"/>
    <n v="0"/>
    <n v="0"/>
    <n v="55376"/>
    <n v="4887"/>
    <n v="50489"/>
    <n v="46418"/>
    <n v="4071"/>
    <m/>
  </r>
  <r>
    <x v="1"/>
    <x v="10"/>
    <n v="0.83745097684842129"/>
    <n v="0.90885375804173862"/>
    <n v="0.92143644611519759"/>
    <n v="0"/>
    <n v="0"/>
    <n v="55331"/>
    <n v="4347"/>
    <n v="50984"/>
    <n v="46337"/>
    <n v="4647"/>
    <m/>
  </r>
  <r>
    <x v="1"/>
    <x v="11"/>
    <n v="0.79156375356911379"/>
    <n v="0.88858300232036813"/>
    <n v="0.89081577241753818"/>
    <n v="0"/>
    <n v="0"/>
    <n v="57087"/>
    <n v="6233"/>
    <n v="50854"/>
    <n v="45188"/>
    <n v="5666"/>
    <m/>
  </r>
  <r>
    <x v="2"/>
    <x v="0"/>
    <n v="0.83355888774607989"/>
    <n v="0.89535604915300226"/>
    <n v="0.93098034969956156"/>
    <n v="0"/>
    <n v="0"/>
    <n v="55419"/>
    <n v="3825"/>
    <n v="51594"/>
    <n v="46195"/>
    <n v="5399"/>
    <m/>
  </r>
  <r>
    <x v="2"/>
    <x v="1"/>
    <n v="0.88557330827067671"/>
    <n v="0.92602526565795129"/>
    <n v="0.95631657268170422"/>
    <n v="0"/>
    <n v="0"/>
    <n v="51072"/>
    <n v="2231"/>
    <n v="48841"/>
    <n v="45228"/>
    <n v="3613"/>
    <m/>
  </r>
  <r>
    <x v="2"/>
    <x v="2"/>
    <n v="0.85889074448448621"/>
    <n v="0.91025617140195625"/>
    <n v="0.94357036125516391"/>
    <n v="0"/>
    <n v="0"/>
    <n v="56885"/>
    <n v="3210"/>
    <n v="53675"/>
    <n v="48858"/>
    <n v="4817"/>
    <m/>
  </r>
  <r>
    <x v="2"/>
    <x v="3"/>
    <n v="0.84942254812098994"/>
    <n v="0.90737476990561239"/>
    <n v="0.93613198900091654"/>
    <n v="0"/>
    <n v="0"/>
    <n v="54550"/>
    <n v="3484"/>
    <n v="51066"/>
    <n v="46336"/>
    <n v="4730"/>
    <m/>
  </r>
  <r>
    <x v="2"/>
    <x v="4"/>
    <n v="0.86476514557724293"/>
    <n v="0.9173595619549787"/>
    <n v="0.9426676097803437"/>
    <n v="0"/>
    <n v="0"/>
    <n v="52309"/>
    <n v="2999"/>
    <n v="49310"/>
    <n v="45235"/>
    <n v="4075"/>
    <m/>
  </r>
  <r>
    <x v="2"/>
    <x v="5"/>
    <n v="0.90855631784307567"/>
    <n v="0.92972031941868827"/>
    <n v="0.97723616324870088"/>
    <n v="0"/>
    <n v="0"/>
    <n v="54077"/>
    <n v="1231"/>
    <n v="52846"/>
    <n v="49132"/>
    <n v="3714"/>
    <m/>
  </r>
  <r>
    <x v="2"/>
    <x v="6"/>
    <n v="0.92254047322540478"/>
    <n v="0.93940327167986082"/>
    <n v="0.98204945739192318"/>
    <n v="0"/>
    <n v="0"/>
    <n v="56210"/>
    <n v="1009"/>
    <n v="55201"/>
    <n v="51856"/>
    <n v="3345"/>
    <m/>
  </r>
  <r>
    <x v="2"/>
    <x v="7"/>
    <n v="0.94400607766286238"/>
    <n v="0.95550506815798675"/>
    <n v="0.98796553688899635"/>
    <n v="0"/>
    <n v="0"/>
    <n v="57917"/>
    <n v="697"/>
    <n v="57220"/>
    <n v="54674"/>
    <n v="2546"/>
    <m/>
  </r>
  <r>
    <x v="2"/>
    <x v="8"/>
    <n v="0.93685910942548112"/>
    <n v="0.95213961954388093"/>
    <n v="0.98395139766821182"/>
    <n v="0"/>
    <n v="0"/>
    <n v="56952"/>
    <n v="914"/>
    <n v="56038"/>
    <n v="53356"/>
    <n v="2682"/>
    <m/>
  </r>
  <r>
    <x v="2"/>
    <x v="9"/>
    <n v="0.96331287497413975"/>
    <n v="0.96830430638592846"/>
    <n v="0.99484518309082137"/>
    <n v="0"/>
    <n v="0"/>
    <n v="58004"/>
    <n v="299"/>
    <n v="57705"/>
    <n v="55876"/>
    <n v="1829"/>
    <m/>
  </r>
  <r>
    <x v="2"/>
    <x v="10"/>
    <n v="0.96614700100024142"/>
    <n v="0.97436387985460116"/>
    <n v="0.99156692994860829"/>
    <n v="0"/>
    <n v="0"/>
    <n v="57986"/>
    <n v="489"/>
    <n v="57497"/>
    <n v="56023"/>
    <n v="1474"/>
    <m/>
  </r>
  <r>
    <x v="2"/>
    <x v="11"/>
    <n v="0.95620056330426861"/>
    <n v="0.96574514112456777"/>
    <n v="0.99011687720304253"/>
    <n v="0"/>
    <n v="0"/>
    <n v="59293"/>
    <n v="586"/>
    <n v="58707"/>
    <n v="56696"/>
    <n v="2011"/>
    <m/>
  </r>
  <r>
    <x v="3"/>
    <x v="0"/>
    <n v="0.9625889836926339"/>
    <n v="0.97310263869749403"/>
    <n v="0.98919573888019385"/>
    <n v="0"/>
    <n v="0"/>
    <n v="59421"/>
    <n v="642"/>
    <n v="58779"/>
    <n v="57198"/>
    <n v="1581"/>
    <m/>
  </r>
  <r>
    <x v="3"/>
    <x v="1"/>
    <n v="0.95631657968113248"/>
    <n v="0.96778511350275842"/>
    <n v="0.98814971044541355"/>
    <n v="0"/>
    <n v="0"/>
    <n v="55948"/>
    <n v="663"/>
    <n v="55285"/>
    <n v="53504"/>
    <n v="1781"/>
    <m/>
  </r>
  <r>
    <x v="3"/>
    <x v="2"/>
    <n v="0.95330667999333663"/>
    <n v="0.96624793165163947"/>
    <n v="0.98660669665167411"/>
    <n v="0"/>
    <n v="0"/>
    <n v="60030"/>
    <n v="804"/>
    <n v="59226"/>
    <n v="57227"/>
    <n v="1999"/>
    <m/>
  </r>
  <r>
    <x v="3"/>
    <x v="3"/>
    <n v="0.94811631959129128"/>
    <n v="0.96085994959625576"/>
    <n v="0.98673726591443511"/>
    <n v="0"/>
    <n v="0"/>
    <n v="59113"/>
    <n v="784"/>
    <n v="58329"/>
    <n v="56046"/>
    <n v="2283"/>
    <m/>
  </r>
  <r>
    <x v="3"/>
    <x v="4"/>
    <n v="0.93721359575379948"/>
    <n v="0.94736403625699817"/>
    <n v="0.98928559654501702"/>
    <n v="0"/>
    <n v="0"/>
    <n v="60666"/>
    <n v="650"/>
    <n v="60016"/>
    <n v="56857"/>
    <n v="3159"/>
    <m/>
  </r>
  <r>
    <x v="3"/>
    <x v="5"/>
    <n v="0.95577868711529868"/>
    <n v="0.96701805657029538"/>
    <n v="0.98837729101475191"/>
    <n v="0"/>
    <n v="0"/>
    <n v="58162"/>
    <n v="676"/>
    <n v="57486"/>
    <n v="55590"/>
    <n v="1896"/>
    <m/>
  </r>
  <r>
    <x v="3"/>
    <x v="6"/>
    <n v="0.95867391133160096"/>
    <n v="0.97025678626647749"/>
    <n v="0.98806205213008902"/>
    <n v="0"/>
    <n v="0"/>
    <n v="63495"/>
    <n v="758"/>
    <n v="62737"/>
    <n v="60871"/>
    <n v="1866"/>
    <m/>
  </r>
  <r>
    <x v="3"/>
    <x v="7"/>
    <n v="0.9338703840646978"/>
    <n v="0.97191701190456692"/>
    <n v="0.9608540365341347"/>
    <n v="0"/>
    <n v="0"/>
    <n v="63557"/>
    <n v="2488"/>
    <n v="61069"/>
    <n v="59354"/>
    <n v="1715"/>
    <m/>
  </r>
  <r>
    <x v="3"/>
    <x v="8"/>
    <n v="0.9414785389012692"/>
    <n v="0.97259154224705979"/>
    <n v="0.96801020572941898"/>
    <n v="0"/>
    <n v="0"/>
    <n v="61926"/>
    <n v="1981"/>
    <n v="59945"/>
    <n v="58302"/>
    <n v="1643"/>
    <m/>
  </r>
  <r>
    <x v="3"/>
    <x v="9"/>
    <n v="0.92277974660440776"/>
    <n v="0.96946357520653237"/>
    <n v="0.95184571159140341"/>
    <n v="0"/>
    <n v="0"/>
    <n v="65747"/>
    <n v="3166"/>
    <n v="62581"/>
    <n v="60670"/>
    <n v="1911"/>
    <m/>
  </r>
  <r>
    <x v="3"/>
    <x v="10"/>
    <n v="0.95153801959596895"/>
    <n v="0.96834852962090923"/>
    <n v="0.98264002111768456"/>
    <n v="0"/>
    <n v="0"/>
    <n v="64401"/>
    <n v="1118"/>
    <n v="63283"/>
    <n v="61280"/>
    <n v="2003"/>
    <m/>
  </r>
  <r>
    <x v="3"/>
    <x v="11"/>
    <n v="0.90070088106399548"/>
    <n v="0.96159238368491406"/>
    <n v="0.93667638840110556"/>
    <n v="0"/>
    <n v="0"/>
    <n v="65489"/>
    <n v="4147"/>
    <n v="61342"/>
    <n v="58986"/>
    <n v="2356"/>
    <m/>
  </r>
  <r>
    <x v="4"/>
    <x v="0"/>
    <n v="0.95480574133914486"/>
    <n v="0.96646990811172639"/>
    <n v="0.98793116404899672"/>
    <n v="0"/>
    <n v="0"/>
    <n v="66535"/>
    <n v="803"/>
    <n v="65732"/>
    <n v="63528"/>
    <n v="2204"/>
    <m/>
  </r>
  <r>
    <x v="4"/>
    <x v="1"/>
    <n v="0.95204459736650571"/>
    <n v="0.96743990586653217"/>
    <n v="0.98408654800502882"/>
    <n v="0"/>
    <n v="0"/>
    <n v="60452"/>
    <n v="962"/>
    <n v="59490"/>
    <n v="57553"/>
    <n v="1937"/>
    <m/>
  </r>
  <r>
    <x v="4"/>
    <x v="2"/>
    <n v="0.95052095356818567"/>
    <n v="0.96138100649097957"/>
    <n v="0.98870369515366974"/>
    <n v="0"/>
    <n v="0"/>
    <n v="64977"/>
    <n v="734"/>
    <n v="64243"/>
    <n v="61762"/>
    <n v="2481"/>
    <m/>
  </r>
  <r>
    <x v="4"/>
    <x v="3"/>
    <n v="0.94555381736756539"/>
    <n v="0.95977333582414848"/>
    <n v="0.98518450354283615"/>
    <n v="0"/>
    <n v="0"/>
    <n v="65202"/>
    <n v="966"/>
    <n v="64236"/>
    <n v="61652"/>
    <n v="2584"/>
    <m/>
  </r>
  <r>
    <x v="4"/>
    <x v="4"/>
    <n v="0.94672310832262452"/>
    <n v="0.96140323942580797"/>
    <n v="0.98473051628996899"/>
    <n v="0"/>
    <n v="0"/>
    <n v="66145"/>
    <n v="1010"/>
    <n v="65135"/>
    <n v="62621"/>
    <n v="2514"/>
    <m/>
  </r>
  <r>
    <x v="4"/>
    <x v="5"/>
    <n v="0.96178364250653403"/>
    <n v="0.96902647762488159"/>
    <n v="0.99252565818830885"/>
    <n v="0"/>
    <n v="0"/>
    <n v="62748"/>
    <n v="469"/>
    <n v="62279"/>
    <n v="60350"/>
    <n v="1929"/>
    <m/>
  </r>
  <r>
    <x v="4"/>
    <x v="6"/>
    <n v="0.96779037244221988"/>
    <n v="0.97265867731913003"/>
    <n v="0.99499484763727364"/>
    <n v="0"/>
    <n v="0"/>
    <n v="67930"/>
    <n v="340"/>
    <n v="67590"/>
    <n v="65742"/>
    <n v="1848"/>
    <m/>
  </r>
  <r>
    <x v="4"/>
    <x v="7"/>
    <n v="0.96320847521755582"/>
    <n v="0.97894267300386073"/>
    <n v="0.98392735527809305"/>
    <n v="0"/>
    <n v="0"/>
    <n v="66075"/>
    <n v="1062"/>
    <n v="65013"/>
    <n v="63644"/>
    <n v="1369"/>
    <m/>
  </r>
  <r>
    <x v="4"/>
    <x v="8"/>
    <n v="0.97269712045831447"/>
    <n v="0.9786282004611091"/>
    <n v="0.9939393939393939"/>
    <n v="0"/>
    <n v="0"/>
    <n v="66330"/>
    <n v="402"/>
    <n v="65928"/>
    <n v="64519"/>
    <n v="1409"/>
    <m/>
  </r>
  <r>
    <x v="4"/>
    <x v="9"/>
    <n v="0.96286372803226739"/>
    <n v="0.9696380648436933"/>
    <n v="0.99301354076634973"/>
    <n v="0"/>
    <n v="0"/>
    <n v="69420"/>
    <n v="485"/>
    <n v="68935"/>
    <n v="66842"/>
    <n v="2093"/>
    <m/>
  </r>
  <r>
    <x v="4"/>
    <x v="10"/>
    <n v="0.96047070270927726"/>
    <n v="0.96926830016723686"/>
    <n v="0.99092346519901486"/>
    <n v="0"/>
    <n v="0"/>
    <n v="65774"/>
    <n v="597"/>
    <n v="65177"/>
    <n v="63174"/>
    <n v="2003"/>
    <m/>
  </r>
  <r>
    <x v="4"/>
    <x v="11"/>
    <n v="0.95537225960494898"/>
    <n v="0.97011240908089047"/>
    <n v="0.98480573041024533"/>
    <n v="0"/>
    <n v="0"/>
    <n v="69105"/>
    <n v="1050"/>
    <n v="68055"/>
    <n v="66021"/>
    <n v="2034"/>
    <m/>
  </r>
  <r>
    <x v="5"/>
    <x v="0"/>
    <n v="0.96409432701738429"/>
    <n v="0.97452513003247221"/>
    <n v="0.9892965274125457"/>
    <n v="0"/>
    <n v="0"/>
    <n v="70351"/>
    <n v="753"/>
    <n v="69598"/>
    <n v="67825"/>
    <n v="1773"/>
    <m/>
  </r>
  <r>
    <x v="5"/>
    <x v="1"/>
    <n v="0.96359945453418461"/>
    <n v="0.97661452443774344"/>
    <n v="0.98667327837352015"/>
    <n v="0"/>
    <n v="0"/>
    <n v="64532"/>
    <n v="860"/>
    <n v="63672"/>
    <n v="62183"/>
    <n v="1489"/>
    <m/>
  </r>
  <r>
    <x v="5"/>
    <x v="2"/>
    <n v="0.96566668542804079"/>
    <n v="0.97550852155619683"/>
    <n v="0.98991107108684639"/>
    <n v="0"/>
    <n v="0"/>
    <n v="71068"/>
    <n v="717"/>
    <n v="70351"/>
    <n v="68628"/>
    <n v="1723"/>
    <m/>
  </r>
  <r>
    <x v="5"/>
    <x v="3"/>
    <n v="0.95838379711371491"/>
    <n v="0.96930297082306405"/>
    <n v="0.98873502502517108"/>
    <n v="0"/>
    <n v="0"/>
    <n v="68531"/>
    <n v="772"/>
    <n v="67759"/>
    <n v="65679"/>
    <n v="2080"/>
    <m/>
  </r>
  <r>
    <x v="5"/>
    <x v="4"/>
    <n v="0.97292352725942188"/>
    <n v="0.98000914036355058"/>
    <n v="0.99276984998170503"/>
    <n v="0"/>
    <n v="0"/>
    <n v="68325"/>
    <n v="494"/>
    <n v="67831"/>
    <n v="66475"/>
    <n v="1356"/>
    <m/>
  </r>
  <r>
    <x v="5"/>
    <x v="5"/>
    <n v="0.97693694226109573"/>
    <n v="0.98182547106775353"/>
    <n v="0.99502097984752669"/>
    <n v="0"/>
    <n v="0"/>
    <n v="67684"/>
    <n v="337"/>
    <n v="67347"/>
    <n v="66123"/>
    <n v="1224"/>
    <m/>
  </r>
  <r>
    <x v="5"/>
    <x v="6"/>
    <n v="0.97024682562963582"/>
    <n v="0.97512319074560239"/>
    <n v="0.99499923172554439"/>
    <n v="0"/>
    <n v="0"/>
    <n v="71589"/>
    <n v="358"/>
    <n v="71231"/>
    <n v="69459"/>
    <n v="1772"/>
    <m/>
  </r>
  <r>
    <x v="5"/>
    <x v="7"/>
    <n v="0.97490933625706333"/>
    <n v="0.98025553325607029"/>
    <n v="0.99454611902954659"/>
    <n v="0"/>
    <n v="0"/>
    <n v="71142"/>
    <n v="388"/>
    <n v="70754"/>
    <n v="69357"/>
    <n v="1397"/>
    <m/>
  </r>
  <r>
    <x v="5"/>
    <x v="8"/>
    <n v="0.96768873857506221"/>
    <n v="0.97756631983171205"/>
    <n v="0.98989574307516004"/>
    <n v="0"/>
    <n v="0"/>
    <n v="71554"/>
    <n v="723"/>
    <n v="70831"/>
    <n v="69242"/>
    <n v="1589"/>
    <m/>
  </r>
  <r>
    <x v="5"/>
    <x v="9"/>
    <n v="0.97277070503438179"/>
    <n v="0.98118410607094608"/>
    <n v="0.99142525751843358"/>
    <n v="0"/>
    <n v="0"/>
    <n v="72422"/>
    <n v="621"/>
    <n v="71801"/>
    <n v="70450"/>
    <n v="1351"/>
    <m/>
  </r>
  <r>
    <x v="5"/>
    <x v="10"/>
    <n v="0.97317394444995253"/>
    <n v="0.97983543202658185"/>
    <n v="0.99320142203589079"/>
    <n v="0"/>
    <n v="0"/>
    <n v="70603"/>
    <n v="480"/>
    <n v="70123"/>
    <n v="68709"/>
    <n v="1414"/>
    <m/>
  </r>
  <r>
    <x v="5"/>
    <x v="11"/>
    <n v="0.93370050775505675"/>
    <n v="0.9793658415913622"/>
    <n v="0.95337254793152248"/>
    <n v="0"/>
    <n v="0"/>
    <n v="72082"/>
    <n v="3361"/>
    <n v="68721"/>
    <n v="67303"/>
    <n v="1418"/>
    <m/>
  </r>
  <r>
    <x v="6"/>
    <x v="0"/>
    <n v="0.97854515447768498"/>
    <n v="0.9856168822021244"/>
    <n v="0.99282507447656609"/>
    <n v="0"/>
    <n v="0"/>
    <n v="71499"/>
    <n v="513"/>
    <n v="70986"/>
    <n v="69965"/>
    <n v="1021"/>
    <m/>
  </r>
  <r>
    <x v="6"/>
    <x v="1"/>
    <n v="0.97686437113154256"/>
    <n v="0.98155360323642182"/>
    <n v="0.99522264287001982"/>
    <n v="0"/>
    <n v="0"/>
    <n v="66564"/>
    <n v="318"/>
    <n v="66246"/>
    <n v="65024"/>
    <n v="1222"/>
    <m/>
  </r>
  <r>
    <x v="6"/>
    <x v="2"/>
    <n v="0.96730343373976146"/>
    <n v="0.9750164719170622"/>
    <n v="0.99208932525813076"/>
    <n v="0"/>
    <n v="0"/>
    <n v="74962"/>
    <n v="593"/>
    <n v="74369"/>
    <n v="72511"/>
    <n v="1858"/>
    <m/>
  </r>
  <r>
    <x v="6"/>
    <x v="3"/>
    <n v="0.962580464595578"/>
    <n v="0.96982770775174121"/>
    <n v="0.99252728799328294"/>
    <n v="0"/>
    <n v="0"/>
    <n v="71460"/>
    <n v="534"/>
    <n v="70926"/>
    <n v="68786"/>
    <n v="2140"/>
    <m/>
  </r>
  <r>
    <x v="6"/>
    <x v="4"/>
    <n v="0.95843886236246623"/>
    <n v="0.96788259958071277"/>
    <n v="0.99024288976541419"/>
    <n v="0"/>
    <n v="0"/>
    <n v="72255"/>
    <n v="705"/>
    <n v="71550"/>
    <n v="69252"/>
    <n v="2298"/>
    <m/>
  </r>
  <r>
    <x v="6"/>
    <x v="5"/>
    <n v="0.96424936386768445"/>
    <n v="0.97112715158245422"/>
    <n v="0.99291772688719249"/>
    <n v="0"/>
    <n v="0"/>
    <n v="70740"/>
    <n v="501"/>
    <n v="70239"/>
    <n v="68211"/>
    <n v="2028"/>
    <m/>
  </r>
  <r>
    <x v="6"/>
    <x v="6"/>
    <n v="0.96706623077854459"/>
    <n v="0.97456581569706746"/>
    <n v="0.99230469117864684"/>
    <n v="0"/>
    <n v="0"/>
    <n v="74331"/>
    <n v="572"/>
    <n v="73759"/>
    <n v="71883"/>
    <n v="1876"/>
    <m/>
  </r>
  <r>
    <x v="6"/>
    <x v="7"/>
    <n v="0.96235096693868161"/>
    <n v="0.97213905863374761"/>
    <n v="0.98993138727619667"/>
    <n v="0"/>
    <n v="0"/>
    <n v="73893"/>
    <n v="744"/>
    <n v="73149"/>
    <n v="71111"/>
    <n v="2038"/>
    <m/>
  </r>
  <r>
    <x v="6"/>
    <x v="8"/>
    <n v="0.96521869138554384"/>
    <n v="0.97586950845803966"/>
    <n v="0.98908581835974663"/>
    <n v="0"/>
    <n v="0"/>
    <n v="73574"/>
    <n v="803"/>
    <n v="72771"/>
    <n v="71015"/>
    <n v="1756"/>
    <m/>
  </r>
  <r>
    <x v="6"/>
    <x v="9"/>
    <n v="0.96954951271042045"/>
    <n v="0.97805491770594144"/>
    <n v="0.99130375519661962"/>
    <n v="0"/>
    <n v="0"/>
    <n v="73365"/>
    <n v="638"/>
    <n v="72727"/>
    <n v="71131"/>
    <n v="1596"/>
    <m/>
  </r>
  <r>
    <x v="6"/>
    <x v="10"/>
    <n v="0.95843859506152718"/>
    <n v="0.9720370268334344"/>
    <n v="0.9860103767690761"/>
    <n v="0"/>
    <n v="0"/>
    <n v="73626"/>
    <n v="1030"/>
    <n v="72596"/>
    <n v="70566"/>
    <n v="2030"/>
    <m/>
  </r>
  <r>
    <x v="6"/>
    <x v="11"/>
    <n v="0.95739284468182184"/>
    <n v="0.97242591936319278"/>
    <n v="0.98454064789715234"/>
    <n v="0"/>
    <n v="0"/>
    <n v="74518"/>
    <n v="1152"/>
    <n v="73366"/>
    <n v="71343"/>
    <n v="2023"/>
    <m/>
  </r>
  <r>
    <x v="7"/>
    <x v="0"/>
    <n v="0.9646474892143736"/>
    <n v="0.97745710683549858"/>
    <n v="0.98689495678987305"/>
    <n v="0"/>
    <n v="0"/>
    <n v="73941"/>
    <n v="969"/>
    <n v="72972"/>
    <n v="71327"/>
    <n v="1645"/>
    <m/>
  </r>
  <r>
    <x v="7"/>
    <x v="1"/>
    <n v="0.96412511805584922"/>
    <n v="0.97470465006911688"/>
    <n v="0.98914590998153396"/>
    <n v="0"/>
    <n v="0"/>
    <n v="70941"/>
    <n v="770"/>
    <n v="70171"/>
    <n v="68396"/>
    <n v="1775"/>
    <m/>
  </r>
  <r>
    <x v="7"/>
    <x v="2"/>
    <n v="0.97021750524109018"/>
    <n v="0.97966500846740046"/>
    <n v="0.990356394129979"/>
    <n v="0"/>
    <n v="0"/>
    <n v="76320"/>
    <n v="736"/>
    <n v="75584"/>
    <n v="74047"/>
    <n v="1537"/>
    <m/>
  </r>
  <r>
    <x v="7"/>
    <x v="3"/>
    <n v="0.96391400784849002"/>
    <n v="0.97222182386599931"/>
    <n v="0.99145481430927596"/>
    <n v="0"/>
    <n v="0"/>
    <n v="70332"/>
    <n v="601"/>
    <n v="69731"/>
    <n v="67794"/>
    <n v="1937"/>
    <m/>
  </r>
  <r>
    <x v="7"/>
    <x v="4"/>
    <n v="0.94252158146835174"/>
    <n v="0.95967486395260726"/>
    <n v="0.98212594376640594"/>
    <n v="0"/>
    <n v="0"/>
    <n v="73906"/>
    <n v="1321"/>
    <n v="72585"/>
    <n v="69658"/>
    <n v="2927"/>
    <m/>
  </r>
  <r>
    <x v="7"/>
    <x v="5"/>
    <n v="0.89961082981127338"/>
    <n v="0.93840848574795932"/>
    <n v="0.95865589822990338"/>
    <n v="0"/>
    <n v="0"/>
    <n v="71691"/>
    <n v="2964"/>
    <n v="68727"/>
    <n v="64494"/>
    <n v="4233"/>
    <m/>
  </r>
  <r>
    <x v="7"/>
    <x v="6"/>
    <n v="0.96359389472836376"/>
    <n v="0.9729718739410369"/>
    <n v="0.99036151047749454"/>
    <n v="0"/>
    <n v="0"/>
    <n v="74493"/>
    <n v="718"/>
    <n v="73775"/>
    <n v="71781"/>
    <n v="1994"/>
    <m/>
  </r>
  <r>
    <x v="7"/>
    <x v="7"/>
    <n v="0.96741200442141995"/>
    <n v="0.97630535582286138"/>
    <n v="0.99089080957264042"/>
    <n v="0"/>
    <n v="0"/>
    <n v="75089"/>
    <n v="684"/>
    <n v="74405"/>
    <n v="72642"/>
    <n v="1763"/>
    <m/>
  </r>
  <r>
    <x v="7"/>
    <x v="8"/>
    <n v="0.95938801227262771"/>
    <n v="0.97151060376992104"/>
    <n v="0.98752191540653078"/>
    <n v="0"/>
    <n v="0"/>
    <n v="73008"/>
    <n v="911"/>
    <n v="72097"/>
    <n v="70043"/>
    <n v="2054"/>
    <m/>
  </r>
  <r>
    <x v="7"/>
    <x v="9"/>
    <n v="0.96550604219386438"/>
    <n v="0.97824089943100023"/>
    <n v="0.98698188018458122"/>
    <n v="0"/>
    <n v="0"/>
    <n v="73897"/>
    <n v="962"/>
    <n v="72935"/>
    <n v="71348"/>
    <n v="1587"/>
    <m/>
  </r>
  <r>
    <x v="7"/>
    <x v="10"/>
    <n v="0.92499693447961084"/>
    <n v="0.97323642827448786"/>
    <n v="0.95043394144174831"/>
    <n v="0"/>
    <n v="0"/>
    <n v="73397"/>
    <n v="3638"/>
    <n v="69759"/>
    <n v="67892"/>
    <n v="1867"/>
    <m/>
  </r>
  <r>
    <x v="7"/>
    <x v="11"/>
    <n v="0.93313957511590895"/>
    <n v="0.96479880945566943"/>
    <n v="0.96718566189191058"/>
    <n v="0"/>
    <n v="0"/>
    <n v="72255"/>
    <n v="2371"/>
    <n v="69884"/>
    <n v="67424"/>
    <n v="2460"/>
    <m/>
  </r>
  <r>
    <x v="8"/>
    <x v="0"/>
    <n v="0.95027844584774868"/>
    <n v="0.97272212641030031"/>
    <n v="0.97692693529510111"/>
    <n v="0"/>
    <n v="0"/>
    <n v="77753"/>
    <n v="1794"/>
    <n v="75959"/>
    <n v="73887"/>
    <n v="2072"/>
    <m/>
  </r>
  <r>
    <x v="8"/>
    <x v="1"/>
    <n v="0.95890701722112948"/>
    <n v="0.97137410051317341"/>
    <n v="0.98716551811968478"/>
    <n v="0"/>
    <n v="0"/>
    <n v="70669"/>
    <n v="907"/>
    <n v="69762"/>
    <n v="67765"/>
    <n v="1997"/>
    <m/>
  </r>
  <r>
    <x v="8"/>
    <x v="2"/>
    <n v="0.94231333477911439"/>
    <n v="0.95885094175526042"/>
    <n v="0.98275268213652422"/>
    <n v="0"/>
    <n v="0"/>
    <n v="78389"/>
    <n v="1352"/>
    <n v="77037"/>
    <n v="73867"/>
    <n v="3170"/>
    <m/>
  </r>
  <r>
    <x v="8"/>
    <x v="3"/>
    <n v="0.95335180513626405"/>
    <n v="0.97066625496498193"/>
    <n v="0.9821623037370939"/>
    <n v="0"/>
    <n v="0"/>
    <n v="72543"/>
    <n v="1294"/>
    <n v="71249"/>
    <n v="69159"/>
    <n v="2090"/>
    <m/>
  </r>
  <r>
    <x v="8"/>
    <x v="4"/>
    <n v="0.92930669678206579"/>
    <n v="0.96046311948267993"/>
    <n v="0.96756104209665483"/>
    <n v="0"/>
    <n v="0"/>
    <n v="77037"/>
    <n v="2499"/>
    <n v="74538"/>
    <n v="71591"/>
    <n v="2947"/>
    <m/>
  </r>
  <r>
    <x v="8"/>
    <x v="5"/>
    <n v="0.94552804311862959"/>
    <n v="0.96661256665893813"/>
    <n v="0.97818720315918672"/>
    <n v="0"/>
    <n v="0"/>
    <n v="74956"/>
    <n v="1635"/>
    <n v="73321"/>
    <n v="70873"/>
    <n v="2448"/>
    <m/>
  </r>
  <r>
    <x v="8"/>
    <x v="6"/>
    <n v="0.91906022158221112"/>
    <n v="0.97323844980835539"/>
    <n v="0.94433201006720113"/>
    <n v="0"/>
    <n v="0"/>
    <n v="77082"/>
    <n v="4291"/>
    <n v="72791"/>
    <n v="70843"/>
    <n v="1948"/>
    <m/>
  </r>
  <r>
    <x v="8"/>
    <x v="7"/>
    <n v="0.95287237702098382"/>
    <n v="0.96933485406190056"/>
    <n v="0.98301672845876498"/>
    <n v="0"/>
    <n v="0"/>
    <n v="78489"/>
    <n v="1333"/>
    <n v="77156"/>
    <n v="74790"/>
    <n v="2366"/>
    <m/>
  </r>
  <r>
    <x v="8"/>
    <x v="8"/>
    <n v="0.96204956463496316"/>
    <n v="0.97594683843613683"/>
    <n v="0.98576021433355665"/>
    <n v="0"/>
    <n v="0"/>
    <n v="74650"/>
    <n v="1063"/>
    <n v="73587"/>
    <n v="71817"/>
    <n v="1770"/>
    <m/>
  </r>
  <r>
    <x v="8"/>
    <x v="9"/>
    <n v="0.94866964011073518"/>
    <n v="0.96609107639296765"/>
    <n v="0.98196708705013847"/>
    <n v="0"/>
    <n v="0"/>
    <n v="78024"/>
    <n v="1407"/>
    <n v="76617"/>
    <n v="74019"/>
    <n v="2598"/>
    <m/>
  </r>
  <r>
    <x v="8"/>
    <x v="10"/>
    <n v="0.94165621906961394"/>
    <n v="0.95923964186809341"/>
    <n v="0.98166941603431213"/>
    <n v="0"/>
    <n v="0"/>
    <n v="75775"/>
    <n v="1389"/>
    <n v="74386"/>
    <n v="71354"/>
    <n v="3032"/>
    <m/>
  </r>
  <r>
    <x v="8"/>
    <x v="11"/>
    <n v="0.85359278240444159"/>
    <n v="0.96957477450162965"/>
    <n v="0.88037849669015589"/>
    <n v="0"/>
    <n v="0"/>
    <n v="74928"/>
    <n v="8963"/>
    <n v="65965"/>
    <n v="63958"/>
    <n v="2007"/>
    <m/>
  </r>
  <r>
    <x v="9"/>
    <x v="0"/>
    <n v="0.9122390218078994"/>
    <n v="0.97162896238740293"/>
    <n v="0.93887590543454402"/>
    <n v="0"/>
    <n v="0"/>
    <n v="77449"/>
    <n v="4734"/>
    <n v="72715"/>
    <n v="70652"/>
    <n v="2063"/>
    <m/>
  </r>
  <r>
    <x v="9"/>
    <x v="1"/>
    <n v="0.88118536720932616"/>
    <n v="0.96517030343811083"/>
    <n v="0.91298433454736938"/>
    <n v="0"/>
    <n v="0"/>
    <n v="68367"/>
    <n v="5949"/>
    <n v="62418"/>
    <n v="60244"/>
    <n v="2174"/>
    <m/>
  </r>
  <r>
    <x v="9"/>
    <x v="2"/>
    <n v="0.86304958925793507"/>
    <n v="0.95058165749842183"/>
    <n v="0.90791736033405201"/>
    <n v="0"/>
    <n v="0"/>
    <n v="73282"/>
    <n v="6748"/>
    <n v="66534"/>
    <n v="63246"/>
    <n v="3288"/>
    <m/>
  </r>
  <r>
    <x v="9"/>
    <x v="3"/>
    <n v="0.82323660683249678"/>
    <n v="0.96302922854215123"/>
    <n v="0.85484072802102307"/>
    <n v="0"/>
    <n v="0"/>
    <n v="71921"/>
    <n v="10440"/>
    <n v="61481"/>
    <n v="59208"/>
    <n v="2273"/>
    <m/>
  </r>
  <r>
    <x v="9"/>
    <x v="4"/>
    <n v="0.84993644849594774"/>
    <n v="0.94287187106751369"/>
    <n v="0.90143366726345853"/>
    <n v="0"/>
    <n v="0"/>
    <n v="73169"/>
    <n v="7212"/>
    <n v="65957"/>
    <n v="62189"/>
    <n v="3768"/>
    <m/>
  </r>
  <r>
    <x v="9"/>
    <x v="5"/>
    <n v="0.83866411058419943"/>
    <n v="0.94319802879004022"/>
    <n v="0.88917076264468053"/>
    <n v="0"/>
    <n v="0"/>
    <n v="69377"/>
    <n v="7689"/>
    <n v="61688"/>
    <n v="58184"/>
    <n v="3504"/>
    <m/>
  </r>
  <r>
    <x v="9"/>
    <x v="6"/>
    <n v="0.82147054453104951"/>
    <n v="0.9272231031959014"/>
    <n v="0.88594701933078468"/>
    <n v="0"/>
    <n v="0"/>
    <n v="74027"/>
    <n v="8443"/>
    <n v="65584"/>
    <n v="60811"/>
    <n v="4773"/>
    <m/>
  </r>
  <r>
    <x v="9"/>
    <x v="7"/>
    <n v="0.87572757438938154"/>
    <n v="0.96578927634045741"/>
    <n v="0.90674808246749716"/>
    <n v="0"/>
    <n v="0"/>
    <n v="73532"/>
    <n v="6857"/>
    <n v="66675"/>
    <n v="64394"/>
    <n v="2281"/>
    <m/>
  </r>
  <r>
    <x v="9"/>
    <x v="8"/>
    <n v="0.84155699404123974"/>
    <n v="0.93883309421329508"/>
    <n v="0.89638616195824583"/>
    <n v="0"/>
    <n v="0"/>
    <n v="69981"/>
    <n v="7251"/>
    <n v="62730"/>
    <n v="58893"/>
    <n v="3837"/>
    <m/>
  </r>
  <r>
    <x v="9"/>
    <x v="9"/>
    <n v="0.86714140094468295"/>
    <n v="0.9216156005859375"/>
    <n v="0.94089271101029393"/>
    <n v="0"/>
    <n v="0"/>
    <n v="69653"/>
    <n v="4117"/>
    <n v="65536"/>
    <n v="60399"/>
    <n v="5137"/>
    <m/>
  </r>
  <r>
    <x v="9"/>
    <x v="10"/>
    <n v="0.89657840831499891"/>
    <n v="0.91901517979345526"/>
    <n v="0.97558607085957061"/>
    <n v="0"/>
    <n v="0"/>
    <n v="65905"/>
    <n v="1609"/>
    <n v="64296"/>
    <n v="59089"/>
    <n v="5207"/>
    <m/>
  </r>
  <r>
    <x v="9"/>
    <x v="11"/>
    <n v="0.91733656681786202"/>
    <n v="0.93842266462480861"/>
    <n v="0.97753027649286683"/>
    <n v="0"/>
    <n v="0"/>
    <n v="66801"/>
    <n v="1501"/>
    <n v="65300"/>
    <n v="61279"/>
    <n v="4021"/>
    <m/>
  </r>
  <r>
    <x v="10"/>
    <x v="0"/>
    <n v="0.91450840800294586"/>
    <n v="0.93790715971675842"/>
    <n v="0.97505216644163495"/>
    <n v="0"/>
    <n v="0"/>
    <n v="65176"/>
    <n v="1626"/>
    <n v="63550"/>
    <n v="59604"/>
    <n v="3946"/>
    <m/>
  </r>
  <r>
    <x v="10"/>
    <x v="1"/>
    <n v="0.86652711323763953"/>
    <n v="0.92534506617464429"/>
    <n v="0.93643673577884101"/>
    <n v="0"/>
    <n v="0"/>
    <n v="60192"/>
    <n v="3826"/>
    <n v="56366"/>
    <n v="52158"/>
    <n v="4208"/>
    <m/>
  </r>
  <r>
    <x v="10"/>
    <x v="2"/>
    <n v="0.86355543651231315"/>
    <n v="0.91904354679142142"/>
    <n v="0.93962406844286184"/>
    <n v="0"/>
    <n v="0"/>
    <n v="63469"/>
    <n v="3832"/>
    <n v="59637"/>
    <n v="54809"/>
    <n v="4828"/>
    <m/>
  </r>
  <r>
    <x v="10"/>
    <x v="3"/>
    <n v="0.88909421148227119"/>
    <n v="0.9242755110417864"/>
    <n v="0.96193634999605149"/>
    <n v="0"/>
    <n v="0"/>
    <n v="63315"/>
    <n v="2410"/>
    <n v="60905"/>
    <n v="56293"/>
    <n v="4612"/>
    <m/>
  </r>
  <r>
    <x v="10"/>
    <x v="4"/>
    <n v="0.85169918475771733"/>
    <n v="0.92393302528941224"/>
    <n v="0.92181918109370709"/>
    <n v="0"/>
    <n v="0"/>
    <n v="65502"/>
    <n v="5121"/>
    <n v="60381"/>
    <n v="55788"/>
    <n v="4593"/>
    <m/>
  </r>
  <r>
    <x v="10"/>
    <x v="5"/>
    <n v="0.85785824345146378"/>
    <n v="0.92023208966787762"/>
    <n v="0.93221944016435543"/>
    <n v="0"/>
    <n v="0"/>
    <n v="62304"/>
    <n v="4223"/>
    <n v="58081"/>
    <n v="53448"/>
    <n v="4633"/>
    <m/>
  </r>
  <r>
    <x v="10"/>
    <x v="6"/>
    <n v="0.83596441302459334"/>
    <n v="0.90368019688162815"/>
    <n v="0.92506665069047123"/>
    <n v="0"/>
    <n v="0"/>
    <n v="66766"/>
    <n v="5003"/>
    <n v="61763"/>
    <n v="55814"/>
    <n v="5949"/>
    <m/>
  </r>
  <r>
    <x v="10"/>
    <x v="7"/>
    <n v="0.82321980011256979"/>
    <n v="0.89366691437536128"/>
    <n v="0.92117072577087489"/>
    <n v="0"/>
    <n v="0"/>
    <n v="65737"/>
    <n v="5182"/>
    <n v="60555"/>
    <n v="54116"/>
    <n v="6439"/>
    <m/>
  </r>
  <r>
    <x v="10"/>
    <x v="8"/>
    <n v="0.8487985624095542"/>
    <n v="0.91091390050345589"/>
    <n v="0.93180986912202024"/>
    <n v="0"/>
    <n v="0"/>
    <n v="62883"/>
    <n v="4288"/>
    <n v="58595"/>
    <n v="53375"/>
    <n v="5220"/>
    <m/>
  </r>
  <r>
    <x v="10"/>
    <x v="9"/>
    <n v="0.86296325071866986"/>
    <n v="0.91934843067143424"/>
    <n v="0.93866832413953849"/>
    <n v="0"/>
    <n v="0"/>
    <n v="64355"/>
    <n v="3947"/>
    <n v="60408"/>
    <n v="55536"/>
    <n v="4872"/>
    <m/>
  </r>
  <r>
    <x v="10"/>
    <x v="10"/>
    <n v="0.85025409556591058"/>
    <n v="0.90682089733155558"/>
    <n v="0.93762075627932651"/>
    <n v="0"/>
    <n v="0"/>
    <n v="61591"/>
    <n v="3842"/>
    <n v="57749"/>
    <n v="52368"/>
    <n v="5381"/>
    <m/>
  </r>
  <r>
    <x v="10"/>
    <x v="11"/>
    <n v="0.83453214663989761"/>
    <n v="0.89944115041232198"/>
    <n v="0.92783407369935345"/>
    <n v="0"/>
    <n v="0"/>
    <n v="63257"/>
    <n v="4565"/>
    <n v="58692"/>
    <n v="52790"/>
    <n v="5902"/>
    <m/>
  </r>
  <r>
    <x v="11"/>
    <x v="0"/>
    <n v="0.85365087837731757"/>
    <n v="0.91311357033703333"/>
    <n v="0.93487919368259098"/>
    <n v="0"/>
    <n v="0"/>
    <n v="63697"/>
    <n v="4148"/>
    <n v="59549"/>
    <n v="54375"/>
    <n v="5174"/>
    <m/>
  </r>
  <r>
    <x v="11"/>
    <x v="1"/>
    <n v="0.83924916965813401"/>
    <n v="0.90867977987250037"/>
    <n v="0.92359177374442247"/>
    <n v="0"/>
    <n v="0"/>
    <n v="59614"/>
    <n v="4555"/>
    <n v="55059"/>
    <n v="50031"/>
    <n v="5028"/>
    <m/>
  </r>
  <r>
    <x v="11"/>
    <x v="2"/>
    <n v="0.80832355495954034"/>
    <n v="0.86941485002458618"/>
    <n v="0.92973285990765153"/>
    <n v="0"/>
    <n v="0"/>
    <n v="65621"/>
    <n v="4611"/>
    <n v="61010"/>
    <n v="53043"/>
    <n v="7967"/>
    <m/>
  </r>
  <r>
    <x v="11"/>
    <x v="3"/>
    <n v="0.79923950633471552"/>
    <n v="0.85756994882436732"/>
    <n v="0.93198170881615394"/>
    <n v="0"/>
    <n v="0"/>
    <n v="61013"/>
    <n v="4150"/>
    <n v="56863"/>
    <n v="48764"/>
    <n v="8099"/>
    <m/>
  </r>
  <r>
    <x v="11"/>
    <x v="4"/>
    <n v="0.80264144322332642"/>
    <n v="0.85819050055427648"/>
    <n v="0.93527188043322218"/>
    <n v="0"/>
    <n v="0"/>
    <n v="62693"/>
    <n v="4058"/>
    <n v="58635"/>
    <n v="50320"/>
    <n v="8315"/>
    <m/>
  </r>
  <r>
    <x v="11"/>
    <x v="5"/>
    <n v="0.77907701154933628"/>
    <n v="0.87883593116496983"/>
    <n v="0.88648743630293447"/>
    <n v="0"/>
    <n v="0"/>
    <n v="62601"/>
    <n v="7106"/>
    <n v="55495"/>
    <n v="48771"/>
    <n v="6724"/>
    <m/>
  </r>
  <r>
    <x v="11"/>
    <x v="6"/>
    <n v="0.82071099752120824"/>
    <n v="0.89465115888760216"/>
    <n v="0.9173530815537867"/>
    <n v="0"/>
    <n v="0"/>
    <n v="64951"/>
    <n v="5368"/>
    <n v="59583"/>
    <n v="53306"/>
    <n v="6277"/>
    <m/>
  </r>
  <r>
    <x v="11"/>
    <x v="7"/>
    <n v="0.8130625038793371"/>
    <n v="0.86170772621122915"/>
    <n v="0.94354788653714849"/>
    <n v="0"/>
    <n v="0"/>
    <n v="64444"/>
    <n v="3638"/>
    <n v="60806"/>
    <n v="52397"/>
    <n v="8409"/>
    <m/>
  </r>
  <r>
    <x v="11"/>
    <x v="8"/>
    <n v="0.82703520094783778"/>
    <n v="0.87167479995399355"/>
    <n v="0.94878870077635391"/>
    <n v="0"/>
    <n v="0"/>
    <n v="64146"/>
    <n v="3285"/>
    <n v="60861"/>
    <n v="53051"/>
    <n v="7810"/>
    <m/>
  </r>
  <r>
    <x v="11"/>
    <x v="9"/>
    <n v="0.83509682259350138"/>
    <n v="0.88409418071711043"/>
    <n v="0.94457902880452616"/>
    <n v="0"/>
    <n v="0"/>
    <n v="63983"/>
    <n v="3546"/>
    <n v="60437"/>
    <n v="53432"/>
    <n v="7005"/>
    <m/>
  </r>
  <r>
    <x v="11"/>
    <x v="10"/>
    <n v="0.83613478105089345"/>
    <n v="0.87441148200641872"/>
    <n v="0.95622575670244414"/>
    <n v="0"/>
    <n v="0"/>
    <n v="64193"/>
    <n v="2810"/>
    <n v="61383"/>
    <n v="53674"/>
    <n v="7709"/>
    <m/>
  </r>
  <r>
    <x v="11"/>
    <x v="11"/>
    <n v="0.85544052900878853"/>
    <n v="0.89633614163831643"/>
    <n v="0.95437469189317825"/>
    <n v="0"/>
    <n v="0"/>
    <n v="58827"/>
    <n v="2684"/>
    <n v="56143"/>
    <n v="50323"/>
    <n v="5820"/>
    <m/>
  </r>
  <r>
    <x v="12"/>
    <x v="0"/>
    <n v="0.8833285075443168"/>
    <n v="0.9165762547779206"/>
    <n v="0.96372615255927674"/>
    <n v="0"/>
    <n v="0"/>
    <n v="62166"/>
    <n v="2255"/>
    <n v="59911"/>
    <n v="54913"/>
    <n v="4998"/>
    <m/>
  </r>
  <r>
    <x v="12"/>
    <x v="1"/>
    <n v="0.87136091377629199"/>
    <n v="0.90652851242663579"/>
    <n v="0.96120629614152386"/>
    <n v="0"/>
    <n v="0"/>
    <n v="57432"/>
    <n v="2228"/>
    <n v="55204"/>
    <n v="50044"/>
    <n v="5160"/>
    <m/>
  </r>
  <r>
    <x v="12"/>
    <x v="2"/>
    <n v="0.84303509685975464"/>
    <n v="0.87747522718682724"/>
    <n v="0.96075088018440458"/>
    <n v="0"/>
    <n v="0"/>
    <n v="63339"/>
    <n v="2486"/>
    <n v="60853"/>
    <n v="53397"/>
    <n v="7456"/>
    <m/>
  </r>
  <r>
    <x v="12"/>
    <x v="3"/>
    <n v="0.81675366967222507"/>
    <n v="0.85578340934810193"/>
    <n v="0.9543929699389615"/>
    <n v="0"/>
    <n v="0"/>
    <n v="61109"/>
    <n v="2787"/>
    <n v="58322"/>
    <n v="49911"/>
    <n v="8411"/>
    <m/>
  </r>
  <r>
    <x v="12"/>
    <x v="4"/>
    <n v="0.82279555427436657"/>
    <n v="0.85850112791377731"/>
    <n v="0.95840940392684415"/>
    <n v="0"/>
    <n v="0"/>
    <n v="62442"/>
    <n v="2597"/>
    <n v="59845"/>
    <n v="51377"/>
    <n v="8468"/>
    <m/>
  </r>
  <r>
    <x v="12"/>
    <x v="5"/>
    <n v="0.81504845642190593"/>
    <n v="0.85089829554179253"/>
    <n v="0.9578682442922748"/>
    <n v="0"/>
    <n v="0"/>
    <n v="61189"/>
    <n v="2578"/>
    <n v="58611"/>
    <n v="49872"/>
    <n v="8739"/>
    <m/>
  </r>
  <r>
    <x v="12"/>
    <x v="6"/>
    <n v="0.80731918163480931"/>
    <n v="0.85246289597349467"/>
    <n v="0.94704319149617389"/>
    <n v="0"/>
    <n v="0"/>
    <n v="62466"/>
    <n v="3308"/>
    <n v="59158"/>
    <n v="50430"/>
    <n v="8728"/>
    <m/>
  </r>
  <r>
    <x v="12"/>
    <x v="7"/>
    <n v="0.80993455806985726"/>
    <n v="0.86631358790986368"/>
    <n v="0.93492076007253799"/>
    <n v="0"/>
    <n v="0"/>
    <n v="63415"/>
    <n v="4127"/>
    <n v="59288"/>
    <n v="51362"/>
    <n v="7926"/>
    <m/>
  </r>
  <r>
    <x v="12"/>
    <x v="8"/>
    <n v="0.78634763124199747"/>
    <n v="0.82223486686860914"/>
    <n v="0.95635403329065305"/>
    <n v="0"/>
    <n v="0"/>
    <n v="62480"/>
    <n v="2727"/>
    <n v="59753"/>
    <n v="49131"/>
    <n v="10622"/>
    <m/>
  </r>
  <r>
    <x v="12"/>
    <x v="9"/>
    <n v="0.80061976870487506"/>
    <n v="0.84336457404384912"/>
    <n v="0.94931633761420997"/>
    <n v="0"/>
    <n v="0"/>
    <n v="62604"/>
    <n v="3173"/>
    <n v="59431"/>
    <n v="50122"/>
    <n v="9309"/>
    <m/>
  </r>
  <r>
    <x v="12"/>
    <x v="10"/>
    <n v="0.83203212491600809"/>
    <n v="0.8717377093146047"/>
    <n v="0.95445237257223303"/>
    <n v="0"/>
    <n v="0"/>
    <n v="62506"/>
    <n v="2847"/>
    <n v="59659"/>
    <n v="52007"/>
    <n v="7652"/>
    <m/>
  </r>
  <r>
    <x v="12"/>
    <x v="11"/>
    <n v="0.83312445168567495"/>
    <n v="0.87108927108927114"/>
    <n v="0.95641684421606721"/>
    <n v="0"/>
    <n v="0"/>
    <n v="63832"/>
    <n v="2782"/>
    <n v="61050"/>
    <n v="53180"/>
    <n v="7870"/>
    <m/>
  </r>
  <r>
    <x v="13"/>
    <x v="0"/>
    <n v="0.85607520198881293"/>
    <n v="0.89611931559430091"/>
    <n v="0.95531385954008696"/>
    <n v="0"/>
    <n v="0"/>
    <n v="64360"/>
    <n v="2876"/>
    <n v="61484"/>
    <n v="55097"/>
    <n v="6387"/>
    <m/>
  </r>
  <r>
    <x v="13"/>
    <x v="1"/>
    <n v="0.83995672185202996"/>
    <n v="0.87699259445211497"/>
    <n v="0.95776945799271829"/>
    <n v="0"/>
    <n v="0"/>
    <n v="58228"/>
    <n v="2459"/>
    <n v="55769"/>
    <n v="48909"/>
    <n v="6860"/>
    <m/>
  </r>
  <r>
    <x v="13"/>
    <x v="2"/>
    <n v="0.79220152795282328"/>
    <n v="0.83186014214524961"/>
    <n v="0.95232538237719588"/>
    <n v="0"/>
    <n v="0"/>
    <n v="64269"/>
    <n v="3064"/>
    <n v="61205"/>
    <n v="50914"/>
    <n v="10291"/>
    <m/>
  </r>
  <r>
    <x v="13"/>
    <x v="3"/>
    <n v="0.83381847484664595"/>
    <n v="0.87031601352627153"/>
    <n v="0.95806403867975731"/>
    <n v="0"/>
    <n v="0"/>
    <n v="60807"/>
    <n v="2550"/>
    <n v="58257"/>
    <n v="50702"/>
    <n v="7555"/>
    <m/>
  </r>
  <r>
    <x v="13"/>
    <x v="4"/>
    <n v="0.78874656188605108"/>
    <n v="0.83345512522420784"/>
    <n v="0.94635756385068759"/>
    <n v="0"/>
    <n v="0"/>
    <n v="63625"/>
    <n v="3413"/>
    <n v="60212"/>
    <n v="50184"/>
    <n v="10028"/>
    <m/>
  </r>
  <r>
    <x v="13"/>
    <x v="5"/>
    <n v="0.80528471608706131"/>
    <n v="0.83967841889289008"/>
    <n v="0.95903943458356755"/>
    <n v="0"/>
    <n v="0"/>
    <n v="62255"/>
    <n v="2550"/>
    <n v="59705"/>
    <n v="50133"/>
    <n v="9572"/>
    <m/>
  </r>
  <r>
    <x v="13"/>
    <x v="6"/>
    <n v="0.82177630757708153"/>
    <n v="0.86009178057583324"/>
    <n v="0.95545187866683312"/>
    <n v="0"/>
    <n v="0"/>
    <n v="64088"/>
    <n v="2855"/>
    <n v="61233"/>
    <n v="52666"/>
    <n v="8567"/>
    <m/>
  </r>
  <r>
    <x v="13"/>
    <x v="7"/>
    <n v="0.82479976451997705"/>
    <n v="0.86320670590333515"/>
    <n v="0.95550666935196515"/>
    <n v="0"/>
    <n v="0"/>
    <n v="64549"/>
    <n v="2872"/>
    <n v="61677"/>
    <n v="53240"/>
    <n v="8437"/>
    <m/>
  </r>
  <r>
    <x v="13"/>
    <x v="8"/>
    <n v="0.84121088457062698"/>
    <n v="0.88381596797695416"/>
    <n v="0.9517941687522915"/>
    <n v="0"/>
    <n v="0"/>
    <n v="62731"/>
    <n v="3024"/>
    <n v="59707"/>
    <n v="52770"/>
    <n v="6937"/>
    <m/>
  </r>
  <r>
    <x v="13"/>
    <x v="9"/>
    <n v="0.83473763636935261"/>
    <n v="0.87049392632907652"/>
    <n v="0.9589241361964348"/>
    <n v="0"/>
    <n v="0"/>
    <n v="63614"/>
    <n v="2613"/>
    <n v="61001"/>
    <n v="53101"/>
    <n v="7900"/>
    <m/>
  </r>
  <r>
    <x v="13"/>
    <x v="10"/>
    <n v="0.82996803494002591"/>
    <n v="0.86357125216102737"/>
    <n v="0.96108807798208695"/>
    <n v="0"/>
    <n v="0"/>
    <n v="63194"/>
    <n v="2459"/>
    <n v="60735"/>
    <n v="52449"/>
    <n v="8286"/>
    <m/>
  </r>
  <r>
    <x v="13"/>
    <x v="11"/>
    <n v="0.80243678973847909"/>
    <n v="0.84693946796959829"/>
    <n v="0.94745471203767706"/>
    <n v="0"/>
    <n v="0"/>
    <n v="62213"/>
    <n v="3269"/>
    <n v="58944"/>
    <n v="49922"/>
    <n v="9022"/>
    <m/>
  </r>
  <r>
    <x v="14"/>
    <x v="0"/>
    <n v="0.83598760650658399"/>
    <n v="0.87619341430148734"/>
    <n v="0.95411309062742056"/>
    <n v="0"/>
    <n v="0"/>
    <n v="64550"/>
    <n v="2962"/>
    <n v="61588"/>
    <n v="53963"/>
    <n v="7625"/>
    <m/>
  </r>
  <r>
    <x v="14"/>
    <x v="1"/>
    <n v="0.79413570770647834"/>
    <n v="0.8354328165374677"/>
    <n v="0.95056800736874425"/>
    <n v="0"/>
    <n v="0"/>
    <n v="58626"/>
    <n v="2898"/>
    <n v="55728"/>
    <n v="46557"/>
    <n v="9171"/>
    <m/>
  </r>
  <r>
    <x v="14"/>
    <x v="2"/>
    <n v="0.7441400210278929"/>
    <n v="0.79521496315389451"/>
    <n v="0.93577215659595525"/>
    <n v="0"/>
    <n v="0"/>
    <n v="64676"/>
    <n v="4154"/>
    <n v="60522"/>
    <n v="48128"/>
    <n v="12394"/>
    <m/>
  </r>
  <r>
    <x v="14"/>
    <x v="3"/>
    <n v="0.7156543177192779"/>
    <n v="0.77718680370876159"/>
    <n v="0.92082664592881847"/>
    <n v="0"/>
    <n v="0"/>
    <n v="60437"/>
    <n v="4785"/>
    <n v="55652"/>
    <n v="43252"/>
    <n v="12400"/>
    <m/>
  </r>
  <r>
    <x v="14"/>
    <x v="4"/>
    <n v="0.73018388351951802"/>
    <n v="0.78063304091114949"/>
    <n v="0.93537404292707416"/>
    <n v="0"/>
    <n v="0"/>
    <n v="63736"/>
    <n v="4119"/>
    <n v="59617"/>
    <n v="46539"/>
    <n v="13078"/>
    <m/>
  </r>
  <r>
    <x v="14"/>
    <x v="5"/>
    <n v="0.74319400132799973"/>
    <n v="0.78874546673312596"/>
    <n v="0.94224820639059392"/>
    <n v="0"/>
    <n v="0"/>
    <n v="61747"/>
    <n v="3566"/>
    <n v="58181"/>
    <n v="45890"/>
    <n v="12291"/>
    <m/>
  </r>
  <r>
    <x v="14"/>
    <x v="6"/>
    <n v="0.79401668245856571"/>
    <n v="0.83672433830389736"/>
    <n v="0.94895851131580178"/>
    <n v="0"/>
    <n v="0"/>
    <n v="64379"/>
    <n v="3286"/>
    <n v="61093"/>
    <n v="51118"/>
    <n v="9975"/>
    <m/>
  </r>
  <r>
    <x v="14"/>
    <x v="7"/>
    <n v="0.80639057588427376"/>
    <n v="0.83943832004320618"/>
    <n v="0.96063112277596363"/>
    <n v="0"/>
    <n v="0"/>
    <n v="65534"/>
    <n v="2580"/>
    <n v="62954"/>
    <n v="52846"/>
    <n v="10108"/>
    <m/>
  </r>
  <r>
    <x v="14"/>
    <x v="8"/>
    <n v="0.78969141323792491"/>
    <n v="0.82677257525083614"/>
    <n v="0.95514950166112955"/>
    <n v="0"/>
    <n v="0"/>
    <n v="62608"/>
    <n v="2808"/>
    <n v="59800"/>
    <n v="49441"/>
    <n v="10359"/>
    <m/>
  </r>
  <r>
    <x v="14"/>
    <x v="9"/>
    <n v="0.8118042138191186"/>
    <n v="0.8516206868816858"/>
    <n v="0.95324623547091114"/>
    <n v="0"/>
    <n v="0"/>
    <n v="65214"/>
    <n v="3049"/>
    <n v="62165"/>
    <n v="52941"/>
    <n v="9224"/>
    <m/>
  </r>
  <r>
    <x v="14"/>
    <x v="10"/>
    <n v="0.83643216080402005"/>
    <n v="0.86858111964515761"/>
    <n v="0.96298680904522616"/>
    <n v="0"/>
    <n v="0"/>
    <n v="63680"/>
    <n v="2357"/>
    <n v="61323"/>
    <n v="53264"/>
    <n v="8059"/>
    <m/>
  </r>
  <r>
    <x v="14"/>
    <x v="11"/>
    <n v="0.85273842651151022"/>
    <n v="0.88781708340878041"/>
    <n v="0.96048886921325571"/>
    <n v="0"/>
    <n v="0"/>
    <n v="63248"/>
    <n v="2499"/>
    <n v="60749"/>
    <n v="53934"/>
    <n v="6815"/>
    <m/>
  </r>
  <r>
    <x v="15"/>
    <x v="0"/>
    <n v="0.84385003693671512"/>
    <n v="0.90841313496139697"/>
    <n v="0.92892760403841423"/>
    <n v="0"/>
    <n v="0"/>
    <n v="64976"/>
    <n v="4618"/>
    <n v="60358"/>
    <n v="54830"/>
    <n v="5528"/>
    <m/>
  </r>
  <r>
    <x v="15"/>
    <x v="1"/>
    <n v="0.80898270167751218"/>
    <n v="0.84298492205468945"/>
    <n v="0.95966449756384686"/>
    <n v="0"/>
    <n v="0"/>
    <n v="61162"/>
    <n v="2467"/>
    <n v="58695"/>
    <n v="49479"/>
    <n v="9216"/>
    <m/>
  </r>
  <r>
    <x v="15"/>
    <x v="2"/>
    <n v="0.83386632555164697"/>
    <n v="0.86563200265582207"/>
    <n v="0.96330348576910774"/>
    <n v="0"/>
    <n v="0"/>
    <n v="62540"/>
    <n v="2295"/>
    <n v="60245"/>
    <n v="52150"/>
    <n v="8095"/>
    <m/>
  </r>
  <r>
    <x v="15"/>
    <x v="3"/>
    <n v="0.8279692258374739"/>
    <n v="0.86057708326391902"/>
    <n v="0.96210931238980602"/>
    <n v="0"/>
    <n v="0"/>
    <n v="62390"/>
    <n v="2364"/>
    <n v="60026"/>
    <n v="51657"/>
    <n v="8369"/>
    <m/>
  </r>
  <r>
    <x v="15"/>
    <x v="4"/>
    <n v="0.84511711150883195"/>
    <n v="0.87280003857466604"/>
    <n v="0.9682826239203175"/>
    <n v="0"/>
    <n v="0"/>
    <n v="64255"/>
    <n v="2038"/>
    <n v="62217"/>
    <n v="54303"/>
    <n v="7914"/>
    <m/>
  </r>
  <r>
    <x v="15"/>
    <x v="5"/>
    <n v="0.83871387659463681"/>
    <n v="0.86816796078893732"/>
    <n v="0.96607328820619631"/>
    <n v="0"/>
    <n v="0"/>
    <n v="61456"/>
    <n v="2085"/>
    <n v="59371"/>
    <n v="51544"/>
    <n v="7827"/>
    <m/>
  </r>
  <r>
    <x v="15"/>
    <x v="6"/>
    <n v="0.82938831825847004"/>
    <n v="0.86594852423330559"/>
    <n v="0.95778016250191633"/>
    <n v="0"/>
    <n v="0"/>
    <n v="65230"/>
    <n v="2754"/>
    <n v="62476"/>
    <n v="54101"/>
    <n v="8375"/>
    <m/>
  </r>
  <r>
    <x v="15"/>
    <x v="7"/>
    <n v="0.84973495478640471"/>
    <n v="0.88501696896870885"/>
    <n v="0.96013408169628933"/>
    <n v="0"/>
    <n v="0"/>
    <n v="64140"/>
    <n v="2557"/>
    <n v="61583"/>
    <n v="54502"/>
    <n v="7081"/>
    <m/>
  </r>
  <r>
    <x v="15"/>
    <x v="8"/>
    <n v="0.84261467246458133"/>
    <n v="0.88741341387347761"/>
    <n v="0.94951761973784699"/>
    <n v="0"/>
    <n v="0"/>
    <n v="64161"/>
    <n v="3239"/>
    <n v="60922"/>
    <n v="54063"/>
    <n v="6859"/>
    <m/>
  </r>
  <r>
    <x v="15"/>
    <x v="9"/>
    <n v="0.86522183415437648"/>
    <n v="0.88603245505802242"/>
    <n v="0.97651257492336085"/>
    <n v="0"/>
    <n v="0"/>
    <n v="65567"/>
    <n v="1540"/>
    <n v="64027"/>
    <n v="56730"/>
    <n v="7297"/>
    <m/>
  </r>
  <r>
    <x v="15"/>
    <x v="10"/>
    <n v="0.85658822219039887"/>
    <n v="0.88898062981983916"/>
    <n v="0.96356230209874771"/>
    <n v="0"/>
    <n v="0"/>
    <n v="62847"/>
    <n v="2290"/>
    <n v="60557"/>
    <n v="53834"/>
    <n v="6723"/>
    <m/>
  </r>
  <r>
    <x v="15"/>
    <x v="11"/>
    <n v="0.87321544702858378"/>
    <n v="0.90236175115207373"/>
    <n v="0.96769997832213306"/>
    <n v="0"/>
    <n v="0"/>
    <n v="64582"/>
    <n v="2086"/>
    <n v="62496"/>
    <n v="56394"/>
    <n v="6102"/>
    <m/>
  </r>
  <r>
    <x v="16"/>
    <x v="0"/>
    <n v="0.88381023533806502"/>
    <n v="0.91123230269137745"/>
    <n v="0.96990661187896898"/>
    <n v="0"/>
    <n v="0"/>
    <n v="66925"/>
    <n v="2014"/>
    <n v="64911"/>
    <n v="59149"/>
    <n v="5762"/>
    <m/>
  </r>
  <r>
    <x v="16"/>
    <x v="1"/>
    <n v="0.88879282218597067"/>
    <n v="0.91090416638801575"/>
    <n v="0.97572593800978791"/>
    <n v="0"/>
    <n v="0"/>
    <n v="61300"/>
    <n v="1488"/>
    <n v="59812"/>
    <n v="54483"/>
    <n v="5329"/>
    <m/>
  </r>
  <r>
    <x v="16"/>
    <x v="2"/>
    <n v="0.86330805616037243"/>
    <n v="0.88709901402582969"/>
    <n v="0.97318116975748925"/>
    <n v="0"/>
    <n v="0"/>
    <n v="66595"/>
    <n v="1786"/>
    <n v="64809"/>
    <n v="57492"/>
    <n v="7317"/>
    <m/>
  </r>
  <r>
    <x v="16"/>
    <x v="3"/>
    <n v="0.85397518920184134"/>
    <n v="0.88653998801250589"/>
    <n v="0.96326753530467346"/>
    <n v="0"/>
    <n v="0"/>
    <n v="64085"/>
    <n v="2354"/>
    <n v="61731"/>
    <n v="54727"/>
    <n v="7004"/>
    <m/>
  </r>
  <r>
    <x v="16"/>
    <x v="4"/>
    <n v="0.85272624209091052"/>
    <n v="0.87493712273641855"/>
    <n v="0.9746143121964671"/>
    <n v="0"/>
    <n v="0"/>
    <n v="65273"/>
    <n v="1657"/>
    <n v="63616"/>
    <n v="55660"/>
    <n v="7956"/>
    <m/>
  </r>
  <r>
    <x v="16"/>
    <x v="5"/>
    <n v="0.85648501113110309"/>
    <n v="0.88039372423629725"/>
    <n v="0.97284315818364797"/>
    <n v="0"/>
    <n v="0"/>
    <n v="65582"/>
    <n v="1781"/>
    <n v="63801"/>
    <n v="56170"/>
    <n v="7631"/>
    <m/>
  </r>
  <r>
    <x v="16"/>
    <x v="6"/>
    <n v="0.87533175946155994"/>
    <n v="0.90385343326519796"/>
    <n v="0.96844435972256848"/>
    <n v="0"/>
    <n v="0"/>
    <n v="68197"/>
    <n v="2152"/>
    <n v="66045"/>
    <n v="59695"/>
    <n v="6350"/>
    <m/>
  </r>
  <r>
    <x v="16"/>
    <x v="7"/>
    <n v="0.85876671619613665"/>
    <n v="0.87986785616417507"/>
    <n v="0.97601783060921243"/>
    <n v="0"/>
    <n v="0"/>
    <n v="67300"/>
    <n v="1614"/>
    <n v="65686"/>
    <n v="57795"/>
    <n v="7891"/>
    <m/>
  </r>
  <r>
    <x v="16"/>
    <x v="8"/>
    <n v="0.85690718585122982"/>
    <n v="0.8797760009765625"/>
    <n v="0.97400609348294565"/>
    <n v="0"/>
    <n v="0"/>
    <n v="67285"/>
    <n v="1749"/>
    <n v="65536"/>
    <n v="57657"/>
    <n v="7879"/>
    <m/>
  </r>
  <r>
    <x v="16"/>
    <x v="9"/>
    <n v="0.85395974334183"/>
    <n v="0.87602001713177946"/>
    <n v="0.97481761448536519"/>
    <n v="0"/>
    <n v="0"/>
    <n v="68262"/>
    <n v="1719"/>
    <n v="66543"/>
    <n v="58293"/>
    <n v="8250"/>
    <m/>
  </r>
  <r>
    <x v="16"/>
    <x v="10"/>
    <n v="0.86585991489875369"/>
    <n v="0.88957787526935062"/>
    <n v="0.97333796058786248"/>
    <n v="0"/>
    <n v="0"/>
    <n v="66274"/>
    <n v="1767"/>
    <n v="64507"/>
    <n v="57384"/>
    <n v="7123"/>
    <m/>
  </r>
  <r>
    <x v="16"/>
    <x v="11"/>
    <n v="0.85947213032060887"/>
    <n v="0.89061587184454083"/>
    <n v="0.96503123006394376"/>
    <n v="0"/>
    <n v="0"/>
    <n v="67403"/>
    <n v="2357"/>
    <n v="65046"/>
    <n v="57931"/>
    <n v="7115"/>
    <m/>
  </r>
  <r>
    <x v="17"/>
    <x v="0"/>
    <n v="0.86970264399670438"/>
    <n v="0.90313297243482049"/>
    <n v="0.96298404613886601"/>
    <n v="0"/>
    <n v="0"/>
    <n v="66755"/>
    <n v="2471"/>
    <n v="64284"/>
    <n v="58057"/>
    <n v="6227"/>
    <m/>
  </r>
  <r>
    <x v="17"/>
    <x v="1"/>
    <n v="0.85929551162341422"/>
    <n v="0.89062421785052814"/>
    <n v="0.96482387790585356"/>
    <n v="0"/>
    <n v="0"/>
    <n v="62116"/>
    <n v="2185"/>
    <n v="59931"/>
    <n v="53376"/>
    <n v="6555"/>
    <m/>
  </r>
  <r>
    <x v="17"/>
    <x v="2"/>
    <n v="0.85582451492700251"/>
    <n v="0.88014011346795806"/>
    <n v="0.97237303678257958"/>
    <n v="0"/>
    <n v="0"/>
    <n v="68701"/>
    <n v="1898"/>
    <n v="66803"/>
    <n v="58796"/>
    <n v="8007"/>
    <m/>
  </r>
  <r>
    <x v="17"/>
    <x v="3"/>
    <n v="0.84138066822160962"/>
    <n v="0.86836839966236279"/>
    <n v="0.96892133401993152"/>
    <n v="0"/>
    <n v="0"/>
    <n v="66026"/>
    <n v="2052"/>
    <n v="63974"/>
    <n v="55553"/>
    <n v="8421"/>
    <m/>
  </r>
  <r>
    <x v="17"/>
    <x v="4"/>
    <n v="0.83035876889455473"/>
    <n v="0.86048596367067709"/>
    <n v="0.96498816244764163"/>
    <n v="0"/>
    <n v="0"/>
    <n v="65892"/>
    <n v="2307"/>
    <n v="63585"/>
    <n v="54714"/>
    <n v="8871"/>
    <m/>
  </r>
  <r>
    <x v="17"/>
    <x v="5"/>
    <n v="0.84861840225026697"/>
    <n v="0.87477710759307215"/>
    <n v="0.97009671936342712"/>
    <n v="0"/>
    <n v="0"/>
    <n v="66481"/>
    <n v="1988"/>
    <n v="64493"/>
    <n v="56417"/>
    <n v="8076"/>
    <m/>
  </r>
  <r>
    <x v="17"/>
    <x v="6"/>
    <n v="0.86387365842277186"/>
    <n v="0.89630077918148121"/>
    <n v="0.96382116192253853"/>
    <n v="0"/>
    <n v="0"/>
    <n v="68576"/>
    <n v="2481"/>
    <n v="66095"/>
    <n v="59241"/>
    <n v="6854"/>
    <m/>
  </r>
  <r>
    <x v="17"/>
    <x v="7"/>
    <n v="0.87273770636532177"/>
    <n v="0.8967524417163073"/>
    <n v="0.97322032900738653"/>
    <n v="0"/>
    <n v="0"/>
    <n v="67962"/>
    <n v="1820"/>
    <n v="66142"/>
    <n v="59313"/>
    <n v="6829"/>
    <m/>
  </r>
  <r>
    <x v="17"/>
    <x v="8"/>
    <n v="0.86565084635223666"/>
    <n v="0.89194679047604497"/>
    <n v="0.9705184833842232"/>
    <n v="0"/>
    <n v="0"/>
    <n v="67466"/>
    <n v="1989"/>
    <n v="65477"/>
    <n v="58402"/>
    <n v="7075"/>
    <m/>
  </r>
  <r>
    <x v="17"/>
    <x v="9"/>
    <n v="0.86657254854842825"/>
    <n v="0.903834706601084"/>
    <n v="0.95877326044185451"/>
    <n v="0"/>
    <n v="0"/>
    <n v="66583"/>
    <n v="2745"/>
    <n v="63838"/>
    <n v="57699"/>
    <n v="6139"/>
    <m/>
  </r>
  <r>
    <x v="17"/>
    <x v="10"/>
    <n v="0.85578079884504332"/>
    <n v="0.88688361074745958"/>
    <n v="0.9649302213666987"/>
    <n v="0"/>
    <n v="0"/>
    <n v="66496"/>
    <n v="2332"/>
    <n v="64164"/>
    <n v="56906"/>
    <n v="7258"/>
    <m/>
  </r>
  <r>
    <x v="17"/>
    <x v="11"/>
    <n v="0.81774803521834194"/>
    <n v="0.87757819807536819"/>
    <n v="0.93182355374342607"/>
    <n v="0"/>
    <n v="0"/>
    <n v="67692"/>
    <n v="4615"/>
    <n v="63077"/>
    <n v="55355"/>
    <n v="7722"/>
    <m/>
  </r>
  <r>
    <x v="18"/>
    <x v="0"/>
    <n v="0.7769652921981608"/>
    <n v="0.82871381110583764"/>
    <n v="0.93755562147730642"/>
    <n v="0"/>
    <n v="0"/>
    <n v="67420"/>
    <n v="4210"/>
    <n v="63210"/>
    <n v="52383"/>
    <n v="10827"/>
    <m/>
  </r>
  <r>
    <x v="18"/>
    <x v="1"/>
    <n v="0.76130604913721212"/>
    <n v="0.82235349143381775"/>
    <n v="0.92576496247353901"/>
    <n v="0"/>
    <n v="0"/>
    <n v="62356"/>
    <n v="4629"/>
    <n v="57727"/>
    <n v="47472"/>
    <n v="10255"/>
    <m/>
  </r>
  <r>
    <x v="18"/>
    <x v="2"/>
    <n v="0.77045581845981503"/>
    <n v="0.81899520453155672"/>
    <n v="0.94073300331531862"/>
    <n v="0"/>
    <n v="0"/>
    <n v="66057"/>
    <n v="3915"/>
    <n v="62142"/>
    <n v="50894"/>
    <n v="11248"/>
    <m/>
  </r>
  <r>
    <x v="18"/>
    <x v="3"/>
    <n v="0.68044836457184854"/>
    <n v="0.73461290482567076"/>
    <n v="0.92626791620727678"/>
    <n v="0"/>
    <n v="0"/>
    <n v="65304"/>
    <n v="4815"/>
    <n v="60489"/>
    <n v="44436"/>
    <n v="16053"/>
    <m/>
  </r>
  <r>
    <x v="18"/>
    <x v="4"/>
    <n v="0.72607678384861019"/>
    <n v="0.77337345809626812"/>
    <n v="0.93884368056270873"/>
    <n v="0"/>
    <n v="0"/>
    <n v="67957"/>
    <n v="4156"/>
    <n v="63801"/>
    <n v="49342"/>
    <n v="14459"/>
    <m/>
  </r>
  <r>
    <x v="18"/>
    <x v="5"/>
    <n v="0.76990034818105413"/>
    <n v="0.80423910828225187"/>
    <n v="0.95730279745467639"/>
    <n v="0"/>
    <n v="0"/>
    <n v="66632"/>
    <n v="2845"/>
    <n v="63787"/>
    <n v="51300"/>
    <n v="12487"/>
    <m/>
  </r>
  <r>
    <x v="18"/>
    <x v="6"/>
    <n v="0.77454050573636146"/>
    <n v="0.82433653127336159"/>
    <n v="0.93959260126434085"/>
    <n v="0"/>
    <n v="0"/>
    <n v="68336"/>
    <n v="4128"/>
    <n v="64208"/>
    <n v="52929"/>
    <n v="11279"/>
    <m/>
  </r>
  <r>
    <x v="18"/>
    <x v="7"/>
    <n v="0.80288600288600287"/>
    <n v="0.84538713990519021"/>
    <n v="0.94972582972582975"/>
    <n v="0"/>
    <n v="0"/>
    <n v="69300"/>
    <n v="3484"/>
    <n v="65816"/>
    <n v="55640"/>
    <n v="10176"/>
    <m/>
  </r>
  <r>
    <x v="18"/>
    <x v="8"/>
    <n v="0.8224151655414369"/>
    <n v="0.87170713415205769"/>
    <n v="0.94345352162504792"/>
    <n v="0"/>
    <n v="0"/>
    <n v="67838"/>
    <n v="3836"/>
    <n v="64002"/>
    <n v="55791"/>
    <n v="8211"/>
    <m/>
  </r>
  <r>
    <x v="18"/>
    <x v="9"/>
    <n v="0.82462549161130672"/>
    <n v="0.86205940777012979"/>
    <n v="0.95657617581640619"/>
    <n v="0"/>
    <n v="0"/>
    <n v="67889"/>
    <n v="2948"/>
    <n v="64941"/>
    <n v="55983"/>
    <n v="8958"/>
    <m/>
  </r>
  <r>
    <x v="18"/>
    <x v="10"/>
    <n v="0.8168439000314085"/>
    <n v="0.85716303597212629"/>
    <n v="0.95296211543351128"/>
    <n v="0"/>
    <n v="0"/>
    <n v="66861"/>
    <n v="3145"/>
    <n v="63716"/>
    <n v="54615"/>
    <n v="9101"/>
    <m/>
  </r>
  <r>
    <x v="18"/>
    <x v="11"/>
    <n v="0.81082967098230196"/>
    <n v="0.85720788597978281"/>
    <n v="0.94589618719562896"/>
    <n v="0"/>
    <n v="0"/>
    <n v="67352"/>
    <n v="3644"/>
    <n v="63708"/>
    <n v="54611"/>
    <n v="9097"/>
    <m/>
  </r>
  <r>
    <x v="19"/>
    <x v="0"/>
    <n v="0.81716987995634771"/>
    <n v="0.86670679198111023"/>
    <n v="0.94284467078937795"/>
    <n v="0"/>
    <n v="0"/>
    <n v="68725"/>
    <n v="3928"/>
    <n v="64797"/>
    <n v="56160"/>
    <n v="8637"/>
    <m/>
  </r>
  <r>
    <x v="19"/>
    <x v="1"/>
    <n v="0.76632390745501289"/>
    <n v="0.81870301074530538"/>
    <n v="0.93602185089974288"/>
    <n v="0"/>
    <n v="0"/>
    <n v="62240"/>
    <n v="3982"/>
    <n v="58258"/>
    <n v="47696"/>
    <n v="10562"/>
    <m/>
  </r>
  <r>
    <x v="19"/>
    <x v="2"/>
    <n v="0.71806047006702911"/>
    <n v="0.78576150601271799"/>
    <n v="0.91384022323868708"/>
    <n v="0"/>
    <n v="0"/>
    <n v="69522"/>
    <n v="5990"/>
    <n v="63532"/>
    <n v="49921"/>
    <n v="13611"/>
    <m/>
  </r>
  <r>
    <x v="19"/>
    <x v="3"/>
    <n v="0.6997449099359927"/>
    <n v="0.78897868435911911"/>
    <n v="0.88689963849199516"/>
    <n v="0"/>
    <n v="0"/>
    <n v="63899"/>
    <n v="7227"/>
    <n v="56672"/>
    <n v="44713"/>
    <n v="11959"/>
    <m/>
  </r>
  <r>
    <x v="19"/>
    <x v="4"/>
    <n v="0.69417702316354513"/>
    <n v="0.7659252583126791"/>
    <n v="0.90632475640352417"/>
    <n v="0"/>
    <n v="0"/>
    <n v="68556"/>
    <n v="6422"/>
    <n v="62134"/>
    <n v="47590"/>
    <n v="14544"/>
    <m/>
  </r>
  <r>
    <x v="19"/>
    <x v="5"/>
    <n v="0.7286220247921481"/>
    <n v="0.78608552045723168"/>
    <n v="0.9268991805984933"/>
    <n v="0"/>
    <n v="0"/>
    <n v="66634"/>
    <n v="4871"/>
    <n v="61763"/>
    <n v="48551"/>
    <n v="13212"/>
    <m/>
  </r>
  <r>
    <x v="19"/>
    <x v="6"/>
    <n v="0.73888880785331912"/>
    <n v="0.80769169443691502"/>
    <n v="0.91481540907565972"/>
    <n v="0"/>
    <n v="0"/>
    <n v="68557"/>
    <n v="5840"/>
    <n v="62717"/>
    <n v="50656"/>
    <n v="12061"/>
    <m/>
  </r>
  <r>
    <x v="19"/>
    <x v="7"/>
    <n v="0.66708351300848068"/>
    <n v="0.76700216503875585"/>
    <n v="0.86972833117723158"/>
    <n v="0"/>
    <n v="0"/>
    <n v="69570"/>
    <n v="9063"/>
    <n v="60507"/>
    <n v="46409"/>
    <n v="14098"/>
    <m/>
  </r>
  <r>
    <x v="19"/>
    <x v="8"/>
    <n v="0.62049751849709223"/>
    <n v="0.73249105907301904"/>
    <n v="0.84710592820387909"/>
    <n v="0"/>
    <n v="0"/>
    <n v="65686"/>
    <n v="10043"/>
    <n v="55643"/>
    <n v="40758"/>
    <n v="14885"/>
    <m/>
  </r>
  <r>
    <x v="19"/>
    <x v="9"/>
    <n v="0.63351447712700193"/>
    <n v="0.73418860379873374"/>
    <n v="0.86287702349118722"/>
    <n v="0"/>
    <n v="0"/>
    <n v="69558"/>
    <n v="9538"/>
    <n v="60020"/>
    <n v="44066"/>
    <n v="15954"/>
    <m/>
  </r>
  <r>
    <x v="19"/>
    <x v="10"/>
    <n v="0.57755293626786275"/>
    <n v="0.71049640709781492"/>
    <n v="0.81288649808520463"/>
    <n v="0"/>
    <n v="0"/>
    <n v="67109"/>
    <n v="12557"/>
    <n v="54552"/>
    <n v="38759"/>
    <n v="15793"/>
    <m/>
  </r>
  <r>
    <x v="19"/>
    <x v="11"/>
    <n v="0.61317655727135967"/>
    <n v="0.73177255074375325"/>
    <n v="0.83793325760599269"/>
    <n v="0"/>
    <n v="0"/>
    <n v="65146"/>
    <n v="10558"/>
    <n v="54588"/>
    <n v="39946"/>
    <n v="14642"/>
    <m/>
  </r>
  <r>
    <x v="20"/>
    <x v="0"/>
    <n v="0.69106854654526628"/>
    <n v="0.80053618357232303"/>
    <n v="0.86325710283504364"/>
    <n v="0"/>
    <n v="0"/>
    <n v="65678"/>
    <n v="8981"/>
    <n v="56697"/>
    <n v="45388"/>
    <n v="11309"/>
    <m/>
  </r>
  <r>
    <x v="20"/>
    <x v="1"/>
    <n v="0.65659227113039886"/>
    <n v="0.75941122574991038"/>
    <n v="0.86460701246814076"/>
    <n v="0"/>
    <n v="0"/>
    <n v="58068"/>
    <n v="7862"/>
    <n v="50206"/>
    <n v="38127"/>
    <n v="12079"/>
    <m/>
  </r>
  <r>
    <x v="20"/>
    <x v="2"/>
    <n v="0.62436292611468858"/>
    <n v="0.72422032638323486"/>
    <n v="0.86211737418744472"/>
    <n v="0"/>
    <n v="0"/>
    <n v="65534"/>
    <n v="9036"/>
    <n v="56498"/>
    <n v="40917"/>
    <n v="15581"/>
    <m/>
  </r>
  <r>
    <x v="20"/>
    <x v="3"/>
    <n v="0.64971760634651166"/>
    <n v="0.76576628573627303"/>
    <n v="0.8484541804054716"/>
    <n v="0"/>
    <n v="0"/>
    <n v="61262"/>
    <n v="9284"/>
    <n v="51978"/>
    <n v="39803"/>
    <n v="12175"/>
    <m/>
  </r>
  <r>
    <x v="20"/>
    <x v="4"/>
    <n v="0.70662633154185306"/>
    <n v="0.81231964483906771"/>
    <n v="0.86988704019566832"/>
    <n v="0"/>
    <n v="0"/>
    <n v="62146"/>
    <n v="8086"/>
    <n v="54060"/>
    <n v="43914"/>
    <n v="10146"/>
    <m/>
  </r>
  <r>
    <x v="20"/>
    <x v="5"/>
    <n v="0.66987074958375525"/>
    <n v="0.79237391374969546"/>
    <n v="0.84539727767383577"/>
    <n v="0"/>
    <n v="0"/>
    <n v="58259"/>
    <n v="9007"/>
    <n v="49252"/>
    <n v="39026"/>
    <n v="10226"/>
    <m/>
  </r>
  <r>
    <x v="20"/>
    <x v="6"/>
    <n v="0.61044744923388583"/>
    <n v="0.7315325035644098"/>
    <n v="0.83447754714857625"/>
    <n v="0"/>
    <n v="0"/>
    <n v="62197"/>
    <n v="10295"/>
    <n v="51902"/>
    <n v="37968"/>
    <n v="13934"/>
    <m/>
  </r>
  <r>
    <x v="20"/>
    <x v="7"/>
    <n v="0.60220115576910593"/>
    <n v="0.71402725383016397"/>
    <n v="0.84338679306538533"/>
    <n v="0"/>
    <n v="0"/>
    <n v="61604"/>
    <n v="9648"/>
    <n v="51956"/>
    <n v="37098"/>
    <n v="14858"/>
    <m/>
  </r>
  <r>
    <x v="20"/>
    <x v="8"/>
    <n v="0.60735709095824675"/>
    <n v="0.72963481720561074"/>
    <n v="0.83241242966492623"/>
    <n v="0"/>
    <n v="0"/>
    <n v="59181"/>
    <n v="9918"/>
    <n v="49263"/>
    <n v="35944"/>
    <n v="13319"/>
    <m/>
  </r>
  <r>
    <x v="20"/>
    <x v="9"/>
    <n v="0.61000924379287413"/>
    <n v="0.7177613250391176"/>
    <n v="0.84987756028736838"/>
    <n v="0"/>
    <n v="0"/>
    <n v="61663"/>
    <n v="9257"/>
    <n v="52406"/>
    <n v="37615"/>
    <n v="14791"/>
    <m/>
  </r>
  <r>
    <x v="20"/>
    <x v="10"/>
    <n v="0.55163217769976036"/>
    <n v="0.65518623952527966"/>
    <n v="0.84194713567160651"/>
    <n v="0"/>
    <n v="0"/>
    <n v="59246"/>
    <n v="9364"/>
    <n v="49882"/>
    <n v="32682"/>
    <n v="17200"/>
    <m/>
  </r>
  <r>
    <x v="20"/>
    <x v="11"/>
    <n v="0.59935924601223878"/>
    <n v="0.71743364986608227"/>
    <n v="0.83542115166206155"/>
    <n v="0"/>
    <n v="0"/>
    <n v="58993"/>
    <n v="9709"/>
    <n v="49284"/>
    <n v="35358"/>
    <n v="13926"/>
    <m/>
  </r>
  <r>
    <x v="21"/>
    <x v="0"/>
    <n v="0.70952851400149897"/>
    <n v="0.80850526969585212"/>
    <n v="0.87758056823601549"/>
    <n v="0"/>
    <n v="0"/>
    <n v="58708"/>
    <n v="7187"/>
    <n v="51521"/>
    <n v="41655"/>
    <n v="9866"/>
    <m/>
  </r>
  <r>
    <x v="21"/>
    <x v="1"/>
    <n v="0.68708152071117834"/>
    <n v="0.77722623989045314"/>
    <n v="0.88401740117268768"/>
    <n v="0"/>
    <n v="0"/>
    <n v="52870"/>
    <n v="6132"/>
    <n v="46738"/>
    <n v="36326"/>
    <n v="10412"/>
    <m/>
  </r>
  <r>
    <x v="21"/>
    <x v="2"/>
    <n v="0.71603489349775784"/>
    <n v="0.79437599595786856"/>
    <n v="0.90138032511210764"/>
    <n v="0"/>
    <n v="0"/>
    <n v="57088"/>
    <n v="5630"/>
    <n v="51458"/>
    <n v="40877"/>
    <n v="10581"/>
    <m/>
  </r>
  <r>
    <x v="21"/>
    <x v="3"/>
    <n v="0.65509554140127391"/>
    <n v="0.76913169921063562"/>
    <n v="0.8517338995046001"/>
    <n v="0"/>
    <n v="0"/>
    <n v="56520"/>
    <n v="8380"/>
    <n v="48140"/>
    <n v="37026"/>
    <n v="11114"/>
    <m/>
  </r>
  <r>
    <x v="21"/>
    <x v="4"/>
    <n v="0.68785335533939673"/>
    <n v="0.75734611815651098"/>
    <n v="0.9082417389472206"/>
    <n v="0"/>
    <n v="0"/>
    <n v="56954"/>
    <n v="5226"/>
    <n v="51728"/>
    <n v="39176"/>
    <n v="12552"/>
    <m/>
  </r>
  <r>
    <x v="21"/>
    <x v="5"/>
    <n v="0.69763033175355449"/>
    <n v="0.75986260845394804"/>
    <n v="0.9181006197593875"/>
    <n v="0"/>
    <n v="0"/>
    <n v="54860"/>
    <n v="4493"/>
    <n v="50367"/>
    <n v="38272"/>
    <n v="12095"/>
    <m/>
  </r>
  <r>
    <x v="21"/>
    <x v="6"/>
    <n v="0.6874560455582428"/>
    <n v="0.75307690862286025"/>
    <n v="0.91286299936534077"/>
    <n v="0"/>
    <n v="0"/>
    <n v="58299"/>
    <n v="5080"/>
    <n v="53219"/>
    <n v="40078"/>
    <n v="13141"/>
    <m/>
  </r>
  <r>
    <x v="21"/>
    <x v="7"/>
    <n v="0.67461867402942866"/>
    <n v="0.76362077179609333"/>
    <n v="0.88344725411630021"/>
    <n v="0"/>
    <n v="0"/>
    <n v="59398"/>
    <n v="6923"/>
    <n v="52475"/>
    <n v="40071"/>
    <n v="12404"/>
    <m/>
  </r>
  <r>
    <x v="21"/>
    <x v="8"/>
    <n v="0.7267713194739075"/>
    <n v="0.77706809892761886"/>
    <n v="0.9352736529486636"/>
    <n v="0"/>
    <n v="0"/>
    <n v="58925"/>
    <n v="3814"/>
    <n v="55111"/>
    <n v="42825"/>
    <n v="12286"/>
    <m/>
  </r>
  <r>
    <x v="21"/>
    <x v="9"/>
    <n v="0.69503205393675349"/>
    <n v="0.7736148243754033"/>
    <n v="0.89842132290821142"/>
    <n v="0"/>
    <n v="0"/>
    <n v="60367"/>
    <n v="6132"/>
    <n v="54235"/>
    <n v="41957"/>
    <n v="12278"/>
    <m/>
  </r>
  <r>
    <x v="21"/>
    <x v="10"/>
    <n v="0.67765269128692607"/>
    <n v="0.76553467500146966"/>
    <n v="0.88520182483651055"/>
    <n v="0"/>
    <n v="0"/>
    <n v="57649"/>
    <n v="6618"/>
    <n v="51031"/>
    <n v="39066"/>
    <n v="11965"/>
    <m/>
  </r>
  <r>
    <x v="21"/>
    <x v="11"/>
    <n v="0.75396096831225345"/>
    <n v="0.83054307116104864"/>
    <n v="0.90779273765809876"/>
    <n v="0"/>
    <n v="0"/>
    <n v="58824"/>
    <n v="5424"/>
    <n v="53400"/>
    <n v="44351"/>
    <n v="9049"/>
    <m/>
  </r>
  <r>
    <x v="22"/>
    <x v="0"/>
    <n v="0.79814286684321312"/>
    <n v="0.88137594901115379"/>
    <n v="0.90556460922115845"/>
    <n v="0"/>
    <n v="0"/>
    <n v="58908"/>
    <n v="5563"/>
    <n v="53345"/>
    <n v="47017"/>
    <n v="6328"/>
    <m/>
  </r>
  <r>
    <x v="22"/>
    <x v="1"/>
    <n v="0.80146153695851818"/>
    <n v="0.86607124004983005"/>
    <n v="0.92539908947029059"/>
    <n v="0"/>
    <n v="0"/>
    <n v="51179"/>
    <n v="3818"/>
    <n v="47361"/>
    <n v="41018"/>
    <n v="6343"/>
    <m/>
  </r>
  <r>
    <x v="22"/>
    <x v="2"/>
    <n v="0.75539746147192266"/>
    <n v="0.84568864997331961"/>
    <n v="0.89323353399120875"/>
    <n v="0"/>
    <n v="0"/>
    <n v="56647"/>
    <n v="6048"/>
    <n v="50599"/>
    <n v="42791"/>
    <n v="7808"/>
    <m/>
  </r>
  <r>
    <x v="22"/>
    <x v="3"/>
    <n v="0.76058499593752826"/>
    <n v="0.81637596899224807"/>
    <n v="0.93166019680418888"/>
    <n v="0"/>
    <n v="0"/>
    <n v="55385"/>
    <n v="3785"/>
    <n v="51600"/>
    <n v="42125"/>
    <n v="9475"/>
    <m/>
  </r>
  <r>
    <x v="22"/>
    <x v="4"/>
    <n v="0.71483984415405299"/>
    <n v="0.78388188366069911"/>
    <n v="0.91192290452711788"/>
    <n v="0"/>
    <n v="0"/>
    <n v="58006"/>
    <n v="5109"/>
    <n v="52897"/>
    <n v="41465"/>
    <n v="11432"/>
    <s v="A partir de Mayo de 2015 se suman los servicios de Tren de la Costa"/>
  </r>
  <r>
    <x v="22"/>
    <x v="5"/>
    <n v="0.67164102034493445"/>
    <n v="0.76953872246435406"/>
    <n v="0.87278391683018353"/>
    <n v="0"/>
    <n v="0"/>
    <n v="58098"/>
    <n v="7391"/>
    <n v="50707"/>
    <n v="39021"/>
    <n v="11686"/>
    <m/>
  </r>
  <r>
    <x v="22"/>
    <x v="6"/>
    <n v="0.71740157352054856"/>
    <n v="0.79108364916566376"/>
    <n v="0.90685931162548261"/>
    <n v="0"/>
    <n v="0"/>
    <n v="61391"/>
    <n v="5718"/>
    <n v="55673"/>
    <n v="44042"/>
    <n v="11631"/>
    <m/>
  </r>
  <r>
    <x v="22"/>
    <x v="7"/>
    <n v="0.74582154372573539"/>
    <n v="0.81490069201042514"/>
    <n v="0.91522997960123709"/>
    <n v="0"/>
    <n v="0"/>
    <n v="60788"/>
    <n v="5153"/>
    <n v="55635"/>
    <n v="45337"/>
    <n v="10298"/>
    <m/>
  </r>
  <r>
    <x v="22"/>
    <x v="8"/>
    <n v="0.76342166464672934"/>
    <n v="0.86272441236350172"/>
    <n v="0.88489632808149632"/>
    <n v="0"/>
    <n v="0"/>
    <n v="61058"/>
    <n v="7028"/>
    <n v="54030"/>
    <n v="46613"/>
    <n v="7417"/>
    <m/>
  </r>
  <r>
    <x v="22"/>
    <x v="9"/>
    <n v="0.78156955180422194"/>
    <n v="0.85598496640218669"/>
    <n v="0.9130645776283407"/>
    <n v="0"/>
    <n v="0"/>
    <n v="57698"/>
    <n v="5016"/>
    <n v="52682"/>
    <n v="45095"/>
    <n v="7587"/>
    <m/>
  </r>
  <r>
    <x v="22"/>
    <x v="10"/>
    <n v="0.78182241818116638"/>
    <n v="0.84208799057933248"/>
    <n v="0.92843316485643612"/>
    <n v="0"/>
    <n v="0"/>
    <n v="55794"/>
    <n v="3993"/>
    <n v="51801"/>
    <n v="43621"/>
    <n v="8180"/>
    <m/>
  </r>
  <r>
    <x v="22"/>
    <x v="11"/>
    <n v="0.75993776876551411"/>
    <n v="0.82540014050010446"/>
    <n v="0.92069013739817507"/>
    <n v="0"/>
    <n v="0"/>
    <n v="57206"/>
    <n v="4537"/>
    <n v="52669"/>
    <n v="43473"/>
    <n v="9196"/>
    <m/>
  </r>
  <r>
    <x v="23"/>
    <x v="0"/>
    <n v="0.77962451588252657"/>
    <n v="0.8532436182547376"/>
    <n v="0.91371854321888191"/>
    <n v="0"/>
    <n v="0"/>
    <n v="57579"/>
    <n v="4968"/>
    <n v="52611"/>
    <n v="44890"/>
    <n v="7721"/>
    <m/>
  </r>
  <r>
    <x v="23"/>
    <x v="1"/>
    <n v="0.77754526081363873"/>
    <n v="0.8406326539084229"/>
    <n v="0.92495248334517255"/>
    <n v="0"/>
    <n v="0"/>
    <n v="52087"/>
    <n v="3909"/>
    <n v="48178"/>
    <n v="40500"/>
    <n v="7678"/>
    <m/>
  </r>
  <r>
    <x v="23"/>
    <x v="2"/>
    <n v="0.81348013591217982"/>
    <n v="0.86318489885770744"/>
    <n v="0.94241701515943543"/>
    <n v="0"/>
    <n v="0"/>
    <n v="61216"/>
    <n v="3525"/>
    <n v="57691"/>
    <n v="49798"/>
    <n v="7893"/>
    <m/>
  </r>
  <r>
    <x v="23"/>
    <x v="3"/>
    <n v="0.76545898501946807"/>
    <n v="0.82370486098782092"/>
    <n v="0.92928792978288133"/>
    <n v="0"/>
    <n v="0"/>
    <n v="60612"/>
    <n v="4286"/>
    <n v="56326"/>
    <n v="46396"/>
    <n v="9930"/>
    <m/>
  </r>
  <r>
    <x v="23"/>
    <x v="4"/>
    <n v="0.77474688850196682"/>
    <n v="0.83032690579860391"/>
    <n v="0.9330624879086864"/>
    <n v="0"/>
    <n v="0"/>
    <n v="62028"/>
    <n v="4152"/>
    <n v="57876"/>
    <n v="48056"/>
    <n v="9820"/>
    <m/>
  </r>
  <r>
    <x v="23"/>
    <x v="5"/>
    <n v="0.77925540779255409"/>
    <n v="0.83770759060534938"/>
    <n v="0.93022364430223647"/>
    <n v="0"/>
    <n v="0"/>
    <n v="60006"/>
    <n v="4187"/>
    <n v="55819"/>
    <n v="46760"/>
    <n v="9059"/>
    <m/>
  </r>
  <r>
    <x v="23"/>
    <x v="6"/>
    <n v="0.79502822652805571"/>
    <n v="0.84980436483784016"/>
    <n v="0.93554264890103633"/>
    <n v="0"/>
    <n v="0"/>
    <n v="61467"/>
    <n v="3962"/>
    <n v="57505"/>
    <n v="48868"/>
    <n v="8637"/>
    <m/>
  </r>
  <r>
    <x v="23"/>
    <x v="7"/>
    <n v="0.81183746991216743"/>
    <n v="0.8539832654224726"/>
    <n v="0.95064798431447561"/>
    <n v="0"/>
    <n v="0"/>
    <n v="62733"/>
    <n v="3096"/>
    <n v="59637"/>
    <n v="50929"/>
    <n v="8708"/>
    <m/>
  </r>
  <r>
    <x v="23"/>
    <x v="8"/>
    <n v="0.8046263228596704"/>
    <n v="0.8439175257731959"/>
    <n v="0.95344189246748146"/>
    <n v="0"/>
    <n v="0"/>
    <n v="61042"/>
    <n v="2842"/>
    <n v="58200"/>
    <n v="49116"/>
    <n v="9084"/>
    <m/>
  </r>
  <r>
    <x v="23"/>
    <x v="9"/>
    <n v="0.82081300813008129"/>
    <n v="0.86131586131586135"/>
    <n v="0.95297560975609752"/>
    <n v="0"/>
    <n v="0"/>
    <n v="61500"/>
    <n v="2892"/>
    <n v="58608"/>
    <n v="50480"/>
    <n v="8128"/>
    <m/>
  </r>
  <r>
    <x v="23"/>
    <x v="10"/>
    <n v="0.84167233287450871"/>
    <n v="0.87289738915070003"/>
    <n v="0.96422826249191529"/>
    <n v="0"/>
    <n v="0"/>
    <n v="60299"/>
    <n v="2157"/>
    <n v="58142"/>
    <n v="50752"/>
    <n v="7390"/>
    <m/>
  </r>
  <r>
    <x v="23"/>
    <x v="11"/>
    <n v="0.80696530508167863"/>
    <n v="0.86103212216956293"/>
    <n v="0.93720696859525887"/>
    <n v="0"/>
    <n v="0"/>
    <n v="60787"/>
    <n v="3817"/>
    <n v="56970"/>
    <n v="49053"/>
    <n v="7917"/>
    <m/>
  </r>
  <r>
    <x v="24"/>
    <x v="0"/>
    <n v="0.85664163688231632"/>
    <n v="0.8964570644248091"/>
    <n v="0.95558579532413024"/>
    <n v="0"/>
    <n v="0"/>
    <n v="60994"/>
    <n v="2709"/>
    <n v="58285"/>
    <n v="52250"/>
    <n v="6035"/>
    <m/>
  </r>
  <r>
    <x v="24"/>
    <x v="1"/>
    <n v="0.84794282116801833"/>
    <n v="0.8878935939196525"/>
    <n v="0.95500499944450612"/>
    <n v="0"/>
    <n v="0"/>
    <n v="54006"/>
    <n v="2430"/>
    <n v="51576"/>
    <n v="45794"/>
    <n v="5782"/>
    <m/>
  </r>
  <r>
    <x v="24"/>
    <x v="2"/>
    <n v="0.78061640224320572"/>
    <n v="0.83965766137347908"/>
    <n v="0.92968412979916604"/>
    <n v="0"/>
    <n v="0"/>
    <n v="62589"/>
    <n v="4401"/>
    <n v="58188"/>
    <n v="48858"/>
    <n v="9330"/>
    <m/>
  </r>
  <r>
    <x v="24"/>
    <x v="3"/>
    <n v="0.74879227053140096"/>
    <n v="0.84439208294062207"/>
    <n v="0.88678267555956736"/>
    <n v="0"/>
    <n v="0"/>
    <n v="59823"/>
    <n v="6773"/>
    <n v="53050"/>
    <n v="44795"/>
    <n v="8255"/>
    <m/>
  </r>
  <r>
    <x v="24"/>
    <x v="4"/>
    <n v="0.79171665786821521"/>
    <n v="0.83939959294436906"/>
    <n v="0.94319399785637725"/>
    <n v="0"/>
    <n v="0"/>
    <n v="62511"/>
    <n v="3551"/>
    <n v="58960"/>
    <n v="49491"/>
    <n v="9469"/>
    <m/>
  </r>
  <r>
    <x v="24"/>
    <x v="5"/>
    <n v="0.78007902535396778"/>
    <n v="0.82600282412007742"/>
    <n v="0.94440237076061906"/>
    <n v="0"/>
    <n v="0"/>
    <n v="60740"/>
    <n v="3377"/>
    <n v="57363"/>
    <n v="47382"/>
    <n v="9981"/>
    <m/>
  </r>
  <r>
    <x v="24"/>
    <x v="6"/>
    <n v="0.81072590066622463"/>
    <n v="0.85594039602640171"/>
    <n v="0.94717564964794287"/>
    <n v="0"/>
    <n v="0"/>
    <n v="63342"/>
    <n v="3346"/>
    <n v="59996"/>
    <n v="51353"/>
    <n v="8643"/>
    <m/>
  </r>
  <r>
    <x v="24"/>
    <x v="7"/>
    <n v="0.82440345022980543"/>
    <n v="0.86649240644542236"/>
    <n v="0.95142605301265504"/>
    <n v="0"/>
    <n v="0"/>
    <n v="63532"/>
    <n v="3086"/>
    <n v="60446"/>
    <n v="52376"/>
    <n v="8070"/>
    <m/>
  </r>
  <r>
    <x v="24"/>
    <x v="8"/>
    <n v="0.81065859977150945"/>
    <n v="0.85699219215132594"/>
    <n v="0.94593463884016926"/>
    <n v="0"/>
    <n v="0"/>
    <n v="62147"/>
    <n v="3360"/>
    <n v="58787"/>
    <n v="50380"/>
    <n v="8407"/>
    <m/>
  </r>
  <r>
    <x v="24"/>
    <x v="9"/>
    <n v="0.81298581807798476"/>
    <n v="0.85650538982201052"/>
    <n v="0.94918937783559121"/>
    <n v="0"/>
    <n v="0"/>
    <n v="63038"/>
    <n v="3203"/>
    <n v="59835"/>
    <n v="51249"/>
    <n v="8586"/>
    <m/>
  </r>
  <r>
    <x v="24"/>
    <x v="10"/>
    <n v="0.80003219315895369"/>
    <n v="0.84982474138668029"/>
    <n v="0.9414084507042253"/>
    <n v="0"/>
    <n v="0"/>
    <n v="62125"/>
    <n v="3640"/>
    <n v="58485"/>
    <n v="49702"/>
    <n v="8783"/>
    <m/>
  </r>
  <r>
    <x v="24"/>
    <x v="11"/>
    <n v="0.78531082461067148"/>
    <n v="0.86292627334093097"/>
    <n v="0.91005552718917537"/>
    <n v="0"/>
    <n v="0"/>
    <n v="62672"/>
    <n v="5637"/>
    <n v="57035"/>
    <n v="49217"/>
    <n v="7818"/>
    <m/>
  </r>
  <r>
    <x v="25"/>
    <x v="0"/>
    <n v="0.83064845344638094"/>
    <n v="0.88336756332548549"/>
    <n v="0.94032030146019785"/>
    <n v="0"/>
    <n v="0"/>
    <n v="63690"/>
    <n v="3801"/>
    <n v="59889"/>
    <n v="52904"/>
    <n v="6985"/>
    <m/>
  </r>
  <r>
    <x v="25"/>
    <x v="1"/>
    <n v="0.8254287149314774"/>
    <n v="0.87739770430538078"/>
    <n v="0.94076917557580542"/>
    <n v="0"/>
    <n v="0"/>
    <n v="55748"/>
    <n v="3302"/>
    <n v="52446"/>
    <n v="46016"/>
    <n v="6430"/>
    <m/>
  </r>
  <r>
    <x v="25"/>
    <x v="2"/>
    <n v="0.75065880668403173"/>
    <n v="0.8085581151145238"/>
    <n v="0.92839190238998304"/>
    <n v="0"/>
    <n v="0"/>
    <n v="65649"/>
    <n v="4701"/>
    <n v="60948"/>
    <n v="49280"/>
    <n v="11668"/>
    <m/>
  </r>
  <r>
    <x v="25"/>
    <x v="3"/>
    <n v="0.73708413941835016"/>
    <n v="0.78813774861386643"/>
    <n v="0.93522247946465387"/>
    <n v="0"/>
    <n v="0"/>
    <n v="63062"/>
    <n v="4085"/>
    <n v="58977"/>
    <n v="46482"/>
    <n v="12495"/>
    <m/>
  </r>
  <r>
    <x v="25"/>
    <x v="4"/>
    <n v="0.72797755520695062"/>
    <n v="0.78995007774776982"/>
    <n v="0.92154881139133582"/>
    <n v="0"/>
    <n v="0"/>
    <n v="66296"/>
    <n v="5201"/>
    <n v="61095"/>
    <n v="48262"/>
    <n v="12833"/>
    <m/>
  </r>
  <r>
    <x v="25"/>
    <x v="5"/>
    <n v="0.74959127606141818"/>
    <n v="0.77035266403381142"/>
    <n v="0.97304950194670581"/>
    <n v="0"/>
    <n v="0"/>
    <n v="59331"/>
    <n v="1599"/>
    <n v="57732"/>
    <n v="44474"/>
    <n v="13258"/>
    <m/>
  </r>
  <r>
    <x v="25"/>
    <x v="6"/>
    <n v="0.82765352138252479"/>
    <n v="0.86534080121511292"/>
    <n v="0.95644804939317818"/>
    <n v="0"/>
    <n v="0"/>
    <n v="66082"/>
    <n v="2878"/>
    <n v="63204"/>
    <n v="54693"/>
    <n v="8511"/>
    <m/>
  </r>
  <r>
    <x v="25"/>
    <x v="7"/>
    <n v="0.84300856643095279"/>
    <n v="0.86716082797650174"/>
    <n v="0.97214788679753028"/>
    <n v="0"/>
    <n v="0"/>
    <n v="66889"/>
    <n v="1863"/>
    <n v="65026"/>
    <n v="56388"/>
    <n v="8638"/>
    <m/>
  </r>
  <r>
    <x v="25"/>
    <x v="8"/>
    <n v="0.82192911423944193"/>
    <n v="0.87737291798264572"/>
    <n v="0.93680702628628376"/>
    <n v="0"/>
    <n v="0"/>
    <n v="64216"/>
    <n v="4058"/>
    <n v="60158"/>
    <n v="52781"/>
    <n v="7377"/>
    <m/>
  </r>
  <r>
    <x v="25"/>
    <x v="9"/>
    <n v="0.83240090110250786"/>
    <n v="0.87896594095592173"/>
    <n v="0.94702293037342045"/>
    <n v="0"/>
    <n v="0"/>
    <n v="67029"/>
    <n v="3551"/>
    <n v="63478"/>
    <n v="55795"/>
    <n v="7683"/>
    <m/>
  </r>
  <r>
    <x v="25"/>
    <x v="10"/>
    <n v="0.77407996540700819"/>
    <n v="0.84362534713456194"/>
    <n v="0.91756366500393804"/>
    <n v="0"/>
    <n v="0"/>
    <n v="64753"/>
    <n v="5338"/>
    <n v="59415"/>
    <n v="50124"/>
    <n v="9291"/>
    <m/>
  </r>
  <r>
    <x v="25"/>
    <x v="11"/>
    <n v="0.76702865807894371"/>
    <n v="0.8364149588281472"/>
    <n v="0.91704320921469817"/>
    <n v="0"/>
    <n v="0"/>
    <n v="65287"/>
    <n v="5416"/>
    <n v="59871"/>
    <n v="50077"/>
    <n v="9794"/>
    <m/>
  </r>
  <r>
    <x v="26"/>
    <x v="0"/>
    <n v="0.83001041620820681"/>
    <n v="0.87056071890195108"/>
    <n v="0.95342047738509161"/>
    <n v="0"/>
    <n v="0"/>
    <n v="68163"/>
    <n v="3175"/>
    <n v="64988"/>
    <n v="56576"/>
    <n v="8412"/>
    <m/>
  </r>
  <r>
    <x v="26"/>
    <x v="1"/>
    <n v="0.82562397610099258"/>
    <n v="0.87043026228897502"/>
    <n v="0.94852397931322474"/>
    <n v="0"/>
    <n v="0"/>
    <n v="62262"/>
    <n v="3205"/>
    <n v="59057"/>
    <n v="51405"/>
    <n v="7652"/>
    <m/>
  </r>
  <r>
    <x v="26"/>
    <x v="2"/>
    <n v="0.77439653393851871"/>
    <n v="0.83690078037904125"/>
    <n v="0.92531462760470395"/>
    <n v="0"/>
    <n v="0"/>
    <n v="67858"/>
    <n v="5068"/>
    <n v="62790"/>
    <n v="52549"/>
    <n v="10241"/>
    <m/>
  </r>
  <r>
    <x v="26"/>
    <x v="3"/>
    <n v="0.79526443503293187"/>
    <n v="0.8540098729465081"/>
    <n v="0.93121222625811995"/>
    <n v="0"/>
    <n v="0"/>
    <n v="66349"/>
    <n v="4564"/>
    <n v="61785"/>
    <n v="52765"/>
    <n v="9020"/>
    <m/>
  </r>
  <r>
    <x v="26"/>
    <x v="4"/>
    <n v="0.72953612300165982"/>
    <n v="0.81946193474527762"/>
    <n v="0.89026236859730357"/>
    <n v="0"/>
    <n v="0"/>
    <n v="68682"/>
    <n v="7537"/>
    <n v="61145"/>
    <n v="50106"/>
    <n v="11039"/>
    <m/>
  </r>
  <r>
    <x v="26"/>
    <x v="5"/>
    <n v="0.75207010334952062"/>
    <n v="0.81852215747391244"/>
    <n v="0.91881459345037975"/>
    <n v="0"/>
    <n v="0"/>
    <n v="64248"/>
    <n v="5216"/>
    <n v="59032"/>
    <n v="48319"/>
    <n v="10713"/>
    <m/>
  </r>
  <r>
    <x v="26"/>
    <x v="6"/>
    <n v="0.78714089883996874"/>
    <n v="0.84579809306598241"/>
    <n v="0.93064870362454488"/>
    <n v="2360"/>
    <n v="6.1609965472457153"/>
    <n v="67843"/>
    <n v="4705"/>
    <n v="63138"/>
    <n v="53402"/>
    <n v="9736"/>
    <m/>
  </r>
  <r>
    <x v="26"/>
    <x v="7"/>
    <n v="0.81781979616819811"/>
    <n v="0.86084891014096754"/>
    <n v="0.95001548649724932"/>
    <n v="2360"/>
    <n v="6.1183785630006833"/>
    <n v="67801"/>
    <n v="3389"/>
    <n v="64412"/>
    <n v="55449"/>
    <n v="8963"/>
    <m/>
  </r>
  <r>
    <x v="26"/>
    <x v="8"/>
    <n v="0.83236142748671227"/>
    <n v="0.87990432158222565"/>
    <n v="0.94596810933940778"/>
    <n v="2360"/>
    <n v="6.1476594105182043"/>
    <n v="65850"/>
    <n v="3558"/>
    <n v="62292"/>
    <n v="54811"/>
    <n v="7481"/>
    <m/>
  </r>
  <r>
    <x v="26"/>
    <x v="9"/>
    <n v="0.82173473425067045"/>
    <n v="0.87204528489674049"/>
    <n v="0.94230741050101841"/>
    <n v="2360"/>
    <n v="6.1577351331176908"/>
    <n v="68241"/>
    <n v="3937"/>
    <n v="64304"/>
    <n v="56076"/>
    <n v="8228"/>
    <m/>
  </r>
  <r>
    <x v="26"/>
    <x v="10"/>
    <n v="0.80238456066557384"/>
    <n v="0.86589456469135395"/>
    <n v="0.92665388302972196"/>
    <n v="2340"/>
    <n v="6.1767101113095135"/>
    <n v="64666"/>
    <n v="4743"/>
    <n v="59923"/>
    <n v="51887"/>
    <n v="8036"/>
    <m/>
  </r>
  <r>
    <x v="26"/>
    <x v="11"/>
    <n v="0.81849216779202727"/>
    <n v="0.87276915147219891"/>
    <n v="0.93781060709052733"/>
    <n v="2383"/>
    <n v="6.1520359512917979"/>
    <n v="66201"/>
    <n v="4117"/>
    <n v="62084"/>
    <n v="54185"/>
    <n v="7899"/>
    <m/>
  </r>
  <r>
    <x v="27"/>
    <x v="0"/>
    <n v="0.87300753196706959"/>
    <n v="0.90332130072950811"/>
    <n v="0.96644187540141302"/>
    <n v="2383"/>
    <n v="6.1716382969082755"/>
    <n v="68508"/>
    <n v="2299"/>
    <n v="66209"/>
    <n v="59808"/>
    <n v="6401"/>
    <m/>
  </r>
  <r>
    <x v="27"/>
    <x v="1"/>
    <n v="0.85458390745666035"/>
    <n v="0.89171612471788009"/>
    <n v="0.958358701573365"/>
    <n v="2383"/>
    <n v="6.1722812003678005"/>
    <n v="62414"/>
    <n v="2599"/>
    <n v="59815"/>
    <n v="53338"/>
    <n v="6477"/>
    <m/>
  </r>
  <r>
    <x v="27"/>
    <x v="2"/>
    <n v="0.74980983451376804"/>
    <n v="0.8791770721845642"/>
    <n v="0.85285417265335794"/>
    <n v="2383"/>
    <n v="6.1396519602013715"/>
    <n v="59159"/>
    <n v="8705"/>
    <n v="50454"/>
    <n v="44358"/>
    <n v="6096"/>
    <m/>
  </r>
  <r>
    <x v="27"/>
    <x v="3"/>
    <n v="0.78375725503584837"/>
    <n v="0.93641647970630226"/>
    <n v="0.83697507681802663"/>
    <n v="2333"/>
    <n v="6.3798439730777075"/>
    <n v="46864"/>
    <n v="7640"/>
    <n v="39224"/>
    <n v="36730"/>
    <n v="2494"/>
    <m/>
  </r>
  <r>
    <x v="27"/>
    <x v="4"/>
    <n v="0.83630924903521242"/>
    <n v="0.94395698297242658"/>
    <n v="0.88596118691951176"/>
    <n v="2325"/>
    <n v="6.5469873491590418"/>
    <n v="54157"/>
    <n v="6176"/>
    <n v="47981"/>
    <n v="45292"/>
    <n v="2689"/>
    <m/>
  </r>
  <r>
    <x v="27"/>
    <x v="5"/>
    <n v="0.85221123686189626"/>
    <n v="0.94849233407508726"/>
    <n v="0.89849037914778873"/>
    <n v="2325"/>
    <n v="6.5095237123083516"/>
    <n v="54517"/>
    <n v="5534"/>
    <n v="48983"/>
    <n v="46460"/>
    <n v="2523"/>
    <m/>
  </r>
  <r>
    <x v="27"/>
    <x v="6"/>
    <n v="0.81645592550994528"/>
    <n v="0.95463017876810985"/>
    <n v="0.85525886743233936"/>
    <n v="2325"/>
    <n v="6.4585274930102514"/>
    <n v="55202"/>
    <n v="7990"/>
    <n v="47212"/>
    <n v="45070"/>
    <n v="2142"/>
    <m/>
  </r>
  <r>
    <x v="27"/>
    <x v="7"/>
    <n v="0.83543743895022027"/>
    <n v="0.95681357649442755"/>
    <n v="0.87314546895445921"/>
    <n v="2325"/>
    <n v="6.4586077338736914"/>
    <n v="54259"/>
    <n v="6883"/>
    <n v="47376"/>
    <n v="45330"/>
    <n v="2046"/>
    <m/>
  </r>
  <r>
    <x v="27"/>
    <x v="8"/>
    <n v="0.83295380912709438"/>
    <n v="0.94190549961270331"/>
    <n v="0.88432842728871608"/>
    <n v="2325"/>
    <n v="6.5079238805032764"/>
    <n v="54015"/>
    <n v="6248"/>
    <n v="47767"/>
    <n v="44992"/>
    <n v="2775"/>
    <m/>
  </r>
  <r>
    <x v="27"/>
    <x v="9"/>
    <n v="0.82625193833804611"/>
    <n v="0.93241240169638073"/>
    <n v="0.88614430356654206"/>
    <n v="2254"/>
    <n v="6.4852801910487088"/>
    <n v="54815"/>
    <n v="6241"/>
    <n v="48574"/>
    <n v="45291"/>
    <n v="3283"/>
    <m/>
  </r>
  <r>
    <x v="27"/>
    <x v="10"/>
    <n v="0.81478171585031944"/>
    <n v="0.92861631812764112"/>
    <n v="0.8774148159415881"/>
    <n v="2254"/>
    <n v="6.4500379239354206"/>
    <n v="52592"/>
    <n v="6447"/>
    <n v="46145"/>
    <n v="42851"/>
    <n v="3294"/>
    <m/>
  </r>
  <r>
    <x v="27"/>
    <x v="11"/>
    <n v="0.78969771164893121"/>
    <n v="0.90342806662213704"/>
    <n v="0.87411243996609855"/>
    <n v="2260"/>
    <n v="6.4013272715520024"/>
    <n v="53095"/>
    <n v="6684"/>
    <n v="46411"/>
    <n v="41929"/>
    <n v="4482"/>
    <m/>
  </r>
  <r>
    <x v="28"/>
    <x v="0"/>
    <n v="0.82943925233644855"/>
    <n v="0.91105362853127481"/>
    <n v="0.91041759382880882"/>
    <n v="1927"/>
    <n v="6.4024074790720409"/>
    <n v="53928"/>
    <n v="4831"/>
    <n v="49097"/>
    <n v="44730"/>
    <n v="4367"/>
    <m/>
  </r>
  <r>
    <x v="28"/>
    <x v="1"/>
    <n v="0.81825679938965301"/>
    <n v="0.89872041671384895"/>
    <n v="0.9104686887848733"/>
    <n v="1927"/>
    <n v="6.4022873966708191"/>
    <n v="48497"/>
    <n v="4342"/>
    <n v="44155"/>
    <n v="39683"/>
    <n v="4472"/>
    <m/>
  </r>
  <r>
    <x v="28"/>
    <x v="2"/>
    <n v="0.82690141356880698"/>
    <n v="0.89073080987982933"/>
    <n v="0.92834041934663325"/>
    <n v="1927"/>
    <n v="6.4116530316671234"/>
    <n v="55038"/>
    <n v="3944"/>
    <n v="51094"/>
    <n v="45511"/>
    <n v="5583"/>
    <m/>
  </r>
  <r>
    <x v="28"/>
    <x v="3"/>
    <n v="0.78864732068640675"/>
    <n v="0.8766760436130675"/>
    <n v="0.89958808208803587"/>
    <n v="1947"/>
    <n v="6.3512248208455677"/>
    <n v="54137"/>
    <n v="5436"/>
    <n v="48701"/>
    <n v="42695"/>
    <n v="6006"/>
    <m/>
  </r>
  <r>
    <x v="28"/>
    <x v="4"/>
    <n v="0.83293138680756273"/>
    <n v="0.90247940478327648"/>
    <n v="0.92293672563927909"/>
    <n v="1947"/>
    <n v="6.2949753655276961"/>
    <n v="54319"/>
    <n v="4186"/>
    <n v="50133"/>
    <n v="45244"/>
    <n v="4889"/>
    <m/>
  </r>
  <r>
    <x v="28"/>
    <x v="5"/>
    <n v="0.81865765702681881"/>
    <n v="0.8972735470749631"/>
    <n v="0.91238358658357255"/>
    <n v="1977"/>
    <n v="6.2379362612482971"/>
    <n v="57124"/>
    <n v="5005"/>
    <n v="52119"/>
    <n v="46765"/>
    <n v="5354"/>
    <m/>
  </r>
  <r>
    <x v="28"/>
    <x v="6"/>
    <n v="0.81371649852236827"/>
    <n v="0.89339325339847464"/>
    <n v="0.91081558476850433"/>
    <n v="2068"/>
    <n v="6.2536035952039084"/>
    <n v="58878"/>
    <n v="5251"/>
    <n v="53627"/>
    <n v="47910"/>
    <n v="5717"/>
    <m/>
  </r>
  <r>
    <x v="28"/>
    <x v="7"/>
    <n v="0.78127831244978552"/>
    <n v="0.85673046281890264"/>
    <n v="0.91193011846356353"/>
    <n v="2068"/>
    <n v="6.2481114214482538"/>
    <n v="58499"/>
    <n v="5152"/>
    <n v="53347"/>
    <n v="45704"/>
    <n v="7643"/>
    <m/>
  </r>
  <r>
    <x v="28"/>
    <x v="8"/>
    <n v="0.8015721813157578"/>
    <n v="0.85411218200771777"/>
    <n v="0.9384858314882516"/>
    <n v="2068"/>
    <n v="6.220468552826496"/>
    <n v="58263"/>
    <n v="3584"/>
    <n v="54679"/>
    <n v="46702"/>
    <n v="7977"/>
    <m/>
  </r>
  <r>
    <x v="28"/>
    <x v="9"/>
    <n v="0.81457264585688205"/>
    <n v="0.85882439221150675"/>
    <n v="0.94847404573515348"/>
    <n v="2068"/>
    <n v="6.2029811888086241"/>
    <n v="57505"/>
    <n v="2963"/>
    <n v="54542"/>
    <n v="46842"/>
    <n v="7700"/>
    <m/>
  </r>
  <r>
    <x v="28"/>
    <x v="10"/>
    <n v="0.83224512878515244"/>
    <n v="0.87378326346281865"/>
    <n v="0.95246174147001872"/>
    <n v="2090"/>
    <n v="6.1989240540491917"/>
    <n v="58353"/>
    <n v="2774"/>
    <n v="55579"/>
    <n v="48564"/>
    <n v="7015"/>
    <m/>
  </r>
  <r>
    <x v="28"/>
    <x v="11"/>
    <n v="0.81722296615913637"/>
    <n v="0.87614540685205866"/>
    <n v="0.93274810296086896"/>
    <n v="2094"/>
    <n v="6.1770440084365754"/>
    <n v="60489"/>
    <n v="4068"/>
    <n v="56421"/>
    <n v="49433"/>
    <n v="6988"/>
    <m/>
  </r>
  <r>
    <x v="29"/>
    <x v="0"/>
    <n v="0.76485886562417171"/>
    <n v="0.87518480609575799"/>
    <n v="0.8739398356745296"/>
    <n v="2135"/>
    <n v="6.0930854088479469"/>
    <n v="60368"/>
    <n v="7610"/>
    <n v="52758"/>
    <n v="46173"/>
    <n v="6585"/>
    <m/>
  </r>
  <r>
    <x v="29"/>
    <x v="1"/>
    <n v="0.84337589062895579"/>
    <n v="0.89105638242992802"/>
    <n v="0.94648992730297665"/>
    <n v="2135"/>
    <n v="6.1350235961711155"/>
    <n v="55298"/>
    <n v="2959"/>
    <n v="52339"/>
    <n v="46637"/>
    <n v="5702"/>
    <m/>
  </r>
  <r>
    <x v="29"/>
    <x v="2"/>
    <n v="0.83800607863214527"/>
    <n v="0.88501347431298172"/>
    <n v="0.9468851073512442"/>
    <n v="2135"/>
    <n v="6.1613312964520501"/>
    <n v="61527"/>
    <n v="3268"/>
    <n v="58259"/>
    <n v="51560"/>
    <n v="6699"/>
    <m/>
  </r>
  <r>
    <x v="29"/>
    <x v="3"/>
    <n v="0.81234371636279334"/>
    <n v="0.85797988631394839"/>
    <n v="0.94680974381903393"/>
    <n v="2135"/>
    <n v="6.1785220813292527"/>
    <n v="60387"/>
    <n v="3212"/>
    <n v="57175"/>
    <n v="49055"/>
    <n v="8120"/>
    <m/>
  </r>
  <r>
    <x v="29"/>
    <x v="4"/>
    <n v="0.77465036643517782"/>
    <n v="0.81711845525436322"/>
    <n v="0.94802701059301697"/>
    <n v="2135"/>
    <n v="6.168500827060055"/>
    <n v="62494"/>
    <n v="3248"/>
    <n v="59246"/>
    <n v="48411"/>
    <n v="10835"/>
    <m/>
  </r>
  <r>
    <x v="29"/>
    <x v="5"/>
    <n v="0.72120944820150934"/>
    <n v="0.77350689395399364"/>
    <n v="0.93238916658499138"/>
    <n v="2135"/>
    <n v="6.1723751292068885"/>
    <n v="61218"/>
    <n v="4139"/>
    <n v="57079"/>
    <n v="44151"/>
    <n v="12928"/>
    <m/>
  </r>
  <r>
    <x v="29"/>
    <x v="6"/>
    <n v="0.73700690762041132"/>
    <n v="0.78536217303822942"/>
    <n v="0.93842934243859455"/>
    <n v="2135"/>
    <n v="6.1852951039570758"/>
    <n v="63553"/>
    <n v="3913"/>
    <n v="59640"/>
    <n v="46839"/>
    <n v="12801"/>
    <m/>
  </r>
  <r>
    <x v="29"/>
    <x v="7"/>
    <n v="0.74917278421595335"/>
    <n v="0.81339081324042972"/>
    <n v="0.92104898656447665"/>
    <n v="2135"/>
    <n v="6.1986398649890555"/>
    <n v="64977"/>
    <n v="5130"/>
    <n v="59847"/>
    <n v="48679"/>
    <n v="11168"/>
    <m/>
  </r>
  <r>
    <x v="29"/>
    <x v="8"/>
    <n v="0.78845849552201019"/>
    <n v="0.82878432546612779"/>
    <n v="0.95134339694294123"/>
    <n v="2135"/>
    <n v="6.1934035227783042"/>
    <n v="63198"/>
    <n v="3075"/>
    <n v="60123"/>
    <n v="49829"/>
    <n v="10294"/>
    <m/>
  </r>
  <r>
    <x v="29"/>
    <x v="9"/>
    <n v="0.73254159023341137"/>
    <n v="0.79646154639707023"/>
    <n v="0.91974508191536464"/>
    <n v="2141"/>
    <n v="6.1738106291157306"/>
    <n v="63236"/>
    <n v="5075"/>
    <n v="58161"/>
    <n v="46323"/>
    <n v="11838"/>
    <m/>
  </r>
  <r>
    <x v="29"/>
    <x v="10"/>
    <n v="0.64326285141520689"/>
    <n v="0.73655541791153534"/>
    <n v="0.87333937918635551"/>
    <n v="2127"/>
    <n v="6.2001384536908839"/>
    <n v="62853"/>
    <n v="7961"/>
    <n v="54892"/>
    <n v="40431"/>
    <n v="14461"/>
    <m/>
  </r>
  <r>
    <x v="29"/>
    <x v="11"/>
    <n v="0.6733897202342225"/>
    <n v="0.76102941176470584"/>
    <n v="0.88484059856864017"/>
    <n v="2127"/>
    <n v="6.1470767575322816"/>
    <n v="63017"/>
    <n v="7257"/>
    <n v="55760"/>
    <n v="42435"/>
    <n v="13325"/>
    <m/>
  </r>
  <r>
    <x v="30"/>
    <x v="0"/>
    <n v="0.75227606683532033"/>
    <n v="0.8145523734540564"/>
    <n v="0.92354536227712725"/>
    <n v="2177"/>
    <n v="6.096365187153495"/>
    <n v="66013"/>
    <n v="5047"/>
    <n v="60966"/>
    <n v="49660"/>
    <n v="11306"/>
    <m/>
  </r>
  <r>
    <x v="30"/>
    <x v="1"/>
    <n v="0.72710105507527589"/>
    <n v="0.79778356492481994"/>
    <n v="0.91140139637220419"/>
    <n v="2177"/>
    <n v="6.0884292964814568"/>
    <n v="57721"/>
    <n v="5114"/>
    <n v="52607"/>
    <n v="41969"/>
    <n v="10638"/>
    <m/>
  </r>
  <r>
    <x v="30"/>
    <x v="2"/>
    <n v="0.69378579786906447"/>
    <n v="0.7630433678221259"/>
    <n v="0.90923508037198986"/>
    <n v="2176"/>
    <n v="6.095321152185325"/>
    <n v="64948"/>
    <n v="5895"/>
    <n v="59053"/>
    <n v="45060"/>
    <n v="13993"/>
    <m/>
  </r>
  <r>
    <x v="30"/>
    <x v="3"/>
    <n v="0.71502089650086043"/>
    <n v="0.77813648200335317"/>
    <n v="0.9188887978365976"/>
    <n v="2176"/>
    <n v="6.0659044697321018"/>
    <n v="61015"/>
    <n v="4949"/>
    <n v="56066"/>
    <n v="43627"/>
    <n v="12439"/>
    <m/>
  </r>
  <r>
    <x v="30"/>
    <x v="4"/>
    <n v="0.70347699484947634"/>
    <n v="0.77450490356607316"/>
    <n v="0.90829249964776049"/>
    <n v="2176"/>
    <n v="6.0736999948292798"/>
    <n v="63877"/>
    <n v="5858"/>
    <n v="58019"/>
    <n v="44936"/>
    <n v="13083"/>
    <m/>
  </r>
  <r>
    <x v="30"/>
    <x v="5"/>
    <n v="0.68978108112494119"/>
    <n v="0.76328406989063879"/>
    <n v="0.90370166014832609"/>
    <n v="2186.4545454545455"/>
    <n v="6.0828020902544582"/>
    <n v="61621"/>
    <n v="5934"/>
    <n v="55687"/>
    <n v="42505"/>
    <n v="13182"/>
    <m/>
  </r>
  <r>
    <x v="30"/>
    <x v="6"/>
    <n v="0.72392981582877058"/>
    <n v="0.7919006295729113"/>
    <n v="0.91416749626679938"/>
    <n v="2212"/>
    <n v="6.0824059894503995"/>
    <n v="64288"/>
    <n v="5518"/>
    <n v="58770"/>
    <n v="46540"/>
    <n v="12230"/>
    <m/>
  </r>
  <r>
    <x v="30"/>
    <x v="7"/>
    <n v="0.71771712907117013"/>
    <n v="0.79412402609319477"/>
    <n v="0.90378468033775639"/>
    <n v="2212"/>
    <n v="6.0978494803049763"/>
    <n v="66320"/>
    <n v="6381"/>
    <n v="59939"/>
    <n v="47599"/>
    <n v="12340"/>
    <m/>
  </r>
  <r>
    <x v="30"/>
    <x v="8"/>
    <n v="0.78282585428655638"/>
    <n v="0.84830148084648616"/>
    <n v="0.92281561680807833"/>
    <n v="2212"/>
    <n v="6.0981291916696083"/>
    <n v="64469"/>
    <n v="4976"/>
    <n v="59493"/>
    <n v="50468"/>
    <n v="9025"/>
    <m/>
  </r>
  <r>
    <x v="30"/>
    <x v="9"/>
    <n v="0.78399987675622385"/>
    <n v="0.8609687188076266"/>
    <n v="0.91060204584668469"/>
    <n v="2212"/>
    <n v="6.0888020436820112"/>
    <n v="64912"/>
    <n v="5803"/>
    <n v="59109"/>
    <n v="50891"/>
    <n v="8218"/>
    <m/>
  </r>
  <r>
    <x v="30"/>
    <x v="10"/>
    <n v="0.78692210552253061"/>
    <n v="0.85767997717239874"/>
    <n v="0.91750084701389101"/>
    <n v="2224"/>
    <n v="6.1073232959027814"/>
    <n v="64934"/>
    <n v="5357"/>
    <n v="59577"/>
    <n v="51098"/>
    <n v="8479"/>
    <m/>
  </r>
  <r>
    <x v="30"/>
    <x v="11"/>
    <n v="0.72451807412370195"/>
    <n v="0.827412315022519"/>
    <n v="0.87564332917136156"/>
    <n v="2282"/>
    <n v="6.0999704383814146"/>
    <n v="65674"/>
    <n v="8167"/>
    <n v="57507"/>
    <n v="47582"/>
    <n v="9925"/>
    <m/>
  </r>
  <r>
    <x v="31"/>
    <x v="0"/>
    <n v="0.80676711201840312"/>
    <n v="0.86608880529887966"/>
    <n v="0.9315062232446184"/>
    <n v="2252"/>
    <n v="6.0949873252105649"/>
    <n v="65641"/>
    <n v="4496"/>
    <n v="61145"/>
    <n v="52957"/>
    <n v="8188"/>
    <m/>
  </r>
  <r>
    <x v="31"/>
    <x v="1"/>
    <n v="0.74593105324920495"/>
    <n v="0.83422093730979918"/>
    <n v="0.89416486674943452"/>
    <n v="2205"/>
    <n v="5.9195640596469872"/>
    <n v="58799"/>
    <n v="6223"/>
    <n v="52576"/>
    <n v="43860"/>
    <n v="8716"/>
    <m/>
  </r>
  <r>
    <x v="31"/>
    <x v="2"/>
    <n v="0.74616788615916396"/>
    <n v="0.79378662130350364"/>
    <n v="0.94001066046421478"/>
    <n v="2242"/>
    <n v="5.9233981133048097"/>
    <n v="61911"/>
    <n v="3714"/>
    <n v="58197"/>
    <n v="46196"/>
    <n v="12001"/>
    <m/>
  </r>
  <r>
    <x v="31"/>
    <x v="3"/>
    <n v="0.70122905772241284"/>
    <n v="0.74821856952465571"/>
    <n v="0.93719814808646706"/>
    <n v="2242"/>
    <n v="5.9543314082629939"/>
    <n v="60046"/>
    <n v="3771"/>
    <n v="56275"/>
    <n v="42106"/>
    <n v="14169"/>
    <m/>
  </r>
  <r>
    <x v="31"/>
    <x v="4"/>
    <n v="0.609893301030483"/>
    <n v="0.67992452271718218"/>
    <n v="0.89700147685976472"/>
    <n v="2236"/>
    <n v="5.9045434364362883"/>
    <n v="60263"/>
    <n v="6207"/>
    <n v="54056"/>
    <n v="36754"/>
    <n v="17302"/>
    <m/>
  </r>
  <r>
    <x v="31"/>
    <x v="5"/>
    <n v="0.69631683854753446"/>
    <n v="0.73612459917544659"/>
    <n v="0.94592252361556461"/>
    <n v="2236"/>
    <n v="5.9186990380210718"/>
    <n v="57695"/>
    <n v="3120"/>
    <n v="54575"/>
    <n v="40174"/>
    <n v="14401"/>
    <m/>
  </r>
  <r>
    <x v="31"/>
    <x v="6"/>
    <n v="0.68060441317556764"/>
    <n v="0.73329772938703786"/>
    <n v="0.92814198912695878"/>
    <n v="2160"/>
    <n v="5.9501085346104814"/>
    <n v="62540"/>
    <n v="4494"/>
    <n v="58046"/>
    <n v="42565"/>
    <n v="15481"/>
    <m/>
  </r>
  <r>
    <x v="31"/>
    <x v="7"/>
    <n v="0.68812273910008248"/>
    <n v="0.72908366533864544"/>
    <n v="0.94381862029574159"/>
    <n v="2161"/>
    <n v="5.9405248205490278"/>
    <n v="63028"/>
    <n v="3541"/>
    <n v="59487"/>
    <n v="43371"/>
    <n v="16116"/>
    <m/>
  </r>
  <r>
    <x v="31"/>
    <x v="8"/>
    <n v="0.80934465820039758"/>
    <n v="0.84553068790333652"/>
    <n v="0.95720317402947308"/>
    <n v="2166"/>
    <n v="5.9543285733900868"/>
    <n v="60869"/>
    <n v="2605"/>
    <n v="58264"/>
    <n v="49264"/>
    <n v="900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TablaDinámica1" cacheId="112"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rowHeaderCaption=" ">
  <location ref="A13:I36" firstHeaderRow="0" firstDataRow="1" firstDataCol="1"/>
  <pivotFields count="18">
    <pivotField axis="axisRow"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x="31"/>
        <item t="default"/>
      </items>
    </pivotField>
    <pivotField axis="axisRow" showAll="0">
      <items count="13">
        <item x="0"/>
        <item x="1"/>
        <item x="2"/>
        <item x="3"/>
        <item x="4"/>
        <item x="5"/>
        <item x="6"/>
        <item x="7"/>
        <item x="8"/>
        <item x="9"/>
        <item x="10"/>
        <item x="11"/>
        <item t="default"/>
      </items>
    </pivotField>
    <pivotField numFmtId="10" showAll="0"/>
    <pivotField numFmtId="10" showAll="0"/>
    <pivotField numFmtId="10" showAll="0"/>
    <pivotField numFmtId="3" showAll="0"/>
    <pivotField numFmtId="167" showAll="0"/>
    <pivotField dataField="1" numFmtId="3" showAll="0"/>
    <pivotField dataField="1" numFmtId="3" showAll="0"/>
    <pivotField dataField="1" numFmtId="3" showAll="0"/>
    <pivotField dataField="1" numFmtId="3" showAll="0"/>
    <pivotField dataField="1" numFmtId="3"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2">
    <field x="0"/>
    <field x="1"/>
  </rowFields>
  <rowItems count="23">
    <i>
      <x v="30"/>
    </i>
    <i r="1">
      <x/>
    </i>
    <i r="1">
      <x v="1"/>
    </i>
    <i r="1">
      <x v="2"/>
    </i>
    <i r="1">
      <x v="3"/>
    </i>
    <i r="1">
      <x v="4"/>
    </i>
    <i r="1">
      <x v="5"/>
    </i>
    <i r="1">
      <x v="6"/>
    </i>
    <i r="1">
      <x v="7"/>
    </i>
    <i r="1">
      <x v="8"/>
    </i>
    <i r="1">
      <x v="9"/>
    </i>
    <i r="1">
      <x v="10"/>
    </i>
    <i r="1">
      <x v="11"/>
    </i>
    <i>
      <x v="31"/>
    </i>
    <i r="1">
      <x/>
    </i>
    <i r="1">
      <x v="1"/>
    </i>
    <i r="1">
      <x v="2"/>
    </i>
    <i r="1">
      <x v="3"/>
    </i>
    <i r="1">
      <x v="4"/>
    </i>
    <i r="1">
      <x v="5"/>
    </i>
    <i r="1">
      <x v="6"/>
    </i>
    <i r="1">
      <x v="7"/>
    </i>
    <i r="1">
      <x v="8"/>
    </i>
  </rowItems>
  <colFields count="1">
    <field x="-2"/>
  </colFields>
  <colItems count="8">
    <i>
      <x/>
    </i>
    <i i="1">
      <x v="1"/>
    </i>
    <i i="2">
      <x v="2"/>
    </i>
    <i i="3">
      <x v="3"/>
    </i>
    <i i="4">
      <x v="4"/>
    </i>
    <i i="5">
      <x v="5"/>
    </i>
    <i i="6">
      <x v="6"/>
    </i>
    <i i="7">
      <x v="7"/>
    </i>
  </colItems>
  <dataFields count="8">
    <dataField name="CNRT - PAS-AMBA-01  CNRT - Trenes Programados " fld="7" baseField="15" baseItem="4" numFmtId="3"/>
    <dataField name="CNRT - PAS-AMBA-02  CNRT - Trenes Cancelados " fld="8" baseField="15" baseItem="5" numFmtId="3"/>
    <dataField name="CNRT - PAS-AMBA-03  CNRT - Trenes Corridos " fld="9" baseField="15" baseItem="5" numFmtId="3"/>
    <dataField name="CNRT - PAS-AMBA-04  CNRT - Trenes Puntuales " fld="10" baseField="15" baseItem="12" numFmtId="3"/>
    <dataField name="CNRT - PAS-AMBA-05  CNRT - Trenes Atrasados " fld="11" baseField="15" baseItem="8" numFmtId="3"/>
    <dataField name="CNRT - PAS-AMBA-27  CNRT - Regularidad Absoluta  " fld="13" baseField="2" baseItem="3" numFmtId="10"/>
    <dataField name="CNRT - PAS-AMBA-28  CNRT - Regularidad Relativa  " fld="14" baseField="2" baseItem="3" numFmtId="10"/>
    <dataField name="CNRT - PAS-AMBA-29  CNRT - Cumplimiento de Programa  " fld="15" baseField="2" baseItem="6" numFmtId="10"/>
  </dataFields>
  <formats count="66">
    <format dxfId="1144">
      <pivotArea type="all" dataOnly="0" outline="0" fieldPosition="0"/>
    </format>
    <format dxfId="1143">
      <pivotArea outline="0" collapsedLevelsAreSubtotals="1" fieldPosition="0"/>
    </format>
    <format dxfId="1142">
      <pivotArea dataOnly="0" labelOnly="1" grandRow="1" outline="0" fieldPosition="0"/>
    </format>
    <format dxfId="1141">
      <pivotArea dataOnly="0" labelOnly="1" outline="0" fieldPosition="0">
        <references count="1">
          <reference field="4294967294" count="5">
            <x v="0"/>
            <x v="1"/>
            <x v="2"/>
            <x v="3"/>
            <x v="4"/>
          </reference>
        </references>
      </pivotArea>
    </format>
    <format dxfId="1140">
      <pivotArea type="all" dataOnly="0" outline="0" fieldPosition="0"/>
    </format>
    <format dxfId="1139">
      <pivotArea outline="0" collapsedLevelsAreSubtotals="1" fieldPosition="0"/>
    </format>
    <format dxfId="1138">
      <pivotArea dataOnly="0" labelOnly="1" grandRow="1" outline="0" fieldPosition="0"/>
    </format>
    <format dxfId="1137">
      <pivotArea dataOnly="0" labelOnly="1" outline="0" fieldPosition="0">
        <references count="1">
          <reference field="4294967294" count="5">
            <x v="0"/>
            <x v="1"/>
            <x v="2"/>
            <x v="3"/>
            <x v="4"/>
          </reference>
        </references>
      </pivotArea>
    </format>
    <format dxfId="1136">
      <pivotArea type="all" dataOnly="0" outline="0" fieldPosition="0"/>
    </format>
    <format dxfId="1135">
      <pivotArea outline="0" collapsedLevelsAreSubtotals="1" fieldPosition="0"/>
    </format>
    <format dxfId="1134">
      <pivotArea dataOnly="0" labelOnly="1" grandRow="1" outline="0" fieldPosition="0"/>
    </format>
    <format dxfId="1133">
      <pivotArea dataOnly="0" labelOnly="1" outline="0" fieldPosition="0">
        <references count="1">
          <reference field="4294967294" count="5">
            <x v="0"/>
            <x v="1"/>
            <x v="2"/>
            <x v="3"/>
            <x v="4"/>
          </reference>
        </references>
      </pivotArea>
    </format>
    <format dxfId="1132">
      <pivotArea outline="0" fieldPosition="0">
        <references count="1">
          <reference field="4294967294" count="1">
            <x v="0"/>
          </reference>
        </references>
      </pivotArea>
    </format>
    <format dxfId="1131">
      <pivotArea outline="0" fieldPosition="0">
        <references count="1">
          <reference field="4294967294" count="1">
            <x v="1"/>
          </reference>
        </references>
      </pivotArea>
    </format>
    <format dxfId="1130">
      <pivotArea outline="0" fieldPosition="0">
        <references count="1">
          <reference field="4294967294" count="1">
            <x v="2"/>
          </reference>
        </references>
      </pivotArea>
    </format>
    <format dxfId="1129">
      <pivotArea outline="0" fieldPosition="0">
        <references count="1">
          <reference field="4294967294" count="1">
            <x v="4"/>
          </reference>
        </references>
      </pivotArea>
    </format>
    <format dxfId="1128">
      <pivotArea outline="0" fieldPosition="0">
        <references count="1">
          <reference field="4294967294" count="1">
            <x v="3"/>
          </reference>
        </references>
      </pivotArea>
    </format>
    <format dxfId="1127">
      <pivotArea type="all" dataOnly="0" outline="0" fieldPosition="0"/>
    </format>
    <format dxfId="1126">
      <pivotArea outline="0" collapsedLevelsAreSubtotals="1" fieldPosition="0"/>
    </format>
    <format dxfId="1125">
      <pivotArea dataOnly="0" labelOnly="1" grandRow="1" outline="0" fieldPosition="0"/>
    </format>
    <format dxfId="1124">
      <pivotArea dataOnly="0" labelOnly="1" outline="0" fieldPosition="0">
        <references count="1">
          <reference field="4294967294" count="5">
            <x v="0"/>
            <x v="1"/>
            <x v="2"/>
            <x v="3"/>
            <x v="4"/>
          </reference>
        </references>
      </pivotArea>
    </format>
    <format dxfId="1123">
      <pivotArea dataOnly="0" labelOnly="1" outline="0" fieldPosition="0">
        <references count="1">
          <reference field="4294967294" count="5">
            <x v="0"/>
            <x v="1"/>
            <x v="2"/>
            <x v="3"/>
            <x v="4"/>
          </reference>
        </references>
      </pivotArea>
    </format>
    <format dxfId="1122">
      <pivotArea dataOnly="0" labelOnly="1" outline="0" fieldPosition="0">
        <references count="1">
          <reference field="4294967294" count="5">
            <x v="0"/>
            <x v="1"/>
            <x v="2"/>
            <x v="3"/>
            <x v="4"/>
          </reference>
        </references>
      </pivotArea>
    </format>
    <format dxfId="1121">
      <pivotArea dataOnly="0" labelOnly="1" outline="0" fieldPosition="0">
        <references count="1">
          <reference field="4294967294" count="5">
            <x v="0"/>
            <x v="1"/>
            <x v="2"/>
            <x v="3"/>
            <x v="4"/>
          </reference>
        </references>
      </pivotArea>
    </format>
    <format dxfId="1120">
      <pivotArea outline="0" fieldPosition="0">
        <references count="1">
          <reference field="4294967294" count="1">
            <x v="5"/>
          </reference>
        </references>
      </pivotArea>
    </format>
    <format dxfId="1119">
      <pivotArea outline="0" fieldPosition="0">
        <references count="1">
          <reference field="4294967294" count="1">
            <x v="6"/>
          </reference>
        </references>
      </pivotArea>
    </format>
    <format dxfId="1118">
      <pivotArea outline="0" fieldPosition="0">
        <references count="1">
          <reference field="4294967294" count="1">
            <x v="7"/>
          </reference>
        </references>
      </pivotArea>
    </format>
    <format dxfId="1117">
      <pivotArea dataOnly="0" labelOnly="1" outline="0" fieldPosition="0">
        <references count="1">
          <reference field="4294967294" count="3">
            <x v="5"/>
            <x v="6"/>
            <x v="7"/>
          </reference>
        </references>
      </pivotArea>
    </format>
    <format dxfId="1116">
      <pivotArea type="all" dataOnly="0" outline="0" fieldPosition="0"/>
    </format>
    <format dxfId="1115">
      <pivotArea outline="0" collapsedLevelsAreSubtotals="1" fieldPosition="0"/>
    </format>
    <format dxfId="1114">
      <pivotArea field="0" type="button" dataOnly="0" labelOnly="1" outline="0" axis="axisRow" fieldPosition="0"/>
    </format>
    <format dxfId="1113">
      <pivotArea dataOnly="0" labelOnly="1" fieldPosition="0">
        <references count="1">
          <reference field="0" count="0"/>
        </references>
      </pivotArea>
    </format>
    <format dxfId="1112">
      <pivotArea dataOnly="0" labelOnly="1" fieldPosition="0">
        <references count="2">
          <reference field="0" count="1" selected="0">
            <x v="12"/>
          </reference>
          <reference field="1" count="0"/>
        </references>
      </pivotArea>
    </format>
    <format dxfId="1111">
      <pivotArea dataOnly="0" labelOnly="1" fieldPosition="0">
        <references count="2">
          <reference field="0" count="1" selected="0">
            <x v="13"/>
          </reference>
          <reference field="1" count="0"/>
        </references>
      </pivotArea>
    </format>
    <format dxfId="1110">
      <pivotArea dataOnly="0" labelOnly="1" fieldPosition="0">
        <references count="2">
          <reference field="0" count="1" selected="0">
            <x v="14"/>
          </reference>
          <reference field="1" count="0"/>
        </references>
      </pivotArea>
    </format>
    <format dxfId="1109">
      <pivotArea dataOnly="0" labelOnly="1" fieldPosition="0">
        <references count="2">
          <reference field="0" count="1" selected="0">
            <x v="15"/>
          </reference>
          <reference field="1" count="0"/>
        </references>
      </pivotArea>
    </format>
    <format dxfId="1108">
      <pivotArea dataOnly="0" labelOnly="1" fieldPosition="0">
        <references count="2">
          <reference field="0" count="1" selected="0">
            <x v="16"/>
          </reference>
          <reference field="1" count="0"/>
        </references>
      </pivotArea>
    </format>
    <format dxfId="1107">
      <pivotArea dataOnly="0" labelOnly="1" fieldPosition="0">
        <references count="2">
          <reference field="0" count="1" selected="0">
            <x v="17"/>
          </reference>
          <reference field="1" count="0"/>
        </references>
      </pivotArea>
    </format>
    <format dxfId="1106">
      <pivotArea dataOnly="0" labelOnly="1" fieldPosition="0">
        <references count="2">
          <reference field="0" count="1" selected="0">
            <x v="18"/>
          </reference>
          <reference field="1" count="0"/>
        </references>
      </pivotArea>
    </format>
    <format dxfId="1105">
      <pivotArea dataOnly="0" labelOnly="1" fieldPosition="0">
        <references count="2">
          <reference field="0" count="1" selected="0">
            <x v="19"/>
          </reference>
          <reference field="1" count="0"/>
        </references>
      </pivotArea>
    </format>
    <format dxfId="1104">
      <pivotArea dataOnly="0" labelOnly="1" fieldPosition="0">
        <references count="2">
          <reference field="0" count="1" selected="0">
            <x v="20"/>
          </reference>
          <reference field="1" count="0"/>
        </references>
      </pivotArea>
    </format>
    <format dxfId="1103">
      <pivotArea dataOnly="0" labelOnly="1" fieldPosition="0">
        <references count="2">
          <reference field="0" count="1" selected="0">
            <x v="21"/>
          </reference>
          <reference field="1" count="0"/>
        </references>
      </pivotArea>
    </format>
    <format dxfId="1102">
      <pivotArea dataOnly="0" labelOnly="1" fieldPosition="0">
        <references count="2">
          <reference field="0" count="1" selected="0">
            <x v="22"/>
          </reference>
          <reference field="1" count="0"/>
        </references>
      </pivotArea>
    </format>
    <format dxfId="1101">
      <pivotArea dataOnly="0" labelOnly="1" fieldPosition="0">
        <references count="2">
          <reference field="0" count="1" selected="0">
            <x v="23"/>
          </reference>
          <reference field="1" count="0"/>
        </references>
      </pivotArea>
    </format>
    <format dxfId="1100">
      <pivotArea dataOnly="0" labelOnly="1" fieldPosition="0">
        <references count="2">
          <reference field="0" count="1" selected="0">
            <x v="24"/>
          </reference>
          <reference field="1" count="0"/>
        </references>
      </pivotArea>
    </format>
    <format dxfId="1099">
      <pivotArea dataOnly="0" labelOnly="1" fieldPosition="0">
        <references count="2">
          <reference field="0" count="1" selected="0">
            <x v="25"/>
          </reference>
          <reference field="1" count="0"/>
        </references>
      </pivotArea>
    </format>
    <format dxfId="1098">
      <pivotArea dataOnly="0" labelOnly="1" fieldPosition="0">
        <references count="2">
          <reference field="0" count="1" selected="0">
            <x v="26"/>
          </reference>
          <reference field="1" count="0"/>
        </references>
      </pivotArea>
    </format>
    <format dxfId="1097">
      <pivotArea dataOnly="0" labelOnly="1" fieldPosition="0">
        <references count="2">
          <reference field="0" count="1" selected="0">
            <x v="27"/>
          </reference>
          <reference field="1" count="0"/>
        </references>
      </pivotArea>
    </format>
    <format dxfId="1096">
      <pivotArea dataOnly="0" labelOnly="1" fieldPosition="0">
        <references count="2">
          <reference field="0" count="1" selected="0">
            <x v="28"/>
          </reference>
          <reference field="1" count="0"/>
        </references>
      </pivotArea>
    </format>
    <format dxfId="1095">
      <pivotArea dataOnly="0" labelOnly="1" fieldPosition="0">
        <references count="2">
          <reference field="0" count="1" selected="0">
            <x v="29"/>
          </reference>
          <reference field="1" count="0"/>
        </references>
      </pivotArea>
    </format>
    <format dxfId="1094">
      <pivotArea dataOnly="0" labelOnly="1" fieldPosition="0">
        <references count="2">
          <reference field="0" count="1" selected="0">
            <x v="30"/>
          </reference>
          <reference field="1" count="2">
            <x v="0"/>
            <x v="1"/>
          </reference>
        </references>
      </pivotArea>
    </format>
    <format dxfId="1093">
      <pivotArea dataOnly="0" labelOnly="1" outline="0" fieldPosition="0">
        <references count="1">
          <reference field="4294967294" count="8">
            <x v="0"/>
            <x v="1"/>
            <x v="2"/>
            <x v="3"/>
            <x v="4"/>
            <x v="5"/>
            <x v="6"/>
            <x v="7"/>
          </reference>
        </references>
      </pivotArea>
    </format>
    <format dxfId="1092">
      <pivotArea type="all" dataOnly="0" outline="0" fieldPosition="0"/>
    </format>
    <format dxfId="1091">
      <pivotArea outline="0" collapsedLevelsAreSubtotals="1" fieldPosition="0"/>
    </format>
    <format dxfId="1090">
      <pivotArea field="0" type="button" dataOnly="0" labelOnly="1" outline="0" axis="axisRow" fieldPosition="0"/>
    </format>
    <format dxfId="1089">
      <pivotArea dataOnly="0" labelOnly="1" fieldPosition="0">
        <references count="1">
          <reference field="0" count="0"/>
        </references>
      </pivotArea>
    </format>
    <format dxfId="1088">
      <pivotArea dataOnly="0" labelOnly="1" fieldPosition="0">
        <references count="2">
          <reference field="0" count="1" selected="0">
            <x v="30"/>
          </reference>
          <reference field="1" count="0"/>
        </references>
      </pivotArea>
    </format>
    <format dxfId="1087">
      <pivotArea dataOnly="0" labelOnly="1" fieldPosition="0">
        <references count="2">
          <reference field="0" count="1" selected="0">
            <x v="31"/>
          </reference>
          <reference field="1" count="8">
            <x v="0"/>
            <x v="1"/>
            <x v="2"/>
            <x v="3"/>
            <x v="4"/>
            <x v="5"/>
            <x v="6"/>
            <x v="7"/>
          </reference>
        </references>
      </pivotArea>
    </format>
    <format dxfId="1086">
      <pivotArea dataOnly="0" labelOnly="1" outline="0" fieldPosition="0">
        <references count="1">
          <reference field="4294967294" count="8">
            <x v="0"/>
            <x v="1"/>
            <x v="2"/>
            <x v="3"/>
            <x v="4"/>
            <x v="5"/>
            <x v="6"/>
            <x v="7"/>
          </reference>
        </references>
      </pivotArea>
    </format>
    <format dxfId="1085">
      <pivotArea type="all" dataOnly="0" outline="0" fieldPosition="0"/>
    </format>
    <format dxfId="1084">
      <pivotArea outline="0" collapsedLevelsAreSubtotals="1" fieldPosition="0"/>
    </format>
    <format dxfId="1083">
      <pivotArea field="0" type="button" dataOnly="0" labelOnly="1" outline="0" axis="axisRow" fieldPosition="0"/>
    </format>
    <format dxfId="1082">
      <pivotArea dataOnly="0" labelOnly="1" fieldPosition="0">
        <references count="1">
          <reference field="0" count="0"/>
        </references>
      </pivotArea>
    </format>
    <format dxfId="1081">
      <pivotArea dataOnly="0" labelOnly="1" fieldPosition="0">
        <references count="2">
          <reference field="0" count="1" selected="0">
            <x v="30"/>
          </reference>
          <reference field="1" count="0"/>
        </references>
      </pivotArea>
    </format>
    <format dxfId="1080">
      <pivotArea dataOnly="0" labelOnly="1" fieldPosition="0">
        <references count="2">
          <reference field="0" count="1" selected="0">
            <x v="31"/>
          </reference>
          <reference field="1" count="8">
            <x v="0"/>
            <x v="1"/>
            <x v="2"/>
            <x v="3"/>
            <x v="4"/>
            <x v="5"/>
            <x v="6"/>
            <x v="7"/>
          </reference>
        </references>
      </pivotArea>
    </format>
    <format dxfId="1079">
      <pivotArea dataOnly="0" labelOnly="1" outline="0" fieldPosition="0">
        <references count="1">
          <reference field="4294967294" count="8">
            <x v="0"/>
            <x v="1"/>
            <x v="2"/>
            <x v="3"/>
            <x v="4"/>
            <x v="5"/>
            <x v="6"/>
            <x v="7"/>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Dinámica7" cacheId="111" applyNumberFormats="0" applyBorderFormats="0" applyFontFormats="0" applyPatternFormats="0" applyAlignmentFormats="0" applyWidthHeightFormats="1" dataCaption="Valores" showMissing="0" updatedVersion="6" minRefreshableVersion="3" rowGrandTotals="0" colGrandTotals="0" itemPrintTitles="1" createdVersion="6" indent="0" outline="1" outlineData="1" multipleFieldFilters="0">
  <location ref="A395:F406" firstHeaderRow="0" firstDataRow="1" firstDataCol="1"/>
  <pivotFields count="13">
    <pivotField axis="axisRow" showAll="0">
      <items count="12">
        <item x="1"/>
        <item x="2"/>
        <item x="3"/>
        <item x="4"/>
        <item x="5"/>
        <item x="6"/>
        <item x="7"/>
        <item x="8"/>
        <item x="9"/>
        <item x="0"/>
        <item x="10"/>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s>
  <rowFields count="1">
    <field x="0"/>
  </rowFields>
  <rowItems count="11">
    <i>
      <x/>
    </i>
    <i>
      <x v="1"/>
    </i>
    <i>
      <x v="2"/>
    </i>
    <i>
      <x v="3"/>
    </i>
    <i>
      <x v="4"/>
    </i>
    <i>
      <x v="5"/>
    </i>
    <i>
      <x v="6"/>
    </i>
    <i>
      <x v="7"/>
    </i>
    <i>
      <x v="8"/>
    </i>
    <i>
      <x v="9"/>
    </i>
    <i>
      <x v="10"/>
    </i>
  </rowItems>
  <colFields count="1">
    <field x="-2"/>
  </colFields>
  <colItems count="5">
    <i>
      <x/>
    </i>
    <i i="1">
      <x v="1"/>
    </i>
    <i i="2">
      <x v="2"/>
    </i>
    <i i="3">
      <x v="3"/>
    </i>
    <i i="4">
      <x v="4"/>
    </i>
  </colItems>
  <dataFields count="5">
    <dataField name="Trenes Programados " fld="7" baseField="0" baseItem="1" numFmtId="3"/>
    <dataField name="Trenes Cancelados " fld="8" baseField="0" baseItem="2" numFmtId="3"/>
    <dataField name="Trenes Corridos " fld="9" baseField="0" baseItem="2" numFmtId="3"/>
    <dataField name="Trenes Puntuales " fld="10" baseField="0" baseItem="3" numFmtId="3"/>
    <dataField name="Trenes Atrasados " fld="11" baseField="0" baseItem="2" numFmtId="3"/>
  </dataFields>
  <formats count="18">
    <format dxfId="47">
      <pivotArea type="all" dataOnly="0" outline="0" fieldPosition="0"/>
    </format>
    <format dxfId="46">
      <pivotArea outline="0" collapsedLevelsAreSubtotals="1" fieldPosition="0"/>
    </format>
    <format dxfId="45">
      <pivotArea field="0" type="button" dataOnly="0" labelOnly="1" outline="0" axis="axisRow" fieldPosition="0"/>
    </format>
    <format dxfId="44">
      <pivotArea dataOnly="0" labelOnly="1" fieldPosition="0">
        <references count="1">
          <reference field="0" count="0"/>
        </references>
      </pivotArea>
    </format>
    <format dxfId="43">
      <pivotArea dataOnly="0" labelOnly="1" grandRow="1" outline="0" fieldPosition="0"/>
    </format>
    <format dxfId="42">
      <pivotArea dataOnly="0" labelOnly="1" outline="0" fieldPosition="0">
        <references count="1">
          <reference field="4294967294" count="5">
            <x v="0"/>
            <x v="1"/>
            <x v="2"/>
            <x v="3"/>
            <x v="4"/>
          </reference>
        </references>
      </pivotArea>
    </format>
    <format dxfId="41">
      <pivotArea type="all" dataOnly="0" outline="0" fieldPosition="0"/>
    </format>
    <format dxfId="40">
      <pivotArea outline="0" collapsedLevelsAreSubtotals="1" fieldPosition="0"/>
    </format>
    <format dxfId="39">
      <pivotArea field="0" type="button" dataOnly="0" labelOnly="1" outline="0" axis="axisRow" fieldPosition="0"/>
    </format>
    <format dxfId="38">
      <pivotArea dataOnly="0" labelOnly="1" fieldPosition="0">
        <references count="1">
          <reference field="0" count="0"/>
        </references>
      </pivotArea>
    </format>
    <format dxfId="37">
      <pivotArea dataOnly="0" labelOnly="1" grandRow="1" outline="0" fieldPosition="0"/>
    </format>
    <format dxfId="36">
      <pivotArea dataOnly="0" labelOnly="1" outline="0" fieldPosition="0">
        <references count="1">
          <reference field="4294967294" count="5">
            <x v="0"/>
            <x v="1"/>
            <x v="2"/>
            <x v="3"/>
            <x v="4"/>
          </reference>
        </references>
      </pivotArea>
    </format>
    <format dxfId="35">
      <pivotArea field="0" type="button" dataOnly="0" labelOnly="1" outline="0" axis="axisRow" fieldPosition="0"/>
    </format>
    <format dxfId="34">
      <pivotArea dataOnly="0" labelOnly="1" outline="0" fieldPosition="0">
        <references count="1">
          <reference field="4294967294" count="5">
            <x v="0"/>
            <x v="1"/>
            <x v="2"/>
            <x v="3"/>
            <x v="4"/>
          </reference>
        </references>
      </pivotArea>
    </format>
    <format dxfId="33">
      <pivotArea field="0" type="button" dataOnly="0" labelOnly="1" outline="0" axis="axisRow" fieldPosition="0"/>
    </format>
    <format dxfId="32">
      <pivotArea dataOnly="0" labelOnly="1" outline="0" fieldPosition="0">
        <references count="1">
          <reference field="4294967294" count="5">
            <x v="0"/>
            <x v="1"/>
            <x v="2"/>
            <x v="3"/>
            <x v="4"/>
          </reference>
        </references>
      </pivotArea>
    </format>
    <format dxfId="31">
      <pivotArea field="0" type="button" dataOnly="0" labelOnly="1" outline="0" axis="axisRow" fieldPosition="0"/>
    </format>
    <format dxfId="30">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 cacheId="112"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rowHeaderCaption="Año ">
  <location ref="A401:H433" firstHeaderRow="0" firstDataRow="1" firstDataCol="1"/>
  <pivotFields count="18">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numFmtId="10" showAll="0"/>
    <pivotField numFmtId="10" showAll="0"/>
    <pivotField numFmtId="10" showAll="0"/>
    <pivotField numFmtId="3" showAll="0"/>
    <pivotField numFmtId="167" showAll="0"/>
    <pivotField dataField="1" numFmtId="3" showAll="0"/>
    <pivotField dataField="1" numFmtId="3" showAll="0"/>
    <pivotField dataField="1" numFmtId="3" showAll="0"/>
    <pivotField dataField="1" numFmtId="3" showAll="0"/>
    <pivotField dataField="1" numFmtId="3"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7">
    <i>
      <x/>
    </i>
    <i i="1">
      <x v="1"/>
    </i>
    <i i="2">
      <x v="2"/>
    </i>
    <i i="3">
      <x v="3"/>
    </i>
    <i i="4">
      <x v="4"/>
    </i>
    <i i="5">
      <x v="5"/>
    </i>
    <i i="6">
      <x v="6"/>
    </i>
  </colItems>
  <dataFields count="7">
    <dataField name="Trenes Programados " fld="7" baseField="0" baseItem="1" numFmtId="3"/>
    <dataField name="Trenes Cancelados " fld="8" baseField="0" baseItem="1" numFmtId="3"/>
    <dataField name="Trenes Corridos " fld="9" baseField="0" baseItem="2" numFmtId="3"/>
    <dataField name="Trenes Puntuales " fld="10" baseField="0" baseItem="2" numFmtId="3"/>
    <dataField name="Trenes Atrasados " fld="11" baseField="0" baseItem="2" numFmtId="3"/>
    <dataField name="Regularidad Absoluta  " fld="16" subtotal="average" baseField="0" baseItem="11" numFmtId="10"/>
    <dataField name="Cumplimiento de Programa   " fld="17" subtotal="average" baseField="0" baseItem="13" numFmtId="10"/>
  </dataFields>
  <formats count="28">
    <format dxfId="1078">
      <pivotArea dataOnly="0" outline="0" fieldPosition="0">
        <references count="1">
          <reference field="4294967294" count="5">
            <x v="0"/>
            <x v="1"/>
            <x v="2"/>
            <x v="3"/>
            <x v="4"/>
          </reference>
        </references>
      </pivotArea>
    </format>
    <format dxfId="1077">
      <pivotArea dataOnly="0" outline="0" fieldPosition="0">
        <references count="1">
          <reference field="4294967294" count="5">
            <x v="0"/>
            <x v="1"/>
            <x v="2"/>
            <x v="3"/>
            <x v="4"/>
          </reference>
        </references>
      </pivotArea>
    </format>
    <format dxfId="1076">
      <pivotArea dataOnly="0" outline="0" fieldPosition="0">
        <references count="1">
          <reference field="4294967294" count="5">
            <x v="0"/>
            <x v="1"/>
            <x v="2"/>
            <x v="3"/>
            <x v="4"/>
          </reference>
        </references>
      </pivotArea>
    </format>
    <format dxfId="1075">
      <pivotArea dataOnly="0" outline="0" fieldPosition="0">
        <references count="1">
          <reference field="4294967294" count="5">
            <x v="0"/>
            <x v="1"/>
            <x v="2"/>
            <x v="3"/>
            <x v="4"/>
          </reference>
        </references>
      </pivotArea>
    </format>
    <format dxfId="1074">
      <pivotArea type="all" dataOnly="0" outline="0" fieldPosition="0"/>
    </format>
    <format dxfId="1073">
      <pivotArea outline="0" collapsedLevelsAreSubtotals="1" fieldPosition="0"/>
    </format>
    <format dxfId="1072">
      <pivotArea field="0" type="button" dataOnly="0" labelOnly="1" outline="0" axis="axisRow" fieldPosition="0"/>
    </format>
    <format dxfId="1071">
      <pivotArea dataOnly="0" labelOnly="1" fieldPosition="0">
        <references count="1">
          <reference field="0" count="0"/>
        </references>
      </pivotArea>
    </format>
    <format dxfId="1070">
      <pivotArea dataOnly="0" labelOnly="1" grandRow="1" outline="0" fieldPosition="0"/>
    </format>
    <format dxfId="1069">
      <pivotArea dataOnly="0" labelOnly="1" outline="0" fieldPosition="0">
        <references count="1">
          <reference field="4294967294" count="5">
            <x v="0"/>
            <x v="1"/>
            <x v="2"/>
            <x v="3"/>
            <x v="4"/>
          </reference>
        </references>
      </pivotArea>
    </format>
    <format dxfId="1068">
      <pivotArea type="all" dataOnly="0" outline="0" fieldPosition="0"/>
    </format>
    <format dxfId="1067">
      <pivotArea outline="0" collapsedLevelsAreSubtotals="1" fieldPosition="0"/>
    </format>
    <format dxfId="1066">
      <pivotArea field="0" type="button" dataOnly="0" labelOnly="1" outline="0" axis="axisRow" fieldPosition="0"/>
    </format>
    <format dxfId="1065">
      <pivotArea dataOnly="0" labelOnly="1" fieldPosition="0">
        <references count="1">
          <reference field="0" count="0"/>
        </references>
      </pivotArea>
    </format>
    <format dxfId="1064">
      <pivotArea dataOnly="0" labelOnly="1" grandRow="1" outline="0" fieldPosition="0"/>
    </format>
    <format dxfId="1063">
      <pivotArea dataOnly="0" labelOnly="1" outline="0" fieldPosition="0">
        <references count="1">
          <reference field="4294967294" count="5">
            <x v="0"/>
            <x v="1"/>
            <x v="2"/>
            <x v="3"/>
            <x v="4"/>
          </reference>
        </references>
      </pivotArea>
    </format>
    <format dxfId="1062">
      <pivotArea field="0" type="button" dataOnly="0" labelOnly="1" outline="0" axis="axisRow" fieldPosition="0"/>
    </format>
    <format dxfId="1061">
      <pivotArea dataOnly="0" labelOnly="1" outline="0" fieldPosition="0">
        <references count="1">
          <reference field="4294967294" count="5">
            <x v="0"/>
            <x v="1"/>
            <x v="2"/>
            <x v="3"/>
            <x v="4"/>
          </reference>
        </references>
      </pivotArea>
    </format>
    <format dxfId="1060">
      <pivotArea field="0" type="button" dataOnly="0" labelOnly="1" outline="0" axis="axisRow" fieldPosition="0"/>
    </format>
    <format dxfId="1059">
      <pivotArea dataOnly="0" labelOnly="1" outline="0" fieldPosition="0">
        <references count="1">
          <reference field="4294967294" count="5">
            <x v="0"/>
            <x v="1"/>
            <x v="2"/>
            <x v="3"/>
            <x v="4"/>
          </reference>
        </references>
      </pivotArea>
    </format>
    <format dxfId="1058">
      <pivotArea field="0" type="button" dataOnly="0" labelOnly="1" outline="0" axis="axisRow" fieldPosition="0"/>
    </format>
    <format dxfId="1057">
      <pivotArea dataOnly="0" labelOnly="1" outline="0" fieldPosition="0">
        <references count="1">
          <reference field="4294967294" count="5">
            <x v="0"/>
            <x v="1"/>
            <x v="2"/>
            <x v="3"/>
            <x v="4"/>
          </reference>
        </references>
      </pivotArea>
    </format>
    <format dxfId="1056">
      <pivotArea outline="0" fieldPosition="0">
        <references count="1">
          <reference field="4294967294" count="1">
            <x v="5"/>
          </reference>
        </references>
      </pivotArea>
    </format>
    <format dxfId="1055">
      <pivotArea dataOnly="0" labelOnly="1" outline="0" fieldPosition="0">
        <references count="1">
          <reference field="4294967294" count="1">
            <x v="5"/>
          </reference>
        </references>
      </pivotArea>
    </format>
    <format dxfId="1054">
      <pivotArea outline="0" fieldPosition="0">
        <references count="1">
          <reference field="4294967294" count="1">
            <x v="6"/>
          </reference>
        </references>
      </pivotArea>
    </format>
    <format dxfId="1053">
      <pivotArea outline="0" fieldPosition="0">
        <references count="1">
          <reference field="4294967294" count="1">
            <x v="5"/>
          </reference>
        </references>
      </pivotArea>
    </format>
    <format dxfId="1052">
      <pivotArea dataOnly="0" labelOnly="1" outline="0" fieldPosition="0">
        <references count="1">
          <reference field="4294967294" count="1">
            <x v="6"/>
          </reference>
        </references>
      </pivotArea>
    </format>
    <format dxfId="1051">
      <pivotArea dataOnly="0" labelOnly="1" outline="0" fieldPosition="0">
        <references count="1">
          <reference field="4294967294" count="1">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1" cacheId="104"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5:G427" firstHeaderRow="0" firstDataRow="1" firstDataCol="1"/>
  <pivotFields count="14">
    <pivotField axis="axisRow"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 showAll="0" defaultSubtotal="0"/>
    <pivotField numFmtId="10" showAll="0" defaultSubtotal="0"/>
    <pivotField numFmtId="10" showAll="0" defaultSubtotal="0"/>
    <pivotField numFmtId="10" showAll="0" defaultSubtotal="0"/>
    <pivotField numFmtId="3" showAll="0" defaultSubtotal="0"/>
    <pivotField numFmtId="167"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showAll="0" defaultSubtotal="0"/>
    <pivotField dataField="1" dragToRow="0" dragToCol="0" dragToPage="0" showAll="0" defaultSubtota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6">
    <i>
      <x/>
    </i>
    <i i="1">
      <x v="1"/>
    </i>
    <i i="2">
      <x v="2"/>
    </i>
    <i i="3">
      <x v="3"/>
    </i>
    <i i="4">
      <x v="4"/>
    </i>
    <i i="5">
      <x v="5"/>
    </i>
  </colItems>
  <dataFields count="6">
    <dataField name="Trenes Programados " fld="7" baseField="0" baseItem="3" numFmtId="3"/>
    <dataField name="Trenes Cancelados " fld="8" baseField="0" baseItem="4" numFmtId="3"/>
    <dataField name="Trenes Corridos " fld="9" baseField="0" baseItem="5" numFmtId="3"/>
    <dataField name="Trenes Puntuales " fld="10" baseField="0" baseItem="2" numFmtId="3"/>
    <dataField name="Trenes Atrasados " fld="11" baseField="0" baseItem="1" numFmtId="3"/>
    <dataField name="Regularidad Absoluta " fld="13" baseField="0" baseItem="1" numFmtId="10"/>
  </dataFields>
  <formats count="19">
    <format dxfId="1020">
      <pivotArea field="0" type="button" dataOnly="0" labelOnly="1" outline="0" axis="axisRow" fieldPosition="0"/>
    </format>
    <format dxfId="1019">
      <pivotArea dataOnly="0" labelOnly="1" outline="0" fieldPosition="0">
        <references count="1">
          <reference field="4294967294" count="5">
            <x v="0"/>
            <x v="1"/>
            <x v="2"/>
            <x v="3"/>
            <x v="4"/>
          </reference>
        </references>
      </pivotArea>
    </format>
    <format dxfId="1018">
      <pivotArea field="0" type="button" dataOnly="0" labelOnly="1" outline="0" axis="axisRow" fieldPosition="0"/>
    </format>
    <format dxfId="1017">
      <pivotArea dataOnly="0" labelOnly="1" outline="0" fieldPosition="0">
        <references count="1">
          <reference field="4294967294" count="5">
            <x v="0"/>
            <x v="1"/>
            <x v="2"/>
            <x v="3"/>
            <x v="4"/>
          </reference>
        </references>
      </pivotArea>
    </format>
    <format dxfId="1016">
      <pivotArea field="0" type="button" dataOnly="0" labelOnly="1" outline="0" axis="axisRow" fieldPosition="0"/>
    </format>
    <format dxfId="1015">
      <pivotArea dataOnly="0" labelOnly="1" outline="0" fieldPosition="0">
        <references count="1">
          <reference field="4294967294" count="5">
            <x v="0"/>
            <x v="1"/>
            <x v="2"/>
            <x v="3"/>
            <x v="4"/>
          </reference>
        </references>
      </pivotArea>
    </format>
    <format dxfId="1014">
      <pivotArea dataOnly="0" outline="0" fieldPosition="0">
        <references count="1">
          <reference field="4294967294" count="5">
            <x v="0"/>
            <x v="1"/>
            <x v="2"/>
            <x v="3"/>
            <x v="4"/>
          </reference>
        </references>
      </pivotArea>
    </format>
    <format dxfId="1013">
      <pivotArea dataOnly="0" outline="0" fieldPosition="0">
        <references count="1">
          <reference field="4294967294" count="5">
            <x v="0"/>
            <x v="1"/>
            <x v="2"/>
            <x v="3"/>
            <x v="4"/>
          </reference>
        </references>
      </pivotArea>
    </format>
    <format dxfId="1012">
      <pivotArea field="0" type="button" dataOnly="0" labelOnly="1" outline="0" axis="axisRow" fieldPosition="0"/>
    </format>
    <format dxfId="1011">
      <pivotArea dataOnly="0" labelOnly="1" fieldPosition="0">
        <references count="1">
          <reference field="0" count="0"/>
        </references>
      </pivotArea>
    </format>
    <format dxfId="1010">
      <pivotArea dataOnly="0" labelOnly="1" grandRow="1" outline="0" fieldPosition="0"/>
    </format>
    <format dxfId="1009">
      <pivotArea field="0" type="button" dataOnly="0" labelOnly="1" outline="0" axis="axisRow" fieldPosition="0"/>
    </format>
    <format dxfId="1008">
      <pivotArea dataOnly="0" labelOnly="1" fieldPosition="0">
        <references count="1">
          <reference field="0" count="0"/>
        </references>
      </pivotArea>
    </format>
    <format dxfId="1007">
      <pivotArea dataOnly="0" labelOnly="1" grandRow="1" outline="0" fieldPosition="0"/>
    </format>
    <format dxfId="1006">
      <pivotArea outline="0" fieldPosition="0">
        <references count="1">
          <reference field="4294967294" count="1">
            <x v="5"/>
          </reference>
        </references>
      </pivotArea>
    </format>
    <format dxfId="1005">
      <pivotArea outline="0" collapsedLevelsAreSubtotals="1" fieldPosition="0">
        <references count="1">
          <reference field="4294967294" count="1" selected="0">
            <x v="5"/>
          </reference>
        </references>
      </pivotArea>
    </format>
    <format dxfId="1004">
      <pivotArea dataOnly="0" labelOnly="1" outline="0" fieldPosition="0">
        <references count="1">
          <reference field="4294967294" count="1">
            <x v="5"/>
          </reference>
        </references>
      </pivotArea>
    </format>
    <format dxfId="1003">
      <pivotArea outline="0" collapsedLevelsAreSubtotals="1" fieldPosition="0">
        <references count="1">
          <reference field="4294967294" count="1" selected="0">
            <x v="5"/>
          </reference>
        </references>
      </pivotArea>
    </format>
    <format dxfId="1002">
      <pivotArea dataOnly="0" labelOnly="1" outline="0" fieldPosition="0">
        <references count="1">
          <reference field="4294967294" count="1">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 cacheId="105"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5:F42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numFmtId="10" showAll="0"/>
    <pivotField numFmtId="10" showAll="0"/>
    <pivotField numFmtId="10" showAll="0"/>
    <pivotField numFmtId="3" showAll="0"/>
    <pivotField numFmtId="167" showAll="0"/>
    <pivotField dataField="1" numFmtId="3" showAll="0"/>
    <pivotField dataField="1" numFmtId="3" showAll="0"/>
    <pivotField dataField="1" numFmtId="3" showAll="0"/>
    <pivotField dataField="1" numFmtId="3" showAll="0"/>
    <pivotField dataField="1" numFmtId="3"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3" numFmtId="3"/>
    <dataField name="Trenes Cancelados " fld="8" baseField="0" baseItem="2" numFmtId="3"/>
    <dataField name="Trenes Corridos " fld="9" baseField="0" baseItem="2" numFmtId="3"/>
    <dataField name="Trenes Puntuales " fld="10" baseField="0" baseItem="3" numFmtId="3"/>
    <dataField name="Trenes Atrasados " fld="11" baseField="0" baseItem="2" numFmtId="3"/>
  </dataFields>
  <formats count="18">
    <format dxfId="838">
      <pivotArea type="all" dataOnly="0" outline="0" fieldPosition="0"/>
    </format>
    <format dxfId="837">
      <pivotArea outline="0" collapsedLevelsAreSubtotals="1" fieldPosition="0"/>
    </format>
    <format dxfId="836">
      <pivotArea field="0" type="button" dataOnly="0" labelOnly="1" outline="0" axis="axisRow" fieldPosition="0"/>
    </format>
    <format dxfId="835">
      <pivotArea dataOnly="0" labelOnly="1" fieldPosition="0">
        <references count="1">
          <reference field="0" count="0"/>
        </references>
      </pivotArea>
    </format>
    <format dxfId="834">
      <pivotArea dataOnly="0" labelOnly="1" grandRow="1" outline="0" fieldPosition="0"/>
    </format>
    <format dxfId="833">
      <pivotArea dataOnly="0" labelOnly="1" outline="0" fieldPosition="0">
        <references count="1">
          <reference field="4294967294" count="5">
            <x v="0"/>
            <x v="1"/>
            <x v="2"/>
            <x v="3"/>
            <x v="4"/>
          </reference>
        </references>
      </pivotArea>
    </format>
    <format dxfId="832">
      <pivotArea type="all" dataOnly="0" outline="0" fieldPosition="0"/>
    </format>
    <format dxfId="831">
      <pivotArea outline="0" collapsedLevelsAreSubtotals="1" fieldPosition="0"/>
    </format>
    <format dxfId="830">
      <pivotArea field="0" type="button" dataOnly="0" labelOnly="1" outline="0" axis="axisRow" fieldPosition="0"/>
    </format>
    <format dxfId="829">
      <pivotArea dataOnly="0" labelOnly="1" fieldPosition="0">
        <references count="1">
          <reference field="0" count="0"/>
        </references>
      </pivotArea>
    </format>
    <format dxfId="828">
      <pivotArea dataOnly="0" labelOnly="1" grandRow="1" outline="0" fieldPosition="0"/>
    </format>
    <format dxfId="827">
      <pivotArea dataOnly="0" labelOnly="1" outline="0" fieldPosition="0">
        <references count="1">
          <reference field="4294967294" count="5">
            <x v="0"/>
            <x v="1"/>
            <x v="2"/>
            <x v="3"/>
            <x v="4"/>
          </reference>
        </references>
      </pivotArea>
    </format>
    <format dxfId="826">
      <pivotArea field="0" type="button" dataOnly="0" labelOnly="1" outline="0" axis="axisRow" fieldPosition="0"/>
    </format>
    <format dxfId="825">
      <pivotArea dataOnly="0" labelOnly="1" outline="0" fieldPosition="0">
        <references count="1">
          <reference field="4294967294" count="5">
            <x v="0"/>
            <x v="1"/>
            <x v="2"/>
            <x v="3"/>
            <x v="4"/>
          </reference>
        </references>
      </pivotArea>
    </format>
    <format dxfId="824">
      <pivotArea field="0" type="button" dataOnly="0" labelOnly="1" outline="0" axis="axisRow" fieldPosition="0"/>
    </format>
    <format dxfId="823">
      <pivotArea dataOnly="0" labelOnly="1" outline="0" fieldPosition="0">
        <references count="1">
          <reference field="4294967294" count="5">
            <x v="0"/>
            <x v="1"/>
            <x v="2"/>
            <x v="3"/>
            <x v="4"/>
          </reference>
        </references>
      </pivotArea>
    </format>
    <format dxfId="822">
      <pivotArea field="0" type="button" dataOnly="0" labelOnly="1" outline="0" axis="axisRow" fieldPosition="0"/>
    </format>
    <format dxfId="821">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2" cacheId="106"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5:F42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numFmtId="10" showAll="0"/>
    <pivotField numFmtId="10" showAll="0"/>
    <pivotField numFmtId="10" showAll="0"/>
    <pivotField showAll="0"/>
    <pivotField showAll="0"/>
    <pivotField dataField="1" numFmtId="3" showAll="0"/>
    <pivotField dataField="1" numFmtId="3" showAll="0"/>
    <pivotField dataField="1" numFmtId="3" showAll="0"/>
    <pivotField dataField="1" numFmtId="3" showAll="0"/>
    <pivotField dataField="1" numFmtId="3"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2" numFmtId="3"/>
    <dataField name="Trenes Cancelados " fld="8" baseField="0" baseItem="2" numFmtId="3"/>
    <dataField name="Trenes Corridos " fld="9" baseField="0" baseItem="2" numFmtId="3"/>
    <dataField name="Trenes Puntuales " fld="10" baseField="0" baseItem="4" numFmtId="3"/>
    <dataField name="Trenes Atrasados " fld="11" baseField="0" baseItem="3" numFmtId="3"/>
  </dataFields>
  <formats count="18">
    <format dxfId="705">
      <pivotArea field="0" type="button" dataOnly="0" labelOnly="1" outline="0" axis="axisRow" fieldPosition="0"/>
    </format>
    <format dxfId="704">
      <pivotArea dataOnly="0" labelOnly="1" outline="0" fieldPosition="0">
        <references count="1">
          <reference field="4294967294" count="5">
            <x v="0"/>
            <x v="1"/>
            <x v="2"/>
            <x v="3"/>
            <x v="4"/>
          </reference>
        </references>
      </pivotArea>
    </format>
    <format dxfId="703">
      <pivotArea field="0" type="button" dataOnly="0" labelOnly="1" outline="0" axis="axisRow" fieldPosition="0"/>
    </format>
    <format dxfId="702">
      <pivotArea dataOnly="0" labelOnly="1" outline="0" fieldPosition="0">
        <references count="1">
          <reference field="4294967294" count="5">
            <x v="0"/>
            <x v="1"/>
            <x v="2"/>
            <x v="3"/>
            <x v="4"/>
          </reference>
        </references>
      </pivotArea>
    </format>
    <format dxfId="701">
      <pivotArea field="0" type="button" dataOnly="0" labelOnly="1" outline="0" axis="axisRow" fieldPosition="0"/>
    </format>
    <format dxfId="700">
      <pivotArea dataOnly="0" labelOnly="1" outline="0" fieldPosition="0">
        <references count="1">
          <reference field="4294967294" count="5">
            <x v="0"/>
            <x v="1"/>
            <x v="2"/>
            <x v="3"/>
            <x v="4"/>
          </reference>
        </references>
      </pivotArea>
    </format>
    <format dxfId="699">
      <pivotArea type="all" dataOnly="0" outline="0" fieldPosition="0"/>
    </format>
    <format dxfId="698">
      <pivotArea outline="0" collapsedLevelsAreSubtotals="1" fieldPosition="0"/>
    </format>
    <format dxfId="697">
      <pivotArea field="0" type="button" dataOnly="0" labelOnly="1" outline="0" axis="axisRow" fieldPosition="0"/>
    </format>
    <format dxfId="696">
      <pivotArea dataOnly="0" labelOnly="1" fieldPosition="0">
        <references count="1">
          <reference field="0" count="0"/>
        </references>
      </pivotArea>
    </format>
    <format dxfId="695">
      <pivotArea dataOnly="0" labelOnly="1" grandRow="1" outline="0" fieldPosition="0"/>
    </format>
    <format dxfId="694">
      <pivotArea dataOnly="0" labelOnly="1" outline="0" fieldPosition="0">
        <references count="1">
          <reference field="4294967294" count="5">
            <x v="0"/>
            <x v="1"/>
            <x v="2"/>
            <x v="3"/>
            <x v="4"/>
          </reference>
        </references>
      </pivotArea>
    </format>
    <format dxfId="693">
      <pivotArea type="all" dataOnly="0" outline="0" fieldPosition="0"/>
    </format>
    <format dxfId="692">
      <pivotArea outline="0" collapsedLevelsAreSubtotals="1" fieldPosition="0"/>
    </format>
    <format dxfId="691">
      <pivotArea field="0" type="button" dataOnly="0" labelOnly="1" outline="0" axis="axisRow" fieldPosition="0"/>
    </format>
    <format dxfId="690">
      <pivotArea dataOnly="0" labelOnly="1" fieldPosition="0">
        <references count="1">
          <reference field="0" count="0"/>
        </references>
      </pivotArea>
    </format>
    <format dxfId="689">
      <pivotArea dataOnly="0" labelOnly="1" grandRow="1" outline="0" fieldPosition="0"/>
    </format>
    <format dxfId="688">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3" cacheId="107"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5:F42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numFmtId="10" showAll="0"/>
    <pivotField numFmtId="10" showAll="0"/>
    <pivotField numFmtId="10" showAll="0"/>
    <pivotField numFmtId="3" showAll="0"/>
    <pivotField numFmtId="167" showAll="0"/>
    <pivotField dataField="1" numFmtId="3" showAll="0"/>
    <pivotField dataField="1" numFmtId="3" showAll="0"/>
    <pivotField dataField="1" numFmtId="3" showAll="0"/>
    <pivotField dataField="1" numFmtId="3" showAll="0"/>
    <pivotField dataField="1" numFmtId="3"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0" numFmtId="3"/>
    <dataField name="Trenes Cancelados " fld="8" baseField="0" baseItem="7" numFmtId="3"/>
    <dataField name="Trenes Corridos " fld="9" baseField="0" baseItem="7" numFmtId="3"/>
    <dataField name="Trenes Puntuales " fld="10" baseField="0" baseItem="5" numFmtId="3"/>
    <dataField name="Trenes Atrasados " fld="11" baseField="0" baseItem="6" numFmtId="3"/>
  </dataFields>
  <formats count="18">
    <format dxfId="658">
      <pivotArea type="all" dataOnly="0" outline="0" fieldPosition="0"/>
    </format>
    <format dxfId="657">
      <pivotArea outline="0" collapsedLevelsAreSubtotals="1" fieldPosition="0"/>
    </format>
    <format dxfId="656">
      <pivotArea field="0" type="button" dataOnly="0" labelOnly="1" outline="0" axis="axisRow" fieldPosition="0"/>
    </format>
    <format dxfId="655">
      <pivotArea dataOnly="0" labelOnly="1" fieldPosition="0">
        <references count="1">
          <reference field="0" count="0"/>
        </references>
      </pivotArea>
    </format>
    <format dxfId="654">
      <pivotArea dataOnly="0" labelOnly="1" grandRow="1" outline="0" fieldPosition="0"/>
    </format>
    <format dxfId="653">
      <pivotArea dataOnly="0" labelOnly="1" outline="0" fieldPosition="0">
        <references count="1">
          <reference field="4294967294" count="5">
            <x v="0"/>
            <x v="1"/>
            <x v="2"/>
            <x v="3"/>
            <x v="4"/>
          </reference>
        </references>
      </pivotArea>
    </format>
    <format dxfId="652">
      <pivotArea type="all" dataOnly="0" outline="0" fieldPosition="0"/>
    </format>
    <format dxfId="651">
      <pivotArea outline="0" collapsedLevelsAreSubtotals="1" fieldPosition="0"/>
    </format>
    <format dxfId="650">
      <pivotArea field="0" type="button" dataOnly="0" labelOnly="1" outline="0" axis="axisRow" fieldPosition="0"/>
    </format>
    <format dxfId="649">
      <pivotArea dataOnly="0" labelOnly="1" fieldPosition="0">
        <references count="1">
          <reference field="0" count="0"/>
        </references>
      </pivotArea>
    </format>
    <format dxfId="648">
      <pivotArea dataOnly="0" labelOnly="1" grandRow="1" outline="0" fieldPosition="0"/>
    </format>
    <format dxfId="647">
      <pivotArea dataOnly="0" labelOnly="1" outline="0" fieldPosition="0">
        <references count="1">
          <reference field="4294967294" count="5">
            <x v="0"/>
            <x v="1"/>
            <x v="2"/>
            <x v="3"/>
            <x v="4"/>
          </reference>
        </references>
      </pivotArea>
    </format>
    <format dxfId="646">
      <pivotArea field="0" type="button" dataOnly="0" labelOnly="1" outline="0" axis="axisRow" fieldPosition="0"/>
    </format>
    <format dxfId="645">
      <pivotArea dataOnly="0" labelOnly="1" outline="0" fieldPosition="0">
        <references count="1">
          <reference field="4294967294" count="5">
            <x v="0"/>
            <x v="1"/>
            <x v="2"/>
            <x v="3"/>
            <x v="4"/>
          </reference>
        </references>
      </pivotArea>
    </format>
    <format dxfId="644">
      <pivotArea field="0" type="button" dataOnly="0" labelOnly="1" outline="0" axis="axisRow" fieldPosition="0"/>
    </format>
    <format dxfId="643">
      <pivotArea dataOnly="0" labelOnly="1" outline="0" fieldPosition="0">
        <references count="1">
          <reference field="4294967294" count="5">
            <x v="0"/>
            <x v="1"/>
            <x v="2"/>
            <x v="3"/>
            <x v="4"/>
          </reference>
        </references>
      </pivotArea>
    </format>
    <format dxfId="642">
      <pivotArea field="0" type="button" dataOnly="0" labelOnly="1" outline="0" axis="axisRow" fieldPosition="0"/>
    </format>
    <format dxfId="641">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4" cacheId="108"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5:F42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numFmtId="10" showAll="0"/>
    <pivotField numFmtId="10" showAll="0"/>
    <pivotField numFmtId="10" showAll="0"/>
    <pivotField showAll="0"/>
    <pivotField showAll="0"/>
    <pivotField dataField="1" numFmtId="3" showAll="0"/>
    <pivotField dataField="1" numFmtId="3" showAll="0"/>
    <pivotField dataField="1" numFmtId="3" showAll="0"/>
    <pivotField dataField="1" numFmtId="3" showAll="0"/>
    <pivotField dataField="1" numFmtId="3"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0"/>
    <dataField name="Trenes Cancelados " fld="8" baseField="0" baseItem="0"/>
    <dataField name="Trenes Corridos " fld="9" baseField="0" baseItem="0"/>
    <dataField name="Trenes Puntuales " fld="10" baseField="0" baseItem="0"/>
    <dataField name="Trenes Atrasados " fld="11" baseField="0" baseItem="0"/>
  </dataFields>
  <formats count="36">
    <format dxfId="389">
      <pivotArea type="all" dataOnly="0" outline="0" fieldPosition="0"/>
    </format>
    <format dxfId="388">
      <pivotArea outline="0" collapsedLevelsAreSubtotals="1" fieldPosition="0"/>
    </format>
    <format dxfId="387">
      <pivotArea field="0" type="button" dataOnly="0" labelOnly="1" outline="0" axis="axisRow" fieldPosition="0"/>
    </format>
    <format dxfId="386">
      <pivotArea dataOnly="0" labelOnly="1" fieldPosition="0">
        <references count="1">
          <reference field="0" count="0"/>
        </references>
      </pivotArea>
    </format>
    <format dxfId="385">
      <pivotArea dataOnly="0" labelOnly="1" grandRow="1" outline="0" fieldPosition="0"/>
    </format>
    <format dxfId="384">
      <pivotArea dataOnly="0" labelOnly="1" outline="0" fieldPosition="0">
        <references count="1">
          <reference field="4294967294" count="5">
            <x v="0"/>
            <x v="1"/>
            <x v="2"/>
            <x v="3"/>
            <x v="4"/>
          </reference>
        </references>
      </pivotArea>
    </format>
    <format dxfId="383">
      <pivotArea type="all" dataOnly="0" outline="0" fieldPosition="0"/>
    </format>
    <format dxfId="382">
      <pivotArea outline="0" collapsedLevelsAreSubtotals="1" fieldPosition="0"/>
    </format>
    <format dxfId="381">
      <pivotArea field="0" type="button" dataOnly="0" labelOnly="1" outline="0" axis="axisRow" fieldPosition="0"/>
    </format>
    <format dxfId="380">
      <pivotArea dataOnly="0" labelOnly="1" fieldPosition="0">
        <references count="1">
          <reference field="0" count="0"/>
        </references>
      </pivotArea>
    </format>
    <format dxfId="379">
      <pivotArea dataOnly="0" labelOnly="1" grandRow="1" outline="0" fieldPosition="0"/>
    </format>
    <format dxfId="378">
      <pivotArea dataOnly="0" labelOnly="1" outline="0" fieldPosition="0">
        <references count="1">
          <reference field="4294967294" count="5">
            <x v="0"/>
            <x v="1"/>
            <x v="2"/>
            <x v="3"/>
            <x v="4"/>
          </reference>
        </references>
      </pivotArea>
    </format>
    <format dxfId="377">
      <pivotArea type="all" dataOnly="0" outline="0" fieldPosition="0"/>
    </format>
    <format dxfId="376">
      <pivotArea outline="0" collapsedLevelsAreSubtotals="1" fieldPosition="0"/>
    </format>
    <format dxfId="375">
      <pivotArea field="0" type="button" dataOnly="0" labelOnly="1" outline="0" axis="axisRow" fieldPosition="0"/>
    </format>
    <format dxfId="374">
      <pivotArea dataOnly="0" labelOnly="1" fieldPosition="0">
        <references count="1">
          <reference field="0" count="0"/>
        </references>
      </pivotArea>
    </format>
    <format dxfId="373">
      <pivotArea dataOnly="0" labelOnly="1" grandRow="1" outline="0" fieldPosition="0"/>
    </format>
    <format dxfId="372">
      <pivotArea dataOnly="0" labelOnly="1" outline="0" fieldPosition="0">
        <references count="1">
          <reference field="4294967294" count="5">
            <x v="0"/>
            <x v="1"/>
            <x v="2"/>
            <x v="3"/>
            <x v="4"/>
          </reference>
        </references>
      </pivotArea>
    </format>
    <format dxfId="371">
      <pivotArea type="all" dataOnly="0" outline="0" fieldPosition="0"/>
    </format>
    <format dxfId="370">
      <pivotArea outline="0" collapsedLevelsAreSubtotals="1" fieldPosition="0"/>
    </format>
    <format dxfId="369">
      <pivotArea field="0" type="button" dataOnly="0" labelOnly="1" outline="0" axis="axisRow" fieldPosition="0"/>
    </format>
    <format dxfId="368">
      <pivotArea dataOnly="0" labelOnly="1" fieldPosition="0">
        <references count="1">
          <reference field="0" count="0"/>
        </references>
      </pivotArea>
    </format>
    <format dxfId="367">
      <pivotArea dataOnly="0" labelOnly="1" grandRow="1" outline="0" fieldPosition="0"/>
    </format>
    <format dxfId="366">
      <pivotArea dataOnly="0" labelOnly="1" outline="0" fieldPosition="0">
        <references count="1">
          <reference field="4294967294" count="5">
            <x v="0"/>
            <x v="1"/>
            <x v="2"/>
            <x v="3"/>
            <x v="4"/>
          </reference>
        </references>
      </pivotArea>
    </format>
    <format dxfId="365">
      <pivotArea type="all" dataOnly="0" outline="0" fieldPosition="0"/>
    </format>
    <format dxfId="364">
      <pivotArea outline="0" collapsedLevelsAreSubtotals="1" fieldPosition="0"/>
    </format>
    <format dxfId="363">
      <pivotArea field="0" type="button" dataOnly="0" labelOnly="1" outline="0" axis="axisRow" fieldPosition="0"/>
    </format>
    <format dxfId="362">
      <pivotArea dataOnly="0" labelOnly="1" fieldPosition="0">
        <references count="1">
          <reference field="0" count="0"/>
        </references>
      </pivotArea>
    </format>
    <format dxfId="361">
      <pivotArea dataOnly="0" labelOnly="1" grandRow="1" outline="0" fieldPosition="0"/>
    </format>
    <format dxfId="360">
      <pivotArea dataOnly="0" labelOnly="1" outline="0" fieldPosition="0">
        <references count="1">
          <reference field="4294967294" count="5">
            <x v="0"/>
            <x v="1"/>
            <x v="2"/>
            <x v="3"/>
            <x v="4"/>
          </reference>
        </references>
      </pivotArea>
    </format>
    <format dxfId="359">
      <pivotArea field="0" type="button" dataOnly="0" labelOnly="1" outline="0" axis="axisRow" fieldPosition="0"/>
    </format>
    <format dxfId="358">
      <pivotArea dataOnly="0" labelOnly="1" outline="0" fieldPosition="0">
        <references count="1">
          <reference field="4294967294" count="5">
            <x v="0"/>
            <x v="1"/>
            <x v="2"/>
            <x v="3"/>
            <x v="4"/>
          </reference>
        </references>
      </pivotArea>
    </format>
    <format dxfId="357">
      <pivotArea field="0" type="button" dataOnly="0" labelOnly="1" outline="0" axis="axisRow" fieldPosition="0"/>
    </format>
    <format dxfId="356">
      <pivotArea dataOnly="0" labelOnly="1" outline="0" fieldPosition="0">
        <references count="1">
          <reference field="4294967294" count="5">
            <x v="0"/>
            <x v="1"/>
            <x v="2"/>
            <x v="3"/>
            <x v="4"/>
          </reference>
        </references>
      </pivotArea>
    </format>
    <format dxfId="355">
      <pivotArea field="0" type="button" dataOnly="0" labelOnly="1" outline="0" axis="axisRow" fieldPosition="0"/>
    </format>
    <format dxfId="354">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Dinámica5" cacheId="109"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5:F42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showAll="0"/>
    <pivotField showAll="0"/>
    <pivotField showAll="0"/>
    <pivotField showAll="0"/>
    <pivotField showAll="0"/>
    <pivotField dataField="1" showAll="0"/>
    <pivotField dataField="1" showAll="0"/>
    <pivotField dataField="1" numFmtId="3" showAll="0"/>
    <pivotField dataField="1" showAll="0"/>
    <pivotField dataField="1"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1" numFmtId="3"/>
    <dataField name="Trenes Cancelados " fld="8" baseField="0" baseItem="5" numFmtId="3"/>
    <dataField name="Trenes Corridos " fld="9" baseField="0" baseItem="7" numFmtId="3"/>
    <dataField name="Trenes Puntuales " fld="10" baseField="0" baseItem="7" numFmtId="3"/>
    <dataField name="Trenes Atrasados " fld="11" baseField="0" baseItem="9" numFmtId="3"/>
  </dataFields>
  <formats count="18">
    <format dxfId="323">
      <pivotArea type="all" dataOnly="0" outline="0" fieldPosition="0"/>
    </format>
    <format dxfId="322">
      <pivotArea outline="0" collapsedLevelsAreSubtotals="1" fieldPosition="0"/>
    </format>
    <format dxfId="321">
      <pivotArea field="0" type="button" dataOnly="0" labelOnly="1" outline="0" axis="axisRow" fieldPosition="0"/>
    </format>
    <format dxfId="320">
      <pivotArea dataOnly="0" labelOnly="1" fieldPosition="0">
        <references count="1">
          <reference field="0" count="0"/>
        </references>
      </pivotArea>
    </format>
    <format dxfId="319">
      <pivotArea dataOnly="0" labelOnly="1" grandRow="1" outline="0" fieldPosition="0"/>
    </format>
    <format dxfId="318">
      <pivotArea dataOnly="0" labelOnly="1" outline="0" fieldPosition="0">
        <references count="1">
          <reference field="4294967294" count="5">
            <x v="0"/>
            <x v="1"/>
            <x v="2"/>
            <x v="3"/>
            <x v="4"/>
          </reference>
        </references>
      </pivotArea>
    </format>
    <format dxfId="317">
      <pivotArea type="all" dataOnly="0" outline="0" fieldPosition="0"/>
    </format>
    <format dxfId="316">
      <pivotArea outline="0" collapsedLevelsAreSubtotals="1" fieldPosition="0"/>
    </format>
    <format dxfId="315">
      <pivotArea field="0" type="button" dataOnly="0" labelOnly="1" outline="0" axis="axisRow" fieldPosition="0"/>
    </format>
    <format dxfId="314">
      <pivotArea dataOnly="0" labelOnly="1" fieldPosition="0">
        <references count="1">
          <reference field="0" count="0"/>
        </references>
      </pivotArea>
    </format>
    <format dxfId="313">
      <pivotArea dataOnly="0" labelOnly="1" grandRow="1" outline="0" fieldPosition="0"/>
    </format>
    <format dxfId="312">
      <pivotArea dataOnly="0" labelOnly="1" outline="0" fieldPosition="0">
        <references count="1">
          <reference field="4294967294" count="5">
            <x v="0"/>
            <x v="1"/>
            <x v="2"/>
            <x v="3"/>
            <x v="4"/>
          </reference>
        </references>
      </pivotArea>
    </format>
    <format dxfId="311">
      <pivotArea field="0" type="button" dataOnly="0" labelOnly="1" outline="0" axis="axisRow" fieldPosition="0"/>
    </format>
    <format dxfId="310">
      <pivotArea dataOnly="0" labelOnly="1" outline="0" fieldPosition="0">
        <references count="1">
          <reference field="4294967294" count="5">
            <x v="0"/>
            <x v="1"/>
            <x v="2"/>
            <x v="3"/>
            <x v="4"/>
          </reference>
        </references>
      </pivotArea>
    </format>
    <format dxfId="309">
      <pivotArea field="0" type="button" dataOnly="0" labelOnly="1" outline="0" axis="axisRow" fieldPosition="0"/>
    </format>
    <format dxfId="308">
      <pivotArea dataOnly="0" labelOnly="1" outline="0" fieldPosition="0">
        <references count="1">
          <reference field="4294967294" count="5">
            <x v="0"/>
            <x v="1"/>
            <x v="2"/>
            <x v="3"/>
            <x v="4"/>
          </reference>
        </references>
      </pivotArea>
    </format>
    <format dxfId="307">
      <pivotArea field="0" type="button" dataOnly="0" labelOnly="1" outline="0" axis="axisRow" fieldPosition="0"/>
    </format>
    <format dxfId="306">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Dinámica6" cacheId="110"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5:F42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2" numFmtId="3"/>
    <dataField name="Trenes Cancelados " fld="8" baseField="0" baseItem="3" numFmtId="3"/>
    <dataField name="Trenes Corridos " fld="9" baseField="0" baseItem="4" numFmtId="3"/>
    <dataField name="Trenes Puntuales " fld="10" baseField="0" baseItem="5" numFmtId="3"/>
    <dataField name="Trenes Atrasados " fld="11" baseField="0" baseItem="6" numFmtId="3"/>
  </dataFields>
  <formats count="25">
    <format dxfId="276">
      <pivotArea type="all" dataOnly="0" outline="0" fieldPosition="0"/>
    </format>
    <format dxfId="275">
      <pivotArea outline="0" collapsedLevelsAreSubtotals="1" fieldPosition="0"/>
    </format>
    <format dxfId="274">
      <pivotArea field="0" type="button" dataOnly="0" labelOnly="1" outline="0" axis="axisRow" fieldPosition="0"/>
    </format>
    <format dxfId="273">
      <pivotArea dataOnly="0" labelOnly="1" outline="0" axis="axisValues" fieldPosition="0"/>
    </format>
    <format dxfId="272">
      <pivotArea dataOnly="0" labelOnly="1" fieldPosition="0">
        <references count="1">
          <reference field="0" count="0"/>
        </references>
      </pivotArea>
    </format>
    <format dxfId="271">
      <pivotArea dataOnly="0" labelOnly="1" grandRow="1" outline="0" fieldPosition="0"/>
    </format>
    <format dxfId="270">
      <pivotArea dataOnly="0" labelOnly="1" outline="0" axis="axisValues" fieldPosition="0"/>
    </format>
    <format dxfId="269">
      <pivotArea type="all" dataOnly="0" outline="0" fieldPosition="0"/>
    </format>
    <format dxfId="268">
      <pivotArea outline="0" collapsedLevelsAreSubtotals="1" fieldPosition="0"/>
    </format>
    <format dxfId="267">
      <pivotArea field="0" type="button" dataOnly="0" labelOnly="1" outline="0" axis="axisRow" fieldPosition="0"/>
    </format>
    <format dxfId="266">
      <pivotArea dataOnly="0" labelOnly="1" outline="0" axis="axisValues" fieldPosition="0"/>
    </format>
    <format dxfId="265">
      <pivotArea dataOnly="0" labelOnly="1" fieldPosition="0">
        <references count="1">
          <reference field="0" count="0"/>
        </references>
      </pivotArea>
    </format>
    <format dxfId="264">
      <pivotArea dataOnly="0" labelOnly="1" grandRow="1" outline="0" fieldPosition="0"/>
    </format>
    <format dxfId="263">
      <pivotArea dataOnly="0" labelOnly="1" outline="0" axis="axisValues" fieldPosition="0"/>
    </format>
    <format dxfId="262">
      <pivotArea outline="0" fieldPosition="0">
        <references count="1">
          <reference field="4294967294" count="1">
            <x v="0"/>
          </reference>
        </references>
      </pivotArea>
    </format>
    <format dxfId="261">
      <pivotArea outline="0" fieldPosition="0">
        <references count="1">
          <reference field="4294967294" count="1">
            <x v="1"/>
          </reference>
        </references>
      </pivotArea>
    </format>
    <format dxfId="260">
      <pivotArea outline="0" fieldPosition="0">
        <references count="1">
          <reference field="4294967294" count="1">
            <x v="2"/>
          </reference>
        </references>
      </pivotArea>
    </format>
    <format dxfId="259">
      <pivotArea outline="0" fieldPosition="0">
        <references count="1">
          <reference field="4294967294" count="1">
            <x v="3"/>
          </reference>
        </references>
      </pivotArea>
    </format>
    <format dxfId="258">
      <pivotArea outline="0" fieldPosition="0">
        <references count="1">
          <reference field="4294967294" count="1">
            <x v="4"/>
          </reference>
        </references>
      </pivotArea>
    </format>
    <format dxfId="257">
      <pivotArea field="0" type="button" dataOnly="0" labelOnly="1" outline="0" axis="axisRow" fieldPosition="0"/>
    </format>
    <format dxfId="256">
      <pivotArea dataOnly="0" labelOnly="1" outline="0" fieldPosition="0">
        <references count="1">
          <reference field="4294967294" count="5">
            <x v="0"/>
            <x v="1"/>
            <x v="2"/>
            <x v="3"/>
            <x v="4"/>
          </reference>
        </references>
      </pivotArea>
    </format>
    <format dxfId="255">
      <pivotArea field="0" type="button" dataOnly="0" labelOnly="1" outline="0" axis="axisRow" fieldPosition="0"/>
    </format>
    <format dxfId="254">
      <pivotArea dataOnly="0" labelOnly="1" outline="0" fieldPosition="0">
        <references count="1">
          <reference field="4294967294" count="5">
            <x v="0"/>
            <x v="1"/>
            <x v="2"/>
            <x v="3"/>
            <x v="4"/>
          </reference>
        </references>
      </pivotArea>
    </format>
    <format dxfId="253">
      <pivotArea field="0" type="button" dataOnly="0" labelOnly="1" outline="0" axis="axisRow" fieldPosition="0"/>
    </format>
    <format dxfId="252">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Año" sourceName="Año">
  <pivotTables>
    <pivotTable tabId="98" name="TablaDinámica1"/>
  </pivotTables>
  <data>
    <tabular pivotCacheId="1" sortOrder="descending">
      <items count="32">
        <i x="31" s="1"/>
        <i x="30" s="1"/>
        <i x="29"/>
        <i x="28"/>
        <i x="27"/>
        <i x="26"/>
        <i x="25"/>
        <i x="24"/>
        <i x="23"/>
        <i x="22"/>
        <i x="21"/>
        <i x="20"/>
        <i x="19"/>
        <i x="18"/>
        <i x="17"/>
        <i x="16"/>
        <i x="15"/>
        <i x="14"/>
        <i x="13"/>
        <i x="12"/>
        <i x="11"/>
        <i x="10"/>
        <i x="9"/>
        <i x="8"/>
        <i x="7"/>
        <i x="6"/>
        <i x="5"/>
        <i x="4"/>
        <i x="3"/>
        <i x="2"/>
        <i x="1"/>
        <i x="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Mes" sourceName="Mes">
  <pivotTables>
    <pivotTable tabId="98" name="TablaDinámica1"/>
  </pivotTables>
  <data>
    <tabular pivotCacheId="1">
      <items count="12">
        <i x="0" s="1"/>
        <i x="1" s="1"/>
        <i x="2" s="1"/>
        <i x="3" s="1"/>
        <i x="4" s="1"/>
        <i x="5" s="1"/>
        <i x="6" s="1"/>
        <i x="7" s="1"/>
        <i x="8" s="1"/>
        <i x="9" s="1"/>
        <i x="10" s="1"/>
        <i x="1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ño" cache="SegmentaciónDeDatos_Año" caption="Año" columnCount="11" style="SlicerStyleDark1 2" rowHeight="257175"/>
  <slicer name="Mes" cache="SegmentaciónDeDatos_Mes" caption="Mes" columnCount="4" style="SlicerStyleDark1 2" rowHeight="257175"/>
</slicers>
</file>

<file path=xl/tables/table1.xml><?xml version="1.0" encoding="utf-8"?>
<table xmlns="http://schemas.openxmlformats.org/spreadsheetml/2006/main" id="31" name="RED" displayName="RED" ref="A5:M387" totalsRowCount="1" headerRowDxfId="1050" dataDxfId="1049" totalsRowDxfId="1048" dataCellStyle="Millares">
  <autoFilter ref="A5:M386"/>
  <tableColumns count="13">
    <tableColumn id="1" name="Año" totalsRowLabel="Total" dataDxfId="1047" totalsRowDxfId="1046"/>
    <tableColumn id="2" name="Mes" dataDxfId="1045" totalsRowDxfId="1044"/>
    <tableColumn id="3" name="Regularidad Absoluta" totalsRowFunction="custom" dataDxfId="1043" totalsRowDxfId="1042" dataCellStyle="Porcentaje">
      <calculatedColumnFormula>+K6/H6</calculatedColumnFormula>
      <totalsRowFormula>+RED[[#Totals],[Trenes Puntuales]]/RED[[#Totals],[Trenes Programados]]</totalsRowFormula>
    </tableColumn>
    <tableColumn id="4" name="Regularidad Relativa" totalsRowFunction="custom" dataDxfId="1041" totalsRowDxfId="1040" dataCellStyle="Porcentaje">
      <calculatedColumnFormula>+K6/J6</calculatedColumnFormula>
      <totalsRowFormula>+RED[[#Totals],[Trenes Puntuales]]/RED[[#Totals],[Trenes Corridos]]</totalsRowFormula>
    </tableColumn>
    <tableColumn id="5" name="Cumplimiento de Programa" totalsRowFunction="custom" dataDxfId="1039" totalsRowDxfId="1038" dataCellStyle="Porcentaje">
      <calculatedColumnFormula>+J6/H6</calculatedColumnFormula>
      <totalsRowFormula>+RED[[#Totals],[Trenes Corridos]]/RED[[#Totals],[Trenes Programados]]</totalsRowFormula>
    </tableColumn>
    <tableColumn id="13" name="Trenes Programados por Día Hábil" dataDxfId="1037" totalsRowDxfId="1036" dataCellStyle="Millares">
      <calculatedColumnFormula>+MITRE[[#This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calculatedColumnFormula>
    </tableColumn>
    <tableColumn id="12" name="Coches por Tren Día Hábil" dataDxfId="1035" totalsRowDxfId="1034" dataCellStyle="Millares">
      <calculatedColumnFormula>+(MITRE[[#This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calculatedColumnFormula>
    </tableColumn>
    <tableColumn id="6" name="Trenes Programados" totalsRowFunction="sum" dataDxfId="1033" totalsRowDxfId="1032" dataCellStyle="Millares">
      <calculatedColumnFormula>+MITRE[[#This Row],[Trenes Programados]]+SARM[[#This Row],[Trenes Programados]]+URQ[[#This Row],[Trenes Programados]]+ROCA[[#This Row],[Trenes Programados]]+SM[[#This Row],[Trenes Programados]]+BN[[#This Row],[Trenes Programados]]+BS[[#This Row],[Trenes Programados]]+TDC[[#This Row],[Trenes Programados]]</calculatedColumnFormula>
    </tableColumn>
    <tableColumn id="7" name="Trenes Cancelados" totalsRowFunction="sum" dataDxfId="1031" totalsRowDxfId="1030" dataCellStyle="Millares">
      <calculatedColumnFormula>+H6-J6</calculatedColumnFormula>
    </tableColumn>
    <tableColumn id="8" name="Trenes Corridos" totalsRowFunction="sum" dataDxfId="1029" totalsRowDxfId="1028" dataCellStyle="Millares">
      <calculatedColumnFormula>+MITRE[[#This Row],[Trenes Corridos]]+SARM[[#This Row],[Trenes Corridos]]+URQ[[#This Row],[Trenes Corridos]]+ROCA[[#This Row],[Trenes Corridos]]+SM[[#This Row],[Trenes Corridos]]+BN[[#This Row],[Trenes Corridos]]+BS[[#This Row],[Trenes Corridos]]+TDC[[#This Row],[Trenes Corridos]]</calculatedColumnFormula>
    </tableColumn>
    <tableColumn id="9" name="Trenes Puntuales" totalsRowFunction="sum" dataDxfId="1027" totalsRowDxfId="1026" dataCellStyle="Millares">
      <calculatedColumnFormula>+MITRE[[#This Row],[Trenes Puntuales]]+SARM[[#This Row],[Trenes Puntuales]]+URQ[[#This Row],[Trenes Puntuales]]+ROCA[[#This Row],[Trenes Puntuales]]+SM[[#This Row],[Trenes Puntuales]]+BN[[#This Row],[Trenes Puntuales]]+BS[[#This Row],[Trenes Puntuales]]+TDC[[#This Row],[Trenes Puntuales]]</calculatedColumnFormula>
    </tableColumn>
    <tableColumn id="10" name="Trenes Atrasados" totalsRowFunction="sum" dataDxfId="1025" totalsRowDxfId="1024" dataCellStyle="Millares">
      <calculatedColumnFormula>+J6-K6</calculatedColumnFormula>
    </tableColumn>
    <tableColumn id="11" name="Observaciones" totalsRowFunction="count" dataDxfId="1023" totalsRowDxfId="1022"/>
  </tableColumns>
  <tableStyleInfo name="TableStyleMedium9" showFirstColumn="0" showLastColumn="0" showRowStripes="1" showColumnStripes="0"/>
</table>
</file>

<file path=xl/tables/table10.xml><?xml version="1.0" encoding="utf-8"?>
<table xmlns="http://schemas.openxmlformats.org/spreadsheetml/2006/main" id="9" name="Tabla9" displayName="Tabla9" ref="AC5:AO387" totalsRowCount="1" headerRowDxfId="763" dataDxfId="761" headerRowBorderDxfId="762">
  <autoFilter ref="AC5:AO386"/>
  <tableColumns count="13">
    <tableColumn id="1" name="Año" totalsRowLabel="Total" dataDxfId="760" totalsRowDxfId="759"/>
    <tableColumn id="2" name="Mes" dataDxfId="758" totalsRowDxfId="757"/>
    <tableColumn id="3" name="Regularidad Absoluta" totalsRowFunction="custom" dataDxfId="756" totalsRowDxfId="755" dataCellStyle="Porcentaje">
      <calculatedColumnFormula>AM6/AJ6</calculatedColumnFormula>
      <totalsRowFormula>+Tabla9[[#Totals],[Trenes Puntuales]]/Tabla9[[#Totals],[Trenes Programados]]</totalsRowFormula>
    </tableColumn>
    <tableColumn id="4" name="Regularidad Relativa" totalsRowFunction="custom" dataDxfId="754" totalsRowDxfId="753" dataCellStyle="Porcentaje">
      <calculatedColumnFormula>AM6/AL6</calculatedColumnFormula>
      <totalsRowFormula>+Tabla9[[#Totals],[Trenes Puntuales]]/Tabla9[[#Totals],[Trenes Corridos]]</totalsRowFormula>
    </tableColumn>
    <tableColumn id="5" name="Cumplimiento de Programa" totalsRowFunction="custom" dataDxfId="752" totalsRowDxfId="751" dataCellStyle="Porcentaje">
      <calculatedColumnFormula>AL6/AJ6</calculatedColumnFormula>
      <totalsRowFormula>+Tabla9[[#Totals],[Trenes Corridos]]/Tabla9[[#Totals],[Trenes Programados]]</totalsRowFormula>
    </tableColumn>
    <tableColumn id="13" name="Trenes Programados por Día Hábil" dataDxfId="750" totalsRowDxfId="749"/>
    <tableColumn id="12" name="Coches por Tren Día Hábil" dataDxfId="748" totalsRowDxfId="747"/>
    <tableColumn id="6" name="Trenes Programados" totalsRowFunction="sum" dataDxfId="746" totalsRowDxfId="745"/>
    <tableColumn id="7" name="Trenes Cancelados" totalsRowFunction="sum" dataDxfId="744" totalsRowDxfId="743">
      <calculatedColumnFormula>AJ6-AL6</calculatedColumnFormula>
    </tableColumn>
    <tableColumn id="8" name="Trenes Corridos" totalsRowFunction="sum" dataDxfId="742" totalsRowDxfId="741"/>
    <tableColumn id="9" name="Trenes Puntuales" totalsRowFunction="sum" dataDxfId="740" totalsRowDxfId="739"/>
    <tableColumn id="10" name="Trenes Atrasados" totalsRowFunction="sum" dataDxfId="738" totalsRowDxfId="737">
      <calculatedColumnFormula>AL6-AM6</calculatedColumnFormula>
    </tableColumn>
    <tableColumn id="11" name="Observaciones" totalsRowFunction="count" dataDxfId="736" totalsRowDxfId="735"/>
  </tableColumns>
  <tableStyleInfo name="TableStyleMedium9" showFirstColumn="0" showLastColumn="0" showRowStripes="1" showColumnStripes="0"/>
</table>
</file>

<file path=xl/tables/table11.xml><?xml version="1.0" encoding="utf-8"?>
<table xmlns="http://schemas.openxmlformats.org/spreadsheetml/2006/main" id="10" name="Tabla10" displayName="Tabla10" ref="AQ5:BC387" totalsRowCount="1" headerRowDxfId="734" dataDxfId="732" headerRowBorderDxfId="733">
  <autoFilter ref="AQ5:BC386"/>
  <tableColumns count="13">
    <tableColumn id="1" name="Año" totalsRowLabel="Total" dataDxfId="731" totalsRowDxfId="730"/>
    <tableColumn id="2" name="Mes" dataDxfId="729" totalsRowDxfId="728"/>
    <tableColumn id="3" name="Regularidad Absoluta" totalsRowFunction="custom" dataDxfId="727" totalsRowDxfId="726" dataCellStyle="Porcentaje">
      <calculatedColumnFormula>BA6/AX6</calculatedColumnFormula>
      <totalsRowFormula>+Tabla10[[#Totals],[Trenes Puntuales]]/Tabla10[[#Totals],[Trenes Programados]]</totalsRowFormula>
    </tableColumn>
    <tableColumn id="4" name="Regularidad Relativa" totalsRowFunction="custom" dataDxfId="725" totalsRowDxfId="724" dataCellStyle="Porcentaje">
      <calculatedColumnFormula>BA6/AZ6</calculatedColumnFormula>
      <totalsRowFormula>+Tabla10[[#Totals],[Trenes Puntuales]]/Tabla10[[#Totals],[Trenes Corridos]]</totalsRowFormula>
    </tableColumn>
    <tableColumn id="5" name="Cumplimiento de Programa" totalsRowFunction="custom" dataDxfId="723" totalsRowDxfId="722" dataCellStyle="Porcentaje">
      <calculatedColumnFormula>AZ6/AX6</calculatedColumnFormula>
      <totalsRowFormula>+Tabla10[[#Totals],[Trenes Corridos]]/Tabla10[[#Totals],[Trenes Programados]]</totalsRowFormula>
    </tableColumn>
    <tableColumn id="13" name="Trenes Programados por Día Hábil" dataDxfId="721" totalsRowDxfId="720"/>
    <tableColumn id="12" name="Coches por Tren Día Hábil" dataDxfId="719" totalsRowDxfId="718"/>
    <tableColumn id="6" name="Trenes Programados" totalsRowFunction="sum" dataDxfId="717" totalsRowDxfId="716"/>
    <tableColumn id="7" name="Trenes Cancelados" totalsRowFunction="sum" dataDxfId="715" totalsRowDxfId="714">
      <calculatedColumnFormula>AX6-AZ6</calculatedColumnFormula>
    </tableColumn>
    <tableColumn id="8" name="Trenes Corridos" totalsRowFunction="sum" dataDxfId="713" totalsRowDxfId="712"/>
    <tableColumn id="9" name="Trenes Puntuales" totalsRowFunction="sum" dataDxfId="711" totalsRowDxfId="710"/>
    <tableColumn id="10" name="Trenes Atrasados" totalsRowFunction="sum" dataDxfId="709" totalsRowDxfId="708">
      <calculatedColumnFormula>AZ6-BA6</calculatedColumnFormula>
    </tableColumn>
    <tableColumn id="11" name="Observaciones" totalsRowFunction="count" dataDxfId="707" totalsRowDxfId="706"/>
  </tableColumns>
  <tableStyleInfo name="TableStyleMedium9" showFirstColumn="0" showLastColumn="0" showRowStripes="1" showColumnStripes="0"/>
</table>
</file>

<file path=xl/tables/table12.xml><?xml version="1.0" encoding="utf-8"?>
<table xmlns="http://schemas.openxmlformats.org/spreadsheetml/2006/main" id="11" name="URQ" displayName="URQ" ref="A5:M387" totalsRowCount="1" headerRowDxfId="687" dataDxfId="686" totalsRowDxfId="685">
  <autoFilter ref="A5:M386"/>
  <tableColumns count="13">
    <tableColumn id="1" name="Año" totalsRowLabel="Total" dataDxfId="684" totalsRowDxfId="683"/>
    <tableColumn id="2" name="Mes" dataDxfId="682" totalsRowDxfId="681"/>
    <tableColumn id="3" name="Regularidad Absoluta" totalsRowFunction="custom" dataDxfId="680" totalsRowDxfId="679" dataCellStyle="Porcentaje">
      <calculatedColumnFormula>K6/H6</calculatedColumnFormula>
      <totalsRowFormula>+URQ[[#Totals],[Trenes Puntuales]]/URQ[[#Totals],[Trenes Programados]]</totalsRowFormula>
    </tableColumn>
    <tableColumn id="4" name="Regularidad Relativa" totalsRowFunction="custom" dataDxfId="678" totalsRowDxfId="677" dataCellStyle="Porcentaje">
      <calculatedColumnFormula>K6/J6</calculatedColumnFormula>
      <totalsRowFormula>+URQ[[#Totals],[Trenes Puntuales]]/URQ[[#Totals],[Trenes Corridos]]</totalsRowFormula>
    </tableColumn>
    <tableColumn id="5" name="Cumplimiento de Programa" totalsRowFunction="custom" dataDxfId="676" totalsRowDxfId="675" dataCellStyle="Porcentaje">
      <calculatedColumnFormula>J6/H6</calculatedColumnFormula>
      <totalsRowFormula>+URQ[[#Totals],[Trenes Corridos]]/URQ[[#Totals],[Trenes Programados]]</totalsRowFormula>
    </tableColumn>
    <tableColumn id="13" name="Trenes Programados por Día Hábil" dataDxfId="674" totalsRowDxfId="673" dataCellStyle="Porcentaje"/>
    <tableColumn id="12" name="Coches por Tren Día Hábil" dataDxfId="672" totalsRowDxfId="671" dataCellStyle="Porcentaje"/>
    <tableColumn id="6" name="Trenes Programados" totalsRowFunction="sum" dataDxfId="670" totalsRowDxfId="669"/>
    <tableColumn id="7" name="Trenes Cancelados" totalsRowFunction="sum" dataDxfId="668" totalsRowDxfId="667">
      <calculatedColumnFormula>+H6-J6</calculatedColumnFormula>
    </tableColumn>
    <tableColumn id="8" name="Trenes Corridos" totalsRowFunction="sum" dataDxfId="666" totalsRowDxfId="665"/>
    <tableColumn id="9" name="Trenes Puntuales" totalsRowFunction="sum" dataDxfId="664" totalsRowDxfId="663"/>
    <tableColumn id="10" name="Trenes Atrasados" totalsRowFunction="sum" dataDxfId="662" totalsRowDxfId="661">
      <calculatedColumnFormula>J6-K6</calculatedColumnFormula>
    </tableColumn>
    <tableColumn id="11" name="Observaciones" totalsRowFunction="count" dataDxfId="660" totalsRowDxfId="659"/>
  </tableColumns>
  <tableStyleInfo name="TableStyleMedium9" showFirstColumn="0" showLastColumn="0" showRowStripes="1" showColumnStripes="0"/>
</table>
</file>

<file path=xl/tables/table13.xml><?xml version="1.0" encoding="utf-8"?>
<table xmlns="http://schemas.openxmlformats.org/spreadsheetml/2006/main" id="12" name="ROCA" displayName="ROCA" ref="A5:M387" totalsRowCount="1" headerRowDxfId="640" dataDxfId="638" totalsRowDxfId="637" headerRowBorderDxfId="639">
  <autoFilter ref="A5:M386"/>
  <tableColumns count="13">
    <tableColumn id="1" name="Año" totalsRowLabel="Total" totalsRowDxfId="636"/>
    <tableColumn id="2" name="Mes" totalsRowDxfId="635"/>
    <tableColumn id="3" name="Regularidad Absoluta" totalsRowFunction="custom" totalsRowDxfId="634" dataCellStyle="Porcentaje">
      <calculatedColumnFormula>K6/H6</calculatedColumnFormula>
      <totalsRowFormula>+ROCA[[#Totals],[Trenes Puntuales]]/ROCA[[#Totals],[Trenes Programados]]</totalsRowFormula>
    </tableColumn>
    <tableColumn id="4" name="Regularidad Relativa" totalsRowFunction="custom" totalsRowDxfId="633" dataCellStyle="Porcentaje">
      <calculatedColumnFormula>K6/J6</calculatedColumnFormula>
      <totalsRowFormula>+ROCA[[#Totals],[Trenes Puntuales]]/ROCA[[#Totals],[Trenes Corridos]]</totalsRowFormula>
    </tableColumn>
    <tableColumn id="5" name="Cumplimiento de Programa" totalsRowFunction="custom" totalsRowDxfId="632" dataCellStyle="Porcentaje">
      <calculatedColumnFormula>J6/H6</calculatedColumnFormula>
      <totalsRowFormula>+ROCA[[#Totals],[Trenes Corridos]]/ROCA[[#Totals],[Trenes Programados]]</totalsRowFormula>
    </tableColumn>
    <tableColumn id="13" name="Trenes Programados por Día Hábil" totalsRowDxfId="631" dataCellStyle="Porcentaje">
      <calculatedColumnFormula>+ROC_Co_Gl_Ko[[#This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calculatedColumnFormula>
    </tableColumn>
    <tableColumn id="12" name="Coches por Tren Día Hábil" totalsRowDxfId="630" dataCellStyle="Porcentaje">
      <calculatedColumnFormula>+(ROC_Co_Gl_Ko[[#This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calculatedColumnFormula>
    </tableColumn>
    <tableColumn id="6" name="Trenes Programados" totalsRowFunction="sum" totalsRowDxfId="629">
      <calculatedColumnFormula>+V6+AX6+BL6+CN6+DB6+DP6+ED6+BZ6+ER6</calculatedColumnFormula>
    </tableColumn>
    <tableColumn id="7" name="Trenes Cancelados" totalsRowFunction="sum" totalsRowDxfId="628">
      <calculatedColumnFormula>H6-J6</calculatedColumnFormula>
    </tableColumn>
    <tableColumn id="8" name="Trenes Corridos" totalsRowFunction="sum" totalsRowDxfId="627">
      <calculatedColumnFormula>+X6+AZ6+BN6+CP6+DD6+DR6+EF6+CB6+ET6</calculatedColumnFormula>
    </tableColumn>
    <tableColumn id="9" name="Trenes Puntuales" totalsRowFunction="sum" totalsRowDxfId="626">
      <calculatedColumnFormula>+Y6+BA6+BO6+CQ6+DE6+DS6+EG6+CC6+EU6</calculatedColumnFormula>
    </tableColumn>
    <tableColumn id="10" name="Trenes Atrasados" totalsRowFunction="sum" totalsRowDxfId="625">
      <calculatedColumnFormula>J6-K6</calculatedColumnFormula>
    </tableColumn>
    <tableColumn id="11" name="Observaciones" totalsRowFunction="count" totalsRowDxfId="624"/>
  </tableColumns>
  <tableStyleInfo name="TableStyleMedium9" showFirstColumn="0" showLastColumn="0" showRowStripes="1" showColumnStripes="0"/>
</table>
</file>

<file path=xl/tables/table14.xml><?xml version="1.0" encoding="utf-8"?>
<table xmlns="http://schemas.openxmlformats.org/spreadsheetml/2006/main" id="13" name="ROC_Co_Gl_Ko" displayName="ROC_Co_Gl_Ko" ref="O5:AA387" totalsRowCount="1" headerRowDxfId="623" dataDxfId="621" totalsRowDxfId="620" headerRowBorderDxfId="622">
  <autoFilter ref="O5:AA386"/>
  <tableColumns count="13">
    <tableColumn id="1" name="Año" totalsRowLabel="Total" totalsRowDxfId="619"/>
    <tableColumn id="2" name="Mes" totalsRowDxfId="618"/>
    <tableColumn id="3" name="Regularidad Absoluta" totalsRowFunction="custom" totalsRowDxfId="617" dataCellStyle="Porcentaje">
      <calculatedColumnFormula>Y6/V6</calculatedColumnFormula>
      <totalsRowFormula>+ROC_Co_Gl_Ko[[#Totals],[Trenes Puntuales]]/ROC_Co_Gl_Ko[[#Totals],[Trenes Programados]]</totalsRowFormula>
    </tableColumn>
    <tableColumn id="4" name="Regularidad Relativa" totalsRowFunction="custom" totalsRowDxfId="616" dataCellStyle="Porcentaje">
      <calculatedColumnFormula>Y6/X6</calculatedColumnFormula>
      <totalsRowFormula>+ROC_Co_Gl_Ko[[#Totals],[Trenes Puntuales]]/ROC_Co_Gl_Ko[[#Totals],[Trenes Corridos]]</totalsRowFormula>
    </tableColumn>
    <tableColumn id="5" name="Cumplimiento de Programa" totalsRowFunction="custom" totalsRowDxfId="615" dataCellStyle="Porcentaje">
      <calculatedColumnFormula>X6/V6</calculatedColumnFormula>
      <totalsRowFormula>+ROC_Co_Gl_Ko[[#Totals],[Trenes Corridos]]/ROC_Co_Gl_Ko[[#Totals],[Trenes Programados]]</totalsRowFormula>
    </tableColumn>
    <tableColumn id="13" name="Trenes Programados por Día Hábil" totalsRowDxfId="614"/>
    <tableColumn id="12" name="Coches por Tren Día Hábil" totalsRowDxfId="613"/>
    <tableColumn id="6" name="Trenes Programados" totalsRowFunction="sum" totalsRowDxfId="612"/>
    <tableColumn id="7" name="Trenes Cancelados" totalsRowFunction="sum" totalsRowDxfId="611">
      <calculatedColumnFormula>V6-X6</calculatedColumnFormula>
    </tableColumn>
    <tableColumn id="8" name="Trenes Corridos" totalsRowFunction="sum" totalsRowDxfId="610"/>
    <tableColumn id="9" name="Trenes Puntuales" totalsRowFunction="sum" totalsRowDxfId="609"/>
    <tableColumn id="10" name="Trenes Atrasados" totalsRowFunction="sum" totalsRowDxfId="608">
      <calculatedColumnFormula>X6-Y6</calculatedColumnFormula>
    </tableColumn>
    <tableColumn id="11" name="Observaciones" totalsRowFunction="count" totalsRowDxfId="607"/>
  </tableColumns>
  <tableStyleInfo name="TableStyleMedium9" showFirstColumn="0" showLastColumn="0" showRowStripes="1" showColumnStripes="0"/>
</table>
</file>

<file path=xl/tables/table15.xml><?xml version="1.0" encoding="utf-8"?>
<table xmlns="http://schemas.openxmlformats.org/spreadsheetml/2006/main" id="14" name="ROC_Co_Ez" displayName="ROC_Co_Ez" ref="AQ5:BC387" totalsRowCount="1" headerRowDxfId="606" dataDxfId="604" totalsRowDxfId="603" headerRowBorderDxfId="605">
  <autoFilter ref="AQ5:BC386"/>
  <tableColumns count="13">
    <tableColumn id="1" name="Año" totalsRowLabel="Total" totalsRowDxfId="602"/>
    <tableColumn id="2" name="Mes" totalsRowDxfId="601"/>
    <tableColumn id="3" name="Regularidad Absoluta" totalsRowFunction="custom" totalsRowDxfId="600" dataCellStyle="Porcentaje">
      <calculatedColumnFormula>BA6/AX6</calculatedColumnFormula>
      <totalsRowFormula>+ROC_Co_Ez[[#Totals],[Trenes Puntuales]]/ROC_Co_Ez[[#Totals],[Trenes Programados]]</totalsRowFormula>
    </tableColumn>
    <tableColumn id="4" name="Regularidad Relativa" totalsRowFunction="custom" totalsRowDxfId="599" dataCellStyle="Porcentaje">
      <calculatedColumnFormula>BA6/AZ6</calculatedColumnFormula>
      <totalsRowFormula>+ROC_Co_Ez[[#Totals],[Trenes Puntuales]]/ROC_Co_Ez[[#Totals],[Trenes Corridos]]</totalsRowFormula>
    </tableColumn>
    <tableColumn id="5" name="Cumplimiento de Programa" totalsRowFunction="custom" totalsRowDxfId="598" dataCellStyle="Porcentaje">
      <calculatedColumnFormula>AZ6/AX6</calculatedColumnFormula>
      <totalsRowFormula>+ROC_Co_Ez[[#Totals],[Trenes Corridos]]/ROC_Co_Ez[[#Totals],[Trenes Programados]]</totalsRowFormula>
    </tableColumn>
    <tableColumn id="13" name="Trenes Programados por Día Hábil" totalsRowDxfId="597"/>
    <tableColumn id="12" name="Coches por Tren Día Hábil" totalsRowDxfId="596"/>
    <tableColumn id="6" name="Trenes Programados" totalsRowFunction="sum" totalsRowDxfId="595"/>
    <tableColumn id="7" name="Trenes Cancelados" totalsRowFunction="sum" totalsRowDxfId="594">
      <calculatedColumnFormula>AX6-AZ6</calculatedColumnFormula>
    </tableColumn>
    <tableColumn id="8" name="Trenes Corridos" totalsRowFunction="sum" totalsRowDxfId="593"/>
    <tableColumn id="9" name="Trenes Puntuales" totalsRowFunction="sum" totalsRowDxfId="592"/>
    <tableColumn id="10" name="Trenes Atrasados" totalsRowFunction="sum" totalsRowDxfId="591">
      <calculatedColumnFormula>AZ6-BA6</calculatedColumnFormula>
    </tableColumn>
    <tableColumn id="11" name="Observaciones" totalsRowFunction="count" totalsRowDxfId="590"/>
  </tableColumns>
  <tableStyleInfo name="TableStyleMedium9" showFirstColumn="0" showLastColumn="0" showRowStripes="1" showColumnStripes="0"/>
</table>
</file>

<file path=xl/tables/table16.xml><?xml version="1.0" encoding="utf-8"?>
<table xmlns="http://schemas.openxmlformats.org/spreadsheetml/2006/main" id="15" name="ROC_Co_Bo_VT" displayName="ROC_Co_Bo_VT" ref="BE5:BQ387" totalsRowCount="1" headerRowDxfId="589" dataDxfId="587" totalsRowDxfId="586" headerRowBorderDxfId="588">
  <autoFilter ref="BE5:BQ386"/>
  <tableColumns count="13">
    <tableColumn id="1" name="Año" totalsRowLabel="Total" totalsRowDxfId="585"/>
    <tableColumn id="2" name="Mes" totalsRowDxfId="584"/>
    <tableColumn id="3" name="Regularidad Absoluta" totalsRowFunction="custom" totalsRowDxfId="583" dataCellStyle="Porcentaje">
      <calculatedColumnFormula>BO6/BL6</calculatedColumnFormula>
      <totalsRowFormula>+ROC_Co_Bo_VT[[#Totals],[Trenes Puntuales]]/ROC_Co_Bo_VT[[#Totals],[Trenes Programados]]</totalsRowFormula>
    </tableColumn>
    <tableColumn id="4" name="Regularidad Relativa" totalsRowFunction="custom" totalsRowDxfId="582" dataCellStyle="Porcentaje">
      <calculatedColumnFormula>BO6/BN6</calculatedColumnFormula>
      <totalsRowFormula>+ROC_Co_Bo_VT[[#Totals],[Trenes Puntuales]]/ROC_Co_Bo_VT[[#Totals],[Trenes Corridos]]</totalsRowFormula>
    </tableColumn>
    <tableColumn id="5" name="Cumplimiento de Programa" totalsRowFunction="custom" totalsRowDxfId="581" dataCellStyle="Porcentaje">
      <calculatedColumnFormula>BN6/BL6</calculatedColumnFormula>
      <totalsRowFormula>+ROC_Co_Bo_VT[[#Totals],[Trenes Corridos]]/ROC_Co_Bo_VT[[#Totals],[Trenes Programados]]</totalsRowFormula>
    </tableColumn>
    <tableColumn id="13" name="Trenes Programados por Día Hábil" totalsRowDxfId="580"/>
    <tableColumn id="12" name="Coches por Tren Día Hábil" totalsRowDxfId="579"/>
    <tableColumn id="6" name="Trenes Programados" totalsRowFunction="sum" totalsRowDxfId="578"/>
    <tableColumn id="7" name="Trenes Cancelados" totalsRowFunction="sum" totalsRowDxfId="577">
      <calculatedColumnFormula>BL6-BN6</calculatedColumnFormula>
    </tableColumn>
    <tableColumn id="8" name="Trenes Corridos" totalsRowFunction="sum" totalsRowDxfId="576"/>
    <tableColumn id="9" name="Trenes Puntuales" totalsRowFunction="sum" totalsRowDxfId="575"/>
    <tableColumn id="10" name="Trenes Atrasados" totalsRowFunction="sum" totalsRowDxfId="574">
      <calculatedColumnFormula>BN6-BO6</calculatedColumnFormula>
    </tableColumn>
    <tableColumn id="11" name="Observaciones" totalsRowFunction="count" totalsRowDxfId="573"/>
  </tableColumns>
  <tableStyleInfo name="TableStyleMedium9" showFirstColumn="0" showLastColumn="0" showRowStripes="1" showColumnStripes="0"/>
</table>
</file>

<file path=xl/tables/table17.xml><?xml version="1.0" encoding="utf-8"?>
<table xmlns="http://schemas.openxmlformats.org/spreadsheetml/2006/main" id="16" name="ROC_Co_LP" displayName="ROC_Co_LP" ref="BS5:CE387" totalsRowCount="1" headerRowDxfId="572" dataDxfId="570" totalsRowDxfId="569" headerRowBorderDxfId="571">
  <autoFilter ref="BS5:CE386"/>
  <tableColumns count="13">
    <tableColumn id="1" name="Año" totalsRowLabel="Total" totalsRowDxfId="568"/>
    <tableColumn id="2" name="Mes" totalsRowDxfId="567"/>
    <tableColumn id="3" name="Regularidad Absoluta" totalsRowFunction="custom" totalsRowDxfId="566" dataCellStyle="Porcentaje">
      <calculatedColumnFormula>CC6/BZ6</calculatedColumnFormula>
      <totalsRowFormula>+ROC_Co_LP[[#Totals],[Trenes Puntuales]]/ROC_Co_LP[[#Totals],[Trenes Programados]]</totalsRowFormula>
    </tableColumn>
    <tableColumn id="4" name="Regularidad Relativa" totalsRowFunction="custom" totalsRowDxfId="565" dataCellStyle="Porcentaje">
      <calculatedColumnFormula>CC6/CB6</calculatedColumnFormula>
      <totalsRowFormula>+ROC_Co_LP[[#Totals],[Trenes Puntuales]]/ROC_Co_LP[[#Totals],[Trenes Corridos]]</totalsRowFormula>
    </tableColumn>
    <tableColumn id="5" name="Cumplimiento de Programa" totalsRowFunction="custom" totalsRowDxfId="564" dataCellStyle="Porcentaje">
      <calculatedColumnFormula>CB6/BZ6</calculatedColumnFormula>
      <totalsRowFormula>+ROC_Co_LP[[#Totals],[Trenes Corridos]]/ROC_Co_LP[[#Totals],[Trenes Programados]]</totalsRowFormula>
    </tableColumn>
    <tableColumn id="13" name="Trenes Programados por Día Hábil" totalsRowDxfId="563"/>
    <tableColumn id="12" name="Coches por Tren Día Hábil" totalsRowDxfId="562"/>
    <tableColumn id="6" name="Trenes Programados" totalsRowFunction="sum" totalsRowDxfId="561"/>
    <tableColumn id="7" name="Trenes Cancelados" totalsRowFunction="sum" totalsRowDxfId="560">
      <calculatedColumnFormula>BZ6-CB6</calculatedColumnFormula>
    </tableColumn>
    <tableColumn id="8" name="Trenes Corridos" totalsRowFunction="sum" totalsRowDxfId="559"/>
    <tableColumn id="9" name="Trenes Puntuales" totalsRowFunction="sum" totalsRowDxfId="558"/>
    <tableColumn id="10" name="Trenes Atrasados" totalsRowFunction="sum" totalsRowDxfId="557">
      <calculatedColumnFormula>CB6-CC6</calculatedColumnFormula>
    </tableColumn>
    <tableColumn id="11" name="Observaciones" totalsRowFunction="count" totalsRowDxfId="556"/>
  </tableColumns>
  <tableStyleInfo name="TableStyleMedium9" showFirstColumn="0" showLastColumn="0" showRowStripes="1" showColumnStripes="0"/>
</table>
</file>

<file path=xl/tables/table18.xml><?xml version="1.0" encoding="utf-8"?>
<table xmlns="http://schemas.openxmlformats.org/spreadsheetml/2006/main" id="17" name="ROC_Co_Bo_VQ" displayName="ROC_Co_Bo_VQ" ref="CG5:CS387" totalsRowCount="1" headerRowDxfId="555" dataDxfId="553" totalsRowDxfId="552" headerRowBorderDxfId="554">
  <autoFilter ref="CG5:CS386"/>
  <tableColumns count="13">
    <tableColumn id="1" name="Año" totalsRowLabel="Total" totalsRowDxfId="551"/>
    <tableColumn id="2" name="Mes" totalsRowDxfId="550"/>
    <tableColumn id="3" name="Regularidad Absoluta" totalsRowFunction="custom" totalsRowDxfId="549" dataCellStyle="Porcentaje">
      <calculatedColumnFormula>CQ6/CN6</calculatedColumnFormula>
      <totalsRowFormula>+ROC_Co_Bo_VQ[[#Totals],[Trenes Puntuales]]/ROC_Co_Bo_VQ[[#Totals],[Trenes Programados]]</totalsRowFormula>
    </tableColumn>
    <tableColumn id="4" name="Regularidad Relativa" totalsRowFunction="custom" totalsRowDxfId="548" dataCellStyle="Porcentaje">
      <calculatedColumnFormula>CQ6/CP6</calculatedColumnFormula>
      <totalsRowFormula>+ROC_Co_Bo_VQ[[#Totals],[Trenes Puntuales]]/ROC_Co_Bo_VQ[[#Totals],[Trenes Corridos]]</totalsRowFormula>
    </tableColumn>
    <tableColumn id="5" name="Cumplimiento de Programa" totalsRowFunction="custom" totalsRowDxfId="547" dataCellStyle="Porcentaje">
      <calculatedColumnFormula>CP6/CN6</calculatedColumnFormula>
      <totalsRowFormula>+ROC_Co_Bo_VQ[[#Totals],[Trenes Corridos]]/ROC_Co_Bo_VQ[[#Totals],[Trenes Programados]]</totalsRowFormula>
    </tableColumn>
    <tableColumn id="13" name="Trenes Programados por Día Hábil" totalsRowDxfId="546"/>
    <tableColumn id="12" name="Coches por Tren Día Hábil" totalsRowDxfId="545"/>
    <tableColumn id="6" name="Trenes Programados" totalsRowFunction="sum" totalsRowDxfId="544"/>
    <tableColumn id="7" name="Trenes Cancelados" totalsRowFunction="sum" totalsRowDxfId="543">
      <calculatedColumnFormula>CN6-CP6</calculatedColumnFormula>
    </tableColumn>
    <tableColumn id="8" name="Trenes Corridos" totalsRowFunction="sum" totalsRowDxfId="542"/>
    <tableColumn id="9" name="Trenes Puntuales" totalsRowFunction="sum" totalsRowDxfId="541"/>
    <tableColumn id="10" name="Trenes Atrasados" totalsRowFunction="sum" totalsRowDxfId="540">
      <calculatedColumnFormula>CP6-CQ6</calculatedColumnFormula>
    </tableColumn>
    <tableColumn id="11" name="Observaciones" totalsRowFunction="count" totalsRowDxfId="539"/>
  </tableColumns>
  <tableStyleInfo name="TableStyleMedium9" showFirstColumn="0" showLastColumn="0" showRowStripes="1" showColumnStripes="0"/>
</table>
</file>

<file path=xl/tables/table19.xml><?xml version="1.0" encoding="utf-8"?>
<table xmlns="http://schemas.openxmlformats.org/spreadsheetml/2006/main" id="19" name="ROC_Bo_Gu" displayName="ROC_Bo_Gu" ref="CU5:DG387" totalsRowCount="1" headerRowDxfId="538" dataDxfId="536" totalsRowDxfId="535" headerRowBorderDxfId="537">
  <autoFilter ref="CU5:DG386"/>
  <tableColumns count="13">
    <tableColumn id="1" name="Año" totalsRowLabel="Total" totalsRowDxfId="534"/>
    <tableColumn id="2" name="Mes" totalsRowDxfId="533"/>
    <tableColumn id="3" name="Regularidad Absoluta" totalsRowFunction="custom" totalsRowDxfId="532" dataCellStyle="Porcentaje">
      <calculatedColumnFormula>DE6/DB6</calculatedColumnFormula>
      <totalsRowFormula>+ROC_Bo_Gu[[#Totals],[Trenes Puntuales]]/ROC_Bo_Gu[[#Totals],[Trenes Programados]]</totalsRowFormula>
    </tableColumn>
    <tableColumn id="4" name="Regularidad Relativa" totalsRowFunction="custom" totalsRowDxfId="531" dataCellStyle="Porcentaje">
      <calculatedColumnFormula>DE6/DD6</calculatedColumnFormula>
      <totalsRowFormula>+ROC_Bo_Gu[[#Totals],[Trenes Puntuales]]/ROC_Bo_Gu[[#Totals],[Trenes Corridos]]</totalsRowFormula>
    </tableColumn>
    <tableColumn id="5" name="Cumplimiento de Programa" totalsRowFunction="custom" totalsRowDxfId="530" dataCellStyle="Porcentaje">
      <calculatedColumnFormula>DD6/DB6</calculatedColumnFormula>
      <totalsRowFormula>+ROC_Bo_Gu[[#Totals],[Trenes Corridos]]/ROC_Bo_Gu[[#Totals],[Trenes Programados]]</totalsRowFormula>
    </tableColumn>
    <tableColumn id="13" name="Trenes Programados por Día Hábil" totalsRowDxfId="529"/>
    <tableColumn id="12" name="Coches por Tren Día Hábil" totalsRowDxfId="528"/>
    <tableColumn id="6" name="Trenes Programados" totalsRowFunction="sum" totalsRowDxfId="527"/>
    <tableColumn id="7" name="Trenes Cancelados" totalsRowFunction="sum" totalsRowDxfId="526">
      <calculatedColumnFormula>DB6-DD6</calculatedColumnFormula>
    </tableColumn>
    <tableColumn id="8" name="Trenes Corridos" totalsRowFunction="sum" totalsRowDxfId="525"/>
    <tableColumn id="9" name="Trenes Puntuales" totalsRowFunction="sum" totalsRowDxfId="524"/>
    <tableColumn id="10" name="Trenes Atrasados" totalsRowFunction="sum" totalsRowDxfId="523">
      <calculatedColumnFormula>DD6-DE6</calculatedColumnFormula>
    </tableColumn>
    <tableColumn id="11" name="Observaciones" totalsRowFunction="count" totalsRowDxfId="522"/>
  </tableColumns>
  <tableStyleInfo name="TableStyleMedium9" showFirstColumn="0" showLastColumn="0" showRowStripes="1" showColumnStripes="0"/>
</table>
</file>

<file path=xl/tables/table2.xml><?xml version="1.0" encoding="utf-8"?>
<table xmlns="http://schemas.openxmlformats.org/spreadsheetml/2006/main" id="3" name="MITRE" displayName="MITRE" ref="A5:M387" totalsRowCount="1" headerRowDxfId="1001" dataDxfId="1000" totalsRowDxfId="999">
  <autoFilter ref="A5:M386"/>
  <tableColumns count="13">
    <tableColumn id="1" name="Año" totalsRowLabel="Total" dataDxfId="998" totalsRowDxfId="997"/>
    <tableColumn id="2" name="Mes" dataDxfId="996" totalsRowDxfId="995"/>
    <tableColumn id="3" name="Regularidad Absoluta" totalsRowFunction="custom" dataDxfId="994" totalsRowDxfId="993" dataCellStyle="Porcentaje">
      <calculatedColumnFormula>+MITRE[[#This Row],[Trenes Puntuales]]/MITRE[[#This Row],[Trenes Programados]]</calculatedColumnFormula>
      <totalsRowFormula>+MITRE[[#Totals],[Trenes Puntuales]]/MITRE[[#Totals],[Trenes Programados]]</totalsRowFormula>
    </tableColumn>
    <tableColumn id="4" name="Regularidad Relativa" totalsRowFunction="custom" dataDxfId="992" totalsRowDxfId="991" dataCellStyle="Porcentaje">
      <calculatedColumnFormula>+MITRE[[#This Row],[Trenes Puntuales]]/MITRE[[#This Row],[Trenes Corridos]]</calculatedColumnFormula>
      <totalsRowFormula>+MITRE[[#Totals],[Trenes Puntuales]]/MITRE[[#Totals],[Trenes Corridos]]</totalsRowFormula>
    </tableColumn>
    <tableColumn id="5" name="Cumplimiento de Programa" totalsRowFunction="custom" dataDxfId="990" totalsRowDxfId="989" dataCellStyle="Porcentaje">
      <calculatedColumnFormula>+MITRE[[#This Row],[Trenes Corridos]]/MITRE[[#This Row],[Trenes Programados]]</calculatedColumnFormula>
      <totalsRowFormula>+MITRE[[#Totals],[Trenes Corridos]]/MITRE[[#Totals],[Trenes Programados]]</totalsRowFormula>
    </tableColumn>
    <tableColumn id="13" name="Trenes Programados por Día Hábil" dataDxfId="988" totalsRowDxfId="987" dataCellStyle="Porcentaje">
      <calculatedColumnFormula>+Tabla4[[#This Row],[Trenes Programados por Día Hábil]]+Tabla5[[#This Row],[Trenes Programados por Día Hábil]]+Tabla6[[#This Row],[Trenes Programados por Día Hábil]]+MIT_Vic_Cap[[#This Row],[Trenes Programados por Día Hábil]]+Tabla8[[#This Row],[Trenes Programados por Día Hábil]]</calculatedColumnFormula>
    </tableColumn>
    <tableColumn id="12" name="Coches por Tren Día Hábil" dataDxfId="986" totalsRowDxfId="985" dataCellStyle="Porcentaje">
      <calculatedColumnFormula>+(Tabla4[[#This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calculatedColumnFormula>
    </tableColumn>
    <tableColumn id="6" name="Trenes Programados" totalsRowFunction="sum" dataDxfId="984" totalsRowDxfId="983">
      <calculatedColumnFormula>+V6+AJ6+AX6+BL6+BZ6</calculatedColumnFormula>
    </tableColumn>
    <tableColumn id="7" name="Trenes Cancelados" totalsRowFunction="sum" dataDxfId="982" totalsRowDxfId="981">
      <calculatedColumnFormula>H6-J6</calculatedColumnFormula>
    </tableColumn>
    <tableColumn id="8" name="Trenes Corridos" totalsRowFunction="sum" dataDxfId="980" totalsRowDxfId="979">
      <calculatedColumnFormula>+X6+AL6+AZ6+BN6+CB6</calculatedColumnFormula>
    </tableColumn>
    <tableColumn id="9" name="Trenes Puntuales" totalsRowFunction="sum" dataDxfId="978" totalsRowDxfId="977">
      <calculatedColumnFormula>+Y6+AM6+BA6+BO6+CC6</calculatedColumnFormula>
    </tableColumn>
    <tableColumn id="10" name="Trenes Atrasados" totalsRowFunction="sum" dataDxfId="976" totalsRowDxfId="975">
      <calculatedColumnFormula>J6-K6</calculatedColumnFormula>
    </tableColumn>
    <tableColumn id="11" name="Observaciones" totalsRowFunction="count" dataDxfId="974" totalsRowDxfId="973"/>
  </tableColumns>
  <tableStyleInfo name="TableStyleMedium9" showFirstColumn="0" showLastColumn="0" showRowStripes="1" showColumnStripes="0"/>
</table>
</file>

<file path=xl/tables/table20.xml><?xml version="1.0" encoding="utf-8"?>
<table xmlns="http://schemas.openxmlformats.org/spreadsheetml/2006/main" id="20" name="ROC_Ty_Ha" displayName="ROC_Ty_Ha" ref="DI5:DU387" totalsRowCount="1" headerRowDxfId="521" dataDxfId="519" totalsRowDxfId="518" headerRowBorderDxfId="520">
  <autoFilter ref="DI5:DU386"/>
  <tableColumns count="13">
    <tableColumn id="1" name="Año" totalsRowLabel="Total" totalsRowDxfId="517"/>
    <tableColumn id="2" name="Mes" totalsRowDxfId="516"/>
    <tableColumn id="3" name="Regularidad Absoluta" totalsRowFunction="custom" totalsRowDxfId="515" dataCellStyle="Porcentaje">
      <calculatedColumnFormula>DS6/DP6</calculatedColumnFormula>
      <totalsRowFormula>+ROC_Ty_Ha[[#Totals],[Trenes Puntuales]]/ROC_Ty_Ha[[#Totals],[Trenes Programados]]</totalsRowFormula>
    </tableColumn>
    <tableColumn id="4" name="Regularidad Relativa" totalsRowFunction="custom" totalsRowDxfId="514" dataCellStyle="Porcentaje">
      <calculatedColumnFormula>DS6/DR6</calculatedColumnFormula>
      <totalsRowFormula>+ROC_Ty_Ha[[#Totals],[Trenes Puntuales]]/ROC_Ty_Ha[[#Totals],[Trenes Corridos]]</totalsRowFormula>
    </tableColumn>
    <tableColumn id="5" name="Cumplimiento de Programa" totalsRowFunction="custom" totalsRowDxfId="513" dataCellStyle="Porcentaje">
      <calculatedColumnFormula>DR6/DP6</calculatedColumnFormula>
      <totalsRowFormula>+ROC_Ty_Ha[[#Totals],[Trenes Corridos]]/ROC_Ty_Ha[[#Totals],[Trenes Programados]]</totalsRowFormula>
    </tableColumn>
    <tableColumn id="13" name="Trenes Programados por Día Hábil" totalsRowDxfId="512"/>
    <tableColumn id="12" name="Coches por Tren Día Hábil" totalsRowDxfId="511"/>
    <tableColumn id="6" name="Trenes Programados" totalsRowFunction="sum" totalsRowDxfId="510"/>
    <tableColumn id="7" name="Trenes Cancelados" totalsRowFunction="sum" totalsRowDxfId="509">
      <calculatedColumnFormula>DP6-DR6</calculatedColumnFormula>
    </tableColumn>
    <tableColumn id="8" name="Trenes Corridos" totalsRowFunction="sum" totalsRowDxfId="508"/>
    <tableColumn id="9" name="Trenes Puntuales" totalsRowFunction="sum" totalsRowDxfId="507"/>
    <tableColumn id="10" name="Trenes Atrasados" totalsRowFunction="sum" totalsRowDxfId="506">
      <calculatedColumnFormula>DR6-DS6</calculatedColumnFormula>
    </tableColumn>
    <tableColumn id="11" name="Observaciones" totalsRowFunction="count" totalsRowDxfId="505"/>
  </tableColumns>
  <tableStyleInfo name="TableStyleMedium9" showFirstColumn="0" showLastColumn="0" showRowStripes="1" showColumnStripes="0"/>
</table>
</file>

<file path=xl/tables/table21.xml><?xml version="1.0" encoding="utf-8"?>
<table xmlns="http://schemas.openxmlformats.org/spreadsheetml/2006/main" id="21" name="ROC_Ez_Ca_Mo_Lo" displayName="ROC_Ez_Ca_Mo_Lo" ref="DW5:EI387" totalsRowCount="1" headerRowDxfId="504" dataDxfId="502" totalsRowDxfId="501" headerRowBorderDxfId="503">
  <autoFilter ref="DW5:EI386"/>
  <tableColumns count="13">
    <tableColumn id="1" name="Año" totalsRowLabel="Total" totalsRowDxfId="500"/>
    <tableColumn id="2" name="Mes" totalsRowDxfId="499"/>
    <tableColumn id="3" name="Regularidad Absoluta" totalsRowFunction="custom" totalsRowDxfId="498" dataCellStyle="Porcentaje">
      <calculatedColumnFormula>EG6/ED6</calculatedColumnFormula>
      <totalsRowFormula>+ROC_Ez_Ca_Mo_Lo[[#Totals],[Trenes Puntuales]]/ROC_Ez_Ca_Mo_Lo[[#Totals],[Trenes Programados]]</totalsRowFormula>
    </tableColumn>
    <tableColumn id="4" name="Regularidad Relativa" totalsRowFunction="custom" totalsRowDxfId="497" dataCellStyle="Porcentaje">
      <calculatedColumnFormula>EG6/EF6</calculatedColumnFormula>
      <totalsRowFormula>+ROC_Ez_Ca_Mo_Lo[[#Totals],[Trenes Puntuales]]/ROC_Ez_Ca_Mo_Lo[[#Totals],[Trenes Corridos]]</totalsRowFormula>
    </tableColumn>
    <tableColumn id="5" name="Cumplimiento de Programa" totalsRowFunction="custom" totalsRowDxfId="496" dataCellStyle="Porcentaje">
      <calculatedColumnFormula>EF6/ED6</calculatedColumnFormula>
      <totalsRowFormula>+ROC_Ez_Ca_Mo_Lo[[#Totals],[Trenes Corridos]]/ROC_Ez_Ca_Mo_Lo[[#Totals],[Trenes Programados]]</totalsRowFormula>
    </tableColumn>
    <tableColumn id="13" name="Trenes Programados por Día Hábil" totalsRowDxfId="495"/>
    <tableColumn id="12" name="Coches por Tren Día Hábil" totalsRowDxfId="494"/>
    <tableColumn id="6" name="Trenes Programados" totalsRowFunction="sum" totalsRowDxfId="493"/>
    <tableColumn id="7" name="Trenes Cancelados" totalsRowFunction="sum" totalsRowDxfId="492">
      <calculatedColumnFormula>ED6-EF6</calculatedColumnFormula>
    </tableColumn>
    <tableColumn id="8" name="Trenes Corridos" totalsRowFunction="sum" totalsRowDxfId="491"/>
    <tableColumn id="9" name="Trenes Puntuales" totalsRowFunction="sum" totalsRowDxfId="490"/>
    <tableColumn id="10" name="Trenes Atrasados" totalsRowFunction="sum" totalsRowDxfId="489">
      <calculatedColumnFormula>EF6-EG6</calculatedColumnFormula>
    </tableColumn>
    <tableColumn id="11" name="Observaciones" totalsRowFunction="count" totalsRowDxfId="488"/>
  </tableColumns>
  <tableStyleInfo name="TableStyleMedium9" showFirstColumn="0" showLastColumn="0" showRowStripes="1" showColumnStripes="0"/>
</table>
</file>

<file path=xl/tables/table22.xml><?xml version="1.0" encoding="utf-8"?>
<table xmlns="http://schemas.openxmlformats.org/spreadsheetml/2006/main" id="22" name="ROC_AK_Ch" displayName="ROC_AK_Ch" ref="EK5:EW387" totalsRowCount="1" headerRowDxfId="487" dataDxfId="485" totalsRowDxfId="484" headerRowBorderDxfId="486">
  <autoFilter ref="EK5:EW386"/>
  <tableColumns count="13">
    <tableColumn id="1" name="Año" totalsRowLabel="Total" totalsRowDxfId="483"/>
    <tableColumn id="2" name="Mes" totalsRowDxfId="482"/>
    <tableColumn id="3" name="Regularidad Absoluta" totalsRowFunction="custom" totalsRowDxfId="481" dataCellStyle="Porcentaje">
      <calculatedColumnFormula>EU6/ER6</calculatedColumnFormula>
      <totalsRowFormula>+ROC_AK_Ch[[#Totals],[Trenes Puntuales]]/ROC_AK_Ch[[#Totals],[Trenes Programados]]</totalsRowFormula>
    </tableColumn>
    <tableColumn id="4" name="Regularidad Relativa" totalsRowFunction="custom" totalsRowDxfId="480" dataCellStyle="Porcentaje">
      <calculatedColumnFormula>EU6/ET6</calculatedColumnFormula>
      <totalsRowFormula>+ROC_AK_Ch[[#Totals],[Trenes Puntuales]]/ROC_AK_Ch[[#Totals],[Trenes Corridos]]</totalsRowFormula>
    </tableColumn>
    <tableColumn id="5" name="Cumplimiento de Programa" totalsRowFunction="custom" totalsRowDxfId="479" dataCellStyle="Porcentaje">
      <calculatedColumnFormula>ET6/ER6</calculatedColumnFormula>
      <totalsRowFormula>+ROC_AK_Ch[[#Totals],[Trenes Corridos]]/ROC_AK_Ch[[#Totals],[Trenes Programados]]</totalsRowFormula>
    </tableColumn>
    <tableColumn id="13" name="Trenes Programados por Día Hábil" totalsRowDxfId="478"/>
    <tableColumn id="12" name="Coches por Tren Día Hábil" totalsRowDxfId="477"/>
    <tableColumn id="6" name="Trenes Programados" totalsRowFunction="sum" totalsRowDxfId="476"/>
    <tableColumn id="7" name="Trenes Cancelados" totalsRowFunction="sum" totalsRowDxfId="475">
      <calculatedColumnFormula>ER6-ET6</calculatedColumnFormula>
    </tableColumn>
    <tableColumn id="8" name="Trenes Corridos" totalsRowFunction="sum" totalsRowDxfId="474"/>
    <tableColumn id="9" name="Trenes Puntuales" totalsRowFunction="sum" totalsRowDxfId="473"/>
    <tableColumn id="10" name="Trenes Atrasados" totalsRowFunction="sum" totalsRowDxfId="472">
      <calculatedColumnFormula>ET6-EU6</calculatedColumnFormula>
    </tableColumn>
    <tableColumn id="11" name="Observaciones" totalsRowFunction="count" totalsRowDxfId="471"/>
  </tableColumns>
  <tableStyleInfo name="TableStyleMedium9" showFirstColumn="0" showLastColumn="0" showRowStripes="1" showColumnStripes="0"/>
</table>
</file>

<file path=xl/tables/table23.xml><?xml version="1.0" encoding="utf-8"?>
<table xmlns="http://schemas.openxmlformats.org/spreadsheetml/2006/main" id="32" name="ROC_Co_Gw_Ko_Diesel" displayName="ROC_Co_Gw_Ko_Diesel" ref="AC5:AO387" totalsRowCount="1" headerRowDxfId="470" dataDxfId="468" totalsRowDxfId="467" headerRowBorderDxfId="469">
  <autoFilter ref="AC5:AO386"/>
  <tableColumns count="13">
    <tableColumn id="1" name="Año" totalsRowLabel="Total" dataDxfId="466" totalsRowDxfId="465"/>
    <tableColumn id="2" name="Mes" dataDxfId="464" totalsRowDxfId="463"/>
    <tableColumn id="3" name="Regularidad Absoluta" totalsRowFunction="custom" dataDxfId="462" totalsRowDxfId="461" dataCellStyle="Porcentaje">
      <calculatedColumnFormula>AM6/AJ6</calculatedColumnFormula>
      <totalsRowFormula>+ROC_Co_Gw_Ko_Diesel[[#Totals],[Trenes Puntuales]]/ROC_Co_Gw_Ko_Diesel[[#Totals],[Trenes Programados]]</totalsRowFormula>
    </tableColumn>
    <tableColumn id="4" name="Regularidad Relativa" totalsRowFunction="custom" dataDxfId="460" totalsRowDxfId="459" dataCellStyle="Porcentaje">
      <calculatedColumnFormula>AM6/AL6</calculatedColumnFormula>
      <totalsRowFormula>+ROC_Co_Gw_Ko_Diesel[[#Totals],[Trenes Puntuales]]/ROC_Co_Gw_Ko_Diesel[[#Totals],[Trenes Corridos]]</totalsRowFormula>
    </tableColumn>
    <tableColumn id="5" name="Cumplimiento de Programa" totalsRowFunction="custom" dataDxfId="458" totalsRowDxfId="457" dataCellStyle="Porcentaje">
      <calculatedColumnFormula>AL6/AJ6</calculatedColumnFormula>
      <totalsRowFormula>+ROC_Co_Gw_Ko_Diesel[[#Totals],[Trenes Corridos]]/ROC_Co_Gw_Ko_Diesel[[#Totals],[Trenes Programados]]</totalsRowFormula>
    </tableColumn>
    <tableColumn id="13" name="Trenes Programados por Día Hábil" dataDxfId="456" totalsRowDxfId="455"/>
    <tableColumn id="12" name="Coches por Tren Día Hábil" dataDxfId="454" totalsRowDxfId="453"/>
    <tableColumn id="6" name="Trenes Programados" totalsRowFunction="sum" dataDxfId="452" totalsRowDxfId="451"/>
    <tableColumn id="7" name="Trenes Cancelados" totalsRowFunction="sum" dataDxfId="450" totalsRowDxfId="449">
      <calculatedColumnFormula>AJ6-AL6</calculatedColumnFormula>
    </tableColumn>
    <tableColumn id="8" name="Trenes Corridos" totalsRowFunction="sum" dataDxfId="448" totalsRowDxfId="447"/>
    <tableColumn id="9" name="Trenes Puntuales" totalsRowFunction="sum" dataDxfId="446" totalsRowDxfId="445"/>
    <tableColumn id="10" name="Trenes Atrasados" totalsRowFunction="sum" dataDxfId="444" totalsRowDxfId="443">
      <calculatedColumnFormula>AL6-AM6</calculatedColumnFormula>
    </tableColumn>
    <tableColumn id="11" name="Observaciones" totalsRowFunction="count" dataDxfId="442" totalsRowDxfId="441"/>
  </tableColumns>
  <tableStyleInfo name="TableStyleMedium9" showFirstColumn="0" showLastColumn="0" showRowStripes="1" showColumnStripes="0"/>
</table>
</file>

<file path=xl/tables/table24.xml><?xml version="1.0" encoding="utf-8"?>
<table xmlns="http://schemas.openxmlformats.org/spreadsheetml/2006/main" id="33" name="ROC_Ca_Mo" displayName="ROC_Ca_Mo" ref="EY5:FK387" totalsRowCount="1" headerRowDxfId="440" dataDxfId="438" totalsRowDxfId="437" headerRowBorderDxfId="439">
  <autoFilter ref="EY5:FK386"/>
  <tableColumns count="13">
    <tableColumn id="1" name="Año" totalsRowLabel="Total" totalsRowDxfId="436"/>
    <tableColumn id="2" name="Mes" totalsRowDxfId="435"/>
    <tableColumn id="3" name="Regularidad Absoluta" totalsRowFunction="custom" totalsRowDxfId="434" dataCellStyle="Porcentaje">
      <calculatedColumnFormula>FI6/FF6</calculatedColumnFormula>
      <totalsRowFormula>+ROC_Ca_Mo[[#Totals],[Trenes Puntuales]]/ROC_Ca_Mo[[#Totals],[Trenes Programados]]</totalsRowFormula>
    </tableColumn>
    <tableColumn id="4" name="Regularidad Relativa" totalsRowFunction="custom" totalsRowDxfId="433" dataCellStyle="Porcentaje">
      <calculatedColumnFormula>FI6/FH6</calculatedColumnFormula>
      <totalsRowFormula>+ROC_Ca_Mo[[#Totals],[Trenes Puntuales]]/ROC_Ca_Mo[[#Totals],[Trenes Corridos]]</totalsRowFormula>
    </tableColumn>
    <tableColumn id="5" name="Cumplimiento de Programa" totalsRowFunction="custom" totalsRowDxfId="432" dataCellStyle="Porcentaje">
      <calculatedColumnFormula>FH6/FF6</calculatedColumnFormula>
      <totalsRowFormula>+ROC_Ca_Mo[[#Totals],[Trenes Corridos]]/ROC_Ca_Mo[[#Totals],[Trenes Programados]]</totalsRowFormula>
    </tableColumn>
    <tableColumn id="13" name="Trenes Programados por Día Hábil" totalsRowDxfId="431"/>
    <tableColumn id="12" name="Coches por Tren Día Hábil" totalsRowDxfId="430"/>
    <tableColumn id="6" name="Trenes Programados" totalsRowFunction="sum" totalsRowDxfId="429"/>
    <tableColumn id="7" name="Trenes Cancelados" totalsRowFunction="sum" totalsRowDxfId="428">
      <calculatedColumnFormula>FF6-FH6</calculatedColumnFormula>
    </tableColumn>
    <tableColumn id="8" name="Trenes Corridos" totalsRowFunction="sum" totalsRowDxfId="427"/>
    <tableColumn id="9" name="Trenes Puntuales" totalsRowFunction="sum" totalsRowDxfId="426"/>
    <tableColumn id="10" name="Trenes Atrasados" totalsRowFunction="sum" totalsRowDxfId="425">
      <calculatedColumnFormula>FH6-FI6</calculatedColumnFormula>
    </tableColumn>
    <tableColumn id="11" name="Observaciones" totalsRowFunction="count" totalsRowDxfId="424"/>
  </tableColumns>
  <tableStyleInfo name="TableStyleMedium9" showFirstColumn="0" showLastColumn="0" showRowStripes="1" showColumnStripes="0"/>
</table>
</file>

<file path=xl/tables/table25.xml><?xml version="1.0" encoding="utf-8"?>
<table xmlns="http://schemas.openxmlformats.org/spreadsheetml/2006/main" id="34" name="ROC_Ca_Lo" displayName="ROC_Ca_Lo" ref="FM5:FY387" totalsRowCount="1" headerRowDxfId="423" dataDxfId="421" totalsRowDxfId="420" headerRowBorderDxfId="422">
  <autoFilter ref="FM5:FY386"/>
  <tableColumns count="13">
    <tableColumn id="1" name="Año" totalsRowLabel="Total" totalsRowDxfId="419"/>
    <tableColumn id="2" name="Mes" totalsRowDxfId="418"/>
    <tableColumn id="3" name="Regularidad Absoluta" totalsRowFunction="custom" totalsRowDxfId="417" dataCellStyle="Porcentaje">
      <calculatedColumnFormula>FW6/FT6</calculatedColumnFormula>
      <totalsRowFormula>+ROC_Ca_Lo[[#Totals],[Trenes Puntuales]]/ROC_Ca_Lo[[#Totals],[Trenes Programados]]</totalsRowFormula>
    </tableColumn>
    <tableColumn id="4" name="Regularidad Relativa" totalsRowFunction="custom" totalsRowDxfId="416" dataCellStyle="Porcentaje">
      <calculatedColumnFormula>FW6/FV6</calculatedColumnFormula>
      <totalsRowFormula>+ROC_Ca_Lo[[#Totals],[Trenes Puntuales]]/ROC_Ca_Lo[[#Totals],[Trenes Corridos]]</totalsRowFormula>
    </tableColumn>
    <tableColumn id="5" name="Cumplimiento de Programa" totalsRowFunction="custom" totalsRowDxfId="415" dataCellStyle="Porcentaje">
      <calculatedColumnFormula>FV6/FT6</calculatedColumnFormula>
      <totalsRowFormula>+ROC_Ca_Lo[[#Totals],[Trenes Corridos]]/ROC_Ca_Lo[[#Totals],[Trenes Programados]]</totalsRowFormula>
    </tableColumn>
    <tableColumn id="13" name="Trenes Programados por Día Hábil" totalsRowDxfId="414"/>
    <tableColumn id="12" name="Coches por Tren Día Hábil" totalsRowDxfId="413"/>
    <tableColumn id="6" name="Trenes Programados" totalsRowFunction="sum" totalsRowDxfId="412"/>
    <tableColumn id="7" name="Trenes Cancelados" totalsRowFunction="sum" totalsRowDxfId="411">
      <calculatedColumnFormula>FT6-FV6</calculatedColumnFormula>
    </tableColumn>
    <tableColumn id="8" name="Trenes Corridos" totalsRowFunction="sum" totalsRowDxfId="410"/>
    <tableColumn id="9" name="Trenes Puntuales" totalsRowFunction="sum" totalsRowDxfId="409"/>
    <tableColumn id="10" name="Trenes Atrasados" totalsRowFunction="sum" totalsRowDxfId="408">
      <calculatedColumnFormula>FV6-FW6</calculatedColumnFormula>
    </tableColumn>
    <tableColumn id="11" name="Observaciones" totalsRowFunction="count" totalsRowDxfId="407"/>
  </tableColumns>
  <tableStyleInfo name="TableStyleMedium9" showFirstColumn="0" showLastColumn="0" showRowStripes="1" showColumnStripes="0"/>
</table>
</file>

<file path=xl/tables/table26.xml><?xml version="1.0" encoding="utf-8"?>
<table xmlns="http://schemas.openxmlformats.org/spreadsheetml/2006/main" id="35" name="ROC_T_Un_LP" displayName="ROC_T_Un_LP" ref="GA5:GM387" totalsRowCount="1" headerRowDxfId="406" dataDxfId="404" totalsRowDxfId="403" headerRowBorderDxfId="405">
  <autoFilter ref="GA5:GM386"/>
  <tableColumns count="13">
    <tableColumn id="1" name="Año" totalsRowLabel="Total" totalsRowDxfId="402"/>
    <tableColumn id="2" name="Mes" totalsRowDxfId="401"/>
    <tableColumn id="3" name="Regularidad Absoluta" totalsRowFunction="custom" totalsRowDxfId="400" dataCellStyle="Porcentaje">
      <calculatedColumnFormula>GK6/GH6</calculatedColumnFormula>
      <totalsRowFormula>+ROC_T_Un_LP[[#Totals],[Trenes Puntuales]]/ROC_T_Un_LP[[#Totals],[Trenes Programados]]</totalsRowFormula>
    </tableColumn>
    <tableColumn id="4" name="Regularidad Relativa" totalsRowFunction="custom" totalsRowDxfId="399" dataCellStyle="Porcentaje">
      <calculatedColumnFormula>GK6/GJ6</calculatedColumnFormula>
      <totalsRowFormula>+ROC_T_Un_LP[[#Totals],[Trenes Puntuales]]/ROC_T_Un_LP[[#Totals],[Trenes Corridos]]</totalsRowFormula>
    </tableColumn>
    <tableColumn id="5" name="Cumplimiento de Programa" totalsRowFunction="custom" totalsRowDxfId="398" dataCellStyle="Porcentaje">
      <calculatedColumnFormula>GJ6/GH6</calculatedColumnFormula>
      <totalsRowFormula>+ROC_T_Un_LP[[#Totals],[Trenes Corridos]]/ROC_T_Un_LP[[#Totals],[Trenes Programados]]</totalsRowFormula>
    </tableColumn>
    <tableColumn id="13" name="Trenes Programados por Día Hábil" totalsRowDxfId="397"/>
    <tableColumn id="12" name="Coches por Tren Día Hábil" totalsRowDxfId="396"/>
    <tableColumn id="6" name="Trenes Programados" totalsRowFunction="sum" totalsRowDxfId="395"/>
    <tableColumn id="7" name="Trenes Cancelados" totalsRowFunction="sum" totalsRowDxfId="394">
      <calculatedColumnFormula>GH6-GJ6</calculatedColumnFormula>
    </tableColumn>
    <tableColumn id="8" name="Trenes Corridos" totalsRowFunction="sum" totalsRowDxfId="393"/>
    <tableColumn id="9" name="Trenes Puntuales" totalsRowFunction="sum" totalsRowDxfId="392"/>
    <tableColumn id="10" name="Trenes Atrasados" totalsRowFunction="sum" totalsRowDxfId="391">
      <calculatedColumnFormula>GJ6-GK6</calculatedColumnFormula>
    </tableColumn>
    <tableColumn id="11" name="Observaciones" totalsRowFunction="count" totalsRowDxfId="390"/>
  </tableColumns>
  <tableStyleInfo name="TableStyleMedium9" showFirstColumn="0" showLastColumn="0" showRowStripes="1" showColumnStripes="0"/>
</table>
</file>

<file path=xl/tables/table27.xml><?xml version="1.0" encoding="utf-8"?>
<table xmlns="http://schemas.openxmlformats.org/spreadsheetml/2006/main" id="23" name="SM" displayName="SM" ref="A5:M387" totalsRowCount="1" headerRowDxfId="353" dataDxfId="351" totalsRowDxfId="350" headerRowBorderDxfId="352">
  <autoFilter ref="A5:M386"/>
  <tableColumns count="13">
    <tableColumn id="1" name="Año" totalsRowLabel="Total" dataDxfId="349" totalsRowDxfId="348"/>
    <tableColumn id="2" name="Mes" dataDxfId="347" totalsRowDxfId="346"/>
    <tableColumn id="3" name="Regularidad Absoluta" totalsRowFunction="custom" dataDxfId="345" totalsRowDxfId="344" dataCellStyle="Porcentaje">
      <calculatedColumnFormula>K6/H6</calculatedColumnFormula>
      <totalsRowFormula>+SM[[#Totals],[Trenes Puntuales]]/SM[[#Totals],[Trenes Programados]]</totalsRowFormula>
    </tableColumn>
    <tableColumn id="4" name="Regularidad Relativa" totalsRowFunction="custom" dataDxfId="343" totalsRowDxfId="342" dataCellStyle="Porcentaje">
      <calculatedColumnFormula>K6/J6</calculatedColumnFormula>
      <totalsRowFormula>+SM[[#Totals],[Trenes Puntuales]]/SM[[#Totals],[Trenes Corridos]]</totalsRowFormula>
    </tableColumn>
    <tableColumn id="5" name="Cumplimiento de Programa" totalsRowFunction="custom" dataDxfId="341" totalsRowDxfId="340" dataCellStyle="Porcentaje">
      <calculatedColumnFormula>J6/H6</calculatedColumnFormula>
      <totalsRowFormula>+SM[[#Totals],[Trenes Corridos]]/SM[[#Totals],[Trenes Programados]]</totalsRowFormula>
    </tableColumn>
    <tableColumn id="13" name="Trenes Programados por Día Hábil" dataDxfId="339" totalsRowDxfId="338" dataCellStyle="Porcentaje"/>
    <tableColumn id="12" name="Coches por Tren Día Hábil" dataDxfId="337" totalsRowDxfId="336" dataCellStyle="Porcentaje"/>
    <tableColumn id="6" name="Trenes Programados" totalsRowFunction="sum" dataDxfId="335" totalsRowDxfId="334"/>
    <tableColumn id="7" name="Trenes Cancelados" totalsRowFunction="sum" dataDxfId="333" totalsRowDxfId="332">
      <calculatedColumnFormula>H6-J6</calculatedColumnFormula>
    </tableColumn>
    <tableColumn id="8" name="Trenes Corridos" totalsRowFunction="sum" dataDxfId="331" totalsRowDxfId="330"/>
    <tableColumn id="9" name="Trenes Puntuales" totalsRowFunction="sum" dataDxfId="329" totalsRowDxfId="328"/>
    <tableColumn id="10" name="Trenes Atrasados" totalsRowFunction="sum" dataDxfId="327" totalsRowDxfId="326">
      <calculatedColumnFormula>J6-K6</calculatedColumnFormula>
    </tableColumn>
    <tableColumn id="11" name="Observaciones" totalsRowFunction="count" dataDxfId="325" totalsRowDxfId="324"/>
  </tableColumns>
  <tableStyleInfo name="TableStyleMedium9" showFirstColumn="0" showLastColumn="0" showRowStripes="1" showColumnStripes="0"/>
</table>
</file>

<file path=xl/tables/table28.xml><?xml version="1.0" encoding="utf-8"?>
<table xmlns="http://schemas.openxmlformats.org/spreadsheetml/2006/main" id="24" name="BN" displayName="BN" ref="A5:M387" totalsRowCount="1" headerRowDxfId="305" dataDxfId="304" totalsRowDxfId="303">
  <autoFilter ref="A5:M386"/>
  <tableColumns count="13">
    <tableColumn id="1" name="Año" totalsRowLabel="Total" dataDxfId="302" totalsRowDxfId="301"/>
    <tableColumn id="2" name="Mes" dataDxfId="300" totalsRowDxfId="299"/>
    <tableColumn id="3" name="Regularidad Absoluta" totalsRowFunction="custom" dataDxfId="298" totalsRowDxfId="297" dataCellStyle="Porcentaje">
      <calculatedColumnFormula>K6/H6</calculatedColumnFormula>
      <totalsRowFormula>+BN[[#Totals],[Trenes Puntuales]]/BN[[#Totals],[Trenes Programados]]</totalsRowFormula>
    </tableColumn>
    <tableColumn id="4" name="Regularidad Relativa" totalsRowFunction="custom" dataDxfId="296" totalsRowDxfId="295" dataCellStyle="Porcentaje">
      <calculatedColumnFormula>K6/J6</calculatedColumnFormula>
      <totalsRowFormula>+BN[[#Totals],[Trenes Puntuales]]/BN[[#Totals],[Trenes Corridos]]</totalsRowFormula>
    </tableColumn>
    <tableColumn id="5" name="Cumplimiento de Programa" totalsRowFunction="custom" dataDxfId="294" totalsRowDxfId="293" dataCellStyle="Porcentaje">
      <calculatedColumnFormula>J6/H6</calculatedColumnFormula>
      <totalsRowFormula>+BN[[#Totals],[Trenes Corridos]]/BN[[#Totals],[Trenes Programados]]</totalsRowFormula>
    </tableColumn>
    <tableColumn id="13" name="Trenes Programados por Día Hábil" dataDxfId="292" totalsRowDxfId="291" dataCellStyle="Porcentaje"/>
    <tableColumn id="12" name="Coches por Tren Día Hábil" dataDxfId="290" totalsRowDxfId="289" dataCellStyle="Porcentaje"/>
    <tableColumn id="6" name="Trenes Programados" totalsRowFunction="sum" dataDxfId="288" totalsRowDxfId="287"/>
    <tableColumn id="7" name="Trenes Cancelados" totalsRowFunction="sum" dataDxfId="286" totalsRowDxfId="285">
      <calculatedColumnFormula>+H6-J6</calculatedColumnFormula>
    </tableColumn>
    <tableColumn id="8" name="Trenes Corridos" totalsRowFunction="sum" dataDxfId="284" totalsRowDxfId="283"/>
    <tableColumn id="9" name="Trenes Puntuales" totalsRowFunction="sum" dataDxfId="282" totalsRowDxfId="281"/>
    <tableColumn id="10" name="Trenes Atrasados" totalsRowFunction="sum" dataDxfId="280" totalsRowDxfId="279">
      <calculatedColumnFormula>J6-K6</calculatedColumnFormula>
    </tableColumn>
    <tableColumn id="11" name="Observaciones" totalsRowFunction="count" dataDxfId="278" totalsRowDxfId="277"/>
  </tableColumns>
  <tableStyleInfo name="TableStyleMedium9" showFirstColumn="0" showLastColumn="0" showRowStripes="1" showColumnStripes="0"/>
</table>
</file>

<file path=xl/tables/table29.xml><?xml version="1.0" encoding="utf-8"?>
<table xmlns="http://schemas.openxmlformats.org/spreadsheetml/2006/main" id="25" name="BS" displayName="BS" ref="A5:M387" totalsRowCount="1" headerRowDxfId="251" dataDxfId="249" totalsRowDxfId="248" headerRowBorderDxfId="250">
  <autoFilter ref="A5:M386"/>
  <tableColumns count="13">
    <tableColumn id="1" name="Año" totalsRowLabel="Total" dataDxfId="247" totalsRowDxfId="246"/>
    <tableColumn id="2" name="Mes" dataDxfId="245" totalsRowDxfId="244"/>
    <tableColumn id="3" name="Regularidad Absoluta" totalsRowFunction="custom" dataDxfId="243" totalsRowDxfId="242" dataCellStyle="Porcentaje">
      <calculatedColumnFormula>K6/H6</calculatedColumnFormula>
      <totalsRowFormula>+BS[[#Totals],[Trenes Puntuales]]/BS[[#Totals],[Trenes Programados]]</totalsRowFormula>
    </tableColumn>
    <tableColumn id="4" name="Regularidad Relativa" totalsRowFunction="custom" dataDxfId="241" totalsRowDxfId="240" dataCellStyle="Porcentaje">
      <calculatedColumnFormula>K6/J6</calculatedColumnFormula>
      <totalsRowFormula>+BS[[#Totals],[Trenes Puntuales]]/BS[[#Totals],[Trenes Corridos]]</totalsRowFormula>
    </tableColumn>
    <tableColumn id="5" name="Cumplimiento de Programa" totalsRowFunction="custom" dataDxfId="239" totalsRowDxfId="238" dataCellStyle="Porcentaje">
      <calculatedColumnFormula>J6/H6</calculatedColumnFormula>
      <totalsRowFormula>+BS[[#Totals],[Trenes Corridos]]/BS[[#Totals],[Trenes Programados]]</totalsRowFormula>
    </tableColumn>
    <tableColumn id="13" name="Trenes Programados por Día Hábil" dataDxfId="237" totalsRowDxfId="236" dataCellStyle="Porcentaje">
      <calculatedColumnFormula>+T6+AH6+AV6+BJ6+BX6</calculatedColumnFormula>
    </tableColumn>
    <tableColumn id="12" name="Coches por Tren Día Hábil" dataDxfId="235" totalsRowDxfId="234" dataCellStyle="Porcentaje">
      <calculatedColumnFormula>+(BS_GC_20J[[#This Row],[Coches por Tren Día Hábil]]*BS_GC_20J[[#This Row],[Trenes Corridos]]+BS_BA_Mnos[[#This Row],[Coches por Tren Día Hábil]]*BS_BA_Mnos[[#This Row],[Trenes Corridos]]+BS_GC_MP_Vill[[#This Row],[Coches por Tren Día Hábil]]*BS_GC_MP_Vill[[#This Row],[Trenes Corridos]])/BS[[#This Row],[Trenes Corridos]]</calculatedColumnFormula>
    </tableColumn>
    <tableColumn id="6" name="Trenes Programados" totalsRowFunction="sum" dataDxfId="233" totalsRowDxfId="232"/>
    <tableColumn id="7" name="Trenes Cancelados" totalsRowFunction="sum" dataDxfId="231" totalsRowDxfId="230">
      <calculatedColumnFormula>H6-J6</calculatedColumnFormula>
    </tableColumn>
    <tableColumn id="8" name="Trenes Corridos" totalsRowFunction="sum" dataDxfId="229" totalsRowDxfId="228"/>
    <tableColumn id="9" name="Trenes Puntuales" totalsRowFunction="sum" dataDxfId="227" totalsRowDxfId="226"/>
    <tableColumn id="10" name="Trenes Atrasados" totalsRowFunction="sum" dataDxfId="225" totalsRowDxfId="224">
      <calculatedColumnFormula>J6-K6</calculatedColumnFormula>
    </tableColumn>
    <tableColumn id="11" name="Observaciones" totalsRowFunction="count" dataDxfId="223" totalsRowDxfId="222"/>
  </tableColumns>
  <tableStyleInfo name="TableStyleMedium9" showFirstColumn="0" showLastColumn="0" showRowStripes="1" showColumnStripes="0"/>
</table>
</file>

<file path=xl/tables/table3.xml><?xml version="1.0" encoding="utf-8"?>
<table xmlns="http://schemas.openxmlformats.org/spreadsheetml/2006/main" id="4" name="Tabla4" displayName="Tabla4" ref="O5:AA387" totalsRowCount="1" headerRowDxfId="972" dataDxfId="971" totalsRowDxfId="970">
  <autoFilter ref="O5:AA386"/>
  <tableColumns count="13">
    <tableColumn id="1" name="Año" totalsRowLabel="Total" dataDxfId="969" totalsRowDxfId="968"/>
    <tableColumn id="2" name="Mes" totalsRowDxfId="967"/>
    <tableColumn id="3" name="Regularidad Absoluta" totalsRowFunction="custom" totalsRowDxfId="966" dataCellStyle="Porcentaje">
      <calculatedColumnFormula>+Tabla4[[#This Row],[Trenes Puntuales]]/Tabla4[[#This Row],[Trenes Programados]]</calculatedColumnFormula>
      <totalsRowFormula>+Tabla4[[#Totals],[Trenes Puntuales]]/Tabla4[[#Totals],[Trenes Programados]]</totalsRowFormula>
    </tableColumn>
    <tableColumn id="4" name="Regularidad Relativa" totalsRowFunction="custom" totalsRowDxfId="965" dataCellStyle="Porcentaje">
      <calculatedColumnFormula>+Tabla4[[#This Row],[Trenes Puntuales]]/Tabla4[[#This Row],[Trenes Corridos]]</calculatedColumnFormula>
      <totalsRowFormula>+Tabla4[[#Totals],[Trenes Puntuales]]/Tabla4[[#Totals],[Trenes Corridos]]</totalsRowFormula>
    </tableColumn>
    <tableColumn id="5" name="Cumplimiento de Programa" totalsRowFunction="custom" totalsRowDxfId="964" dataCellStyle="Porcentaje">
      <calculatedColumnFormula>+Tabla4[[#This Row],[Trenes Corridos]]/Tabla4[[#This Row],[Trenes Programados]]</calculatedColumnFormula>
      <totalsRowFormula>+Tabla4[[#Totals],[Trenes Corridos]]/Tabla4[[#Totals],[Trenes Programados]]</totalsRowFormula>
    </tableColumn>
    <tableColumn id="13" name="Trenes Programados por Día Hábil" totalsRowDxfId="963"/>
    <tableColumn id="12" name="Coches por Tren Día Hábil" totalsRowDxfId="962"/>
    <tableColumn id="6" name="Trenes Programados" totalsRowFunction="sum" totalsRowDxfId="961"/>
    <tableColumn id="7" name="Trenes Cancelados" totalsRowFunction="sum" totalsRowDxfId="960">
      <calculatedColumnFormula>+V6-X6</calculatedColumnFormula>
    </tableColumn>
    <tableColumn id="8" name="Trenes Corridos" totalsRowFunction="sum" totalsRowDxfId="959"/>
    <tableColumn id="9" name="Trenes Puntuales" totalsRowFunction="sum" totalsRowDxfId="958"/>
    <tableColumn id="10" name="Trenes Atrasados" totalsRowFunction="sum" totalsRowDxfId="957">
      <calculatedColumnFormula>+X6-Y6</calculatedColumnFormula>
    </tableColumn>
    <tableColumn id="11" name="Observaciones" totalsRowFunction="count" dataDxfId="956" totalsRowDxfId="955"/>
  </tableColumns>
  <tableStyleInfo name="TableStyleMedium9" showFirstColumn="0" showLastColumn="0" showRowStripes="1" showColumnStripes="0"/>
</table>
</file>

<file path=xl/tables/table30.xml><?xml version="1.0" encoding="utf-8"?>
<table xmlns="http://schemas.openxmlformats.org/spreadsheetml/2006/main" id="26" name="BS_GC_20J" displayName="BS_GC_20J" ref="O5:AA387" totalsRowCount="1" headerRowDxfId="221" dataDxfId="219" headerRowBorderDxfId="220">
  <autoFilter ref="O5:AA386"/>
  <tableColumns count="13">
    <tableColumn id="1" name="Año" totalsRowLabel="Total" dataDxfId="218" totalsRowDxfId="217"/>
    <tableColumn id="2" name="Mes" dataDxfId="216" totalsRowDxfId="215"/>
    <tableColumn id="3" name="Regularidad Absoluta" totalsRowFunction="custom" dataDxfId="214" totalsRowDxfId="213" dataCellStyle="Porcentaje">
      <calculatedColumnFormula>Y6/V6</calculatedColumnFormula>
      <totalsRowFormula>+BS_GC_20J[[#Totals],[Trenes Puntuales]]/BS_GC_20J[[#Totals],[Trenes Programados]]</totalsRowFormula>
    </tableColumn>
    <tableColumn id="4" name="Regularidad Relativa" totalsRowFunction="custom" dataDxfId="212" totalsRowDxfId="211" dataCellStyle="Porcentaje">
      <calculatedColumnFormula>Y6/X6</calculatedColumnFormula>
      <totalsRowFormula>+BS_GC_20J[[#Totals],[Trenes Puntuales]]/BS_GC_20J[[#Totals],[Trenes Corridos]]</totalsRowFormula>
    </tableColumn>
    <tableColumn id="5" name="Cumplimiento de Programa" totalsRowFunction="custom" dataDxfId="210" totalsRowDxfId="209" dataCellStyle="Porcentaje">
      <calculatedColumnFormula>X6/V6</calculatedColumnFormula>
      <totalsRowFormula>+BS_GC_20J[[#Totals],[Trenes Corridos]]/BS_GC_20J[[#Totals],[Trenes Programados]]</totalsRowFormula>
    </tableColumn>
    <tableColumn id="13" name="Trenes Programados por Día Hábil" dataDxfId="208" totalsRowDxfId="207" dataCellStyle="Porcentaje"/>
    <tableColumn id="12" name="Coches por Tren Día Hábil" dataDxfId="206" totalsRowDxfId="205" dataCellStyle="Porcentaje"/>
    <tableColumn id="6" name="Trenes Programados" totalsRowFunction="sum" dataDxfId="204" totalsRowDxfId="203"/>
    <tableColumn id="7" name="Trenes Cancelados" totalsRowFunction="sum" dataDxfId="202" totalsRowDxfId="201">
      <calculatedColumnFormula>V6-X6</calculatedColumnFormula>
    </tableColumn>
    <tableColumn id="8" name="Trenes Corridos" totalsRowFunction="sum" dataDxfId="200" totalsRowDxfId="199"/>
    <tableColumn id="9" name="Trenes Puntuales" totalsRowFunction="sum" dataDxfId="198" totalsRowDxfId="197"/>
    <tableColumn id="10" name="Trenes Atrasados" totalsRowFunction="sum" dataDxfId="196" totalsRowDxfId="195">
      <calculatedColumnFormula>X6-Y6</calculatedColumnFormula>
    </tableColumn>
    <tableColumn id="11" name="Observaciones" totalsRowFunction="count" dataDxfId="194" totalsRowDxfId="193"/>
  </tableColumns>
  <tableStyleInfo name="TableStyleMedium9" showFirstColumn="0" showLastColumn="0" showRowStripes="1" showColumnStripes="0"/>
</table>
</file>

<file path=xl/tables/table31.xml><?xml version="1.0" encoding="utf-8"?>
<table xmlns="http://schemas.openxmlformats.org/spreadsheetml/2006/main" id="27" name="BS_BA_Mnos" displayName="BS_BA_Mnos" ref="AC5:AO387" totalsRowCount="1" headerRowDxfId="192" dataDxfId="190" headerRowBorderDxfId="191">
  <autoFilter ref="AC5:AO386"/>
  <tableColumns count="13">
    <tableColumn id="1" name="Año" totalsRowLabel="Total" dataDxfId="189" totalsRowDxfId="188"/>
    <tableColumn id="2" name="Mes" dataDxfId="187" totalsRowDxfId="186"/>
    <tableColumn id="3" name="Regularidad Absoluta" totalsRowFunction="custom" dataDxfId="185" totalsRowDxfId="184" dataCellStyle="Porcentaje">
      <calculatedColumnFormula>AM6/AJ6</calculatedColumnFormula>
      <totalsRowFormula>+BS_BA_Mnos[[#Totals],[Trenes Puntuales]]/BS_BA_Mnos[[#Totals],[Trenes Programados]]</totalsRowFormula>
    </tableColumn>
    <tableColumn id="4" name="Regularidad Relativa" totalsRowFunction="custom" dataDxfId="183" totalsRowDxfId="182" dataCellStyle="Porcentaje">
      <calculatedColumnFormula>AM6/AL6</calculatedColumnFormula>
      <totalsRowFormula>+BS_BA_Mnos[[#Totals],[Trenes Puntuales]]/BS_BA_Mnos[[#Totals],[Trenes Corridos]]</totalsRowFormula>
    </tableColumn>
    <tableColumn id="5" name="Cumplimiento de Programa" totalsRowFunction="custom" dataDxfId="181" totalsRowDxfId="180" dataCellStyle="Porcentaje">
      <calculatedColumnFormula>AL6/AJ6</calculatedColumnFormula>
      <totalsRowFormula>+BS_BA_Mnos[[#Totals],[Trenes Corridos]]/BS_BA_Mnos[[#Totals],[Trenes Programados]]</totalsRowFormula>
    </tableColumn>
    <tableColumn id="13" name="Trenes Programados por Día Hábil" dataDxfId="179" totalsRowDxfId="178" dataCellStyle="Porcentaje"/>
    <tableColumn id="12" name="Coches por Tren Día Hábil" dataDxfId="177" totalsRowDxfId="176" dataCellStyle="Porcentaje"/>
    <tableColumn id="6" name="Trenes Programados" totalsRowFunction="sum" dataDxfId="175" totalsRowDxfId="174"/>
    <tableColumn id="7" name="Trenes Cancelados" totalsRowFunction="sum" dataDxfId="173" totalsRowDxfId="172">
      <calculatedColumnFormula>AJ6-AL6</calculatedColumnFormula>
    </tableColumn>
    <tableColumn id="8" name="Trenes Corridos" totalsRowFunction="sum" dataDxfId="171" totalsRowDxfId="170"/>
    <tableColumn id="9" name="Trenes Puntuales" totalsRowFunction="sum" dataDxfId="169" totalsRowDxfId="168"/>
    <tableColumn id="10" name="Trenes Atrasados" totalsRowFunction="sum" dataDxfId="167" totalsRowDxfId="166">
      <calculatedColumnFormula>AL6-AM6</calculatedColumnFormula>
    </tableColumn>
    <tableColumn id="11" name="Observaciones" totalsRowFunction="count" dataDxfId="165" totalsRowDxfId="164"/>
  </tableColumns>
  <tableStyleInfo name="TableStyleMedium9" showFirstColumn="0" showLastColumn="0" showRowStripes="1" showColumnStripes="0"/>
</table>
</file>

<file path=xl/tables/table32.xml><?xml version="1.0" encoding="utf-8"?>
<table xmlns="http://schemas.openxmlformats.org/spreadsheetml/2006/main" id="28" name="BS_PA_AB" displayName="BS_PA_AB" ref="AQ5:BC387" totalsRowCount="1" headerRowDxfId="163" dataDxfId="161" headerRowBorderDxfId="162">
  <autoFilter ref="AQ5:BC386"/>
  <tableColumns count="13">
    <tableColumn id="1" name="Año" totalsRowLabel="Total" dataDxfId="160" totalsRowDxfId="159"/>
    <tableColumn id="2" name="Mes" dataDxfId="158" totalsRowDxfId="157"/>
    <tableColumn id="3" name="Regularidad Absoluta" totalsRowFunction="custom" dataDxfId="156" totalsRowDxfId="155" dataCellStyle="Porcentaje">
      <calculatedColumnFormula>BA6/AX6</calculatedColumnFormula>
      <totalsRowFormula>+BS_PA_AB[[#Totals],[Trenes Puntuales]]/BS_PA_AB[[#Totals],[Trenes Programados]]</totalsRowFormula>
    </tableColumn>
    <tableColumn id="4" name="Regularidad Relativa" totalsRowFunction="custom" dataDxfId="154" totalsRowDxfId="153" dataCellStyle="Porcentaje">
      <calculatedColumnFormula>BA6/AZ6</calculatedColumnFormula>
      <totalsRowFormula>+BS_PA_AB[[#Totals],[Trenes Puntuales]]/BS_PA_AB[[#Totals],[Trenes Corridos]]</totalsRowFormula>
    </tableColumn>
    <tableColumn id="5" name="Cumplimiento de Programa" totalsRowFunction="custom" dataDxfId="152" totalsRowDxfId="151" dataCellStyle="Porcentaje">
      <calculatedColumnFormula>AZ6/AX6</calculatedColumnFormula>
      <totalsRowFormula>+BS_PA_AB[[#Totals],[Trenes Corridos]]/BS_PA_AB[[#Totals],[Trenes Programados]]</totalsRowFormula>
    </tableColumn>
    <tableColumn id="13" name="Trenes Programados por Día Hábil" dataDxfId="150" totalsRowDxfId="149" dataCellStyle="Porcentaje"/>
    <tableColumn id="12" name="Coches por Tren Día Hábil" dataDxfId="148" totalsRowDxfId="147" dataCellStyle="Porcentaje"/>
    <tableColumn id="6" name="Trenes Programados" totalsRowFunction="sum" dataDxfId="146" totalsRowDxfId="145"/>
    <tableColumn id="7" name="Trenes Cancelados" totalsRowFunction="sum" dataDxfId="144" totalsRowDxfId="143"/>
    <tableColumn id="8" name="Trenes Corridos" totalsRowFunction="sum" dataDxfId="142" totalsRowDxfId="141"/>
    <tableColumn id="9" name="Trenes Puntuales" totalsRowFunction="sum" dataDxfId="140" totalsRowDxfId="139"/>
    <tableColumn id="10" name="Trenes Atrasados" totalsRowFunction="sum" dataDxfId="138" totalsRowDxfId="137"/>
    <tableColumn id="11" name="Observaciones" totalsRowFunction="count" dataDxfId="136" totalsRowDxfId="135"/>
  </tableColumns>
  <tableStyleInfo name="TableStyleMedium9" showFirstColumn="0" showLastColumn="0" showRowStripes="1" showColumnStripes="0"/>
</table>
</file>

<file path=xl/tables/table33.xml><?xml version="1.0" encoding="utf-8"?>
<table xmlns="http://schemas.openxmlformats.org/spreadsheetml/2006/main" id="29" name="BS_Km12_Li" displayName="BS_Km12_Li" ref="BE5:BQ387" totalsRowCount="1" headerRowDxfId="134" dataDxfId="132" headerRowBorderDxfId="133">
  <autoFilter ref="BE5:BQ386"/>
  <tableColumns count="13">
    <tableColumn id="1" name="Año" totalsRowLabel="Total" dataDxfId="131" totalsRowDxfId="130"/>
    <tableColumn id="2" name="Mes" dataDxfId="129" totalsRowDxfId="128"/>
    <tableColumn id="3" name="Regularidad Absoluta" totalsRowFunction="custom" dataDxfId="127" totalsRowDxfId="126" dataCellStyle="Porcentaje">
      <calculatedColumnFormula>BO6/BL6</calculatedColumnFormula>
      <totalsRowFormula>+BS_Km12_Li[[#Totals],[Trenes Puntuales]]/BS_Km12_Li[[#Totals],[Trenes Programados]]</totalsRowFormula>
    </tableColumn>
    <tableColumn id="4" name="Regularidad Relativa" totalsRowFunction="custom" dataDxfId="125" totalsRowDxfId="124" dataCellStyle="Porcentaje">
      <calculatedColumnFormula>BO6/BN6</calculatedColumnFormula>
      <totalsRowFormula>+BS_Km12_Li[[#Totals],[Trenes Puntuales]]/BS_Km12_Li[[#Totals],[Trenes Corridos]]</totalsRowFormula>
    </tableColumn>
    <tableColumn id="5" name="Cumplimiento de Programa" totalsRowFunction="custom" dataDxfId="123" totalsRowDxfId="122" dataCellStyle="Porcentaje">
      <calculatedColumnFormula>BN6/BL6</calculatedColumnFormula>
      <totalsRowFormula>+BS_Km12_Li[[#Totals],[Trenes Corridos]]/BS_Km12_Li[[#Totals],[Trenes Programados]]</totalsRowFormula>
    </tableColumn>
    <tableColumn id="13" name="Trenes Programados por Día Hábil" dataDxfId="121" totalsRowDxfId="120" dataCellStyle="Porcentaje"/>
    <tableColumn id="12" name="Coches por Tren Día Hábil" dataDxfId="119" totalsRowDxfId="118" dataCellStyle="Porcentaje"/>
    <tableColumn id="6" name="Trenes Programados" totalsRowFunction="sum" dataDxfId="117" totalsRowDxfId="116"/>
    <tableColumn id="7" name="Trenes Cancelados" totalsRowFunction="sum" dataDxfId="115" totalsRowDxfId="114">
      <calculatedColumnFormula>BL6-BN6</calculatedColumnFormula>
    </tableColumn>
    <tableColumn id="8" name="Trenes Corridos" totalsRowFunction="sum" dataDxfId="113" totalsRowDxfId="112"/>
    <tableColumn id="9" name="Trenes Puntuales" totalsRowFunction="sum" dataDxfId="111" totalsRowDxfId="110"/>
    <tableColumn id="10" name="Trenes Atrasados" totalsRowFunction="sum" dataDxfId="109" totalsRowDxfId="108">
      <calculatedColumnFormula>BN6-BO6</calculatedColumnFormula>
    </tableColumn>
    <tableColumn id="11" name="Observaciones" totalsRowFunction="count" dataDxfId="107" totalsRowDxfId="106"/>
  </tableColumns>
  <tableStyleInfo name="TableStyleMedium9" showFirstColumn="0" showLastColumn="0" showRowStripes="1" showColumnStripes="0"/>
</table>
</file>

<file path=xl/tables/table34.xml><?xml version="1.0" encoding="utf-8"?>
<table xmlns="http://schemas.openxmlformats.org/spreadsheetml/2006/main" id="18" name="BS_GC_MP_Vill" displayName="BS_GC_MP_Vill" ref="BS5:CE387" totalsRowCount="1" headerRowDxfId="105" dataDxfId="103" headerRowBorderDxfId="104">
  <autoFilter ref="BS5:CE386"/>
  <tableColumns count="13">
    <tableColumn id="1" name="Año" totalsRowLabel="Total" dataDxfId="102" totalsRowDxfId="101"/>
    <tableColumn id="2" name="Mes" dataDxfId="100" totalsRowDxfId="99"/>
    <tableColumn id="3" name="Regularidad Absoluta" totalsRowFunction="custom" dataDxfId="98" totalsRowDxfId="97" dataCellStyle="Porcentaje">
      <calculatedColumnFormula>CC6/BZ6</calculatedColumnFormula>
      <totalsRowFormula>+BS_GC_MP_Vill[[#Totals],[Trenes Puntuales]]/BS_GC_MP_Vill[[#Totals],[Trenes Programados]]</totalsRowFormula>
    </tableColumn>
    <tableColumn id="4" name="Regularidad Relativa" totalsRowFunction="custom" dataDxfId="96" totalsRowDxfId="95" dataCellStyle="Porcentaje">
      <calculatedColumnFormula>CC6/CB6</calculatedColumnFormula>
      <totalsRowFormula>+BS_GC_MP_Vill[[#Totals],[Trenes Puntuales]]/BS_GC_MP_Vill[[#Totals],[Trenes Corridos]]</totalsRowFormula>
    </tableColumn>
    <tableColumn id="5" name="Cumplimiento de Programa" totalsRowFunction="custom" dataDxfId="94" totalsRowDxfId="93" dataCellStyle="Porcentaje">
      <calculatedColumnFormula>CB6/BZ6</calculatedColumnFormula>
      <totalsRowFormula>+BS_GC_MP_Vill[[#Totals],[Trenes Corridos]]/BS_GC_MP_Vill[[#Totals],[Trenes Programados]]</totalsRowFormula>
    </tableColumn>
    <tableColumn id="13" name="Trenes Programados " dataDxfId="92" totalsRowDxfId="91" dataCellStyle="Porcentaje"/>
    <tableColumn id="12" name="Coches por Tren Día Hábil" dataDxfId="90" totalsRowDxfId="89" dataCellStyle="Porcentaje"/>
    <tableColumn id="6" name="Trenes Programados" totalsRowFunction="sum" dataDxfId="88" totalsRowDxfId="87"/>
    <tableColumn id="7" name="Trenes Cancelados" totalsRowFunction="sum" dataDxfId="86" totalsRowDxfId="85">
      <calculatedColumnFormula>BZ6-CB6</calculatedColumnFormula>
    </tableColumn>
    <tableColumn id="8" name="Trenes Corridos" totalsRowFunction="sum" dataDxfId="84" totalsRowDxfId="83"/>
    <tableColumn id="9" name="Trenes Puntuales" totalsRowFunction="sum" dataDxfId="82" totalsRowDxfId="81"/>
    <tableColumn id="10" name="Trenes Atrasados" totalsRowFunction="sum" dataDxfId="80" totalsRowDxfId="79">
      <calculatedColumnFormula>CB6-CC6</calculatedColumnFormula>
    </tableColumn>
    <tableColumn id="11" name="Observaciones" totalsRowFunction="count" dataDxfId="78" totalsRowDxfId="77"/>
  </tableColumns>
  <tableStyleInfo name="TableStyleMedium9" showFirstColumn="0" showLastColumn="0" showRowStripes="1" showColumnStripes="0"/>
</table>
</file>

<file path=xl/tables/table35.xml><?xml version="1.0" encoding="utf-8"?>
<table xmlns="http://schemas.openxmlformats.org/spreadsheetml/2006/main" id="36" name="BS_TJOFRE_MER" displayName="BS_TJOFRE_MER" ref="CG5:CS387" totalsRowCount="1" headerRowDxfId="76" dataDxfId="74" headerRowBorderDxfId="75">
  <autoFilter ref="CG5:CS386"/>
  <tableColumns count="13">
    <tableColumn id="1" name="Año" totalsRowLabel="Total" dataDxfId="73" totalsRowDxfId="72"/>
    <tableColumn id="2" name="Mes" dataDxfId="71" totalsRowDxfId="70"/>
    <tableColumn id="3" name="Regularidad Absoluta" totalsRowFunction="custom" dataDxfId="69" totalsRowDxfId="68" dataCellStyle="Porcentaje">
      <calculatedColumnFormula>CQ6/CN6</calculatedColumnFormula>
      <totalsRowFormula>+BS_TJOFRE_MER[[#Totals],[Trenes Puntuales]]/BS_TJOFRE_MER[[#Totals],[Trenes Programados]]</totalsRowFormula>
    </tableColumn>
    <tableColumn id="4" name="Regularidad Relativa" totalsRowFunction="custom" dataDxfId="67" totalsRowDxfId="66" dataCellStyle="Porcentaje">
      <calculatedColumnFormula>CQ6/CP6</calculatedColumnFormula>
      <totalsRowFormula>+BS_TJOFRE_MER[[#Totals],[Trenes Puntuales]]/BS_TJOFRE_MER[[#Totals],[Trenes Corridos]]</totalsRowFormula>
    </tableColumn>
    <tableColumn id="5" name="Cumplimiento de Programa" totalsRowFunction="custom" dataDxfId="65" totalsRowDxfId="64" dataCellStyle="Porcentaje">
      <calculatedColumnFormula>CP6/CN6</calculatedColumnFormula>
      <totalsRowFormula>+BS_TJOFRE_MER[[#Totals],[Trenes Corridos]]/BS_TJOFRE_MER[[#Totals],[Trenes Programados]]</totalsRowFormula>
    </tableColumn>
    <tableColumn id="13" name="Trenes Programados por Día Hábil" dataDxfId="63" totalsRowDxfId="62" dataCellStyle="Porcentaje"/>
    <tableColumn id="12" name="Coches por Tren Día Hábil" dataDxfId="61" totalsRowDxfId="60" dataCellStyle="Porcentaje"/>
    <tableColumn id="6" name="Trenes Programados" totalsRowFunction="sum" dataDxfId="59" totalsRowDxfId="58"/>
    <tableColumn id="7" name="Trenes Cancelados" totalsRowFunction="sum" dataDxfId="57" totalsRowDxfId="56">
      <calculatedColumnFormula>+BS_TJOFRE_MER[[#This Row],[Trenes Programados]]-BS_TJOFRE_MER[[#This Row],[Trenes Corridos]]</calculatedColumnFormula>
    </tableColumn>
    <tableColumn id="8" name="Trenes Corridos" totalsRowFunction="sum" dataDxfId="55" totalsRowDxfId="54"/>
    <tableColumn id="9" name="Trenes Puntuales" totalsRowFunction="sum" dataDxfId="53" totalsRowDxfId="52"/>
    <tableColumn id="10" name="Trenes Atrasados" totalsRowFunction="sum" dataDxfId="51" totalsRowDxfId="50">
      <calculatedColumnFormula>CP6-CQ6</calculatedColumnFormula>
    </tableColumn>
    <tableColumn id="11" name="Observaciones" totalsRowFunction="count" dataDxfId="49" totalsRowDxfId="48"/>
  </tableColumns>
  <tableStyleInfo name="TableStyleMedium9" showFirstColumn="0" showLastColumn="0" showRowStripes="1" showColumnStripes="0"/>
</table>
</file>

<file path=xl/tables/table36.xml><?xml version="1.0" encoding="utf-8"?>
<table xmlns="http://schemas.openxmlformats.org/spreadsheetml/2006/main" id="30" name="TDC" displayName="TDC" ref="A5:M387" totalsRowCount="1" headerRowDxfId="29" dataDxfId="27" totalsRowDxfId="26" headerRowBorderDxfId="28">
  <autoFilter ref="A5:M386"/>
  <tableColumns count="13">
    <tableColumn id="1" name="Año" totalsRowLabel="Total" dataDxfId="25" totalsRowDxfId="24"/>
    <tableColumn id="2" name="Mes" dataDxfId="23" totalsRowDxfId="22"/>
    <tableColumn id="3" name="Regularidad Absoluta" totalsRowFunction="average" dataDxfId="21" totalsRowDxfId="20" dataCellStyle="Porcentaje">
      <calculatedColumnFormula>K6/H6</calculatedColumnFormula>
    </tableColumn>
    <tableColumn id="4" name="Regularidad Relativa" totalsRowFunction="average" dataDxfId="19" totalsRowDxfId="18" dataCellStyle="Porcentaje">
      <calculatedColumnFormula>K6/J6</calculatedColumnFormula>
    </tableColumn>
    <tableColumn id="5" name="Cumplimiento de Programa" totalsRowFunction="average" dataDxfId="17" totalsRowDxfId="16" dataCellStyle="Porcentaje">
      <calculatedColumnFormula>J6/H6</calculatedColumnFormula>
    </tableColumn>
    <tableColumn id="13" name="Trenes Programados por Día Hábil" dataDxfId="15" totalsRowDxfId="14" dataCellStyle="Porcentaje"/>
    <tableColumn id="12" name="Coches por Tren Día Hábil" dataDxfId="13" totalsRowDxfId="12" dataCellStyle="Porcentaje"/>
    <tableColumn id="6" name="Trenes Programados" totalsRowFunction="sum" dataDxfId="11" totalsRowDxfId="10"/>
    <tableColumn id="7" name="Trenes Cancelados" totalsRowFunction="sum" dataDxfId="9" totalsRowDxfId="8">
      <calculatedColumnFormula>H6-J6</calculatedColumnFormula>
    </tableColumn>
    <tableColumn id="8" name="Trenes Corridos" totalsRowFunction="sum" dataDxfId="7" totalsRowDxfId="6"/>
    <tableColumn id="9" name="Trenes Puntuales" totalsRowFunction="sum" dataDxfId="5" totalsRowDxfId="4"/>
    <tableColumn id="10" name="Trenes Atrasados" totalsRowFunction="sum" dataDxfId="3" totalsRowDxfId="2">
      <calculatedColumnFormula>J6-K6</calculatedColumnFormula>
    </tableColumn>
    <tableColumn id="11" name="Observaciones" totalsRowFunction="count" dataDxfId="1" totalsRowDxfId="0"/>
  </tableColumns>
  <tableStyleInfo name="TableStyleMedium9" showFirstColumn="0" showLastColumn="0" showRowStripes="1" showColumnStripes="0"/>
</table>
</file>

<file path=xl/tables/table4.xml><?xml version="1.0" encoding="utf-8"?>
<table xmlns="http://schemas.openxmlformats.org/spreadsheetml/2006/main" id="5" name="Tabla5" displayName="Tabla5" ref="AC5:AO387" totalsRowCount="1" headerRowDxfId="954" dataDxfId="953" totalsRowDxfId="952">
  <autoFilter ref="AC5:AO386"/>
  <tableColumns count="13">
    <tableColumn id="1" name="Año" totalsRowLabel="Total" dataDxfId="951" totalsRowDxfId="950"/>
    <tableColumn id="2" name="Mes" dataDxfId="949" totalsRowDxfId="948"/>
    <tableColumn id="3" name="Regularidad Absoluta" totalsRowFunction="custom" dataDxfId="947" totalsRowDxfId="946" dataCellStyle="Porcentaje">
      <calculatedColumnFormula>+Tabla5[[#This Row],[Trenes Puntuales]]/Tabla5[[#This Row],[Trenes Programados]]</calculatedColumnFormula>
      <totalsRowFormula>+Tabla5[[#Totals],[Trenes Puntuales]]/Tabla5[[#Totals],[Trenes Programados]]</totalsRowFormula>
    </tableColumn>
    <tableColumn id="4" name="Regularidad Relativa" totalsRowFunction="custom" dataDxfId="945" totalsRowDxfId="944" dataCellStyle="Porcentaje">
      <calculatedColumnFormula>+Tabla5[[#This Row],[Trenes Puntuales]]/Tabla5[[#This Row],[Trenes Corridos]]</calculatedColumnFormula>
      <totalsRowFormula>+Tabla5[[#Totals],[Trenes Puntuales]]/Tabla5[[#Totals],[Trenes Corridos]]</totalsRowFormula>
    </tableColumn>
    <tableColumn id="5" name="Cumplimiento de Programa" totalsRowFunction="custom" dataDxfId="943" totalsRowDxfId="942" dataCellStyle="Porcentaje">
      <calculatedColumnFormula>+Tabla5[[#This Row],[Trenes Corridos]]/Tabla5[[#This Row],[Trenes Programados]]</calculatedColumnFormula>
      <totalsRowFormula>+Tabla5[[#Totals],[Trenes Corridos]]/Tabla5[[#Totals],[Trenes Programados]]</totalsRowFormula>
    </tableColumn>
    <tableColumn id="13" name="Trenes Programados por Día Hábil" dataDxfId="941" totalsRowDxfId="940"/>
    <tableColumn id="12" name="Coches por Tren Día Hábil" dataDxfId="939" totalsRowDxfId="938"/>
    <tableColumn id="6" name="Trenes Programados" totalsRowFunction="sum" dataDxfId="937" totalsRowDxfId="936"/>
    <tableColumn id="7" name="Trenes Cancelados" totalsRowFunction="sum" dataDxfId="935" totalsRowDxfId="934">
      <calculatedColumnFormula>+AJ6-AL6</calculatedColumnFormula>
    </tableColumn>
    <tableColumn id="8" name="Trenes Corridos" totalsRowFunction="sum" dataDxfId="933" totalsRowDxfId="932"/>
    <tableColumn id="9" name="Trenes Puntuales" totalsRowFunction="sum" dataDxfId="931" totalsRowDxfId="930"/>
    <tableColumn id="10" name="Trenes Atrasados" totalsRowFunction="sum" dataDxfId="929" totalsRowDxfId="928">
      <calculatedColumnFormula>+AL6-AM6</calculatedColumnFormula>
    </tableColumn>
    <tableColumn id="11" name="Observaciones" totalsRowFunction="count" dataDxfId="927" totalsRowDxfId="926"/>
  </tableColumns>
  <tableStyleInfo name="TableStyleMedium9" showFirstColumn="0" showLastColumn="0" showRowStripes="1" showColumnStripes="0"/>
</table>
</file>

<file path=xl/tables/table5.xml><?xml version="1.0" encoding="utf-8"?>
<table xmlns="http://schemas.openxmlformats.org/spreadsheetml/2006/main" id="6" name="Tabla6" displayName="Tabla6" ref="AQ5:BC387" totalsRowCount="1" headerRowDxfId="925" dataDxfId="924" totalsRowDxfId="923">
  <autoFilter ref="AQ5:BC386"/>
  <tableColumns count="13">
    <tableColumn id="1" name="Año" totalsRowLabel="Total" dataDxfId="922" totalsRowDxfId="921"/>
    <tableColumn id="2" name="Mes" dataDxfId="920" totalsRowDxfId="919"/>
    <tableColumn id="3" name="Regularidad Absoluta" totalsRowFunction="custom" dataDxfId="918" totalsRowDxfId="917" dataCellStyle="Porcentaje">
      <calculatedColumnFormula>+Tabla6[[#This Row],[Trenes Puntuales]]/Tabla6[[#This Row],[Trenes Programados]]</calculatedColumnFormula>
      <totalsRowFormula>+Tabla6[[#Totals],[Trenes Puntuales]]/Tabla6[[#Totals],[Trenes Programados]]</totalsRowFormula>
    </tableColumn>
    <tableColumn id="4" name="Regularidad Relativa" totalsRowFunction="custom" dataDxfId="916" totalsRowDxfId="915" dataCellStyle="Porcentaje">
      <calculatedColumnFormula>+Tabla6[[#This Row],[Trenes Puntuales]]/Tabla6[[#This Row],[Trenes Corridos]]</calculatedColumnFormula>
      <totalsRowFormula>+Tabla6[[#Totals],[Trenes Puntuales]]/Tabla6[[#Totals],[Trenes Corridos]]</totalsRowFormula>
    </tableColumn>
    <tableColumn id="5" name="Cumplimiento de Programa" totalsRowFunction="custom" dataDxfId="914" totalsRowDxfId="913" dataCellStyle="Porcentaje">
      <calculatedColumnFormula>+Tabla6[[#This Row],[Trenes Corridos]]/Tabla6[[#This Row],[Trenes Programados]]</calculatedColumnFormula>
      <totalsRowFormula>+Tabla6[[#Totals],[Trenes Corridos]]/Tabla6[[#Totals],[Trenes Programados]]</totalsRowFormula>
    </tableColumn>
    <tableColumn id="13" name="Trenes Programados por Día Hábil" dataDxfId="912" totalsRowDxfId="911"/>
    <tableColumn id="12" name="Coches por Tren Día Hábil" dataDxfId="910" totalsRowDxfId="909"/>
    <tableColumn id="6" name="Trenes Programados" totalsRowFunction="sum" dataDxfId="908" totalsRowDxfId="907"/>
    <tableColumn id="7" name="Trenes Cancelados" totalsRowFunction="sum" dataDxfId="906" totalsRowDxfId="905">
      <calculatedColumnFormula>+AX6-AZ6</calculatedColumnFormula>
    </tableColumn>
    <tableColumn id="8" name="Trenes Corridos" totalsRowFunction="sum" dataDxfId="904" totalsRowDxfId="903"/>
    <tableColumn id="9" name="Trenes Puntuales" totalsRowFunction="sum" dataDxfId="902" totalsRowDxfId="901"/>
    <tableColumn id="10" name="Trenes Atrasados" totalsRowFunction="sum" dataDxfId="900" totalsRowDxfId="899">
      <calculatedColumnFormula>+AZ6-BA6</calculatedColumnFormula>
    </tableColumn>
    <tableColumn id="11" name="Observaciones" totalsRowFunction="count" dataDxfId="898" totalsRowDxfId="897"/>
  </tableColumns>
  <tableStyleInfo name="TableStyleMedium9" showFirstColumn="0" showLastColumn="0" showRowStripes="1" showColumnStripes="0"/>
</table>
</file>

<file path=xl/tables/table6.xml><?xml version="1.0" encoding="utf-8"?>
<table xmlns="http://schemas.openxmlformats.org/spreadsheetml/2006/main" id="7" name="MIT_Vic_Cap" displayName="MIT_Vic_Cap" ref="BE5:BQ387" totalsRowCount="1" headerRowDxfId="896" dataDxfId="895" totalsRowDxfId="894">
  <autoFilter ref="BE5:BQ386"/>
  <tableColumns count="13">
    <tableColumn id="1" name="Año" totalsRowLabel="Total" dataDxfId="893" totalsRowDxfId="892"/>
    <tableColumn id="2" name="Mes" dataDxfId="891" totalsRowDxfId="890"/>
    <tableColumn id="3" name="Regularidad Absoluta" totalsRowFunction="custom" dataDxfId="889" totalsRowDxfId="888" dataCellStyle="Porcentaje">
      <calculatedColumnFormula>+MIT_Vic_Cap[[#This Row],[Trenes Puntuales]]/MIT_Vic_Cap[[#This Row],[Trenes Programados]]</calculatedColumnFormula>
      <totalsRowFormula>+MIT_Vic_Cap[[#Totals],[Trenes Puntuales]]/MIT_Vic_Cap[[#Totals],[Trenes Programados]]</totalsRowFormula>
    </tableColumn>
    <tableColumn id="4" name="Regularidad Relativa" totalsRowFunction="custom" dataDxfId="887" totalsRowDxfId="886" dataCellStyle="Porcentaje">
      <calculatedColumnFormula>+MIT_Vic_Cap[[#This Row],[Trenes Puntuales]]/MIT_Vic_Cap[[#This Row],[Trenes Corridos]]</calculatedColumnFormula>
      <totalsRowFormula>+MIT_Vic_Cap[[#Totals],[Trenes Puntuales]]/MIT_Vic_Cap[[#Totals],[Trenes Corridos]]</totalsRowFormula>
    </tableColumn>
    <tableColumn id="5" name="Cumplimiento de Programa" totalsRowFunction="custom" dataDxfId="885" totalsRowDxfId="884" dataCellStyle="Porcentaje">
      <calculatedColumnFormula>+MIT_Vic_Cap[[#This Row],[Trenes Corridos]]/MIT_Vic_Cap[[#This Row],[Trenes Programados]]</calculatedColumnFormula>
      <totalsRowFormula>+MIT_Vic_Cap[[#Totals],[Trenes Corridos]]/MIT_Vic_Cap[[#Totals],[Trenes Programados]]</totalsRowFormula>
    </tableColumn>
    <tableColumn id="13" name="Trenes Programados por Día Hábil" dataDxfId="883" totalsRowDxfId="882"/>
    <tableColumn id="12" name="Coches por Tren Día Hábil" dataDxfId="881" totalsRowDxfId="880"/>
    <tableColumn id="6" name="Trenes Programados" totalsRowFunction="sum" dataDxfId="879" totalsRowDxfId="878"/>
    <tableColumn id="7" name="Trenes Cancelados" totalsRowFunction="sum" dataDxfId="877" totalsRowDxfId="876"/>
    <tableColumn id="8" name="Trenes Corridos" totalsRowFunction="sum" dataDxfId="875" totalsRowDxfId="874"/>
    <tableColumn id="9" name="Trenes Puntuales" totalsRowFunction="sum" dataDxfId="873" totalsRowDxfId="872"/>
    <tableColumn id="10" name="Trenes Atrasados" totalsRowFunction="sum" dataDxfId="871" totalsRowDxfId="870"/>
    <tableColumn id="11" name="Observaciones" totalsRowFunction="count" dataDxfId="869" totalsRowDxfId="868"/>
  </tableColumns>
  <tableStyleInfo name="TableStyleMedium9" showFirstColumn="0" showLastColumn="0" showRowStripes="1" showColumnStripes="0"/>
</table>
</file>

<file path=xl/tables/table7.xml><?xml version="1.0" encoding="utf-8"?>
<table xmlns="http://schemas.openxmlformats.org/spreadsheetml/2006/main" id="8" name="Tabla8" displayName="Tabla8" ref="BS5:CE387" totalsRowCount="1" headerRowDxfId="867" dataDxfId="866" totalsRowDxfId="865">
  <autoFilter ref="BS5:CE386"/>
  <tableColumns count="13">
    <tableColumn id="1" name="Año" totalsRowLabel="Total" dataDxfId="864" totalsRowDxfId="863"/>
    <tableColumn id="2" name="Mes" dataDxfId="862" totalsRowDxfId="861"/>
    <tableColumn id="3" name="Regularidad Absoluta" totalsRowFunction="custom" dataDxfId="860" totalsRowDxfId="859" dataCellStyle="Porcentaje">
      <calculatedColumnFormula>+Tabla8[[#This Row],[Trenes Puntuales]]/Tabla8[[#This Row],[Trenes Programados]]</calculatedColumnFormula>
      <totalsRowFormula>+Tabla8[[#Totals],[Trenes Puntuales]]/Tabla8[[#Totals],[Trenes Programados]]</totalsRowFormula>
    </tableColumn>
    <tableColumn id="4" name="Regularidad Relativa" totalsRowFunction="custom" dataDxfId="858" totalsRowDxfId="857" dataCellStyle="Porcentaje">
      <calculatedColumnFormula>+Tabla8[[#This Row],[Trenes Puntuales]]/Tabla8[[#This Row],[Trenes Corridos]]</calculatedColumnFormula>
      <totalsRowFormula>+Tabla8[[#Totals],[Trenes Puntuales]]/Tabla8[[#Totals],[Trenes Corridos]]</totalsRowFormula>
    </tableColumn>
    <tableColumn id="5" name="Cumplimiento de Programa" totalsRowFunction="custom" dataDxfId="856" totalsRowDxfId="855" dataCellStyle="Porcentaje">
      <calculatedColumnFormula>+Tabla8[[#This Row],[Trenes Corridos]]/Tabla8[[#This Row],[Trenes Programados]]</calculatedColumnFormula>
      <totalsRowFormula>+Tabla8[[#Totals],[Trenes Corridos]]/Tabla8[[#Totals],[Trenes Programados]]</totalsRowFormula>
    </tableColumn>
    <tableColumn id="13" name="Trenes Programados por Día Hábil" dataDxfId="854" totalsRowDxfId="853"/>
    <tableColumn id="12" name="Coches por Tren Día Hábil" dataDxfId="852" totalsRowDxfId="851"/>
    <tableColumn id="6" name="Trenes Programados" totalsRowFunction="sum" dataDxfId="850" totalsRowDxfId="849"/>
    <tableColumn id="7" name="Trenes Cancelados" totalsRowFunction="sum" dataDxfId="848" totalsRowDxfId="847">
      <calculatedColumnFormula>+BZ6-CB6</calculatedColumnFormula>
    </tableColumn>
    <tableColumn id="8" name="Trenes Corridos" totalsRowFunction="sum" dataDxfId="846" totalsRowDxfId="845"/>
    <tableColumn id="9" name="Trenes Puntuales" totalsRowFunction="sum" dataDxfId="844" totalsRowDxfId="843"/>
    <tableColumn id="10" name="Trenes Atrasados" totalsRowFunction="sum" dataDxfId="842" totalsRowDxfId="841">
      <calculatedColumnFormula>+CB6-CC6</calculatedColumnFormula>
    </tableColumn>
    <tableColumn id="11" name="Observaciones" totalsRowFunction="count" dataDxfId="840" totalsRowDxfId="839"/>
  </tableColumns>
  <tableStyleInfo name="TableStyleMedium9" showFirstColumn="0" showLastColumn="0" showRowStripes="1" showColumnStripes="0"/>
</table>
</file>

<file path=xl/tables/table8.xml><?xml version="1.0" encoding="utf-8"?>
<table xmlns="http://schemas.openxmlformats.org/spreadsheetml/2006/main" id="1" name="SARM" displayName="SARM" ref="A5:M387" totalsRowCount="1" headerRowDxfId="820" dataDxfId="819" totalsRowDxfId="818">
  <autoFilter ref="A5:M386"/>
  <tableColumns count="13">
    <tableColumn id="1" name="Año" totalsRowLabel="Total" dataDxfId="817" totalsRowDxfId="816"/>
    <tableColumn id="2" name="Mes" dataDxfId="815" totalsRowDxfId="814"/>
    <tableColumn id="3" name="Regularidad Absoluta" totalsRowFunction="custom" dataDxfId="813" totalsRowDxfId="812" dataCellStyle="Porcentaje">
      <calculatedColumnFormula>K6/H6*100</calculatedColumnFormula>
      <totalsRowFormula>+SARM[[#Totals],[Trenes Puntuales]]/SARM[[#Totals],[Trenes Programados]]</totalsRowFormula>
    </tableColumn>
    <tableColumn id="4" name="Regularidad Relativa" totalsRowFunction="custom" totalsRowDxfId="811" dataCellStyle="Porcentaje">
      <calculatedColumnFormula>K6/J6*100</calculatedColumnFormula>
      <totalsRowFormula>+SARM[[#Totals],[Trenes Puntuales]]/SARM[[#Totals],[Trenes Corridos]]</totalsRowFormula>
    </tableColumn>
    <tableColumn id="5" name="Cumplimiento de Programa" totalsRowFunction="custom" dataDxfId="810" totalsRowDxfId="809" dataCellStyle="Porcentaje">
      <calculatedColumnFormula>J6/H6*100</calculatedColumnFormula>
      <totalsRowFormula>+SARM[[#Totals],[Trenes Corridos]]/SARM[[#Totals],[Trenes Programados]]</totalsRowFormula>
    </tableColumn>
    <tableColumn id="13" name="Trenes Programados por Día Hábil" dataDxfId="808" totalsRowDxfId="807" dataCellStyle="Porcentaje">
      <calculatedColumnFormula>+Tabla2[[#This Row],[Trenes Programados por Día Hábil]]+Tabla9[[#This Row],[Trenes Programados por Día Hábil]]+Tabla10[[#This Row],[Trenes Programados por Día Hábil]]</calculatedColumnFormula>
    </tableColumn>
    <tableColumn id="12" name="Coches por Tren Día Hábil" dataDxfId="806" totalsRowDxfId="805" dataCellStyle="Porcentaje">
      <calculatedColumnFormula>+(Tabla2[[#This Row],[Coches por Tren Día Hábil]]*Tabla2[[#This Row],[Trenes Corridos]]+Tabla9[[#This Row],[Coches por Tren Día Hábil]]*Tabla9[[#This Row],[Trenes Corridos]]+Tabla10[[#This Row],[Coches por Tren Día Hábil]]*Tabla10[[#This Row],[Trenes Corridos]])/SARM[[#This Row],[Trenes Corridos]]</calculatedColumnFormula>
    </tableColumn>
    <tableColumn id="6" name="Trenes Programados" totalsRowFunction="sum" dataDxfId="804" totalsRowDxfId="803">
      <calculatedColumnFormula>+V6+AJ6+AX6</calculatedColumnFormula>
    </tableColumn>
    <tableColumn id="7" name="Trenes Cancelados" totalsRowFunction="sum" dataDxfId="802" totalsRowDxfId="801">
      <calculatedColumnFormula>H6-J6</calculatedColumnFormula>
    </tableColumn>
    <tableColumn id="8" name="Trenes Corridos" totalsRowFunction="sum" dataDxfId="800" totalsRowDxfId="799">
      <calculatedColumnFormula>+X6+AL6+AZ6</calculatedColumnFormula>
    </tableColumn>
    <tableColumn id="9" name="Trenes Puntuales" totalsRowFunction="sum" dataDxfId="798" totalsRowDxfId="797">
      <calculatedColumnFormula>+Y6+AM6+BA6</calculatedColumnFormula>
    </tableColumn>
    <tableColumn id="10" name="Trenes Atrasados" totalsRowFunction="sum" dataDxfId="796" totalsRowDxfId="795">
      <calculatedColumnFormula>J6-K6</calculatedColumnFormula>
    </tableColumn>
    <tableColumn id="11" name="Observaciones" totalsRowFunction="count" dataDxfId="794" totalsRowDxfId="793"/>
  </tableColumns>
  <tableStyleInfo name="TableStyleMedium9" showFirstColumn="0" showLastColumn="0" showRowStripes="1" showColumnStripes="0"/>
</table>
</file>

<file path=xl/tables/table9.xml><?xml version="1.0" encoding="utf-8"?>
<table xmlns="http://schemas.openxmlformats.org/spreadsheetml/2006/main" id="2" name="Tabla2" displayName="Tabla2" ref="O5:AA387" totalsRowCount="1" headerRowDxfId="792" dataDxfId="790" headerRowBorderDxfId="791">
  <autoFilter ref="O5:AA386"/>
  <tableColumns count="13">
    <tableColumn id="1" name="Año" totalsRowLabel="Total" dataDxfId="789" totalsRowDxfId="788"/>
    <tableColumn id="2" name="Mes" dataDxfId="787" totalsRowDxfId="786"/>
    <tableColumn id="3" name="Regularidad Absoluta" totalsRowFunction="custom" dataDxfId="785" totalsRowDxfId="784" dataCellStyle="Porcentaje">
      <calculatedColumnFormula>Y6/V6</calculatedColumnFormula>
      <totalsRowFormula>+Tabla2[[#Totals],[Trenes Puntuales]]/Tabla2[[#Totals],[Trenes Programados]]</totalsRowFormula>
    </tableColumn>
    <tableColumn id="4" name="Regularidad Relativa" totalsRowFunction="custom" dataDxfId="783" totalsRowDxfId="782" dataCellStyle="Porcentaje">
      <calculatedColumnFormula>Y6/X6</calculatedColumnFormula>
      <totalsRowFormula>+Tabla2[[#Totals],[Trenes Puntuales]]/Tabla2[[#Totals],[Trenes Corridos]]</totalsRowFormula>
    </tableColumn>
    <tableColumn id="5" name="Cumplimiento de Programa" totalsRowFunction="custom" dataDxfId="781" totalsRowDxfId="780" dataCellStyle="Porcentaje">
      <calculatedColumnFormula>X6/V6</calculatedColumnFormula>
      <totalsRowFormula>+Tabla2[[#Totals],[Trenes Corridos]]/Tabla2[[#Totals],[Trenes Programados]]</totalsRowFormula>
    </tableColumn>
    <tableColumn id="13" name="Trenes Programados por Día Hábil" dataDxfId="779" totalsRowDxfId="778"/>
    <tableColumn id="12" name="Coches por Tren Día Hábil" dataDxfId="777" totalsRowDxfId="776"/>
    <tableColumn id="6" name="Trenes Programados" totalsRowFunction="sum" dataDxfId="775" totalsRowDxfId="774"/>
    <tableColumn id="7" name="Trenes Cancelados" totalsRowFunction="sum" dataDxfId="773" totalsRowDxfId="772">
      <calculatedColumnFormula>V6-X6</calculatedColumnFormula>
    </tableColumn>
    <tableColumn id="8" name="Trenes Corridos" totalsRowFunction="sum" dataDxfId="771" totalsRowDxfId="770"/>
    <tableColumn id="9" name="Trenes Puntuales" totalsRowFunction="sum" dataDxfId="769" totalsRowDxfId="768"/>
    <tableColumn id="10" name="Trenes Atrasados" totalsRowFunction="sum" dataDxfId="767" totalsRowDxfId="766">
      <calculatedColumnFormula>X6-Y6</calculatedColumnFormula>
    </tableColumn>
    <tableColumn id="11" name="Observaciones" totalsRowFunction="count" dataDxfId="765" totalsRowDxfId="764"/>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table" Target="../tables/table34.xml"/><Relationship Id="rId3" Type="http://schemas.openxmlformats.org/officeDocument/2006/relationships/table" Target="../tables/table29.xml"/><Relationship Id="rId7" Type="http://schemas.openxmlformats.org/officeDocument/2006/relationships/table" Target="../tables/table33.xml"/><Relationship Id="rId2" Type="http://schemas.openxmlformats.org/officeDocument/2006/relationships/printerSettings" Target="../printerSettings/printerSettings9.bin"/><Relationship Id="rId1" Type="http://schemas.openxmlformats.org/officeDocument/2006/relationships/pivotTable" Target="../pivotTables/pivotTable9.xml"/><Relationship Id="rId6" Type="http://schemas.openxmlformats.org/officeDocument/2006/relationships/table" Target="../tables/table32.xml"/><Relationship Id="rId5" Type="http://schemas.openxmlformats.org/officeDocument/2006/relationships/table" Target="../tables/table31.xml"/><Relationship Id="rId4" Type="http://schemas.openxmlformats.org/officeDocument/2006/relationships/table" Target="../tables/table30.xml"/><Relationship Id="rId9" Type="http://schemas.openxmlformats.org/officeDocument/2006/relationships/table" Target="../tables/table35.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printerSettings" Target="../printerSettings/printerSettings10.bin"/><Relationship Id="rId1" Type="http://schemas.openxmlformats.org/officeDocument/2006/relationships/pivotTable" Target="../pivotTables/pivotTable10.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vmlDrawing" Target="../drawings/vmlDrawing1.vml"/><Relationship Id="rId7" Type="http://schemas.openxmlformats.org/officeDocument/2006/relationships/table" Target="../tables/table5.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8" Type="http://schemas.openxmlformats.org/officeDocument/2006/relationships/table" Target="../tables/table17.xml"/><Relationship Id="rId13" Type="http://schemas.openxmlformats.org/officeDocument/2006/relationships/table" Target="../tables/table22.xml"/><Relationship Id="rId1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table" Target="../tables/table16.xml"/><Relationship Id="rId12" Type="http://schemas.openxmlformats.org/officeDocument/2006/relationships/table" Target="../tables/table21.xml"/><Relationship Id="rId17" Type="http://schemas.openxmlformats.org/officeDocument/2006/relationships/table" Target="../tables/table26.xml"/><Relationship Id="rId2" Type="http://schemas.openxmlformats.org/officeDocument/2006/relationships/printerSettings" Target="../printerSettings/printerSettings6.bin"/><Relationship Id="rId16" Type="http://schemas.openxmlformats.org/officeDocument/2006/relationships/table" Target="../tables/table25.xml"/><Relationship Id="rId1" Type="http://schemas.openxmlformats.org/officeDocument/2006/relationships/pivotTable" Target="../pivotTables/pivotTable6.xml"/><Relationship Id="rId6" Type="http://schemas.openxmlformats.org/officeDocument/2006/relationships/table" Target="../tables/table15.xml"/><Relationship Id="rId11" Type="http://schemas.openxmlformats.org/officeDocument/2006/relationships/table" Target="../tables/table20.xml"/><Relationship Id="rId5" Type="http://schemas.openxmlformats.org/officeDocument/2006/relationships/table" Target="../tables/table14.xml"/><Relationship Id="rId15" Type="http://schemas.openxmlformats.org/officeDocument/2006/relationships/table" Target="../tables/table24.xml"/><Relationship Id="rId10" Type="http://schemas.openxmlformats.org/officeDocument/2006/relationships/table" Target="../tables/table19.xml"/><Relationship Id="rId4" Type="http://schemas.openxmlformats.org/officeDocument/2006/relationships/table" Target="../tables/table13.xml"/><Relationship Id="rId9" Type="http://schemas.openxmlformats.org/officeDocument/2006/relationships/table" Target="../tables/table18.xml"/><Relationship Id="rId14" Type="http://schemas.openxmlformats.org/officeDocument/2006/relationships/table" Target="../tables/table2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pivotTable" Target="../pivotTables/pivotTable7.xml"/><Relationship Id="rId5" Type="http://schemas.openxmlformats.org/officeDocument/2006/relationships/comments" Target="../comments3.xml"/><Relationship Id="rId4" Type="http://schemas.openxmlformats.org/officeDocument/2006/relationships/table" Target="../tables/table27.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printerSettings" Target="../printerSettings/printerSettings8.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G18"/>
  <sheetViews>
    <sheetView showGridLines="0" showRowColHeaders="0" workbookViewId="0">
      <selection activeCell="D23" sqref="D23"/>
    </sheetView>
  </sheetViews>
  <sheetFormatPr baseColWidth="10" defaultRowHeight="15"/>
  <cols>
    <col min="1" max="2" width="1.77734375" customWidth="1"/>
    <col min="3" max="3" width="15" customWidth="1"/>
    <col min="4" max="4" width="18.21875" customWidth="1"/>
    <col min="5" max="5" width="73.77734375" customWidth="1"/>
    <col min="6" max="6" width="1.77734375" customWidth="1"/>
  </cols>
  <sheetData>
    <row r="2" spans="2:7" ht="33">
      <c r="B2" s="252"/>
      <c r="C2" s="292" t="s">
        <v>187</v>
      </c>
      <c r="D2" s="292"/>
      <c r="E2" s="292"/>
      <c r="F2" s="252"/>
      <c r="G2" s="258"/>
    </row>
    <row r="3" spans="2:7" s="255" customFormat="1">
      <c r="B3" s="259"/>
      <c r="C3" s="254"/>
      <c r="D3" s="254"/>
      <c r="E3" s="254"/>
      <c r="F3" s="259"/>
      <c r="G3" s="260"/>
    </row>
    <row r="4" spans="2:7" s="255" customFormat="1" ht="39.950000000000003" customHeight="1">
      <c r="B4" s="261"/>
      <c r="C4" s="293" t="s">
        <v>188</v>
      </c>
      <c r="D4" s="293"/>
      <c r="E4" s="293"/>
      <c r="F4" s="261"/>
      <c r="G4" s="262"/>
    </row>
    <row r="5" spans="2:7" s="255" customFormat="1" ht="39.950000000000003" customHeight="1">
      <c r="B5" s="261"/>
      <c r="C5" s="293" t="s">
        <v>189</v>
      </c>
      <c r="D5" s="293"/>
      <c r="E5" s="293"/>
      <c r="F5" s="261"/>
      <c r="G5" s="262"/>
    </row>
    <row r="6" spans="2:7" s="255" customFormat="1" ht="39.950000000000003" customHeight="1">
      <c r="B6" s="261"/>
      <c r="C6" s="293" t="s">
        <v>190</v>
      </c>
      <c r="D6" s="293"/>
      <c r="E6" s="293"/>
      <c r="F6" s="261"/>
      <c r="G6" s="262"/>
    </row>
    <row r="7" spans="2:7" s="255" customFormat="1" ht="45" customHeight="1">
      <c r="B7" s="254"/>
      <c r="C7" s="294" t="s">
        <v>191</v>
      </c>
      <c r="D7" s="294"/>
      <c r="E7" s="294"/>
      <c r="F7" s="257"/>
      <c r="G7" s="262"/>
    </row>
    <row r="8" spans="2:7" s="255" customFormat="1">
      <c r="B8" s="254"/>
      <c r="C8" s="254"/>
      <c r="D8" s="254"/>
      <c r="E8" s="254"/>
      <c r="F8" s="254"/>
      <c r="G8" s="260"/>
    </row>
    <row r="9" spans="2:7" s="118" customFormat="1" ht="18" customHeight="1">
      <c r="B9" s="263"/>
      <c r="C9" s="264" t="s">
        <v>192</v>
      </c>
      <c r="D9" s="265" t="s">
        <v>193</v>
      </c>
      <c r="E9" s="266" t="s">
        <v>194</v>
      </c>
      <c r="F9" s="263"/>
    </row>
    <row r="10" spans="2:7" s="256" customFormat="1" ht="15" customHeight="1">
      <c r="B10" s="267"/>
      <c r="C10" s="268" t="s">
        <v>195</v>
      </c>
      <c r="D10" s="269" t="s">
        <v>196</v>
      </c>
      <c r="E10" s="270" t="s">
        <v>197</v>
      </c>
      <c r="F10" s="267"/>
    </row>
    <row r="11" spans="2:7" s="256" customFormat="1" ht="15" customHeight="1">
      <c r="B11" s="267"/>
      <c r="C11" s="268" t="s">
        <v>198</v>
      </c>
      <c r="D11" s="269" t="s">
        <v>199</v>
      </c>
      <c r="E11" s="270" t="s">
        <v>200</v>
      </c>
      <c r="F11" s="267"/>
    </row>
    <row r="12" spans="2:7" s="256" customFormat="1" ht="25.5" customHeight="1">
      <c r="B12" s="267"/>
      <c r="C12" s="268" t="s">
        <v>201</v>
      </c>
      <c r="D12" s="269" t="s">
        <v>202</v>
      </c>
      <c r="E12" s="270" t="s">
        <v>203</v>
      </c>
      <c r="F12" s="267"/>
    </row>
    <row r="13" spans="2:7" s="256" customFormat="1" ht="15" customHeight="1">
      <c r="B13" s="267"/>
      <c r="C13" s="268" t="s">
        <v>204</v>
      </c>
      <c r="D13" s="269" t="s">
        <v>205</v>
      </c>
      <c r="E13" s="270" t="s">
        <v>206</v>
      </c>
      <c r="F13" s="267"/>
    </row>
    <row r="14" spans="2:7" s="256" customFormat="1" ht="15" customHeight="1">
      <c r="B14" s="267"/>
      <c r="C14" s="268" t="s">
        <v>207</v>
      </c>
      <c r="D14" s="269" t="s">
        <v>208</v>
      </c>
      <c r="E14" s="270" t="s">
        <v>209</v>
      </c>
      <c r="F14" s="267"/>
    </row>
    <row r="15" spans="2:7" s="255" customFormat="1" ht="51" customHeight="1">
      <c r="B15" s="254"/>
      <c r="C15" s="268" t="s">
        <v>210</v>
      </c>
      <c r="D15" s="269" t="s">
        <v>211</v>
      </c>
      <c r="E15" s="270" t="s">
        <v>212</v>
      </c>
      <c r="F15" s="254"/>
    </row>
    <row r="16" spans="2:7" s="255" customFormat="1" ht="51" customHeight="1">
      <c r="B16" s="254"/>
      <c r="C16" s="268" t="s">
        <v>213</v>
      </c>
      <c r="D16" s="269" t="s">
        <v>214</v>
      </c>
      <c r="E16" s="270" t="s">
        <v>215</v>
      </c>
      <c r="F16" s="254"/>
    </row>
    <row r="17" spans="2:6" s="255" customFormat="1" ht="25.5" customHeight="1">
      <c r="B17" s="254"/>
      <c r="C17" s="268" t="s">
        <v>216</v>
      </c>
      <c r="D17" s="269" t="s">
        <v>217</v>
      </c>
      <c r="E17" s="270" t="s">
        <v>218</v>
      </c>
      <c r="F17" s="254"/>
    </row>
    <row r="18" spans="2:6">
      <c r="B18" s="253"/>
      <c r="C18" s="253"/>
      <c r="D18" s="253"/>
      <c r="E18" s="253"/>
      <c r="F18" s="253"/>
    </row>
  </sheetData>
  <mergeCells count="5">
    <mergeCell ref="C2:E2"/>
    <mergeCell ref="C4:E4"/>
    <mergeCell ref="C5:E5"/>
    <mergeCell ref="C6:E6"/>
    <mergeCell ref="C7:E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CS720"/>
  <sheetViews>
    <sheetView showGridLines="0" zoomScale="80" zoomScaleNormal="80" workbookViewId="0">
      <pane ySplit="5" topLeftCell="A372" activePane="bottomLeft" state="frozen"/>
      <selection activeCell="G390" sqref="G390"/>
      <selection pane="bottomLeft" activeCell="D416" sqref="D416"/>
    </sheetView>
  </sheetViews>
  <sheetFormatPr baseColWidth="10" defaultColWidth="11.5546875" defaultRowHeight="15"/>
  <cols>
    <col min="1"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54" width="8.77734375" style="46" customWidth="1"/>
    <col min="55" max="55" width="25.77734375" style="46" customWidth="1"/>
    <col min="56" max="68" width="8.77734375" style="46" customWidth="1"/>
    <col min="69" max="69" width="25.77734375" style="46" customWidth="1"/>
    <col min="70" max="82" width="8.77734375" style="46" customWidth="1"/>
    <col min="83" max="83" width="25.77734375" style="46" customWidth="1"/>
    <col min="84" max="96" width="8.77734375" style="46" customWidth="1"/>
    <col min="97" max="97" width="21" style="46" customWidth="1"/>
    <col min="98" max="16384" width="11.5546875" style="46"/>
  </cols>
  <sheetData>
    <row r="1" spans="1:97" s="36" customFormat="1" ht="30">
      <c r="A1" s="113" t="s">
        <v>7</v>
      </c>
      <c r="L1" s="37"/>
      <c r="M1" s="37"/>
      <c r="O1" s="113" t="s">
        <v>7</v>
      </c>
      <c r="Z1" s="37"/>
      <c r="AA1" s="37"/>
      <c r="AC1" s="113" t="s">
        <v>7</v>
      </c>
      <c r="AN1" s="37"/>
      <c r="AO1" s="37"/>
      <c r="AQ1" s="113" t="s">
        <v>7</v>
      </c>
      <c r="BB1" s="37"/>
      <c r="BC1" s="37"/>
      <c r="BE1" s="113" t="s">
        <v>7</v>
      </c>
      <c r="BP1" s="37"/>
      <c r="BQ1" s="37"/>
      <c r="BS1" s="113" t="s">
        <v>7</v>
      </c>
      <c r="CD1" s="37"/>
      <c r="CE1" s="37"/>
      <c r="CG1" s="113" t="s">
        <v>7</v>
      </c>
      <c r="CR1" s="37"/>
      <c r="CS1" s="37"/>
    </row>
    <row r="2" spans="1:97" s="36" customFormat="1" ht="29.25">
      <c r="A2" s="115" t="s">
        <v>3</v>
      </c>
      <c r="L2" s="37"/>
      <c r="M2" s="37"/>
      <c r="O2" s="115" t="s">
        <v>3</v>
      </c>
      <c r="Z2" s="37"/>
      <c r="AA2" s="37"/>
      <c r="AC2" s="115" t="s">
        <v>3</v>
      </c>
      <c r="AN2" s="37"/>
      <c r="AO2" s="37"/>
      <c r="AQ2" s="115" t="s">
        <v>3</v>
      </c>
      <c r="BB2" s="37"/>
      <c r="BC2" s="37"/>
      <c r="BE2" s="115" t="s">
        <v>3</v>
      </c>
      <c r="BP2" s="37"/>
      <c r="BQ2" s="37"/>
      <c r="BS2" s="115" t="s">
        <v>3</v>
      </c>
      <c r="CD2" s="37"/>
      <c r="CE2" s="37"/>
      <c r="CG2" s="115" t="s">
        <v>3</v>
      </c>
      <c r="CR2" s="37"/>
      <c r="CS2" s="37"/>
    </row>
    <row r="3" spans="1:97" s="4" customFormat="1" ht="41.25" customHeight="1">
      <c r="A3" s="116" t="s">
        <v>35</v>
      </c>
      <c r="B3" s="8"/>
      <c r="C3" s="8"/>
      <c r="D3" s="8"/>
      <c r="E3" s="8"/>
      <c r="F3" s="8"/>
      <c r="G3" s="8"/>
      <c r="H3" s="8"/>
      <c r="I3" s="8"/>
      <c r="J3" s="8"/>
      <c r="K3" s="8"/>
      <c r="L3" s="8"/>
      <c r="M3" s="8"/>
      <c r="O3" s="297" t="s">
        <v>148</v>
      </c>
      <c r="P3" s="297"/>
      <c r="Q3" s="297"/>
      <c r="R3" s="297"/>
      <c r="S3" s="297"/>
      <c r="T3" s="297"/>
      <c r="U3" s="297"/>
      <c r="V3" s="297"/>
      <c r="W3" s="297"/>
      <c r="X3" s="297"/>
      <c r="Y3" s="297"/>
      <c r="Z3" s="297"/>
      <c r="AA3" s="297"/>
      <c r="AC3" s="297" t="s">
        <v>23</v>
      </c>
      <c r="AD3" s="297"/>
      <c r="AE3" s="297"/>
      <c r="AF3" s="297"/>
      <c r="AG3" s="297"/>
      <c r="AH3" s="297"/>
      <c r="AI3" s="297"/>
      <c r="AJ3" s="297"/>
      <c r="AK3" s="297"/>
      <c r="AL3" s="297"/>
      <c r="AM3" s="297"/>
      <c r="AN3" s="297"/>
      <c r="AO3" s="297"/>
      <c r="AQ3" s="297" t="s">
        <v>24</v>
      </c>
      <c r="AR3" s="297"/>
      <c r="AS3" s="297"/>
      <c r="AT3" s="297"/>
      <c r="AU3" s="297"/>
      <c r="AV3" s="297"/>
      <c r="AW3" s="297"/>
      <c r="AX3" s="297"/>
      <c r="AY3" s="297"/>
      <c r="AZ3" s="297"/>
      <c r="BA3" s="297"/>
      <c r="BB3" s="297"/>
      <c r="BC3" s="297"/>
      <c r="BE3" s="297" t="s">
        <v>30</v>
      </c>
      <c r="BF3" s="297"/>
      <c r="BG3" s="297"/>
      <c r="BH3" s="297"/>
      <c r="BI3" s="297"/>
      <c r="BJ3" s="297"/>
      <c r="BK3" s="297"/>
      <c r="BL3" s="297"/>
      <c r="BM3" s="297"/>
      <c r="BN3" s="297"/>
      <c r="BO3" s="297"/>
      <c r="BP3" s="297"/>
      <c r="BQ3" s="297"/>
      <c r="BS3" s="297" t="s">
        <v>163</v>
      </c>
      <c r="BT3" s="297"/>
      <c r="BU3" s="297"/>
      <c r="BV3" s="297"/>
      <c r="BW3" s="297"/>
      <c r="BX3" s="297"/>
      <c r="BY3" s="297"/>
      <c r="BZ3" s="297"/>
      <c r="CA3" s="297"/>
      <c r="CB3" s="297"/>
      <c r="CC3" s="297"/>
      <c r="CD3" s="297"/>
      <c r="CE3" s="297"/>
      <c r="CG3" s="297" t="s">
        <v>155</v>
      </c>
      <c r="CH3" s="297"/>
      <c r="CI3" s="297"/>
      <c r="CJ3" s="297"/>
      <c r="CK3" s="297"/>
      <c r="CL3" s="297"/>
      <c r="CM3" s="297"/>
      <c r="CN3" s="297"/>
      <c r="CO3" s="297"/>
      <c r="CP3" s="297"/>
      <c r="CQ3" s="297"/>
      <c r="CR3" s="297"/>
      <c r="CS3" s="297"/>
    </row>
    <row r="4" spans="1:97" s="1" customFormat="1" ht="12.75">
      <c r="B4" s="38"/>
      <c r="C4" s="39"/>
      <c r="D4" s="39"/>
      <c r="E4" s="39"/>
      <c r="F4" s="39"/>
      <c r="G4" s="39"/>
      <c r="H4" s="39"/>
      <c r="I4" s="39"/>
      <c r="J4" s="39"/>
      <c r="K4" s="39"/>
      <c r="L4" s="39"/>
      <c r="M4" s="39"/>
      <c r="N4" s="39"/>
      <c r="P4" s="38"/>
      <c r="Q4" s="39"/>
      <c r="R4" s="39"/>
      <c r="S4" s="39"/>
      <c r="T4" s="39"/>
      <c r="U4" s="39"/>
      <c r="V4" s="39"/>
      <c r="W4" s="39"/>
      <c r="X4" s="39"/>
      <c r="Y4" s="39"/>
      <c r="Z4" s="39"/>
      <c r="AA4" s="39"/>
      <c r="AB4" s="39"/>
      <c r="AD4" s="38"/>
      <c r="AE4" s="39"/>
      <c r="AF4" s="39"/>
      <c r="AG4" s="39"/>
      <c r="AH4" s="39"/>
      <c r="AI4" s="39"/>
      <c r="AJ4" s="39"/>
      <c r="AK4" s="39"/>
      <c r="AL4" s="39"/>
      <c r="AM4" s="39"/>
      <c r="AN4" s="39"/>
      <c r="AO4" s="39"/>
      <c r="AP4" s="39"/>
      <c r="AR4" s="38"/>
      <c r="AS4" s="39"/>
      <c r="AT4" s="39"/>
      <c r="AU4" s="39"/>
      <c r="AV4" s="39"/>
      <c r="AW4" s="39"/>
      <c r="AX4" s="39"/>
      <c r="AY4" s="39"/>
      <c r="AZ4" s="39"/>
      <c r="BA4" s="39"/>
      <c r="BB4" s="39"/>
      <c r="BC4" s="39"/>
      <c r="BD4" s="39"/>
    </row>
    <row r="5" spans="1:97" s="65" customFormat="1" ht="45" customHeight="1" thickBot="1">
      <c r="A5" s="22" t="s">
        <v>32</v>
      </c>
      <c r="B5" s="23" t="s">
        <v>31</v>
      </c>
      <c r="C5" s="23" t="s">
        <v>8</v>
      </c>
      <c r="D5" s="23" t="s">
        <v>10</v>
      </c>
      <c r="E5" s="23" t="s">
        <v>9</v>
      </c>
      <c r="F5" s="23" t="s">
        <v>99</v>
      </c>
      <c r="G5" s="23" t="s">
        <v>98</v>
      </c>
      <c r="H5" s="23" t="s">
        <v>52</v>
      </c>
      <c r="I5" s="23" t="s">
        <v>53</v>
      </c>
      <c r="J5" s="23" t="s">
        <v>27</v>
      </c>
      <c r="K5" s="23" t="s">
        <v>54</v>
      </c>
      <c r="L5" s="23" t="s">
        <v>55</v>
      </c>
      <c r="M5" s="24" t="s">
        <v>34</v>
      </c>
      <c r="N5" s="66"/>
      <c r="O5" s="22" t="s">
        <v>32</v>
      </c>
      <c r="P5" s="23" t="s">
        <v>31</v>
      </c>
      <c r="Q5" s="23" t="s">
        <v>8</v>
      </c>
      <c r="R5" s="23" t="s">
        <v>10</v>
      </c>
      <c r="S5" s="23" t="s">
        <v>9</v>
      </c>
      <c r="T5" s="23" t="s">
        <v>99</v>
      </c>
      <c r="U5" s="23" t="s">
        <v>98</v>
      </c>
      <c r="V5" s="23" t="s">
        <v>52</v>
      </c>
      <c r="W5" s="23" t="s">
        <v>53</v>
      </c>
      <c r="X5" s="23" t="s">
        <v>27</v>
      </c>
      <c r="Y5" s="23" t="s">
        <v>54</v>
      </c>
      <c r="Z5" s="23" t="s">
        <v>55</v>
      </c>
      <c r="AA5" s="24" t="s">
        <v>34</v>
      </c>
      <c r="AB5" s="66"/>
      <c r="AC5" s="22" t="s">
        <v>32</v>
      </c>
      <c r="AD5" s="23" t="s">
        <v>31</v>
      </c>
      <c r="AE5" s="23" t="s">
        <v>8</v>
      </c>
      <c r="AF5" s="23" t="s">
        <v>10</v>
      </c>
      <c r="AG5" s="23" t="s">
        <v>9</v>
      </c>
      <c r="AH5" s="23" t="s">
        <v>99</v>
      </c>
      <c r="AI5" s="23" t="s">
        <v>98</v>
      </c>
      <c r="AJ5" s="23" t="s">
        <v>52</v>
      </c>
      <c r="AK5" s="23" t="s">
        <v>53</v>
      </c>
      <c r="AL5" s="23" t="s">
        <v>27</v>
      </c>
      <c r="AM5" s="23" t="s">
        <v>54</v>
      </c>
      <c r="AN5" s="23" t="s">
        <v>55</v>
      </c>
      <c r="AO5" s="24" t="s">
        <v>34</v>
      </c>
      <c r="AP5" s="66"/>
      <c r="AQ5" s="22" t="s">
        <v>32</v>
      </c>
      <c r="AR5" s="23" t="s">
        <v>31</v>
      </c>
      <c r="AS5" s="23" t="s">
        <v>8</v>
      </c>
      <c r="AT5" s="23" t="s">
        <v>10</v>
      </c>
      <c r="AU5" s="23" t="s">
        <v>9</v>
      </c>
      <c r="AV5" s="12" t="s">
        <v>99</v>
      </c>
      <c r="AW5" s="12" t="s">
        <v>98</v>
      </c>
      <c r="AX5" s="23" t="s">
        <v>52</v>
      </c>
      <c r="AY5" s="23" t="s">
        <v>53</v>
      </c>
      <c r="AZ5" s="23" t="s">
        <v>27</v>
      </c>
      <c r="BA5" s="23" t="s">
        <v>54</v>
      </c>
      <c r="BB5" s="23" t="s">
        <v>55</v>
      </c>
      <c r="BC5" s="24" t="s">
        <v>34</v>
      </c>
      <c r="BD5" s="66"/>
      <c r="BE5" s="22" t="s">
        <v>32</v>
      </c>
      <c r="BF5" s="23" t="s">
        <v>31</v>
      </c>
      <c r="BG5" s="23" t="s">
        <v>8</v>
      </c>
      <c r="BH5" s="23" t="s">
        <v>10</v>
      </c>
      <c r="BI5" s="23" t="s">
        <v>9</v>
      </c>
      <c r="BJ5" s="23" t="s">
        <v>99</v>
      </c>
      <c r="BK5" s="23" t="s">
        <v>98</v>
      </c>
      <c r="BL5" s="23" t="s">
        <v>52</v>
      </c>
      <c r="BM5" s="23" t="s">
        <v>53</v>
      </c>
      <c r="BN5" s="23" t="s">
        <v>27</v>
      </c>
      <c r="BO5" s="23" t="s">
        <v>54</v>
      </c>
      <c r="BP5" s="23" t="s">
        <v>55</v>
      </c>
      <c r="BQ5" s="24" t="s">
        <v>34</v>
      </c>
      <c r="BS5" s="22" t="s">
        <v>32</v>
      </c>
      <c r="BT5" s="23" t="s">
        <v>31</v>
      </c>
      <c r="BU5" s="23" t="s">
        <v>8</v>
      </c>
      <c r="BV5" s="23" t="s">
        <v>10</v>
      </c>
      <c r="BW5" s="23" t="s">
        <v>9</v>
      </c>
      <c r="BX5" s="23" t="s">
        <v>116</v>
      </c>
      <c r="BY5" s="23" t="s">
        <v>98</v>
      </c>
      <c r="BZ5" s="23" t="s">
        <v>52</v>
      </c>
      <c r="CA5" s="23" t="s">
        <v>53</v>
      </c>
      <c r="CB5" s="23" t="s">
        <v>27</v>
      </c>
      <c r="CC5" s="23" t="s">
        <v>54</v>
      </c>
      <c r="CD5" s="23" t="s">
        <v>55</v>
      </c>
      <c r="CE5" s="24" t="s">
        <v>34</v>
      </c>
      <c r="CG5" s="22" t="s">
        <v>32</v>
      </c>
      <c r="CH5" s="23" t="s">
        <v>31</v>
      </c>
      <c r="CI5" s="23" t="s">
        <v>8</v>
      </c>
      <c r="CJ5" s="23" t="s">
        <v>10</v>
      </c>
      <c r="CK5" s="23" t="s">
        <v>9</v>
      </c>
      <c r="CL5" s="23" t="s">
        <v>99</v>
      </c>
      <c r="CM5" s="23" t="s">
        <v>98</v>
      </c>
      <c r="CN5" s="23" t="s">
        <v>52</v>
      </c>
      <c r="CO5" s="23" t="s">
        <v>53</v>
      </c>
      <c r="CP5" s="23" t="s">
        <v>27</v>
      </c>
      <c r="CQ5" s="23" t="s">
        <v>54</v>
      </c>
      <c r="CR5" s="23" t="s">
        <v>55</v>
      </c>
      <c r="CS5" s="24" t="s">
        <v>34</v>
      </c>
    </row>
    <row r="6" spans="1:97" s="18" customFormat="1" ht="15" customHeight="1" thickTop="1">
      <c r="A6" s="78">
        <v>1993</v>
      </c>
      <c r="B6" s="79" t="s">
        <v>36</v>
      </c>
      <c r="C6" s="15">
        <f>K6/H6</f>
        <v>0.54281422133199797</v>
      </c>
      <c r="D6" s="15">
        <f>K6/J6</f>
        <v>0.77789738069608894</v>
      </c>
      <c r="E6" s="15">
        <f>J6/H6</f>
        <v>0.69779669504256381</v>
      </c>
      <c r="F6" s="16">
        <f t="shared" ref="F6:F69" si="0">+T6+AH6+AV6+BJ6+BX6</f>
        <v>0</v>
      </c>
      <c r="G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 s="16">
        <v>3994</v>
      </c>
      <c r="I6" s="16">
        <f t="shared" ref="I6:I17" si="1">H6-J6</f>
        <v>1207</v>
      </c>
      <c r="J6" s="16">
        <v>2787</v>
      </c>
      <c r="K6" s="16">
        <v>2168</v>
      </c>
      <c r="L6" s="16">
        <f t="shared" ref="L6:L17" si="2">J6-K6</f>
        <v>619</v>
      </c>
      <c r="M6" s="16"/>
      <c r="N6" s="16"/>
      <c r="O6" s="78">
        <v>1993</v>
      </c>
      <c r="P6" s="79" t="s">
        <v>36</v>
      </c>
      <c r="Q6" s="15"/>
      <c r="R6" s="15"/>
      <c r="S6" s="15"/>
      <c r="T6" s="16"/>
      <c r="U6" s="16"/>
      <c r="V6" s="16"/>
      <c r="W6" s="16"/>
      <c r="X6" s="69">
        <f>(SUM(X$134:X$148)/15)/(SUM($J$134:$J$148)/15)*BS[[#This Row],[Trenes Corridos]]</f>
        <v>1696.5427432385495</v>
      </c>
      <c r="Y6" s="16"/>
      <c r="Z6" s="16"/>
      <c r="AA6" s="16"/>
      <c r="AB6" s="16"/>
      <c r="AC6" s="78">
        <v>1993</v>
      </c>
      <c r="AD6" s="79" t="s">
        <v>36</v>
      </c>
      <c r="AE6" s="15"/>
      <c r="AF6" s="15"/>
      <c r="AG6" s="15"/>
      <c r="AH6" s="16"/>
      <c r="AI6" s="16"/>
      <c r="AJ6" s="16"/>
      <c r="AK6" s="16"/>
      <c r="AL6" s="69">
        <f>(SUM(AL$134:AL$148)/15)/(SUM($J$134:$J$148)/15)*BS[[#This Row],[Trenes Corridos]]</f>
        <v>981.45361743253648</v>
      </c>
      <c r="AM6" s="16"/>
      <c r="AN6" s="16"/>
      <c r="AO6" s="16"/>
      <c r="AP6" s="16"/>
      <c r="AQ6" s="78">
        <v>1993</v>
      </c>
      <c r="AR6" s="79" t="s">
        <v>36</v>
      </c>
      <c r="AS6" s="15"/>
      <c r="AT6" s="15"/>
      <c r="AU6" s="15"/>
      <c r="AV6" s="15"/>
      <c r="AW6" s="15"/>
      <c r="AX6" s="16"/>
      <c r="AY6" s="16"/>
      <c r="AZ6" s="69">
        <f>(SUM(AZ$134:AZ$148)/15)/(SUM($J$134:$J$148)/15)*BS[[#This Row],[Trenes Corridos]]</f>
        <v>109.00363932891378</v>
      </c>
      <c r="BA6" s="16"/>
      <c r="BB6" s="16"/>
      <c r="BC6" s="16"/>
      <c r="BD6" s="16"/>
      <c r="BE6" s="78"/>
      <c r="BF6" s="79"/>
      <c r="BG6" s="15"/>
      <c r="BH6" s="15"/>
      <c r="BI6" s="15"/>
      <c r="BS6" s="78"/>
      <c r="BT6" s="79"/>
      <c r="BU6" s="15"/>
      <c r="BV6" s="15"/>
      <c r="BW6" s="15"/>
      <c r="CA6" s="45"/>
      <c r="CD6" s="45"/>
      <c r="CG6" s="78"/>
      <c r="CH6" s="79"/>
      <c r="CI6" s="15"/>
      <c r="CJ6" s="15"/>
      <c r="CK6" s="15"/>
      <c r="CO6" s="45"/>
      <c r="CR6" s="45"/>
    </row>
    <row r="7" spans="1:97" s="18" customFormat="1" ht="15" customHeight="1">
      <c r="A7" s="80">
        <v>1993</v>
      </c>
      <c r="B7" s="81" t="s">
        <v>37</v>
      </c>
      <c r="C7" s="15">
        <f t="shared" ref="C7:C70" si="3">K7/H7</f>
        <v>0.48095635251598556</v>
      </c>
      <c r="D7" s="15">
        <f t="shared" ref="D7:D70" si="4">K7/J7</f>
        <v>0.74472664657770127</v>
      </c>
      <c r="E7" s="15">
        <f t="shared" ref="E7:E70" si="5">J7/H7</f>
        <v>0.64581595774256328</v>
      </c>
      <c r="F7" s="16">
        <f t="shared" si="0"/>
        <v>0</v>
      </c>
      <c r="G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 s="16">
        <v>3597</v>
      </c>
      <c r="I7" s="16">
        <f t="shared" si="1"/>
        <v>1274</v>
      </c>
      <c r="J7" s="16">
        <v>2323</v>
      </c>
      <c r="K7" s="16">
        <v>1730</v>
      </c>
      <c r="L7" s="16">
        <f t="shared" si="2"/>
        <v>593</v>
      </c>
      <c r="M7" s="16"/>
      <c r="N7" s="16"/>
      <c r="O7" s="80">
        <v>1993</v>
      </c>
      <c r="P7" s="81" t="s">
        <v>37</v>
      </c>
      <c r="Q7" s="15"/>
      <c r="R7" s="15"/>
      <c r="S7" s="15"/>
      <c r="T7" s="16"/>
      <c r="U7" s="16"/>
      <c r="V7" s="16"/>
      <c r="W7" s="16"/>
      <c r="X7" s="69">
        <f>(SUM(X$134:X$148)/15)/(SUM($J$134:$J$148)/15)*BS[[#This Row],[Trenes Corridos]]</f>
        <v>1414.0899865601546</v>
      </c>
      <c r="Y7" s="16"/>
      <c r="Z7" s="16"/>
      <c r="AA7" s="16"/>
      <c r="AB7" s="16"/>
      <c r="AC7" s="80">
        <v>1993</v>
      </c>
      <c r="AD7" s="81" t="s">
        <v>37</v>
      </c>
      <c r="AE7" s="15"/>
      <c r="AF7" s="15"/>
      <c r="AG7" s="15"/>
      <c r="AH7" s="16"/>
      <c r="AI7" s="16"/>
      <c r="AJ7" s="16"/>
      <c r="AK7" s="16"/>
      <c r="AL7" s="69">
        <f>(SUM(AL$134:AL$148)/15)/(SUM($J$134:$J$148)/15)*BS[[#This Row],[Trenes Corridos]]</f>
        <v>818.05409160236172</v>
      </c>
      <c r="AM7" s="16"/>
      <c r="AN7" s="16"/>
      <c r="AO7" s="16"/>
      <c r="AP7" s="16"/>
      <c r="AQ7" s="80">
        <v>1993</v>
      </c>
      <c r="AR7" s="81" t="s">
        <v>37</v>
      </c>
      <c r="AS7" s="15"/>
      <c r="AT7" s="15"/>
      <c r="AU7" s="15"/>
      <c r="AV7" s="15"/>
      <c r="AW7" s="15"/>
      <c r="AX7" s="16"/>
      <c r="AY7" s="16"/>
      <c r="AZ7" s="69">
        <f>(SUM(AZ$134:AZ$148)/15)/(SUM($J$134:$J$148)/15)*BS[[#This Row],[Trenes Corridos]]</f>
        <v>90.855921837483578</v>
      </c>
      <c r="BA7" s="16"/>
      <c r="BB7" s="16"/>
      <c r="BC7" s="16"/>
      <c r="BD7" s="16"/>
      <c r="BE7" s="80"/>
      <c r="BF7" s="81"/>
      <c r="BG7" s="15"/>
      <c r="BH7" s="15"/>
      <c r="BI7" s="15"/>
      <c r="BS7" s="80"/>
      <c r="BT7" s="81"/>
      <c r="BU7" s="15"/>
      <c r="BV7" s="15"/>
      <c r="BW7" s="15"/>
      <c r="CA7" s="45"/>
      <c r="CD7" s="45"/>
      <c r="CG7" s="80"/>
      <c r="CH7" s="81"/>
      <c r="CI7" s="15"/>
      <c r="CJ7" s="15"/>
      <c r="CK7" s="15"/>
      <c r="CO7" s="45"/>
      <c r="CR7" s="45"/>
    </row>
    <row r="8" spans="1:97" s="18" customFormat="1" ht="15" customHeight="1">
      <c r="A8" s="78">
        <v>1993</v>
      </c>
      <c r="B8" s="79" t="s">
        <v>38</v>
      </c>
      <c r="C8" s="15">
        <f t="shared" si="3"/>
        <v>0.39090457256461231</v>
      </c>
      <c r="D8" s="15">
        <f t="shared" si="4"/>
        <v>0.70066815144766148</v>
      </c>
      <c r="E8" s="15">
        <f t="shared" si="5"/>
        <v>0.55790258449304175</v>
      </c>
      <c r="F8" s="16">
        <f t="shared" si="0"/>
        <v>0</v>
      </c>
      <c r="G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 s="16">
        <v>4024</v>
      </c>
      <c r="I8" s="16">
        <f t="shared" si="1"/>
        <v>1779</v>
      </c>
      <c r="J8" s="16">
        <v>2245</v>
      </c>
      <c r="K8" s="16">
        <v>1573</v>
      </c>
      <c r="L8" s="16">
        <f t="shared" si="2"/>
        <v>672</v>
      </c>
      <c r="M8" s="16"/>
      <c r="N8" s="16"/>
      <c r="O8" s="78">
        <v>1993</v>
      </c>
      <c r="P8" s="79" t="s">
        <v>38</v>
      </c>
      <c r="Q8" s="15"/>
      <c r="R8" s="15"/>
      <c r="S8" s="15"/>
      <c r="T8" s="16"/>
      <c r="U8" s="16"/>
      <c r="V8" s="16"/>
      <c r="W8" s="16"/>
      <c r="X8" s="69">
        <f>(SUM(X$134:X$148)/15)/(SUM($J$134:$J$148)/15)*BS[[#This Row],[Trenes Corridos]]</f>
        <v>1366.6087041874932</v>
      </c>
      <c r="Y8" s="16"/>
      <c r="Z8" s="16"/>
      <c r="AA8" s="16"/>
      <c r="AB8" s="16"/>
      <c r="AC8" s="78">
        <v>1993</v>
      </c>
      <c r="AD8" s="79" t="s">
        <v>38</v>
      </c>
      <c r="AE8" s="15"/>
      <c r="AF8" s="15"/>
      <c r="AG8" s="15"/>
      <c r="AH8" s="16"/>
      <c r="AI8" s="16"/>
      <c r="AJ8" s="16"/>
      <c r="AK8" s="16"/>
      <c r="AL8" s="69">
        <f>(SUM(AL$134:AL$148)/15)/(SUM($J$134:$J$148)/15)*BS[[#This Row],[Trenes Corridos]]</f>
        <v>790.58606786366863</v>
      </c>
      <c r="AM8" s="16"/>
      <c r="AN8" s="16"/>
      <c r="AO8" s="16"/>
      <c r="AP8" s="16"/>
      <c r="AQ8" s="78">
        <v>1993</v>
      </c>
      <c r="AR8" s="79" t="s">
        <v>38</v>
      </c>
      <c r="AS8" s="15"/>
      <c r="AT8" s="15"/>
      <c r="AU8" s="15"/>
      <c r="AV8" s="15"/>
      <c r="AW8" s="15"/>
      <c r="AX8" s="16"/>
      <c r="AY8" s="16"/>
      <c r="AZ8" s="69">
        <f>(SUM(AZ$134:AZ$148)/15)/(SUM($J$134:$J$148)/15)*BS[[#This Row],[Trenes Corridos]]</f>
        <v>87.805227948837981</v>
      </c>
      <c r="BA8" s="16"/>
      <c r="BB8" s="16"/>
      <c r="BC8" s="16"/>
      <c r="BD8" s="16"/>
      <c r="BE8" s="78"/>
      <c r="BF8" s="79"/>
      <c r="BG8" s="15"/>
      <c r="BH8" s="15"/>
      <c r="BI8" s="15"/>
      <c r="BS8" s="78"/>
      <c r="BT8" s="79"/>
      <c r="BU8" s="15"/>
      <c r="BV8" s="15"/>
      <c r="BW8" s="15"/>
      <c r="CA8" s="45"/>
      <c r="CD8" s="45"/>
      <c r="CG8" s="78"/>
      <c r="CH8" s="79"/>
      <c r="CI8" s="15"/>
      <c r="CJ8" s="15"/>
      <c r="CK8" s="15"/>
      <c r="CO8" s="45"/>
      <c r="CR8" s="45"/>
    </row>
    <row r="9" spans="1:97" s="18" customFormat="1" ht="15" customHeight="1">
      <c r="A9" s="80">
        <v>1993</v>
      </c>
      <c r="B9" s="81" t="s">
        <v>39</v>
      </c>
      <c r="C9" s="15">
        <f t="shared" si="3"/>
        <v>0.46314715633766895</v>
      </c>
      <c r="D9" s="15">
        <f t="shared" si="4"/>
        <v>0.72092100039698293</v>
      </c>
      <c r="E9" s="15">
        <f t="shared" si="5"/>
        <v>0.64243815353226219</v>
      </c>
      <c r="F9" s="16">
        <f t="shared" si="0"/>
        <v>0</v>
      </c>
      <c r="G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 s="16">
        <v>3921</v>
      </c>
      <c r="I9" s="16">
        <f t="shared" si="1"/>
        <v>1402</v>
      </c>
      <c r="J9" s="16">
        <v>2519</v>
      </c>
      <c r="K9" s="16">
        <v>1816</v>
      </c>
      <c r="L9" s="16">
        <f t="shared" si="2"/>
        <v>703</v>
      </c>
      <c r="M9" s="16"/>
      <c r="N9" s="16"/>
      <c r="O9" s="80">
        <v>1993</v>
      </c>
      <c r="P9" s="81" t="s">
        <v>39</v>
      </c>
      <c r="Q9" s="15"/>
      <c r="R9" s="15"/>
      <c r="S9" s="15"/>
      <c r="T9" s="16"/>
      <c r="U9" s="16"/>
      <c r="V9" s="16"/>
      <c r="W9" s="16"/>
      <c r="X9" s="69">
        <f>(SUM(X$134:X$148)/15)/(SUM($J$134:$J$148)/15)*BS[[#This Row],[Trenes Corridos]]</f>
        <v>1533.4019268812008</v>
      </c>
      <c r="Y9" s="16"/>
      <c r="Z9" s="16"/>
      <c r="AA9" s="16"/>
      <c r="AB9" s="16"/>
      <c r="AC9" s="80">
        <v>1993</v>
      </c>
      <c r="AD9" s="81" t="s">
        <v>39</v>
      </c>
      <c r="AE9" s="15"/>
      <c r="AF9" s="15"/>
      <c r="AG9" s="15"/>
      <c r="AH9" s="16"/>
      <c r="AI9" s="16"/>
      <c r="AJ9" s="16"/>
      <c r="AK9" s="16"/>
      <c r="AL9" s="69">
        <f>(SUM(AL$134:AL$148)/15)/(SUM($J$134:$J$148)/15)*BS[[#This Row],[Trenes Corridos]]</f>
        <v>887.07630509959074</v>
      </c>
      <c r="AM9" s="16"/>
      <c r="AN9" s="16"/>
      <c r="AO9" s="16"/>
      <c r="AP9" s="16"/>
      <c r="AQ9" s="80">
        <v>1993</v>
      </c>
      <c r="AR9" s="81" t="s">
        <v>39</v>
      </c>
      <c r="AS9" s="15"/>
      <c r="AT9" s="15"/>
      <c r="AU9" s="15"/>
      <c r="AV9" s="15"/>
      <c r="AW9" s="15"/>
      <c r="AX9" s="16"/>
      <c r="AY9" s="16"/>
      <c r="AZ9" s="69">
        <f>(SUM(AZ$134:AZ$148)/15)/(SUM($J$134:$J$148)/15)*BS[[#This Row],[Trenes Corridos]]</f>
        <v>98.521768019208395</v>
      </c>
      <c r="BA9" s="16"/>
      <c r="BB9" s="16"/>
      <c r="BC9" s="16"/>
      <c r="BD9" s="16"/>
      <c r="BE9" s="80"/>
      <c r="BF9" s="81"/>
      <c r="BG9" s="15"/>
      <c r="BH9" s="15"/>
      <c r="BI9" s="15"/>
      <c r="BS9" s="80"/>
      <c r="BT9" s="81"/>
      <c r="BU9" s="15"/>
      <c r="BV9" s="15"/>
      <c r="BW9" s="15"/>
      <c r="CA9" s="45"/>
      <c r="CD9" s="45"/>
      <c r="CG9" s="80"/>
      <c r="CH9" s="81"/>
      <c r="CI9" s="15"/>
      <c r="CJ9" s="15"/>
      <c r="CK9" s="15"/>
      <c r="CO9" s="45"/>
      <c r="CR9" s="45"/>
    </row>
    <row r="10" spans="1:97" s="18" customFormat="1" ht="15" customHeight="1">
      <c r="A10" s="78">
        <v>1993</v>
      </c>
      <c r="B10" s="79" t="s">
        <v>40</v>
      </c>
      <c r="C10" s="15">
        <f t="shared" si="3"/>
        <v>0.44055944055944057</v>
      </c>
      <c r="D10" s="15">
        <f t="shared" si="4"/>
        <v>0.74524714828897343</v>
      </c>
      <c r="E10" s="15">
        <f t="shared" si="5"/>
        <v>0.59115884115884121</v>
      </c>
      <c r="F10" s="16">
        <f t="shared" si="0"/>
        <v>0</v>
      </c>
      <c r="G1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 s="16">
        <v>4004</v>
      </c>
      <c r="I10" s="16">
        <f t="shared" si="1"/>
        <v>1637</v>
      </c>
      <c r="J10" s="16">
        <v>2367</v>
      </c>
      <c r="K10" s="16">
        <v>1764</v>
      </c>
      <c r="L10" s="16">
        <f t="shared" si="2"/>
        <v>603</v>
      </c>
      <c r="M10" s="16"/>
      <c r="N10" s="16"/>
      <c r="O10" s="78">
        <v>1993</v>
      </c>
      <c r="P10" s="79" t="s">
        <v>40</v>
      </c>
      <c r="Q10" s="15"/>
      <c r="R10" s="15"/>
      <c r="S10" s="15"/>
      <c r="T10" s="16"/>
      <c r="U10" s="16"/>
      <c r="V10" s="16"/>
      <c r="W10" s="16"/>
      <c r="X10" s="69">
        <f>(SUM(X$134:X$148)/15)/(SUM($J$134:$J$148)/15)*BS[[#This Row],[Trenes Corridos]]</f>
        <v>1440.8742996934507</v>
      </c>
      <c r="Y10" s="16"/>
      <c r="Z10" s="16"/>
      <c r="AA10" s="16"/>
      <c r="AB10" s="16"/>
      <c r="AC10" s="78">
        <v>1993</v>
      </c>
      <c r="AD10" s="79" t="s">
        <v>40</v>
      </c>
      <c r="AE10" s="15"/>
      <c r="AF10" s="15"/>
      <c r="AG10" s="15"/>
      <c r="AH10" s="16"/>
      <c r="AI10" s="16"/>
      <c r="AJ10" s="16"/>
      <c r="AK10" s="16"/>
      <c r="AL10" s="69">
        <f>(SUM(AL$134:AL$148)/15)/(SUM($J$134:$J$148)/15)*BS[[#This Row],[Trenes Corridos]]</f>
        <v>833.54887422418869</v>
      </c>
      <c r="AM10" s="16"/>
      <c r="AN10" s="16"/>
      <c r="AO10" s="16"/>
      <c r="AP10" s="16"/>
      <c r="AQ10" s="78">
        <v>1993</v>
      </c>
      <c r="AR10" s="79" t="s">
        <v>40</v>
      </c>
      <c r="AS10" s="15"/>
      <c r="AT10" s="15"/>
      <c r="AU10" s="15"/>
      <c r="AV10" s="15"/>
      <c r="AW10" s="15"/>
      <c r="AX10" s="16"/>
      <c r="AY10" s="16"/>
      <c r="AZ10" s="69">
        <f>(SUM(AZ$134:AZ$148)/15)/(SUM($J$134:$J$148)/15)*BS[[#This Row],[Trenes Corridos]]</f>
        <v>92.576826082360569</v>
      </c>
      <c r="BA10" s="16"/>
      <c r="BB10" s="16"/>
      <c r="BC10" s="16"/>
      <c r="BD10" s="16"/>
      <c r="BE10" s="78"/>
      <c r="BF10" s="79"/>
      <c r="BG10" s="15"/>
      <c r="BH10" s="15"/>
      <c r="BI10" s="15"/>
      <c r="BS10" s="78"/>
      <c r="BT10" s="79"/>
      <c r="BU10" s="15"/>
      <c r="BV10" s="15"/>
      <c r="BW10" s="15"/>
      <c r="CA10" s="45"/>
      <c r="CD10" s="45"/>
      <c r="CG10" s="78"/>
      <c r="CH10" s="79"/>
      <c r="CI10" s="15"/>
      <c r="CJ10" s="15"/>
      <c r="CK10" s="15"/>
      <c r="CO10" s="45"/>
      <c r="CR10" s="45"/>
    </row>
    <row r="11" spans="1:97" s="18" customFormat="1" ht="15" customHeight="1">
      <c r="A11" s="80">
        <v>1993</v>
      </c>
      <c r="B11" s="81" t="s">
        <v>41</v>
      </c>
      <c r="C11" s="15">
        <f t="shared" si="3"/>
        <v>0.3827129015808261</v>
      </c>
      <c r="D11" s="15">
        <f t="shared" si="4"/>
        <v>0.76425661914460286</v>
      </c>
      <c r="E11" s="15">
        <f t="shared" si="5"/>
        <v>0.50076491585925553</v>
      </c>
      <c r="F11" s="16">
        <f t="shared" si="0"/>
        <v>0</v>
      </c>
      <c r="G1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 s="16">
        <v>3922</v>
      </c>
      <c r="I11" s="16">
        <f t="shared" si="1"/>
        <v>1958</v>
      </c>
      <c r="J11" s="16">
        <v>1964</v>
      </c>
      <c r="K11" s="16">
        <v>1501</v>
      </c>
      <c r="L11" s="16">
        <f t="shared" si="2"/>
        <v>463</v>
      </c>
      <c r="M11" s="16"/>
      <c r="N11" s="16"/>
      <c r="O11" s="80">
        <v>1993</v>
      </c>
      <c r="P11" s="81" t="s">
        <v>41</v>
      </c>
      <c r="Q11" s="15"/>
      <c r="R11" s="15"/>
      <c r="S11" s="15"/>
      <c r="T11" s="16"/>
      <c r="U11" s="16"/>
      <c r="V11" s="16"/>
      <c r="W11" s="16"/>
      <c r="X11" s="69">
        <f>(SUM(X$134:X$148)/15)/(SUM($J$134:$J$148)/15)*BS[[#This Row],[Trenes Corridos]]</f>
        <v>1195.5543407680343</v>
      </c>
      <c r="Y11" s="16"/>
      <c r="Z11" s="16"/>
      <c r="AA11" s="16"/>
      <c r="AB11" s="16"/>
      <c r="AC11" s="80">
        <v>1993</v>
      </c>
      <c r="AD11" s="81" t="s">
        <v>41</v>
      </c>
      <c r="AE11" s="15"/>
      <c r="AF11" s="15"/>
      <c r="AG11" s="15"/>
      <c r="AH11" s="16"/>
      <c r="AI11" s="16"/>
      <c r="AJ11" s="16"/>
      <c r="AK11" s="16"/>
      <c r="AL11" s="69">
        <f>(SUM(AL$134:AL$148)/15)/(SUM($J$134:$J$148)/15)*BS[[#This Row],[Trenes Corridos]]</f>
        <v>691.63075157427397</v>
      </c>
      <c r="AM11" s="16"/>
      <c r="AN11" s="16"/>
      <c r="AO11" s="16"/>
      <c r="AP11" s="16"/>
      <c r="AQ11" s="80">
        <v>1993</v>
      </c>
      <c r="AR11" s="81" t="s">
        <v>41</v>
      </c>
      <c r="AS11" s="15"/>
      <c r="AT11" s="15"/>
      <c r="AU11" s="15"/>
      <c r="AV11" s="15"/>
      <c r="AW11" s="15"/>
      <c r="AX11" s="16"/>
      <c r="AY11" s="16"/>
      <c r="AZ11" s="69">
        <f>(SUM(AZ$134:AZ$148)/15)/(SUM($J$134:$J$148)/15)*BS[[#This Row],[Trenes Corridos]]</f>
        <v>76.814907657691663</v>
      </c>
      <c r="BA11" s="16"/>
      <c r="BB11" s="16"/>
      <c r="BC11" s="16"/>
      <c r="BD11" s="16"/>
      <c r="BE11" s="80"/>
      <c r="BF11" s="81"/>
      <c r="BG11" s="15"/>
      <c r="BH11" s="15"/>
      <c r="BI11" s="15"/>
      <c r="BS11" s="80"/>
      <c r="BT11" s="81"/>
      <c r="BU11" s="15"/>
      <c r="BV11" s="15"/>
      <c r="BW11" s="15"/>
      <c r="CA11" s="45"/>
      <c r="CD11" s="45"/>
      <c r="CG11" s="80"/>
      <c r="CH11" s="81"/>
      <c r="CI11" s="15"/>
      <c r="CJ11" s="15"/>
      <c r="CK11" s="15"/>
      <c r="CO11" s="45"/>
      <c r="CR11" s="45"/>
    </row>
    <row r="12" spans="1:97" s="18" customFormat="1" ht="15" customHeight="1">
      <c r="A12" s="78">
        <v>1993</v>
      </c>
      <c r="B12" s="79" t="s">
        <v>42</v>
      </c>
      <c r="C12" s="15">
        <f t="shared" si="3"/>
        <v>0.40507889546351084</v>
      </c>
      <c r="D12" s="15">
        <f t="shared" si="4"/>
        <v>0.73842696629213478</v>
      </c>
      <c r="E12" s="15">
        <f t="shared" si="5"/>
        <v>0.54857001972386588</v>
      </c>
      <c r="F12" s="16">
        <f t="shared" si="0"/>
        <v>0</v>
      </c>
      <c r="G1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 s="16">
        <v>4056</v>
      </c>
      <c r="I12" s="16">
        <f t="shared" si="1"/>
        <v>1831</v>
      </c>
      <c r="J12" s="16">
        <v>2225</v>
      </c>
      <c r="K12" s="16">
        <v>1643</v>
      </c>
      <c r="L12" s="16">
        <f t="shared" si="2"/>
        <v>582</v>
      </c>
      <c r="M12" s="16"/>
      <c r="N12" s="16"/>
      <c r="O12" s="78">
        <v>1993</v>
      </c>
      <c r="P12" s="79" t="s">
        <v>42</v>
      </c>
      <c r="Q12" s="15"/>
      <c r="R12" s="15"/>
      <c r="S12" s="15"/>
      <c r="T12" s="16"/>
      <c r="U12" s="16"/>
      <c r="V12" s="16"/>
      <c r="W12" s="16"/>
      <c r="X12" s="69">
        <f>(SUM(X$134:X$148)/15)/(SUM($J$134:$J$148)/15)*BS[[#This Row],[Trenes Corridos]]</f>
        <v>1354.4340163996314</v>
      </c>
      <c r="Y12" s="16"/>
      <c r="Z12" s="16"/>
      <c r="AA12" s="16"/>
      <c r="AB12" s="16"/>
      <c r="AC12" s="78">
        <v>1993</v>
      </c>
      <c r="AD12" s="79" t="s">
        <v>42</v>
      </c>
      <c r="AE12" s="15"/>
      <c r="AF12" s="15"/>
      <c r="AG12" s="15"/>
      <c r="AH12" s="16"/>
      <c r="AI12" s="16"/>
      <c r="AJ12" s="16"/>
      <c r="AK12" s="16"/>
      <c r="AL12" s="69">
        <f>(SUM(AL$134:AL$148)/15)/(SUM($J$134:$J$148)/15)*BS[[#This Row],[Trenes Corridos]]</f>
        <v>783.54298485374727</v>
      </c>
      <c r="AM12" s="16"/>
      <c r="AN12" s="16"/>
      <c r="AO12" s="16"/>
      <c r="AP12" s="16"/>
      <c r="AQ12" s="78">
        <v>1993</v>
      </c>
      <c r="AR12" s="79" t="s">
        <v>42</v>
      </c>
      <c r="AS12" s="15"/>
      <c r="AT12" s="15"/>
      <c r="AU12" s="15"/>
      <c r="AV12" s="15"/>
      <c r="AW12" s="15"/>
      <c r="AX12" s="16"/>
      <c r="AY12" s="16"/>
      <c r="AZ12" s="69">
        <f>(SUM(AZ$134:AZ$148)/15)/(SUM($J$134:$J$148)/15)*BS[[#This Row],[Trenes Corridos]]</f>
        <v>87.022998746621155</v>
      </c>
      <c r="BA12" s="16"/>
      <c r="BB12" s="16"/>
      <c r="BC12" s="16"/>
      <c r="BD12" s="16"/>
      <c r="BE12" s="78"/>
      <c r="BF12" s="79"/>
      <c r="BG12" s="15"/>
      <c r="BH12" s="15"/>
      <c r="BI12" s="15"/>
      <c r="BS12" s="78"/>
      <c r="BT12" s="79"/>
      <c r="BU12" s="15"/>
      <c r="BV12" s="15"/>
      <c r="BW12" s="15"/>
      <c r="CA12" s="45"/>
      <c r="CD12" s="45"/>
      <c r="CG12" s="78"/>
      <c r="CH12" s="79"/>
      <c r="CI12" s="15"/>
      <c r="CJ12" s="15"/>
      <c r="CK12" s="15"/>
      <c r="CO12" s="45"/>
      <c r="CR12" s="45"/>
    </row>
    <row r="13" spans="1:97" s="18" customFormat="1" ht="15" customHeight="1">
      <c r="A13" s="80">
        <v>1993</v>
      </c>
      <c r="B13" s="81" t="s">
        <v>43</v>
      </c>
      <c r="C13" s="15">
        <f t="shared" si="3"/>
        <v>0.512031753907219</v>
      </c>
      <c r="D13" s="15">
        <f t="shared" si="4"/>
        <v>0.80562060889929743</v>
      </c>
      <c r="E13" s="15">
        <f t="shared" si="5"/>
        <v>0.63557429918134456</v>
      </c>
      <c r="F13" s="16">
        <f t="shared" si="0"/>
        <v>0</v>
      </c>
      <c r="G1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 s="16">
        <v>4031</v>
      </c>
      <c r="I13" s="16">
        <f t="shared" si="1"/>
        <v>1469</v>
      </c>
      <c r="J13" s="16">
        <v>2562</v>
      </c>
      <c r="K13" s="16">
        <v>2064</v>
      </c>
      <c r="L13" s="16">
        <f t="shared" si="2"/>
        <v>498</v>
      </c>
      <c r="M13" s="16"/>
      <c r="N13" s="16"/>
      <c r="O13" s="80">
        <v>1993</v>
      </c>
      <c r="P13" s="81" t="s">
        <v>43</v>
      </c>
      <c r="Q13" s="15"/>
      <c r="R13" s="15"/>
      <c r="S13" s="15"/>
      <c r="T13" s="16"/>
      <c r="U13" s="16"/>
      <c r="V13" s="16"/>
      <c r="W13" s="16"/>
      <c r="X13" s="69">
        <f>(SUM(X$134:X$148)/15)/(SUM($J$134:$J$148)/15)*BS[[#This Row],[Trenes Corridos]]</f>
        <v>1559.5775056251036</v>
      </c>
      <c r="Y13" s="16"/>
      <c r="Z13" s="16"/>
      <c r="AA13" s="16"/>
      <c r="AB13" s="16"/>
      <c r="AC13" s="80">
        <v>1993</v>
      </c>
      <c r="AD13" s="81" t="s">
        <v>43</v>
      </c>
      <c r="AE13" s="15"/>
      <c r="AF13" s="15"/>
      <c r="AG13" s="15"/>
      <c r="AH13" s="16"/>
      <c r="AI13" s="16"/>
      <c r="AJ13" s="16"/>
      <c r="AK13" s="16"/>
      <c r="AL13" s="69">
        <f>(SUM(AL$134:AL$148)/15)/(SUM($J$134:$J$148)/15)*BS[[#This Row],[Trenes Corridos]]</f>
        <v>902.21893357092154</v>
      </c>
      <c r="AM13" s="16"/>
      <c r="AN13" s="16"/>
      <c r="AO13" s="16"/>
      <c r="AP13" s="16"/>
      <c r="AQ13" s="80">
        <v>1993</v>
      </c>
      <c r="AR13" s="81" t="s">
        <v>43</v>
      </c>
      <c r="AS13" s="15"/>
      <c r="AT13" s="15"/>
      <c r="AU13" s="15"/>
      <c r="AV13" s="15"/>
      <c r="AW13" s="15"/>
      <c r="AX13" s="16"/>
      <c r="AY13" s="16"/>
      <c r="AZ13" s="69">
        <f>(SUM(AZ$134:AZ$148)/15)/(SUM($J$134:$J$148)/15)*BS[[#This Row],[Trenes Corridos]]</f>
        <v>100.20356080397457</v>
      </c>
      <c r="BA13" s="16"/>
      <c r="BB13" s="16"/>
      <c r="BC13" s="16"/>
      <c r="BD13" s="16"/>
      <c r="BE13" s="80"/>
      <c r="BF13" s="81"/>
      <c r="BG13" s="15"/>
      <c r="BH13" s="15"/>
      <c r="BI13" s="15"/>
      <c r="BS13" s="80"/>
      <c r="BT13" s="81"/>
      <c r="BU13" s="15"/>
      <c r="BV13" s="15"/>
      <c r="BW13" s="15"/>
      <c r="CA13" s="45"/>
      <c r="CD13" s="45"/>
      <c r="CG13" s="80"/>
      <c r="CH13" s="81"/>
      <c r="CI13" s="15"/>
      <c r="CJ13" s="15"/>
      <c r="CK13" s="15"/>
      <c r="CO13" s="45"/>
      <c r="CR13" s="45"/>
    </row>
    <row r="14" spans="1:97" s="18" customFormat="1" ht="15" customHeight="1">
      <c r="A14" s="78">
        <v>1993</v>
      </c>
      <c r="B14" s="79" t="s">
        <v>44</v>
      </c>
      <c r="C14" s="15">
        <f t="shared" si="3"/>
        <v>0.48960973137354286</v>
      </c>
      <c r="D14" s="15">
        <f t="shared" si="4"/>
        <v>0.79245283018867929</v>
      </c>
      <c r="E14" s="15">
        <f t="shared" si="5"/>
        <v>0.61784085149518497</v>
      </c>
      <c r="F14" s="16">
        <f t="shared" si="0"/>
        <v>0</v>
      </c>
      <c r="G1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 s="16">
        <v>3946</v>
      </c>
      <c r="I14" s="16">
        <f t="shared" si="1"/>
        <v>1508</v>
      </c>
      <c r="J14" s="16">
        <v>2438</v>
      </c>
      <c r="K14" s="16">
        <v>1932</v>
      </c>
      <c r="L14" s="16">
        <f t="shared" si="2"/>
        <v>506</v>
      </c>
      <c r="M14" s="16"/>
      <c r="N14" s="16"/>
      <c r="O14" s="78">
        <v>1993</v>
      </c>
      <c r="P14" s="79" t="s">
        <v>44</v>
      </c>
      <c r="Q14" s="15"/>
      <c r="R14" s="15"/>
      <c r="S14" s="15"/>
      <c r="T14" s="16"/>
      <c r="U14" s="16"/>
      <c r="V14" s="16"/>
      <c r="W14" s="16"/>
      <c r="X14" s="69">
        <f>(SUM(X$134:X$148)/15)/(SUM($J$134:$J$148)/15)*BS[[#This Row],[Trenes Corridos]]</f>
        <v>1484.0944413403602</v>
      </c>
      <c r="Y14" s="16"/>
      <c r="Z14" s="16"/>
      <c r="AA14" s="16"/>
      <c r="AB14" s="16"/>
      <c r="AC14" s="78">
        <v>1993</v>
      </c>
      <c r="AD14" s="79" t="s">
        <v>44</v>
      </c>
      <c r="AE14" s="15"/>
      <c r="AF14" s="15"/>
      <c r="AG14" s="15"/>
      <c r="AH14" s="16"/>
      <c r="AI14" s="16"/>
      <c r="AJ14" s="16"/>
      <c r="AK14" s="16"/>
      <c r="AL14" s="69">
        <f>(SUM(AL$134:AL$148)/15)/(SUM($J$134:$J$148)/15)*BS[[#This Row],[Trenes Corridos]]</f>
        <v>858.55181890940935</v>
      </c>
      <c r="AM14" s="16"/>
      <c r="AN14" s="16"/>
      <c r="AO14" s="16"/>
      <c r="AP14" s="16"/>
      <c r="AQ14" s="78">
        <v>1993</v>
      </c>
      <c r="AR14" s="79" t="s">
        <v>44</v>
      </c>
      <c r="AS14" s="15"/>
      <c r="AT14" s="15"/>
      <c r="AU14" s="15"/>
      <c r="AV14" s="15"/>
      <c r="AW14" s="15"/>
      <c r="AX14" s="16"/>
      <c r="AY14" s="16"/>
      <c r="AZ14" s="69">
        <f>(SUM(AZ$134:AZ$148)/15)/(SUM($J$134:$J$148)/15)*BS[[#This Row],[Trenes Corridos]]</f>
        <v>95.353739750230289</v>
      </c>
      <c r="BA14" s="16"/>
      <c r="BB14" s="16"/>
      <c r="BC14" s="16"/>
      <c r="BD14" s="16"/>
      <c r="BE14" s="78"/>
      <c r="BF14" s="79"/>
      <c r="BG14" s="15"/>
      <c r="BH14" s="15"/>
      <c r="BI14" s="15"/>
      <c r="BS14" s="78"/>
      <c r="BT14" s="79"/>
      <c r="BU14" s="15"/>
      <c r="BV14" s="15"/>
      <c r="BW14" s="15"/>
      <c r="CA14" s="45"/>
      <c r="CD14" s="45"/>
      <c r="CG14" s="78"/>
      <c r="CH14" s="79"/>
      <c r="CI14" s="15"/>
      <c r="CJ14" s="15"/>
      <c r="CK14" s="15"/>
      <c r="CO14" s="45"/>
      <c r="CR14" s="45"/>
    </row>
    <row r="15" spans="1:97" s="18" customFormat="1" ht="15" customHeight="1">
      <c r="A15" s="80">
        <v>1993</v>
      </c>
      <c r="B15" s="81" t="s">
        <v>45</v>
      </c>
      <c r="C15" s="15">
        <f t="shared" si="3"/>
        <v>0.49875992063492064</v>
      </c>
      <c r="D15" s="15">
        <f t="shared" si="4"/>
        <v>0.81781211874745829</v>
      </c>
      <c r="E15" s="15">
        <f t="shared" si="5"/>
        <v>0.60987103174603174</v>
      </c>
      <c r="F15" s="16">
        <f t="shared" si="0"/>
        <v>0</v>
      </c>
      <c r="G1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5" s="16">
        <v>4032</v>
      </c>
      <c r="I15" s="16">
        <f t="shared" si="1"/>
        <v>1573</v>
      </c>
      <c r="J15" s="16">
        <v>2459</v>
      </c>
      <c r="K15" s="16">
        <v>2011</v>
      </c>
      <c r="L15" s="16">
        <f t="shared" si="2"/>
        <v>448</v>
      </c>
      <c r="M15" s="16"/>
      <c r="N15" s="16"/>
      <c r="O15" s="80">
        <v>1993</v>
      </c>
      <c r="P15" s="81" t="s">
        <v>45</v>
      </c>
      <c r="Q15" s="15"/>
      <c r="R15" s="15"/>
      <c r="S15" s="15"/>
      <c r="T15" s="16"/>
      <c r="U15" s="16"/>
      <c r="V15" s="16"/>
      <c r="W15" s="16"/>
      <c r="X15" s="69">
        <f>(SUM(X$134:X$148)/15)/(SUM($J$134:$J$148)/15)*BS[[#This Row],[Trenes Corridos]]</f>
        <v>1496.8778635176152</v>
      </c>
      <c r="Y15" s="16"/>
      <c r="Z15" s="16"/>
      <c r="AA15" s="16"/>
      <c r="AB15" s="16"/>
      <c r="AC15" s="80">
        <v>1993</v>
      </c>
      <c r="AD15" s="81" t="s">
        <v>45</v>
      </c>
      <c r="AE15" s="15"/>
      <c r="AF15" s="15"/>
      <c r="AG15" s="15"/>
      <c r="AH15" s="16"/>
      <c r="AI15" s="16"/>
      <c r="AJ15" s="16"/>
      <c r="AK15" s="16"/>
      <c r="AL15" s="69">
        <f>(SUM(AL$134:AL$148)/15)/(SUM($J$134:$J$148)/15)*BS[[#This Row],[Trenes Corridos]]</f>
        <v>865.94705606982677</v>
      </c>
      <c r="AM15" s="16"/>
      <c r="AN15" s="16"/>
      <c r="AO15" s="16"/>
      <c r="AP15" s="16"/>
      <c r="AQ15" s="80">
        <v>1993</v>
      </c>
      <c r="AR15" s="81" t="s">
        <v>45</v>
      </c>
      <c r="AS15" s="15"/>
      <c r="AT15" s="15"/>
      <c r="AU15" s="15"/>
      <c r="AV15" s="15"/>
      <c r="AW15" s="15"/>
      <c r="AX15" s="16"/>
      <c r="AY15" s="16"/>
      <c r="AZ15" s="69">
        <f>(SUM(AZ$134:AZ$148)/15)/(SUM($J$134:$J$148)/15)*BS[[#This Row],[Trenes Corridos]]</f>
        <v>96.175080412557946</v>
      </c>
      <c r="BA15" s="16"/>
      <c r="BB15" s="16"/>
      <c r="BC15" s="16"/>
      <c r="BD15" s="16"/>
      <c r="BE15" s="80"/>
      <c r="BF15" s="81"/>
      <c r="BG15" s="15"/>
      <c r="BH15" s="15"/>
      <c r="BI15" s="15"/>
      <c r="BS15" s="80"/>
      <c r="BT15" s="81"/>
      <c r="BU15" s="15"/>
      <c r="BV15" s="15"/>
      <c r="BW15" s="15"/>
      <c r="CA15" s="45"/>
      <c r="CD15" s="45"/>
      <c r="CG15" s="80"/>
      <c r="CH15" s="81"/>
      <c r="CI15" s="15"/>
      <c r="CJ15" s="15"/>
      <c r="CK15" s="15"/>
      <c r="CO15" s="45"/>
      <c r="CR15" s="45"/>
    </row>
    <row r="16" spans="1:97" s="18" customFormat="1" ht="15" customHeight="1">
      <c r="A16" s="78">
        <v>1993</v>
      </c>
      <c r="B16" s="79" t="s">
        <v>46</v>
      </c>
      <c r="C16" s="15">
        <f t="shared" si="3"/>
        <v>0.49911280101394168</v>
      </c>
      <c r="D16" s="15">
        <f t="shared" si="4"/>
        <v>0.82419422352448724</v>
      </c>
      <c r="E16" s="15">
        <f t="shared" si="5"/>
        <v>0.60557667934093795</v>
      </c>
      <c r="F16" s="16">
        <f t="shared" si="0"/>
        <v>0</v>
      </c>
      <c r="G1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6" s="16">
        <v>3945</v>
      </c>
      <c r="I16" s="16">
        <f t="shared" si="1"/>
        <v>1556</v>
      </c>
      <c r="J16" s="16">
        <v>2389</v>
      </c>
      <c r="K16" s="16">
        <v>1969</v>
      </c>
      <c r="L16" s="16">
        <f t="shared" si="2"/>
        <v>420</v>
      </c>
      <c r="M16" s="16"/>
      <c r="N16" s="16"/>
      <c r="O16" s="78">
        <v>1993</v>
      </c>
      <c r="P16" s="79" t="s">
        <v>46</v>
      </c>
      <c r="Q16" s="15"/>
      <c r="R16" s="15"/>
      <c r="S16" s="15"/>
      <c r="T16" s="16"/>
      <c r="U16" s="16"/>
      <c r="V16" s="16"/>
      <c r="W16" s="16"/>
      <c r="X16" s="69">
        <f>(SUM(X$134:X$148)/15)/(SUM($J$134:$J$148)/15)*BS[[#This Row],[Trenes Corridos]]</f>
        <v>1454.2664562600987</v>
      </c>
      <c r="Y16" s="16"/>
      <c r="Z16" s="16"/>
      <c r="AA16" s="16"/>
      <c r="AB16" s="16"/>
      <c r="AC16" s="78">
        <v>1993</v>
      </c>
      <c r="AD16" s="79" t="s">
        <v>46</v>
      </c>
      <c r="AE16" s="15"/>
      <c r="AF16" s="15"/>
      <c r="AG16" s="15"/>
      <c r="AH16" s="16"/>
      <c r="AI16" s="16"/>
      <c r="AJ16" s="16"/>
      <c r="AK16" s="16"/>
      <c r="AL16" s="69">
        <f>(SUM(AL$134:AL$148)/15)/(SUM($J$134:$J$148)/15)*BS[[#This Row],[Trenes Corridos]]</f>
        <v>841.29626553510207</v>
      </c>
      <c r="AM16" s="16"/>
      <c r="AN16" s="16"/>
      <c r="AO16" s="16"/>
      <c r="AP16" s="16"/>
      <c r="AQ16" s="78">
        <v>1993</v>
      </c>
      <c r="AR16" s="79" t="s">
        <v>46</v>
      </c>
      <c r="AS16" s="15"/>
      <c r="AT16" s="15"/>
      <c r="AU16" s="15"/>
      <c r="AV16" s="15"/>
      <c r="AW16" s="15"/>
      <c r="AX16" s="16"/>
      <c r="AY16" s="16"/>
      <c r="AZ16" s="69">
        <f>(SUM(AZ$134:AZ$148)/15)/(SUM($J$134:$J$148)/15)*BS[[#This Row],[Trenes Corridos]]</f>
        <v>93.437278204799071</v>
      </c>
      <c r="BA16" s="16"/>
      <c r="BB16" s="16"/>
      <c r="BC16" s="16"/>
      <c r="BD16" s="16"/>
      <c r="BE16" s="78"/>
      <c r="BF16" s="79"/>
      <c r="BG16" s="15"/>
      <c r="BH16" s="15"/>
      <c r="BI16" s="15"/>
      <c r="BS16" s="78"/>
      <c r="BT16" s="79"/>
      <c r="BU16" s="15"/>
      <c r="BV16" s="15"/>
      <c r="BW16" s="15"/>
      <c r="CA16" s="45"/>
      <c r="CD16" s="45"/>
      <c r="CG16" s="78"/>
      <c r="CH16" s="79"/>
      <c r="CI16" s="15"/>
      <c r="CJ16" s="15"/>
      <c r="CK16" s="15"/>
      <c r="CO16" s="45"/>
      <c r="CR16" s="45"/>
    </row>
    <row r="17" spans="1:96" s="18" customFormat="1" ht="15" customHeight="1">
      <c r="A17" s="80">
        <v>1993</v>
      </c>
      <c r="B17" s="81" t="s">
        <v>47</v>
      </c>
      <c r="C17" s="15">
        <f t="shared" si="3"/>
        <v>0.43984220907297833</v>
      </c>
      <c r="D17" s="15">
        <f t="shared" si="4"/>
        <v>0.83131407269338309</v>
      </c>
      <c r="E17" s="15">
        <f t="shared" si="5"/>
        <v>0.52909270216962523</v>
      </c>
      <c r="F17" s="16">
        <f t="shared" si="0"/>
        <v>0</v>
      </c>
      <c r="G1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7" s="16">
        <v>4056</v>
      </c>
      <c r="I17" s="16">
        <f t="shared" si="1"/>
        <v>1910</v>
      </c>
      <c r="J17" s="16">
        <v>2146</v>
      </c>
      <c r="K17" s="16">
        <v>1784</v>
      </c>
      <c r="L17" s="16">
        <f t="shared" si="2"/>
        <v>362</v>
      </c>
      <c r="M17" s="16"/>
      <c r="N17" s="16"/>
      <c r="O17" s="80">
        <v>1993</v>
      </c>
      <c r="P17" s="81" t="s">
        <v>47</v>
      </c>
      <c r="Q17" s="15"/>
      <c r="R17" s="15"/>
      <c r="S17" s="15"/>
      <c r="T17" s="16"/>
      <c r="U17" s="16"/>
      <c r="V17" s="16"/>
      <c r="W17" s="16"/>
      <c r="X17" s="69">
        <f>(SUM(X$134:X$148)/15)/(SUM($J$134:$J$148)/15)*BS[[#This Row],[Trenes Corridos]]</f>
        <v>1306.3439996375771</v>
      </c>
      <c r="Y17" s="16"/>
      <c r="Z17" s="16"/>
      <c r="AA17" s="16"/>
      <c r="AB17" s="16"/>
      <c r="AC17" s="80">
        <v>1993</v>
      </c>
      <c r="AD17" s="81" t="s">
        <v>47</v>
      </c>
      <c r="AE17" s="15"/>
      <c r="AF17" s="15"/>
      <c r="AG17" s="15"/>
      <c r="AH17" s="16"/>
      <c r="AI17" s="16"/>
      <c r="AJ17" s="16"/>
      <c r="AK17" s="16"/>
      <c r="AL17" s="69">
        <f>(SUM(AL$134:AL$148)/15)/(SUM($J$134:$J$148)/15)*BS[[#This Row],[Trenes Corridos]]</f>
        <v>755.722806964558</v>
      </c>
      <c r="AM17" s="16"/>
      <c r="AN17" s="16"/>
      <c r="AO17" s="16"/>
      <c r="AP17" s="16"/>
      <c r="AQ17" s="80">
        <v>1993</v>
      </c>
      <c r="AR17" s="81" t="s">
        <v>47</v>
      </c>
      <c r="AS17" s="15"/>
      <c r="AT17" s="15"/>
      <c r="AU17" s="15"/>
      <c r="AV17" s="15"/>
      <c r="AW17" s="15"/>
      <c r="AX17" s="16"/>
      <c r="AY17" s="16"/>
      <c r="AZ17" s="69">
        <f>(SUM(AZ$134:AZ$148)/15)/(SUM($J$134:$J$148)/15)*BS[[#This Row],[Trenes Corridos]]</f>
        <v>83.933193397864713</v>
      </c>
      <c r="BA17" s="16"/>
      <c r="BB17" s="16"/>
      <c r="BC17" s="16"/>
      <c r="BD17" s="16"/>
      <c r="BE17" s="80"/>
      <c r="BF17" s="81"/>
      <c r="BG17" s="15"/>
      <c r="BH17" s="15"/>
      <c r="BI17" s="15"/>
      <c r="BS17" s="80"/>
      <c r="BT17" s="81"/>
      <c r="BU17" s="15"/>
      <c r="BV17" s="15"/>
      <c r="BW17" s="15"/>
      <c r="CA17" s="45"/>
      <c r="CD17" s="45"/>
      <c r="CG17" s="80"/>
      <c r="CH17" s="81"/>
      <c r="CI17" s="15"/>
      <c r="CJ17" s="15"/>
      <c r="CK17" s="15"/>
      <c r="CO17" s="45"/>
      <c r="CR17" s="45"/>
    </row>
    <row r="18" spans="1:96" s="18" customFormat="1" ht="15" customHeight="1">
      <c r="A18" s="78">
        <v>1994</v>
      </c>
      <c r="B18" s="79" t="s">
        <v>36</v>
      </c>
      <c r="C18" s="15">
        <f t="shared" si="3"/>
        <v>0.442274412855377</v>
      </c>
      <c r="D18" s="15">
        <f t="shared" si="4"/>
        <v>0.84307257304429783</v>
      </c>
      <c r="E18" s="15">
        <f t="shared" si="5"/>
        <v>0.52459826946847965</v>
      </c>
      <c r="F18" s="16">
        <f t="shared" si="0"/>
        <v>0</v>
      </c>
      <c r="G1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8" s="16">
        <v>4045</v>
      </c>
      <c r="I18" s="16">
        <f t="shared" ref="I18:I29" si="6">H18-J18</f>
        <v>1923</v>
      </c>
      <c r="J18" s="16">
        <v>2122</v>
      </c>
      <c r="K18" s="16">
        <v>1789</v>
      </c>
      <c r="L18" s="16">
        <f t="shared" ref="L18:L29" si="7">J18-K18</f>
        <v>333</v>
      </c>
      <c r="M18" s="16"/>
      <c r="N18" s="16"/>
      <c r="O18" s="78">
        <v>1994</v>
      </c>
      <c r="P18" s="79" t="s">
        <v>36</v>
      </c>
      <c r="Q18" s="15"/>
      <c r="R18" s="15"/>
      <c r="S18" s="15"/>
      <c r="T18" s="16"/>
      <c r="U18" s="16"/>
      <c r="V18" s="16"/>
      <c r="W18" s="16"/>
      <c r="X18" s="69">
        <f>(SUM(X$134:X$148)/15)/(SUM($J$134:$J$148)/15)*BS[[#This Row],[Trenes Corridos]]</f>
        <v>1291.7343742921428</v>
      </c>
      <c r="Y18" s="16"/>
      <c r="Z18" s="16"/>
      <c r="AA18" s="16"/>
      <c r="AB18" s="16"/>
      <c r="AC18" s="78">
        <v>1994</v>
      </c>
      <c r="AD18" s="79" t="s">
        <v>36</v>
      </c>
      <c r="AE18" s="15"/>
      <c r="AF18" s="15"/>
      <c r="AG18" s="15"/>
      <c r="AH18" s="16"/>
      <c r="AI18" s="16"/>
      <c r="AJ18" s="16"/>
      <c r="AK18" s="16"/>
      <c r="AL18" s="69">
        <f>(SUM(AL$134:AL$148)/15)/(SUM($J$134:$J$148)/15)*BS[[#This Row],[Trenes Corridos]]</f>
        <v>747.27110735265239</v>
      </c>
      <c r="AM18" s="16"/>
      <c r="AN18" s="16"/>
      <c r="AO18" s="16"/>
      <c r="AP18" s="16"/>
      <c r="AQ18" s="78">
        <v>1994</v>
      </c>
      <c r="AR18" s="79" t="s">
        <v>36</v>
      </c>
      <c r="AS18" s="15"/>
      <c r="AT18" s="15"/>
      <c r="AU18" s="15"/>
      <c r="AV18" s="15"/>
      <c r="AW18" s="15"/>
      <c r="AX18" s="16"/>
      <c r="AY18" s="16"/>
      <c r="AZ18" s="69">
        <f>(SUM(AZ$134:AZ$148)/15)/(SUM($J$134:$J$148)/15)*BS[[#This Row],[Trenes Corridos]]</f>
        <v>82.994518355204534</v>
      </c>
      <c r="BA18" s="16"/>
      <c r="BB18" s="16"/>
      <c r="BC18" s="16"/>
      <c r="BD18" s="16"/>
      <c r="BE18" s="78"/>
      <c r="BF18" s="79"/>
      <c r="BG18" s="15"/>
      <c r="BH18" s="15"/>
      <c r="BI18" s="15"/>
      <c r="BS18" s="78"/>
      <c r="BT18" s="79"/>
      <c r="BU18" s="15"/>
      <c r="BV18" s="15"/>
      <c r="BW18" s="15"/>
      <c r="CA18" s="45"/>
      <c r="CD18" s="45"/>
      <c r="CG18" s="78"/>
      <c r="CH18" s="79"/>
      <c r="CI18" s="15"/>
      <c r="CJ18" s="15"/>
      <c r="CK18" s="15"/>
      <c r="CO18" s="45"/>
      <c r="CR18" s="45"/>
    </row>
    <row r="19" spans="1:96" s="18" customFormat="1" ht="15" customHeight="1">
      <c r="A19" s="80">
        <v>1994</v>
      </c>
      <c r="B19" s="81" t="s">
        <v>37</v>
      </c>
      <c r="C19" s="15">
        <f t="shared" si="3"/>
        <v>0.48291757049891543</v>
      </c>
      <c r="D19" s="15">
        <f t="shared" si="4"/>
        <v>0.87175721977484089</v>
      </c>
      <c r="E19" s="15">
        <f t="shared" si="5"/>
        <v>0.55395878524945774</v>
      </c>
      <c r="F19" s="16">
        <f t="shared" si="0"/>
        <v>0</v>
      </c>
      <c r="G1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9" s="16">
        <v>3688</v>
      </c>
      <c r="I19" s="16">
        <f t="shared" si="6"/>
        <v>1645</v>
      </c>
      <c r="J19" s="16">
        <v>2043</v>
      </c>
      <c r="K19" s="16">
        <v>1781</v>
      </c>
      <c r="L19" s="16">
        <f t="shared" si="7"/>
        <v>262</v>
      </c>
      <c r="M19" s="16"/>
      <c r="N19" s="16"/>
      <c r="O19" s="80">
        <v>1994</v>
      </c>
      <c r="P19" s="81" t="s">
        <v>37</v>
      </c>
      <c r="Q19" s="15"/>
      <c r="R19" s="15"/>
      <c r="S19" s="15"/>
      <c r="T19" s="16"/>
      <c r="U19" s="16"/>
      <c r="V19" s="16"/>
      <c r="W19" s="16"/>
      <c r="X19" s="69">
        <f>(SUM(X$134:X$148)/15)/(SUM($J$134:$J$148)/15)*BS[[#This Row],[Trenes Corridos]]</f>
        <v>1243.6443575300884</v>
      </c>
      <c r="Y19" s="16"/>
      <c r="Z19" s="16"/>
      <c r="AA19" s="16"/>
      <c r="AB19" s="16"/>
      <c r="AC19" s="80">
        <v>1994</v>
      </c>
      <c r="AD19" s="81" t="s">
        <v>37</v>
      </c>
      <c r="AE19" s="15"/>
      <c r="AF19" s="15"/>
      <c r="AG19" s="15"/>
      <c r="AH19" s="16"/>
      <c r="AI19" s="16"/>
      <c r="AJ19" s="16"/>
      <c r="AK19" s="16"/>
      <c r="AL19" s="69">
        <f>(SUM(AL$134:AL$148)/15)/(SUM($J$134:$J$148)/15)*BS[[#This Row],[Trenes Corridos]]</f>
        <v>719.45092946346324</v>
      </c>
      <c r="AM19" s="16"/>
      <c r="AN19" s="16"/>
      <c r="AO19" s="16"/>
      <c r="AP19" s="16"/>
      <c r="AQ19" s="80">
        <v>1994</v>
      </c>
      <c r="AR19" s="81" t="s">
        <v>37</v>
      </c>
      <c r="AS19" s="15"/>
      <c r="AT19" s="15"/>
      <c r="AU19" s="15"/>
      <c r="AV19" s="15"/>
      <c r="AW19" s="15"/>
      <c r="AX19" s="16"/>
      <c r="AY19" s="16"/>
      <c r="AZ19" s="69">
        <f>(SUM(AZ$134:AZ$148)/15)/(SUM($J$134:$J$148)/15)*BS[[#This Row],[Trenes Corridos]]</f>
        <v>79.904713006448105</v>
      </c>
      <c r="BA19" s="16"/>
      <c r="BB19" s="16"/>
      <c r="BC19" s="16"/>
      <c r="BD19" s="16"/>
      <c r="BE19" s="80"/>
      <c r="BF19" s="81"/>
      <c r="BG19" s="15"/>
      <c r="BH19" s="15"/>
      <c r="BI19" s="15"/>
      <c r="BS19" s="80"/>
      <c r="BT19" s="81"/>
      <c r="BU19" s="15"/>
      <c r="BV19" s="15"/>
      <c r="BW19" s="15"/>
      <c r="CA19" s="45"/>
      <c r="CD19" s="45"/>
      <c r="CG19" s="80"/>
      <c r="CH19" s="81"/>
      <c r="CI19" s="15"/>
      <c r="CJ19" s="15"/>
      <c r="CK19" s="15"/>
      <c r="CO19" s="45"/>
      <c r="CR19" s="45"/>
    </row>
    <row r="20" spans="1:96" s="18" customFormat="1" ht="15" customHeight="1">
      <c r="A20" s="78">
        <v>1994</v>
      </c>
      <c r="B20" s="79" t="s">
        <v>38</v>
      </c>
      <c r="C20" s="15">
        <f t="shared" si="3"/>
        <v>0.4886391399951136</v>
      </c>
      <c r="D20" s="15">
        <f t="shared" si="4"/>
        <v>0.8806693086745927</v>
      </c>
      <c r="E20" s="15">
        <f t="shared" si="5"/>
        <v>0.55484974346445148</v>
      </c>
      <c r="F20" s="16">
        <f t="shared" si="0"/>
        <v>0</v>
      </c>
      <c r="G2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0" s="16">
        <v>4093</v>
      </c>
      <c r="I20" s="16">
        <f t="shared" si="6"/>
        <v>1822</v>
      </c>
      <c r="J20" s="16">
        <v>2271</v>
      </c>
      <c r="K20" s="16">
        <v>2000</v>
      </c>
      <c r="L20" s="16">
        <f t="shared" si="7"/>
        <v>271</v>
      </c>
      <c r="M20" s="16"/>
      <c r="N20" s="16"/>
      <c r="O20" s="78">
        <v>1994</v>
      </c>
      <c r="P20" s="79" t="s">
        <v>38</v>
      </c>
      <c r="Q20" s="15"/>
      <c r="R20" s="15"/>
      <c r="S20" s="15"/>
      <c r="T20" s="16"/>
      <c r="U20" s="16"/>
      <c r="V20" s="16"/>
      <c r="W20" s="16"/>
      <c r="X20" s="69">
        <f>(SUM(X$134:X$148)/15)/(SUM($J$134:$J$148)/15)*BS[[#This Row],[Trenes Corridos]]</f>
        <v>1382.4357983117136</v>
      </c>
      <c r="Y20" s="16"/>
      <c r="Z20" s="16"/>
      <c r="AA20" s="16"/>
      <c r="AB20" s="16"/>
      <c r="AC20" s="78">
        <v>1994</v>
      </c>
      <c r="AD20" s="79" t="s">
        <v>38</v>
      </c>
      <c r="AE20" s="15"/>
      <c r="AF20" s="15"/>
      <c r="AG20" s="15"/>
      <c r="AH20" s="16"/>
      <c r="AI20" s="16"/>
      <c r="AJ20" s="16"/>
      <c r="AK20" s="16"/>
      <c r="AL20" s="69">
        <f>(SUM(AL$134:AL$148)/15)/(SUM($J$134:$J$148)/15)*BS[[#This Row],[Trenes Corridos]]</f>
        <v>799.74207577656637</v>
      </c>
      <c r="AM20" s="16"/>
      <c r="AN20" s="16"/>
      <c r="AO20" s="16"/>
      <c r="AP20" s="16"/>
      <c r="AQ20" s="78">
        <v>1994</v>
      </c>
      <c r="AR20" s="79" t="s">
        <v>38</v>
      </c>
      <c r="AS20" s="15"/>
      <c r="AT20" s="15"/>
      <c r="AU20" s="15"/>
      <c r="AV20" s="15"/>
      <c r="AW20" s="15"/>
      <c r="AX20" s="16"/>
      <c r="AY20" s="16"/>
      <c r="AZ20" s="69">
        <f>(SUM(AZ$134:AZ$148)/15)/(SUM($J$134:$J$148)/15)*BS[[#This Row],[Trenes Corridos]]</f>
        <v>88.822125911719837</v>
      </c>
      <c r="BA20" s="16"/>
      <c r="BB20" s="16"/>
      <c r="BC20" s="16"/>
      <c r="BD20" s="16"/>
      <c r="BE20" s="78"/>
      <c r="BF20" s="79"/>
      <c r="BG20" s="15"/>
      <c r="BH20" s="15"/>
      <c r="BI20" s="15"/>
      <c r="BS20" s="78"/>
      <c r="BT20" s="79"/>
      <c r="BU20" s="15"/>
      <c r="BV20" s="15"/>
      <c r="BW20" s="15"/>
      <c r="CA20" s="45"/>
      <c r="CD20" s="45"/>
      <c r="CG20" s="78"/>
      <c r="CH20" s="79"/>
      <c r="CI20" s="15"/>
      <c r="CJ20" s="15"/>
      <c r="CK20" s="15"/>
      <c r="CO20" s="45"/>
      <c r="CR20" s="45"/>
    </row>
    <row r="21" spans="1:96" s="18" customFormat="1" ht="15" customHeight="1">
      <c r="A21" s="80">
        <v>1994</v>
      </c>
      <c r="B21" s="81" t="s">
        <v>39</v>
      </c>
      <c r="C21" s="15">
        <f t="shared" si="3"/>
        <v>0.46892189218921893</v>
      </c>
      <c r="D21" s="15">
        <f t="shared" si="4"/>
        <v>0.86067642604745076</v>
      </c>
      <c r="E21" s="15">
        <f t="shared" si="5"/>
        <v>0.54482948294829481</v>
      </c>
      <c r="F21" s="16">
        <f t="shared" si="0"/>
        <v>0</v>
      </c>
      <c r="G2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1" s="16">
        <v>3636</v>
      </c>
      <c r="I21" s="16">
        <f t="shared" si="6"/>
        <v>1655</v>
      </c>
      <c r="J21" s="16">
        <v>1981</v>
      </c>
      <c r="K21" s="16">
        <v>1705</v>
      </c>
      <c r="L21" s="16">
        <f t="shared" si="7"/>
        <v>276</v>
      </c>
      <c r="M21" s="16"/>
      <c r="N21" s="16"/>
      <c r="O21" s="80">
        <v>1994</v>
      </c>
      <c r="P21" s="81" t="s">
        <v>39</v>
      </c>
      <c r="Q21" s="15"/>
      <c r="R21" s="15"/>
      <c r="S21" s="15"/>
      <c r="T21" s="16"/>
      <c r="U21" s="16"/>
      <c r="V21" s="16"/>
      <c r="W21" s="16"/>
      <c r="X21" s="69">
        <f>(SUM(X$134:X$148)/15)/(SUM($J$134:$J$148)/15)*BS[[#This Row],[Trenes Corridos]]</f>
        <v>1205.9028253877168</v>
      </c>
      <c r="Y21" s="16"/>
      <c r="Z21" s="16"/>
      <c r="AA21" s="16"/>
      <c r="AB21" s="16"/>
      <c r="AC21" s="80">
        <v>1994</v>
      </c>
      <c r="AD21" s="81" t="s">
        <v>39</v>
      </c>
      <c r="AE21" s="15"/>
      <c r="AF21" s="15"/>
      <c r="AG21" s="15"/>
      <c r="AH21" s="16"/>
      <c r="AI21" s="16"/>
      <c r="AJ21" s="16"/>
      <c r="AK21" s="16"/>
      <c r="AL21" s="69">
        <f>(SUM(AL$134:AL$148)/15)/(SUM($J$134:$J$148)/15)*BS[[#This Row],[Trenes Corridos]]</f>
        <v>697.61737213270715</v>
      </c>
      <c r="AM21" s="16"/>
      <c r="AN21" s="16"/>
      <c r="AO21" s="16"/>
      <c r="AP21" s="16"/>
      <c r="AQ21" s="80">
        <v>1994</v>
      </c>
      <c r="AR21" s="81" t="s">
        <v>39</v>
      </c>
      <c r="AS21" s="15"/>
      <c r="AT21" s="15"/>
      <c r="AU21" s="15"/>
      <c r="AV21" s="15"/>
      <c r="AW21" s="15"/>
      <c r="AX21" s="16"/>
      <c r="AY21" s="16"/>
      <c r="AZ21" s="69">
        <f>(SUM(AZ$134:AZ$148)/15)/(SUM($J$134:$J$148)/15)*BS[[#This Row],[Trenes Corridos]]</f>
        <v>77.479802479575966</v>
      </c>
      <c r="BA21" s="16"/>
      <c r="BB21" s="16"/>
      <c r="BC21" s="16"/>
      <c r="BD21" s="16"/>
      <c r="BE21" s="80"/>
      <c r="BF21" s="81"/>
      <c r="BG21" s="15"/>
      <c r="BH21" s="15"/>
      <c r="BI21" s="15"/>
      <c r="BS21" s="80"/>
      <c r="BT21" s="81"/>
      <c r="BU21" s="15"/>
      <c r="BV21" s="15"/>
      <c r="BW21" s="15"/>
      <c r="CA21" s="45"/>
      <c r="CD21" s="45"/>
      <c r="CG21" s="80"/>
      <c r="CH21" s="81"/>
      <c r="CI21" s="15"/>
      <c r="CJ21" s="15"/>
      <c r="CK21" s="15"/>
      <c r="CO21" s="45"/>
      <c r="CR21" s="45"/>
    </row>
    <row r="22" spans="1:96" s="18" customFormat="1" ht="15" customHeight="1">
      <c r="A22" s="78">
        <v>1994</v>
      </c>
      <c r="B22" s="79" t="s">
        <v>40</v>
      </c>
      <c r="C22" s="15">
        <f t="shared" si="3"/>
        <v>0.71944990176817292</v>
      </c>
      <c r="D22" s="15">
        <f t="shared" si="4"/>
        <v>0.74552117263843654</v>
      </c>
      <c r="E22" s="15">
        <f t="shared" si="5"/>
        <v>0.96502946954813362</v>
      </c>
      <c r="F22" s="16">
        <f t="shared" si="0"/>
        <v>0</v>
      </c>
      <c r="G2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2" s="16">
        <f>1425+1120</f>
        <v>2545</v>
      </c>
      <c r="I22" s="16">
        <f t="shared" si="6"/>
        <v>89</v>
      </c>
      <c r="J22" s="16">
        <v>2456</v>
      </c>
      <c r="K22" s="16">
        <f>1187+644</f>
        <v>1831</v>
      </c>
      <c r="L22" s="16">
        <f t="shared" si="7"/>
        <v>625</v>
      </c>
      <c r="M22" s="16"/>
      <c r="N22" s="16"/>
      <c r="O22" s="78">
        <v>1994</v>
      </c>
      <c r="P22" s="79" t="s">
        <v>40</v>
      </c>
      <c r="Q22" s="15"/>
      <c r="R22" s="15"/>
      <c r="S22" s="15"/>
      <c r="T22" s="16"/>
      <c r="U22" s="16"/>
      <c r="V22" s="16"/>
      <c r="W22" s="16"/>
      <c r="X22" s="69">
        <f>(SUM(X$134:X$148)/15)/(SUM($J$134:$J$148)/15)*BS[[#This Row],[Trenes Corridos]]</f>
        <v>1495.0516603494359</v>
      </c>
      <c r="Y22" s="16"/>
      <c r="Z22" s="16"/>
      <c r="AA22" s="16"/>
      <c r="AB22" s="16"/>
      <c r="AC22" s="78">
        <v>1994</v>
      </c>
      <c r="AD22" s="79" t="s">
        <v>40</v>
      </c>
      <c r="AE22" s="15"/>
      <c r="AF22" s="15"/>
      <c r="AG22" s="15"/>
      <c r="AH22" s="16"/>
      <c r="AI22" s="16"/>
      <c r="AJ22" s="16"/>
      <c r="AK22" s="16"/>
      <c r="AL22" s="69">
        <f>(SUM(AL$134:AL$148)/15)/(SUM($J$134:$J$148)/15)*BS[[#This Row],[Trenes Corridos]]</f>
        <v>864.89059361833858</v>
      </c>
      <c r="AM22" s="16"/>
      <c r="AN22" s="16"/>
      <c r="AO22" s="16"/>
      <c r="AP22" s="16"/>
      <c r="AQ22" s="78">
        <v>1994</v>
      </c>
      <c r="AR22" s="79" t="s">
        <v>40</v>
      </c>
      <c r="AS22" s="15"/>
      <c r="AT22" s="15"/>
      <c r="AU22" s="15"/>
      <c r="AV22" s="15"/>
      <c r="AW22" s="15"/>
      <c r="AX22" s="16"/>
      <c r="AY22" s="16"/>
      <c r="AZ22" s="69">
        <f>(SUM(AZ$134:AZ$148)/15)/(SUM($J$134:$J$148)/15)*BS[[#This Row],[Trenes Corridos]]</f>
        <v>96.057746032225424</v>
      </c>
      <c r="BA22" s="16"/>
      <c r="BB22" s="16"/>
      <c r="BC22" s="16"/>
      <c r="BD22" s="16"/>
      <c r="BE22" s="78"/>
      <c r="BF22" s="79"/>
      <c r="BG22" s="15"/>
      <c r="BH22" s="15"/>
      <c r="BI22" s="15"/>
      <c r="BS22" s="78"/>
      <c r="BT22" s="79"/>
      <c r="BU22" s="15"/>
      <c r="BV22" s="15"/>
      <c r="BW22" s="15"/>
      <c r="CA22" s="45"/>
      <c r="CD22" s="45"/>
      <c r="CG22" s="78"/>
      <c r="CH22" s="79"/>
      <c r="CI22" s="15"/>
      <c r="CJ22" s="15"/>
      <c r="CK22" s="15"/>
      <c r="CO22" s="45"/>
      <c r="CR22" s="45"/>
    </row>
    <row r="23" spans="1:96" s="18" customFormat="1" ht="15" customHeight="1">
      <c r="A23" s="80">
        <v>1994</v>
      </c>
      <c r="B23" s="81" t="s">
        <v>41</v>
      </c>
      <c r="C23" s="15">
        <f t="shared" si="3"/>
        <v>0.8592677345537757</v>
      </c>
      <c r="D23" s="15">
        <f t="shared" si="4"/>
        <v>0.89796731765643678</v>
      </c>
      <c r="E23" s="15">
        <f t="shared" si="5"/>
        <v>0.95690312738367655</v>
      </c>
      <c r="F23" s="16">
        <f t="shared" si="0"/>
        <v>0</v>
      </c>
      <c r="G2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3" s="16">
        <v>2622</v>
      </c>
      <c r="I23" s="16">
        <f t="shared" si="6"/>
        <v>113</v>
      </c>
      <c r="J23" s="16">
        <v>2509</v>
      </c>
      <c r="K23" s="16">
        <v>2253</v>
      </c>
      <c r="L23" s="16">
        <f t="shared" si="7"/>
        <v>256</v>
      </c>
      <c r="M23" s="16"/>
      <c r="N23" s="16"/>
      <c r="O23" s="80">
        <v>1994</v>
      </c>
      <c r="P23" s="81" t="s">
        <v>41</v>
      </c>
      <c r="Q23" s="15"/>
      <c r="R23" s="15"/>
      <c r="S23" s="15"/>
      <c r="T23" s="16"/>
      <c r="U23" s="16"/>
      <c r="V23" s="16"/>
      <c r="W23" s="16"/>
      <c r="X23" s="69">
        <f>(SUM(X$134:X$148)/15)/(SUM($J$134:$J$148)/15)*BS[[#This Row],[Trenes Corridos]]</f>
        <v>1527.3145829872697</v>
      </c>
      <c r="Y23" s="16"/>
      <c r="Z23" s="16"/>
      <c r="AA23" s="16"/>
      <c r="AB23" s="16"/>
      <c r="AC23" s="80">
        <v>1994</v>
      </c>
      <c r="AD23" s="81" t="s">
        <v>41</v>
      </c>
      <c r="AE23" s="15"/>
      <c r="AF23" s="15"/>
      <c r="AG23" s="15"/>
      <c r="AH23" s="16"/>
      <c r="AI23" s="16"/>
      <c r="AJ23" s="16"/>
      <c r="AK23" s="16"/>
      <c r="AL23" s="69">
        <f>(SUM(AL$134:AL$148)/15)/(SUM($J$134:$J$148)/15)*BS[[#This Row],[Trenes Corridos]]</f>
        <v>883.55476359463012</v>
      </c>
      <c r="AM23" s="16"/>
      <c r="AN23" s="16"/>
      <c r="AO23" s="16"/>
      <c r="AP23" s="16"/>
      <c r="AQ23" s="80">
        <v>1994</v>
      </c>
      <c r="AR23" s="81" t="s">
        <v>41</v>
      </c>
      <c r="AS23" s="15"/>
      <c r="AT23" s="15"/>
      <c r="AU23" s="15"/>
      <c r="AV23" s="15"/>
      <c r="AW23" s="15"/>
      <c r="AX23" s="16"/>
      <c r="AY23" s="16"/>
      <c r="AZ23" s="69">
        <f>(SUM(AZ$134:AZ$148)/15)/(SUM($J$134:$J$148)/15)*BS[[#This Row],[Trenes Corridos]]</f>
        <v>98.130653418099996</v>
      </c>
      <c r="BA23" s="16"/>
      <c r="BB23" s="16"/>
      <c r="BC23" s="16"/>
      <c r="BD23" s="16"/>
      <c r="BE23" s="80"/>
      <c r="BF23" s="81"/>
      <c r="BG23" s="15"/>
      <c r="BH23" s="15"/>
      <c r="BI23" s="15"/>
      <c r="BS23" s="80"/>
      <c r="BT23" s="81"/>
      <c r="BU23" s="15"/>
      <c r="BV23" s="15"/>
      <c r="BW23" s="15"/>
      <c r="CA23" s="45"/>
      <c r="CD23" s="45"/>
      <c r="CG23" s="80"/>
      <c r="CH23" s="81"/>
      <c r="CI23" s="15"/>
      <c r="CJ23" s="15"/>
      <c r="CK23" s="15"/>
      <c r="CO23" s="45"/>
      <c r="CR23" s="45"/>
    </row>
    <row r="24" spans="1:96" s="18" customFormat="1" ht="15" customHeight="1">
      <c r="A24" s="78">
        <v>1994</v>
      </c>
      <c r="B24" s="79" t="s">
        <v>42</v>
      </c>
      <c r="C24" s="15">
        <f t="shared" si="3"/>
        <v>0.78539823008849563</v>
      </c>
      <c r="D24" s="15">
        <f t="shared" si="4"/>
        <v>0.82654249126891732</v>
      </c>
      <c r="E24" s="15">
        <f t="shared" si="5"/>
        <v>0.9502212389380531</v>
      </c>
      <c r="F24" s="16">
        <f t="shared" si="0"/>
        <v>0</v>
      </c>
      <c r="G2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4" s="16">
        <v>2712</v>
      </c>
      <c r="I24" s="16">
        <f t="shared" si="6"/>
        <v>135</v>
      </c>
      <c r="J24" s="16">
        <v>2577</v>
      </c>
      <c r="K24" s="16">
        <v>2130</v>
      </c>
      <c r="L24" s="16">
        <f t="shared" si="7"/>
        <v>447</v>
      </c>
      <c r="M24" s="16"/>
      <c r="N24" s="16"/>
      <c r="O24" s="78">
        <v>1994</v>
      </c>
      <c r="P24" s="79" t="s">
        <v>42</v>
      </c>
      <c r="Q24" s="15"/>
      <c r="R24" s="15"/>
      <c r="S24" s="15"/>
      <c r="T24" s="16"/>
      <c r="U24" s="16"/>
      <c r="V24" s="16"/>
      <c r="W24" s="16"/>
      <c r="X24" s="69">
        <f>(SUM(X$134:X$148)/15)/(SUM($J$134:$J$148)/15)*BS[[#This Row],[Trenes Corridos]]</f>
        <v>1568.7085214660001</v>
      </c>
      <c r="Y24" s="16"/>
      <c r="Z24" s="16"/>
      <c r="AA24" s="16"/>
      <c r="AB24" s="16"/>
      <c r="AC24" s="78">
        <v>1994</v>
      </c>
      <c r="AD24" s="79" t="s">
        <v>42</v>
      </c>
      <c r="AE24" s="15"/>
      <c r="AF24" s="15"/>
      <c r="AG24" s="15"/>
      <c r="AH24" s="16"/>
      <c r="AI24" s="16"/>
      <c r="AJ24" s="16"/>
      <c r="AK24" s="16"/>
      <c r="AL24" s="69">
        <f>(SUM(AL$134:AL$148)/15)/(SUM($J$134:$J$148)/15)*BS[[#This Row],[Trenes Corridos]]</f>
        <v>907.50124582836258</v>
      </c>
      <c r="AM24" s="16"/>
      <c r="AN24" s="16"/>
      <c r="AO24" s="16"/>
      <c r="AP24" s="16"/>
      <c r="AQ24" s="78">
        <v>1994</v>
      </c>
      <c r="AR24" s="79" t="s">
        <v>42</v>
      </c>
      <c r="AS24" s="15"/>
      <c r="AT24" s="15"/>
      <c r="AU24" s="15"/>
      <c r="AV24" s="15"/>
      <c r="AW24" s="15"/>
      <c r="AX24" s="16"/>
      <c r="AY24" s="16"/>
      <c r="AZ24" s="69">
        <f>(SUM(AZ$134:AZ$148)/15)/(SUM($J$134:$J$148)/15)*BS[[#This Row],[Trenes Corridos]]</f>
        <v>100.79023270563718</v>
      </c>
      <c r="BA24" s="16"/>
      <c r="BB24" s="16"/>
      <c r="BC24" s="16"/>
      <c r="BD24" s="16"/>
      <c r="BE24" s="78"/>
      <c r="BF24" s="79"/>
      <c r="BG24" s="15"/>
      <c r="BH24" s="15"/>
      <c r="BI24" s="15"/>
      <c r="BS24" s="78"/>
      <c r="BT24" s="79"/>
      <c r="BU24" s="15"/>
      <c r="BV24" s="15"/>
      <c r="BW24" s="15"/>
      <c r="CA24" s="45"/>
      <c r="CD24" s="45"/>
      <c r="CG24" s="78"/>
      <c r="CH24" s="79"/>
      <c r="CI24" s="15"/>
      <c r="CJ24" s="15"/>
      <c r="CK24" s="15"/>
      <c r="CO24" s="45"/>
      <c r="CR24" s="45"/>
    </row>
    <row r="25" spans="1:96" s="18" customFormat="1" ht="15" customHeight="1">
      <c r="A25" s="80">
        <v>1994</v>
      </c>
      <c r="B25" s="81" t="s">
        <v>43</v>
      </c>
      <c r="C25" s="15">
        <f t="shared" si="3"/>
        <v>0.90605504587155961</v>
      </c>
      <c r="D25" s="15">
        <f t="shared" si="4"/>
        <v>0.93700189753320684</v>
      </c>
      <c r="E25" s="15">
        <f t="shared" si="5"/>
        <v>0.96697247706422018</v>
      </c>
      <c r="F25" s="16">
        <f t="shared" si="0"/>
        <v>0</v>
      </c>
      <c r="G2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5" s="16">
        <v>2725</v>
      </c>
      <c r="I25" s="16">
        <f t="shared" si="6"/>
        <v>90</v>
      </c>
      <c r="J25" s="16">
        <v>2635</v>
      </c>
      <c r="K25" s="16">
        <v>2469</v>
      </c>
      <c r="L25" s="16">
        <f t="shared" si="7"/>
        <v>166</v>
      </c>
      <c r="M25" s="16"/>
      <c r="N25" s="16"/>
      <c r="O25" s="80">
        <v>1994</v>
      </c>
      <c r="P25" s="81" t="s">
        <v>43</v>
      </c>
      <c r="Q25" s="15"/>
      <c r="R25" s="15"/>
      <c r="S25" s="15"/>
      <c r="T25" s="16"/>
      <c r="U25" s="16"/>
      <c r="V25" s="16"/>
      <c r="W25" s="16"/>
      <c r="X25" s="69">
        <f>(SUM(X$134:X$148)/15)/(SUM($J$134:$J$148)/15)*BS[[#This Row],[Trenes Corridos]]</f>
        <v>1604.0151160507994</v>
      </c>
      <c r="Y25" s="16"/>
      <c r="Z25" s="16"/>
      <c r="AA25" s="16"/>
      <c r="AB25" s="16"/>
      <c r="AC25" s="80">
        <v>1994</v>
      </c>
      <c r="AD25" s="81" t="s">
        <v>43</v>
      </c>
      <c r="AE25" s="15"/>
      <c r="AF25" s="15"/>
      <c r="AG25" s="15"/>
      <c r="AH25" s="16"/>
      <c r="AI25" s="16"/>
      <c r="AJ25" s="16"/>
      <c r="AK25" s="16"/>
      <c r="AL25" s="69">
        <f>(SUM(AL$134:AL$148)/15)/(SUM($J$134:$J$148)/15)*BS[[#This Row],[Trenes Corridos]]</f>
        <v>927.92618655713443</v>
      </c>
      <c r="AM25" s="16"/>
      <c r="AN25" s="16"/>
      <c r="AO25" s="16"/>
      <c r="AP25" s="16"/>
      <c r="AQ25" s="80">
        <v>1994</v>
      </c>
      <c r="AR25" s="81" t="s">
        <v>43</v>
      </c>
      <c r="AS25" s="15"/>
      <c r="AT25" s="15"/>
      <c r="AU25" s="15"/>
      <c r="AV25" s="15"/>
      <c r="AW25" s="15"/>
      <c r="AX25" s="16"/>
      <c r="AY25" s="16"/>
      <c r="AZ25" s="69">
        <f>(SUM(AZ$134:AZ$148)/15)/(SUM($J$134:$J$148)/15)*BS[[#This Row],[Trenes Corridos]]</f>
        <v>103.05869739206595</v>
      </c>
      <c r="BA25" s="16"/>
      <c r="BB25" s="16"/>
      <c r="BC25" s="16"/>
      <c r="BD25" s="16"/>
      <c r="BE25" s="80"/>
      <c r="BF25" s="81"/>
      <c r="BG25" s="15"/>
      <c r="BH25" s="15"/>
      <c r="BI25" s="15"/>
      <c r="BS25" s="80"/>
      <c r="BT25" s="81"/>
      <c r="BU25" s="15"/>
      <c r="BV25" s="15"/>
      <c r="BW25" s="15"/>
      <c r="CA25" s="45"/>
      <c r="CD25" s="45"/>
      <c r="CG25" s="80"/>
      <c r="CH25" s="81"/>
      <c r="CI25" s="15"/>
      <c r="CJ25" s="15"/>
      <c r="CK25" s="15"/>
      <c r="CO25" s="45"/>
      <c r="CR25" s="45"/>
    </row>
    <row r="26" spans="1:96" s="18" customFormat="1" ht="15" customHeight="1">
      <c r="A26" s="78">
        <v>1994</v>
      </c>
      <c r="B26" s="79" t="s">
        <v>44</v>
      </c>
      <c r="C26" s="15">
        <f t="shared" si="3"/>
        <v>0.90747734138972813</v>
      </c>
      <c r="D26" s="15">
        <f t="shared" si="4"/>
        <v>0.94792899408284026</v>
      </c>
      <c r="E26" s="15">
        <f t="shared" si="5"/>
        <v>0.95732628398791542</v>
      </c>
      <c r="F26" s="16">
        <f t="shared" si="0"/>
        <v>0</v>
      </c>
      <c r="G2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6" s="16">
        <v>2648</v>
      </c>
      <c r="I26" s="16">
        <f t="shared" si="6"/>
        <v>113</v>
      </c>
      <c r="J26" s="16">
        <v>2535</v>
      </c>
      <c r="K26" s="16">
        <v>2403</v>
      </c>
      <c r="L26" s="16">
        <f t="shared" si="7"/>
        <v>132</v>
      </c>
      <c r="M26" s="16"/>
      <c r="N26" s="16"/>
      <c r="O26" s="78">
        <v>1994</v>
      </c>
      <c r="P26" s="79" t="s">
        <v>44</v>
      </c>
      <c r="Q26" s="15"/>
      <c r="R26" s="15"/>
      <c r="S26" s="15"/>
      <c r="T26" s="16"/>
      <c r="U26" s="16"/>
      <c r="V26" s="16"/>
      <c r="W26" s="16"/>
      <c r="X26" s="69">
        <f>(SUM(X$134:X$148)/15)/(SUM($J$134:$J$148)/15)*BS[[#This Row],[Trenes Corridos]]</f>
        <v>1543.1416771114903</v>
      </c>
      <c r="Y26" s="16"/>
      <c r="Z26" s="16"/>
      <c r="AA26" s="16"/>
      <c r="AB26" s="16"/>
      <c r="AC26" s="78">
        <v>1994</v>
      </c>
      <c r="AD26" s="79" t="s">
        <v>44</v>
      </c>
      <c r="AE26" s="15"/>
      <c r="AF26" s="15"/>
      <c r="AG26" s="15"/>
      <c r="AH26" s="16"/>
      <c r="AI26" s="16"/>
      <c r="AJ26" s="16"/>
      <c r="AK26" s="16"/>
      <c r="AL26" s="69">
        <f>(SUM(AL$134:AL$148)/15)/(SUM($J$134:$J$148)/15)*BS[[#This Row],[Trenes Corridos]]</f>
        <v>892.71077150752774</v>
      </c>
      <c r="AM26" s="16"/>
      <c r="AN26" s="16"/>
      <c r="AO26" s="16"/>
      <c r="AP26" s="16"/>
      <c r="AQ26" s="78">
        <v>1994</v>
      </c>
      <c r="AR26" s="79" t="s">
        <v>44</v>
      </c>
      <c r="AS26" s="15"/>
      <c r="AT26" s="15"/>
      <c r="AU26" s="15"/>
      <c r="AV26" s="15"/>
      <c r="AW26" s="15"/>
      <c r="AX26" s="16"/>
      <c r="AY26" s="16"/>
      <c r="AZ26" s="69">
        <f>(SUM(AZ$134:AZ$148)/15)/(SUM($J$134:$J$148)/15)*BS[[#This Row],[Trenes Corridos]]</f>
        <v>99.147551380981852</v>
      </c>
      <c r="BA26" s="16"/>
      <c r="BB26" s="16"/>
      <c r="BC26" s="16"/>
      <c r="BD26" s="16"/>
      <c r="BE26" s="78"/>
      <c r="BF26" s="79"/>
      <c r="BG26" s="15"/>
      <c r="BH26" s="15"/>
      <c r="BI26" s="15"/>
      <c r="BS26" s="78"/>
      <c r="BT26" s="79"/>
      <c r="BU26" s="15"/>
      <c r="BV26" s="15"/>
      <c r="BW26" s="15"/>
      <c r="CA26" s="45"/>
      <c r="CD26" s="45"/>
      <c r="CG26" s="78"/>
      <c r="CH26" s="79"/>
      <c r="CI26" s="15"/>
      <c r="CJ26" s="15"/>
      <c r="CK26" s="15"/>
      <c r="CO26" s="45"/>
      <c r="CR26" s="45"/>
    </row>
    <row r="27" spans="1:96" s="18" customFormat="1" ht="15" customHeight="1">
      <c r="A27" s="80">
        <v>1994</v>
      </c>
      <c r="B27" s="81" t="s">
        <v>45</v>
      </c>
      <c r="C27" s="15">
        <f t="shared" si="3"/>
        <v>0.95206489675516226</v>
      </c>
      <c r="D27" s="15">
        <f t="shared" si="4"/>
        <v>0.96595585484474378</v>
      </c>
      <c r="E27" s="15">
        <f t="shared" si="5"/>
        <v>0.98561946902654862</v>
      </c>
      <c r="F27" s="16">
        <f t="shared" si="0"/>
        <v>0</v>
      </c>
      <c r="G2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7" s="16">
        <v>2712</v>
      </c>
      <c r="I27" s="16">
        <f t="shared" si="6"/>
        <v>39</v>
      </c>
      <c r="J27" s="16">
        <v>2673</v>
      </c>
      <c r="K27" s="16">
        <v>2582</v>
      </c>
      <c r="L27" s="16">
        <f t="shared" si="7"/>
        <v>91</v>
      </c>
      <c r="M27" s="16"/>
      <c r="N27" s="16"/>
      <c r="O27" s="80">
        <v>1994</v>
      </c>
      <c r="P27" s="81" t="s">
        <v>45</v>
      </c>
      <c r="Q27" s="15"/>
      <c r="R27" s="15"/>
      <c r="S27" s="15"/>
      <c r="T27" s="16"/>
      <c r="U27" s="16"/>
      <c r="V27" s="16"/>
      <c r="W27" s="16"/>
      <c r="X27" s="69">
        <f>(SUM(X$134:X$148)/15)/(SUM($J$134:$J$148)/15)*BS[[#This Row],[Trenes Corridos]]</f>
        <v>1627.1470228477369</v>
      </c>
      <c r="Y27" s="16"/>
      <c r="Z27" s="16"/>
      <c r="AA27" s="16"/>
      <c r="AB27" s="16"/>
      <c r="AC27" s="80">
        <v>1994</v>
      </c>
      <c r="AD27" s="81" t="s">
        <v>45</v>
      </c>
      <c r="AE27" s="15"/>
      <c r="AF27" s="15"/>
      <c r="AG27" s="15"/>
      <c r="AH27" s="16"/>
      <c r="AI27" s="16"/>
      <c r="AJ27" s="16"/>
      <c r="AK27" s="16"/>
      <c r="AL27" s="69">
        <f>(SUM(AL$134:AL$148)/15)/(SUM($J$134:$J$148)/15)*BS[[#This Row],[Trenes Corridos]]</f>
        <v>941.30804427598491</v>
      </c>
      <c r="AM27" s="16"/>
      <c r="AN27" s="16"/>
      <c r="AO27" s="16"/>
      <c r="AP27" s="16"/>
      <c r="AQ27" s="80">
        <v>1994</v>
      </c>
      <c r="AR27" s="81" t="s">
        <v>45</v>
      </c>
      <c r="AS27" s="15"/>
      <c r="AT27" s="15"/>
      <c r="AU27" s="15"/>
      <c r="AV27" s="15"/>
      <c r="AW27" s="15"/>
      <c r="AX27" s="16"/>
      <c r="AY27" s="16"/>
      <c r="AZ27" s="69">
        <f>(SUM(AZ$134:AZ$148)/15)/(SUM($J$134:$J$148)/15)*BS[[#This Row],[Trenes Corridos]]</f>
        <v>104.54493287627791</v>
      </c>
      <c r="BA27" s="16"/>
      <c r="BB27" s="16"/>
      <c r="BC27" s="16"/>
      <c r="BD27" s="16"/>
      <c r="BE27" s="80"/>
      <c r="BF27" s="81"/>
      <c r="BG27" s="15"/>
      <c r="BH27" s="15"/>
      <c r="BI27" s="15"/>
      <c r="BS27" s="80"/>
      <c r="BT27" s="81"/>
      <c r="BU27" s="15"/>
      <c r="BV27" s="15"/>
      <c r="BW27" s="15"/>
      <c r="CA27" s="45"/>
      <c r="CD27" s="45"/>
      <c r="CG27" s="80"/>
      <c r="CH27" s="81"/>
      <c r="CI27" s="15"/>
      <c r="CJ27" s="15"/>
      <c r="CK27" s="15"/>
      <c r="CO27" s="45"/>
      <c r="CR27" s="45"/>
    </row>
    <row r="28" spans="1:96" s="18" customFormat="1" ht="15" customHeight="1">
      <c r="A28" s="78">
        <v>1994</v>
      </c>
      <c r="B28" s="79" t="s">
        <v>46</v>
      </c>
      <c r="C28" s="15">
        <f t="shared" si="3"/>
        <v>0.93957703927492442</v>
      </c>
      <c r="D28" s="15">
        <f t="shared" si="4"/>
        <v>0.95398773006134974</v>
      </c>
      <c r="E28" s="15">
        <f t="shared" si="5"/>
        <v>0.98489425981873113</v>
      </c>
      <c r="F28" s="16">
        <f t="shared" si="0"/>
        <v>0</v>
      </c>
      <c r="G2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8" s="16">
        <v>2648</v>
      </c>
      <c r="I28" s="16">
        <f t="shared" si="6"/>
        <v>40</v>
      </c>
      <c r="J28" s="16">
        <v>2608</v>
      </c>
      <c r="K28" s="16">
        <v>2488</v>
      </c>
      <c r="L28" s="16">
        <f t="shared" si="7"/>
        <v>120</v>
      </c>
      <c r="M28" s="16"/>
      <c r="N28" s="16"/>
      <c r="O28" s="78">
        <v>1994</v>
      </c>
      <c r="P28" s="79" t="s">
        <v>46</v>
      </c>
      <c r="Q28" s="15"/>
      <c r="R28" s="15"/>
      <c r="S28" s="15"/>
      <c r="T28" s="16"/>
      <c r="U28" s="16"/>
      <c r="V28" s="16"/>
      <c r="W28" s="16"/>
      <c r="X28" s="69">
        <f>(SUM(X$134:X$148)/15)/(SUM($J$134:$J$148)/15)*BS[[#This Row],[Trenes Corridos]]</f>
        <v>1587.579287537186</v>
      </c>
      <c r="Y28" s="16"/>
      <c r="Z28" s="16"/>
      <c r="AA28" s="16"/>
      <c r="AB28" s="16"/>
      <c r="AC28" s="78">
        <v>1994</v>
      </c>
      <c r="AD28" s="79" t="s">
        <v>46</v>
      </c>
      <c r="AE28" s="15"/>
      <c r="AF28" s="15"/>
      <c r="AG28" s="15"/>
      <c r="AH28" s="16"/>
      <c r="AI28" s="16"/>
      <c r="AJ28" s="16"/>
      <c r="AK28" s="16"/>
      <c r="AL28" s="69">
        <f>(SUM(AL$134:AL$148)/15)/(SUM($J$134:$J$148)/15)*BS[[#This Row],[Trenes Corridos]]</f>
        <v>918.41802449374063</v>
      </c>
      <c r="AM28" s="16"/>
      <c r="AN28" s="16"/>
      <c r="AO28" s="16"/>
      <c r="AP28" s="16"/>
      <c r="AQ28" s="78">
        <v>1994</v>
      </c>
      <c r="AR28" s="79" t="s">
        <v>46</v>
      </c>
      <c r="AS28" s="15"/>
      <c r="AT28" s="15"/>
      <c r="AU28" s="15"/>
      <c r="AV28" s="15"/>
      <c r="AW28" s="15"/>
      <c r="AX28" s="16"/>
      <c r="AY28" s="16"/>
      <c r="AZ28" s="69">
        <f>(SUM(AZ$134:AZ$148)/15)/(SUM($J$134:$J$148)/15)*BS[[#This Row],[Trenes Corridos]]</f>
        <v>102.00268796907325</v>
      </c>
      <c r="BA28" s="16"/>
      <c r="BB28" s="16"/>
      <c r="BC28" s="16"/>
      <c r="BD28" s="16"/>
      <c r="BE28" s="78"/>
      <c r="BF28" s="79"/>
      <c r="BG28" s="15"/>
      <c r="BH28" s="15"/>
      <c r="BI28" s="15"/>
      <c r="BS28" s="78"/>
      <c r="BT28" s="79"/>
      <c r="BU28" s="15"/>
      <c r="BV28" s="15"/>
      <c r="BW28" s="15"/>
      <c r="CA28" s="45"/>
      <c r="CD28" s="45"/>
      <c r="CG28" s="78"/>
      <c r="CH28" s="79"/>
      <c r="CI28" s="15"/>
      <c r="CJ28" s="15"/>
      <c r="CK28" s="15"/>
      <c r="CO28" s="45"/>
      <c r="CR28" s="45"/>
    </row>
    <row r="29" spans="1:96" s="18" customFormat="1" ht="15" customHeight="1">
      <c r="A29" s="80">
        <v>1994</v>
      </c>
      <c r="B29" s="81" t="s">
        <v>47</v>
      </c>
      <c r="C29" s="15">
        <f t="shared" si="3"/>
        <v>0.91526661796932063</v>
      </c>
      <c r="D29" s="15">
        <f t="shared" si="4"/>
        <v>0.93298585256887567</v>
      </c>
      <c r="E29" s="15">
        <f t="shared" si="5"/>
        <v>0.98100803506208911</v>
      </c>
      <c r="F29" s="16">
        <f t="shared" si="0"/>
        <v>0</v>
      </c>
      <c r="G2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9" s="16">
        <v>2738</v>
      </c>
      <c r="I29" s="16">
        <f t="shared" si="6"/>
        <v>52</v>
      </c>
      <c r="J29" s="16">
        <v>2686</v>
      </c>
      <c r="K29" s="16">
        <v>2506</v>
      </c>
      <c r="L29" s="16">
        <f t="shared" si="7"/>
        <v>180</v>
      </c>
      <c r="M29" s="16"/>
      <c r="N29" s="16"/>
      <c r="O29" s="80">
        <v>1994</v>
      </c>
      <c r="P29" s="81" t="s">
        <v>47</v>
      </c>
      <c r="Q29" s="15"/>
      <c r="R29" s="15"/>
      <c r="S29" s="15"/>
      <c r="T29" s="16"/>
      <c r="U29" s="16"/>
      <c r="V29" s="16"/>
      <c r="W29" s="16"/>
      <c r="X29" s="69">
        <f>(SUM(X$134:X$148)/15)/(SUM($J$134:$J$148)/15)*BS[[#This Row],[Trenes Corridos]]</f>
        <v>1635.0605699098471</v>
      </c>
      <c r="Y29" s="16"/>
      <c r="Z29" s="16"/>
      <c r="AA29" s="16"/>
      <c r="AB29" s="16"/>
      <c r="AC29" s="80">
        <v>1994</v>
      </c>
      <c r="AD29" s="81" t="s">
        <v>47</v>
      </c>
      <c r="AE29" s="15"/>
      <c r="AF29" s="15"/>
      <c r="AG29" s="15"/>
      <c r="AH29" s="16"/>
      <c r="AI29" s="16"/>
      <c r="AJ29" s="16"/>
      <c r="AK29" s="16"/>
      <c r="AL29" s="69">
        <f>(SUM(AL$134:AL$148)/15)/(SUM($J$134:$J$148)/15)*BS[[#This Row],[Trenes Corridos]]</f>
        <v>945.88604823243372</v>
      </c>
      <c r="AM29" s="16"/>
      <c r="AN29" s="16"/>
      <c r="AO29" s="16"/>
      <c r="AP29" s="16"/>
      <c r="AQ29" s="80">
        <v>1994</v>
      </c>
      <c r="AR29" s="81" t="s">
        <v>47</v>
      </c>
      <c r="AS29" s="15"/>
      <c r="AT29" s="15"/>
      <c r="AU29" s="15"/>
      <c r="AV29" s="15"/>
      <c r="AW29" s="15"/>
      <c r="AX29" s="16"/>
      <c r="AY29" s="16"/>
      <c r="AZ29" s="69">
        <f>(SUM(AZ$134:AZ$148)/15)/(SUM($J$134:$J$148)/15)*BS[[#This Row],[Trenes Corridos]]</f>
        <v>105.05338185771885</v>
      </c>
      <c r="BA29" s="16"/>
      <c r="BB29" s="16"/>
      <c r="BC29" s="16"/>
      <c r="BD29" s="16"/>
      <c r="BE29" s="80"/>
      <c r="BF29" s="81"/>
      <c r="BG29" s="15"/>
      <c r="BH29" s="15"/>
      <c r="BI29" s="15"/>
      <c r="BS29" s="80"/>
      <c r="BT29" s="81"/>
      <c r="BU29" s="15"/>
      <c r="BV29" s="15"/>
      <c r="BW29" s="15"/>
      <c r="CA29" s="45"/>
      <c r="CD29" s="45"/>
      <c r="CG29" s="80"/>
      <c r="CH29" s="81"/>
      <c r="CI29" s="15"/>
      <c r="CJ29" s="15"/>
      <c r="CK29" s="15"/>
      <c r="CO29" s="45"/>
      <c r="CR29" s="45"/>
    </row>
    <row r="30" spans="1:96" s="18" customFormat="1" ht="15" customHeight="1">
      <c r="A30" s="78">
        <v>1995</v>
      </c>
      <c r="B30" s="79" t="s">
        <v>36</v>
      </c>
      <c r="C30" s="15">
        <f t="shared" si="3"/>
        <v>0.95977579953841086</v>
      </c>
      <c r="D30" s="15">
        <f t="shared" si="4"/>
        <v>0.9706568856285428</v>
      </c>
      <c r="E30" s="15">
        <f t="shared" si="5"/>
        <v>0.98878997692054071</v>
      </c>
      <c r="F30" s="16">
        <f t="shared" si="0"/>
        <v>0</v>
      </c>
      <c r="G3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0" s="16">
        <f>1745+656+632</f>
        <v>3033</v>
      </c>
      <c r="I30" s="16">
        <f t="shared" ref="I30:I41" si="8">H30-J30</f>
        <v>34</v>
      </c>
      <c r="J30" s="16">
        <f>1727+650+622</f>
        <v>2999</v>
      </c>
      <c r="K30" s="16">
        <f>1696+620+595</f>
        <v>2911</v>
      </c>
      <c r="L30" s="16">
        <f t="shared" ref="L30:L41" si="9">J30-K30</f>
        <v>88</v>
      </c>
      <c r="M30" s="16"/>
      <c r="N30" s="16"/>
      <c r="O30" s="78">
        <v>1995</v>
      </c>
      <c r="P30" s="79" t="s">
        <v>36</v>
      </c>
      <c r="Q30" s="15"/>
      <c r="R30" s="15"/>
      <c r="S30" s="15"/>
      <c r="T30" s="16"/>
      <c r="U30" s="16"/>
      <c r="V30" s="16"/>
      <c r="W30" s="16"/>
      <c r="X30" s="69">
        <f>(SUM(X$134:X$148)/15)/(SUM($J$134:$J$148)/15)*BS[[#This Row],[Trenes Corridos]]</f>
        <v>1825.5944337898852</v>
      </c>
      <c r="Y30" s="16"/>
      <c r="Z30" s="16"/>
      <c r="AA30" s="16"/>
      <c r="AB30" s="16"/>
      <c r="AC30" s="78">
        <v>1995</v>
      </c>
      <c r="AD30" s="79" t="s">
        <v>36</v>
      </c>
      <c r="AE30" s="15"/>
      <c r="AF30" s="15"/>
      <c r="AG30" s="15"/>
      <c r="AH30" s="16"/>
      <c r="AI30" s="16"/>
      <c r="AJ30" s="16"/>
      <c r="AK30" s="16"/>
      <c r="AL30" s="69">
        <f>(SUM(AL$134:AL$148)/15)/(SUM($J$134:$J$148)/15)*BS[[#This Row],[Trenes Corridos]]</f>
        <v>1056.1102973377026</v>
      </c>
      <c r="AM30" s="16"/>
      <c r="AN30" s="16"/>
      <c r="AO30" s="16"/>
      <c r="AP30" s="16"/>
      <c r="AQ30" s="78">
        <v>1995</v>
      </c>
      <c r="AR30" s="79" t="s">
        <v>36</v>
      </c>
      <c r="AS30" s="15"/>
      <c r="AT30" s="15"/>
      <c r="AU30" s="15"/>
      <c r="AV30" s="15"/>
      <c r="AW30" s="15"/>
      <c r="AX30" s="16"/>
      <c r="AY30" s="16"/>
      <c r="AZ30" s="69">
        <f>(SUM(AZ$134:AZ$148)/15)/(SUM($J$134:$J$148)/15)*BS[[#This Row],[Trenes Corridos]]</f>
        <v>117.29526887241207</v>
      </c>
      <c r="BA30" s="16"/>
      <c r="BB30" s="16"/>
      <c r="BC30" s="16"/>
      <c r="BD30" s="16"/>
      <c r="BE30" s="78"/>
      <c r="BF30" s="79"/>
      <c r="BG30" s="15"/>
      <c r="BH30" s="15"/>
      <c r="BI30" s="15"/>
      <c r="BS30" s="78"/>
      <c r="BT30" s="79"/>
      <c r="BU30" s="15"/>
      <c r="BV30" s="15"/>
      <c r="BW30" s="15"/>
      <c r="CA30" s="45"/>
      <c r="CD30" s="45"/>
      <c r="CG30" s="78"/>
      <c r="CH30" s="79"/>
      <c r="CI30" s="15"/>
      <c r="CJ30" s="15"/>
      <c r="CK30" s="15"/>
      <c r="CO30" s="45"/>
      <c r="CR30" s="45"/>
    </row>
    <row r="31" spans="1:96" s="18" customFormat="1" ht="15" customHeight="1">
      <c r="A31" s="80">
        <v>1995</v>
      </c>
      <c r="B31" s="81" t="s">
        <v>37</v>
      </c>
      <c r="C31" s="15">
        <f t="shared" si="3"/>
        <v>0.97359625668449201</v>
      </c>
      <c r="D31" s="15">
        <f t="shared" si="4"/>
        <v>0.97784491440080568</v>
      </c>
      <c r="E31" s="15">
        <f t="shared" si="5"/>
        <v>0.9956550802139037</v>
      </c>
      <c r="F31" s="16">
        <f t="shared" si="0"/>
        <v>0</v>
      </c>
      <c r="G3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1" s="16">
        <f>1752+640+600</f>
        <v>2992</v>
      </c>
      <c r="I31" s="16">
        <f t="shared" si="8"/>
        <v>13</v>
      </c>
      <c r="J31" s="16">
        <f>1747+634+598</f>
        <v>2979</v>
      </c>
      <c r="K31" s="16">
        <f>1715+611+587</f>
        <v>2913</v>
      </c>
      <c r="L31" s="16">
        <f t="shared" si="9"/>
        <v>66</v>
      </c>
      <c r="M31" s="16"/>
      <c r="N31" s="16"/>
      <c r="O31" s="80">
        <v>1995</v>
      </c>
      <c r="P31" s="81" t="s">
        <v>37</v>
      </c>
      <c r="Q31" s="15"/>
      <c r="R31" s="15"/>
      <c r="S31" s="15"/>
      <c r="T31" s="16"/>
      <c r="U31" s="16"/>
      <c r="V31" s="16"/>
      <c r="W31" s="16"/>
      <c r="X31" s="69">
        <f>(SUM(X$134:X$148)/15)/(SUM($J$134:$J$148)/15)*BS[[#This Row],[Trenes Corridos]]</f>
        <v>1813.4197460020234</v>
      </c>
      <c r="Y31" s="16"/>
      <c r="Z31" s="16"/>
      <c r="AA31" s="16"/>
      <c r="AB31" s="16"/>
      <c r="AC31" s="80">
        <v>1995</v>
      </c>
      <c r="AD31" s="81" t="s">
        <v>37</v>
      </c>
      <c r="AE31" s="15"/>
      <c r="AF31" s="15"/>
      <c r="AG31" s="15"/>
      <c r="AH31" s="16"/>
      <c r="AI31" s="16"/>
      <c r="AJ31" s="16"/>
      <c r="AK31" s="16"/>
      <c r="AL31" s="69">
        <f>(SUM(AL$134:AL$148)/15)/(SUM($J$134:$J$148)/15)*BS[[#This Row],[Trenes Corridos]]</f>
        <v>1049.0672143277811</v>
      </c>
      <c r="AM31" s="16"/>
      <c r="AN31" s="16"/>
      <c r="AO31" s="16"/>
      <c r="AP31" s="16"/>
      <c r="AQ31" s="80">
        <v>1995</v>
      </c>
      <c r="AR31" s="81" t="s">
        <v>37</v>
      </c>
      <c r="AS31" s="15"/>
      <c r="AT31" s="15"/>
      <c r="AU31" s="15"/>
      <c r="AV31" s="15"/>
      <c r="AW31" s="15"/>
      <c r="AX31" s="16"/>
      <c r="AY31" s="16"/>
      <c r="AZ31" s="69">
        <f>(SUM(AZ$134:AZ$148)/15)/(SUM($J$134:$J$148)/15)*BS[[#This Row],[Trenes Corridos]]</f>
        <v>116.51303967019524</v>
      </c>
      <c r="BA31" s="16"/>
      <c r="BB31" s="16"/>
      <c r="BC31" s="16"/>
      <c r="BD31" s="16"/>
      <c r="BE31" s="80"/>
      <c r="BF31" s="81"/>
      <c r="BG31" s="15"/>
      <c r="BH31" s="15"/>
      <c r="BI31" s="15"/>
      <c r="BS31" s="80"/>
      <c r="BT31" s="81"/>
      <c r="BU31" s="15"/>
      <c r="BV31" s="15"/>
      <c r="BW31" s="15"/>
      <c r="CA31" s="45"/>
      <c r="CD31" s="45"/>
      <c r="CG31" s="80"/>
      <c r="CH31" s="81"/>
      <c r="CI31" s="15"/>
      <c r="CJ31" s="15"/>
      <c r="CK31" s="15"/>
      <c r="CO31" s="45"/>
      <c r="CR31" s="45"/>
    </row>
    <row r="32" spans="1:96" s="18" customFormat="1" ht="15" customHeight="1">
      <c r="A32" s="78">
        <v>1995</v>
      </c>
      <c r="B32" s="79" t="s">
        <v>38</v>
      </c>
      <c r="C32" s="15">
        <f t="shared" si="3"/>
        <v>0.96300751879699253</v>
      </c>
      <c r="D32" s="15">
        <f t="shared" si="4"/>
        <v>0.97741147741147738</v>
      </c>
      <c r="E32" s="15">
        <f t="shared" si="5"/>
        <v>0.98526315789473684</v>
      </c>
      <c r="F32" s="16">
        <f t="shared" si="0"/>
        <v>0</v>
      </c>
      <c r="G3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2" s="16">
        <v>3325</v>
      </c>
      <c r="I32" s="16">
        <f t="shared" si="8"/>
        <v>49</v>
      </c>
      <c r="J32" s="16">
        <v>3276</v>
      </c>
      <c r="K32" s="16">
        <v>3202</v>
      </c>
      <c r="L32" s="16">
        <f t="shared" si="9"/>
        <v>74</v>
      </c>
      <c r="M32" s="16"/>
      <c r="N32" s="16"/>
      <c r="O32" s="78">
        <v>1995</v>
      </c>
      <c r="P32" s="79" t="s">
        <v>38</v>
      </c>
      <c r="Q32" s="15"/>
      <c r="R32" s="15"/>
      <c r="S32" s="15"/>
      <c r="T32" s="16"/>
      <c r="U32" s="16"/>
      <c r="V32" s="16"/>
      <c r="W32" s="16"/>
      <c r="X32" s="69">
        <f>(SUM(X$134:X$148)/15)/(SUM($J$134:$J$148)/15)*BS[[#This Row],[Trenes Corridos]]</f>
        <v>1994.2138596517718</v>
      </c>
      <c r="Y32" s="16"/>
      <c r="Z32" s="16"/>
      <c r="AA32" s="16"/>
      <c r="AB32" s="16"/>
      <c r="AC32" s="78">
        <v>1995</v>
      </c>
      <c r="AD32" s="79" t="s">
        <v>38</v>
      </c>
      <c r="AE32" s="15"/>
      <c r="AF32" s="15"/>
      <c r="AG32" s="15"/>
      <c r="AH32" s="16"/>
      <c r="AI32" s="16"/>
      <c r="AJ32" s="16"/>
      <c r="AK32" s="16"/>
      <c r="AL32" s="69">
        <f>(SUM(AL$134:AL$148)/15)/(SUM($J$134:$J$148)/15)*BS[[#This Row],[Trenes Corridos]]</f>
        <v>1153.6569970251128</v>
      </c>
      <c r="AM32" s="16"/>
      <c r="AN32" s="16"/>
      <c r="AO32" s="16"/>
      <c r="AP32" s="16"/>
      <c r="AQ32" s="78">
        <v>1995</v>
      </c>
      <c r="AR32" s="79" t="s">
        <v>38</v>
      </c>
      <c r="AS32" s="15"/>
      <c r="AT32" s="15"/>
      <c r="AU32" s="15"/>
      <c r="AV32" s="15"/>
      <c r="AW32" s="15"/>
      <c r="AX32" s="16"/>
      <c r="AY32" s="16"/>
      <c r="AZ32" s="69">
        <f>(SUM(AZ$134:AZ$148)/15)/(SUM($J$134:$J$148)/15)*BS[[#This Row],[Trenes Corridos]]</f>
        <v>128.12914332311502</v>
      </c>
      <c r="BA32" s="16"/>
      <c r="BB32" s="16"/>
      <c r="BC32" s="16"/>
      <c r="BD32" s="16"/>
      <c r="BE32" s="78"/>
      <c r="BF32" s="79"/>
      <c r="BG32" s="15"/>
      <c r="BH32" s="15"/>
      <c r="BI32" s="15"/>
      <c r="BS32" s="78"/>
      <c r="BT32" s="79"/>
      <c r="BU32" s="15"/>
      <c r="BV32" s="15"/>
      <c r="BW32" s="15"/>
      <c r="CA32" s="45"/>
      <c r="CD32" s="45"/>
      <c r="CG32" s="78"/>
      <c r="CH32" s="79"/>
      <c r="CI32" s="15"/>
      <c r="CJ32" s="15"/>
      <c r="CK32" s="15"/>
      <c r="CO32" s="45"/>
      <c r="CR32" s="45"/>
    </row>
    <row r="33" spans="1:96" s="18" customFormat="1" ht="15" customHeight="1">
      <c r="A33" s="80">
        <v>1995</v>
      </c>
      <c r="B33" s="81" t="s">
        <v>39</v>
      </c>
      <c r="C33" s="15">
        <f t="shared" si="3"/>
        <v>0.95281823939202026</v>
      </c>
      <c r="D33" s="15">
        <f t="shared" si="4"/>
        <v>0.98591087811271294</v>
      </c>
      <c r="E33" s="15">
        <f t="shared" si="5"/>
        <v>0.96643445218492718</v>
      </c>
      <c r="F33" s="16">
        <f t="shared" si="0"/>
        <v>0</v>
      </c>
      <c r="G3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3" s="16">
        <v>3158</v>
      </c>
      <c r="I33" s="16">
        <f t="shared" si="8"/>
        <v>106</v>
      </c>
      <c r="J33" s="16">
        <v>3052</v>
      </c>
      <c r="K33" s="16">
        <v>3009</v>
      </c>
      <c r="L33" s="16">
        <f t="shared" si="9"/>
        <v>43</v>
      </c>
      <c r="M33" s="16"/>
      <c r="N33" s="16"/>
      <c r="O33" s="80">
        <v>1995</v>
      </c>
      <c r="P33" s="81" t="s">
        <v>39</v>
      </c>
      <c r="Q33" s="15"/>
      <c r="R33" s="15"/>
      <c r="S33" s="15"/>
      <c r="T33" s="16"/>
      <c r="U33" s="16"/>
      <c r="V33" s="16"/>
      <c r="W33" s="16"/>
      <c r="X33" s="69">
        <f>(SUM(X$134:X$148)/15)/(SUM($J$134:$J$148)/15)*BS[[#This Row],[Trenes Corridos]]</f>
        <v>1857.8573564277192</v>
      </c>
      <c r="Y33" s="16"/>
      <c r="Z33" s="16"/>
      <c r="AA33" s="16"/>
      <c r="AB33" s="16"/>
      <c r="AC33" s="80">
        <v>1995</v>
      </c>
      <c r="AD33" s="81" t="s">
        <v>39</v>
      </c>
      <c r="AE33" s="15"/>
      <c r="AF33" s="15"/>
      <c r="AG33" s="15"/>
      <c r="AH33" s="16"/>
      <c r="AI33" s="16"/>
      <c r="AJ33" s="16"/>
      <c r="AK33" s="16"/>
      <c r="AL33" s="69">
        <f>(SUM(AL$134:AL$148)/15)/(SUM($J$134:$J$148)/15)*BS[[#This Row],[Trenes Corridos]]</f>
        <v>1074.7744673139939</v>
      </c>
      <c r="AM33" s="16"/>
      <c r="AN33" s="16"/>
      <c r="AO33" s="16"/>
      <c r="AP33" s="16"/>
      <c r="AQ33" s="80">
        <v>1995</v>
      </c>
      <c r="AR33" s="81" t="s">
        <v>39</v>
      </c>
      <c r="AS33" s="15"/>
      <c r="AT33" s="15"/>
      <c r="AU33" s="15"/>
      <c r="AV33" s="15"/>
      <c r="AW33" s="15"/>
      <c r="AX33" s="16"/>
      <c r="AY33" s="16"/>
      <c r="AZ33" s="69">
        <f>(SUM(AZ$134:AZ$148)/15)/(SUM($J$134:$J$148)/15)*BS[[#This Row],[Trenes Corridos]]</f>
        <v>119.36817625828664</v>
      </c>
      <c r="BA33" s="16"/>
      <c r="BB33" s="16"/>
      <c r="BC33" s="16"/>
      <c r="BD33" s="16"/>
      <c r="BE33" s="80"/>
      <c r="BF33" s="81"/>
      <c r="BG33" s="15"/>
      <c r="BH33" s="15"/>
      <c r="BI33" s="15"/>
      <c r="BS33" s="80"/>
      <c r="BT33" s="81"/>
      <c r="BU33" s="15"/>
      <c r="BV33" s="15"/>
      <c r="BW33" s="15"/>
      <c r="CA33" s="45"/>
      <c r="CD33" s="45"/>
      <c r="CG33" s="80"/>
      <c r="CH33" s="81"/>
      <c r="CI33" s="15"/>
      <c r="CJ33" s="15"/>
      <c r="CK33" s="15"/>
      <c r="CO33" s="45"/>
      <c r="CR33" s="45"/>
    </row>
    <row r="34" spans="1:96" s="18" customFormat="1" ht="15" customHeight="1">
      <c r="A34" s="78">
        <v>1995</v>
      </c>
      <c r="B34" s="79" t="s">
        <v>40</v>
      </c>
      <c r="C34" s="15">
        <f t="shared" si="3"/>
        <v>0.95995108529501683</v>
      </c>
      <c r="D34" s="15">
        <f t="shared" si="4"/>
        <v>0.97153465346534651</v>
      </c>
      <c r="E34" s="15">
        <f t="shared" si="5"/>
        <v>0.98807704066034852</v>
      </c>
      <c r="F34" s="16">
        <f t="shared" si="0"/>
        <v>0</v>
      </c>
      <c r="G3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4" s="16">
        <v>3271</v>
      </c>
      <c r="I34" s="16">
        <f t="shared" si="8"/>
        <v>39</v>
      </c>
      <c r="J34" s="16">
        <v>3232</v>
      </c>
      <c r="K34" s="16">
        <v>3140</v>
      </c>
      <c r="L34" s="16">
        <f t="shared" si="9"/>
        <v>92</v>
      </c>
      <c r="M34" s="16"/>
      <c r="N34" s="16"/>
      <c r="O34" s="78">
        <v>1995</v>
      </c>
      <c r="P34" s="79" t="s">
        <v>40</v>
      </c>
      <c r="Q34" s="15"/>
      <c r="R34" s="15"/>
      <c r="S34" s="15"/>
      <c r="T34" s="16"/>
      <c r="U34" s="16"/>
      <c r="V34" s="16"/>
      <c r="W34" s="16"/>
      <c r="X34" s="69">
        <f>(SUM(X$134:X$148)/15)/(SUM($J$134:$J$148)/15)*BS[[#This Row],[Trenes Corridos]]</f>
        <v>1967.4295465184757</v>
      </c>
      <c r="Y34" s="16"/>
      <c r="Z34" s="16"/>
      <c r="AA34" s="16"/>
      <c r="AB34" s="16"/>
      <c r="AC34" s="78">
        <v>1995</v>
      </c>
      <c r="AD34" s="79" t="s">
        <v>40</v>
      </c>
      <c r="AE34" s="15"/>
      <c r="AF34" s="15"/>
      <c r="AG34" s="15"/>
      <c r="AH34" s="16"/>
      <c r="AI34" s="16"/>
      <c r="AJ34" s="16"/>
      <c r="AK34" s="16"/>
      <c r="AL34" s="69">
        <f>(SUM(AL$134:AL$148)/15)/(SUM($J$134:$J$148)/15)*BS[[#This Row],[Trenes Corridos]]</f>
        <v>1138.1622144032858</v>
      </c>
      <c r="AM34" s="16"/>
      <c r="AN34" s="16"/>
      <c r="AO34" s="16"/>
      <c r="AP34" s="16"/>
      <c r="AQ34" s="78">
        <v>1995</v>
      </c>
      <c r="AR34" s="79" t="s">
        <v>40</v>
      </c>
      <c r="AS34" s="15"/>
      <c r="AT34" s="15"/>
      <c r="AU34" s="15"/>
      <c r="AV34" s="15"/>
      <c r="AW34" s="15"/>
      <c r="AX34" s="16"/>
      <c r="AY34" s="16"/>
      <c r="AZ34" s="69">
        <f>(SUM(AZ$134:AZ$148)/15)/(SUM($J$134:$J$148)/15)*BS[[#This Row],[Trenes Corridos]]</f>
        <v>126.40823907823801</v>
      </c>
      <c r="BA34" s="16"/>
      <c r="BB34" s="16"/>
      <c r="BC34" s="16"/>
      <c r="BD34" s="16"/>
      <c r="BE34" s="78"/>
      <c r="BF34" s="79"/>
      <c r="BG34" s="15"/>
      <c r="BH34" s="15"/>
      <c r="BI34" s="15"/>
      <c r="BS34" s="78"/>
      <c r="BT34" s="79"/>
      <c r="BU34" s="15"/>
      <c r="BV34" s="15"/>
      <c r="BW34" s="15"/>
      <c r="CA34" s="45"/>
      <c r="CD34" s="45"/>
      <c r="CG34" s="78"/>
      <c r="CH34" s="79"/>
      <c r="CI34" s="15"/>
      <c r="CJ34" s="15"/>
      <c r="CK34" s="15"/>
      <c r="CO34" s="45"/>
      <c r="CR34" s="45"/>
    </row>
    <row r="35" spans="1:96" s="18" customFormat="1" ht="15" customHeight="1">
      <c r="A35" s="80">
        <v>1995</v>
      </c>
      <c r="B35" s="81" t="s">
        <v>41</v>
      </c>
      <c r="C35" s="15">
        <f t="shared" si="3"/>
        <v>0.98619391277063073</v>
      </c>
      <c r="D35" s="15">
        <f t="shared" si="4"/>
        <v>0.99023314429741649</v>
      </c>
      <c r="E35" s="15">
        <f t="shared" si="5"/>
        <v>0.99592092877314087</v>
      </c>
      <c r="F35" s="16">
        <f t="shared" si="0"/>
        <v>0</v>
      </c>
      <c r="G3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5" s="16">
        <v>3187</v>
      </c>
      <c r="I35" s="16">
        <f t="shared" si="8"/>
        <v>13</v>
      </c>
      <c r="J35" s="16">
        <v>3174</v>
      </c>
      <c r="K35" s="16">
        <v>3143</v>
      </c>
      <c r="L35" s="16">
        <f t="shared" si="9"/>
        <v>31</v>
      </c>
      <c r="M35" s="16"/>
      <c r="N35" s="16"/>
      <c r="O35" s="80">
        <v>1995</v>
      </c>
      <c r="P35" s="81" t="s">
        <v>41</v>
      </c>
      <c r="Q35" s="15"/>
      <c r="R35" s="15"/>
      <c r="S35" s="15"/>
      <c r="T35" s="16"/>
      <c r="U35" s="16"/>
      <c r="V35" s="16"/>
      <c r="W35" s="16"/>
      <c r="X35" s="69">
        <f>(SUM(X$134:X$148)/15)/(SUM($J$134:$J$148)/15)*BS[[#This Row],[Trenes Corridos]]</f>
        <v>1932.1229519336764</v>
      </c>
      <c r="Y35" s="16"/>
      <c r="Z35" s="16"/>
      <c r="AA35" s="16"/>
      <c r="AB35" s="16"/>
      <c r="AC35" s="80">
        <v>1995</v>
      </c>
      <c r="AD35" s="81" t="s">
        <v>41</v>
      </c>
      <c r="AE35" s="15"/>
      <c r="AF35" s="15"/>
      <c r="AG35" s="15"/>
      <c r="AH35" s="16"/>
      <c r="AI35" s="16"/>
      <c r="AJ35" s="16"/>
      <c r="AK35" s="16"/>
      <c r="AL35" s="69">
        <f>(SUM(AL$134:AL$148)/15)/(SUM($J$134:$J$148)/15)*BS[[#This Row],[Trenes Corridos]]</f>
        <v>1117.737273674514</v>
      </c>
      <c r="AM35" s="16"/>
      <c r="AN35" s="16"/>
      <c r="AO35" s="16"/>
      <c r="AP35" s="16"/>
      <c r="AQ35" s="80">
        <v>1995</v>
      </c>
      <c r="AR35" s="81" t="s">
        <v>41</v>
      </c>
      <c r="AS35" s="15"/>
      <c r="AT35" s="15"/>
      <c r="AU35" s="15"/>
      <c r="AV35" s="15"/>
      <c r="AW35" s="15"/>
      <c r="AX35" s="16"/>
      <c r="AY35" s="16"/>
      <c r="AZ35" s="69">
        <f>(SUM(AZ$134:AZ$148)/15)/(SUM($J$134:$J$148)/15)*BS[[#This Row],[Trenes Corridos]]</f>
        <v>124.13977439180924</v>
      </c>
      <c r="BA35" s="16"/>
      <c r="BB35" s="16"/>
      <c r="BC35" s="16"/>
      <c r="BD35" s="16"/>
      <c r="BE35" s="80"/>
      <c r="BF35" s="81"/>
      <c r="BG35" s="15"/>
      <c r="BH35" s="15"/>
      <c r="BI35" s="15"/>
      <c r="BS35" s="80"/>
      <c r="BT35" s="81"/>
      <c r="BU35" s="15"/>
      <c r="BV35" s="15"/>
      <c r="BW35" s="15"/>
      <c r="CA35" s="45"/>
      <c r="CD35" s="45"/>
      <c r="CG35" s="80"/>
      <c r="CH35" s="81"/>
      <c r="CI35" s="15"/>
      <c r="CJ35" s="15"/>
      <c r="CK35" s="15"/>
      <c r="CO35" s="45"/>
      <c r="CR35" s="45"/>
    </row>
    <row r="36" spans="1:96" s="18" customFormat="1" ht="15" customHeight="1">
      <c r="A36" s="78">
        <v>1995</v>
      </c>
      <c r="B36" s="79" t="s">
        <v>42</v>
      </c>
      <c r="C36" s="15">
        <f t="shared" si="3"/>
        <v>0.99514563106796117</v>
      </c>
      <c r="D36" s="15">
        <f t="shared" si="4"/>
        <v>0.99665755089638408</v>
      </c>
      <c r="E36" s="15">
        <f t="shared" si="5"/>
        <v>0.99848300970873782</v>
      </c>
      <c r="F36" s="16">
        <f t="shared" si="0"/>
        <v>0</v>
      </c>
      <c r="G3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6" s="16">
        <v>3296</v>
      </c>
      <c r="I36" s="16">
        <f t="shared" si="8"/>
        <v>5</v>
      </c>
      <c r="J36" s="16">
        <v>3291</v>
      </c>
      <c r="K36" s="16">
        <v>3280</v>
      </c>
      <c r="L36" s="16">
        <f t="shared" si="9"/>
        <v>11</v>
      </c>
      <c r="M36" s="16"/>
      <c r="N36" s="16"/>
      <c r="O36" s="78">
        <v>1995</v>
      </c>
      <c r="P36" s="79" t="s">
        <v>42</v>
      </c>
      <c r="Q36" s="15"/>
      <c r="R36" s="15"/>
      <c r="S36" s="15"/>
      <c r="T36" s="16"/>
      <c r="U36" s="16"/>
      <c r="V36" s="16"/>
      <c r="W36" s="16"/>
      <c r="X36" s="69">
        <f>(SUM(X$134:X$148)/15)/(SUM($J$134:$J$148)/15)*BS[[#This Row],[Trenes Corridos]]</f>
        <v>2003.3448754926683</v>
      </c>
      <c r="Y36" s="16"/>
      <c r="Z36" s="16"/>
      <c r="AA36" s="16"/>
      <c r="AB36" s="16"/>
      <c r="AC36" s="78">
        <v>1995</v>
      </c>
      <c r="AD36" s="79" t="s">
        <v>42</v>
      </c>
      <c r="AE36" s="15"/>
      <c r="AF36" s="15"/>
      <c r="AG36" s="15"/>
      <c r="AH36" s="16"/>
      <c r="AI36" s="16"/>
      <c r="AJ36" s="16"/>
      <c r="AK36" s="16"/>
      <c r="AL36" s="69">
        <f>(SUM(AL$134:AL$148)/15)/(SUM($J$134:$J$148)/15)*BS[[#This Row],[Trenes Corridos]]</f>
        <v>1158.9393092825537</v>
      </c>
      <c r="AM36" s="16"/>
      <c r="AN36" s="16"/>
      <c r="AO36" s="16"/>
      <c r="AP36" s="16"/>
      <c r="AQ36" s="78">
        <v>1995</v>
      </c>
      <c r="AR36" s="79" t="s">
        <v>42</v>
      </c>
      <c r="AS36" s="15"/>
      <c r="AT36" s="15"/>
      <c r="AU36" s="15"/>
      <c r="AV36" s="15"/>
      <c r="AW36" s="15"/>
      <c r="AX36" s="16"/>
      <c r="AY36" s="16"/>
      <c r="AZ36" s="69">
        <f>(SUM(AZ$134:AZ$148)/15)/(SUM($J$134:$J$148)/15)*BS[[#This Row],[Trenes Corridos]]</f>
        <v>128.71581522477763</v>
      </c>
      <c r="BA36" s="16"/>
      <c r="BB36" s="16"/>
      <c r="BC36" s="16"/>
      <c r="BD36" s="16"/>
      <c r="BE36" s="78"/>
      <c r="BF36" s="79"/>
      <c r="BG36" s="15"/>
      <c r="BH36" s="15"/>
      <c r="BI36" s="15"/>
      <c r="BS36" s="78"/>
      <c r="BT36" s="79"/>
      <c r="BU36" s="15"/>
      <c r="BV36" s="15"/>
      <c r="BW36" s="15"/>
      <c r="CA36" s="45"/>
      <c r="CD36" s="45"/>
      <c r="CG36" s="78"/>
      <c r="CH36" s="79"/>
      <c r="CI36" s="15"/>
      <c r="CJ36" s="15"/>
      <c r="CK36" s="15"/>
      <c r="CO36" s="45"/>
      <c r="CR36" s="45"/>
    </row>
    <row r="37" spans="1:96" s="18" customFormat="1" ht="15" customHeight="1">
      <c r="A37" s="80">
        <v>1995</v>
      </c>
      <c r="B37" s="81" t="s">
        <v>43</v>
      </c>
      <c r="C37" s="15">
        <f t="shared" si="3"/>
        <v>0.97365373480023165</v>
      </c>
      <c r="D37" s="15">
        <f t="shared" si="4"/>
        <v>0.99057437407952875</v>
      </c>
      <c r="E37" s="15">
        <f t="shared" si="5"/>
        <v>0.98291835552982054</v>
      </c>
      <c r="F37" s="16">
        <f t="shared" si="0"/>
        <v>0</v>
      </c>
      <c r="G3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7" s="16">
        <f>1932+860+662</f>
        <v>3454</v>
      </c>
      <c r="I37" s="16">
        <f t="shared" si="8"/>
        <v>59</v>
      </c>
      <c r="J37" s="16">
        <f>1893+842+660</f>
        <v>3395</v>
      </c>
      <c r="K37" s="16">
        <f>1866+839+658</f>
        <v>3363</v>
      </c>
      <c r="L37" s="16">
        <f t="shared" si="9"/>
        <v>32</v>
      </c>
      <c r="M37" s="16"/>
      <c r="N37" s="16"/>
      <c r="O37" s="80">
        <v>1995</v>
      </c>
      <c r="P37" s="81" t="s">
        <v>43</v>
      </c>
      <c r="Q37" s="15"/>
      <c r="R37" s="15"/>
      <c r="S37" s="15"/>
      <c r="T37" s="16"/>
      <c r="U37" s="16"/>
      <c r="V37" s="16"/>
      <c r="W37" s="16"/>
      <c r="X37" s="69">
        <f>(SUM(X$134:X$148)/15)/(SUM($J$134:$J$148)/15)*BS[[#This Row],[Trenes Corridos]]</f>
        <v>2066.65325198955</v>
      </c>
      <c r="Y37" s="16"/>
      <c r="Z37" s="16"/>
      <c r="AA37" s="16"/>
      <c r="AB37" s="16"/>
      <c r="AC37" s="80">
        <v>1995</v>
      </c>
      <c r="AD37" s="81" t="s">
        <v>43</v>
      </c>
      <c r="AE37" s="15"/>
      <c r="AF37" s="15"/>
      <c r="AG37" s="15"/>
      <c r="AH37" s="16"/>
      <c r="AI37" s="16"/>
      <c r="AJ37" s="16"/>
      <c r="AK37" s="16"/>
      <c r="AL37" s="69">
        <f>(SUM(AL$134:AL$148)/15)/(SUM($J$134:$J$148)/15)*BS[[#This Row],[Trenes Corridos]]</f>
        <v>1195.5633409341447</v>
      </c>
      <c r="AM37" s="16"/>
      <c r="AN37" s="16"/>
      <c r="AO37" s="16"/>
      <c r="AP37" s="16"/>
      <c r="AQ37" s="80">
        <v>1995</v>
      </c>
      <c r="AR37" s="81" t="s">
        <v>43</v>
      </c>
      <c r="AS37" s="15"/>
      <c r="AT37" s="15"/>
      <c r="AU37" s="15"/>
      <c r="AV37" s="15"/>
      <c r="AW37" s="15"/>
      <c r="AX37" s="16"/>
      <c r="AY37" s="16"/>
      <c r="AZ37" s="69">
        <f>(SUM(AZ$134:AZ$148)/15)/(SUM($J$134:$J$148)/15)*BS[[#This Row],[Trenes Corridos]]</f>
        <v>132.78340707630508</v>
      </c>
      <c r="BA37" s="16"/>
      <c r="BB37" s="16"/>
      <c r="BC37" s="16"/>
      <c r="BD37" s="16"/>
      <c r="BE37" s="80"/>
      <c r="BF37" s="81"/>
      <c r="BG37" s="15"/>
      <c r="BH37" s="15"/>
      <c r="BI37" s="15"/>
      <c r="BS37" s="80"/>
      <c r="BT37" s="81"/>
      <c r="BU37" s="15"/>
      <c r="BV37" s="15"/>
      <c r="BW37" s="15"/>
      <c r="CA37" s="45"/>
      <c r="CD37" s="45"/>
      <c r="CG37" s="80"/>
      <c r="CH37" s="81"/>
      <c r="CI37" s="15"/>
      <c r="CJ37" s="15"/>
      <c r="CK37" s="15"/>
      <c r="CO37" s="45"/>
      <c r="CR37" s="45"/>
    </row>
    <row r="38" spans="1:96" s="18" customFormat="1" ht="15" customHeight="1">
      <c r="A38" s="78">
        <v>1995</v>
      </c>
      <c r="B38" s="79" t="s">
        <v>44</v>
      </c>
      <c r="C38" s="15">
        <f t="shared" si="3"/>
        <v>0.97162921348314601</v>
      </c>
      <c r="D38" s="15">
        <f t="shared" si="4"/>
        <v>0.98547008547008552</v>
      </c>
      <c r="E38" s="15">
        <f t="shared" si="5"/>
        <v>0.9859550561797753</v>
      </c>
      <c r="F38" s="16">
        <f t="shared" si="0"/>
        <v>0</v>
      </c>
      <c r="G3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8" s="16">
        <f>2072+844+644</f>
        <v>3560</v>
      </c>
      <c r="I38" s="16">
        <f t="shared" si="8"/>
        <v>50</v>
      </c>
      <c r="J38" s="16">
        <f>2054+834+622</f>
        <v>3510</v>
      </c>
      <c r="K38" s="16">
        <f>2010+831+618</f>
        <v>3459</v>
      </c>
      <c r="L38" s="16">
        <f t="shared" si="9"/>
        <v>51</v>
      </c>
      <c r="M38" s="16"/>
      <c r="N38" s="16"/>
      <c r="O38" s="78">
        <v>1995</v>
      </c>
      <c r="P38" s="79" t="s">
        <v>44</v>
      </c>
      <c r="Q38" s="15"/>
      <c r="R38" s="15"/>
      <c r="S38" s="15"/>
      <c r="T38" s="16"/>
      <c r="U38" s="16"/>
      <c r="V38" s="16"/>
      <c r="W38" s="16"/>
      <c r="X38" s="69">
        <f>(SUM(X$134:X$148)/15)/(SUM($J$134:$J$148)/15)*BS[[#This Row],[Trenes Corridos]]</f>
        <v>2136.6577067697558</v>
      </c>
      <c r="Y38" s="16"/>
      <c r="Z38" s="16"/>
      <c r="AA38" s="16"/>
      <c r="AB38" s="16"/>
      <c r="AC38" s="78">
        <v>1995</v>
      </c>
      <c r="AD38" s="79" t="s">
        <v>44</v>
      </c>
      <c r="AE38" s="15"/>
      <c r="AF38" s="15"/>
      <c r="AG38" s="15"/>
      <c r="AH38" s="16"/>
      <c r="AI38" s="16"/>
      <c r="AJ38" s="16"/>
      <c r="AK38" s="16"/>
      <c r="AL38" s="69">
        <f>(SUM(AL$134:AL$148)/15)/(SUM($J$134:$J$148)/15)*BS[[#This Row],[Trenes Corridos]]</f>
        <v>1236.0610682411923</v>
      </c>
      <c r="AM38" s="16"/>
      <c r="AN38" s="16"/>
      <c r="AO38" s="16"/>
      <c r="AP38" s="16"/>
      <c r="AQ38" s="78">
        <v>1995</v>
      </c>
      <c r="AR38" s="79" t="s">
        <v>44</v>
      </c>
      <c r="AS38" s="15"/>
      <c r="AT38" s="15"/>
      <c r="AU38" s="15"/>
      <c r="AV38" s="15"/>
      <c r="AW38" s="15"/>
      <c r="AX38" s="16"/>
      <c r="AY38" s="16"/>
      <c r="AZ38" s="69">
        <f>(SUM(AZ$134:AZ$148)/15)/(SUM($J$134:$J$148)/15)*BS[[#This Row],[Trenes Corridos]]</f>
        <v>137.28122498905179</v>
      </c>
      <c r="BA38" s="16"/>
      <c r="BB38" s="16"/>
      <c r="BC38" s="16"/>
      <c r="BD38" s="16"/>
      <c r="BE38" s="78"/>
      <c r="BF38" s="79"/>
      <c r="BG38" s="15"/>
      <c r="BH38" s="15"/>
      <c r="BI38" s="15"/>
      <c r="BS38" s="78"/>
      <c r="BT38" s="79"/>
      <c r="BU38" s="15"/>
      <c r="BV38" s="15"/>
      <c r="BW38" s="15"/>
      <c r="CA38" s="45"/>
      <c r="CD38" s="45"/>
      <c r="CG38" s="78"/>
      <c r="CH38" s="79"/>
      <c r="CI38" s="15"/>
      <c r="CJ38" s="15"/>
      <c r="CK38" s="15"/>
      <c r="CO38" s="45"/>
      <c r="CR38" s="45"/>
    </row>
    <row r="39" spans="1:96" s="18" customFormat="1" ht="15" customHeight="1">
      <c r="A39" s="80">
        <v>1995</v>
      </c>
      <c r="B39" s="81" t="s">
        <v>45</v>
      </c>
      <c r="C39" s="15">
        <f t="shared" si="3"/>
        <v>0.98315382491024583</v>
      </c>
      <c r="D39" s="15">
        <f t="shared" si="4"/>
        <v>0.98861427381282974</v>
      </c>
      <c r="E39" s="15">
        <f t="shared" si="5"/>
        <v>0.99447666390499867</v>
      </c>
      <c r="F39" s="16">
        <f t="shared" si="0"/>
        <v>0</v>
      </c>
      <c r="G3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9" s="16">
        <v>3621</v>
      </c>
      <c r="I39" s="16">
        <f t="shared" si="8"/>
        <v>20</v>
      </c>
      <c r="J39" s="16">
        <v>3601</v>
      </c>
      <c r="K39" s="16">
        <v>3560</v>
      </c>
      <c r="L39" s="16">
        <f t="shared" si="9"/>
        <v>41</v>
      </c>
      <c r="M39" s="16"/>
      <c r="N39" s="16"/>
      <c r="O39" s="80">
        <v>1995</v>
      </c>
      <c r="P39" s="81" t="s">
        <v>45</v>
      </c>
      <c r="Q39" s="15"/>
      <c r="R39" s="15"/>
      <c r="S39" s="15"/>
      <c r="T39" s="16"/>
      <c r="U39" s="16"/>
      <c r="V39" s="16"/>
      <c r="W39" s="16"/>
      <c r="X39" s="69">
        <f>(SUM(X$134:X$148)/15)/(SUM($J$134:$J$148)/15)*BS[[#This Row],[Trenes Corridos]]</f>
        <v>2192.0525362045269</v>
      </c>
      <c r="Y39" s="16"/>
      <c r="Z39" s="16"/>
      <c r="AA39" s="16"/>
      <c r="AB39" s="16"/>
      <c r="AC39" s="80">
        <v>1995</v>
      </c>
      <c r="AD39" s="81" t="s">
        <v>45</v>
      </c>
      <c r="AE39" s="15"/>
      <c r="AF39" s="15"/>
      <c r="AG39" s="15"/>
      <c r="AH39" s="16"/>
      <c r="AI39" s="16"/>
      <c r="AJ39" s="16"/>
      <c r="AK39" s="16"/>
      <c r="AL39" s="69">
        <f>(SUM(AL$134:AL$148)/15)/(SUM($J$134:$J$148)/15)*BS[[#This Row],[Trenes Corridos]]</f>
        <v>1268.1070959363344</v>
      </c>
      <c r="AM39" s="16"/>
      <c r="AN39" s="16"/>
      <c r="AO39" s="16"/>
      <c r="AP39" s="16"/>
      <c r="AQ39" s="80">
        <v>1995</v>
      </c>
      <c r="AR39" s="81" t="s">
        <v>45</v>
      </c>
      <c r="AS39" s="15"/>
      <c r="AT39" s="15"/>
      <c r="AU39" s="15"/>
      <c r="AV39" s="15"/>
      <c r="AW39" s="15"/>
      <c r="AX39" s="16"/>
      <c r="AY39" s="16"/>
      <c r="AZ39" s="69">
        <f>(SUM(AZ$134:AZ$148)/15)/(SUM($J$134:$J$148)/15)*BS[[#This Row],[Trenes Corridos]]</f>
        <v>140.84036785913833</v>
      </c>
      <c r="BA39" s="16"/>
      <c r="BB39" s="16"/>
      <c r="BC39" s="16"/>
      <c r="BD39" s="16"/>
      <c r="BE39" s="80"/>
      <c r="BF39" s="81"/>
      <c r="BG39" s="15"/>
      <c r="BH39" s="15"/>
      <c r="BI39" s="15"/>
      <c r="BS39" s="80"/>
      <c r="BT39" s="81"/>
      <c r="BU39" s="15"/>
      <c r="BV39" s="15"/>
      <c r="BW39" s="15"/>
      <c r="CA39" s="45"/>
      <c r="CD39" s="45"/>
      <c r="CG39" s="80"/>
      <c r="CH39" s="81"/>
      <c r="CI39" s="15"/>
      <c r="CJ39" s="15"/>
      <c r="CK39" s="15"/>
      <c r="CO39" s="45"/>
      <c r="CR39" s="45"/>
    </row>
    <row r="40" spans="1:96" s="18" customFormat="1" ht="15" customHeight="1">
      <c r="A40" s="78">
        <v>1995</v>
      </c>
      <c r="B40" s="79" t="s">
        <v>46</v>
      </c>
      <c r="C40" s="15">
        <f t="shared" si="3"/>
        <v>0.98439125910509884</v>
      </c>
      <c r="D40" s="15">
        <f t="shared" si="4"/>
        <v>0.989281045751634</v>
      </c>
      <c r="E40" s="15">
        <f t="shared" si="5"/>
        <v>0.995057232049948</v>
      </c>
      <c r="F40" s="16">
        <f t="shared" si="0"/>
        <v>0</v>
      </c>
      <c r="G4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0" s="16">
        <v>3844</v>
      </c>
      <c r="I40" s="16">
        <f t="shared" si="8"/>
        <v>19</v>
      </c>
      <c r="J40" s="16">
        <v>3825</v>
      </c>
      <c r="K40" s="16">
        <v>3784</v>
      </c>
      <c r="L40" s="16">
        <f t="shared" si="9"/>
        <v>41</v>
      </c>
      <c r="M40" s="16"/>
      <c r="N40" s="16"/>
      <c r="O40" s="78">
        <v>1995</v>
      </c>
      <c r="P40" s="79" t="s">
        <v>46</v>
      </c>
      <c r="Q40" s="15"/>
      <c r="R40" s="15"/>
      <c r="S40" s="15"/>
      <c r="T40" s="16"/>
      <c r="U40" s="16"/>
      <c r="V40" s="16"/>
      <c r="W40" s="16"/>
      <c r="X40" s="69">
        <f>(SUM(X$134:X$148)/15)/(SUM($J$134:$J$148)/15)*BS[[#This Row],[Trenes Corridos]]</f>
        <v>2328.4090394285799</v>
      </c>
      <c r="Y40" s="16"/>
      <c r="Z40" s="16"/>
      <c r="AA40" s="16"/>
      <c r="AB40" s="16"/>
      <c r="AC40" s="78">
        <v>1995</v>
      </c>
      <c r="AD40" s="79" t="s">
        <v>46</v>
      </c>
      <c r="AE40" s="15"/>
      <c r="AF40" s="15"/>
      <c r="AG40" s="15"/>
      <c r="AH40" s="16"/>
      <c r="AI40" s="16"/>
      <c r="AJ40" s="16"/>
      <c r="AK40" s="16"/>
      <c r="AL40" s="69">
        <f>(SUM(AL$134:AL$148)/15)/(SUM($J$134:$J$148)/15)*BS[[#This Row],[Trenes Corridos]]</f>
        <v>1346.9896256474531</v>
      </c>
      <c r="AM40" s="16"/>
      <c r="AN40" s="16"/>
      <c r="AO40" s="16"/>
      <c r="AP40" s="16"/>
      <c r="AQ40" s="78">
        <v>1995</v>
      </c>
      <c r="AR40" s="79" t="s">
        <v>46</v>
      </c>
      <c r="AS40" s="15"/>
      <c r="AT40" s="15"/>
      <c r="AU40" s="15"/>
      <c r="AV40" s="15"/>
      <c r="AW40" s="15"/>
      <c r="AX40" s="16"/>
      <c r="AY40" s="16"/>
      <c r="AZ40" s="69">
        <f>(SUM(AZ$134:AZ$148)/15)/(SUM($J$134:$J$148)/15)*BS[[#This Row],[Trenes Corridos]]</f>
        <v>149.6013349239667</v>
      </c>
      <c r="BA40" s="16"/>
      <c r="BB40" s="16"/>
      <c r="BC40" s="16"/>
      <c r="BD40" s="16"/>
      <c r="BE40" s="78"/>
      <c r="BF40" s="79"/>
      <c r="BG40" s="15"/>
      <c r="BH40" s="15"/>
      <c r="BI40" s="15"/>
      <c r="BS40" s="78"/>
      <c r="BT40" s="79"/>
      <c r="BU40" s="15"/>
      <c r="BV40" s="15"/>
      <c r="BW40" s="15"/>
      <c r="CA40" s="45"/>
      <c r="CD40" s="45"/>
      <c r="CG40" s="78"/>
      <c r="CH40" s="79"/>
      <c r="CI40" s="15"/>
      <c r="CJ40" s="15"/>
      <c r="CK40" s="15"/>
      <c r="CO40" s="45"/>
      <c r="CR40" s="45"/>
    </row>
    <row r="41" spans="1:96" s="18" customFormat="1" ht="15" customHeight="1">
      <c r="A41" s="80">
        <v>1995</v>
      </c>
      <c r="B41" s="81" t="s">
        <v>47</v>
      </c>
      <c r="C41" s="15">
        <f t="shared" si="3"/>
        <v>0.98702983138780809</v>
      </c>
      <c r="D41" s="15">
        <f t="shared" si="4"/>
        <v>0.99114352696014585</v>
      </c>
      <c r="E41" s="15">
        <f t="shared" si="5"/>
        <v>0.99584954604409859</v>
      </c>
      <c r="F41" s="16">
        <f t="shared" si="0"/>
        <v>0</v>
      </c>
      <c r="G4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1" s="16">
        <v>3855</v>
      </c>
      <c r="I41" s="16">
        <f t="shared" si="8"/>
        <v>16</v>
      </c>
      <c r="J41" s="16">
        <v>3839</v>
      </c>
      <c r="K41" s="16">
        <v>3805</v>
      </c>
      <c r="L41" s="16">
        <f t="shared" si="9"/>
        <v>34</v>
      </c>
      <c r="M41" s="16"/>
      <c r="N41" s="16"/>
      <c r="O41" s="80">
        <v>1995</v>
      </c>
      <c r="P41" s="81" t="s">
        <v>47</v>
      </c>
      <c r="Q41" s="15"/>
      <c r="R41" s="15"/>
      <c r="S41" s="15"/>
      <c r="T41" s="16"/>
      <c r="U41" s="16"/>
      <c r="V41" s="16"/>
      <c r="W41" s="16"/>
      <c r="X41" s="69">
        <f>(SUM(X$134:X$148)/15)/(SUM($J$134:$J$148)/15)*BS[[#This Row],[Trenes Corridos]]</f>
        <v>2336.9313208800831</v>
      </c>
      <c r="Y41" s="16"/>
      <c r="Z41" s="16"/>
      <c r="AA41" s="16"/>
      <c r="AB41" s="16"/>
      <c r="AC41" s="80">
        <v>1995</v>
      </c>
      <c r="AD41" s="81" t="s">
        <v>47</v>
      </c>
      <c r="AE41" s="15"/>
      <c r="AF41" s="15"/>
      <c r="AG41" s="15"/>
      <c r="AH41" s="16"/>
      <c r="AI41" s="16"/>
      <c r="AJ41" s="16"/>
      <c r="AK41" s="16"/>
      <c r="AL41" s="69">
        <f>(SUM(AL$134:AL$148)/15)/(SUM($J$134:$J$148)/15)*BS[[#This Row],[Trenes Corridos]]</f>
        <v>1351.9197837543982</v>
      </c>
      <c r="AM41" s="16"/>
      <c r="AN41" s="16"/>
      <c r="AO41" s="16"/>
      <c r="AP41" s="16"/>
      <c r="AQ41" s="80">
        <v>1995</v>
      </c>
      <c r="AR41" s="81" t="s">
        <v>47</v>
      </c>
      <c r="AS41" s="15"/>
      <c r="AT41" s="15"/>
      <c r="AU41" s="15"/>
      <c r="AV41" s="15"/>
      <c r="AW41" s="15"/>
      <c r="AX41" s="16"/>
      <c r="AY41" s="16"/>
      <c r="AZ41" s="69">
        <f>(SUM(AZ$134:AZ$148)/15)/(SUM($J$134:$J$148)/15)*BS[[#This Row],[Trenes Corridos]]</f>
        <v>150.14889536551848</v>
      </c>
      <c r="BA41" s="16"/>
      <c r="BB41" s="16"/>
      <c r="BC41" s="16"/>
      <c r="BD41" s="16"/>
      <c r="BE41" s="80"/>
      <c r="BF41" s="81"/>
      <c r="BG41" s="15"/>
      <c r="BH41" s="15"/>
      <c r="BI41" s="15"/>
      <c r="BS41" s="80"/>
      <c r="BT41" s="81"/>
      <c r="BU41" s="15"/>
      <c r="BV41" s="15"/>
      <c r="BW41" s="15"/>
      <c r="CA41" s="45"/>
      <c r="CD41" s="45"/>
      <c r="CG41" s="80"/>
      <c r="CH41" s="81"/>
      <c r="CI41" s="15"/>
      <c r="CJ41" s="15"/>
      <c r="CK41" s="15"/>
      <c r="CO41" s="45"/>
      <c r="CR41" s="45"/>
    </row>
    <row r="42" spans="1:96" s="18" customFormat="1" ht="15" customHeight="1">
      <c r="A42" s="78">
        <v>1996</v>
      </c>
      <c r="B42" s="79" t="s">
        <v>36</v>
      </c>
      <c r="C42" s="15">
        <f t="shared" si="3"/>
        <v>0.9943074003795066</v>
      </c>
      <c r="D42" s="15">
        <f t="shared" si="4"/>
        <v>0.99548800759914513</v>
      </c>
      <c r="E42" s="15">
        <f t="shared" si="5"/>
        <v>0.99881404174573052</v>
      </c>
      <c r="F42" s="16">
        <f t="shared" si="0"/>
        <v>0</v>
      </c>
      <c r="G4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2" s="16">
        <v>4216</v>
      </c>
      <c r="I42" s="16">
        <f t="shared" ref="I42:I53" si="10">H42-J42</f>
        <v>5</v>
      </c>
      <c r="J42" s="16">
        <v>4211</v>
      </c>
      <c r="K42" s="16">
        <v>4192</v>
      </c>
      <c r="L42" s="16">
        <f t="shared" ref="L42:L53" si="11">J42-K42</f>
        <v>19</v>
      </c>
      <c r="M42" s="16"/>
      <c r="N42" s="16"/>
      <c r="O42" s="78">
        <v>1996</v>
      </c>
      <c r="P42" s="79" t="s">
        <v>36</v>
      </c>
      <c r="Q42" s="15"/>
      <c r="R42" s="15"/>
      <c r="S42" s="15"/>
      <c r="T42" s="16"/>
      <c r="U42" s="16"/>
      <c r="V42" s="16"/>
      <c r="W42" s="16"/>
      <c r="X42" s="69">
        <f>(SUM(X$134:X$148)/15)/(SUM($J$134:$J$148)/15)*BS[[#This Row],[Trenes Corridos]]</f>
        <v>2563.3805137343138</v>
      </c>
      <c r="Y42" s="16"/>
      <c r="Z42" s="16"/>
      <c r="AA42" s="16"/>
      <c r="AB42" s="16"/>
      <c r="AC42" s="78">
        <v>1996</v>
      </c>
      <c r="AD42" s="79" t="s">
        <v>36</v>
      </c>
      <c r="AE42" s="15"/>
      <c r="AF42" s="15"/>
      <c r="AG42" s="15"/>
      <c r="AH42" s="16"/>
      <c r="AI42" s="16"/>
      <c r="AJ42" s="16"/>
      <c r="AK42" s="16"/>
      <c r="AL42" s="69">
        <f>(SUM(AL$134:AL$148)/15)/(SUM($J$134:$J$148)/15)*BS[[#This Row],[Trenes Corridos]]</f>
        <v>1482.9211277389347</v>
      </c>
      <c r="AM42" s="16"/>
      <c r="AN42" s="16"/>
      <c r="AO42" s="16"/>
      <c r="AP42" s="16"/>
      <c r="AQ42" s="78">
        <v>1996</v>
      </c>
      <c r="AR42" s="79" t="s">
        <v>36</v>
      </c>
      <c r="AS42" s="15"/>
      <c r="AT42" s="15"/>
      <c r="AU42" s="15"/>
      <c r="AV42" s="15"/>
      <c r="AW42" s="15"/>
      <c r="AX42" s="16"/>
      <c r="AY42" s="16"/>
      <c r="AZ42" s="69">
        <f>(SUM(AZ$134:AZ$148)/15)/(SUM($J$134:$J$148)/15)*BS[[#This Row],[Trenes Corridos]]</f>
        <v>164.69835852675132</v>
      </c>
      <c r="BA42" s="16"/>
      <c r="BB42" s="16"/>
      <c r="BC42" s="16"/>
      <c r="BD42" s="16"/>
      <c r="BE42" s="78"/>
      <c r="BF42" s="79"/>
      <c r="BG42" s="15"/>
      <c r="BH42" s="15"/>
      <c r="BI42" s="15"/>
      <c r="BS42" s="78"/>
      <c r="BT42" s="79"/>
      <c r="BU42" s="15"/>
      <c r="BV42" s="15"/>
      <c r="BW42" s="15"/>
      <c r="CA42" s="45"/>
      <c r="CD42" s="45"/>
      <c r="CG42" s="78"/>
      <c r="CH42" s="79"/>
      <c r="CI42" s="15"/>
      <c r="CJ42" s="15"/>
      <c r="CK42" s="15"/>
      <c r="CO42" s="45"/>
      <c r="CR42" s="45"/>
    </row>
    <row r="43" spans="1:96" s="18" customFormat="1" ht="15" customHeight="1">
      <c r="A43" s="80">
        <v>1996</v>
      </c>
      <c r="B43" s="81" t="s">
        <v>37</v>
      </c>
      <c r="C43" s="15">
        <f t="shared" si="3"/>
        <v>0.99048334585524667</v>
      </c>
      <c r="D43" s="15">
        <f t="shared" si="4"/>
        <v>0.99471830985915488</v>
      </c>
      <c r="E43" s="15">
        <f t="shared" si="5"/>
        <v>0.99574254946155771</v>
      </c>
      <c r="F43" s="16">
        <f t="shared" si="0"/>
        <v>0</v>
      </c>
      <c r="G4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3" s="16">
        <v>3993</v>
      </c>
      <c r="I43" s="16">
        <f t="shared" si="10"/>
        <v>17</v>
      </c>
      <c r="J43" s="16">
        <v>3976</v>
      </c>
      <c r="K43" s="16">
        <v>3955</v>
      </c>
      <c r="L43" s="16">
        <f t="shared" si="11"/>
        <v>21</v>
      </c>
      <c r="M43" s="16"/>
      <c r="N43" s="16"/>
      <c r="O43" s="80">
        <v>1996</v>
      </c>
      <c r="P43" s="81" t="s">
        <v>37</v>
      </c>
      <c r="Q43" s="15"/>
      <c r="R43" s="15"/>
      <c r="S43" s="15"/>
      <c r="T43" s="16"/>
      <c r="U43" s="16"/>
      <c r="V43" s="16"/>
      <c r="W43" s="16"/>
      <c r="X43" s="69">
        <f>(SUM(X$134:X$148)/15)/(SUM($J$134:$J$148)/15)*BS[[#This Row],[Trenes Corridos]]</f>
        <v>2420.3279322269368</v>
      </c>
      <c r="Y43" s="16"/>
      <c r="Z43" s="16"/>
      <c r="AA43" s="16"/>
      <c r="AB43" s="16"/>
      <c r="AC43" s="80">
        <v>1996</v>
      </c>
      <c r="AD43" s="81" t="s">
        <v>37</v>
      </c>
      <c r="AE43" s="15"/>
      <c r="AF43" s="15"/>
      <c r="AG43" s="15"/>
      <c r="AH43" s="16"/>
      <c r="AI43" s="16"/>
      <c r="AJ43" s="16"/>
      <c r="AK43" s="16"/>
      <c r="AL43" s="69">
        <f>(SUM(AL$134:AL$148)/15)/(SUM($J$134:$J$148)/15)*BS[[#This Row],[Trenes Corridos]]</f>
        <v>1400.1649023723592</v>
      </c>
      <c r="AM43" s="16"/>
      <c r="AN43" s="16"/>
      <c r="AO43" s="16"/>
      <c r="AP43" s="16"/>
      <c r="AQ43" s="80">
        <v>1996</v>
      </c>
      <c r="AR43" s="81" t="s">
        <v>37</v>
      </c>
      <c r="AS43" s="15"/>
      <c r="AT43" s="15"/>
      <c r="AU43" s="15"/>
      <c r="AV43" s="15"/>
      <c r="AW43" s="15"/>
      <c r="AX43" s="16"/>
      <c r="AY43" s="16"/>
      <c r="AZ43" s="69">
        <f>(SUM(AZ$134:AZ$148)/15)/(SUM($J$134:$J$148)/15)*BS[[#This Row],[Trenes Corridos]]</f>
        <v>155.50716540070368</v>
      </c>
      <c r="BA43" s="16"/>
      <c r="BB43" s="16"/>
      <c r="BC43" s="16"/>
      <c r="BD43" s="16"/>
      <c r="BE43" s="80"/>
      <c r="BF43" s="81"/>
      <c r="BG43" s="15"/>
      <c r="BH43" s="15"/>
      <c r="BI43" s="15"/>
      <c r="BS43" s="80"/>
      <c r="BT43" s="81"/>
      <c r="BU43" s="15"/>
      <c r="BV43" s="15"/>
      <c r="BW43" s="15"/>
      <c r="CA43" s="45"/>
      <c r="CD43" s="45"/>
      <c r="CG43" s="80"/>
      <c r="CH43" s="81"/>
      <c r="CI43" s="15"/>
      <c r="CJ43" s="15"/>
      <c r="CK43" s="15"/>
      <c r="CO43" s="45"/>
      <c r="CR43" s="45"/>
    </row>
    <row r="44" spans="1:96" s="18" customFormat="1" ht="15" customHeight="1">
      <c r="A44" s="78">
        <v>1996</v>
      </c>
      <c r="B44" s="79" t="s">
        <v>38</v>
      </c>
      <c r="C44" s="15">
        <f t="shared" si="3"/>
        <v>0.96997635933806148</v>
      </c>
      <c r="D44" s="15">
        <f t="shared" si="4"/>
        <v>0.98772267693789118</v>
      </c>
      <c r="E44" s="15">
        <f t="shared" si="5"/>
        <v>0.98203309692671392</v>
      </c>
      <c r="F44" s="16">
        <f t="shared" si="0"/>
        <v>0</v>
      </c>
      <c r="G4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4" s="16">
        <v>4230</v>
      </c>
      <c r="I44" s="16">
        <f t="shared" si="10"/>
        <v>76</v>
      </c>
      <c r="J44" s="16">
        <v>4154</v>
      </c>
      <c r="K44" s="16">
        <v>4103</v>
      </c>
      <c r="L44" s="16">
        <f t="shared" si="11"/>
        <v>51</v>
      </c>
      <c r="M44" s="16"/>
      <c r="N44" s="16"/>
      <c r="O44" s="78">
        <v>1996</v>
      </c>
      <c r="P44" s="79" t="s">
        <v>38</v>
      </c>
      <c r="Q44" s="15"/>
      <c r="R44" s="15"/>
      <c r="S44" s="15"/>
      <c r="T44" s="16"/>
      <c r="U44" s="16"/>
      <c r="V44" s="16"/>
      <c r="W44" s="16"/>
      <c r="X44" s="69">
        <f>(SUM(X$134:X$148)/15)/(SUM($J$134:$J$148)/15)*BS[[#This Row],[Trenes Corridos]]</f>
        <v>2528.6826535389073</v>
      </c>
      <c r="Y44" s="16"/>
      <c r="Z44" s="16"/>
      <c r="AA44" s="16"/>
      <c r="AB44" s="16"/>
      <c r="AC44" s="78">
        <v>1996</v>
      </c>
      <c r="AD44" s="79" t="s">
        <v>38</v>
      </c>
      <c r="AE44" s="15"/>
      <c r="AF44" s="15"/>
      <c r="AG44" s="15"/>
      <c r="AH44" s="16"/>
      <c r="AI44" s="16"/>
      <c r="AJ44" s="16"/>
      <c r="AK44" s="16"/>
      <c r="AL44" s="69">
        <f>(SUM(AL$134:AL$148)/15)/(SUM($J$134:$J$148)/15)*BS[[#This Row],[Trenes Corridos]]</f>
        <v>1462.8483411606589</v>
      </c>
      <c r="AM44" s="16"/>
      <c r="AN44" s="16"/>
      <c r="AO44" s="16"/>
      <c r="AP44" s="16"/>
      <c r="AQ44" s="78">
        <v>1996</v>
      </c>
      <c r="AR44" s="79" t="s">
        <v>38</v>
      </c>
      <c r="AS44" s="15"/>
      <c r="AT44" s="15"/>
      <c r="AU44" s="15"/>
      <c r="AV44" s="15"/>
      <c r="AW44" s="15"/>
      <c r="AX44" s="16"/>
      <c r="AY44" s="16"/>
      <c r="AZ44" s="69">
        <f>(SUM(AZ$134:AZ$148)/15)/(SUM($J$134:$J$148)/15)*BS[[#This Row],[Trenes Corridos]]</f>
        <v>162.46900530043339</v>
      </c>
      <c r="BA44" s="16"/>
      <c r="BB44" s="16"/>
      <c r="BC44" s="16"/>
      <c r="BD44" s="16"/>
      <c r="BE44" s="78"/>
      <c r="BF44" s="79"/>
      <c r="BG44" s="15"/>
      <c r="BH44" s="15"/>
      <c r="BI44" s="15"/>
      <c r="BS44" s="78"/>
      <c r="BT44" s="79"/>
      <c r="BU44" s="15"/>
      <c r="BV44" s="15"/>
      <c r="BW44" s="15"/>
      <c r="CA44" s="45"/>
      <c r="CD44" s="45"/>
      <c r="CG44" s="78"/>
      <c r="CH44" s="79"/>
      <c r="CI44" s="15"/>
      <c r="CJ44" s="15"/>
      <c r="CK44" s="15"/>
      <c r="CO44" s="45"/>
      <c r="CR44" s="45"/>
    </row>
    <row r="45" spans="1:96" s="18" customFormat="1" ht="15" customHeight="1">
      <c r="A45" s="80">
        <v>1996</v>
      </c>
      <c r="B45" s="81" t="s">
        <v>39</v>
      </c>
      <c r="C45" s="15">
        <f t="shared" si="3"/>
        <v>0.87984401657323907</v>
      </c>
      <c r="D45" s="15">
        <f t="shared" si="4"/>
        <v>0.88415380847416114</v>
      </c>
      <c r="E45" s="15">
        <f t="shared" si="5"/>
        <v>0.99512551791372161</v>
      </c>
      <c r="F45" s="16">
        <f t="shared" si="0"/>
        <v>0</v>
      </c>
      <c r="G4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5" s="16">
        <v>4103</v>
      </c>
      <c r="I45" s="16">
        <f t="shared" si="10"/>
        <v>20</v>
      </c>
      <c r="J45" s="16">
        <v>4083</v>
      </c>
      <c r="K45" s="16">
        <v>3610</v>
      </c>
      <c r="L45" s="16">
        <f t="shared" si="11"/>
        <v>473</v>
      </c>
      <c r="M45" s="16"/>
      <c r="N45" s="16"/>
      <c r="O45" s="80">
        <v>1996</v>
      </c>
      <c r="P45" s="81" t="s">
        <v>39</v>
      </c>
      <c r="Q45" s="15"/>
      <c r="R45" s="15"/>
      <c r="S45" s="15"/>
      <c r="T45" s="16"/>
      <c r="U45" s="16"/>
      <c r="V45" s="16"/>
      <c r="W45" s="16"/>
      <c r="X45" s="69">
        <f>(SUM(X$134:X$148)/15)/(SUM($J$134:$J$148)/15)*BS[[#This Row],[Trenes Corridos]]</f>
        <v>2485.4625118919976</v>
      </c>
      <c r="Y45" s="16"/>
      <c r="Z45" s="16"/>
      <c r="AA45" s="16"/>
      <c r="AB45" s="16"/>
      <c r="AC45" s="80">
        <v>1996</v>
      </c>
      <c r="AD45" s="81" t="s">
        <v>39</v>
      </c>
      <c r="AE45" s="15"/>
      <c r="AF45" s="15"/>
      <c r="AG45" s="15"/>
      <c r="AH45" s="16"/>
      <c r="AI45" s="16"/>
      <c r="AJ45" s="16"/>
      <c r="AK45" s="16"/>
      <c r="AL45" s="69">
        <f>(SUM(AL$134:AL$148)/15)/(SUM($J$134:$J$148)/15)*BS[[#This Row],[Trenes Corridos]]</f>
        <v>1437.8453964754383</v>
      </c>
      <c r="AM45" s="16"/>
      <c r="AN45" s="16"/>
      <c r="AO45" s="16"/>
      <c r="AP45" s="16"/>
      <c r="AQ45" s="80">
        <v>1996</v>
      </c>
      <c r="AR45" s="81" t="s">
        <v>39</v>
      </c>
      <c r="AS45" s="15"/>
      <c r="AT45" s="15"/>
      <c r="AU45" s="15"/>
      <c r="AV45" s="15"/>
      <c r="AW45" s="15"/>
      <c r="AX45" s="16"/>
      <c r="AY45" s="16"/>
      <c r="AZ45" s="69">
        <f>(SUM(AZ$134:AZ$148)/15)/(SUM($J$134:$J$148)/15)*BS[[#This Row],[Trenes Corridos]]</f>
        <v>159.69209163256369</v>
      </c>
      <c r="BA45" s="16"/>
      <c r="BB45" s="16"/>
      <c r="BC45" s="16"/>
      <c r="BD45" s="16"/>
      <c r="BE45" s="80"/>
      <c r="BF45" s="81"/>
      <c r="BG45" s="15"/>
      <c r="BH45" s="15"/>
      <c r="BI45" s="15"/>
      <c r="BS45" s="80"/>
      <c r="BT45" s="81"/>
      <c r="BU45" s="15"/>
      <c r="BV45" s="15"/>
      <c r="BW45" s="15"/>
      <c r="CA45" s="45"/>
      <c r="CD45" s="45"/>
      <c r="CG45" s="80"/>
      <c r="CH45" s="81"/>
      <c r="CI45" s="15"/>
      <c r="CJ45" s="15"/>
      <c r="CK45" s="15"/>
      <c r="CO45" s="45"/>
      <c r="CR45" s="45"/>
    </row>
    <row r="46" spans="1:96" s="18" customFormat="1" ht="15" customHeight="1">
      <c r="A46" s="78">
        <v>1996</v>
      </c>
      <c r="B46" s="79" t="s">
        <v>40</v>
      </c>
      <c r="C46" s="15">
        <f t="shared" si="3"/>
        <v>0.74946821082486415</v>
      </c>
      <c r="D46" s="15">
        <f t="shared" si="4"/>
        <v>0.75177809388335703</v>
      </c>
      <c r="E46" s="15">
        <f t="shared" si="5"/>
        <v>0.99692744032143699</v>
      </c>
      <c r="F46" s="16">
        <f t="shared" si="0"/>
        <v>0</v>
      </c>
      <c r="G4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6" s="16">
        <v>4231</v>
      </c>
      <c r="I46" s="16">
        <f t="shared" si="10"/>
        <v>13</v>
      </c>
      <c r="J46" s="16">
        <v>4218</v>
      </c>
      <c r="K46" s="16">
        <v>3171</v>
      </c>
      <c r="L46" s="16">
        <f t="shared" si="11"/>
        <v>1047</v>
      </c>
      <c r="M46" s="16"/>
      <c r="N46" s="16"/>
      <c r="O46" s="78">
        <v>1996</v>
      </c>
      <c r="P46" s="79" t="s">
        <v>40</v>
      </c>
      <c r="Q46" s="15"/>
      <c r="R46" s="15"/>
      <c r="S46" s="15"/>
      <c r="T46" s="16"/>
      <c r="U46" s="16"/>
      <c r="V46" s="16"/>
      <c r="W46" s="16"/>
      <c r="X46" s="69">
        <f>(SUM(X$134:X$148)/15)/(SUM($J$134:$J$148)/15)*BS[[#This Row],[Trenes Corridos]]</f>
        <v>2567.6416544600652</v>
      </c>
      <c r="Y46" s="16"/>
      <c r="Z46" s="16"/>
      <c r="AA46" s="16"/>
      <c r="AB46" s="16"/>
      <c r="AC46" s="78">
        <v>1996</v>
      </c>
      <c r="AD46" s="79" t="s">
        <v>40</v>
      </c>
      <c r="AE46" s="15"/>
      <c r="AF46" s="15"/>
      <c r="AG46" s="15"/>
      <c r="AH46" s="16"/>
      <c r="AI46" s="16"/>
      <c r="AJ46" s="16"/>
      <c r="AK46" s="16"/>
      <c r="AL46" s="69">
        <f>(SUM(AL$134:AL$148)/15)/(SUM($J$134:$J$148)/15)*BS[[#This Row],[Trenes Corridos]]</f>
        <v>1485.3862067924072</v>
      </c>
      <c r="AM46" s="16"/>
      <c r="AN46" s="16"/>
      <c r="AO46" s="16"/>
      <c r="AP46" s="16"/>
      <c r="AQ46" s="78">
        <v>1996</v>
      </c>
      <c r="AR46" s="79" t="s">
        <v>40</v>
      </c>
      <c r="AS46" s="15"/>
      <c r="AT46" s="15"/>
      <c r="AU46" s="15"/>
      <c r="AV46" s="15"/>
      <c r="AW46" s="15"/>
      <c r="AX46" s="16"/>
      <c r="AY46" s="16"/>
      <c r="AZ46" s="69">
        <f>(SUM(AZ$134:AZ$148)/15)/(SUM($J$134:$J$148)/15)*BS[[#This Row],[Trenes Corridos]]</f>
        <v>164.9721387475272</v>
      </c>
      <c r="BA46" s="16"/>
      <c r="BB46" s="16"/>
      <c r="BC46" s="16"/>
      <c r="BD46" s="16"/>
      <c r="BE46" s="78"/>
      <c r="BF46" s="79"/>
      <c r="BG46" s="15"/>
      <c r="BH46" s="15"/>
      <c r="BI46" s="15"/>
      <c r="BS46" s="78"/>
      <c r="BT46" s="79"/>
      <c r="BU46" s="15"/>
      <c r="BV46" s="15"/>
      <c r="BW46" s="15"/>
      <c r="CA46" s="45"/>
      <c r="CD46" s="45"/>
      <c r="CG46" s="78"/>
      <c r="CH46" s="79"/>
      <c r="CI46" s="15"/>
      <c r="CJ46" s="15"/>
      <c r="CK46" s="15"/>
      <c r="CO46" s="45"/>
      <c r="CR46" s="45"/>
    </row>
    <row r="47" spans="1:96" s="18" customFormat="1" ht="15" customHeight="1">
      <c r="A47" s="80">
        <v>1996</v>
      </c>
      <c r="B47" s="81" t="s">
        <v>41</v>
      </c>
      <c r="C47" s="15">
        <f t="shared" si="3"/>
        <v>0.9800102511532548</v>
      </c>
      <c r="D47" s="15">
        <f t="shared" si="4"/>
        <v>0.98480556270924546</v>
      </c>
      <c r="E47" s="15">
        <f t="shared" si="5"/>
        <v>0.99513070220399791</v>
      </c>
      <c r="F47" s="16">
        <f t="shared" si="0"/>
        <v>0</v>
      </c>
      <c r="G4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7" s="16">
        <v>3902</v>
      </c>
      <c r="I47" s="16">
        <f t="shared" si="10"/>
        <v>19</v>
      </c>
      <c r="J47" s="16">
        <v>3883</v>
      </c>
      <c r="K47" s="16">
        <v>3824</v>
      </c>
      <c r="L47" s="16">
        <f t="shared" si="11"/>
        <v>59</v>
      </c>
      <c r="M47" s="16"/>
      <c r="N47" s="16"/>
      <c r="O47" s="80">
        <v>1996</v>
      </c>
      <c r="P47" s="81" t="s">
        <v>41</v>
      </c>
      <c r="Q47" s="15"/>
      <c r="R47" s="15"/>
      <c r="S47" s="15"/>
      <c r="T47" s="16"/>
      <c r="U47" s="16"/>
      <c r="V47" s="16"/>
      <c r="W47" s="16"/>
      <c r="X47" s="69">
        <f>(SUM(X$134:X$148)/15)/(SUM($J$134:$J$148)/15)*BS[[#This Row],[Trenes Corridos]]</f>
        <v>2363.7156340133793</v>
      </c>
      <c r="Y47" s="16"/>
      <c r="Z47" s="16"/>
      <c r="AA47" s="16"/>
      <c r="AB47" s="16"/>
      <c r="AC47" s="80">
        <v>1996</v>
      </c>
      <c r="AD47" s="81" t="s">
        <v>41</v>
      </c>
      <c r="AE47" s="15"/>
      <c r="AF47" s="15"/>
      <c r="AG47" s="15"/>
      <c r="AH47" s="16"/>
      <c r="AI47" s="16"/>
      <c r="AJ47" s="16"/>
      <c r="AK47" s="16"/>
      <c r="AL47" s="69">
        <f>(SUM(AL$134:AL$148)/15)/(SUM($J$134:$J$148)/15)*BS[[#This Row],[Trenes Corridos]]</f>
        <v>1367.4145663762249</v>
      </c>
      <c r="AM47" s="16"/>
      <c r="AN47" s="16"/>
      <c r="AO47" s="16"/>
      <c r="AP47" s="16"/>
      <c r="AQ47" s="80">
        <v>1996</v>
      </c>
      <c r="AR47" s="81" t="s">
        <v>41</v>
      </c>
      <c r="AS47" s="15"/>
      <c r="AT47" s="15"/>
      <c r="AU47" s="15"/>
      <c r="AV47" s="15"/>
      <c r="AW47" s="15"/>
      <c r="AX47" s="16"/>
      <c r="AY47" s="16"/>
      <c r="AZ47" s="69">
        <f>(SUM(AZ$134:AZ$148)/15)/(SUM($J$134:$J$148)/15)*BS[[#This Row],[Trenes Corridos]]</f>
        <v>151.86979961039549</v>
      </c>
      <c r="BA47" s="16"/>
      <c r="BB47" s="16"/>
      <c r="BC47" s="16"/>
      <c r="BD47" s="16"/>
      <c r="BE47" s="80"/>
      <c r="BF47" s="81"/>
      <c r="BG47" s="15"/>
      <c r="BH47" s="15"/>
      <c r="BI47" s="15"/>
      <c r="BS47" s="80"/>
      <c r="BT47" s="81"/>
      <c r="BU47" s="15"/>
      <c r="BV47" s="15"/>
      <c r="BW47" s="15"/>
      <c r="CA47" s="45"/>
      <c r="CD47" s="45"/>
      <c r="CG47" s="80"/>
      <c r="CH47" s="81"/>
      <c r="CI47" s="15"/>
      <c r="CJ47" s="15"/>
      <c r="CK47" s="15"/>
      <c r="CO47" s="45"/>
      <c r="CR47" s="45"/>
    </row>
    <row r="48" spans="1:96" s="18" customFormat="1" ht="15" customHeight="1">
      <c r="A48" s="78">
        <v>1996</v>
      </c>
      <c r="B48" s="79" t="s">
        <v>42</v>
      </c>
      <c r="C48" s="15">
        <f t="shared" si="3"/>
        <v>0.99224993945265194</v>
      </c>
      <c r="D48" s="15">
        <f t="shared" si="4"/>
        <v>0.99345295829291946</v>
      </c>
      <c r="E48" s="15">
        <f t="shared" si="5"/>
        <v>0.99878905303947685</v>
      </c>
      <c r="F48" s="16">
        <f t="shared" si="0"/>
        <v>0</v>
      </c>
      <c r="G4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8" s="16">
        <v>4129</v>
      </c>
      <c r="I48" s="16">
        <f t="shared" si="10"/>
        <v>5</v>
      </c>
      <c r="J48" s="16">
        <v>4124</v>
      </c>
      <c r="K48" s="16">
        <v>4097</v>
      </c>
      <c r="L48" s="16">
        <f t="shared" si="11"/>
        <v>27</v>
      </c>
      <c r="M48" s="16"/>
      <c r="N48" s="16"/>
      <c r="O48" s="78">
        <v>1996</v>
      </c>
      <c r="P48" s="79" t="s">
        <v>42</v>
      </c>
      <c r="Q48" s="15"/>
      <c r="R48" s="15"/>
      <c r="S48" s="15"/>
      <c r="T48" s="16"/>
      <c r="U48" s="16"/>
      <c r="V48" s="16"/>
      <c r="W48" s="16"/>
      <c r="X48" s="69">
        <f>(SUM(X$134:X$148)/15)/(SUM($J$134:$J$148)/15)*BS[[#This Row],[Trenes Corridos]]</f>
        <v>2510.4206218571144</v>
      </c>
      <c r="Y48" s="16"/>
      <c r="Z48" s="16"/>
      <c r="AA48" s="16"/>
      <c r="AB48" s="16"/>
      <c r="AC48" s="78">
        <v>1996</v>
      </c>
      <c r="AD48" s="79" t="s">
        <v>42</v>
      </c>
      <c r="AE48" s="15"/>
      <c r="AF48" s="15"/>
      <c r="AG48" s="15"/>
      <c r="AH48" s="16"/>
      <c r="AI48" s="16"/>
      <c r="AJ48" s="16"/>
      <c r="AK48" s="16"/>
      <c r="AL48" s="69">
        <f>(SUM(AL$134:AL$148)/15)/(SUM($J$134:$J$148)/15)*BS[[#This Row],[Trenes Corridos]]</f>
        <v>1452.2837166457768</v>
      </c>
      <c r="AM48" s="16"/>
      <c r="AN48" s="16"/>
      <c r="AO48" s="16"/>
      <c r="AP48" s="16"/>
      <c r="AQ48" s="78">
        <v>1996</v>
      </c>
      <c r="AR48" s="79" t="s">
        <v>42</v>
      </c>
      <c r="AS48" s="15"/>
      <c r="AT48" s="15"/>
      <c r="AU48" s="15"/>
      <c r="AV48" s="15"/>
      <c r="AW48" s="15"/>
      <c r="AX48" s="16"/>
      <c r="AY48" s="16"/>
      <c r="AZ48" s="69">
        <f>(SUM(AZ$134:AZ$148)/15)/(SUM($J$134:$J$148)/15)*BS[[#This Row],[Trenes Corridos]]</f>
        <v>161.29566149710814</v>
      </c>
      <c r="BA48" s="16"/>
      <c r="BB48" s="16"/>
      <c r="BC48" s="16"/>
      <c r="BD48" s="16"/>
      <c r="BE48" s="78"/>
      <c r="BF48" s="79"/>
      <c r="BG48" s="15"/>
      <c r="BH48" s="15"/>
      <c r="BI48" s="15"/>
      <c r="BS48" s="78"/>
      <c r="BT48" s="79"/>
      <c r="BU48" s="15"/>
      <c r="BV48" s="15"/>
      <c r="BW48" s="15"/>
      <c r="CA48" s="45"/>
      <c r="CD48" s="45"/>
      <c r="CG48" s="78"/>
      <c r="CH48" s="79"/>
      <c r="CI48" s="15"/>
      <c r="CJ48" s="15"/>
      <c r="CK48" s="15"/>
      <c r="CO48" s="45"/>
      <c r="CR48" s="45"/>
    </row>
    <row r="49" spans="1:96" s="18" customFormat="1" ht="15" customHeight="1">
      <c r="A49" s="80">
        <v>1996</v>
      </c>
      <c r="B49" s="81" t="s">
        <v>43</v>
      </c>
      <c r="C49" s="15">
        <f t="shared" si="3"/>
        <v>0.98248601313549011</v>
      </c>
      <c r="D49" s="15">
        <f t="shared" si="4"/>
        <v>0.99409303470342114</v>
      </c>
      <c r="E49" s="15">
        <f t="shared" si="5"/>
        <v>0.98832400875699344</v>
      </c>
      <c r="F49" s="16">
        <f t="shared" si="0"/>
        <v>0</v>
      </c>
      <c r="G4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9" s="16">
        <v>4111</v>
      </c>
      <c r="I49" s="16">
        <f t="shared" si="10"/>
        <v>48</v>
      </c>
      <c r="J49" s="16">
        <v>4063</v>
      </c>
      <c r="K49" s="16">
        <v>4039</v>
      </c>
      <c r="L49" s="16">
        <f t="shared" si="11"/>
        <v>24</v>
      </c>
      <c r="M49" s="16"/>
      <c r="N49" s="16"/>
      <c r="O49" s="80">
        <v>1996</v>
      </c>
      <c r="P49" s="81" t="s">
        <v>43</v>
      </c>
      <c r="Q49" s="15"/>
      <c r="R49" s="15"/>
      <c r="S49" s="15"/>
      <c r="T49" s="16"/>
      <c r="U49" s="16"/>
      <c r="V49" s="16"/>
      <c r="W49" s="16"/>
      <c r="X49" s="69">
        <f>(SUM(X$134:X$148)/15)/(SUM($J$134:$J$148)/15)*BS[[#This Row],[Trenes Corridos]]</f>
        <v>2473.2878241041358</v>
      </c>
      <c r="Y49" s="16"/>
      <c r="Z49" s="16"/>
      <c r="AA49" s="16"/>
      <c r="AB49" s="16"/>
      <c r="AC49" s="80">
        <v>1996</v>
      </c>
      <c r="AD49" s="81" t="s">
        <v>43</v>
      </c>
      <c r="AE49" s="15"/>
      <c r="AF49" s="15"/>
      <c r="AG49" s="15"/>
      <c r="AH49" s="16"/>
      <c r="AI49" s="16"/>
      <c r="AJ49" s="16"/>
      <c r="AK49" s="16"/>
      <c r="AL49" s="69">
        <f>(SUM(AL$134:AL$148)/15)/(SUM($J$134:$J$148)/15)*BS[[#This Row],[Trenes Corridos]]</f>
        <v>1430.8023134655168</v>
      </c>
      <c r="AM49" s="16"/>
      <c r="AN49" s="16"/>
      <c r="AO49" s="16"/>
      <c r="AP49" s="16"/>
      <c r="AQ49" s="80">
        <v>1996</v>
      </c>
      <c r="AR49" s="81" t="s">
        <v>43</v>
      </c>
      <c r="AS49" s="15"/>
      <c r="AT49" s="15"/>
      <c r="AU49" s="15"/>
      <c r="AV49" s="15"/>
      <c r="AW49" s="15"/>
      <c r="AX49" s="16"/>
      <c r="AY49" s="16"/>
      <c r="AZ49" s="69">
        <f>(SUM(AZ$134:AZ$148)/15)/(SUM($J$134:$J$148)/15)*BS[[#This Row],[Trenes Corridos]]</f>
        <v>158.90986243034686</v>
      </c>
      <c r="BA49" s="16"/>
      <c r="BB49" s="16"/>
      <c r="BC49" s="16"/>
      <c r="BD49" s="16"/>
      <c r="BE49" s="80"/>
      <c r="BF49" s="81"/>
      <c r="BG49" s="15"/>
      <c r="BH49" s="15"/>
      <c r="BI49" s="15"/>
      <c r="BS49" s="80"/>
      <c r="BT49" s="81"/>
      <c r="BU49" s="15"/>
      <c r="BV49" s="15"/>
      <c r="BW49" s="15"/>
      <c r="CA49" s="45"/>
      <c r="CD49" s="45"/>
      <c r="CG49" s="80"/>
      <c r="CH49" s="81"/>
      <c r="CI49" s="15"/>
      <c r="CJ49" s="15"/>
      <c r="CK49" s="15"/>
      <c r="CO49" s="45"/>
      <c r="CR49" s="45"/>
    </row>
    <row r="50" spans="1:96" s="18" customFormat="1" ht="15" customHeight="1">
      <c r="A50" s="78">
        <v>1996</v>
      </c>
      <c r="B50" s="79" t="s">
        <v>44</v>
      </c>
      <c r="C50" s="15">
        <f t="shared" si="3"/>
        <v>0.95737211634904718</v>
      </c>
      <c r="D50" s="15">
        <f t="shared" si="4"/>
        <v>0.99271970878835158</v>
      </c>
      <c r="E50" s="15">
        <f t="shared" si="5"/>
        <v>0.96439317953861581</v>
      </c>
      <c r="F50" s="16">
        <f t="shared" si="0"/>
        <v>0</v>
      </c>
      <c r="G5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0" s="16">
        <v>3988</v>
      </c>
      <c r="I50" s="16">
        <f t="shared" si="10"/>
        <v>142</v>
      </c>
      <c r="J50" s="16">
        <v>3846</v>
      </c>
      <c r="K50" s="16">
        <v>3818</v>
      </c>
      <c r="L50" s="16">
        <f t="shared" si="11"/>
        <v>28</v>
      </c>
      <c r="M50" s="16"/>
      <c r="N50" s="16"/>
      <c r="O50" s="78">
        <v>1996</v>
      </c>
      <c r="P50" s="79" t="s">
        <v>44</v>
      </c>
      <c r="Q50" s="15"/>
      <c r="R50" s="15"/>
      <c r="S50" s="15"/>
      <c r="T50" s="16"/>
      <c r="U50" s="16"/>
      <c r="V50" s="16"/>
      <c r="W50" s="16"/>
      <c r="X50" s="69">
        <f>(SUM(X$134:X$148)/15)/(SUM($J$134:$J$148)/15)*BS[[#This Row],[Trenes Corridos]]</f>
        <v>2341.192461605835</v>
      </c>
      <c r="Y50" s="16"/>
      <c r="Z50" s="16"/>
      <c r="AA50" s="16"/>
      <c r="AB50" s="16"/>
      <c r="AC50" s="78">
        <v>1996</v>
      </c>
      <c r="AD50" s="79" t="s">
        <v>44</v>
      </c>
      <c r="AE50" s="15"/>
      <c r="AF50" s="15"/>
      <c r="AG50" s="15"/>
      <c r="AH50" s="16"/>
      <c r="AI50" s="16"/>
      <c r="AJ50" s="16"/>
      <c r="AK50" s="16"/>
      <c r="AL50" s="69">
        <f>(SUM(AL$134:AL$148)/15)/(SUM($J$134:$J$148)/15)*BS[[#This Row],[Trenes Corridos]]</f>
        <v>1354.3848628078706</v>
      </c>
      <c r="AM50" s="16"/>
      <c r="AN50" s="16"/>
      <c r="AO50" s="16"/>
      <c r="AP50" s="16"/>
      <c r="AQ50" s="78">
        <v>1996</v>
      </c>
      <c r="AR50" s="79" t="s">
        <v>44</v>
      </c>
      <c r="AS50" s="15"/>
      <c r="AT50" s="15"/>
      <c r="AU50" s="15"/>
      <c r="AV50" s="15"/>
      <c r="AW50" s="15"/>
      <c r="AX50" s="16"/>
      <c r="AY50" s="16"/>
      <c r="AZ50" s="69">
        <f>(SUM(AZ$134:AZ$148)/15)/(SUM($J$134:$J$148)/15)*BS[[#This Row],[Trenes Corridos]]</f>
        <v>150.42267558629436</v>
      </c>
      <c r="BA50" s="16"/>
      <c r="BB50" s="16"/>
      <c r="BC50" s="16"/>
      <c r="BD50" s="16"/>
      <c r="BE50" s="78"/>
      <c r="BF50" s="79"/>
      <c r="BG50" s="15"/>
      <c r="BH50" s="15"/>
      <c r="BI50" s="15"/>
      <c r="BS50" s="78"/>
      <c r="BT50" s="79"/>
      <c r="BU50" s="15"/>
      <c r="BV50" s="15"/>
      <c r="BW50" s="15"/>
      <c r="CA50" s="45"/>
      <c r="CD50" s="45"/>
      <c r="CG50" s="78"/>
      <c r="CH50" s="79"/>
      <c r="CI50" s="15"/>
      <c r="CJ50" s="15"/>
      <c r="CK50" s="15"/>
      <c r="CO50" s="45"/>
      <c r="CR50" s="45"/>
    </row>
    <row r="51" spans="1:96" s="18" customFormat="1" ht="15" customHeight="1">
      <c r="A51" s="80">
        <v>1996</v>
      </c>
      <c r="B51" s="81" t="s">
        <v>45</v>
      </c>
      <c r="C51" s="15">
        <f t="shared" si="3"/>
        <v>0.95490716180371349</v>
      </c>
      <c r="D51" s="15">
        <f t="shared" si="4"/>
        <v>0.99148723084626944</v>
      </c>
      <c r="E51" s="15">
        <f t="shared" si="5"/>
        <v>0.96310585965758377</v>
      </c>
      <c r="F51" s="16">
        <f t="shared" si="0"/>
        <v>0</v>
      </c>
      <c r="G5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1" s="16">
        <v>4147</v>
      </c>
      <c r="I51" s="16">
        <f t="shared" si="10"/>
        <v>153</v>
      </c>
      <c r="J51" s="16">
        <v>3994</v>
      </c>
      <c r="K51" s="16">
        <v>3960</v>
      </c>
      <c r="L51" s="16">
        <f t="shared" si="11"/>
        <v>34</v>
      </c>
      <c r="M51" s="16"/>
      <c r="N51" s="16"/>
      <c r="O51" s="80">
        <v>1996</v>
      </c>
      <c r="P51" s="81" t="s">
        <v>45</v>
      </c>
      <c r="Q51" s="15"/>
      <c r="R51" s="15"/>
      <c r="S51" s="15"/>
      <c r="T51" s="16"/>
      <c r="U51" s="16"/>
      <c r="V51" s="16"/>
      <c r="W51" s="16"/>
      <c r="X51" s="69">
        <f>(SUM(X$134:X$148)/15)/(SUM($J$134:$J$148)/15)*BS[[#This Row],[Trenes Corridos]]</f>
        <v>2431.2851512360126</v>
      </c>
      <c r="Y51" s="16"/>
      <c r="Z51" s="16"/>
      <c r="AA51" s="16"/>
      <c r="AB51" s="16"/>
      <c r="AC51" s="80">
        <v>1996</v>
      </c>
      <c r="AD51" s="81" t="s">
        <v>45</v>
      </c>
      <c r="AE51" s="15"/>
      <c r="AF51" s="15"/>
      <c r="AG51" s="15"/>
      <c r="AH51" s="16"/>
      <c r="AI51" s="16"/>
      <c r="AJ51" s="16"/>
      <c r="AK51" s="16"/>
      <c r="AL51" s="69">
        <f>(SUM(AL$134:AL$148)/15)/(SUM($J$134:$J$148)/15)*BS[[#This Row],[Trenes Corridos]]</f>
        <v>1406.5036770812883</v>
      </c>
      <c r="AM51" s="16"/>
      <c r="AN51" s="16"/>
      <c r="AO51" s="16"/>
      <c r="AP51" s="16"/>
      <c r="AQ51" s="80">
        <v>1996</v>
      </c>
      <c r="AR51" s="81" t="s">
        <v>45</v>
      </c>
      <c r="AS51" s="15"/>
      <c r="AT51" s="15"/>
      <c r="AU51" s="15"/>
      <c r="AV51" s="15"/>
      <c r="AW51" s="15"/>
      <c r="AX51" s="16"/>
      <c r="AY51" s="16"/>
      <c r="AZ51" s="69">
        <f>(SUM(AZ$134:AZ$148)/15)/(SUM($J$134:$J$148)/15)*BS[[#This Row],[Trenes Corridos]]</f>
        <v>156.21117168269882</v>
      </c>
      <c r="BA51" s="16"/>
      <c r="BB51" s="16"/>
      <c r="BC51" s="16"/>
      <c r="BD51" s="16"/>
      <c r="BE51" s="80"/>
      <c r="BF51" s="81"/>
      <c r="BG51" s="15"/>
      <c r="BH51" s="15"/>
      <c r="BI51" s="15"/>
      <c r="BS51" s="80"/>
      <c r="BT51" s="81"/>
      <c r="BU51" s="15"/>
      <c r="BV51" s="15"/>
      <c r="BW51" s="15"/>
      <c r="CA51" s="45"/>
      <c r="CD51" s="45"/>
      <c r="CG51" s="80"/>
      <c r="CH51" s="81"/>
      <c r="CI51" s="15"/>
      <c r="CJ51" s="15"/>
      <c r="CK51" s="15"/>
      <c r="CO51" s="45"/>
      <c r="CR51" s="45"/>
    </row>
    <row r="52" spans="1:96" s="18" customFormat="1" ht="15" customHeight="1">
      <c r="A52" s="78">
        <v>1996</v>
      </c>
      <c r="B52" s="79" t="s">
        <v>46</v>
      </c>
      <c r="C52" s="15">
        <f t="shared" si="3"/>
        <v>0.99150849150849152</v>
      </c>
      <c r="D52" s="15">
        <f t="shared" si="4"/>
        <v>0.99573614246300479</v>
      </c>
      <c r="E52" s="15">
        <f t="shared" si="5"/>
        <v>0.99575424575424576</v>
      </c>
      <c r="F52" s="16">
        <f t="shared" si="0"/>
        <v>0</v>
      </c>
      <c r="G5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2" s="16">
        <v>4004</v>
      </c>
      <c r="I52" s="16">
        <f t="shared" si="10"/>
        <v>17</v>
      </c>
      <c r="J52" s="16">
        <v>3987</v>
      </c>
      <c r="K52" s="16">
        <v>3970</v>
      </c>
      <c r="L52" s="16">
        <f t="shared" si="11"/>
        <v>17</v>
      </c>
      <c r="M52" s="16"/>
      <c r="N52" s="16"/>
      <c r="O52" s="78">
        <v>1996</v>
      </c>
      <c r="P52" s="79" t="s">
        <v>46</v>
      </c>
      <c r="Q52" s="15"/>
      <c r="R52" s="15"/>
      <c r="S52" s="15"/>
      <c r="T52" s="16"/>
      <c r="U52" s="16"/>
      <c r="V52" s="16"/>
      <c r="W52" s="16"/>
      <c r="X52" s="69">
        <f>(SUM(X$134:X$148)/15)/(SUM($J$134:$J$148)/15)*BS[[#This Row],[Trenes Corridos]]</f>
        <v>2427.0240105102607</v>
      </c>
      <c r="Y52" s="16"/>
      <c r="Z52" s="16"/>
      <c r="AA52" s="16"/>
      <c r="AB52" s="16"/>
      <c r="AC52" s="78">
        <v>1996</v>
      </c>
      <c r="AD52" s="79" t="s">
        <v>46</v>
      </c>
      <c r="AE52" s="15"/>
      <c r="AF52" s="15"/>
      <c r="AG52" s="15"/>
      <c r="AH52" s="16"/>
      <c r="AI52" s="16"/>
      <c r="AJ52" s="16"/>
      <c r="AK52" s="16"/>
      <c r="AL52" s="69">
        <f>(SUM(AL$134:AL$148)/15)/(SUM($J$134:$J$148)/15)*BS[[#This Row],[Trenes Corridos]]</f>
        <v>1404.0385980278159</v>
      </c>
      <c r="AM52" s="16"/>
      <c r="AN52" s="16"/>
      <c r="AO52" s="16"/>
      <c r="AP52" s="16"/>
      <c r="AQ52" s="78">
        <v>1996</v>
      </c>
      <c r="AR52" s="79" t="s">
        <v>46</v>
      </c>
      <c r="AS52" s="15"/>
      <c r="AT52" s="15"/>
      <c r="AU52" s="15"/>
      <c r="AV52" s="15"/>
      <c r="AW52" s="15"/>
      <c r="AX52" s="16"/>
      <c r="AY52" s="16"/>
      <c r="AZ52" s="69">
        <f>(SUM(AZ$134:AZ$148)/15)/(SUM($J$134:$J$148)/15)*BS[[#This Row],[Trenes Corridos]]</f>
        <v>155.93739146192294</v>
      </c>
      <c r="BA52" s="16"/>
      <c r="BB52" s="16"/>
      <c r="BC52" s="16"/>
      <c r="BD52" s="16"/>
      <c r="BE52" s="78"/>
      <c r="BF52" s="79"/>
      <c r="BG52" s="15"/>
      <c r="BH52" s="15"/>
      <c r="BI52" s="15"/>
      <c r="BS52" s="78"/>
      <c r="BT52" s="79"/>
      <c r="BU52" s="15"/>
      <c r="BV52" s="15"/>
      <c r="BW52" s="15"/>
      <c r="CA52" s="45"/>
      <c r="CD52" s="45"/>
      <c r="CG52" s="78"/>
      <c r="CH52" s="79"/>
      <c r="CI52" s="15"/>
      <c r="CJ52" s="15"/>
      <c r="CK52" s="15"/>
      <c r="CO52" s="45"/>
      <c r="CR52" s="45"/>
    </row>
    <row r="53" spans="1:96" s="18" customFormat="1" ht="15" customHeight="1">
      <c r="A53" s="80">
        <v>1996</v>
      </c>
      <c r="B53" s="81" t="s">
        <v>47</v>
      </c>
      <c r="C53" s="15">
        <f t="shared" si="3"/>
        <v>0.96654456654456655</v>
      </c>
      <c r="D53" s="15">
        <f t="shared" si="4"/>
        <v>0.99222862872900475</v>
      </c>
      <c r="E53" s="15">
        <f t="shared" si="5"/>
        <v>0.9741147741147741</v>
      </c>
      <c r="F53" s="16">
        <f t="shared" si="0"/>
        <v>0</v>
      </c>
      <c r="G5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3" s="16">
        <v>4095</v>
      </c>
      <c r="I53" s="16">
        <f t="shared" si="10"/>
        <v>106</v>
      </c>
      <c r="J53" s="16">
        <v>3989</v>
      </c>
      <c r="K53" s="16">
        <v>3958</v>
      </c>
      <c r="L53" s="16">
        <f t="shared" si="11"/>
        <v>31</v>
      </c>
      <c r="M53" s="16"/>
      <c r="N53" s="16"/>
      <c r="O53" s="80">
        <v>1996</v>
      </c>
      <c r="P53" s="81" t="s">
        <v>47</v>
      </c>
      <c r="Q53" s="15"/>
      <c r="R53" s="15"/>
      <c r="S53" s="15"/>
      <c r="T53" s="16"/>
      <c r="U53" s="16"/>
      <c r="V53" s="16"/>
      <c r="W53" s="16"/>
      <c r="X53" s="69">
        <f>(SUM(X$134:X$148)/15)/(SUM($J$134:$J$148)/15)*BS[[#This Row],[Trenes Corridos]]</f>
        <v>2428.2414792890472</v>
      </c>
      <c r="Y53" s="16"/>
      <c r="Z53" s="16"/>
      <c r="AA53" s="16"/>
      <c r="AB53" s="16"/>
      <c r="AC53" s="80">
        <v>1996</v>
      </c>
      <c r="AD53" s="81" t="s">
        <v>47</v>
      </c>
      <c r="AE53" s="15"/>
      <c r="AF53" s="15"/>
      <c r="AG53" s="15"/>
      <c r="AH53" s="16"/>
      <c r="AI53" s="16"/>
      <c r="AJ53" s="16"/>
      <c r="AK53" s="16"/>
      <c r="AL53" s="69">
        <f>(SUM(AL$134:AL$148)/15)/(SUM($J$134:$J$148)/15)*BS[[#This Row],[Trenes Corridos]]</f>
        <v>1404.742906328808</v>
      </c>
      <c r="AM53" s="16"/>
      <c r="AN53" s="16"/>
      <c r="AO53" s="16"/>
      <c r="AP53" s="16"/>
      <c r="AQ53" s="80">
        <v>1996</v>
      </c>
      <c r="AR53" s="81" t="s">
        <v>47</v>
      </c>
      <c r="AS53" s="15"/>
      <c r="AT53" s="15"/>
      <c r="AU53" s="15"/>
      <c r="AV53" s="15"/>
      <c r="AW53" s="15"/>
      <c r="AX53" s="16"/>
      <c r="AY53" s="16"/>
      <c r="AZ53" s="69">
        <f>(SUM(AZ$134:AZ$148)/15)/(SUM($J$134:$J$148)/15)*BS[[#This Row],[Trenes Corridos]]</f>
        <v>156.01561438214463</v>
      </c>
      <c r="BA53" s="16"/>
      <c r="BB53" s="16"/>
      <c r="BC53" s="16"/>
      <c r="BD53" s="16"/>
      <c r="BE53" s="80"/>
      <c r="BF53" s="81"/>
      <c r="BG53" s="15"/>
      <c r="BH53" s="15"/>
      <c r="BI53" s="15"/>
      <c r="BS53" s="80"/>
      <c r="BT53" s="81"/>
      <c r="BU53" s="15"/>
      <c r="BV53" s="15"/>
      <c r="BW53" s="15"/>
      <c r="CA53" s="45"/>
      <c r="CD53" s="45"/>
      <c r="CG53" s="80"/>
      <c r="CH53" s="81"/>
      <c r="CI53" s="15"/>
      <c r="CJ53" s="15"/>
      <c r="CK53" s="15"/>
      <c r="CO53" s="45"/>
      <c r="CR53" s="45"/>
    </row>
    <row r="54" spans="1:96" s="18" customFormat="1" ht="15" customHeight="1">
      <c r="A54" s="78">
        <v>1997</v>
      </c>
      <c r="B54" s="79" t="s">
        <v>36</v>
      </c>
      <c r="C54" s="15">
        <f t="shared" si="3"/>
        <v>0.99055461370791964</v>
      </c>
      <c r="D54" s="15">
        <f t="shared" si="4"/>
        <v>0.99464980544747084</v>
      </c>
      <c r="E54" s="15">
        <f t="shared" si="5"/>
        <v>0.9958827803342214</v>
      </c>
      <c r="F54" s="16">
        <f t="shared" si="0"/>
        <v>0</v>
      </c>
      <c r="G5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4" s="16">
        <v>4129</v>
      </c>
      <c r="I54" s="16">
        <f t="shared" ref="I54:I65" si="12">H54-J54</f>
        <v>17</v>
      </c>
      <c r="J54" s="16">
        <v>4112</v>
      </c>
      <c r="K54" s="16">
        <v>4090</v>
      </c>
      <c r="L54" s="16">
        <f t="shared" ref="L54:L65" si="13">J54-K54</f>
        <v>22</v>
      </c>
      <c r="M54" s="16"/>
      <c r="N54" s="16"/>
      <c r="O54" s="78">
        <v>1997</v>
      </c>
      <c r="P54" s="79" t="s">
        <v>36</v>
      </c>
      <c r="Q54" s="15"/>
      <c r="R54" s="15"/>
      <c r="S54" s="15"/>
      <c r="T54" s="16"/>
      <c r="U54" s="16"/>
      <c r="V54" s="16"/>
      <c r="W54" s="16"/>
      <c r="X54" s="69">
        <f>(SUM(X$134:X$148)/15)/(SUM($J$134:$J$148)/15)*BS[[#This Row],[Trenes Corridos]]</f>
        <v>2503.1158091843977</v>
      </c>
      <c r="Y54" s="16"/>
      <c r="Z54" s="16"/>
      <c r="AA54" s="16"/>
      <c r="AB54" s="16"/>
      <c r="AC54" s="78">
        <v>1997</v>
      </c>
      <c r="AD54" s="79" t="s">
        <v>36</v>
      </c>
      <c r="AE54" s="15"/>
      <c r="AF54" s="15"/>
      <c r="AG54" s="15"/>
      <c r="AH54" s="16"/>
      <c r="AI54" s="16"/>
      <c r="AJ54" s="16"/>
      <c r="AK54" s="16"/>
      <c r="AL54" s="69">
        <f>(SUM(AL$134:AL$148)/15)/(SUM($J$134:$J$148)/15)*BS[[#This Row],[Trenes Corridos]]</f>
        <v>1448.0578668398241</v>
      </c>
      <c r="AM54" s="16"/>
      <c r="AN54" s="16"/>
      <c r="AO54" s="16"/>
      <c r="AP54" s="16"/>
      <c r="AQ54" s="78">
        <v>1997</v>
      </c>
      <c r="AR54" s="79" t="s">
        <v>36</v>
      </c>
      <c r="AS54" s="15"/>
      <c r="AT54" s="15"/>
      <c r="AU54" s="15"/>
      <c r="AV54" s="15"/>
      <c r="AW54" s="15"/>
      <c r="AX54" s="16"/>
      <c r="AY54" s="16"/>
      <c r="AZ54" s="69">
        <f>(SUM(AZ$134:AZ$148)/15)/(SUM($J$134:$J$148)/15)*BS[[#This Row],[Trenes Corridos]]</f>
        <v>160.82632397577805</v>
      </c>
      <c r="BA54" s="16"/>
      <c r="BB54" s="16"/>
      <c r="BC54" s="16"/>
      <c r="BD54" s="16"/>
      <c r="BE54" s="78"/>
      <c r="BF54" s="79"/>
      <c r="BG54" s="15"/>
      <c r="BH54" s="15"/>
      <c r="BI54" s="15"/>
      <c r="BS54" s="78"/>
      <c r="BT54" s="79"/>
      <c r="BU54" s="15"/>
      <c r="BV54" s="15"/>
      <c r="BW54" s="15"/>
      <c r="CA54" s="45"/>
      <c r="CD54" s="45"/>
      <c r="CG54" s="78"/>
      <c r="CH54" s="79"/>
      <c r="CI54" s="15"/>
      <c r="CJ54" s="15"/>
      <c r="CK54" s="15"/>
      <c r="CO54" s="45"/>
      <c r="CR54" s="45"/>
    </row>
    <row r="55" spans="1:96" s="18" customFormat="1" ht="15" customHeight="1">
      <c r="A55" s="80">
        <v>1997</v>
      </c>
      <c r="B55" s="81" t="s">
        <v>37</v>
      </c>
      <c r="C55" s="15">
        <f t="shared" si="3"/>
        <v>0.99465240641711228</v>
      </c>
      <c r="D55" s="15">
        <f t="shared" si="4"/>
        <v>0.99651754620948296</v>
      </c>
      <c r="E55" s="15">
        <f t="shared" si="5"/>
        <v>0.99812834224598934</v>
      </c>
      <c r="F55" s="16">
        <f t="shared" si="0"/>
        <v>0</v>
      </c>
      <c r="G5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5" s="16">
        <v>3740</v>
      </c>
      <c r="I55" s="16">
        <f t="shared" si="12"/>
        <v>7</v>
      </c>
      <c r="J55" s="16">
        <v>3733</v>
      </c>
      <c r="K55" s="16">
        <v>3720</v>
      </c>
      <c r="L55" s="16">
        <f t="shared" si="13"/>
        <v>13</v>
      </c>
      <c r="M55" s="16"/>
      <c r="N55" s="16"/>
      <c r="O55" s="80">
        <v>1997</v>
      </c>
      <c r="P55" s="81" t="s">
        <v>37</v>
      </c>
      <c r="Q55" s="15"/>
      <c r="R55" s="15"/>
      <c r="S55" s="15"/>
      <c r="T55" s="16"/>
      <c r="U55" s="16"/>
      <c r="V55" s="16"/>
      <c r="W55" s="16"/>
      <c r="X55" s="69">
        <f>(SUM(X$134:X$148)/15)/(SUM($J$134:$J$148)/15)*BS[[#This Row],[Trenes Corridos]]</f>
        <v>2272.4054756044152</v>
      </c>
      <c r="Y55" s="16"/>
      <c r="Z55" s="16"/>
      <c r="AA55" s="16"/>
      <c r="AB55" s="16"/>
      <c r="AC55" s="80">
        <v>1997</v>
      </c>
      <c r="AD55" s="81" t="s">
        <v>37</v>
      </c>
      <c r="AE55" s="15"/>
      <c r="AF55" s="15"/>
      <c r="AG55" s="15"/>
      <c r="AH55" s="16"/>
      <c r="AI55" s="16"/>
      <c r="AJ55" s="16"/>
      <c r="AK55" s="16"/>
      <c r="AL55" s="69">
        <f>(SUM(AL$134:AL$148)/15)/(SUM($J$134:$J$148)/15)*BS[[#This Row],[Trenes Corridos]]</f>
        <v>1314.5914438018151</v>
      </c>
      <c r="AM55" s="16"/>
      <c r="AN55" s="16"/>
      <c r="AO55" s="16"/>
      <c r="AP55" s="16"/>
      <c r="AQ55" s="80">
        <v>1997</v>
      </c>
      <c r="AR55" s="81" t="s">
        <v>37</v>
      </c>
      <c r="AS55" s="15"/>
      <c r="AT55" s="15"/>
      <c r="AU55" s="15"/>
      <c r="AV55" s="15"/>
      <c r="AW55" s="15"/>
      <c r="AX55" s="16"/>
      <c r="AY55" s="16"/>
      <c r="AZ55" s="69">
        <f>(SUM(AZ$134:AZ$148)/15)/(SUM($J$134:$J$148)/15)*BS[[#This Row],[Trenes Corridos]]</f>
        <v>146.00308059376934</v>
      </c>
      <c r="BA55" s="16"/>
      <c r="BB55" s="16"/>
      <c r="BC55" s="16"/>
      <c r="BD55" s="16"/>
      <c r="BE55" s="80"/>
      <c r="BF55" s="81"/>
      <c r="BG55" s="15"/>
      <c r="BH55" s="15"/>
      <c r="BI55" s="15"/>
      <c r="BS55" s="80"/>
      <c r="BT55" s="81"/>
      <c r="BU55" s="15"/>
      <c r="BV55" s="15"/>
      <c r="BW55" s="15"/>
      <c r="CA55" s="45"/>
      <c r="CD55" s="45"/>
      <c r="CG55" s="80"/>
      <c r="CH55" s="81"/>
      <c r="CI55" s="15"/>
      <c r="CJ55" s="15"/>
      <c r="CK55" s="15"/>
      <c r="CO55" s="45"/>
      <c r="CR55" s="45"/>
    </row>
    <row r="56" spans="1:96" s="18" customFormat="1" ht="15" customHeight="1">
      <c r="A56" s="78">
        <v>1997</v>
      </c>
      <c r="B56" s="79" t="s">
        <v>38</v>
      </c>
      <c r="C56" s="15">
        <f t="shared" si="3"/>
        <v>0.98650968849644349</v>
      </c>
      <c r="D56" s="15">
        <f t="shared" si="4"/>
        <v>0.99357707509881421</v>
      </c>
      <c r="E56" s="15">
        <f t="shared" si="5"/>
        <v>0.99288692666176115</v>
      </c>
      <c r="F56" s="16">
        <f t="shared" si="0"/>
        <v>0</v>
      </c>
      <c r="G5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6" s="16">
        <v>4077</v>
      </c>
      <c r="I56" s="16">
        <f t="shared" si="12"/>
        <v>29</v>
      </c>
      <c r="J56" s="16">
        <v>4048</v>
      </c>
      <c r="K56" s="16">
        <v>4022</v>
      </c>
      <c r="L56" s="16">
        <f t="shared" si="13"/>
        <v>26</v>
      </c>
      <c r="M56" s="16"/>
      <c r="N56" s="16"/>
      <c r="O56" s="78">
        <v>1997</v>
      </c>
      <c r="P56" s="79" t="s">
        <v>38</v>
      </c>
      <c r="Q56" s="15"/>
      <c r="R56" s="15"/>
      <c r="S56" s="15"/>
      <c r="T56" s="16"/>
      <c r="U56" s="16"/>
      <c r="V56" s="16"/>
      <c r="W56" s="16"/>
      <c r="X56" s="69">
        <f>(SUM(X$134:X$148)/15)/(SUM($J$134:$J$148)/15)*BS[[#This Row],[Trenes Corridos]]</f>
        <v>2464.1568082632393</v>
      </c>
      <c r="Y56" s="16"/>
      <c r="Z56" s="16"/>
      <c r="AA56" s="16"/>
      <c r="AB56" s="16"/>
      <c r="AC56" s="78">
        <v>1997</v>
      </c>
      <c r="AD56" s="79" t="s">
        <v>38</v>
      </c>
      <c r="AE56" s="15"/>
      <c r="AF56" s="15"/>
      <c r="AG56" s="15"/>
      <c r="AH56" s="16"/>
      <c r="AI56" s="16"/>
      <c r="AJ56" s="16"/>
      <c r="AK56" s="16"/>
      <c r="AL56" s="69">
        <f>(SUM(AL$134:AL$148)/15)/(SUM($J$134:$J$148)/15)*BS[[#This Row],[Trenes Corridos]]</f>
        <v>1425.5200012080759</v>
      </c>
      <c r="AM56" s="16"/>
      <c r="AN56" s="16"/>
      <c r="AO56" s="16"/>
      <c r="AP56" s="16"/>
      <c r="AQ56" s="78">
        <v>1997</v>
      </c>
      <c r="AR56" s="79" t="s">
        <v>38</v>
      </c>
      <c r="AS56" s="15"/>
      <c r="AT56" s="15"/>
      <c r="AU56" s="15"/>
      <c r="AV56" s="15"/>
      <c r="AW56" s="15"/>
      <c r="AX56" s="16"/>
      <c r="AY56" s="16"/>
      <c r="AZ56" s="69">
        <f>(SUM(AZ$134:AZ$148)/15)/(SUM($J$134:$J$148)/15)*BS[[#This Row],[Trenes Corridos]]</f>
        <v>158.32319052868425</v>
      </c>
      <c r="BA56" s="16"/>
      <c r="BB56" s="16"/>
      <c r="BC56" s="16"/>
      <c r="BD56" s="16"/>
      <c r="BE56" s="78"/>
      <c r="BF56" s="79"/>
      <c r="BG56" s="15"/>
      <c r="BH56" s="15"/>
      <c r="BI56" s="15"/>
      <c r="BS56" s="78"/>
      <c r="BT56" s="79"/>
      <c r="BU56" s="15"/>
      <c r="BV56" s="15"/>
      <c r="BW56" s="15"/>
      <c r="CA56" s="45"/>
      <c r="CD56" s="45"/>
      <c r="CG56" s="78"/>
      <c r="CH56" s="79"/>
      <c r="CI56" s="15"/>
      <c r="CJ56" s="15"/>
      <c r="CK56" s="15"/>
      <c r="CO56" s="45"/>
      <c r="CR56" s="45"/>
    </row>
    <row r="57" spans="1:96" s="18" customFormat="1" ht="15" customHeight="1">
      <c r="A57" s="80">
        <v>1997</v>
      </c>
      <c r="B57" s="81" t="s">
        <v>39</v>
      </c>
      <c r="C57" s="15">
        <f t="shared" si="3"/>
        <v>0.9945300845350572</v>
      </c>
      <c r="D57" s="15">
        <f t="shared" si="4"/>
        <v>0.99626400996264008</v>
      </c>
      <c r="E57" s="15">
        <f t="shared" si="5"/>
        <v>0.99825957235206364</v>
      </c>
      <c r="F57" s="16">
        <f t="shared" si="0"/>
        <v>0</v>
      </c>
      <c r="G5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7" s="16">
        <v>4022</v>
      </c>
      <c r="I57" s="16">
        <f t="shared" si="12"/>
        <v>7</v>
      </c>
      <c r="J57" s="16">
        <v>4015</v>
      </c>
      <c r="K57" s="16">
        <v>4000</v>
      </c>
      <c r="L57" s="16">
        <f t="shared" si="13"/>
        <v>15</v>
      </c>
      <c r="M57" s="16"/>
      <c r="N57" s="16"/>
      <c r="O57" s="80">
        <v>1997</v>
      </c>
      <c r="P57" s="81" t="s">
        <v>39</v>
      </c>
      <c r="Q57" s="15"/>
      <c r="R57" s="15"/>
      <c r="S57" s="15"/>
      <c r="T57" s="16"/>
      <c r="U57" s="16"/>
      <c r="V57" s="16"/>
      <c r="W57" s="16"/>
      <c r="X57" s="69">
        <f>(SUM(X$134:X$148)/15)/(SUM($J$134:$J$148)/15)*BS[[#This Row],[Trenes Corridos]]</f>
        <v>2444.0685734132676</v>
      </c>
      <c r="Y57" s="16"/>
      <c r="Z57" s="16"/>
      <c r="AA57" s="16"/>
      <c r="AB57" s="16"/>
      <c r="AC57" s="80">
        <v>1997</v>
      </c>
      <c r="AD57" s="81" t="s">
        <v>39</v>
      </c>
      <c r="AE57" s="15"/>
      <c r="AF57" s="15"/>
      <c r="AG57" s="15"/>
      <c r="AH57" s="16"/>
      <c r="AI57" s="16"/>
      <c r="AJ57" s="16"/>
      <c r="AK57" s="16"/>
      <c r="AL57" s="69">
        <f>(SUM(AL$134:AL$148)/15)/(SUM($J$134:$J$148)/15)*BS[[#This Row],[Trenes Corridos]]</f>
        <v>1413.8989142417058</v>
      </c>
      <c r="AM57" s="16"/>
      <c r="AN57" s="16"/>
      <c r="AO57" s="16"/>
      <c r="AP57" s="16"/>
      <c r="AQ57" s="80">
        <v>1997</v>
      </c>
      <c r="AR57" s="81" t="s">
        <v>39</v>
      </c>
      <c r="AS57" s="15"/>
      <c r="AT57" s="15"/>
      <c r="AU57" s="15"/>
      <c r="AV57" s="15"/>
      <c r="AW57" s="15"/>
      <c r="AX57" s="16"/>
      <c r="AY57" s="16"/>
      <c r="AZ57" s="69">
        <f>(SUM(AZ$134:AZ$148)/15)/(SUM($J$134:$J$148)/15)*BS[[#This Row],[Trenes Corridos]]</f>
        <v>157.0325123450265</v>
      </c>
      <c r="BA57" s="16"/>
      <c r="BB57" s="16"/>
      <c r="BC57" s="16"/>
      <c r="BD57" s="16"/>
      <c r="BE57" s="80"/>
      <c r="BF57" s="81"/>
      <c r="BG57" s="15"/>
      <c r="BH57" s="15"/>
      <c r="BI57" s="15"/>
      <c r="BS57" s="80"/>
      <c r="BT57" s="81"/>
      <c r="BU57" s="15"/>
      <c r="BV57" s="15"/>
      <c r="BW57" s="15"/>
      <c r="CA57" s="45"/>
      <c r="CD57" s="45"/>
      <c r="CG57" s="80"/>
      <c r="CH57" s="81"/>
      <c r="CI57" s="15"/>
      <c r="CJ57" s="15"/>
      <c r="CK57" s="15"/>
      <c r="CO57" s="45"/>
      <c r="CR57" s="45"/>
    </row>
    <row r="58" spans="1:96" s="18" customFormat="1" ht="15" customHeight="1">
      <c r="A58" s="78">
        <v>1997</v>
      </c>
      <c r="B58" s="79" t="s">
        <v>40</v>
      </c>
      <c r="C58" s="15">
        <f t="shared" si="3"/>
        <v>0.98564826076380441</v>
      </c>
      <c r="D58" s="15">
        <f t="shared" si="4"/>
        <v>0.99022482893450636</v>
      </c>
      <c r="E58" s="15">
        <f t="shared" si="5"/>
        <v>0.99537825346630993</v>
      </c>
      <c r="F58" s="16">
        <f t="shared" si="0"/>
        <v>0</v>
      </c>
      <c r="G5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8" s="16">
        <v>4111</v>
      </c>
      <c r="I58" s="16">
        <f t="shared" si="12"/>
        <v>19</v>
      </c>
      <c r="J58" s="16">
        <v>4092</v>
      </c>
      <c r="K58" s="16">
        <v>4052</v>
      </c>
      <c r="L58" s="16">
        <f t="shared" si="13"/>
        <v>40</v>
      </c>
      <c r="M58" s="16"/>
      <c r="N58" s="16"/>
      <c r="O58" s="78">
        <v>1997</v>
      </c>
      <c r="P58" s="79" t="s">
        <v>40</v>
      </c>
      <c r="Q58" s="15"/>
      <c r="R58" s="15"/>
      <c r="S58" s="15"/>
      <c r="T58" s="16"/>
      <c r="U58" s="16"/>
      <c r="V58" s="16"/>
      <c r="W58" s="16"/>
      <c r="X58" s="69">
        <f>(SUM(X$134:X$148)/15)/(SUM($J$134:$J$148)/15)*BS[[#This Row],[Trenes Corridos]]</f>
        <v>2490.9411213965354</v>
      </c>
      <c r="Y58" s="16"/>
      <c r="Z58" s="16"/>
      <c r="AA58" s="16"/>
      <c r="AB58" s="16"/>
      <c r="AC58" s="78">
        <v>1997</v>
      </c>
      <c r="AD58" s="79" t="s">
        <v>40</v>
      </c>
      <c r="AE58" s="15"/>
      <c r="AF58" s="15"/>
      <c r="AG58" s="15"/>
      <c r="AH58" s="16"/>
      <c r="AI58" s="16"/>
      <c r="AJ58" s="16"/>
      <c r="AK58" s="16"/>
      <c r="AL58" s="69">
        <f>(SUM(AL$134:AL$148)/15)/(SUM($J$134:$J$148)/15)*BS[[#This Row],[Trenes Corridos]]</f>
        <v>1441.0147838299029</v>
      </c>
      <c r="AM58" s="16"/>
      <c r="AN58" s="16"/>
      <c r="AO58" s="16"/>
      <c r="AP58" s="16"/>
      <c r="AQ58" s="78">
        <v>1997</v>
      </c>
      <c r="AR58" s="79" t="s">
        <v>40</v>
      </c>
      <c r="AS58" s="15"/>
      <c r="AT58" s="15"/>
      <c r="AU58" s="15"/>
      <c r="AV58" s="15"/>
      <c r="AW58" s="15"/>
      <c r="AX58" s="16"/>
      <c r="AY58" s="16"/>
      <c r="AZ58" s="69">
        <f>(SUM(AZ$134:AZ$148)/15)/(SUM($J$134:$J$148)/15)*BS[[#This Row],[Trenes Corridos]]</f>
        <v>160.04409477356126</v>
      </c>
      <c r="BA58" s="16"/>
      <c r="BB58" s="16"/>
      <c r="BC58" s="16"/>
      <c r="BD58" s="16"/>
      <c r="BE58" s="78"/>
      <c r="BF58" s="79"/>
      <c r="BG58" s="15"/>
      <c r="BH58" s="15"/>
      <c r="BI58" s="15"/>
      <c r="BS58" s="78"/>
      <c r="BT58" s="79"/>
      <c r="BU58" s="15"/>
      <c r="BV58" s="15"/>
      <c r="BW58" s="15"/>
      <c r="CA58" s="45"/>
      <c r="CD58" s="45"/>
      <c r="CG58" s="78"/>
      <c r="CH58" s="79"/>
      <c r="CI58" s="15"/>
      <c r="CJ58" s="15"/>
      <c r="CK58" s="15"/>
      <c r="CO58" s="45"/>
      <c r="CR58" s="45"/>
    </row>
    <row r="59" spans="1:96" s="18" customFormat="1" ht="15" customHeight="1">
      <c r="A59" s="80">
        <v>1997</v>
      </c>
      <c r="B59" s="81" t="s">
        <v>41</v>
      </c>
      <c r="C59" s="15">
        <f t="shared" si="3"/>
        <v>0.99554896142433236</v>
      </c>
      <c r="D59" s="15">
        <f t="shared" si="4"/>
        <v>0.99628804751299183</v>
      </c>
      <c r="E59" s="15">
        <f t="shared" si="5"/>
        <v>0.99925816023738867</v>
      </c>
      <c r="F59" s="16">
        <f t="shared" si="0"/>
        <v>0</v>
      </c>
      <c r="G5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9" s="16">
        <v>4044</v>
      </c>
      <c r="I59" s="16">
        <f t="shared" si="12"/>
        <v>3</v>
      </c>
      <c r="J59" s="16">
        <v>4041</v>
      </c>
      <c r="K59" s="16">
        <v>4026</v>
      </c>
      <c r="L59" s="16">
        <f t="shared" si="13"/>
        <v>15</v>
      </c>
      <c r="M59" s="16"/>
      <c r="N59" s="16"/>
      <c r="O59" s="80">
        <v>1997</v>
      </c>
      <c r="P59" s="81" t="s">
        <v>41</v>
      </c>
      <c r="Q59" s="15"/>
      <c r="R59" s="15"/>
      <c r="S59" s="15"/>
      <c r="T59" s="16"/>
      <c r="U59" s="16"/>
      <c r="V59" s="16"/>
      <c r="W59" s="16"/>
      <c r="X59" s="69">
        <f>(SUM(X$134:X$148)/15)/(SUM($J$134:$J$148)/15)*BS[[#This Row],[Trenes Corridos]]</f>
        <v>2459.895667537488</v>
      </c>
      <c r="Y59" s="16"/>
      <c r="Z59" s="16"/>
      <c r="AA59" s="16"/>
      <c r="AB59" s="16"/>
      <c r="AC59" s="80">
        <v>1997</v>
      </c>
      <c r="AD59" s="81" t="s">
        <v>41</v>
      </c>
      <c r="AE59" s="15"/>
      <c r="AF59" s="15"/>
      <c r="AG59" s="15"/>
      <c r="AH59" s="16"/>
      <c r="AI59" s="16"/>
      <c r="AJ59" s="16"/>
      <c r="AK59" s="16"/>
      <c r="AL59" s="69">
        <f>(SUM(AL$134:AL$148)/15)/(SUM($J$134:$J$148)/15)*BS[[#This Row],[Trenes Corridos]]</f>
        <v>1423.0549221546034</v>
      </c>
      <c r="AM59" s="16"/>
      <c r="AN59" s="16"/>
      <c r="AO59" s="16"/>
      <c r="AP59" s="16"/>
      <c r="AQ59" s="80">
        <v>1997</v>
      </c>
      <c r="AR59" s="81" t="s">
        <v>41</v>
      </c>
      <c r="AS59" s="15"/>
      <c r="AT59" s="15"/>
      <c r="AU59" s="15"/>
      <c r="AV59" s="15"/>
      <c r="AW59" s="15"/>
      <c r="AX59" s="16"/>
      <c r="AY59" s="16"/>
      <c r="AZ59" s="69">
        <f>(SUM(AZ$134:AZ$148)/15)/(SUM($J$134:$J$148)/15)*BS[[#This Row],[Trenes Corridos]]</f>
        <v>158.04941030790835</v>
      </c>
      <c r="BA59" s="16"/>
      <c r="BB59" s="16"/>
      <c r="BC59" s="16"/>
      <c r="BD59" s="16"/>
      <c r="BE59" s="80"/>
      <c r="BF59" s="81"/>
      <c r="BG59" s="15"/>
      <c r="BH59" s="15"/>
      <c r="BI59" s="15"/>
      <c r="BS59" s="80"/>
      <c r="BT59" s="81"/>
      <c r="BU59" s="15"/>
      <c r="BV59" s="15"/>
      <c r="BW59" s="15"/>
      <c r="CA59" s="45"/>
      <c r="CD59" s="45"/>
      <c r="CG59" s="80"/>
      <c r="CH59" s="81"/>
      <c r="CI59" s="15"/>
      <c r="CJ59" s="15"/>
      <c r="CK59" s="15"/>
      <c r="CO59" s="45"/>
      <c r="CR59" s="45"/>
    </row>
    <row r="60" spans="1:96" s="18" customFormat="1" ht="15" customHeight="1">
      <c r="A60" s="78">
        <v>1997</v>
      </c>
      <c r="B60" s="79" t="s">
        <v>42</v>
      </c>
      <c r="C60" s="15">
        <f t="shared" si="3"/>
        <v>0.98773432075908352</v>
      </c>
      <c r="D60" s="15">
        <f t="shared" si="4"/>
        <v>0.99094497329928022</v>
      </c>
      <c r="E60" s="15">
        <f t="shared" si="5"/>
        <v>0.99676000925711639</v>
      </c>
      <c r="F60" s="16">
        <f t="shared" si="0"/>
        <v>0</v>
      </c>
      <c r="G6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0" s="16">
        <v>4321</v>
      </c>
      <c r="I60" s="16">
        <f t="shared" si="12"/>
        <v>14</v>
      </c>
      <c r="J60" s="16">
        <v>4307</v>
      </c>
      <c r="K60" s="16">
        <v>4268</v>
      </c>
      <c r="L60" s="16">
        <f t="shared" si="13"/>
        <v>39</v>
      </c>
      <c r="M60" s="16"/>
      <c r="N60" s="16"/>
      <c r="O60" s="78">
        <v>1997</v>
      </c>
      <c r="P60" s="79" t="s">
        <v>42</v>
      </c>
      <c r="Q60" s="15"/>
      <c r="R60" s="15"/>
      <c r="S60" s="15"/>
      <c r="T60" s="16"/>
      <c r="U60" s="16"/>
      <c r="V60" s="16"/>
      <c r="W60" s="16"/>
      <c r="X60" s="69">
        <f>(SUM(X$134:X$148)/15)/(SUM($J$134:$J$148)/15)*BS[[#This Row],[Trenes Corridos]]</f>
        <v>2621.8190151160507</v>
      </c>
      <c r="Y60" s="16"/>
      <c r="Z60" s="16"/>
      <c r="AA60" s="16"/>
      <c r="AB60" s="16"/>
      <c r="AC60" s="78">
        <v>1997</v>
      </c>
      <c r="AD60" s="79" t="s">
        <v>42</v>
      </c>
      <c r="AE60" s="15"/>
      <c r="AF60" s="15"/>
      <c r="AG60" s="15"/>
      <c r="AH60" s="16"/>
      <c r="AI60" s="16"/>
      <c r="AJ60" s="16"/>
      <c r="AK60" s="16"/>
      <c r="AL60" s="69">
        <f>(SUM(AL$134:AL$148)/15)/(SUM($J$134:$J$148)/15)*BS[[#This Row],[Trenes Corridos]]</f>
        <v>1516.7279261865572</v>
      </c>
      <c r="AM60" s="16"/>
      <c r="AN60" s="16"/>
      <c r="AO60" s="16"/>
      <c r="AP60" s="16"/>
      <c r="AQ60" s="78">
        <v>1997</v>
      </c>
      <c r="AR60" s="79" t="s">
        <v>42</v>
      </c>
      <c r="AS60" s="15"/>
      <c r="AT60" s="15"/>
      <c r="AU60" s="15"/>
      <c r="AV60" s="15"/>
      <c r="AW60" s="15"/>
      <c r="AX60" s="16"/>
      <c r="AY60" s="16"/>
      <c r="AZ60" s="69">
        <f>(SUM(AZ$134:AZ$148)/15)/(SUM($J$134:$J$148)/15)*BS[[#This Row],[Trenes Corridos]]</f>
        <v>168.45305869739207</v>
      </c>
      <c r="BA60" s="16"/>
      <c r="BB60" s="16"/>
      <c r="BC60" s="16"/>
      <c r="BD60" s="16"/>
      <c r="BE60" s="78"/>
      <c r="BF60" s="79"/>
      <c r="BG60" s="15"/>
      <c r="BH60" s="15"/>
      <c r="BI60" s="15"/>
      <c r="BS60" s="78"/>
      <c r="BT60" s="79"/>
      <c r="BU60" s="15"/>
      <c r="BV60" s="15"/>
      <c r="BW60" s="15"/>
      <c r="CA60" s="45"/>
      <c r="CD60" s="45"/>
      <c r="CG60" s="78"/>
      <c r="CH60" s="79"/>
      <c r="CI60" s="15"/>
      <c r="CJ60" s="15"/>
      <c r="CK60" s="15"/>
      <c r="CO60" s="45"/>
      <c r="CR60" s="45"/>
    </row>
    <row r="61" spans="1:96" s="18" customFormat="1" ht="15" customHeight="1">
      <c r="A61" s="80">
        <v>1997</v>
      </c>
      <c r="B61" s="81" t="s">
        <v>43</v>
      </c>
      <c r="C61" s="15">
        <f t="shared" si="3"/>
        <v>0.97815362931642003</v>
      </c>
      <c r="D61" s="15">
        <f t="shared" si="4"/>
        <v>0.99213724088634736</v>
      </c>
      <c r="E61" s="15">
        <f t="shared" si="5"/>
        <v>0.98590556730091616</v>
      </c>
      <c r="F61" s="16">
        <f t="shared" si="0"/>
        <v>0</v>
      </c>
      <c r="G6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1" s="16">
        <v>4257</v>
      </c>
      <c r="I61" s="16">
        <f t="shared" si="12"/>
        <v>60</v>
      </c>
      <c r="J61" s="16">
        <v>4197</v>
      </c>
      <c r="K61" s="16">
        <v>4164</v>
      </c>
      <c r="L61" s="16">
        <f t="shared" si="13"/>
        <v>33</v>
      </c>
      <c r="M61" s="16"/>
      <c r="N61" s="16"/>
      <c r="O61" s="80">
        <v>1997</v>
      </c>
      <c r="P61" s="81" t="s">
        <v>43</v>
      </c>
      <c r="Q61" s="15"/>
      <c r="R61" s="15"/>
      <c r="S61" s="15"/>
      <c r="T61" s="16"/>
      <c r="U61" s="16"/>
      <c r="V61" s="16"/>
      <c r="W61" s="16"/>
      <c r="X61" s="69">
        <f>(SUM(X$134:X$148)/15)/(SUM($J$134:$J$148)/15)*BS[[#This Row],[Trenes Corridos]]</f>
        <v>2554.8582322828101</v>
      </c>
      <c r="Y61" s="16"/>
      <c r="Z61" s="16"/>
      <c r="AA61" s="16"/>
      <c r="AB61" s="16"/>
      <c r="AC61" s="80">
        <v>1997</v>
      </c>
      <c r="AD61" s="81" t="s">
        <v>43</v>
      </c>
      <c r="AE61" s="15"/>
      <c r="AF61" s="15"/>
      <c r="AG61" s="15"/>
      <c r="AH61" s="16"/>
      <c r="AI61" s="16"/>
      <c r="AJ61" s="16"/>
      <c r="AK61" s="16"/>
      <c r="AL61" s="69">
        <f>(SUM(AL$134:AL$148)/15)/(SUM($J$134:$J$148)/15)*BS[[#This Row],[Trenes Corridos]]</f>
        <v>1477.9909696319899</v>
      </c>
      <c r="AM61" s="16"/>
      <c r="AN61" s="16"/>
      <c r="AO61" s="16"/>
      <c r="AP61" s="16"/>
      <c r="AQ61" s="80">
        <v>1997</v>
      </c>
      <c r="AR61" s="81" t="s">
        <v>43</v>
      </c>
      <c r="AS61" s="15"/>
      <c r="AT61" s="15"/>
      <c r="AU61" s="15"/>
      <c r="AV61" s="15"/>
      <c r="AW61" s="15"/>
      <c r="AX61" s="16"/>
      <c r="AY61" s="16"/>
      <c r="AZ61" s="69">
        <f>(SUM(AZ$134:AZ$148)/15)/(SUM($J$134:$J$148)/15)*BS[[#This Row],[Trenes Corridos]]</f>
        <v>164.15079808519954</v>
      </c>
      <c r="BA61" s="16"/>
      <c r="BB61" s="16"/>
      <c r="BC61" s="16"/>
      <c r="BD61" s="16"/>
      <c r="BE61" s="80"/>
      <c r="BF61" s="81"/>
      <c r="BG61" s="15"/>
      <c r="BH61" s="15"/>
      <c r="BI61" s="15"/>
      <c r="BS61" s="80"/>
      <c r="BT61" s="81"/>
      <c r="BU61" s="15"/>
      <c r="BV61" s="15"/>
      <c r="BW61" s="15"/>
      <c r="CA61" s="45"/>
      <c r="CD61" s="45"/>
      <c r="CG61" s="80"/>
      <c r="CH61" s="81"/>
      <c r="CI61" s="15"/>
      <c r="CJ61" s="15"/>
      <c r="CK61" s="15"/>
      <c r="CO61" s="45"/>
      <c r="CR61" s="45"/>
    </row>
    <row r="62" spans="1:96" s="18" customFormat="1" ht="15" customHeight="1">
      <c r="A62" s="78">
        <v>1997</v>
      </c>
      <c r="B62" s="79" t="s">
        <v>44</v>
      </c>
      <c r="C62" s="15">
        <f t="shared" si="3"/>
        <v>0.99669499527856464</v>
      </c>
      <c r="D62" s="15">
        <f t="shared" si="4"/>
        <v>0.99740137018662889</v>
      </c>
      <c r="E62" s="15">
        <f t="shared" si="5"/>
        <v>0.99929178470254953</v>
      </c>
      <c r="F62" s="16">
        <f t="shared" si="0"/>
        <v>0</v>
      </c>
      <c r="G6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2" s="16">
        <v>4236</v>
      </c>
      <c r="I62" s="16">
        <f t="shared" si="12"/>
        <v>3</v>
      </c>
      <c r="J62" s="16">
        <v>4233</v>
      </c>
      <c r="K62" s="16">
        <v>4222</v>
      </c>
      <c r="L62" s="16">
        <f t="shared" si="13"/>
        <v>11</v>
      </c>
      <c r="M62" s="16"/>
      <c r="N62" s="16"/>
      <c r="O62" s="78">
        <v>1997</v>
      </c>
      <c r="P62" s="79" t="s">
        <v>44</v>
      </c>
      <c r="Q62" s="15"/>
      <c r="R62" s="15"/>
      <c r="S62" s="15"/>
      <c r="T62" s="16"/>
      <c r="U62" s="16"/>
      <c r="V62" s="16"/>
      <c r="W62" s="16"/>
      <c r="X62" s="69">
        <f>(SUM(X$134:X$148)/15)/(SUM($J$134:$J$148)/15)*BS[[#This Row],[Trenes Corridos]]</f>
        <v>2576.7726703009616</v>
      </c>
      <c r="Y62" s="16"/>
      <c r="Z62" s="16"/>
      <c r="AA62" s="16"/>
      <c r="AB62" s="16"/>
      <c r="AC62" s="78">
        <v>1997</v>
      </c>
      <c r="AD62" s="79" t="s">
        <v>44</v>
      </c>
      <c r="AE62" s="15"/>
      <c r="AF62" s="15"/>
      <c r="AG62" s="15"/>
      <c r="AH62" s="16"/>
      <c r="AI62" s="16"/>
      <c r="AJ62" s="16"/>
      <c r="AK62" s="16"/>
      <c r="AL62" s="69">
        <f>(SUM(AL$134:AL$148)/15)/(SUM($J$134:$J$148)/15)*BS[[#This Row],[Trenes Corridos]]</f>
        <v>1490.6685190498481</v>
      </c>
      <c r="AM62" s="16"/>
      <c r="AN62" s="16"/>
      <c r="AO62" s="16"/>
      <c r="AP62" s="16"/>
      <c r="AQ62" s="78">
        <v>1997</v>
      </c>
      <c r="AR62" s="79" t="s">
        <v>44</v>
      </c>
      <c r="AS62" s="15"/>
      <c r="AT62" s="15"/>
      <c r="AU62" s="15"/>
      <c r="AV62" s="15"/>
      <c r="AW62" s="15"/>
      <c r="AX62" s="16"/>
      <c r="AY62" s="16"/>
      <c r="AZ62" s="69">
        <f>(SUM(AZ$134:AZ$148)/15)/(SUM($J$134:$J$148)/15)*BS[[#This Row],[Trenes Corridos]]</f>
        <v>165.55881064918981</v>
      </c>
      <c r="BA62" s="16"/>
      <c r="BB62" s="16"/>
      <c r="BC62" s="16"/>
      <c r="BD62" s="16"/>
      <c r="BE62" s="78"/>
      <c r="BF62" s="79"/>
      <c r="BG62" s="15"/>
      <c r="BH62" s="15"/>
      <c r="BI62" s="15"/>
      <c r="BS62" s="78"/>
      <c r="BT62" s="79"/>
      <c r="BU62" s="15"/>
      <c r="BV62" s="15"/>
      <c r="BW62" s="15"/>
      <c r="CA62" s="45"/>
      <c r="CD62" s="45"/>
      <c r="CG62" s="78"/>
      <c r="CH62" s="79"/>
      <c r="CI62" s="15"/>
      <c r="CJ62" s="15"/>
      <c r="CK62" s="15"/>
      <c r="CO62" s="45"/>
      <c r="CR62" s="45"/>
    </row>
    <row r="63" spans="1:96" s="18" customFormat="1" ht="15" customHeight="1">
      <c r="A63" s="80">
        <v>1997</v>
      </c>
      <c r="B63" s="81" t="s">
        <v>45</v>
      </c>
      <c r="C63" s="15">
        <f t="shared" si="3"/>
        <v>0.99224806201550386</v>
      </c>
      <c r="D63" s="15">
        <f t="shared" si="4"/>
        <v>0.99497027892089618</v>
      </c>
      <c r="E63" s="15">
        <f t="shared" si="5"/>
        <v>0.99726402188782493</v>
      </c>
      <c r="F63" s="16">
        <f t="shared" si="0"/>
        <v>0</v>
      </c>
      <c r="G6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3" s="16">
        <v>4386</v>
      </c>
      <c r="I63" s="16">
        <f t="shared" si="12"/>
        <v>12</v>
      </c>
      <c r="J63" s="16">
        <v>4374</v>
      </c>
      <c r="K63" s="16">
        <v>4352</v>
      </c>
      <c r="L63" s="16">
        <f t="shared" si="13"/>
        <v>22</v>
      </c>
      <c r="M63" s="16"/>
      <c r="N63" s="16"/>
      <c r="O63" s="80">
        <v>1997</v>
      </c>
      <c r="P63" s="81" t="s">
        <v>45</v>
      </c>
      <c r="Q63" s="15"/>
      <c r="R63" s="15"/>
      <c r="S63" s="15"/>
      <c r="T63" s="16"/>
      <c r="U63" s="16"/>
      <c r="V63" s="16"/>
      <c r="W63" s="16"/>
      <c r="X63" s="69">
        <f>(SUM(X$134:X$148)/15)/(SUM($J$134:$J$148)/15)*BS[[#This Row],[Trenes Corridos]]</f>
        <v>2662.6042192053878</v>
      </c>
      <c r="Y63" s="16"/>
      <c r="Z63" s="16"/>
      <c r="AA63" s="16"/>
      <c r="AB63" s="16"/>
      <c r="AC63" s="80">
        <v>1997</v>
      </c>
      <c r="AD63" s="81" t="s">
        <v>45</v>
      </c>
      <c r="AE63" s="15"/>
      <c r="AF63" s="15"/>
      <c r="AG63" s="15"/>
      <c r="AH63" s="16"/>
      <c r="AI63" s="16"/>
      <c r="AJ63" s="16"/>
      <c r="AK63" s="16"/>
      <c r="AL63" s="69">
        <f>(SUM(AL$134:AL$148)/15)/(SUM($J$134:$J$148)/15)*BS[[#This Row],[Trenes Corridos]]</f>
        <v>1540.3222542697936</v>
      </c>
      <c r="AM63" s="16"/>
      <c r="AN63" s="16"/>
      <c r="AO63" s="16"/>
      <c r="AP63" s="16"/>
      <c r="AQ63" s="80">
        <v>1997</v>
      </c>
      <c r="AR63" s="81" t="s">
        <v>45</v>
      </c>
      <c r="AS63" s="15"/>
      <c r="AT63" s="15"/>
      <c r="AU63" s="15"/>
      <c r="AV63" s="15"/>
      <c r="AW63" s="15"/>
      <c r="AX63" s="16"/>
      <c r="AY63" s="16"/>
      <c r="AZ63" s="69">
        <f>(SUM(AZ$134:AZ$148)/15)/(SUM($J$134:$J$148)/15)*BS[[#This Row],[Trenes Corridos]]</f>
        <v>171.07352652481839</v>
      </c>
      <c r="BA63" s="16"/>
      <c r="BB63" s="16"/>
      <c r="BC63" s="16"/>
      <c r="BD63" s="16"/>
      <c r="BE63" s="80"/>
      <c r="BF63" s="81"/>
      <c r="BG63" s="15"/>
      <c r="BH63" s="15"/>
      <c r="BI63" s="15"/>
      <c r="BS63" s="80"/>
      <c r="BT63" s="81"/>
      <c r="BU63" s="15"/>
      <c r="BV63" s="15"/>
      <c r="BW63" s="15"/>
      <c r="CA63" s="45"/>
      <c r="CD63" s="45"/>
      <c r="CG63" s="80"/>
      <c r="CH63" s="81"/>
      <c r="CI63" s="15"/>
      <c r="CJ63" s="15"/>
      <c r="CK63" s="15"/>
      <c r="CO63" s="45"/>
      <c r="CR63" s="45"/>
    </row>
    <row r="64" spans="1:96" s="18" customFormat="1" ht="15" customHeight="1">
      <c r="A64" s="78">
        <v>1997</v>
      </c>
      <c r="B64" s="79" t="s">
        <v>46</v>
      </c>
      <c r="C64" s="15">
        <f t="shared" si="3"/>
        <v>0.99090303971599736</v>
      </c>
      <c r="D64" s="15">
        <f t="shared" si="4"/>
        <v>0.99376947040498442</v>
      </c>
      <c r="E64" s="15">
        <f t="shared" si="5"/>
        <v>0.99711559795873084</v>
      </c>
      <c r="F64" s="16">
        <f t="shared" si="0"/>
        <v>0</v>
      </c>
      <c r="G6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4" s="16">
        <v>4507</v>
      </c>
      <c r="I64" s="16">
        <f t="shared" si="12"/>
        <v>13</v>
      </c>
      <c r="J64" s="16">
        <v>4494</v>
      </c>
      <c r="K64" s="16">
        <v>4466</v>
      </c>
      <c r="L64" s="16">
        <f t="shared" si="13"/>
        <v>28</v>
      </c>
      <c r="M64" s="16"/>
      <c r="N64" s="16"/>
      <c r="O64" s="78">
        <v>1997</v>
      </c>
      <c r="P64" s="79" t="s">
        <v>46</v>
      </c>
      <c r="Q64" s="15"/>
      <c r="R64" s="15"/>
      <c r="S64" s="15"/>
      <c r="T64" s="16"/>
      <c r="U64" s="16"/>
      <c r="V64" s="16"/>
      <c r="W64" s="16"/>
      <c r="X64" s="69">
        <f>(SUM(X$134:X$148)/15)/(SUM($J$134:$J$148)/15)*BS[[#This Row],[Trenes Corridos]]</f>
        <v>2735.652345932559</v>
      </c>
      <c r="Y64" s="16"/>
      <c r="Z64" s="16"/>
      <c r="AA64" s="16"/>
      <c r="AB64" s="16"/>
      <c r="AC64" s="78">
        <v>1997</v>
      </c>
      <c r="AD64" s="79" t="s">
        <v>46</v>
      </c>
      <c r="AE64" s="15"/>
      <c r="AF64" s="15"/>
      <c r="AG64" s="15"/>
      <c r="AH64" s="16"/>
      <c r="AI64" s="16"/>
      <c r="AJ64" s="16"/>
      <c r="AK64" s="16"/>
      <c r="AL64" s="69">
        <f>(SUM(AL$134:AL$148)/15)/(SUM($J$134:$J$148)/15)*BS[[#This Row],[Trenes Corridos]]</f>
        <v>1582.5807523293215</v>
      </c>
      <c r="AM64" s="16"/>
      <c r="AN64" s="16"/>
      <c r="AO64" s="16"/>
      <c r="AP64" s="16"/>
      <c r="AQ64" s="78">
        <v>1997</v>
      </c>
      <c r="AR64" s="79" t="s">
        <v>46</v>
      </c>
      <c r="AS64" s="15"/>
      <c r="AT64" s="15"/>
      <c r="AU64" s="15"/>
      <c r="AV64" s="15"/>
      <c r="AW64" s="15"/>
      <c r="AX64" s="16"/>
      <c r="AY64" s="16"/>
      <c r="AZ64" s="69">
        <f>(SUM(AZ$134:AZ$148)/15)/(SUM($J$134:$J$148)/15)*BS[[#This Row],[Trenes Corridos]]</f>
        <v>175.76690173811932</v>
      </c>
      <c r="BA64" s="16"/>
      <c r="BB64" s="16"/>
      <c r="BC64" s="16"/>
      <c r="BD64" s="16"/>
      <c r="BE64" s="78"/>
      <c r="BF64" s="79"/>
      <c r="BG64" s="15"/>
      <c r="BH64" s="15"/>
      <c r="BI64" s="15"/>
      <c r="BS64" s="78"/>
      <c r="BT64" s="79"/>
      <c r="BU64" s="15"/>
      <c r="BV64" s="15"/>
      <c r="BW64" s="15"/>
      <c r="CA64" s="45"/>
      <c r="CD64" s="45"/>
      <c r="CG64" s="78"/>
      <c r="CH64" s="79"/>
      <c r="CI64" s="15"/>
      <c r="CJ64" s="15"/>
      <c r="CK64" s="15"/>
      <c r="CO64" s="45"/>
      <c r="CR64" s="45"/>
    </row>
    <row r="65" spans="1:96" s="18" customFormat="1" ht="15" customHeight="1">
      <c r="A65" s="80">
        <v>1997</v>
      </c>
      <c r="B65" s="81" t="s">
        <v>47</v>
      </c>
      <c r="C65" s="15">
        <f t="shared" si="3"/>
        <v>0.99454446262956897</v>
      </c>
      <c r="D65" s="15">
        <f t="shared" si="4"/>
        <v>0.99781061850027364</v>
      </c>
      <c r="E65" s="15">
        <f t="shared" si="5"/>
        <v>0.99672667757774136</v>
      </c>
      <c r="F65" s="16">
        <f t="shared" si="0"/>
        <v>0</v>
      </c>
      <c r="G6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5" s="16">
        <v>5499</v>
      </c>
      <c r="I65" s="16">
        <f t="shared" si="12"/>
        <v>18</v>
      </c>
      <c r="J65" s="16">
        <v>5481</v>
      </c>
      <c r="K65" s="16">
        <v>5469</v>
      </c>
      <c r="L65" s="16">
        <f t="shared" si="13"/>
        <v>12</v>
      </c>
      <c r="M65" s="16"/>
      <c r="N65" s="16"/>
      <c r="O65" s="80">
        <v>1997</v>
      </c>
      <c r="P65" s="81" t="s">
        <v>47</v>
      </c>
      <c r="Q65" s="15"/>
      <c r="R65" s="15"/>
      <c r="S65" s="15"/>
      <c r="T65" s="16"/>
      <c r="U65" s="16"/>
      <c r="V65" s="16"/>
      <c r="W65" s="16"/>
      <c r="X65" s="69">
        <f>(SUM(X$134:X$148)/15)/(SUM($J$134:$J$148)/15)*BS[[#This Row],[Trenes Corridos]]</f>
        <v>3336.4731882635415</v>
      </c>
      <c r="Y65" s="16"/>
      <c r="Z65" s="16"/>
      <c r="AA65" s="16"/>
      <c r="AB65" s="16"/>
      <c r="AC65" s="80">
        <v>1997</v>
      </c>
      <c r="AD65" s="81" t="s">
        <v>47</v>
      </c>
      <c r="AE65" s="15"/>
      <c r="AF65" s="15"/>
      <c r="AG65" s="15"/>
      <c r="AH65" s="16"/>
      <c r="AI65" s="16"/>
      <c r="AJ65" s="16"/>
      <c r="AK65" s="16"/>
      <c r="AL65" s="69">
        <f>(SUM(AL$134:AL$148)/15)/(SUM($J$134:$J$148)/15)*BS[[#This Row],[Trenes Corridos]]</f>
        <v>1930.1568988689387</v>
      </c>
      <c r="AM65" s="16"/>
      <c r="AN65" s="16"/>
      <c r="AO65" s="16"/>
      <c r="AP65" s="16"/>
      <c r="AQ65" s="80">
        <v>1997</v>
      </c>
      <c r="AR65" s="81" t="s">
        <v>47</v>
      </c>
      <c r="AS65" s="15"/>
      <c r="AT65" s="15"/>
      <c r="AU65" s="15"/>
      <c r="AV65" s="15"/>
      <c r="AW65" s="15"/>
      <c r="AX65" s="16"/>
      <c r="AY65" s="16"/>
      <c r="AZ65" s="69">
        <f>(SUM(AZ$134:AZ$148)/15)/(SUM($J$134:$J$148)/15)*BS[[#This Row],[Trenes Corridos]]</f>
        <v>214.36991286751936</v>
      </c>
      <c r="BA65" s="16"/>
      <c r="BB65" s="16"/>
      <c r="BC65" s="16"/>
      <c r="BD65" s="16"/>
      <c r="BE65" s="80"/>
      <c r="BF65" s="81"/>
      <c r="BG65" s="15"/>
      <c r="BH65" s="15"/>
      <c r="BI65" s="15"/>
      <c r="BS65" s="80"/>
      <c r="BT65" s="81"/>
      <c r="BU65" s="15"/>
      <c r="BV65" s="15"/>
      <c r="BW65" s="15"/>
      <c r="CA65" s="45"/>
      <c r="CD65" s="45"/>
      <c r="CG65" s="80"/>
      <c r="CH65" s="81"/>
      <c r="CI65" s="15"/>
      <c r="CJ65" s="15"/>
      <c r="CK65" s="15"/>
      <c r="CO65" s="45"/>
      <c r="CR65" s="45"/>
    </row>
    <row r="66" spans="1:96" s="18" customFormat="1" ht="15" customHeight="1">
      <c r="A66" s="78">
        <v>1998</v>
      </c>
      <c r="B66" s="79" t="s">
        <v>36</v>
      </c>
      <c r="C66" s="15">
        <f t="shared" si="3"/>
        <v>0.96135265700483097</v>
      </c>
      <c r="D66" s="15">
        <f t="shared" si="4"/>
        <v>0.99448561089091847</v>
      </c>
      <c r="E66" s="15">
        <f t="shared" si="5"/>
        <v>0.96668332500416454</v>
      </c>
      <c r="F66" s="16">
        <f t="shared" si="0"/>
        <v>0</v>
      </c>
      <c r="G6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6" s="16">
        <v>6003</v>
      </c>
      <c r="I66" s="16">
        <f t="shared" ref="I66:I77" si="14">H66-J66</f>
        <v>200</v>
      </c>
      <c r="J66" s="16">
        <v>5803</v>
      </c>
      <c r="K66" s="16">
        <v>5771</v>
      </c>
      <c r="L66" s="16">
        <f t="shared" ref="L66:L77" si="15">J66-K66</f>
        <v>32</v>
      </c>
      <c r="M66" s="16"/>
      <c r="N66" s="16"/>
      <c r="O66" s="78">
        <v>1998</v>
      </c>
      <c r="P66" s="79" t="s">
        <v>36</v>
      </c>
      <c r="Q66" s="15"/>
      <c r="R66" s="15"/>
      <c r="S66" s="15"/>
      <c r="T66" s="16"/>
      <c r="U66" s="16"/>
      <c r="V66" s="16"/>
      <c r="W66" s="16"/>
      <c r="X66" s="69">
        <f>(SUM(X$134:X$148)/15)/(SUM($J$134:$J$148)/15)*BS[[#This Row],[Trenes Corridos]]</f>
        <v>3532.4856616481175</v>
      </c>
      <c r="Y66" s="16"/>
      <c r="Z66" s="16"/>
      <c r="AA66" s="16"/>
      <c r="AB66" s="16"/>
      <c r="AC66" s="78">
        <v>1998</v>
      </c>
      <c r="AD66" s="79" t="s">
        <v>36</v>
      </c>
      <c r="AE66" s="15"/>
      <c r="AF66" s="15"/>
      <c r="AG66" s="15"/>
      <c r="AH66" s="16"/>
      <c r="AI66" s="16"/>
      <c r="AJ66" s="16"/>
      <c r="AK66" s="16"/>
      <c r="AL66" s="69">
        <f>(SUM(AL$134:AL$148)/15)/(SUM($J$134:$J$148)/15)*BS[[#This Row],[Trenes Corridos]]</f>
        <v>2043.5505353286721</v>
      </c>
      <c r="AM66" s="16"/>
      <c r="AN66" s="16"/>
      <c r="AO66" s="16"/>
      <c r="AP66" s="16"/>
      <c r="AQ66" s="78">
        <v>1998</v>
      </c>
      <c r="AR66" s="79" t="s">
        <v>36</v>
      </c>
      <c r="AS66" s="15"/>
      <c r="AT66" s="15"/>
      <c r="AU66" s="15"/>
      <c r="AV66" s="15"/>
      <c r="AW66" s="15"/>
      <c r="AX66" s="16"/>
      <c r="AY66" s="16"/>
      <c r="AZ66" s="69">
        <f>(SUM(AZ$134:AZ$148)/15)/(SUM($J$134:$J$148)/15)*BS[[#This Row],[Trenes Corridos]]</f>
        <v>226.96380302321015</v>
      </c>
      <c r="BA66" s="16"/>
      <c r="BB66" s="16"/>
      <c r="BC66" s="16"/>
      <c r="BD66" s="16"/>
      <c r="BE66" s="78"/>
      <c r="BF66" s="79"/>
      <c r="BG66" s="15"/>
      <c r="BH66" s="15"/>
      <c r="BI66" s="15"/>
      <c r="BS66" s="78"/>
      <c r="BT66" s="79"/>
      <c r="BU66" s="15"/>
      <c r="BV66" s="15"/>
      <c r="BW66" s="15"/>
      <c r="CA66" s="45"/>
      <c r="CD66" s="45"/>
      <c r="CG66" s="78"/>
      <c r="CH66" s="79"/>
      <c r="CI66" s="15"/>
      <c r="CJ66" s="15"/>
      <c r="CK66" s="15"/>
      <c r="CO66" s="45"/>
      <c r="CR66" s="45"/>
    </row>
    <row r="67" spans="1:96" s="18" customFormat="1" ht="15" customHeight="1">
      <c r="A67" s="80">
        <v>1998</v>
      </c>
      <c r="B67" s="81" t="s">
        <v>37</v>
      </c>
      <c r="C67" s="15">
        <f t="shared" si="3"/>
        <v>0.99707815924032139</v>
      </c>
      <c r="D67" s="15">
        <f t="shared" si="4"/>
        <v>0.99798939864741365</v>
      </c>
      <c r="E67" s="15">
        <f t="shared" si="5"/>
        <v>0.99908692476260041</v>
      </c>
      <c r="F67" s="16">
        <f t="shared" si="0"/>
        <v>0</v>
      </c>
      <c r="G6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7" s="16">
        <v>5476</v>
      </c>
      <c r="I67" s="16">
        <f t="shared" si="14"/>
        <v>5</v>
      </c>
      <c r="J67" s="16">
        <v>5471</v>
      </c>
      <c r="K67" s="16">
        <v>5460</v>
      </c>
      <c r="L67" s="16">
        <f t="shared" si="15"/>
        <v>11</v>
      </c>
      <c r="M67" s="16"/>
      <c r="N67" s="16"/>
      <c r="O67" s="80">
        <v>1998</v>
      </c>
      <c r="P67" s="81" t="s">
        <v>37</v>
      </c>
      <c r="Q67" s="15"/>
      <c r="R67" s="15"/>
      <c r="S67" s="15"/>
      <c r="T67" s="16"/>
      <c r="U67" s="16"/>
      <c r="V67" s="16"/>
      <c r="W67" s="16"/>
      <c r="X67" s="69">
        <f>(SUM(X$134:X$148)/15)/(SUM($J$134:$J$148)/15)*BS[[#This Row],[Trenes Corridos]]</f>
        <v>3330.3858443696104</v>
      </c>
      <c r="Y67" s="16"/>
      <c r="Z67" s="16"/>
      <c r="AA67" s="16"/>
      <c r="AB67" s="16"/>
      <c r="AC67" s="80">
        <v>1998</v>
      </c>
      <c r="AD67" s="81" t="s">
        <v>37</v>
      </c>
      <c r="AE67" s="15"/>
      <c r="AF67" s="15"/>
      <c r="AG67" s="15"/>
      <c r="AH67" s="16"/>
      <c r="AI67" s="16"/>
      <c r="AJ67" s="16"/>
      <c r="AK67" s="16"/>
      <c r="AL67" s="69">
        <f>(SUM(AL$134:AL$148)/15)/(SUM($J$134:$J$148)/15)*BS[[#This Row],[Trenes Corridos]]</f>
        <v>1926.6353573639781</v>
      </c>
      <c r="AM67" s="16"/>
      <c r="AN67" s="16"/>
      <c r="AO67" s="16"/>
      <c r="AP67" s="16"/>
      <c r="AQ67" s="80">
        <v>1998</v>
      </c>
      <c r="AR67" s="81" t="s">
        <v>37</v>
      </c>
      <c r="AS67" s="15"/>
      <c r="AT67" s="15"/>
      <c r="AU67" s="15"/>
      <c r="AV67" s="15"/>
      <c r="AW67" s="15"/>
      <c r="AX67" s="16"/>
      <c r="AY67" s="16"/>
      <c r="AZ67" s="69">
        <f>(SUM(AZ$134:AZ$148)/15)/(SUM($J$134:$J$148)/15)*BS[[#This Row],[Trenes Corridos]]</f>
        <v>213.97879826641093</v>
      </c>
      <c r="BA67" s="16"/>
      <c r="BB67" s="16"/>
      <c r="BC67" s="16"/>
      <c r="BD67" s="16"/>
      <c r="BE67" s="80"/>
      <c r="BF67" s="81"/>
      <c r="BG67" s="15"/>
      <c r="BH67" s="15"/>
      <c r="BI67" s="15"/>
      <c r="BS67" s="80"/>
      <c r="BT67" s="81"/>
      <c r="BU67" s="15"/>
      <c r="BV67" s="15"/>
      <c r="BW67" s="15"/>
      <c r="CA67" s="45"/>
      <c r="CD67" s="45"/>
      <c r="CG67" s="80"/>
      <c r="CH67" s="81"/>
      <c r="CI67" s="15"/>
      <c r="CJ67" s="15"/>
      <c r="CK67" s="15"/>
      <c r="CO67" s="45"/>
      <c r="CR67" s="45"/>
    </row>
    <row r="68" spans="1:96" s="18" customFormat="1" ht="15" customHeight="1">
      <c r="A68" s="78">
        <v>1998</v>
      </c>
      <c r="B68" s="79" t="s">
        <v>38</v>
      </c>
      <c r="C68" s="15">
        <f t="shared" si="3"/>
        <v>0.99303944315545245</v>
      </c>
      <c r="D68" s="15">
        <f t="shared" si="4"/>
        <v>0.99601063829787229</v>
      </c>
      <c r="E68" s="15">
        <f t="shared" si="5"/>
        <v>0.99701690420947964</v>
      </c>
      <c r="F68" s="16">
        <f t="shared" si="0"/>
        <v>0</v>
      </c>
      <c r="G6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8" s="16">
        <v>6034</v>
      </c>
      <c r="I68" s="16">
        <f t="shared" si="14"/>
        <v>18</v>
      </c>
      <c r="J68" s="16">
        <v>6016</v>
      </c>
      <c r="K68" s="16">
        <v>5992</v>
      </c>
      <c r="L68" s="16">
        <f t="shared" si="15"/>
        <v>24</v>
      </c>
      <c r="M68" s="16"/>
      <c r="N68" s="16"/>
      <c r="O68" s="78">
        <v>1998</v>
      </c>
      <c r="P68" s="79" t="s">
        <v>38</v>
      </c>
      <c r="Q68" s="15"/>
      <c r="R68" s="15"/>
      <c r="S68" s="15"/>
      <c r="T68" s="16"/>
      <c r="U68" s="16"/>
      <c r="V68" s="16"/>
      <c r="W68" s="16"/>
      <c r="X68" s="69">
        <f>(SUM(X$134:X$148)/15)/(SUM($J$134:$J$148)/15)*BS[[#This Row],[Trenes Corridos]]</f>
        <v>3662.1460865888462</v>
      </c>
      <c r="Y68" s="16"/>
      <c r="Z68" s="16"/>
      <c r="AA68" s="16"/>
      <c r="AB68" s="16"/>
      <c r="AC68" s="78">
        <v>1998</v>
      </c>
      <c r="AD68" s="79" t="s">
        <v>38</v>
      </c>
      <c r="AE68" s="15"/>
      <c r="AF68" s="15"/>
      <c r="AG68" s="15"/>
      <c r="AH68" s="16"/>
      <c r="AI68" s="16"/>
      <c r="AJ68" s="16"/>
      <c r="AK68" s="16"/>
      <c r="AL68" s="69">
        <f>(SUM(AL$134:AL$148)/15)/(SUM($J$134:$J$148)/15)*BS[[#This Row],[Trenes Corridos]]</f>
        <v>2118.5593693843343</v>
      </c>
      <c r="AM68" s="16"/>
      <c r="AN68" s="16"/>
      <c r="AO68" s="16"/>
      <c r="AP68" s="16"/>
      <c r="AQ68" s="78">
        <v>1998</v>
      </c>
      <c r="AR68" s="79" t="s">
        <v>38</v>
      </c>
      <c r="AS68" s="15"/>
      <c r="AT68" s="15"/>
      <c r="AU68" s="15"/>
      <c r="AV68" s="15"/>
      <c r="AW68" s="15"/>
      <c r="AX68" s="16"/>
      <c r="AY68" s="16"/>
      <c r="AZ68" s="69">
        <f>(SUM(AZ$134:AZ$148)/15)/(SUM($J$134:$J$148)/15)*BS[[#This Row],[Trenes Corridos]]</f>
        <v>235.29454402681927</v>
      </c>
      <c r="BA68" s="16"/>
      <c r="BB68" s="16"/>
      <c r="BC68" s="16"/>
      <c r="BD68" s="16"/>
      <c r="BE68" s="78"/>
      <c r="BF68" s="79"/>
      <c r="BG68" s="15"/>
      <c r="BH68" s="15"/>
      <c r="BI68" s="15"/>
      <c r="BS68" s="78"/>
      <c r="BT68" s="79"/>
      <c r="BU68" s="15"/>
      <c r="BV68" s="15"/>
      <c r="BW68" s="15"/>
      <c r="CA68" s="45"/>
      <c r="CD68" s="45"/>
      <c r="CG68" s="78"/>
      <c r="CH68" s="79"/>
      <c r="CI68" s="15"/>
      <c r="CJ68" s="15"/>
      <c r="CK68" s="15"/>
      <c r="CO68" s="45"/>
      <c r="CR68" s="45"/>
    </row>
    <row r="69" spans="1:96" s="18" customFormat="1" ht="15" customHeight="1">
      <c r="A69" s="80">
        <v>1998</v>
      </c>
      <c r="B69" s="81" t="s">
        <v>39</v>
      </c>
      <c r="C69" s="15">
        <f t="shared" si="3"/>
        <v>0.99227467811158798</v>
      </c>
      <c r="D69" s="15">
        <f t="shared" si="4"/>
        <v>0.99483648881239239</v>
      </c>
      <c r="E69" s="15">
        <f t="shared" si="5"/>
        <v>0.9974248927038627</v>
      </c>
      <c r="F69" s="16">
        <f t="shared" si="0"/>
        <v>0</v>
      </c>
      <c r="G6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9" s="16">
        <v>5825</v>
      </c>
      <c r="I69" s="16">
        <f t="shared" si="14"/>
        <v>15</v>
      </c>
      <c r="J69" s="16">
        <v>5810</v>
      </c>
      <c r="K69" s="16">
        <v>5780</v>
      </c>
      <c r="L69" s="16">
        <f t="shared" si="15"/>
        <v>30</v>
      </c>
      <c r="M69" s="16"/>
      <c r="N69" s="16"/>
      <c r="O69" s="80">
        <v>1998</v>
      </c>
      <c r="P69" s="81" t="s">
        <v>39</v>
      </c>
      <c r="Q69" s="15"/>
      <c r="R69" s="15"/>
      <c r="S69" s="15"/>
      <c r="T69" s="16"/>
      <c r="U69" s="16"/>
      <c r="V69" s="16"/>
      <c r="W69" s="16"/>
      <c r="X69" s="69">
        <f>(SUM(X$134:X$148)/15)/(SUM($J$134:$J$148)/15)*BS[[#This Row],[Trenes Corridos]]</f>
        <v>3536.7468023738688</v>
      </c>
      <c r="Y69" s="16"/>
      <c r="Z69" s="16"/>
      <c r="AA69" s="16"/>
      <c r="AB69" s="16"/>
      <c r="AC69" s="80">
        <v>1998</v>
      </c>
      <c r="AD69" s="81" t="s">
        <v>39</v>
      </c>
      <c r="AE69" s="15"/>
      <c r="AF69" s="15"/>
      <c r="AG69" s="15"/>
      <c r="AH69" s="16"/>
      <c r="AI69" s="16"/>
      <c r="AJ69" s="16"/>
      <c r="AK69" s="16"/>
      <c r="AL69" s="69">
        <f>(SUM(AL$134:AL$148)/15)/(SUM($J$134:$J$148)/15)*BS[[#This Row],[Trenes Corridos]]</f>
        <v>2046.0156143821446</v>
      </c>
      <c r="AM69" s="16"/>
      <c r="AN69" s="16"/>
      <c r="AO69" s="16"/>
      <c r="AP69" s="16"/>
      <c r="AQ69" s="80">
        <v>1998</v>
      </c>
      <c r="AR69" s="81" t="s">
        <v>39</v>
      </c>
      <c r="AS69" s="15"/>
      <c r="AT69" s="15"/>
      <c r="AU69" s="15"/>
      <c r="AV69" s="15"/>
      <c r="AW69" s="15"/>
      <c r="AX69" s="16"/>
      <c r="AY69" s="16"/>
      <c r="AZ69" s="69">
        <f>(SUM(AZ$134:AZ$148)/15)/(SUM($J$134:$J$148)/15)*BS[[#This Row],[Trenes Corridos]]</f>
        <v>227.23758324398602</v>
      </c>
      <c r="BA69" s="16"/>
      <c r="BB69" s="16"/>
      <c r="BC69" s="16"/>
      <c r="BD69" s="16"/>
      <c r="BE69" s="80"/>
      <c r="BF69" s="81"/>
      <c r="BG69" s="15"/>
      <c r="BH69" s="15"/>
      <c r="BI69" s="15"/>
      <c r="BS69" s="80"/>
      <c r="BT69" s="81"/>
      <c r="BU69" s="15"/>
      <c r="BV69" s="15"/>
      <c r="BW69" s="15"/>
      <c r="CA69" s="45"/>
      <c r="CD69" s="45"/>
      <c r="CG69" s="80"/>
      <c r="CH69" s="81"/>
      <c r="CI69" s="15"/>
      <c r="CJ69" s="15"/>
      <c r="CK69" s="15"/>
      <c r="CO69" s="45"/>
      <c r="CR69" s="45"/>
    </row>
    <row r="70" spans="1:96" s="18" customFormat="1" ht="15" customHeight="1">
      <c r="A70" s="78">
        <v>1998</v>
      </c>
      <c r="B70" s="79" t="s">
        <v>40</v>
      </c>
      <c r="C70" s="15">
        <f t="shared" si="3"/>
        <v>0.99132505528151049</v>
      </c>
      <c r="D70" s="15">
        <f t="shared" si="4"/>
        <v>0.9952185792349727</v>
      </c>
      <c r="E70" s="15">
        <f t="shared" si="5"/>
        <v>0.99608777002891646</v>
      </c>
      <c r="F70" s="16">
        <f t="shared" ref="F70:F133" si="16">+T70+AH70+AV70+BJ70+BX70</f>
        <v>0</v>
      </c>
      <c r="G7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0" s="16">
        <v>5879</v>
      </c>
      <c r="I70" s="16">
        <f t="shared" si="14"/>
        <v>23</v>
      </c>
      <c r="J70" s="16">
        <v>5856</v>
      </c>
      <c r="K70" s="16">
        <v>5828</v>
      </c>
      <c r="L70" s="16">
        <f t="shared" si="15"/>
        <v>28</v>
      </c>
      <c r="M70" s="16"/>
      <c r="N70" s="16"/>
      <c r="O70" s="78">
        <v>1998</v>
      </c>
      <c r="P70" s="79" t="s">
        <v>40</v>
      </c>
      <c r="Q70" s="15"/>
      <c r="R70" s="15"/>
      <c r="S70" s="15"/>
      <c r="T70" s="16"/>
      <c r="U70" s="16"/>
      <c r="V70" s="16"/>
      <c r="W70" s="16"/>
      <c r="X70" s="69">
        <f>(SUM(X$134:X$148)/15)/(SUM($J$134:$J$148)/15)*BS[[#This Row],[Trenes Corridos]]</f>
        <v>3564.7485842859514</v>
      </c>
      <c r="Y70" s="16"/>
      <c r="Z70" s="16"/>
      <c r="AA70" s="16"/>
      <c r="AB70" s="16"/>
      <c r="AC70" s="78">
        <v>1998</v>
      </c>
      <c r="AD70" s="79" t="s">
        <v>40</v>
      </c>
      <c r="AE70" s="15"/>
      <c r="AF70" s="15"/>
      <c r="AG70" s="15"/>
      <c r="AH70" s="16"/>
      <c r="AI70" s="16"/>
      <c r="AJ70" s="16"/>
      <c r="AK70" s="16"/>
      <c r="AL70" s="69">
        <f>(SUM(AL$134:AL$148)/15)/(SUM($J$134:$J$148)/15)*BS[[#This Row],[Trenes Corridos]]</f>
        <v>2062.2147053049634</v>
      </c>
      <c r="AM70" s="16"/>
      <c r="AN70" s="16"/>
      <c r="AO70" s="16"/>
      <c r="AP70" s="16"/>
      <c r="AQ70" s="78">
        <v>1998</v>
      </c>
      <c r="AR70" s="79" t="s">
        <v>40</v>
      </c>
      <c r="AS70" s="15"/>
      <c r="AT70" s="15"/>
      <c r="AU70" s="15"/>
      <c r="AV70" s="15"/>
      <c r="AW70" s="15"/>
      <c r="AX70" s="16"/>
      <c r="AY70" s="16"/>
      <c r="AZ70" s="69">
        <f>(SUM(AZ$134:AZ$148)/15)/(SUM($J$134:$J$148)/15)*BS[[#This Row],[Trenes Corridos]]</f>
        <v>229.03671040908472</v>
      </c>
      <c r="BA70" s="16"/>
      <c r="BB70" s="16"/>
      <c r="BC70" s="16"/>
      <c r="BD70" s="16"/>
      <c r="BE70" s="78"/>
      <c r="BF70" s="79"/>
      <c r="BG70" s="15"/>
      <c r="BH70" s="15"/>
      <c r="BI70" s="15"/>
      <c r="BS70" s="78"/>
      <c r="BT70" s="79"/>
      <c r="BU70" s="15"/>
      <c r="BV70" s="15"/>
      <c r="BW70" s="15"/>
      <c r="CA70" s="45"/>
      <c r="CD70" s="45"/>
      <c r="CG70" s="78"/>
      <c r="CH70" s="79"/>
      <c r="CI70" s="15"/>
      <c r="CJ70" s="15"/>
      <c r="CK70" s="15"/>
      <c r="CO70" s="45"/>
      <c r="CR70" s="45"/>
    </row>
    <row r="71" spans="1:96" s="18" customFormat="1" ht="15" customHeight="1">
      <c r="A71" s="80">
        <v>1998</v>
      </c>
      <c r="B71" s="81" t="s">
        <v>41</v>
      </c>
      <c r="C71" s="15">
        <f t="shared" ref="C71:C134" si="17">K71/H71</f>
        <v>0.98951529735304233</v>
      </c>
      <c r="D71" s="15">
        <f t="shared" ref="D71:D134" si="18">K71/J71</f>
        <v>0.99241510084468199</v>
      </c>
      <c r="E71" s="15">
        <f t="shared" ref="E71:E134" si="19">J71/H71</f>
        <v>0.99707803368855275</v>
      </c>
      <c r="F71" s="16">
        <f t="shared" si="16"/>
        <v>0</v>
      </c>
      <c r="G7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1" s="16">
        <v>5818</v>
      </c>
      <c r="I71" s="16">
        <f t="shared" si="14"/>
        <v>17</v>
      </c>
      <c r="J71" s="16">
        <v>5801</v>
      </c>
      <c r="K71" s="16">
        <v>5757</v>
      </c>
      <c r="L71" s="16">
        <f t="shared" si="15"/>
        <v>44</v>
      </c>
      <c r="M71" s="16"/>
      <c r="N71" s="16"/>
      <c r="O71" s="80">
        <v>1998</v>
      </c>
      <c r="P71" s="81" t="s">
        <v>41</v>
      </c>
      <c r="Q71" s="15"/>
      <c r="R71" s="15"/>
      <c r="S71" s="15"/>
      <c r="T71" s="16"/>
      <c r="U71" s="16"/>
      <c r="V71" s="16"/>
      <c r="W71" s="16"/>
      <c r="X71" s="69">
        <f>(SUM(X$134:X$148)/15)/(SUM($J$134:$J$148)/15)*BS[[#This Row],[Trenes Corridos]]</f>
        <v>3531.268192869331</v>
      </c>
      <c r="Y71" s="16"/>
      <c r="Z71" s="16"/>
      <c r="AA71" s="16"/>
      <c r="AB71" s="16"/>
      <c r="AC71" s="80">
        <v>1998</v>
      </c>
      <c r="AD71" s="81" t="s">
        <v>41</v>
      </c>
      <c r="AE71" s="15"/>
      <c r="AF71" s="15"/>
      <c r="AG71" s="15"/>
      <c r="AH71" s="16"/>
      <c r="AI71" s="16"/>
      <c r="AJ71" s="16"/>
      <c r="AK71" s="16"/>
      <c r="AL71" s="69">
        <f>(SUM(AL$134:AL$148)/15)/(SUM($J$134:$J$148)/15)*BS[[#This Row],[Trenes Corridos]]</f>
        <v>2042.84622702768</v>
      </c>
      <c r="AM71" s="16"/>
      <c r="AN71" s="16"/>
      <c r="AO71" s="16"/>
      <c r="AP71" s="16"/>
      <c r="AQ71" s="80">
        <v>1998</v>
      </c>
      <c r="AR71" s="81" t="s">
        <v>41</v>
      </c>
      <c r="AS71" s="15"/>
      <c r="AT71" s="15"/>
      <c r="AU71" s="15"/>
      <c r="AV71" s="15"/>
      <c r="AW71" s="15"/>
      <c r="AX71" s="16"/>
      <c r="AY71" s="16"/>
      <c r="AZ71" s="69">
        <f>(SUM(AZ$134:AZ$148)/15)/(SUM($J$134:$J$148)/15)*BS[[#This Row],[Trenes Corridos]]</f>
        <v>226.88558010298846</v>
      </c>
      <c r="BA71" s="16"/>
      <c r="BB71" s="16"/>
      <c r="BC71" s="16"/>
      <c r="BD71" s="16"/>
      <c r="BE71" s="80"/>
      <c r="BF71" s="81"/>
      <c r="BG71" s="15"/>
      <c r="BH71" s="15"/>
      <c r="BI71" s="15"/>
      <c r="BS71" s="80"/>
      <c r="BT71" s="81"/>
      <c r="BU71" s="15"/>
      <c r="BV71" s="15"/>
      <c r="BW71" s="15"/>
      <c r="CA71" s="45"/>
      <c r="CD71" s="45"/>
      <c r="CG71" s="80"/>
      <c r="CH71" s="81"/>
      <c r="CI71" s="15"/>
      <c r="CJ71" s="15"/>
      <c r="CK71" s="15"/>
      <c r="CO71" s="45"/>
      <c r="CR71" s="45"/>
    </row>
    <row r="72" spans="1:96" s="18" customFormat="1" ht="15" customHeight="1">
      <c r="A72" s="78">
        <v>1998</v>
      </c>
      <c r="B72" s="79" t="s">
        <v>42</v>
      </c>
      <c r="C72" s="15">
        <f t="shared" si="17"/>
        <v>0.99096583442838371</v>
      </c>
      <c r="D72" s="15">
        <f t="shared" si="18"/>
        <v>0.99390444810543654</v>
      </c>
      <c r="E72" s="15">
        <f t="shared" si="19"/>
        <v>0.9970433639947438</v>
      </c>
      <c r="F72" s="16">
        <f t="shared" si="16"/>
        <v>0</v>
      </c>
      <c r="G7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2" s="16">
        <v>6088</v>
      </c>
      <c r="I72" s="16">
        <f t="shared" si="14"/>
        <v>18</v>
      </c>
      <c r="J72" s="16">
        <v>6070</v>
      </c>
      <c r="K72" s="16">
        <v>6033</v>
      </c>
      <c r="L72" s="16">
        <f t="shared" si="15"/>
        <v>37</v>
      </c>
      <c r="M72" s="16"/>
      <c r="N72" s="16"/>
      <c r="O72" s="78">
        <v>1998</v>
      </c>
      <c r="P72" s="79" t="s">
        <v>42</v>
      </c>
      <c r="Q72" s="15"/>
      <c r="R72" s="15"/>
      <c r="S72" s="15"/>
      <c r="T72" s="16"/>
      <c r="U72" s="16"/>
      <c r="V72" s="16"/>
      <c r="W72" s="16"/>
      <c r="X72" s="69">
        <f>(SUM(X$134:X$148)/15)/(SUM($J$134:$J$148)/15)*BS[[#This Row],[Trenes Corridos]]</f>
        <v>3695.0177436160729</v>
      </c>
      <c r="Y72" s="16"/>
      <c r="Z72" s="16"/>
      <c r="AA72" s="16"/>
      <c r="AB72" s="16"/>
      <c r="AC72" s="78">
        <v>1998</v>
      </c>
      <c r="AD72" s="79" t="s">
        <v>42</v>
      </c>
      <c r="AE72" s="15"/>
      <c r="AF72" s="15"/>
      <c r="AG72" s="15"/>
      <c r="AH72" s="16"/>
      <c r="AI72" s="16"/>
      <c r="AJ72" s="16"/>
      <c r="AK72" s="16"/>
      <c r="AL72" s="69">
        <f>(SUM(AL$134:AL$148)/15)/(SUM($J$134:$J$148)/15)*BS[[#This Row],[Trenes Corridos]]</f>
        <v>2137.5756935111217</v>
      </c>
      <c r="AM72" s="16"/>
      <c r="AN72" s="16"/>
      <c r="AO72" s="16"/>
      <c r="AP72" s="16"/>
      <c r="AQ72" s="78">
        <v>1998</v>
      </c>
      <c r="AR72" s="79" t="s">
        <v>42</v>
      </c>
      <c r="AS72" s="15"/>
      <c r="AT72" s="15"/>
      <c r="AU72" s="15"/>
      <c r="AV72" s="15"/>
      <c r="AW72" s="15"/>
      <c r="AX72" s="16"/>
      <c r="AY72" s="16"/>
      <c r="AZ72" s="69">
        <f>(SUM(AZ$134:AZ$148)/15)/(SUM($J$134:$J$148)/15)*BS[[#This Row],[Trenes Corridos]]</f>
        <v>237.40656287280467</v>
      </c>
      <c r="BA72" s="16"/>
      <c r="BB72" s="16"/>
      <c r="BC72" s="16"/>
      <c r="BD72" s="16"/>
      <c r="BE72" s="78"/>
      <c r="BF72" s="79"/>
      <c r="BG72" s="15"/>
      <c r="BH72" s="15"/>
      <c r="BI72" s="15"/>
      <c r="BS72" s="78"/>
      <c r="BT72" s="79"/>
      <c r="BU72" s="15"/>
      <c r="BV72" s="15"/>
      <c r="BW72" s="15"/>
      <c r="CA72" s="45"/>
      <c r="CD72" s="45"/>
      <c r="CG72" s="78"/>
      <c r="CH72" s="79"/>
      <c r="CI72" s="15"/>
      <c r="CJ72" s="15"/>
      <c r="CK72" s="15"/>
      <c r="CO72" s="45"/>
      <c r="CR72" s="45"/>
    </row>
    <row r="73" spans="1:96" s="18" customFormat="1" ht="15" customHeight="1">
      <c r="A73" s="80">
        <v>1998</v>
      </c>
      <c r="B73" s="81" t="s">
        <v>43</v>
      </c>
      <c r="C73" s="15">
        <f t="shared" si="17"/>
        <v>0.9926666666666667</v>
      </c>
      <c r="D73" s="15">
        <f t="shared" si="18"/>
        <v>0.99432387312186976</v>
      </c>
      <c r="E73" s="15">
        <f t="shared" si="19"/>
        <v>0.99833333333333329</v>
      </c>
      <c r="F73" s="16">
        <f t="shared" si="16"/>
        <v>0</v>
      </c>
      <c r="G7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3" s="16">
        <v>6000</v>
      </c>
      <c r="I73" s="16">
        <f t="shared" si="14"/>
        <v>10</v>
      </c>
      <c r="J73" s="16">
        <v>5990</v>
      </c>
      <c r="K73" s="16">
        <v>5956</v>
      </c>
      <c r="L73" s="16">
        <f t="shared" si="15"/>
        <v>34</v>
      </c>
      <c r="M73" s="16"/>
      <c r="N73" s="16"/>
      <c r="O73" s="80">
        <v>1998</v>
      </c>
      <c r="P73" s="81" t="s">
        <v>43</v>
      </c>
      <c r="Q73" s="15"/>
      <c r="R73" s="15"/>
      <c r="S73" s="15"/>
      <c r="T73" s="16"/>
      <c r="U73" s="16"/>
      <c r="V73" s="16"/>
      <c r="W73" s="16"/>
      <c r="X73" s="69">
        <f>(SUM(X$134:X$148)/15)/(SUM($J$134:$J$148)/15)*BS[[#This Row],[Trenes Corridos]]</f>
        <v>3646.3189924646258</v>
      </c>
      <c r="Y73" s="16"/>
      <c r="Z73" s="16"/>
      <c r="AA73" s="16"/>
      <c r="AB73" s="16"/>
      <c r="AC73" s="80">
        <v>1998</v>
      </c>
      <c r="AD73" s="81" t="s">
        <v>43</v>
      </c>
      <c r="AE73" s="15"/>
      <c r="AF73" s="15"/>
      <c r="AG73" s="15"/>
      <c r="AH73" s="16"/>
      <c r="AI73" s="16"/>
      <c r="AJ73" s="16"/>
      <c r="AK73" s="16"/>
      <c r="AL73" s="69">
        <f>(SUM(AL$134:AL$148)/15)/(SUM($J$134:$J$148)/15)*BS[[#This Row],[Trenes Corridos]]</f>
        <v>2109.4033614714363</v>
      </c>
      <c r="AM73" s="16"/>
      <c r="AN73" s="16"/>
      <c r="AO73" s="16"/>
      <c r="AP73" s="16"/>
      <c r="AQ73" s="80">
        <v>1998</v>
      </c>
      <c r="AR73" s="81" t="s">
        <v>43</v>
      </c>
      <c r="AS73" s="15"/>
      <c r="AT73" s="15"/>
      <c r="AU73" s="15"/>
      <c r="AV73" s="15"/>
      <c r="AW73" s="15"/>
      <c r="AX73" s="16"/>
      <c r="AY73" s="16"/>
      <c r="AZ73" s="69">
        <f>(SUM(AZ$134:AZ$148)/15)/(SUM($J$134:$J$148)/15)*BS[[#This Row],[Trenes Corridos]]</f>
        <v>234.2776460639374</v>
      </c>
      <c r="BA73" s="16"/>
      <c r="BB73" s="16"/>
      <c r="BC73" s="16"/>
      <c r="BD73" s="16"/>
      <c r="BE73" s="80"/>
      <c r="BF73" s="81"/>
      <c r="BG73" s="15"/>
      <c r="BH73" s="15"/>
      <c r="BI73" s="15"/>
      <c r="BS73" s="80"/>
      <c r="BT73" s="81"/>
      <c r="BU73" s="15"/>
      <c r="BV73" s="15"/>
      <c r="BW73" s="15"/>
      <c r="CA73" s="45"/>
      <c r="CD73" s="45"/>
      <c r="CG73" s="80"/>
      <c r="CH73" s="81"/>
      <c r="CI73" s="15"/>
      <c r="CJ73" s="15"/>
      <c r="CK73" s="15"/>
      <c r="CO73" s="45"/>
      <c r="CR73" s="45"/>
    </row>
    <row r="74" spans="1:96" s="18" customFormat="1" ht="15" customHeight="1">
      <c r="A74" s="78">
        <v>1998</v>
      </c>
      <c r="B74" s="79" t="s">
        <v>44</v>
      </c>
      <c r="C74" s="15">
        <f t="shared" si="17"/>
        <v>0.99195979899497488</v>
      </c>
      <c r="D74" s="15">
        <f t="shared" si="18"/>
        <v>0.99295774647887325</v>
      </c>
      <c r="E74" s="15">
        <f t="shared" si="19"/>
        <v>0.99899497487437183</v>
      </c>
      <c r="F74" s="16">
        <f t="shared" si="16"/>
        <v>0</v>
      </c>
      <c r="G7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4" s="16">
        <v>5970</v>
      </c>
      <c r="I74" s="16">
        <f t="shared" si="14"/>
        <v>6</v>
      </c>
      <c r="J74" s="16">
        <v>5964</v>
      </c>
      <c r="K74" s="16">
        <v>5922</v>
      </c>
      <c r="L74" s="16">
        <f t="shared" si="15"/>
        <v>42</v>
      </c>
      <c r="M74" s="16"/>
      <c r="N74" s="16"/>
      <c r="O74" s="78">
        <v>1998</v>
      </c>
      <c r="P74" s="79" t="s">
        <v>44</v>
      </c>
      <c r="Q74" s="15"/>
      <c r="R74" s="15"/>
      <c r="S74" s="15"/>
      <c r="T74" s="16"/>
      <c r="U74" s="16"/>
      <c r="V74" s="16"/>
      <c r="W74" s="16"/>
      <c r="X74" s="69">
        <f>(SUM(X$134:X$148)/15)/(SUM($J$134:$J$148)/15)*BS[[#This Row],[Trenes Corridos]]</f>
        <v>3630.4918983404054</v>
      </c>
      <c r="Y74" s="16"/>
      <c r="Z74" s="16"/>
      <c r="AA74" s="16"/>
      <c r="AB74" s="16"/>
      <c r="AC74" s="78">
        <v>1998</v>
      </c>
      <c r="AD74" s="79" t="s">
        <v>44</v>
      </c>
      <c r="AE74" s="15"/>
      <c r="AF74" s="15"/>
      <c r="AG74" s="15"/>
      <c r="AH74" s="16"/>
      <c r="AI74" s="16"/>
      <c r="AJ74" s="16"/>
      <c r="AK74" s="16"/>
      <c r="AL74" s="69">
        <f>(SUM(AL$134:AL$148)/15)/(SUM($J$134:$J$148)/15)*BS[[#This Row],[Trenes Corridos]]</f>
        <v>2100.2473535585386</v>
      </c>
      <c r="AM74" s="16"/>
      <c r="AN74" s="16"/>
      <c r="AO74" s="16"/>
      <c r="AP74" s="16"/>
      <c r="AQ74" s="78">
        <v>1998</v>
      </c>
      <c r="AR74" s="79" t="s">
        <v>44</v>
      </c>
      <c r="AS74" s="15"/>
      <c r="AT74" s="15"/>
      <c r="AU74" s="15"/>
      <c r="AV74" s="15"/>
      <c r="AW74" s="15"/>
      <c r="AX74" s="16"/>
      <c r="AY74" s="16"/>
      <c r="AZ74" s="69">
        <f>(SUM(AZ$134:AZ$148)/15)/(SUM($J$134:$J$148)/15)*BS[[#This Row],[Trenes Corridos]]</f>
        <v>233.26074810105553</v>
      </c>
      <c r="BA74" s="16"/>
      <c r="BB74" s="16"/>
      <c r="BC74" s="16"/>
      <c r="BD74" s="16"/>
      <c r="BE74" s="78"/>
      <c r="BF74" s="79"/>
      <c r="BG74" s="15"/>
      <c r="BH74" s="15"/>
      <c r="BI74" s="15"/>
      <c r="BS74" s="78"/>
      <c r="BT74" s="79"/>
      <c r="BU74" s="15"/>
      <c r="BV74" s="15"/>
      <c r="BW74" s="15"/>
      <c r="CA74" s="45"/>
      <c r="CD74" s="45"/>
      <c r="CG74" s="78"/>
      <c r="CH74" s="79"/>
      <c r="CI74" s="15"/>
      <c r="CJ74" s="15"/>
      <c r="CK74" s="15"/>
      <c r="CO74" s="45"/>
      <c r="CR74" s="45"/>
    </row>
    <row r="75" spans="1:96" s="18" customFormat="1" ht="15" customHeight="1">
      <c r="A75" s="80">
        <v>1998</v>
      </c>
      <c r="B75" s="81" t="s">
        <v>45</v>
      </c>
      <c r="C75" s="15">
        <f t="shared" si="17"/>
        <v>0.99422156182928845</v>
      </c>
      <c r="D75" s="15">
        <f t="shared" si="18"/>
        <v>0.99603043334435992</v>
      </c>
      <c r="E75" s="15">
        <f t="shared" si="19"/>
        <v>0.99818391943206208</v>
      </c>
      <c r="F75" s="16">
        <f t="shared" si="16"/>
        <v>0</v>
      </c>
      <c r="G7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5" s="16">
        <v>6057</v>
      </c>
      <c r="I75" s="16">
        <f t="shared" si="14"/>
        <v>11</v>
      </c>
      <c r="J75" s="16">
        <v>6046</v>
      </c>
      <c r="K75" s="16">
        <v>6022</v>
      </c>
      <c r="L75" s="16">
        <f t="shared" si="15"/>
        <v>24</v>
      </c>
      <c r="M75" s="16"/>
      <c r="N75" s="16"/>
      <c r="O75" s="80">
        <v>1998</v>
      </c>
      <c r="P75" s="81" t="s">
        <v>45</v>
      </c>
      <c r="Q75" s="15"/>
      <c r="R75" s="15"/>
      <c r="S75" s="15"/>
      <c r="T75" s="16"/>
      <c r="U75" s="16"/>
      <c r="V75" s="16"/>
      <c r="W75" s="16"/>
      <c r="X75" s="69">
        <f>(SUM(X$134:X$148)/15)/(SUM($J$134:$J$148)/15)*BS[[#This Row],[Trenes Corridos]]</f>
        <v>3680.4081182706391</v>
      </c>
      <c r="Y75" s="16"/>
      <c r="Z75" s="16"/>
      <c r="AA75" s="16"/>
      <c r="AB75" s="16"/>
      <c r="AC75" s="80">
        <v>1998</v>
      </c>
      <c r="AD75" s="81" t="s">
        <v>45</v>
      </c>
      <c r="AE75" s="15"/>
      <c r="AF75" s="15"/>
      <c r="AG75" s="15"/>
      <c r="AH75" s="16"/>
      <c r="AI75" s="16"/>
      <c r="AJ75" s="16"/>
      <c r="AK75" s="16"/>
      <c r="AL75" s="69">
        <f>(SUM(AL$134:AL$148)/15)/(SUM($J$134:$J$148)/15)*BS[[#This Row],[Trenes Corridos]]</f>
        <v>2129.1239938992162</v>
      </c>
      <c r="AM75" s="16"/>
      <c r="AN75" s="16"/>
      <c r="AO75" s="16"/>
      <c r="AP75" s="16"/>
      <c r="AQ75" s="80">
        <v>1998</v>
      </c>
      <c r="AR75" s="81" t="s">
        <v>45</v>
      </c>
      <c r="AS75" s="15"/>
      <c r="AT75" s="15"/>
      <c r="AU75" s="15"/>
      <c r="AV75" s="15"/>
      <c r="AW75" s="15"/>
      <c r="AX75" s="16"/>
      <c r="AY75" s="16"/>
      <c r="AZ75" s="69">
        <f>(SUM(AZ$134:AZ$148)/15)/(SUM($J$134:$J$148)/15)*BS[[#This Row],[Trenes Corridos]]</f>
        <v>236.46788783014449</v>
      </c>
      <c r="BA75" s="16"/>
      <c r="BB75" s="16"/>
      <c r="BC75" s="16"/>
      <c r="BD75" s="16"/>
      <c r="BE75" s="80"/>
      <c r="BF75" s="81"/>
      <c r="BG75" s="15"/>
      <c r="BH75" s="15"/>
      <c r="BI75" s="15"/>
      <c r="BS75" s="80"/>
      <c r="BT75" s="81"/>
      <c r="BU75" s="15"/>
      <c r="BV75" s="15"/>
      <c r="BW75" s="15"/>
      <c r="CA75" s="45"/>
      <c r="CD75" s="45"/>
      <c r="CG75" s="80"/>
      <c r="CH75" s="81"/>
      <c r="CI75" s="15"/>
      <c r="CJ75" s="15"/>
      <c r="CK75" s="15"/>
      <c r="CO75" s="45"/>
      <c r="CR75" s="45"/>
    </row>
    <row r="76" spans="1:96" s="18" customFormat="1" ht="15" customHeight="1">
      <c r="A76" s="78">
        <v>1998</v>
      </c>
      <c r="B76" s="79" t="s">
        <v>46</v>
      </c>
      <c r="C76" s="15">
        <f t="shared" si="17"/>
        <v>0.9947395214661463</v>
      </c>
      <c r="D76" s="15">
        <f t="shared" si="18"/>
        <v>0.9971083517605035</v>
      </c>
      <c r="E76" s="15">
        <f t="shared" si="19"/>
        <v>0.99762430001696933</v>
      </c>
      <c r="F76" s="16">
        <f t="shared" si="16"/>
        <v>0</v>
      </c>
      <c r="G7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6" s="16">
        <v>5893</v>
      </c>
      <c r="I76" s="16">
        <f t="shared" si="14"/>
        <v>14</v>
      </c>
      <c r="J76" s="16">
        <v>5879</v>
      </c>
      <c r="K76" s="16">
        <v>5862</v>
      </c>
      <c r="L76" s="16">
        <f t="shared" si="15"/>
        <v>17</v>
      </c>
      <c r="M76" s="16"/>
      <c r="N76" s="16"/>
      <c r="O76" s="78">
        <v>1998</v>
      </c>
      <c r="P76" s="79" t="s">
        <v>46</v>
      </c>
      <c r="Q76" s="15"/>
      <c r="R76" s="15"/>
      <c r="S76" s="15"/>
      <c r="T76" s="16"/>
      <c r="U76" s="16"/>
      <c r="V76" s="16"/>
      <c r="W76" s="16"/>
      <c r="X76" s="69">
        <f>(SUM(X$134:X$148)/15)/(SUM($J$134:$J$148)/15)*BS[[#This Row],[Trenes Corridos]]</f>
        <v>3578.7494752419925</v>
      </c>
      <c r="Y76" s="16"/>
      <c r="Z76" s="16"/>
      <c r="AA76" s="16"/>
      <c r="AB76" s="16"/>
      <c r="AC76" s="78">
        <v>1998</v>
      </c>
      <c r="AD76" s="79" t="s">
        <v>46</v>
      </c>
      <c r="AE76" s="15"/>
      <c r="AF76" s="15"/>
      <c r="AG76" s="15"/>
      <c r="AH76" s="16"/>
      <c r="AI76" s="16"/>
      <c r="AJ76" s="16"/>
      <c r="AK76" s="16"/>
      <c r="AL76" s="69">
        <f>(SUM(AL$134:AL$148)/15)/(SUM($J$134:$J$148)/15)*BS[[#This Row],[Trenes Corridos]]</f>
        <v>2070.3142507663733</v>
      </c>
      <c r="AM76" s="16"/>
      <c r="AN76" s="16"/>
      <c r="AO76" s="16"/>
      <c r="AP76" s="16"/>
      <c r="AQ76" s="78">
        <v>1998</v>
      </c>
      <c r="AR76" s="79" t="s">
        <v>46</v>
      </c>
      <c r="AS76" s="15"/>
      <c r="AT76" s="15"/>
      <c r="AU76" s="15"/>
      <c r="AV76" s="15"/>
      <c r="AW76" s="15"/>
      <c r="AX76" s="16"/>
      <c r="AY76" s="16"/>
      <c r="AZ76" s="69">
        <f>(SUM(AZ$134:AZ$148)/15)/(SUM($J$134:$J$148)/15)*BS[[#This Row],[Trenes Corridos]]</f>
        <v>229.93627399163407</v>
      </c>
      <c r="BA76" s="16"/>
      <c r="BB76" s="16"/>
      <c r="BC76" s="16"/>
      <c r="BD76" s="16"/>
      <c r="BE76" s="78"/>
      <c r="BF76" s="79"/>
      <c r="BG76" s="15"/>
      <c r="BH76" s="15"/>
      <c r="BI76" s="15"/>
      <c r="BS76" s="78"/>
      <c r="BT76" s="79"/>
      <c r="BU76" s="15"/>
      <c r="BV76" s="15"/>
      <c r="BW76" s="15"/>
      <c r="CA76" s="45"/>
      <c r="CD76" s="45"/>
      <c r="CG76" s="78"/>
      <c r="CH76" s="79"/>
      <c r="CI76" s="15"/>
      <c r="CJ76" s="15"/>
      <c r="CK76" s="15"/>
      <c r="CO76" s="45"/>
      <c r="CR76" s="45"/>
    </row>
    <row r="77" spans="1:96" s="18" customFormat="1" ht="15" customHeight="1">
      <c r="A77" s="80">
        <v>1998</v>
      </c>
      <c r="B77" s="81" t="s">
        <v>47</v>
      </c>
      <c r="C77" s="15">
        <f t="shared" si="17"/>
        <v>0.95027349577324716</v>
      </c>
      <c r="D77" s="15">
        <f t="shared" si="18"/>
        <v>0.98895980679661899</v>
      </c>
      <c r="E77" s="15">
        <f t="shared" si="19"/>
        <v>0.96088181667495443</v>
      </c>
      <c r="F77" s="16">
        <f t="shared" si="16"/>
        <v>0</v>
      </c>
      <c r="G7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7" s="16">
        <v>6033</v>
      </c>
      <c r="I77" s="16">
        <f t="shared" si="14"/>
        <v>236</v>
      </c>
      <c r="J77" s="16">
        <v>5797</v>
      </c>
      <c r="K77" s="16">
        <v>5733</v>
      </c>
      <c r="L77" s="16">
        <f t="shared" si="15"/>
        <v>64</v>
      </c>
      <c r="M77" s="16"/>
      <c r="N77" s="16"/>
      <c r="O77" s="80">
        <v>1998</v>
      </c>
      <c r="P77" s="81" t="s">
        <v>47</v>
      </c>
      <c r="Q77" s="15"/>
      <c r="R77" s="15"/>
      <c r="S77" s="15"/>
      <c r="T77" s="16"/>
      <c r="U77" s="16"/>
      <c r="V77" s="16"/>
      <c r="W77" s="16"/>
      <c r="X77" s="69">
        <f>(SUM(X$134:X$148)/15)/(SUM($J$134:$J$148)/15)*BS[[#This Row],[Trenes Corridos]]</f>
        <v>3528.8332553117589</v>
      </c>
      <c r="Y77" s="16"/>
      <c r="Z77" s="16"/>
      <c r="AA77" s="16"/>
      <c r="AB77" s="16"/>
      <c r="AC77" s="80">
        <v>1998</v>
      </c>
      <c r="AD77" s="81" t="s">
        <v>47</v>
      </c>
      <c r="AE77" s="15"/>
      <c r="AF77" s="15"/>
      <c r="AG77" s="15"/>
      <c r="AH77" s="16"/>
      <c r="AI77" s="16"/>
      <c r="AJ77" s="16"/>
      <c r="AK77" s="16"/>
      <c r="AL77" s="69">
        <f>(SUM(AL$134:AL$148)/15)/(SUM($J$134:$J$148)/15)*BS[[#This Row],[Trenes Corridos]]</f>
        <v>2041.4376104256958</v>
      </c>
      <c r="AM77" s="16"/>
      <c r="AN77" s="16"/>
      <c r="AO77" s="16"/>
      <c r="AP77" s="16"/>
      <c r="AQ77" s="80">
        <v>1998</v>
      </c>
      <c r="AR77" s="81" t="s">
        <v>47</v>
      </c>
      <c r="AS77" s="15"/>
      <c r="AT77" s="15"/>
      <c r="AU77" s="15"/>
      <c r="AV77" s="15"/>
      <c r="AW77" s="15"/>
      <c r="AX77" s="16"/>
      <c r="AY77" s="16"/>
      <c r="AZ77" s="69">
        <f>(SUM(AZ$134:AZ$148)/15)/(SUM($J$134:$J$148)/15)*BS[[#This Row],[Trenes Corridos]]</f>
        <v>226.7291342625451</v>
      </c>
      <c r="BA77" s="16"/>
      <c r="BB77" s="16"/>
      <c r="BC77" s="16"/>
      <c r="BD77" s="16"/>
      <c r="BE77" s="80"/>
      <c r="BF77" s="81"/>
      <c r="BG77" s="15"/>
      <c r="BH77" s="15"/>
      <c r="BI77" s="15"/>
      <c r="BS77" s="80"/>
      <c r="BT77" s="81"/>
      <c r="BU77" s="15"/>
      <c r="BV77" s="15"/>
      <c r="BW77" s="15"/>
      <c r="CA77" s="45"/>
      <c r="CD77" s="45"/>
      <c r="CG77" s="80"/>
      <c r="CH77" s="81"/>
      <c r="CI77" s="15"/>
      <c r="CJ77" s="15"/>
      <c r="CK77" s="15"/>
      <c r="CO77" s="45"/>
      <c r="CR77" s="45"/>
    </row>
    <row r="78" spans="1:96" s="18" customFormat="1" ht="15" customHeight="1">
      <c r="A78" s="78">
        <v>1999</v>
      </c>
      <c r="B78" s="79" t="s">
        <v>36</v>
      </c>
      <c r="C78" s="15">
        <f t="shared" si="17"/>
        <v>0.99531772575250832</v>
      </c>
      <c r="D78" s="15">
        <f t="shared" si="18"/>
        <v>0.99698492462311561</v>
      </c>
      <c r="E78" s="15">
        <f t="shared" si="19"/>
        <v>0.99832775919732442</v>
      </c>
      <c r="F78" s="16">
        <f t="shared" si="16"/>
        <v>0</v>
      </c>
      <c r="G7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8" s="16">
        <v>5980</v>
      </c>
      <c r="I78" s="16">
        <f t="shared" ref="I78:I89" si="20">H78-J78</f>
        <v>10</v>
      </c>
      <c r="J78" s="16">
        <v>5970</v>
      </c>
      <c r="K78" s="16">
        <v>5952</v>
      </c>
      <c r="L78" s="16">
        <f t="shared" ref="L78:L89" si="21">J78-K78</f>
        <v>18</v>
      </c>
      <c r="M78" s="16"/>
      <c r="N78" s="16"/>
      <c r="O78" s="78">
        <v>1999</v>
      </c>
      <c r="P78" s="79" t="s">
        <v>36</v>
      </c>
      <c r="Q78" s="15"/>
      <c r="R78" s="15"/>
      <c r="S78" s="15"/>
      <c r="T78" s="16"/>
      <c r="U78" s="16"/>
      <c r="V78" s="16"/>
      <c r="W78" s="16"/>
      <c r="X78" s="69">
        <f>(SUM(X$134:X$148)/15)/(SUM($J$134:$J$148)/15)*BS[[#This Row],[Trenes Corridos]]</f>
        <v>3634.144304676764</v>
      </c>
      <c r="Y78" s="16"/>
      <c r="Z78" s="16"/>
      <c r="AA78" s="16"/>
      <c r="AB78" s="16"/>
      <c r="AC78" s="78">
        <v>1999</v>
      </c>
      <c r="AD78" s="79" t="s">
        <v>36</v>
      </c>
      <c r="AE78" s="15"/>
      <c r="AF78" s="15"/>
      <c r="AG78" s="15"/>
      <c r="AH78" s="16"/>
      <c r="AI78" s="16"/>
      <c r="AJ78" s="16"/>
      <c r="AK78" s="16"/>
      <c r="AL78" s="69">
        <f>(SUM(AL$134:AL$148)/15)/(SUM($J$134:$J$148)/15)*BS[[#This Row],[Trenes Corridos]]</f>
        <v>2102.360278461515</v>
      </c>
      <c r="AM78" s="16"/>
      <c r="AN78" s="16"/>
      <c r="AO78" s="16"/>
      <c r="AP78" s="16"/>
      <c r="AQ78" s="78">
        <v>1999</v>
      </c>
      <c r="AR78" s="79" t="s">
        <v>36</v>
      </c>
      <c r="AS78" s="15"/>
      <c r="AT78" s="15"/>
      <c r="AU78" s="15"/>
      <c r="AV78" s="15"/>
      <c r="AW78" s="15"/>
      <c r="AX78" s="16"/>
      <c r="AY78" s="16"/>
      <c r="AZ78" s="69">
        <f>(SUM(AZ$134:AZ$148)/15)/(SUM($J$134:$J$148)/15)*BS[[#This Row],[Trenes Corridos]]</f>
        <v>233.49541686172057</v>
      </c>
      <c r="BA78" s="16"/>
      <c r="BB78" s="16"/>
      <c r="BC78" s="16"/>
      <c r="BD78" s="16"/>
      <c r="BE78" s="78"/>
      <c r="BF78" s="79"/>
      <c r="BG78" s="15"/>
      <c r="BH78" s="15"/>
      <c r="BI78" s="15"/>
      <c r="BS78" s="78"/>
      <c r="BT78" s="79"/>
      <c r="BU78" s="15"/>
      <c r="BV78" s="15"/>
      <c r="BW78" s="15"/>
      <c r="CA78" s="45"/>
      <c r="CD78" s="45"/>
      <c r="CG78" s="78"/>
      <c r="CH78" s="79"/>
      <c r="CI78" s="15"/>
      <c r="CJ78" s="15"/>
      <c r="CK78" s="15"/>
      <c r="CO78" s="45"/>
      <c r="CR78" s="45"/>
    </row>
    <row r="79" spans="1:96" s="18" customFormat="1" ht="15" customHeight="1">
      <c r="A79" s="80">
        <v>1999</v>
      </c>
      <c r="B79" s="81" t="s">
        <v>37</v>
      </c>
      <c r="C79" s="15">
        <f t="shared" si="17"/>
        <v>0.98863636363636365</v>
      </c>
      <c r="D79" s="15">
        <f t="shared" si="18"/>
        <v>0.99293478260869561</v>
      </c>
      <c r="E79" s="15">
        <f t="shared" si="19"/>
        <v>0.99567099567099571</v>
      </c>
      <c r="F79" s="16">
        <f t="shared" si="16"/>
        <v>0</v>
      </c>
      <c r="G7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9" s="16">
        <v>5544</v>
      </c>
      <c r="I79" s="16">
        <f t="shared" si="20"/>
        <v>24</v>
      </c>
      <c r="J79" s="16">
        <v>5520</v>
      </c>
      <c r="K79" s="16">
        <v>5481</v>
      </c>
      <c r="L79" s="16">
        <f t="shared" si="21"/>
        <v>39</v>
      </c>
      <c r="M79" s="16"/>
      <c r="N79" s="16"/>
      <c r="O79" s="80">
        <v>1999</v>
      </c>
      <c r="P79" s="81" t="s">
        <v>37</v>
      </c>
      <c r="Q79" s="15"/>
      <c r="R79" s="15"/>
      <c r="S79" s="15"/>
      <c r="T79" s="16"/>
      <c r="U79" s="16"/>
      <c r="V79" s="16"/>
      <c r="W79" s="16"/>
      <c r="X79" s="69">
        <f>(SUM(X$134:X$148)/15)/(SUM($J$134:$J$148)/15)*BS[[#This Row],[Trenes Corridos]]</f>
        <v>3360.2138294498723</v>
      </c>
      <c r="Y79" s="16"/>
      <c r="Z79" s="16"/>
      <c r="AA79" s="16"/>
      <c r="AB79" s="16"/>
      <c r="AC79" s="80">
        <v>1999</v>
      </c>
      <c r="AD79" s="81" t="s">
        <v>37</v>
      </c>
      <c r="AE79" s="15"/>
      <c r="AF79" s="15"/>
      <c r="AG79" s="15"/>
      <c r="AH79" s="16"/>
      <c r="AI79" s="16"/>
      <c r="AJ79" s="16"/>
      <c r="AK79" s="16"/>
      <c r="AL79" s="69">
        <f>(SUM(AL$134:AL$148)/15)/(SUM($J$134:$J$148)/15)*BS[[#This Row],[Trenes Corridos]]</f>
        <v>1943.8909107382854</v>
      </c>
      <c r="AM79" s="16"/>
      <c r="AN79" s="16"/>
      <c r="AO79" s="16"/>
      <c r="AP79" s="16"/>
      <c r="AQ79" s="80">
        <v>1999</v>
      </c>
      <c r="AR79" s="81" t="s">
        <v>37</v>
      </c>
      <c r="AS79" s="15"/>
      <c r="AT79" s="15"/>
      <c r="AU79" s="15"/>
      <c r="AV79" s="15"/>
      <c r="AW79" s="15"/>
      <c r="AX79" s="16"/>
      <c r="AY79" s="16"/>
      <c r="AZ79" s="69">
        <f>(SUM(AZ$134:AZ$148)/15)/(SUM($J$134:$J$148)/15)*BS[[#This Row],[Trenes Corridos]]</f>
        <v>215.89525981184215</v>
      </c>
      <c r="BA79" s="16"/>
      <c r="BB79" s="16"/>
      <c r="BC79" s="16"/>
      <c r="BD79" s="16"/>
      <c r="BE79" s="80"/>
      <c r="BF79" s="81"/>
      <c r="BG79" s="15"/>
      <c r="BH79" s="15"/>
      <c r="BI79" s="15"/>
      <c r="BS79" s="80"/>
      <c r="BT79" s="81"/>
      <c r="BU79" s="15"/>
      <c r="BV79" s="15"/>
      <c r="BW79" s="15"/>
      <c r="CA79" s="45"/>
      <c r="CD79" s="45"/>
      <c r="CG79" s="80"/>
      <c r="CH79" s="81"/>
      <c r="CI79" s="15"/>
      <c r="CJ79" s="15"/>
      <c r="CK79" s="15"/>
      <c r="CO79" s="45"/>
      <c r="CR79" s="45"/>
    </row>
    <row r="80" spans="1:96" s="18" customFormat="1" ht="15" customHeight="1">
      <c r="A80" s="78">
        <v>1999</v>
      </c>
      <c r="B80" s="79" t="s">
        <v>38</v>
      </c>
      <c r="C80" s="15">
        <f t="shared" si="17"/>
        <v>0.99074825515338416</v>
      </c>
      <c r="D80" s="15">
        <f t="shared" si="18"/>
        <v>0.99478487614080835</v>
      </c>
      <c r="E80" s="15">
        <f t="shared" si="19"/>
        <v>0.99594221717253695</v>
      </c>
      <c r="F80" s="16">
        <f t="shared" si="16"/>
        <v>0</v>
      </c>
      <c r="G8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0" s="16">
        <v>6161</v>
      </c>
      <c r="I80" s="16">
        <f t="shared" si="20"/>
        <v>25</v>
      </c>
      <c r="J80" s="16">
        <v>6136</v>
      </c>
      <c r="K80" s="16">
        <v>6104</v>
      </c>
      <c r="L80" s="16">
        <f t="shared" si="21"/>
        <v>32</v>
      </c>
      <c r="M80" s="16"/>
      <c r="N80" s="16"/>
      <c r="O80" s="78">
        <v>1999</v>
      </c>
      <c r="P80" s="79" t="s">
        <v>38</v>
      </c>
      <c r="Q80" s="15"/>
      <c r="R80" s="15"/>
      <c r="S80" s="15"/>
      <c r="T80" s="16"/>
      <c r="U80" s="16"/>
      <c r="V80" s="16"/>
      <c r="W80" s="16"/>
      <c r="X80" s="69">
        <f>(SUM(X$134:X$148)/15)/(SUM($J$134:$J$148)/15)*BS[[#This Row],[Trenes Corridos]]</f>
        <v>3735.1942133160173</v>
      </c>
      <c r="Y80" s="16"/>
      <c r="Z80" s="16"/>
      <c r="AA80" s="16"/>
      <c r="AB80" s="16"/>
      <c r="AC80" s="78">
        <v>1999</v>
      </c>
      <c r="AD80" s="79" t="s">
        <v>38</v>
      </c>
      <c r="AE80" s="15"/>
      <c r="AF80" s="15"/>
      <c r="AG80" s="15"/>
      <c r="AH80" s="16"/>
      <c r="AI80" s="16"/>
      <c r="AJ80" s="16"/>
      <c r="AK80" s="16"/>
      <c r="AL80" s="69">
        <f>(SUM(AL$134:AL$148)/15)/(SUM($J$134:$J$148)/15)*BS[[#This Row],[Trenes Corridos]]</f>
        <v>2160.8178674438623</v>
      </c>
      <c r="AM80" s="16"/>
      <c r="AN80" s="16"/>
      <c r="AO80" s="16"/>
      <c r="AP80" s="16"/>
      <c r="AQ80" s="78">
        <v>1999</v>
      </c>
      <c r="AR80" s="79" t="s">
        <v>38</v>
      </c>
      <c r="AS80" s="15"/>
      <c r="AT80" s="15"/>
      <c r="AU80" s="15"/>
      <c r="AV80" s="15"/>
      <c r="AW80" s="15"/>
      <c r="AX80" s="16"/>
      <c r="AY80" s="16"/>
      <c r="AZ80" s="69">
        <f>(SUM(AZ$134:AZ$148)/15)/(SUM($J$134:$J$148)/15)*BS[[#This Row],[Trenes Corridos]]</f>
        <v>239.98791924012019</v>
      </c>
      <c r="BA80" s="16"/>
      <c r="BB80" s="16"/>
      <c r="BC80" s="16"/>
      <c r="BD80" s="16"/>
      <c r="BE80" s="78"/>
      <c r="BF80" s="79"/>
      <c r="BG80" s="15"/>
      <c r="BH80" s="15"/>
      <c r="BI80" s="15"/>
      <c r="BS80" s="78"/>
      <c r="BT80" s="79"/>
      <c r="BU80" s="15"/>
      <c r="BV80" s="15"/>
      <c r="BW80" s="15"/>
      <c r="CA80" s="45"/>
      <c r="CD80" s="45"/>
      <c r="CG80" s="78"/>
      <c r="CH80" s="79"/>
      <c r="CI80" s="15"/>
      <c r="CJ80" s="15"/>
      <c r="CK80" s="15"/>
      <c r="CO80" s="45"/>
      <c r="CR80" s="45"/>
    </row>
    <row r="81" spans="1:96" s="18" customFormat="1" ht="15" customHeight="1">
      <c r="A81" s="80">
        <v>1999</v>
      </c>
      <c r="B81" s="81" t="s">
        <v>39</v>
      </c>
      <c r="C81" s="15">
        <f t="shared" si="17"/>
        <v>0.98990071893187259</v>
      </c>
      <c r="D81" s="15">
        <f t="shared" si="18"/>
        <v>0.99125814192663697</v>
      </c>
      <c r="E81" s="15">
        <f t="shared" si="19"/>
        <v>0.99863060595686404</v>
      </c>
      <c r="F81" s="16">
        <f t="shared" si="16"/>
        <v>0</v>
      </c>
      <c r="G8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1" s="16">
        <v>5842</v>
      </c>
      <c r="I81" s="16">
        <f t="shared" si="20"/>
        <v>8</v>
      </c>
      <c r="J81" s="16">
        <v>5834</v>
      </c>
      <c r="K81" s="16">
        <v>5783</v>
      </c>
      <c r="L81" s="16">
        <f t="shared" si="21"/>
        <v>51</v>
      </c>
      <c r="M81" s="16"/>
      <c r="N81" s="16"/>
      <c r="O81" s="80">
        <v>1999</v>
      </c>
      <c r="P81" s="81" t="s">
        <v>39</v>
      </c>
      <c r="Q81" s="15"/>
      <c r="R81" s="15"/>
      <c r="S81" s="15"/>
      <c r="T81" s="16"/>
      <c r="U81" s="16"/>
      <c r="V81" s="16"/>
      <c r="W81" s="16"/>
      <c r="X81" s="69">
        <f>(SUM(X$134:X$148)/15)/(SUM($J$134:$J$148)/15)*BS[[#This Row],[Trenes Corridos]]</f>
        <v>3551.3564277193032</v>
      </c>
      <c r="Y81" s="16"/>
      <c r="Z81" s="16"/>
      <c r="AA81" s="16"/>
      <c r="AB81" s="16"/>
      <c r="AC81" s="80">
        <v>1999</v>
      </c>
      <c r="AD81" s="81" t="s">
        <v>39</v>
      </c>
      <c r="AE81" s="15"/>
      <c r="AF81" s="15"/>
      <c r="AG81" s="15"/>
      <c r="AH81" s="16"/>
      <c r="AI81" s="16"/>
      <c r="AJ81" s="16"/>
      <c r="AK81" s="16"/>
      <c r="AL81" s="69">
        <f>(SUM(AL$134:AL$148)/15)/(SUM($J$134:$J$148)/15)*BS[[#This Row],[Trenes Corridos]]</f>
        <v>2054.4673139940501</v>
      </c>
      <c r="AM81" s="16"/>
      <c r="AN81" s="16"/>
      <c r="AO81" s="16"/>
      <c r="AP81" s="16"/>
      <c r="AQ81" s="80">
        <v>1999</v>
      </c>
      <c r="AR81" s="81" t="s">
        <v>39</v>
      </c>
      <c r="AS81" s="15"/>
      <c r="AT81" s="15"/>
      <c r="AU81" s="15"/>
      <c r="AV81" s="15"/>
      <c r="AW81" s="15"/>
      <c r="AX81" s="16"/>
      <c r="AY81" s="16"/>
      <c r="AZ81" s="69">
        <f>(SUM(AZ$134:AZ$148)/15)/(SUM($J$134:$J$148)/15)*BS[[#This Row],[Trenes Corridos]]</f>
        <v>228.1762582866462</v>
      </c>
      <c r="BA81" s="16"/>
      <c r="BB81" s="16"/>
      <c r="BC81" s="16"/>
      <c r="BD81" s="16"/>
      <c r="BE81" s="80"/>
      <c r="BF81" s="81"/>
      <c r="BG81" s="15"/>
      <c r="BH81" s="15"/>
      <c r="BI81" s="15"/>
      <c r="BS81" s="80"/>
      <c r="BT81" s="81"/>
      <c r="BU81" s="15"/>
      <c r="BV81" s="15"/>
      <c r="BW81" s="15"/>
      <c r="CA81" s="45"/>
      <c r="CD81" s="45"/>
      <c r="CG81" s="80"/>
      <c r="CH81" s="81"/>
      <c r="CI81" s="15"/>
      <c r="CJ81" s="15"/>
      <c r="CK81" s="15"/>
      <c r="CO81" s="45"/>
      <c r="CR81" s="45"/>
    </row>
    <row r="82" spans="1:96" s="18" customFormat="1" ht="15" customHeight="1">
      <c r="A82" s="78">
        <v>1999</v>
      </c>
      <c r="B82" s="79" t="s">
        <v>40</v>
      </c>
      <c r="C82" s="15">
        <f t="shared" si="17"/>
        <v>0.99208221024258758</v>
      </c>
      <c r="D82" s="15">
        <f t="shared" si="18"/>
        <v>0.99476351351351355</v>
      </c>
      <c r="E82" s="15">
        <f t="shared" si="19"/>
        <v>0.99730458221024254</v>
      </c>
      <c r="F82" s="16">
        <f t="shared" si="16"/>
        <v>0</v>
      </c>
      <c r="G8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2" s="16">
        <v>5936</v>
      </c>
      <c r="I82" s="16">
        <f t="shared" si="20"/>
        <v>16</v>
      </c>
      <c r="J82" s="16">
        <v>5920</v>
      </c>
      <c r="K82" s="16">
        <v>5889</v>
      </c>
      <c r="L82" s="16">
        <f t="shared" si="21"/>
        <v>31</v>
      </c>
      <c r="M82" s="16"/>
      <c r="N82" s="16"/>
      <c r="O82" s="78">
        <v>1999</v>
      </c>
      <c r="P82" s="79" t="s">
        <v>40</v>
      </c>
      <c r="Q82" s="15"/>
      <c r="R82" s="15"/>
      <c r="S82" s="15"/>
      <c r="T82" s="16"/>
      <c r="U82" s="16"/>
      <c r="V82" s="16"/>
      <c r="W82" s="16"/>
      <c r="X82" s="69">
        <f>(SUM(X$134:X$148)/15)/(SUM($J$134:$J$148)/15)*BS[[#This Row],[Trenes Corridos]]</f>
        <v>3603.7075852071093</v>
      </c>
      <c r="Y82" s="16"/>
      <c r="Z82" s="16"/>
      <c r="AA82" s="16"/>
      <c r="AB82" s="16"/>
      <c r="AC82" s="78">
        <v>1999</v>
      </c>
      <c r="AD82" s="79" t="s">
        <v>40</v>
      </c>
      <c r="AE82" s="15"/>
      <c r="AF82" s="15"/>
      <c r="AG82" s="15"/>
      <c r="AH82" s="16"/>
      <c r="AI82" s="16"/>
      <c r="AJ82" s="16"/>
      <c r="AK82" s="16"/>
      <c r="AL82" s="69">
        <f>(SUM(AL$134:AL$148)/15)/(SUM($J$134:$J$148)/15)*BS[[#This Row],[Trenes Corridos]]</f>
        <v>2084.7525709367119</v>
      </c>
      <c r="AM82" s="16"/>
      <c r="AN82" s="16"/>
      <c r="AO82" s="16"/>
      <c r="AP82" s="16"/>
      <c r="AQ82" s="78">
        <v>1999</v>
      </c>
      <c r="AR82" s="79" t="s">
        <v>40</v>
      </c>
      <c r="AS82" s="15"/>
      <c r="AT82" s="15"/>
      <c r="AU82" s="15"/>
      <c r="AV82" s="15"/>
      <c r="AW82" s="15"/>
      <c r="AX82" s="16"/>
      <c r="AY82" s="16"/>
      <c r="AZ82" s="69">
        <f>(SUM(AZ$134:AZ$148)/15)/(SUM($J$134:$J$148)/15)*BS[[#This Row],[Trenes Corridos]]</f>
        <v>231.53984385617855</v>
      </c>
      <c r="BA82" s="16"/>
      <c r="BB82" s="16"/>
      <c r="BC82" s="16"/>
      <c r="BD82" s="16"/>
      <c r="BE82" s="78"/>
      <c r="BF82" s="79"/>
      <c r="BG82" s="15"/>
      <c r="BH82" s="15"/>
      <c r="BI82" s="15"/>
      <c r="BS82" s="78"/>
      <c r="BT82" s="79"/>
      <c r="BU82" s="15"/>
      <c r="BV82" s="15"/>
      <c r="BW82" s="15"/>
      <c r="CA82" s="45"/>
      <c r="CD82" s="45"/>
      <c r="CG82" s="78"/>
      <c r="CH82" s="79"/>
      <c r="CI82" s="15"/>
      <c r="CJ82" s="15"/>
      <c r="CK82" s="15"/>
      <c r="CO82" s="45"/>
      <c r="CR82" s="45"/>
    </row>
    <row r="83" spans="1:96" s="18" customFormat="1" ht="15" customHeight="1">
      <c r="A83" s="80">
        <v>1999</v>
      </c>
      <c r="B83" s="81" t="s">
        <v>41</v>
      </c>
      <c r="C83" s="15">
        <f t="shared" si="17"/>
        <v>0.99431426602343209</v>
      </c>
      <c r="D83" s="15">
        <f t="shared" si="18"/>
        <v>0.995</v>
      </c>
      <c r="E83" s="15">
        <f t="shared" si="19"/>
        <v>0.99931082012405237</v>
      </c>
      <c r="F83" s="16">
        <f t="shared" si="16"/>
        <v>0</v>
      </c>
      <c r="G8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3" s="16">
        <v>5804</v>
      </c>
      <c r="I83" s="16">
        <f t="shared" si="20"/>
        <v>4</v>
      </c>
      <c r="J83" s="16">
        <v>5800</v>
      </c>
      <c r="K83" s="16">
        <v>5771</v>
      </c>
      <c r="L83" s="16">
        <f t="shared" si="21"/>
        <v>29</v>
      </c>
      <c r="M83" s="16"/>
      <c r="N83" s="16"/>
      <c r="O83" s="80">
        <v>1999</v>
      </c>
      <c r="P83" s="81" t="s">
        <v>41</v>
      </c>
      <c r="Q83" s="15"/>
      <c r="R83" s="15"/>
      <c r="S83" s="15"/>
      <c r="T83" s="16"/>
      <c r="U83" s="16"/>
      <c r="V83" s="16"/>
      <c r="W83" s="16"/>
      <c r="X83" s="69">
        <f>(SUM(X$134:X$148)/15)/(SUM($J$134:$J$148)/15)*BS[[#This Row],[Trenes Corridos]]</f>
        <v>3530.6594584799382</v>
      </c>
      <c r="Y83" s="16"/>
      <c r="Z83" s="16"/>
      <c r="AA83" s="16"/>
      <c r="AB83" s="16"/>
      <c r="AC83" s="80">
        <v>1999</v>
      </c>
      <c r="AD83" s="81" t="s">
        <v>41</v>
      </c>
      <c r="AE83" s="15"/>
      <c r="AF83" s="15"/>
      <c r="AG83" s="15"/>
      <c r="AH83" s="16"/>
      <c r="AI83" s="16"/>
      <c r="AJ83" s="16"/>
      <c r="AK83" s="16"/>
      <c r="AL83" s="69">
        <f>(SUM(AL$134:AL$148)/15)/(SUM($J$134:$J$148)/15)*BS[[#This Row],[Trenes Corridos]]</f>
        <v>2042.494072877184</v>
      </c>
      <c r="AM83" s="16"/>
      <c r="AN83" s="16"/>
      <c r="AO83" s="16"/>
      <c r="AP83" s="16"/>
      <c r="AQ83" s="80">
        <v>1999</v>
      </c>
      <c r="AR83" s="81" t="s">
        <v>41</v>
      </c>
      <c r="AS83" s="15"/>
      <c r="AT83" s="15"/>
      <c r="AU83" s="15"/>
      <c r="AV83" s="15"/>
      <c r="AW83" s="15"/>
      <c r="AX83" s="16"/>
      <c r="AY83" s="16"/>
      <c r="AZ83" s="69">
        <f>(SUM(AZ$134:AZ$148)/15)/(SUM($J$134:$J$148)/15)*BS[[#This Row],[Trenes Corridos]]</f>
        <v>226.84646864287762</v>
      </c>
      <c r="BA83" s="16"/>
      <c r="BB83" s="16"/>
      <c r="BC83" s="16"/>
      <c r="BD83" s="16"/>
      <c r="BE83" s="80"/>
      <c r="BF83" s="81"/>
      <c r="BG83" s="15"/>
      <c r="BH83" s="15"/>
      <c r="BI83" s="15"/>
      <c r="BS83" s="80"/>
      <c r="BT83" s="81"/>
      <c r="BU83" s="15"/>
      <c r="BV83" s="15"/>
      <c r="BW83" s="15"/>
      <c r="CA83" s="45"/>
      <c r="CD83" s="45"/>
      <c r="CG83" s="80"/>
      <c r="CH83" s="81"/>
      <c r="CI83" s="15"/>
      <c r="CJ83" s="15"/>
      <c r="CK83" s="15"/>
      <c r="CO83" s="45"/>
      <c r="CR83" s="45"/>
    </row>
    <row r="84" spans="1:96" s="18" customFormat="1" ht="15" customHeight="1">
      <c r="A84" s="78">
        <v>1999</v>
      </c>
      <c r="B84" s="79" t="s">
        <v>42</v>
      </c>
      <c r="C84" s="15">
        <f t="shared" si="17"/>
        <v>0.98039825762289978</v>
      </c>
      <c r="D84" s="15">
        <f t="shared" si="18"/>
        <v>0.98932496075353216</v>
      </c>
      <c r="E84" s="15">
        <f t="shared" si="19"/>
        <v>0.99097697573117616</v>
      </c>
      <c r="F84" s="16">
        <f t="shared" si="16"/>
        <v>0</v>
      </c>
      <c r="G8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4" s="16">
        <v>6428</v>
      </c>
      <c r="I84" s="16">
        <f t="shared" si="20"/>
        <v>58</v>
      </c>
      <c r="J84" s="16">
        <v>6370</v>
      </c>
      <c r="K84" s="16">
        <v>6302</v>
      </c>
      <c r="L84" s="16">
        <f t="shared" si="21"/>
        <v>68</v>
      </c>
      <c r="M84" s="16"/>
      <c r="N84" s="16"/>
      <c r="O84" s="78">
        <v>1999</v>
      </c>
      <c r="P84" s="79" t="s">
        <v>42</v>
      </c>
      <c r="Q84" s="15"/>
      <c r="R84" s="15"/>
      <c r="S84" s="15"/>
      <c r="T84" s="16"/>
      <c r="U84" s="16"/>
      <c r="V84" s="16"/>
      <c r="W84" s="16"/>
      <c r="X84" s="69">
        <f>(SUM(X$134:X$148)/15)/(SUM($J$134:$J$148)/15)*BS[[#This Row],[Trenes Corridos]]</f>
        <v>3877.6380604340011</v>
      </c>
      <c r="Y84" s="16"/>
      <c r="Z84" s="16"/>
      <c r="AA84" s="16"/>
      <c r="AB84" s="16"/>
      <c r="AC84" s="78">
        <v>1999</v>
      </c>
      <c r="AD84" s="79" t="s">
        <v>42</v>
      </c>
      <c r="AE84" s="15"/>
      <c r="AF84" s="15"/>
      <c r="AG84" s="15"/>
      <c r="AH84" s="16"/>
      <c r="AI84" s="16"/>
      <c r="AJ84" s="16"/>
      <c r="AK84" s="16"/>
      <c r="AL84" s="69">
        <f>(SUM(AL$134:AL$148)/15)/(SUM($J$134:$J$148)/15)*BS[[#This Row],[Trenes Corridos]]</f>
        <v>2243.2219386599418</v>
      </c>
      <c r="AM84" s="16"/>
      <c r="AN84" s="16"/>
      <c r="AO84" s="16"/>
      <c r="AP84" s="16"/>
      <c r="AQ84" s="78">
        <v>1999</v>
      </c>
      <c r="AR84" s="79" t="s">
        <v>42</v>
      </c>
      <c r="AS84" s="15"/>
      <c r="AT84" s="15"/>
      <c r="AU84" s="15"/>
      <c r="AV84" s="15"/>
      <c r="AW84" s="15"/>
      <c r="AX84" s="16"/>
      <c r="AY84" s="16"/>
      <c r="AZ84" s="69">
        <f>(SUM(AZ$134:AZ$148)/15)/(SUM($J$134:$J$148)/15)*BS[[#This Row],[Trenes Corridos]]</f>
        <v>249.14000090605697</v>
      </c>
      <c r="BA84" s="16"/>
      <c r="BB84" s="16"/>
      <c r="BC84" s="16"/>
      <c r="BD84" s="16"/>
      <c r="BE84" s="78"/>
      <c r="BF84" s="79"/>
      <c r="BG84" s="15"/>
      <c r="BH84" s="15"/>
      <c r="BI84" s="15"/>
      <c r="BS84" s="78"/>
      <c r="BT84" s="79"/>
      <c r="BU84" s="15"/>
      <c r="BV84" s="15"/>
      <c r="BW84" s="15"/>
      <c r="CA84" s="45"/>
      <c r="CD84" s="45"/>
      <c r="CG84" s="78"/>
      <c r="CH84" s="79"/>
      <c r="CI84" s="15"/>
      <c r="CJ84" s="15"/>
      <c r="CK84" s="15"/>
      <c r="CO84" s="45"/>
      <c r="CR84" s="45"/>
    </row>
    <row r="85" spans="1:96" s="18" customFormat="1" ht="15" customHeight="1">
      <c r="A85" s="80">
        <v>1999</v>
      </c>
      <c r="B85" s="81" t="s">
        <v>43</v>
      </c>
      <c r="C85" s="15">
        <f t="shared" si="17"/>
        <v>0.96892612338156892</v>
      </c>
      <c r="D85" s="15">
        <f t="shared" si="18"/>
        <v>0.97561349693251531</v>
      </c>
      <c r="E85" s="15">
        <f t="shared" si="19"/>
        <v>0.99314546839299311</v>
      </c>
      <c r="F85" s="16">
        <f t="shared" si="16"/>
        <v>0</v>
      </c>
      <c r="G8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5" s="16">
        <v>6565</v>
      </c>
      <c r="I85" s="16">
        <f t="shared" si="20"/>
        <v>45</v>
      </c>
      <c r="J85" s="16">
        <v>6520</v>
      </c>
      <c r="K85" s="16">
        <v>6361</v>
      </c>
      <c r="L85" s="16">
        <f t="shared" si="21"/>
        <v>159</v>
      </c>
      <c r="M85" s="16"/>
      <c r="N85" s="16"/>
      <c r="O85" s="80">
        <v>1999</v>
      </c>
      <c r="P85" s="81" t="s">
        <v>43</v>
      </c>
      <c r="Q85" s="15"/>
      <c r="R85" s="15"/>
      <c r="S85" s="15"/>
      <c r="T85" s="16"/>
      <c r="U85" s="16"/>
      <c r="V85" s="16"/>
      <c r="W85" s="16"/>
      <c r="X85" s="69">
        <f>(SUM(X$134:X$148)/15)/(SUM($J$134:$J$148)/15)*BS[[#This Row],[Trenes Corridos]]</f>
        <v>3968.9482188429647</v>
      </c>
      <c r="Y85" s="16"/>
      <c r="Z85" s="16"/>
      <c r="AA85" s="16"/>
      <c r="AB85" s="16"/>
      <c r="AC85" s="80">
        <v>1999</v>
      </c>
      <c r="AD85" s="81" t="s">
        <v>43</v>
      </c>
      <c r="AE85" s="15"/>
      <c r="AF85" s="15"/>
      <c r="AG85" s="15"/>
      <c r="AH85" s="16"/>
      <c r="AI85" s="16"/>
      <c r="AJ85" s="16"/>
      <c r="AK85" s="16"/>
      <c r="AL85" s="69">
        <f>(SUM(AL$134:AL$148)/15)/(SUM($J$134:$J$148)/15)*BS[[#This Row],[Trenes Corridos]]</f>
        <v>2296.0450612343516</v>
      </c>
      <c r="AM85" s="16"/>
      <c r="AN85" s="16"/>
      <c r="AO85" s="16"/>
      <c r="AP85" s="16"/>
      <c r="AQ85" s="80">
        <v>1999</v>
      </c>
      <c r="AR85" s="81" t="s">
        <v>43</v>
      </c>
      <c r="AS85" s="15"/>
      <c r="AT85" s="15"/>
      <c r="AU85" s="15"/>
      <c r="AV85" s="15"/>
      <c r="AW85" s="15"/>
      <c r="AX85" s="16"/>
      <c r="AY85" s="16"/>
      <c r="AZ85" s="69">
        <f>(SUM(AZ$134:AZ$148)/15)/(SUM($J$134:$J$148)/15)*BS[[#This Row],[Trenes Corridos]]</f>
        <v>255.00671992268312</v>
      </c>
      <c r="BA85" s="16"/>
      <c r="BB85" s="16"/>
      <c r="BC85" s="16"/>
      <c r="BD85" s="16"/>
      <c r="BE85" s="80"/>
      <c r="BF85" s="81"/>
      <c r="BG85" s="15"/>
      <c r="BH85" s="15"/>
      <c r="BI85" s="15"/>
      <c r="BS85" s="80"/>
      <c r="BT85" s="81"/>
      <c r="BU85" s="15"/>
      <c r="BV85" s="15"/>
      <c r="BW85" s="15"/>
      <c r="CA85" s="45"/>
      <c r="CD85" s="45"/>
      <c r="CG85" s="80"/>
      <c r="CH85" s="81"/>
      <c r="CI85" s="15"/>
      <c r="CJ85" s="15"/>
      <c r="CK85" s="15"/>
      <c r="CO85" s="45"/>
      <c r="CR85" s="45"/>
    </row>
    <row r="86" spans="1:96" s="18" customFormat="1" ht="15" customHeight="1">
      <c r="A86" s="78">
        <v>1999</v>
      </c>
      <c r="B86" s="79" t="s">
        <v>44</v>
      </c>
      <c r="C86" s="15">
        <f t="shared" si="17"/>
        <v>0.99356420471958318</v>
      </c>
      <c r="D86" s="15">
        <f t="shared" si="18"/>
        <v>0.99478367597422523</v>
      </c>
      <c r="E86" s="15">
        <f t="shared" si="19"/>
        <v>0.99877413423230155</v>
      </c>
      <c r="F86" s="16">
        <f t="shared" si="16"/>
        <v>0</v>
      </c>
      <c r="G8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6" s="16">
        <v>6526</v>
      </c>
      <c r="I86" s="16">
        <f t="shared" si="20"/>
        <v>8</v>
      </c>
      <c r="J86" s="16">
        <v>6518</v>
      </c>
      <c r="K86" s="16">
        <v>6484</v>
      </c>
      <c r="L86" s="16">
        <f t="shared" si="21"/>
        <v>34</v>
      </c>
      <c r="M86" s="16"/>
      <c r="N86" s="16"/>
      <c r="O86" s="78">
        <v>1999</v>
      </c>
      <c r="P86" s="79" t="s">
        <v>44</v>
      </c>
      <c r="Q86" s="15"/>
      <c r="R86" s="15"/>
      <c r="S86" s="15"/>
      <c r="T86" s="16"/>
      <c r="U86" s="16"/>
      <c r="V86" s="16"/>
      <c r="W86" s="16"/>
      <c r="X86" s="69">
        <f>(SUM(X$134:X$148)/15)/(SUM($J$134:$J$148)/15)*BS[[#This Row],[Trenes Corridos]]</f>
        <v>3967.7307500641787</v>
      </c>
      <c r="Y86" s="16"/>
      <c r="Z86" s="16"/>
      <c r="AA86" s="16"/>
      <c r="AB86" s="16"/>
      <c r="AC86" s="78">
        <v>1999</v>
      </c>
      <c r="AD86" s="79" t="s">
        <v>44</v>
      </c>
      <c r="AE86" s="15"/>
      <c r="AF86" s="15"/>
      <c r="AG86" s="15"/>
      <c r="AH86" s="16"/>
      <c r="AI86" s="16"/>
      <c r="AJ86" s="16"/>
      <c r="AK86" s="16"/>
      <c r="AL86" s="69">
        <f>(SUM(AL$134:AL$148)/15)/(SUM($J$134:$J$148)/15)*BS[[#This Row],[Trenes Corridos]]</f>
        <v>2295.3407529333595</v>
      </c>
      <c r="AM86" s="16"/>
      <c r="AN86" s="16"/>
      <c r="AO86" s="16"/>
      <c r="AP86" s="16"/>
      <c r="AQ86" s="78">
        <v>1999</v>
      </c>
      <c r="AR86" s="79" t="s">
        <v>44</v>
      </c>
      <c r="AS86" s="15"/>
      <c r="AT86" s="15"/>
      <c r="AU86" s="15"/>
      <c r="AV86" s="15"/>
      <c r="AW86" s="15"/>
      <c r="AX86" s="16"/>
      <c r="AY86" s="16"/>
      <c r="AZ86" s="69">
        <f>(SUM(AZ$134:AZ$148)/15)/(SUM($J$134:$J$148)/15)*BS[[#This Row],[Trenes Corridos]]</f>
        <v>254.92849700246143</v>
      </c>
      <c r="BA86" s="16"/>
      <c r="BB86" s="16"/>
      <c r="BC86" s="16"/>
      <c r="BD86" s="16"/>
      <c r="BE86" s="78"/>
      <c r="BF86" s="79"/>
      <c r="BG86" s="15"/>
      <c r="BH86" s="15"/>
      <c r="BI86" s="15"/>
      <c r="BS86" s="78"/>
      <c r="BT86" s="79"/>
      <c r="BU86" s="15"/>
      <c r="BV86" s="15"/>
      <c r="BW86" s="15"/>
      <c r="CA86" s="45"/>
      <c r="CD86" s="45"/>
      <c r="CG86" s="78"/>
      <c r="CH86" s="79"/>
      <c r="CI86" s="15"/>
      <c r="CJ86" s="15"/>
      <c r="CK86" s="15"/>
      <c r="CO86" s="45"/>
      <c r="CR86" s="45"/>
    </row>
    <row r="87" spans="1:96" s="18" customFormat="1" ht="15" customHeight="1">
      <c r="A87" s="80">
        <v>1999</v>
      </c>
      <c r="B87" s="81" t="s">
        <v>45</v>
      </c>
      <c r="C87" s="15">
        <f t="shared" si="17"/>
        <v>0.99294694878871514</v>
      </c>
      <c r="D87" s="15">
        <f t="shared" si="18"/>
        <v>0.99462448164644446</v>
      </c>
      <c r="E87" s="15">
        <f t="shared" si="19"/>
        <v>0.99831340079730146</v>
      </c>
      <c r="F87" s="16">
        <f t="shared" si="16"/>
        <v>0</v>
      </c>
      <c r="G8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7" s="16">
        <v>6522</v>
      </c>
      <c r="I87" s="16">
        <f t="shared" si="20"/>
        <v>11</v>
      </c>
      <c r="J87" s="16">
        <v>6511</v>
      </c>
      <c r="K87" s="16">
        <v>6476</v>
      </c>
      <c r="L87" s="16">
        <f t="shared" si="21"/>
        <v>35</v>
      </c>
      <c r="M87" s="16"/>
      <c r="N87" s="16"/>
      <c r="O87" s="80">
        <v>1999</v>
      </c>
      <c r="P87" s="81" t="s">
        <v>45</v>
      </c>
      <c r="Q87" s="15"/>
      <c r="R87" s="15"/>
      <c r="S87" s="15"/>
      <c r="T87" s="16"/>
      <c r="U87" s="16"/>
      <c r="V87" s="16"/>
      <c r="W87" s="16"/>
      <c r="X87" s="69">
        <f>(SUM(X$134:X$148)/15)/(SUM($J$134:$J$148)/15)*BS[[#This Row],[Trenes Corridos]]</f>
        <v>3963.4696093384268</v>
      </c>
      <c r="Y87" s="16"/>
      <c r="Z87" s="16"/>
      <c r="AA87" s="16"/>
      <c r="AB87" s="16"/>
      <c r="AC87" s="80">
        <v>1999</v>
      </c>
      <c r="AD87" s="81" t="s">
        <v>45</v>
      </c>
      <c r="AE87" s="15"/>
      <c r="AF87" s="15"/>
      <c r="AG87" s="15"/>
      <c r="AH87" s="16"/>
      <c r="AI87" s="16"/>
      <c r="AJ87" s="16"/>
      <c r="AK87" s="16"/>
      <c r="AL87" s="69">
        <f>(SUM(AL$134:AL$148)/15)/(SUM($J$134:$J$148)/15)*BS[[#This Row],[Trenes Corridos]]</f>
        <v>2292.875673879887</v>
      </c>
      <c r="AM87" s="16"/>
      <c r="AN87" s="16"/>
      <c r="AO87" s="16"/>
      <c r="AP87" s="16"/>
      <c r="AQ87" s="80">
        <v>1999</v>
      </c>
      <c r="AR87" s="81" t="s">
        <v>45</v>
      </c>
      <c r="AS87" s="15"/>
      <c r="AT87" s="15"/>
      <c r="AU87" s="15"/>
      <c r="AV87" s="15"/>
      <c r="AW87" s="15"/>
      <c r="AX87" s="16"/>
      <c r="AY87" s="16"/>
      <c r="AZ87" s="69">
        <f>(SUM(AZ$134:AZ$148)/15)/(SUM($J$134:$J$148)/15)*BS[[#This Row],[Trenes Corridos]]</f>
        <v>254.65471678168555</v>
      </c>
      <c r="BA87" s="16"/>
      <c r="BB87" s="16"/>
      <c r="BC87" s="16"/>
      <c r="BD87" s="16"/>
      <c r="BE87" s="80"/>
      <c r="BF87" s="81"/>
      <c r="BG87" s="15"/>
      <c r="BH87" s="15"/>
      <c r="BI87" s="15"/>
      <c r="BS87" s="80"/>
      <c r="BT87" s="81"/>
      <c r="BU87" s="15"/>
      <c r="BV87" s="15"/>
      <c r="BW87" s="15"/>
      <c r="CA87" s="45"/>
      <c r="CD87" s="45"/>
      <c r="CG87" s="80"/>
      <c r="CH87" s="81"/>
      <c r="CI87" s="15"/>
      <c r="CJ87" s="15"/>
      <c r="CK87" s="15"/>
      <c r="CO87" s="45"/>
      <c r="CR87" s="45"/>
    </row>
    <row r="88" spans="1:96" s="18" customFormat="1" ht="15" customHeight="1">
      <c r="A88" s="78">
        <v>1999</v>
      </c>
      <c r="B88" s="79" t="s">
        <v>46</v>
      </c>
      <c r="C88" s="15">
        <f t="shared" si="17"/>
        <v>0.9973942366646229</v>
      </c>
      <c r="D88" s="15">
        <f t="shared" si="18"/>
        <v>0.99846555163418749</v>
      </c>
      <c r="E88" s="15">
        <f t="shared" si="19"/>
        <v>0.99892703862660948</v>
      </c>
      <c r="F88" s="16">
        <f t="shared" si="16"/>
        <v>0</v>
      </c>
      <c r="G8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8" s="16">
        <v>6524</v>
      </c>
      <c r="I88" s="16">
        <f t="shared" si="20"/>
        <v>7</v>
      </c>
      <c r="J88" s="16">
        <v>6517</v>
      </c>
      <c r="K88" s="16">
        <v>6507</v>
      </c>
      <c r="L88" s="16">
        <f t="shared" si="21"/>
        <v>10</v>
      </c>
      <c r="M88" s="16"/>
      <c r="N88" s="16"/>
      <c r="O88" s="78">
        <v>1999</v>
      </c>
      <c r="P88" s="79" t="s">
        <v>46</v>
      </c>
      <c r="Q88" s="15"/>
      <c r="R88" s="15"/>
      <c r="S88" s="15"/>
      <c r="T88" s="16"/>
      <c r="U88" s="16"/>
      <c r="V88" s="16"/>
      <c r="W88" s="16"/>
      <c r="X88" s="69">
        <f>(SUM(X$134:X$148)/15)/(SUM($J$134:$J$148)/15)*BS[[#This Row],[Trenes Corridos]]</f>
        <v>3967.1220156747854</v>
      </c>
      <c r="Y88" s="16"/>
      <c r="Z88" s="16"/>
      <c r="AA88" s="16"/>
      <c r="AB88" s="16"/>
      <c r="AC88" s="78">
        <v>1999</v>
      </c>
      <c r="AD88" s="79" t="s">
        <v>46</v>
      </c>
      <c r="AE88" s="15"/>
      <c r="AF88" s="15"/>
      <c r="AG88" s="15"/>
      <c r="AH88" s="16"/>
      <c r="AI88" s="16"/>
      <c r="AJ88" s="16"/>
      <c r="AK88" s="16"/>
      <c r="AL88" s="69">
        <f>(SUM(AL$134:AL$148)/15)/(SUM($J$134:$J$148)/15)*BS[[#This Row],[Trenes Corridos]]</f>
        <v>2294.9885987828634</v>
      </c>
      <c r="AM88" s="16"/>
      <c r="AN88" s="16"/>
      <c r="AO88" s="16"/>
      <c r="AP88" s="16"/>
      <c r="AQ88" s="78">
        <v>1999</v>
      </c>
      <c r="AR88" s="79" t="s">
        <v>46</v>
      </c>
      <c r="AS88" s="15"/>
      <c r="AT88" s="15"/>
      <c r="AU88" s="15"/>
      <c r="AV88" s="15"/>
      <c r="AW88" s="15"/>
      <c r="AX88" s="16"/>
      <c r="AY88" s="16"/>
      <c r="AZ88" s="69">
        <f>(SUM(AZ$134:AZ$148)/15)/(SUM($J$134:$J$148)/15)*BS[[#This Row],[Trenes Corridos]]</f>
        <v>254.8893855423506</v>
      </c>
      <c r="BA88" s="16"/>
      <c r="BB88" s="16"/>
      <c r="BC88" s="16"/>
      <c r="BD88" s="16"/>
      <c r="BE88" s="78"/>
      <c r="BF88" s="79"/>
      <c r="BG88" s="15"/>
      <c r="BH88" s="15"/>
      <c r="BI88" s="15"/>
      <c r="BS88" s="78"/>
      <c r="BT88" s="79"/>
      <c r="BU88" s="15"/>
      <c r="BV88" s="15"/>
      <c r="BW88" s="15"/>
      <c r="CA88" s="45"/>
      <c r="CD88" s="45"/>
      <c r="CG88" s="78"/>
      <c r="CH88" s="79"/>
      <c r="CI88" s="15"/>
      <c r="CJ88" s="15"/>
      <c r="CK88" s="15"/>
      <c r="CO88" s="45"/>
      <c r="CR88" s="45"/>
    </row>
    <row r="89" spans="1:96" s="18" customFormat="1" ht="15" customHeight="1">
      <c r="A89" s="80">
        <v>1999</v>
      </c>
      <c r="B89" s="81" t="s">
        <v>47</v>
      </c>
      <c r="C89" s="15">
        <f t="shared" si="17"/>
        <v>0.98910741301059002</v>
      </c>
      <c r="D89" s="15">
        <f t="shared" si="18"/>
        <v>0.99195873160370207</v>
      </c>
      <c r="E89" s="15">
        <f t="shared" si="19"/>
        <v>0.997125567322239</v>
      </c>
      <c r="F89" s="16">
        <f t="shared" si="16"/>
        <v>0</v>
      </c>
      <c r="G8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9" s="16">
        <v>6610</v>
      </c>
      <c r="I89" s="16">
        <f t="shared" si="20"/>
        <v>19</v>
      </c>
      <c r="J89" s="16">
        <v>6591</v>
      </c>
      <c r="K89" s="16">
        <v>6538</v>
      </c>
      <c r="L89" s="16">
        <f t="shared" si="21"/>
        <v>53</v>
      </c>
      <c r="M89" s="16"/>
      <c r="N89" s="16"/>
      <c r="O89" s="80">
        <v>1999</v>
      </c>
      <c r="P89" s="81" t="s">
        <v>47</v>
      </c>
      <c r="Q89" s="15"/>
      <c r="R89" s="15"/>
      <c r="S89" s="15"/>
      <c r="T89" s="16"/>
      <c r="U89" s="16"/>
      <c r="V89" s="16"/>
      <c r="W89" s="16"/>
      <c r="X89" s="69">
        <f>(SUM(X$134:X$148)/15)/(SUM($J$134:$J$148)/15)*BS[[#This Row],[Trenes Corridos]]</f>
        <v>4012.1683604898744</v>
      </c>
      <c r="Y89" s="16"/>
      <c r="Z89" s="16"/>
      <c r="AA89" s="16"/>
      <c r="AB89" s="16"/>
      <c r="AC89" s="80">
        <v>1999</v>
      </c>
      <c r="AD89" s="81" t="s">
        <v>47</v>
      </c>
      <c r="AE89" s="15"/>
      <c r="AF89" s="15"/>
      <c r="AG89" s="15"/>
      <c r="AH89" s="16"/>
      <c r="AI89" s="16"/>
      <c r="AJ89" s="16"/>
      <c r="AK89" s="16"/>
      <c r="AL89" s="69">
        <f>(SUM(AL$134:AL$148)/15)/(SUM($J$134:$J$148)/15)*BS[[#This Row],[Trenes Corridos]]</f>
        <v>2321.0480059195725</v>
      </c>
      <c r="AM89" s="16"/>
      <c r="AN89" s="16"/>
      <c r="AO89" s="16"/>
      <c r="AP89" s="16"/>
      <c r="AQ89" s="80">
        <v>1999</v>
      </c>
      <c r="AR89" s="81" t="s">
        <v>47</v>
      </c>
      <c r="AS89" s="15"/>
      <c r="AT89" s="15"/>
      <c r="AU89" s="15"/>
      <c r="AV89" s="15"/>
      <c r="AW89" s="15"/>
      <c r="AX89" s="16"/>
      <c r="AY89" s="16"/>
      <c r="AZ89" s="69">
        <f>(SUM(AZ$134:AZ$148)/15)/(SUM($J$134:$J$148)/15)*BS[[#This Row],[Trenes Corridos]]</f>
        <v>257.78363359055282</v>
      </c>
      <c r="BA89" s="16"/>
      <c r="BB89" s="16"/>
      <c r="BC89" s="16"/>
      <c r="BD89" s="16"/>
      <c r="BE89" s="80"/>
      <c r="BF89" s="81"/>
      <c r="BG89" s="15"/>
      <c r="BH89" s="15"/>
      <c r="BI89" s="15"/>
      <c r="BS89" s="80"/>
      <c r="BT89" s="81"/>
      <c r="BU89" s="15"/>
      <c r="BV89" s="15"/>
      <c r="BW89" s="15"/>
      <c r="CA89" s="45"/>
      <c r="CD89" s="45"/>
      <c r="CG89" s="80"/>
      <c r="CH89" s="81"/>
      <c r="CI89" s="15"/>
      <c r="CJ89" s="15"/>
      <c r="CK89" s="15"/>
      <c r="CO89" s="45"/>
      <c r="CR89" s="45"/>
    </row>
    <row r="90" spans="1:96" s="18" customFormat="1" ht="15" customHeight="1">
      <c r="A90" s="78">
        <v>2000</v>
      </c>
      <c r="B90" s="79" t="s">
        <v>36</v>
      </c>
      <c r="C90" s="15">
        <f t="shared" si="17"/>
        <v>0.98400121895474635</v>
      </c>
      <c r="D90" s="15">
        <f t="shared" si="18"/>
        <v>0.98912544034308469</v>
      </c>
      <c r="E90" s="15">
        <f t="shared" si="19"/>
        <v>0.99481944232820352</v>
      </c>
      <c r="F90" s="16">
        <f t="shared" si="16"/>
        <v>0</v>
      </c>
      <c r="G9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0" s="16">
        <v>6563</v>
      </c>
      <c r="I90" s="16">
        <f t="shared" ref="I90:I101" si="22">H90-J90</f>
        <v>34</v>
      </c>
      <c r="J90" s="16">
        <v>6529</v>
      </c>
      <c r="K90" s="16">
        <v>6458</v>
      </c>
      <c r="L90" s="16">
        <f t="shared" ref="L90:L101" si="23">J90-K90</f>
        <v>71</v>
      </c>
      <c r="M90" s="16"/>
      <c r="N90" s="16"/>
      <c r="O90" s="78">
        <v>2000</v>
      </c>
      <c r="P90" s="79" t="s">
        <v>36</v>
      </c>
      <c r="Q90" s="15"/>
      <c r="R90" s="15"/>
      <c r="S90" s="15"/>
      <c r="T90" s="16"/>
      <c r="U90" s="16"/>
      <c r="V90" s="16"/>
      <c r="W90" s="16"/>
      <c r="X90" s="69">
        <f>(SUM(X$134:X$148)/15)/(SUM($J$134:$J$148)/15)*BS[[#This Row],[Trenes Corridos]]</f>
        <v>3974.4268283475026</v>
      </c>
      <c r="Y90" s="16"/>
      <c r="Z90" s="16"/>
      <c r="AA90" s="16"/>
      <c r="AB90" s="16"/>
      <c r="AC90" s="78">
        <v>2000</v>
      </c>
      <c r="AD90" s="79" t="s">
        <v>36</v>
      </c>
      <c r="AE90" s="15"/>
      <c r="AF90" s="15"/>
      <c r="AG90" s="15"/>
      <c r="AH90" s="16"/>
      <c r="AI90" s="16"/>
      <c r="AJ90" s="16"/>
      <c r="AK90" s="16"/>
      <c r="AL90" s="69">
        <f>(SUM(AL$134:AL$148)/15)/(SUM($J$134:$J$148)/15)*BS[[#This Row],[Trenes Corridos]]</f>
        <v>2299.2144485888161</v>
      </c>
      <c r="AM90" s="16"/>
      <c r="AN90" s="16"/>
      <c r="AO90" s="16"/>
      <c r="AP90" s="16"/>
      <c r="AQ90" s="78">
        <v>2000</v>
      </c>
      <c r="AR90" s="79" t="s">
        <v>36</v>
      </c>
      <c r="AS90" s="15"/>
      <c r="AT90" s="15"/>
      <c r="AU90" s="15"/>
      <c r="AV90" s="15"/>
      <c r="AW90" s="15"/>
      <c r="AX90" s="16"/>
      <c r="AY90" s="16"/>
      <c r="AZ90" s="69">
        <f>(SUM(AZ$134:AZ$148)/15)/(SUM($J$134:$J$148)/15)*BS[[#This Row],[Trenes Corridos]]</f>
        <v>255.35872306368069</v>
      </c>
      <c r="BA90" s="16"/>
      <c r="BB90" s="16"/>
      <c r="BC90" s="16"/>
      <c r="BD90" s="16"/>
      <c r="BE90" s="78"/>
      <c r="BF90" s="79"/>
      <c r="BG90" s="15"/>
      <c r="BH90" s="15"/>
      <c r="BI90" s="15"/>
      <c r="BS90" s="78"/>
      <c r="BT90" s="79"/>
      <c r="BU90" s="15"/>
      <c r="BV90" s="15"/>
      <c r="BW90" s="15"/>
      <c r="CA90" s="45"/>
      <c r="CD90" s="45"/>
      <c r="CG90" s="78"/>
      <c r="CH90" s="79"/>
      <c r="CI90" s="15"/>
      <c r="CJ90" s="15"/>
      <c r="CK90" s="15"/>
      <c r="CO90" s="45"/>
      <c r="CR90" s="45"/>
    </row>
    <row r="91" spans="1:96" s="18" customFormat="1" ht="15" customHeight="1">
      <c r="A91" s="80">
        <v>2000</v>
      </c>
      <c r="B91" s="81" t="s">
        <v>37</v>
      </c>
      <c r="C91" s="15">
        <f t="shared" si="17"/>
        <v>0.99809190650341861</v>
      </c>
      <c r="D91" s="15">
        <f t="shared" si="18"/>
        <v>0.99872712808273667</v>
      </c>
      <c r="E91" s="15">
        <f t="shared" si="19"/>
        <v>0.99936396883447287</v>
      </c>
      <c r="F91" s="16">
        <f t="shared" si="16"/>
        <v>0</v>
      </c>
      <c r="G9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1" s="16">
        <v>6289</v>
      </c>
      <c r="I91" s="16">
        <f t="shared" si="22"/>
        <v>4</v>
      </c>
      <c r="J91" s="16">
        <v>6285</v>
      </c>
      <c r="K91" s="16">
        <v>6277</v>
      </c>
      <c r="L91" s="16">
        <f t="shared" si="23"/>
        <v>8</v>
      </c>
      <c r="M91" s="16"/>
      <c r="N91" s="16"/>
      <c r="O91" s="80">
        <v>2000</v>
      </c>
      <c r="P91" s="81" t="s">
        <v>37</v>
      </c>
      <c r="Q91" s="15"/>
      <c r="R91" s="15"/>
      <c r="S91" s="15"/>
      <c r="T91" s="16"/>
      <c r="U91" s="16"/>
      <c r="V91" s="16"/>
      <c r="W91" s="16"/>
      <c r="X91" s="69">
        <f>(SUM(X$134:X$148)/15)/(SUM($J$134:$J$148)/15)*BS[[#This Row],[Trenes Corridos]]</f>
        <v>3825.8956373355882</v>
      </c>
      <c r="Y91" s="16"/>
      <c r="Z91" s="16"/>
      <c r="AA91" s="16"/>
      <c r="AB91" s="16"/>
      <c r="AC91" s="80">
        <v>2000</v>
      </c>
      <c r="AD91" s="81" t="s">
        <v>37</v>
      </c>
      <c r="AE91" s="15"/>
      <c r="AF91" s="15"/>
      <c r="AG91" s="15"/>
      <c r="AH91" s="16"/>
      <c r="AI91" s="16"/>
      <c r="AJ91" s="16"/>
      <c r="AK91" s="16"/>
      <c r="AL91" s="69">
        <f>(SUM(AL$134:AL$148)/15)/(SUM($J$134:$J$148)/15)*BS[[#This Row],[Trenes Corridos]]</f>
        <v>2213.288835867776</v>
      </c>
      <c r="AM91" s="16"/>
      <c r="AN91" s="16"/>
      <c r="AO91" s="16"/>
      <c r="AP91" s="16"/>
      <c r="AQ91" s="80">
        <v>2000</v>
      </c>
      <c r="AR91" s="81" t="s">
        <v>37</v>
      </c>
      <c r="AS91" s="15"/>
      <c r="AT91" s="15"/>
      <c r="AU91" s="15"/>
      <c r="AV91" s="15"/>
      <c r="AW91" s="15"/>
      <c r="AX91" s="16"/>
      <c r="AY91" s="16"/>
      <c r="AZ91" s="69">
        <f>(SUM(AZ$134:AZ$148)/15)/(SUM($J$134:$J$148)/15)*BS[[#This Row],[Trenes Corridos]]</f>
        <v>245.81552679663548</v>
      </c>
      <c r="BA91" s="16"/>
      <c r="BB91" s="16"/>
      <c r="BC91" s="16"/>
      <c r="BD91" s="16"/>
      <c r="BE91" s="80"/>
      <c r="BF91" s="81"/>
      <c r="BG91" s="15"/>
      <c r="BH91" s="15"/>
      <c r="BI91" s="15"/>
      <c r="BS91" s="80"/>
      <c r="BT91" s="81"/>
      <c r="BU91" s="15"/>
      <c r="BV91" s="15"/>
      <c r="BW91" s="15"/>
      <c r="CA91" s="45"/>
      <c r="CD91" s="45"/>
      <c r="CG91" s="80"/>
      <c r="CH91" s="81"/>
      <c r="CI91" s="15"/>
      <c r="CJ91" s="15"/>
      <c r="CK91" s="15"/>
      <c r="CO91" s="45"/>
      <c r="CR91" s="45"/>
    </row>
    <row r="92" spans="1:96" s="18" customFormat="1" ht="15" customHeight="1">
      <c r="A92" s="78">
        <v>2000</v>
      </c>
      <c r="B92" s="79" t="s">
        <v>38</v>
      </c>
      <c r="C92" s="15">
        <f t="shared" si="17"/>
        <v>0.99024101730001479</v>
      </c>
      <c r="D92" s="15">
        <f t="shared" si="18"/>
        <v>0.99702248027393181</v>
      </c>
      <c r="E92" s="15">
        <f t="shared" si="19"/>
        <v>0.99319828478485883</v>
      </c>
      <c r="F92" s="16">
        <f t="shared" si="16"/>
        <v>0</v>
      </c>
      <c r="G9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2" s="16">
        <v>6763</v>
      </c>
      <c r="I92" s="16">
        <f t="shared" si="22"/>
        <v>46</v>
      </c>
      <c r="J92" s="16">
        <v>6717</v>
      </c>
      <c r="K92" s="16">
        <v>6697</v>
      </c>
      <c r="L92" s="16">
        <f t="shared" si="23"/>
        <v>20</v>
      </c>
      <c r="M92" s="16"/>
      <c r="N92" s="16"/>
      <c r="O92" s="78">
        <v>2000</v>
      </c>
      <c r="P92" s="79" t="s">
        <v>38</v>
      </c>
      <c r="Q92" s="15"/>
      <c r="R92" s="15"/>
      <c r="S92" s="15"/>
      <c r="T92" s="16"/>
      <c r="U92" s="16"/>
      <c r="V92" s="16"/>
      <c r="W92" s="16"/>
      <c r="X92" s="69">
        <f>(SUM(X$134:X$148)/15)/(SUM($J$134:$J$148)/15)*BS[[#This Row],[Trenes Corridos]]</f>
        <v>4088.8688935534042</v>
      </c>
      <c r="Y92" s="16"/>
      <c r="Z92" s="16"/>
      <c r="AA92" s="16"/>
      <c r="AB92" s="16"/>
      <c r="AC92" s="78">
        <v>2000</v>
      </c>
      <c r="AD92" s="79" t="s">
        <v>38</v>
      </c>
      <c r="AE92" s="15"/>
      <c r="AF92" s="15"/>
      <c r="AG92" s="15"/>
      <c r="AH92" s="16"/>
      <c r="AI92" s="16"/>
      <c r="AJ92" s="16"/>
      <c r="AK92" s="16"/>
      <c r="AL92" s="69">
        <f>(SUM(AL$134:AL$148)/15)/(SUM($J$134:$J$148)/15)*BS[[#This Row],[Trenes Corridos]]</f>
        <v>2365.4194288820768</v>
      </c>
      <c r="AM92" s="16"/>
      <c r="AN92" s="16"/>
      <c r="AO92" s="16"/>
      <c r="AP92" s="16"/>
      <c r="AQ92" s="78">
        <v>2000</v>
      </c>
      <c r="AR92" s="79" t="s">
        <v>38</v>
      </c>
      <c r="AS92" s="15"/>
      <c r="AT92" s="15"/>
      <c r="AU92" s="15"/>
      <c r="AV92" s="15"/>
      <c r="AW92" s="15"/>
      <c r="AX92" s="16"/>
      <c r="AY92" s="16"/>
      <c r="AZ92" s="69">
        <f>(SUM(AZ$134:AZ$148)/15)/(SUM($J$134:$J$148)/15)*BS[[#This Row],[Trenes Corridos]]</f>
        <v>262.71167756451877</v>
      </c>
      <c r="BA92" s="16"/>
      <c r="BB92" s="16"/>
      <c r="BC92" s="16"/>
      <c r="BD92" s="16"/>
      <c r="BE92" s="78"/>
      <c r="BF92" s="79"/>
      <c r="BG92" s="15"/>
      <c r="BH92" s="15"/>
      <c r="BI92" s="15"/>
      <c r="BS92" s="78"/>
      <c r="BT92" s="79"/>
      <c r="BU92" s="15"/>
      <c r="BV92" s="15"/>
      <c r="BW92" s="15"/>
      <c r="CA92" s="45"/>
      <c r="CD92" s="45"/>
      <c r="CG92" s="78"/>
      <c r="CH92" s="79"/>
      <c r="CI92" s="15"/>
      <c r="CJ92" s="15"/>
      <c r="CK92" s="15"/>
      <c r="CO92" s="45"/>
      <c r="CR92" s="45"/>
    </row>
    <row r="93" spans="1:96" s="18" customFormat="1" ht="15" customHeight="1">
      <c r="A93" s="80">
        <v>2000</v>
      </c>
      <c r="B93" s="81" t="s">
        <v>39</v>
      </c>
      <c r="C93" s="15">
        <f t="shared" si="17"/>
        <v>0.99807630650849632</v>
      </c>
      <c r="D93" s="15">
        <f t="shared" si="18"/>
        <v>0.99903722721437738</v>
      </c>
      <c r="E93" s="15">
        <f t="shared" si="19"/>
        <v>0.99903815325424816</v>
      </c>
      <c r="F93" s="16">
        <f t="shared" si="16"/>
        <v>0</v>
      </c>
      <c r="G9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3" s="16">
        <v>6238</v>
      </c>
      <c r="I93" s="16">
        <f t="shared" si="22"/>
        <v>6</v>
      </c>
      <c r="J93" s="16">
        <v>6232</v>
      </c>
      <c r="K93" s="16">
        <v>6226</v>
      </c>
      <c r="L93" s="16">
        <f t="shared" si="23"/>
        <v>6</v>
      </c>
      <c r="M93" s="16"/>
      <c r="N93" s="16"/>
      <c r="O93" s="80">
        <v>2000</v>
      </c>
      <c r="P93" s="81" t="s">
        <v>39</v>
      </c>
      <c r="Q93" s="15"/>
      <c r="R93" s="15"/>
      <c r="S93" s="15"/>
      <c r="T93" s="16"/>
      <c r="U93" s="16"/>
      <c r="V93" s="16"/>
      <c r="W93" s="16"/>
      <c r="X93" s="69">
        <f>(SUM(X$134:X$148)/15)/(SUM($J$134:$J$148)/15)*BS[[#This Row],[Trenes Corridos]]</f>
        <v>3793.6327146977542</v>
      </c>
      <c r="Y93" s="16"/>
      <c r="Z93" s="16"/>
      <c r="AA93" s="16"/>
      <c r="AB93" s="16"/>
      <c r="AC93" s="80">
        <v>2000</v>
      </c>
      <c r="AD93" s="81" t="s">
        <v>39</v>
      </c>
      <c r="AE93" s="15"/>
      <c r="AF93" s="15"/>
      <c r="AG93" s="15"/>
      <c r="AH93" s="16"/>
      <c r="AI93" s="16"/>
      <c r="AJ93" s="16"/>
      <c r="AK93" s="16"/>
      <c r="AL93" s="69">
        <f>(SUM(AL$134:AL$148)/15)/(SUM($J$134:$J$148)/15)*BS[[#This Row],[Trenes Corridos]]</f>
        <v>2194.6246658914843</v>
      </c>
      <c r="AM93" s="16"/>
      <c r="AN93" s="16"/>
      <c r="AO93" s="16"/>
      <c r="AP93" s="16"/>
      <c r="AQ93" s="80">
        <v>2000</v>
      </c>
      <c r="AR93" s="81" t="s">
        <v>39</v>
      </c>
      <c r="AS93" s="15"/>
      <c r="AT93" s="15"/>
      <c r="AU93" s="15"/>
      <c r="AV93" s="15"/>
      <c r="AW93" s="15"/>
      <c r="AX93" s="16"/>
      <c r="AY93" s="16"/>
      <c r="AZ93" s="69">
        <f>(SUM(AZ$134:AZ$148)/15)/(SUM($J$134:$J$148)/15)*BS[[#This Row],[Trenes Corridos]]</f>
        <v>243.74261941076091</v>
      </c>
      <c r="BA93" s="16"/>
      <c r="BB93" s="16"/>
      <c r="BC93" s="16"/>
      <c r="BD93" s="16"/>
      <c r="BE93" s="80"/>
      <c r="BF93" s="81"/>
      <c r="BG93" s="15"/>
      <c r="BH93" s="15"/>
      <c r="BI93" s="15"/>
      <c r="BS93" s="80"/>
      <c r="BT93" s="81"/>
      <c r="BU93" s="15"/>
      <c r="BV93" s="15"/>
      <c r="BW93" s="15"/>
      <c r="CA93" s="45"/>
      <c r="CD93" s="45"/>
      <c r="CG93" s="80"/>
      <c r="CH93" s="81"/>
      <c r="CI93" s="15"/>
      <c r="CJ93" s="15"/>
      <c r="CK93" s="15"/>
      <c r="CO93" s="45"/>
      <c r="CR93" s="45"/>
    </row>
    <row r="94" spans="1:96" s="18" customFormat="1" ht="15" customHeight="1">
      <c r="A94" s="78">
        <v>2000</v>
      </c>
      <c r="B94" s="79" t="s">
        <v>40</v>
      </c>
      <c r="C94" s="15">
        <f t="shared" si="17"/>
        <v>0.9782178217821782</v>
      </c>
      <c r="D94" s="15">
        <f t="shared" si="18"/>
        <v>0.98030834987024884</v>
      </c>
      <c r="E94" s="15">
        <f t="shared" si="19"/>
        <v>0.99786747905559792</v>
      </c>
      <c r="F94" s="16">
        <f t="shared" si="16"/>
        <v>0</v>
      </c>
      <c r="G9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4" s="16">
        <v>6565</v>
      </c>
      <c r="I94" s="16">
        <f t="shared" si="22"/>
        <v>14</v>
      </c>
      <c r="J94" s="16">
        <v>6551</v>
      </c>
      <c r="K94" s="16">
        <v>6422</v>
      </c>
      <c r="L94" s="16">
        <f t="shared" si="23"/>
        <v>129</v>
      </c>
      <c r="M94" s="16"/>
      <c r="N94" s="16"/>
      <c r="O94" s="78">
        <v>2000</v>
      </c>
      <c r="P94" s="79" t="s">
        <v>40</v>
      </c>
      <c r="Q94" s="15"/>
      <c r="R94" s="15"/>
      <c r="S94" s="15"/>
      <c r="T94" s="16"/>
      <c r="U94" s="16"/>
      <c r="V94" s="16"/>
      <c r="W94" s="16"/>
      <c r="X94" s="69">
        <f>(SUM(X$134:X$148)/15)/(SUM($J$134:$J$148)/15)*BS[[#This Row],[Trenes Corridos]]</f>
        <v>3987.8189849141509</v>
      </c>
      <c r="Y94" s="16"/>
      <c r="Z94" s="16"/>
      <c r="AA94" s="16"/>
      <c r="AB94" s="16"/>
      <c r="AC94" s="78">
        <v>2000</v>
      </c>
      <c r="AD94" s="79" t="s">
        <v>40</v>
      </c>
      <c r="AE94" s="15"/>
      <c r="AF94" s="15"/>
      <c r="AG94" s="15"/>
      <c r="AH94" s="16"/>
      <c r="AI94" s="16"/>
      <c r="AJ94" s="16"/>
      <c r="AK94" s="16"/>
      <c r="AL94" s="69">
        <f>(SUM(AL$134:AL$148)/15)/(SUM($J$134:$J$148)/15)*BS[[#This Row],[Trenes Corridos]]</f>
        <v>2306.9618398997295</v>
      </c>
      <c r="AM94" s="16"/>
      <c r="AN94" s="16"/>
      <c r="AO94" s="16"/>
      <c r="AP94" s="16"/>
      <c r="AQ94" s="78">
        <v>2000</v>
      </c>
      <c r="AR94" s="79" t="s">
        <v>40</v>
      </c>
      <c r="AS94" s="15"/>
      <c r="AT94" s="15"/>
      <c r="AU94" s="15"/>
      <c r="AV94" s="15"/>
      <c r="AW94" s="15"/>
      <c r="AX94" s="16"/>
      <c r="AY94" s="16"/>
      <c r="AZ94" s="69">
        <f>(SUM(AZ$134:AZ$148)/15)/(SUM($J$134:$J$148)/15)*BS[[#This Row],[Trenes Corridos]]</f>
        <v>256.21917518611917</v>
      </c>
      <c r="BA94" s="16"/>
      <c r="BB94" s="16"/>
      <c r="BC94" s="16"/>
      <c r="BD94" s="16"/>
      <c r="BE94" s="78"/>
      <c r="BF94" s="79"/>
      <c r="BG94" s="15"/>
      <c r="BH94" s="15"/>
      <c r="BI94" s="15"/>
      <c r="BS94" s="78"/>
      <c r="BT94" s="79"/>
      <c r="BU94" s="15"/>
      <c r="BV94" s="15"/>
      <c r="BW94" s="15"/>
      <c r="CA94" s="45"/>
      <c r="CD94" s="45"/>
      <c r="CG94" s="78"/>
      <c r="CH94" s="79"/>
      <c r="CI94" s="15"/>
      <c r="CJ94" s="15"/>
      <c r="CK94" s="15"/>
      <c r="CO94" s="45"/>
      <c r="CR94" s="45"/>
    </row>
    <row r="95" spans="1:96" s="18" customFormat="1" ht="15" customHeight="1">
      <c r="A95" s="80">
        <v>2000</v>
      </c>
      <c r="B95" s="81" t="s">
        <v>41</v>
      </c>
      <c r="C95" s="15">
        <f t="shared" si="17"/>
        <v>0.94028436018957351</v>
      </c>
      <c r="D95" s="15">
        <f t="shared" si="18"/>
        <v>0.9485258964143426</v>
      </c>
      <c r="E95" s="15">
        <f t="shared" si="19"/>
        <v>0.99131121642969988</v>
      </c>
      <c r="F95" s="16">
        <f t="shared" si="16"/>
        <v>0</v>
      </c>
      <c r="G9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5" s="16">
        <v>6330</v>
      </c>
      <c r="I95" s="16">
        <f t="shared" si="22"/>
        <v>55</v>
      </c>
      <c r="J95" s="16">
        <v>6275</v>
      </c>
      <c r="K95" s="16">
        <v>5952</v>
      </c>
      <c r="L95" s="16">
        <f t="shared" si="23"/>
        <v>323</v>
      </c>
      <c r="M95" s="16"/>
      <c r="N95" s="16"/>
      <c r="O95" s="80">
        <v>2000</v>
      </c>
      <c r="P95" s="81" t="s">
        <v>41</v>
      </c>
      <c r="Q95" s="15"/>
      <c r="R95" s="15"/>
      <c r="S95" s="15"/>
      <c r="T95" s="16"/>
      <c r="U95" s="16"/>
      <c r="V95" s="16"/>
      <c r="W95" s="16"/>
      <c r="X95" s="69">
        <f>(SUM(X$134:X$148)/15)/(SUM($J$134:$J$148)/15)*BS[[#This Row],[Trenes Corridos]]</f>
        <v>3819.808293441657</v>
      </c>
      <c r="Y95" s="16"/>
      <c r="Z95" s="16"/>
      <c r="AA95" s="16"/>
      <c r="AB95" s="16"/>
      <c r="AC95" s="80">
        <v>2000</v>
      </c>
      <c r="AD95" s="81" t="s">
        <v>41</v>
      </c>
      <c r="AE95" s="15"/>
      <c r="AF95" s="15"/>
      <c r="AG95" s="15"/>
      <c r="AH95" s="16"/>
      <c r="AI95" s="16"/>
      <c r="AJ95" s="16"/>
      <c r="AK95" s="16"/>
      <c r="AL95" s="69">
        <f>(SUM(AL$134:AL$148)/15)/(SUM($J$134:$J$148)/15)*BS[[#This Row],[Trenes Corridos]]</f>
        <v>2209.7672943628154</v>
      </c>
      <c r="AM95" s="16"/>
      <c r="AN95" s="16"/>
      <c r="AO95" s="16"/>
      <c r="AP95" s="16"/>
      <c r="AQ95" s="80">
        <v>2000</v>
      </c>
      <c r="AR95" s="81" t="s">
        <v>41</v>
      </c>
      <c r="AS95" s="15"/>
      <c r="AT95" s="15"/>
      <c r="AU95" s="15"/>
      <c r="AV95" s="15"/>
      <c r="AW95" s="15"/>
      <c r="AX95" s="16"/>
      <c r="AY95" s="16"/>
      <c r="AZ95" s="69">
        <f>(SUM(AZ$134:AZ$148)/15)/(SUM($J$134:$J$148)/15)*BS[[#This Row],[Trenes Corridos]]</f>
        <v>245.42441219552708</v>
      </c>
      <c r="BA95" s="16"/>
      <c r="BB95" s="16"/>
      <c r="BC95" s="16"/>
      <c r="BD95" s="16"/>
      <c r="BE95" s="80"/>
      <c r="BF95" s="81"/>
      <c r="BG95" s="15"/>
      <c r="BH95" s="15"/>
      <c r="BI95" s="15"/>
      <c r="BS95" s="80"/>
      <c r="BT95" s="81"/>
      <c r="BU95" s="15"/>
      <c r="BV95" s="15"/>
      <c r="BW95" s="15"/>
      <c r="CA95" s="45"/>
      <c r="CD95" s="45"/>
      <c r="CG95" s="80"/>
      <c r="CH95" s="81"/>
      <c r="CI95" s="15"/>
      <c r="CJ95" s="15"/>
      <c r="CK95" s="15"/>
      <c r="CO95" s="45"/>
      <c r="CR95" s="45"/>
    </row>
    <row r="96" spans="1:96" s="18" customFormat="1" ht="15" customHeight="1">
      <c r="A96" s="78">
        <v>2000</v>
      </c>
      <c r="B96" s="79" t="s">
        <v>42</v>
      </c>
      <c r="C96" s="15">
        <f t="shared" si="17"/>
        <v>0.97309145880574455</v>
      </c>
      <c r="D96" s="15">
        <f t="shared" si="18"/>
        <v>0.98154925282098204</v>
      </c>
      <c r="E96" s="15">
        <f t="shared" si="19"/>
        <v>0.99138321995464851</v>
      </c>
      <c r="F96" s="16">
        <f t="shared" si="16"/>
        <v>0</v>
      </c>
      <c r="G9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6" s="16">
        <v>6615</v>
      </c>
      <c r="I96" s="16">
        <f t="shared" si="22"/>
        <v>57</v>
      </c>
      <c r="J96" s="16">
        <v>6558</v>
      </c>
      <c r="K96" s="16">
        <v>6437</v>
      </c>
      <c r="L96" s="16">
        <f t="shared" si="23"/>
        <v>121</v>
      </c>
      <c r="M96" s="16"/>
      <c r="N96" s="16"/>
      <c r="O96" s="78">
        <v>2000</v>
      </c>
      <c r="P96" s="79" t="s">
        <v>42</v>
      </c>
      <c r="Q96" s="15"/>
      <c r="R96" s="15"/>
      <c r="S96" s="15"/>
      <c r="T96" s="16"/>
      <c r="U96" s="16"/>
      <c r="V96" s="16"/>
      <c r="W96" s="16"/>
      <c r="X96" s="69">
        <f>(SUM(X$134:X$148)/15)/(SUM($J$134:$J$148)/15)*BS[[#This Row],[Trenes Corridos]]</f>
        <v>3992.0801256399022</v>
      </c>
      <c r="Y96" s="16"/>
      <c r="Z96" s="16"/>
      <c r="AA96" s="16"/>
      <c r="AB96" s="16"/>
      <c r="AC96" s="78">
        <v>2000</v>
      </c>
      <c r="AD96" s="79" t="s">
        <v>42</v>
      </c>
      <c r="AE96" s="15"/>
      <c r="AF96" s="15"/>
      <c r="AG96" s="15"/>
      <c r="AH96" s="16"/>
      <c r="AI96" s="16"/>
      <c r="AJ96" s="16"/>
      <c r="AK96" s="16"/>
      <c r="AL96" s="69">
        <f>(SUM(AL$134:AL$148)/15)/(SUM($J$134:$J$148)/15)*BS[[#This Row],[Trenes Corridos]]</f>
        <v>2309.4269189532019</v>
      </c>
      <c r="AM96" s="16"/>
      <c r="AN96" s="16"/>
      <c r="AO96" s="16"/>
      <c r="AP96" s="16"/>
      <c r="AQ96" s="78">
        <v>2000</v>
      </c>
      <c r="AR96" s="79" t="s">
        <v>42</v>
      </c>
      <c r="AS96" s="15"/>
      <c r="AT96" s="15"/>
      <c r="AU96" s="15"/>
      <c r="AV96" s="15"/>
      <c r="AW96" s="15"/>
      <c r="AX96" s="16"/>
      <c r="AY96" s="16"/>
      <c r="AZ96" s="69">
        <f>(SUM(AZ$134:AZ$148)/15)/(SUM($J$134:$J$148)/15)*BS[[#This Row],[Trenes Corridos]]</f>
        <v>256.49295540689508</v>
      </c>
      <c r="BA96" s="16"/>
      <c r="BB96" s="16"/>
      <c r="BC96" s="16"/>
      <c r="BD96" s="16"/>
      <c r="BE96" s="78"/>
      <c r="BF96" s="79"/>
      <c r="BG96" s="15"/>
      <c r="BH96" s="15"/>
      <c r="BI96" s="15"/>
      <c r="BS96" s="78"/>
      <c r="BT96" s="79"/>
      <c r="BU96" s="15"/>
      <c r="BV96" s="15"/>
      <c r="BW96" s="15"/>
      <c r="CA96" s="45"/>
      <c r="CD96" s="45"/>
      <c r="CG96" s="78"/>
      <c r="CH96" s="79"/>
      <c r="CI96" s="15"/>
      <c r="CJ96" s="15"/>
      <c r="CK96" s="15"/>
      <c r="CO96" s="45"/>
      <c r="CR96" s="45"/>
    </row>
    <row r="97" spans="1:96" s="18" customFormat="1" ht="15" customHeight="1">
      <c r="A97" s="80">
        <v>2000</v>
      </c>
      <c r="B97" s="81" t="s">
        <v>43</v>
      </c>
      <c r="C97" s="15">
        <f t="shared" si="17"/>
        <v>0.99505321540998348</v>
      </c>
      <c r="D97" s="15">
        <f t="shared" si="18"/>
        <v>0.99774537802495111</v>
      </c>
      <c r="E97" s="15">
        <f t="shared" si="19"/>
        <v>0.99730175385999098</v>
      </c>
      <c r="F97" s="16">
        <f t="shared" si="16"/>
        <v>0</v>
      </c>
      <c r="G9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7" s="16">
        <v>6671</v>
      </c>
      <c r="I97" s="16">
        <f t="shared" si="22"/>
        <v>18</v>
      </c>
      <c r="J97" s="16">
        <v>6653</v>
      </c>
      <c r="K97" s="16">
        <v>6638</v>
      </c>
      <c r="L97" s="16">
        <f t="shared" si="23"/>
        <v>15</v>
      </c>
      <c r="M97" s="16"/>
      <c r="N97" s="16"/>
      <c r="O97" s="80">
        <v>2000</v>
      </c>
      <c r="P97" s="81" t="s">
        <v>43</v>
      </c>
      <c r="Q97" s="15"/>
      <c r="R97" s="15"/>
      <c r="S97" s="15"/>
      <c r="T97" s="16"/>
      <c r="U97" s="16"/>
      <c r="V97" s="16"/>
      <c r="W97" s="16"/>
      <c r="X97" s="69">
        <f>(SUM(X$134:X$148)/15)/(SUM($J$134:$J$148)/15)*BS[[#This Row],[Trenes Corridos]]</f>
        <v>4049.9098926322463</v>
      </c>
      <c r="Y97" s="16"/>
      <c r="Z97" s="16"/>
      <c r="AA97" s="16"/>
      <c r="AB97" s="16"/>
      <c r="AC97" s="80">
        <v>2000</v>
      </c>
      <c r="AD97" s="81" t="s">
        <v>43</v>
      </c>
      <c r="AE97" s="15"/>
      <c r="AF97" s="15"/>
      <c r="AG97" s="15"/>
      <c r="AH97" s="16"/>
      <c r="AI97" s="16"/>
      <c r="AJ97" s="16"/>
      <c r="AK97" s="16"/>
      <c r="AL97" s="69">
        <f>(SUM(AL$134:AL$148)/15)/(SUM($J$134:$J$148)/15)*BS[[#This Row],[Trenes Corridos]]</f>
        <v>2342.8815632503283</v>
      </c>
      <c r="AM97" s="16"/>
      <c r="AN97" s="16"/>
      <c r="AO97" s="16"/>
      <c r="AP97" s="16"/>
      <c r="AQ97" s="80">
        <v>2000</v>
      </c>
      <c r="AR97" s="81" t="s">
        <v>43</v>
      </c>
      <c r="AS97" s="15"/>
      <c r="AT97" s="15"/>
      <c r="AU97" s="15"/>
      <c r="AV97" s="15"/>
      <c r="AW97" s="15"/>
      <c r="AX97" s="16"/>
      <c r="AY97" s="16"/>
      <c r="AZ97" s="69">
        <f>(SUM(AZ$134:AZ$148)/15)/(SUM($J$134:$J$148)/15)*BS[[#This Row],[Trenes Corridos]]</f>
        <v>260.20854411742499</v>
      </c>
      <c r="BA97" s="16"/>
      <c r="BB97" s="16"/>
      <c r="BC97" s="16"/>
      <c r="BD97" s="16"/>
      <c r="BE97" s="80"/>
      <c r="BF97" s="81"/>
      <c r="BG97" s="15"/>
      <c r="BH97" s="15"/>
      <c r="BI97" s="15"/>
      <c r="BS97" s="80"/>
      <c r="BT97" s="81"/>
      <c r="BU97" s="15"/>
      <c r="BV97" s="15"/>
      <c r="BW97" s="15"/>
      <c r="CA97" s="45"/>
      <c r="CD97" s="45"/>
      <c r="CG97" s="80"/>
      <c r="CH97" s="81"/>
      <c r="CI97" s="15"/>
      <c r="CJ97" s="15"/>
      <c r="CK97" s="15"/>
      <c r="CO97" s="45"/>
      <c r="CR97" s="45"/>
    </row>
    <row r="98" spans="1:96" s="18" customFormat="1" ht="15" customHeight="1">
      <c r="A98" s="78">
        <v>2000</v>
      </c>
      <c r="B98" s="79" t="s">
        <v>44</v>
      </c>
      <c r="C98" s="15">
        <f t="shared" si="17"/>
        <v>0.99105628373168853</v>
      </c>
      <c r="D98" s="15">
        <f t="shared" si="18"/>
        <v>0.99535387951060861</v>
      </c>
      <c r="E98" s="15">
        <f t="shared" si="19"/>
        <v>0.99568234387047028</v>
      </c>
      <c r="F98" s="16">
        <f t="shared" si="16"/>
        <v>0</v>
      </c>
      <c r="G9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8" s="16">
        <v>6485</v>
      </c>
      <c r="I98" s="16">
        <f t="shared" si="22"/>
        <v>28</v>
      </c>
      <c r="J98" s="16">
        <v>6457</v>
      </c>
      <c r="K98" s="16">
        <v>6427</v>
      </c>
      <c r="L98" s="16">
        <f t="shared" si="23"/>
        <v>30</v>
      </c>
      <c r="M98" s="16"/>
      <c r="N98" s="16"/>
      <c r="O98" s="78">
        <v>2000</v>
      </c>
      <c r="P98" s="79" t="s">
        <v>44</v>
      </c>
      <c r="Q98" s="15"/>
      <c r="R98" s="15"/>
      <c r="S98" s="15"/>
      <c r="T98" s="16"/>
      <c r="U98" s="16"/>
      <c r="V98" s="16"/>
      <c r="W98" s="16"/>
      <c r="X98" s="69">
        <f>(SUM(X$134:X$148)/15)/(SUM($J$134:$J$148)/15)*BS[[#This Row],[Trenes Corridos]]</f>
        <v>3930.5979523112001</v>
      </c>
      <c r="Y98" s="16"/>
      <c r="Z98" s="16"/>
      <c r="AA98" s="16"/>
      <c r="AB98" s="16"/>
      <c r="AC98" s="78">
        <v>2000</v>
      </c>
      <c r="AD98" s="79" t="s">
        <v>44</v>
      </c>
      <c r="AE98" s="15"/>
      <c r="AF98" s="15"/>
      <c r="AG98" s="15"/>
      <c r="AH98" s="16"/>
      <c r="AI98" s="16"/>
      <c r="AJ98" s="16"/>
      <c r="AK98" s="16"/>
      <c r="AL98" s="69">
        <f>(SUM(AL$134:AL$148)/15)/(SUM($J$134:$J$148)/15)*BS[[#This Row],[Trenes Corridos]]</f>
        <v>2273.8593497530992</v>
      </c>
      <c r="AM98" s="16"/>
      <c r="AN98" s="16"/>
      <c r="AO98" s="16"/>
      <c r="AP98" s="16"/>
      <c r="AQ98" s="78">
        <v>2000</v>
      </c>
      <c r="AR98" s="79" t="s">
        <v>44</v>
      </c>
      <c r="AS98" s="15"/>
      <c r="AT98" s="15"/>
      <c r="AU98" s="15"/>
      <c r="AV98" s="15"/>
      <c r="AW98" s="15"/>
      <c r="AX98" s="16"/>
      <c r="AY98" s="16"/>
      <c r="AZ98" s="69">
        <f>(SUM(AZ$134:AZ$148)/15)/(SUM($J$134:$J$148)/15)*BS[[#This Row],[Trenes Corridos]]</f>
        <v>252.54269793570015</v>
      </c>
      <c r="BA98" s="16"/>
      <c r="BB98" s="16"/>
      <c r="BC98" s="16"/>
      <c r="BD98" s="16"/>
      <c r="BE98" s="78"/>
      <c r="BF98" s="79"/>
      <c r="BG98" s="15"/>
      <c r="BH98" s="15"/>
      <c r="BI98" s="15"/>
      <c r="BS98" s="78"/>
      <c r="BT98" s="79"/>
      <c r="BU98" s="15"/>
      <c r="BV98" s="15"/>
      <c r="BW98" s="15"/>
      <c r="CA98" s="45"/>
      <c r="CD98" s="45"/>
      <c r="CG98" s="78"/>
      <c r="CH98" s="79"/>
      <c r="CI98" s="15"/>
      <c r="CJ98" s="15"/>
      <c r="CK98" s="15"/>
      <c r="CO98" s="45"/>
      <c r="CR98" s="45"/>
    </row>
    <row r="99" spans="1:96" s="18" customFormat="1" ht="15" customHeight="1">
      <c r="A99" s="80">
        <v>2000</v>
      </c>
      <c r="B99" s="81" t="s">
        <v>45</v>
      </c>
      <c r="C99" s="15">
        <f t="shared" si="17"/>
        <v>0.97686805661238774</v>
      </c>
      <c r="D99" s="15">
        <f t="shared" si="18"/>
        <v>0.99704877291084193</v>
      </c>
      <c r="E99" s="15">
        <f t="shared" si="19"/>
        <v>0.97975954953583932</v>
      </c>
      <c r="F99" s="16">
        <f t="shared" si="16"/>
        <v>0</v>
      </c>
      <c r="G9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9" s="16">
        <v>6571</v>
      </c>
      <c r="I99" s="16">
        <f t="shared" si="22"/>
        <v>133</v>
      </c>
      <c r="J99" s="16">
        <v>6438</v>
      </c>
      <c r="K99" s="16">
        <v>6419</v>
      </c>
      <c r="L99" s="16">
        <f t="shared" si="23"/>
        <v>19</v>
      </c>
      <c r="M99" s="16"/>
      <c r="N99" s="16"/>
      <c r="O99" s="80">
        <v>2000</v>
      </c>
      <c r="P99" s="81" t="s">
        <v>45</v>
      </c>
      <c r="Q99" s="15"/>
      <c r="R99" s="15"/>
      <c r="S99" s="15"/>
      <c r="T99" s="16"/>
      <c r="U99" s="16"/>
      <c r="V99" s="16"/>
      <c r="W99" s="16"/>
      <c r="X99" s="69">
        <f>(SUM(X$134:X$148)/15)/(SUM($J$134:$J$148)/15)*BS[[#This Row],[Trenes Corridos]]</f>
        <v>3919.0319989127311</v>
      </c>
      <c r="Y99" s="16"/>
      <c r="Z99" s="16"/>
      <c r="AA99" s="16"/>
      <c r="AB99" s="16"/>
      <c r="AC99" s="80">
        <v>2000</v>
      </c>
      <c r="AD99" s="81" t="s">
        <v>45</v>
      </c>
      <c r="AE99" s="15"/>
      <c r="AF99" s="15"/>
      <c r="AG99" s="15"/>
      <c r="AH99" s="16"/>
      <c r="AI99" s="16"/>
      <c r="AJ99" s="16"/>
      <c r="AK99" s="16"/>
      <c r="AL99" s="69">
        <f>(SUM(AL$134:AL$148)/15)/(SUM($J$134:$J$148)/15)*BS[[#This Row],[Trenes Corridos]]</f>
        <v>2267.168420893674</v>
      </c>
      <c r="AM99" s="16"/>
      <c r="AN99" s="16"/>
      <c r="AO99" s="16"/>
      <c r="AP99" s="16"/>
      <c r="AQ99" s="80">
        <v>2000</v>
      </c>
      <c r="AR99" s="81" t="s">
        <v>45</v>
      </c>
      <c r="AS99" s="15"/>
      <c r="AT99" s="15"/>
      <c r="AU99" s="15"/>
      <c r="AV99" s="15"/>
      <c r="AW99" s="15"/>
      <c r="AX99" s="16"/>
      <c r="AY99" s="16"/>
      <c r="AZ99" s="69">
        <f>(SUM(AZ$134:AZ$148)/15)/(SUM($J$134:$J$148)/15)*BS[[#This Row],[Trenes Corridos]]</f>
        <v>251.79958019359415</v>
      </c>
      <c r="BA99" s="16"/>
      <c r="BB99" s="16"/>
      <c r="BC99" s="16"/>
      <c r="BD99" s="16"/>
      <c r="BE99" s="80"/>
      <c r="BF99" s="81"/>
      <c r="BG99" s="15"/>
      <c r="BH99" s="15"/>
      <c r="BI99" s="15"/>
      <c r="BS99" s="80"/>
      <c r="BT99" s="81"/>
      <c r="BU99" s="15"/>
      <c r="BV99" s="15"/>
      <c r="BW99" s="15"/>
      <c r="CA99" s="45"/>
      <c r="CD99" s="45"/>
      <c r="CG99" s="80"/>
      <c r="CH99" s="81"/>
      <c r="CI99" s="15"/>
      <c r="CJ99" s="15"/>
      <c r="CK99" s="15"/>
      <c r="CO99" s="45"/>
      <c r="CR99" s="45"/>
    </row>
    <row r="100" spans="1:96" s="18" customFormat="1" ht="15" customHeight="1">
      <c r="A100" s="78">
        <v>2000</v>
      </c>
      <c r="B100" s="79" t="s">
        <v>46</v>
      </c>
      <c r="C100" s="15">
        <f t="shared" si="17"/>
        <v>0.92679938744257273</v>
      </c>
      <c r="D100" s="15">
        <f t="shared" si="18"/>
        <v>0.99245654312889475</v>
      </c>
      <c r="E100" s="15">
        <f t="shared" si="19"/>
        <v>0.93384379785604898</v>
      </c>
      <c r="F100" s="16">
        <f t="shared" si="16"/>
        <v>0</v>
      </c>
      <c r="G10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0" s="16">
        <v>6530</v>
      </c>
      <c r="I100" s="16">
        <f t="shared" si="22"/>
        <v>432</v>
      </c>
      <c r="J100" s="16">
        <v>6098</v>
      </c>
      <c r="K100" s="16">
        <v>6052</v>
      </c>
      <c r="L100" s="16">
        <f t="shared" si="23"/>
        <v>46</v>
      </c>
      <c r="M100" s="16"/>
      <c r="N100" s="16"/>
      <c r="O100" s="78">
        <v>2000</v>
      </c>
      <c r="P100" s="79" t="s">
        <v>46</v>
      </c>
      <c r="Q100" s="15"/>
      <c r="R100" s="15"/>
      <c r="S100" s="15"/>
      <c r="T100" s="16"/>
      <c r="U100" s="16"/>
      <c r="V100" s="16"/>
      <c r="W100" s="16"/>
      <c r="X100" s="69">
        <f>(SUM(X$134:X$148)/15)/(SUM($J$134:$J$148)/15)*BS[[#This Row],[Trenes Corridos]]</f>
        <v>3712.0623065190798</v>
      </c>
      <c r="Y100" s="16"/>
      <c r="Z100" s="16"/>
      <c r="AA100" s="16"/>
      <c r="AB100" s="16"/>
      <c r="AC100" s="78">
        <v>2000</v>
      </c>
      <c r="AD100" s="79" t="s">
        <v>46</v>
      </c>
      <c r="AE100" s="15"/>
      <c r="AF100" s="15"/>
      <c r="AG100" s="15"/>
      <c r="AH100" s="16"/>
      <c r="AI100" s="16"/>
      <c r="AJ100" s="16"/>
      <c r="AK100" s="16"/>
      <c r="AL100" s="69">
        <f>(SUM(AL$134:AL$148)/15)/(SUM($J$134:$J$148)/15)*BS[[#This Row],[Trenes Corridos]]</f>
        <v>2147.4360097250114</v>
      </c>
      <c r="AM100" s="16"/>
      <c r="AN100" s="16"/>
      <c r="AO100" s="16"/>
      <c r="AP100" s="16"/>
      <c r="AQ100" s="78">
        <v>2000</v>
      </c>
      <c r="AR100" s="79" t="s">
        <v>46</v>
      </c>
      <c r="AS100" s="15"/>
      <c r="AT100" s="15"/>
      <c r="AU100" s="15"/>
      <c r="AV100" s="15"/>
      <c r="AW100" s="15"/>
      <c r="AX100" s="16"/>
      <c r="AY100" s="16"/>
      <c r="AZ100" s="69">
        <f>(SUM(AZ$134:AZ$148)/15)/(SUM($J$134:$J$148)/15)*BS[[#This Row],[Trenes Corridos]]</f>
        <v>238.50168375590823</v>
      </c>
      <c r="BA100" s="16"/>
      <c r="BB100" s="16"/>
      <c r="BC100" s="16"/>
      <c r="BD100" s="16"/>
      <c r="BE100" s="78"/>
      <c r="BF100" s="79"/>
      <c r="BG100" s="15"/>
      <c r="BH100" s="15"/>
      <c r="BI100" s="15"/>
      <c r="BS100" s="78"/>
      <c r="BT100" s="79"/>
      <c r="BU100" s="15"/>
      <c r="BV100" s="15"/>
      <c r="BW100" s="15"/>
      <c r="CA100" s="45"/>
      <c r="CD100" s="45"/>
      <c r="CG100" s="78"/>
      <c r="CH100" s="79"/>
      <c r="CI100" s="15"/>
      <c r="CJ100" s="15"/>
      <c r="CK100" s="15"/>
      <c r="CO100" s="45"/>
      <c r="CR100" s="45"/>
    </row>
    <row r="101" spans="1:96" s="18" customFormat="1" ht="15" customHeight="1">
      <c r="A101" s="80">
        <v>2000</v>
      </c>
      <c r="B101" s="81" t="s">
        <v>47</v>
      </c>
      <c r="C101" s="15">
        <f t="shared" si="17"/>
        <v>0.96706495098039214</v>
      </c>
      <c r="D101" s="15">
        <f t="shared" si="18"/>
        <v>0.98779533719292756</v>
      </c>
      <c r="E101" s="15">
        <f t="shared" si="19"/>
        <v>0.97901348039215685</v>
      </c>
      <c r="F101" s="16">
        <f t="shared" si="16"/>
        <v>0</v>
      </c>
      <c r="G10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1" s="16">
        <v>6528</v>
      </c>
      <c r="I101" s="16">
        <f t="shared" si="22"/>
        <v>137</v>
      </c>
      <c r="J101" s="16">
        <v>6391</v>
      </c>
      <c r="K101" s="16">
        <v>6313</v>
      </c>
      <c r="L101" s="16">
        <f t="shared" si="23"/>
        <v>78</v>
      </c>
      <c r="M101" s="16"/>
      <c r="N101" s="16"/>
      <c r="O101" s="80">
        <v>2000</v>
      </c>
      <c r="P101" s="81" t="s">
        <v>47</v>
      </c>
      <c r="Q101" s="15"/>
      <c r="R101" s="15"/>
      <c r="S101" s="15"/>
      <c r="T101" s="16"/>
      <c r="U101" s="16"/>
      <c r="V101" s="16"/>
      <c r="W101" s="16"/>
      <c r="X101" s="69">
        <f>(SUM(X$134:X$148)/15)/(SUM($J$134:$J$148)/15)*BS[[#This Row],[Trenes Corridos]]</f>
        <v>3890.4214826112557</v>
      </c>
      <c r="Y101" s="16"/>
      <c r="Z101" s="16"/>
      <c r="AA101" s="16"/>
      <c r="AB101" s="16"/>
      <c r="AC101" s="80">
        <v>2000</v>
      </c>
      <c r="AD101" s="81" t="s">
        <v>47</v>
      </c>
      <c r="AE101" s="15"/>
      <c r="AF101" s="15"/>
      <c r="AG101" s="15"/>
      <c r="AH101" s="16"/>
      <c r="AI101" s="16"/>
      <c r="AJ101" s="16"/>
      <c r="AK101" s="16"/>
      <c r="AL101" s="69">
        <f>(SUM(AL$134:AL$148)/15)/(SUM($J$134:$J$148)/15)*BS[[#This Row],[Trenes Corridos]]</f>
        <v>2250.6171758203591</v>
      </c>
      <c r="AM101" s="16"/>
      <c r="AN101" s="16"/>
      <c r="AO101" s="16"/>
      <c r="AP101" s="16"/>
      <c r="AQ101" s="80">
        <v>2000</v>
      </c>
      <c r="AR101" s="81" t="s">
        <v>47</v>
      </c>
      <c r="AS101" s="15"/>
      <c r="AT101" s="15"/>
      <c r="AU101" s="15"/>
      <c r="AV101" s="15"/>
      <c r="AW101" s="15"/>
      <c r="AX101" s="16"/>
      <c r="AY101" s="16"/>
      <c r="AZ101" s="69">
        <f>(SUM(AZ$134:AZ$148)/15)/(SUM($J$134:$J$148)/15)*BS[[#This Row],[Trenes Corridos]]</f>
        <v>249.96134156838463</v>
      </c>
      <c r="BA101" s="16"/>
      <c r="BB101" s="16"/>
      <c r="BC101" s="16"/>
      <c r="BD101" s="16"/>
      <c r="BE101" s="80"/>
      <c r="BF101" s="81"/>
      <c r="BG101" s="15"/>
      <c r="BH101" s="15"/>
      <c r="BI101" s="15"/>
      <c r="BS101" s="80"/>
      <c r="BT101" s="81"/>
      <c r="BU101" s="15"/>
      <c r="BV101" s="15"/>
      <c r="BW101" s="15"/>
      <c r="CA101" s="45"/>
      <c r="CD101" s="45"/>
      <c r="CG101" s="80"/>
      <c r="CH101" s="81"/>
      <c r="CI101" s="15"/>
      <c r="CJ101" s="15"/>
      <c r="CK101" s="15"/>
      <c r="CO101" s="45"/>
      <c r="CR101" s="45"/>
    </row>
    <row r="102" spans="1:96" s="18" customFormat="1" ht="15" customHeight="1">
      <c r="A102" s="78">
        <v>2001</v>
      </c>
      <c r="B102" s="79" t="s">
        <v>36</v>
      </c>
      <c r="C102" s="15">
        <f t="shared" si="17"/>
        <v>0.98735119047619047</v>
      </c>
      <c r="D102" s="15">
        <f t="shared" si="18"/>
        <v>0.99505098980203954</v>
      </c>
      <c r="E102" s="15">
        <f t="shared" si="19"/>
        <v>0.99226190476190479</v>
      </c>
      <c r="F102" s="16">
        <f t="shared" si="16"/>
        <v>0</v>
      </c>
      <c r="G10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2" s="16">
        <v>6720</v>
      </c>
      <c r="I102" s="16">
        <f t="shared" ref="I102:I113" si="24">H102-J102</f>
        <v>52</v>
      </c>
      <c r="J102" s="16">
        <v>6668</v>
      </c>
      <c r="K102" s="16">
        <v>6635</v>
      </c>
      <c r="L102" s="16">
        <f t="shared" ref="L102:L113" si="25">J102-K102</f>
        <v>33</v>
      </c>
      <c r="M102" s="16"/>
      <c r="N102" s="16"/>
      <c r="O102" s="78">
        <v>2001</v>
      </c>
      <c r="P102" s="79" t="s">
        <v>36</v>
      </c>
      <c r="Q102" s="15"/>
      <c r="R102" s="15"/>
      <c r="S102" s="15"/>
      <c r="T102" s="16"/>
      <c r="U102" s="16"/>
      <c r="V102" s="16"/>
      <c r="W102" s="16"/>
      <c r="X102" s="69">
        <f>(SUM(X$134:X$148)/15)/(SUM($J$134:$J$148)/15)*BS[[#This Row],[Trenes Corridos]]</f>
        <v>4059.0409084731427</v>
      </c>
      <c r="Y102" s="16"/>
      <c r="Z102" s="16"/>
      <c r="AA102" s="16"/>
      <c r="AB102" s="16"/>
      <c r="AC102" s="78">
        <v>2001</v>
      </c>
      <c r="AD102" s="79" t="s">
        <v>36</v>
      </c>
      <c r="AE102" s="15"/>
      <c r="AF102" s="15"/>
      <c r="AG102" s="15"/>
      <c r="AH102" s="16"/>
      <c r="AI102" s="16"/>
      <c r="AJ102" s="16"/>
      <c r="AK102" s="16"/>
      <c r="AL102" s="69">
        <f>(SUM(AL$134:AL$148)/15)/(SUM($J$134:$J$148)/15)*BS[[#This Row],[Trenes Corridos]]</f>
        <v>2348.1638755077693</v>
      </c>
      <c r="AM102" s="16"/>
      <c r="AN102" s="16"/>
      <c r="AO102" s="16"/>
      <c r="AP102" s="16"/>
      <c r="AQ102" s="78">
        <v>2001</v>
      </c>
      <c r="AR102" s="79" t="s">
        <v>36</v>
      </c>
      <c r="AS102" s="15"/>
      <c r="AT102" s="15"/>
      <c r="AU102" s="15"/>
      <c r="AV102" s="15"/>
      <c r="AW102" s="15"/>
      <c r="AX102" s="16"/>
      <c r="AY102" s="16"/>
      <c r="AZ102" s="69">
        <f>(SUM(AZ$134:AZ$148)/15)/(SUM($J$134:$J$148)/15)*BS[[#This Row],[Trenes Corridos]]</f>
        <v>260.7952160190876</v>
      </c>
      <c r="BA102" s="16"/>
      <c r="BB102" s="16"/>
      <c r="BC102" s="16"/>
      <c r="BD102" s="16"/>
      <c r="BE102" s="78"/>
      <c r="BF102" s="79"/>
      <c r="BG102" s="15"/>
      <c r="BH102" s="15"/>
      <c r="BI102" s="15"/>
      <c r="BS102" s="78"/>
      <c r="BT102" s="79"/>
      <c r="BU102" s="15"/>
      <c r="BV102" s="15"/>
      <c r="BW102" s="15"/>
      <c r="CA102" s="45"/>
      <c r="CD102" s="45"/>
      <c r="CG102" s="78"/>
      <c r="CH102" s="79"/>
      <c r="CI102" s="15"/>
      <c r="CJ102" s="15"/>
      <c r="CK102" s="15"/>
      <c r="CO102" s="45"/>
      <c r="CR102" s="45"/>
    </row>
    <row r="103" spans="1:96" s="18" customFormat="1" ht="15" customHeight="1">
      <c r="A103" s="80">
        <v>2001</v>
      </c>
      <c r="B103" s="81" t="s">
        <v>37</v>
      </c>
      <c r="C103" s="15">
        <f t="shared" si="17"/>
        <v>0.99056311881188119</v>
      </c>
      <c r="D103" s="15">
        <f t="shared" si="18"/>
        <v>0.99487259167184583</v>
      </c>
      <c r="E103" s="15">
        <f t="shared" si="19"/>
        <v>0.99566831683168322</v>
      </c>
      <c r="F103" s="16">
        <f t="shared" si="16"/>
        <v>0</v>
      </c>
      <c r="G10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3" s="16">
        <v>6464</v>
      </c>
      <c r="I103" s="16">
        <f t="shared" si="24"/>
        <v>28</v>
      </c>
      <c r="J103" s="16">
        <v>6436</v>
      </c>
      <c r="K103" s="16">
        <v>6403</v>
      </c>
      <c r="L103" s="16">
        <f t="shared" si="25"/>
        <v>33</v>
      </c>
      <c r="M103" s="16"/>
      <c r="N103" s="16"/>
      <c r="O103" s="80">
        <v>2001</v>
      </c>
      <c r="P103" s="81" t="s">
        <v>37</v>
      </c>
      <c r="Q103" s="15"/>
      <c r="R103" s="15"/>
      <c r="S103" s="15"/>
      <c r="T103" s="16"/>
      <c r="U103" s="16"/>
      <c r="V103" s="16"/>
      <c r="W103" s="16"/>
      <c r="X103" s="69">
        <f>(SUM(X$134:X$148)/15)/(SUM($J$134:$J$148)/15)*BS[[#This Row],[Trenes Corridos]]</f>
        <v>3917.814530133945</v>
      </c>
      <c r="Y103" s="16"/>
      <c r="Z103" s="16"/>
      <c r="AA103" s="16"/>
      <c r="AB103" s="16"/>
      <c r="AC103" s="80">
        <v>2001</v>
      </c>
      <c r="AD103" s="81" t="s">
        <v>37</v>
      </c>
      <c r="AE103" s="15"/>
      <c r="AF103" s="15"/>
      <c r="AG103" s="15"/>
      <c r="AH103" s="16"/>
      <c r="AI103" s="16"/>
      <c r="AJ103" s="16"/>
      <c r="AK103" s="16"/>
      <c r="AL103" s="69">
        <f>(SUM(AL$134:AL$148)/15)/(SUM($J$134:$J$148)/15)*BS[[#This Row],[Trenes Corridos]]</f>
        <v>2266.4641125926819</v>
      </c>
      <c r="AM103" s="16"/>
      <c r="AN103" s="16"/>
      <c r="AO103" s="16"/>
      <c r="AP103" s="16"/>
      <c r="AQ103" s="80">
        <v>2001</v>
      </c>
      <c r="AR103" s="81" t="s">
        <v>37</v>
      </c>
      <c r="AS103" s="15"/>
      <c r="AT103" s="15"/>
      <c r="AU103" s="15"/>
      <c r="AV103" s="15"/>
      <c r="AW103" s="15"/>
      <c r="AX103" s="16"/>
      <c r="AY103" s="16"/>
      <c r="AZ103" s="69">
        <f>(SUM(AZ$134:AZ$148)/15)/(SUM($J$134:$J$148)/15)*BS[[#This Row],[Trenes Corridos]]</f>
        <v>251.72135727337249</v>
      </c>
      <c r="BA103" s="16"/>
      <c r="BB103" s="16"/>
      <c r="BC103" s="16"/>
      <c r="BD103" s="16"/>
      <c r="BE103" s="80"/>
      <c r="BF103" s="81"/>
      <c r="BG103" s="15"/>
      <c r="BH103" s="15"/>
      <c r="BI103" s="15"/>
      <c r="BS103" s="80"/>
      <c r="BT103" s="81"/>
      <c r="BU103" s="15"/>
      <c r="BV103" s="15"/>
      <c r="BW103" s="15"/>
      <c r="CA103" s="45"/>
      <c r="CD103" s="45"/>
      <c r="CG103" s="80"/>
      <c r="CH103" s="81"/>
      <c r="CI103" s="15"/>
      <c r="CJ103" s="15"/>
      <c r="CK103" s="15"/>
      <c r="CO103" s="45"/>
      <c r="CR103" s="45"/>
    </row>
    <row r="104" spans="1:96" s="18" customFormat="1" ht="15" customHeight="1">
      <c r="A104" s="78">
        <v>2001</v>
      </c>
      <c r="B104" s="79" t="s">
        <v>38</v>
      </c>
      <c r="C104" s="15">
        <f t="shared" si="17"/>
        <v>0.96154382053782916</v>
      </c>
      <c r="D104" s="15">
        <f t="shared" si="18"/>
        <v>0.98095238095238091</v>
      </c>
      <c r="E104" s="15">
        <f t="shared" si="19"/>
        <v>0.98021457433468018</v>
      </c>
      <c r="F104" s="16">
        <f t="shared" si="16"/>
        <v>0</v>
      </c>
      <c r="G10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4" s="16">
        <v>7177</v>
      </c>
      <c r="I104" s="16">
        <f t="shared" si="24"/>
        <v>142</v>
      </c>
      <c r="J104" s="16">
        <v>7035</v>
      </c>
      <c r="K104" s="16">
        <v>6901</v>
      </c>
      <c r="L104" s="16">
        <f t="shared" si="25"/>
        <v>134</v>
      </c>
      <c r="M104" s="16"/>
      <c r="N104" s="16"/>
      <c r="O104" s="78">
        <v>2001</v>
      </c>
      <c r="P104" s="79" t="s">
        <v>38</v>
      </c>
      <c r="Q104" s="15"/>
      <c r="R104" s="15"/>
      <c r="S104" s="15"/>
      <c r="T104" s="16"/>
      <c r="U104" s="16"/>
      <c r="V104" s="16"/>
      <c r="W104" s="16"/>
      <c r="X104" s="69">
        <f>(SUM(X$134:X$148)/15)/(SUM($J$134:$J$148)/15)*BS[[#This Row],[Trenes Corridos]]</f>
        <v>4282.4464293804076</v>
      </c>
      <c r="Y104" s="16"/>
      <c r="Z104" s="16"/>
      <c r="AA104" s="16"/>
      <c r="AB104" s="16"/>
      <c r="AC104" s="78">
        <v>2001</v>
      </c>
      <c r="AD104" s="79" t="s">
        <v>38</v>
      </c>
      <c r="AE104" s="15"/>
      <c r="AF104" s="15"/>
      <c r="AG104" s="15"/>
      <c r="AH104" s="16"/>
      <c r="AI104" s="16"/>
      <c r="AJ104" s="16"/>
      <c r="AK104" s="16"/>
      <c r="AL104" s="69">
        <f>(SUM(AL$134:AL$148)/15)/(SUM($J$134:$J$148)/15)*BS[[#This Row],[Trenes Corridos]]</f>
        <v>2477.4044487398255</v>
      </c>
      <c r="AM104" s="16"/>
      <c r="AN104" s="16"/>
      <c r="AO104" s="16"/>
      <c r="AP104" s="16"/>
      <c r="AQ104" s="78">
        <v>2001</v>
      </c>
      <c r="AR104" s="79" t="s">
        <v>38</v>
      </c>
      <c r="AS104" s="15"/>
      <c r="AT104" s="15"/>
      <c r="AU104" s="15"/>
      <c r="AV104" s="15"/>
      <c r="AW104" s="15"/>
      <c r="AX104" s="16"/>
      <c r="AY104" s="16"/>
      <c r="AZ104" s="69">
        <f>(SUM(AZ$134:AZ$148)/15)/(SUM($J$134:$J$148)/15)*BS[[#This Row],[Trenes Corridos]]</f>
        <v>275.1491218797662</v>
      </c>
      <c r="BA104" s="16"/>
      <c r="BB104" s="16"/>
      <c r="BC104" s="16"/>
      <c r="BD104" s="16"/>
      <c r="BE104" s="78"/>
      <c r="BF104" s="79"/>
      <c r="BG104" s="15"/>
      <c r="BH104" s="15"/>
      <c r="BI104" s="15"/>
      <c r="BS104" s="78"/>
      <c r="BT104" s="79"/>
      <c r="BU104" s="15"/>
      <c r="BV104" s="15"/>
      <c r="BW104" s="15"/>
      <c r="CA104" s="45"/>
      <c r="CD104" s="45"/>
      <c r="CG104" s="78"/>
      <c r="CH104" s="79"/>
      <c r="CI104" s="15"/>
      <c r="CJ104" s="15"/>
      <c r="CK104" s="15"/>
      <c r="CO104" s="45"/>
      <c r="CR104" s="45"/>
    </row>
    <row r="105" spans="1:96" s="18" customFormat="1" ht="15" customHeight="1">
      <c r="A105" s="80">
        <v>2001</v>
      </c>
      <c r="B105" s="81" t="s">
        <v>39</v>
      </c>
      <c r="C105" s="15">
        <f t="shared" si="17"/>
        <v>0.94756724085826538</v>
      </c>
      <c r="D105" s="15">
        <f t="shared" si="18"/>
        <v>0.98368627450980395</v>
      </c>
      <c r="E105" s="15">
        <f t="shared" si="19"/>
        <v>0.96328195829555752</v>
      </c>
      <c r="F105" s="16">
        <f t="shared" si="16"/>
        <v>0</v>
      </c>
      <c r="G10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5" s="16">
        <v>6618</v>
      </c>
      <c r="I105" s="16">
        <f t="shared" si="24"/>
        <v>243</v>
      </c>
      <c r="J105" s="16">
        <v>6375</v>
      </c>
      <c r="K105" s="16">
        <v>6271</v>
      </c>
      <c r="L105" s="16">
        <f t="shared" si="25"/>
        <v>104</v>
      </c>
      <c r="M105" s="16"/>
      <c r="N105" s="16"/>
      <c r="O105" s="80">
        <v>2001</v>
      </c>
      <c r="P105" s="81" t="s">
        <v>39</v>
      </c>
      <c r="Q105" s="15"/>
      <c r="R105" s="15"/>
      <c r="S105" s="15"/>
      <c r="T105" s="16"/>
      <c r="U105" s="16"/>
      <c r="V105" s="16"/>
      <c r="W105" s="16"/>
      <c r="X105" s="69">
        <f>(SUM(X$134:X$148)/15)/(SUM($J$134:$J$148)/15)*BS[[#This Row],[Trenes Corridos]]</f>
        <v>3880.6817323809664</v>
      </c>
      <c r="Y105" s="16"/>
      <c r="Z105" s="16"/>
      <c r="AA105" s="16"/>
      <c r="AB105" s="16"/>
      <c r="AC105" s="80">
        <v>2001</v>
      </c>
      <c r="AD105" s="81" t="s">
        <v>39</v>
      </c>
      <c r="AE105" s="15"/>
      <c r="AF105" s="15"/>
      <c r="AG105" s="15"/>
      <c r="AH105" s="16"/>
      <c r="AI105" s="16"/>
      <c r="AJ105" s="16"/>
      <c r="AK105" s="16"/>
      <c r="AL105" s="69">
        <f>(SUM(AL$134:AL$148)/15)/(SUM($J$134:$J$148)/15)*BS[[#This Row],[Trenes Corridos]]</f>
        <v>2244.9827094124221</v>
      </c>
      <c r="AM105" s="16"/>
      <c r="AN105" s="16"/>
      <c r="AO105" s="16"/>
      <c r="AP105" s="16"/>
      <c r="AQ105" s="80">
        <v>2001</v>
      </c>
      <c r="AR105" s="81" t="s">
        <v>39</v>
      </c>
      <c r="AS105" s="15"/>
      <c r="AT105" s="15"/>
      <c r="AU105" s="15"/>
      <c r="AV105" s="15"/>
      <c r="AW105" s="15"/>
      <c r="AX105" s="16"/>
      <c r="AY105" s="16"/>
      <c r="AZ105" s="69">
        <f>(SUM(AZ$134:AZ$148)/15)/(SUM($J$134:$J$148)/15)*BS[[#This Row],[Trenes Corridos]]</f>
        <v>249.33555820661118</v>
      </c>
      <c r="BA105" s="16"/>
      <c r="BB105" s="16"/>
      <c r="BC105" s="16"/>
      <c r="BD105" s="16"/>
      <c r="BE105" s="80"/>
      <c r="BF105" s="81"/>
      <c r="BG105" s="15"/>
      <c r="BH105" s="15"/>
      <c r="BI105" s="15"/>
      <c r="BS105" s="80"/>
      <c r="BT105" s="81"/>
      <c r="BU105" s="15"/>
      <c r="BV105" s="15"/>
      <c r="BW105" s="15"/>
      <c r="CA105" s="45"/>
      <c r="CD105" s="45"/>
      <c r="CG105" s="80"/>
      <c r="CH105" s="81"/>
      <c r="CI105" s="15"/>
      <c r="CJ105" s="15"/>
      <c r="CK105" s="15"/>
      <c r="CO105" s="45"/>
      <c r="CR105" s="45"/>
    </row>
    <row r="106" spans="1:96" s="18" customFormat="1" ht="15" customHeight="1">
      <c r="A106" s="78">
        <v>2001</v>
      </c>
      <c r="B106" s="79" t="s">
        <v>40</v>
      </c>
      <c r="C106" s="15">
        <f t="shared" si="17"/>
        <v>0.79686162624821688</v>
      </c>
      <c r="D106" s="15">
        <f t="shared" si="18"/>
        <v>0.99218472468916519</v>
      </c>
      <c r="E106" s="15">
        <f t="shared" si="19"/>
        <v>0.80313837375178321</v>
      </c>
      <c r="F106" s="16">
        <f t="shared" si="16"/>
        <v>0</v>
      </c>
      <c r="G10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6" s="16">
        <v>7010</v>
      </c>
      <c r="I106" s="16">
        <f t="shared" si="24"/>
        <v>1380</v>
      </c>
      <c r="J106" s="16">
        <v>5630</v>
      </c>
      <c r="K106" s="16">
        <v>5586</v>
      </c>
      <c r="L106" s="16">
        <f t="shared" si="25"/>
        <v>44</v>
      </c>
      <c r="M106" s="16"/>
      <c r="N106" s="16"/>
      <c r="O106" s="78">
        <v>2001</v>
      </c>
      <c r="P106" s="79" t="s">
        <v>40</v>
      </c>
      <c r="Q106" s="15"/>
      <c r="R106" s="15"/>
      <c r="S106" s="15"/>
      <c r="T106" s="16"/>
      <c r="U106" s="16"/>
      <c r="V106" s="16"/>
      <c r="W106" s="16"/>
      <c r="X106" s="69">
        <f>(SUM(X$134:X$148)/15)/(SUM($J$134:$J$148)/15)*BS[[#This Row],[Trenes Corridos]]</f>
        <v>3427.1746122831123</v>
      </c>
      <c r="Y106" s="16"/>
      <c r="Z106" s="16"/>
      <c r="AA106" s="16"/>
      <c r="AB106" s="16"/>
      <c r="AC106" s="78">
        <v>2001</v>
      </c>
      <c r="AD106" s="79" t="s">
        <v>40</v>
      </c>
      <c r="AE106" s="15"/>
      <c r="AF106" s="15"/>
      <c r="AG106" s="15"/>
      <c r="AH106" s="16"/>
      <c r="AI106" s="16"/>
      <c r="AJ106" s="16"/>
      <c r="AK106" s="16"/>
      <c r="AL106" s="69">
        <f>(SUM(AL$134:AL$148)/15)/(SUM($J$134:$J$148)/15)*BS[[#This Row],[Trenes Corridos]]</f>
        <v>1982.6278672928527</v>
      </c>
      <c r="AM106" s="16"/>
      <c r="AN106" s="16"/>
      <c r="AO106" s="16"/>
      <c r="AP106" s="16"/>
      <c r="AQ106" s="78">
        <v>2001</v>
      </c>
      <c r="AR106" s="79" t="s">
        <v>40</v>
      </c>
      <c r="AS106" s="15"/>
      <c r="AT106" s="15"/>
      <c r="AU106" s="15"/>
      <c r="AV106" s="15"/>
      <c r="AW106" s="15"/>
      <c r="AX106" s="16"/>
      <c r="AY106" s="16"/>
      <c r="AZ106" s="69">
        <f>(SUM(AZ$134:AZ$148)/15)/(SUM($J$134:$J$148)/15)*BS[[#This Row],[Trenes Corridos]]</f>
        <v>220.19752042403465</v>
      </c>
      <c r="BA106" s="16"/>
      <c r="BB106" s="16"/>
      <c r="BC106" s="16"/>
      <c r="BD106" s="16"/>
      <c r="BE106" s="78"/>
      <c r="BF106" s="79"/>
      <c r="BG106" s="15"/>
      <c r="BH106" s="15"/>
      <c r="BI106" s="15"/>
      <c r="BS106" s="78"/>
      <c r="BT106" s="79"/>
      <c r="BU106" s="15"/>
      <c r="BV106" s="15"/>
      <c r="BW106" s="15"/>
      <c r="CA106" s="45"/>
      <c r="CD106" s="45"/>
      <c r="CG106" s="78"/>
      <c r="CH106" s="79"/>
      <c r="CI106" s="15"/>
      <c r="CJ106" s="15"/>
      <c r="CK106" s="15"/>
      <c r="CO106" s="45"/>
      <c r="CR106" s="45"/>
    </row>
    <row r="107" spans="1:96" s="18" customFormat="1" ht="15" customHeight="1">
      <c r="A107" s="80">
        <v>2001</v>
      </c>
      <c r="B107" s="81" t="s">
        <v>41</v>
      </c>
      <c r="C107" s="15">
        <f t="shared" si="17"/>
        <v>0.95606326889279436</v>
      </c>
      <c r="D107" s="15">
        <f t="shared" si="18"/>
        <v>0.97099509147701923</v>
      </c>
      <c r="E107" s="15">
        <f t="shared" si="19"/>
        <v>0.98462214411247806</v>
      </c>
      <c r="F107" s="16">
        <f t="shared" si="16"/>
        <v>0</v>
      </c>
      <c r="G10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7" s="16">
        <v>6828</v>
      </c>
      <c r="I107" s="16">
        <f t="shared" si="24"/>
        <v>105</v>
      </c>
      <c r="J107" s="16">
        <v>6723</v>
      </c>
      <c r="K107" s="16">
        <v>6528</v>
      </c>
      <c r="L107" s="16">
        <f t="shared" si="25"/>
        <v>195</v>
      </c>
      <c r="M107" s="16"/>
      <c r="N107" s="16"/>
      <c r="O107" s="80">
        <v>2001</v>
      </c>
      <c r="P107" s="81" t="s">
        <v>41</v>
      </c>
      <c r="Q107" s="15"/>
      <c r="R107" s="15"/>
      <c r="S107" s="15"/>
      <c r="T107" s="16"/>
      <c r="U107" s="16"/>
      <c r="V107" s="16"/>
      <c r="W107" s="16"/>
      <c r="X107" s="69">
        <f>(SUM(X$134:X$148)/15)/(SUM($J$134:$J$148)/15)*BS[[#This Row],[Trenes Corridos]]</f>
        <v>4092.5212998897628</v>
      </c>
      <c r="Y107" s="16"/>
      <c r="Z107" s="16"/>
      <c r="AA107" s="16"/>
      <c r="AB107" s="16"/>
      <c r="AC107" s="80">
        <v>2001</v>
      </c>
      <c r="AD107" s="81" t="s">
        <v>41</v>
      </c>
      <c r="AE107" s="15"/>
      <c r="AF107" s="15"/>
      <c r="AG107" s="15"/>
      <c r="AH107" s="16"/>
      <c r="AI107" s="16"/>
      <c r="AJ107" s="16"/>
      <c r="AK107" s="16"/>
      <c r="AL107" s="69">
        <f>(SUM(AL$134:AL$148)/15)/(SUM($J$134:$J$148)/15)*BS[[#This Row],[Trenes Corridos]]</f>
        <v>2367.5323537850531</v>
      </c>
      <c r="AM107" s="16"/>
      <c r="AN107" s="16"/>
      <c r="AO107" s="16"/>
      <c r="AP107" s="16"/>
      <c r="AQ107" s="80">
        <v>2001</v>
      </c>
      <c r="AR107" s="81" t="s">
        <v>41</v>
      </c>
      <c r="AS107" s="15"/>
      <c r="AT107" s="15"/>
      <c r="AU107" s="15"/>
      <c r="AV107" s="15"/>
      <c r="AW107" s="15"/>
      <c r="AX107" s="16"/>
      <c r="AY107" s="16"/>
      <c r="AZ107" s="69">
        <f>(SUM(AZ$134:AZ$148)/15)/(SUM($J$134:$J$148)/15)*BS[[#This Row],[Trenes Corridos]]</f>
        <v>262.94634632518381</v>
      </c>
      <c r="BA107" s="16"/>
      <c r="BB107" s="16"/>
      <c r="BC107" s="16"/>
      <c r="BD107" s="16"/>
      <c r="BE107" s="80"/>
      <c r="BF107" s="81"/>
      <c r="BG107" s="15"/>
      <c r="BH107" s="15"/>
      <c r="BI107" s="15"/>
      <c r="BS107" s="80"/>
      <c r="BT107" s="81"/>
      <c r="BU107" s="15"/>
      <c r="BV107" s="15"/>
      <c r="BW107" s="15"/>
      <c r="CA107" s="45"/>
      <c r="CD107" s="45"/>
      <c r="CG107" s="80"/>
      <c r="CH107" s="81"/>
      <c r="CI107" s="15"/>
      <c r="CJ107" s="15"/>
      <c r="CK107" s="15"/>
      <c r="CO107" s="45"/>
      <c r="CR107" s="45"/>
    </row>
    <row r="108" spans="1:96" s="18" customFormat="1" ht="15" customHeight="1">
      <c r="A108" s="78">
        <v>2001</v>
      </c>
      <c r="B108" s="79" t="s">
        <v>42</v>
      </c>
      <c r="C108" s="15">
        <f t="shared" si="17"/>
        <v>0.932744371615845</v>
      </c>
      <c r="D108" s="15">
        <f t="shared" si="18"/>
        <v>0.99121744397334943</v>
      </c>
      <c r="E108" s="15">
        <f t="shared" si="19"/>
        <v>0.94100883442576233</v>
      </c>
      <c r="F108" s="16">
        <f t="shared" si="16"/>
        <v>0</v>
      </c>
      <c r="G10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8" s="16">
        <v>7018</v>
      </c>
      <c r="I108" s="16">
        <f t="shared" si="24"/>
        <v>414</v>
      </c>
      <c r="J108" s="16">
        <v>6604</v>
      </c>
      <c r="K108" s="16">
        <v>6546</v>
      </c>
      <c r="L108" s="16">
        <f t="shared" si="25"/>
        <v>58</v>
      </c>
      <c r="M108" s="16"/>
      <c r="N108" s="16"/>
      <c r="O108" s="78">
        <v>2001</v>
      </c>
      <c r="P108" s="79" t="s">
        <v>42</v>
      </c>
      <c r="Q108" s="15"/>
      <c r="R108" s="15"/>
      <c r="S108" s="15"/>
      <c r="T108" s="16"/>
      <c r="U108" s="16"/>
      <c r="V108" s="16"/>
      <c r="W108" s="16"/>
      <c r="X108" s="69">
        <f>(SUM(X$134:X$148)/15)/(SUM($J$134:$J$148)/15)*BS[[#This Row],[Trenes Corridos]]</f>
        <v>4020.0819075519848</v>
      </c>
      <c r="Y108" s="16"/>
      <c r="Z108" s="16"/>
      <c r="AA108" s="16"/>
      <c r="AB108" s="16"/>
      <c r="AC108" s="78">
        <v>2001</v>
      </c>
      <c r="AD108" s="79" t="s">
        <v>42</v>
      </c>
      <c r="AE108" s="15"/>
      <c r="AF108" s="15"/>
      <c r="AG108" s="15"/>
      <c r="AH108" s="16"/>
      <c r="AI108" s="16"/>
      <c r="AJ108" s="16"/>
      <c r="AK108" s="16"/>
      <c r="AL108" s="69">
        <f>(SUM(AL$134:AL$148)/15)/(SUM($J$134:$J$148)/15)*BS[[#This Row],[Trenes Corridos]]</f>
        <v>2325.6260098760213</v>
      </c>
      <c r="AM108" s="16"/>
      <c r="AN108" s="16"/>
      <c r="AO108" s="16"/>
      <c r="AP108" s="16"/>
      <c r="AQ108" s="78">
        <v>2001</v>
      </c>
      <c r="AR108" s="79" t="s">
        <v>42</v>
      </c>
      <c r="AS108" s="15"/>
      <c r="AT108" s="15"/>
      <c r="AU108" s="15"/>
      <c r="AV108" s="15"/>
      <c r="AW108" s="15"/>
      <c r="AX108" s="16"/>
      <c r="AY108" s="16"/>
      <c r="AZ108" s="69">
        <f>(SUM(AZ$134:AZ$148)/15)/(SUM($J$134:$J$148)/15)*BS[[#This Row],[Trenes Corridos]]</f>
        <v>258.29208257199377</v>
      </c>
      <c r="BA108" s="16"/>
      <c r="BB108" s="16"/>
      <c r="BC108" s="16"/>
      <c r="BD108" s="16"/>
      <c r="BE108" s="78"/>
      <c r="BF108" s="79"/>
      <c r="BG108" s="15"/>
      <c r="BH108" s="15"/>
      <c r="BI108" s="15"/>
      <c r="BS108" s="78"/>
      <c r="BT108" s="79"/>
      <c r="BU108" s="15"/>
      <c r="BV108" s="15"/>
      <c r="BW108" s="15"/>
      <c r="CA108" s="45"/>
      <c r="CD108" s="45"/>
      <c r="CG108" s="78"/>
      <c r="CH108" s="79"/>
      <c r="CI108" s="15"/>
      <c r="CJ108" s="15"/>
      <c r="CK108" s="15"/>
      <c r="CO108" s="45"/>
      <c r="CR108" s="45"/>
    </row>
    <row r="109" spans="1:96" s="18" customFormat="1" ht="15" customHeight="1">
      <c r="A109" s="80">
        <v>2001</v>
      </c>
      <c r="B109" s="81" t="s">
        <v>43</v>
      </c>
      <c r="C109" s="15">
        <f t="shared" si="17"/>
        <v>0.9345964912280702</v>
      </c>
      <c r="D109" s="15">
        <f t="shared" si="18"/>
        <v>0.97112439842496723</v>
      </c>
      <c r="E109" s="15">
        <f t="shared" si="19"/>
        <v>0.96238596491228068</v>
      </c>
      <c r="F109" s="16">
        <f t="shared" si="16"/>
        <v>0</v>
      </c>
      <c r="G10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9" s="16">
        <v>7125</v>
      </c>
      <c r="I109" s="16">
        <f t="shared" si="24"/>
        <v>268</v>
      </c>
      <c r="J109" s="16">
        <v>6857</v>
      </c>
      <c r="K109" s="16">
        <v>6659</v>
      </c>
      <c r="L109" s="16">
        <f t="shared" si="25"/>
        <v>198</v>
      </c>
      <c r="M109" s="16"/>
      <c r="N109" s="16"/>
      <c r="O109" s="80">
        <v>2001</v>
      </c>
      <c r="P109" s="81" t="s">
        <v>43</v>
      </c>
      <c r="Q109" s="15"/>
      <c r="R109" s="15"/>
      <c r="S109" s="15"/>
      <c r="T109" s="16"/>
      <c r="U109" s="16"/>
      <c r="V109" s="16"/>
      <c r="W109" s="16"/>
      <c r="X109" s="69">
        <f>(SUM(X$134:X$148)/15)/(SUM($J$134:$J$148)/15)*BS[[#This Row],[Trenes Corridos]]</f>
        <v>4174.0917080684367</v>
      </c>
      <c r="Y109" s="16"/>
      <c r="Z109" s="16"/>
      <c r="AA109" s="16"/>
      <c r="AB109" s="16"/>
      <c r="AC109" s="80">
        <v>2001</v>
      </c>
      <c r="AD109" s="81" t="s">
        <v>43</v>
      </c>
      <c r="AE109" s="15"/>
      <c r="AF109" s="15"/>
      <c r="AG109" s="15"/>
      <c r="AH109" s="16"/>
      <c r="AI109" s="16"/>
      <c r="AJ109" s="16"/>
      <c r="AK109" s="16"/>
      <c r="AL109" s="69">
        <f>(SUM(AL$134:AL$148)/15)/(SUM($J$134:$J$148)/15)*BS[[#This Row],[Trenes Corridos]]</f>
        <v>2414.721009951526</v>
      </c>
      <c r="AM109" s="16"/>
      <c r="AN109" s="16"/>
      <c r="AO109" s="16"/>
      <c r="AP109" s="16"/>
      <c r="AQ109" s="80">
        <v>2001</v>
      </c>
      <c r="AR109" s="81" t="s">
        <v>43</v>
      </c>
      <c r="AS109" s="15"/>
      <c r="AT109" s="15"/>
      <c r="AU109" s="15"/>
      <c r="AV109" s="15"/>
      <c r="AW109" s="15"/>
      <c r="AX109" s="16"/>
      <c r="AY109" s="16"/>
      <c r="AZ109" s="69">
        <f>(SUM(AZ$134:AZ$148)/15)/(SUM($J$134:$J$148)/15)*BS[[#This Row],[Trenes Corridos]]</f>
        <v>268.18728198003652</v>
      </c>
      <c r="BA109" s="16"/>
      <c r="BB109" s="16"/>
      <c r="BC109" s="16"/>
      <c r="BD109" s="16"/>
      <c r="BE109" s="80"/>
      <c r="BF109" s="81"/>
      <c r="BG109" s="15"/>
      <c r="BH109" s="15"/>
      <c r="BI109" s="15"/>
      <c r="BS109" s="80"/>
      <c r="BT109" s="81"/>
      <c r="BU109" s="15"/>
      <c r="BV109" s="15"/>
      <c r="BW109" s="15"/>
      <c r="CA109" s="45"/>
      <c r="CD109" s="45"/>
      <c r="CG109" s="80"/>
      <c r="CH109" s="81"/>
      <c r="CI109" s="15"/>
      <c r="CJ109" s="15"/>
      <c r="CK109" s="15"/>
      <c r="CO109" s="45"/>
      <c r="CR109" s="45"/>
    </row>
    <row r="110" spans="1:96" s="18" customFormat="1" ht="15" customHeight="1">
      <c r="A110" s="78">
        <v>2001</v>
      </c>
      <c r="B110" s="79" t="s">
        <v>44</v>
      </c>
      <c r="C110" s="15">
        <f t="shared" si="17"/>
        <v>0.93976429506765602</v>
      </c>
      <c r="D110" s="15">
        <f t="shared" si="18"/>
        <v>0.97098616957306072</v>
      </c>
      <c r="E110" s="15">
        <f t="shared" si="19"/>
        <v>0.96784519132838642</v>
      </c>
      <c r="F110" s="16">
        <f t="shared" si="16"/>
        <v>0</v>
      </c>
      <c r="G11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0" s="16">
        <v>6873</v>
      </c>
      <c r="I110" s="16">
        <f t="shared" si="24"/>
        <v>221</v>
      </c>
      <c r="J110" s="16">
        <v>6652</v>
      </c>
      <c r="K110" s="16">
        <v>6459</v>
      </c>
      <c r="L110" s="16">
        <f t="shared" si="25"/>
        <v>193</v>
      </c>
      <c r="M110" s="16"/>
      <c r="N110" s="16"/>
      <c r="O110" s="78">
        <v>2001</v>
      </c>
      <c r="P110" s="79" t="s">
        <v>44</v>
      </c>
      <c r="Q110" s="15"/>
      <c r="R110" s="15"/>
      <c r="S110" s="15"/>
      <c r="T110" s="16"/>
      <c r="U110" s="16"/>
      <c r="V110" s="16"/>
      <c r="W110" s="16"/>
      <c r="X110" s="69">
        <f>(SUM(X$134:X$148)/15)/(SUM($J$134:$J$148)/15)*BS[[#This Row],[Trenes Corridos]]</f>
        <v>4049.301158242853</v>
      </c>
      <c r="Y110" s="16"/>
      <c r="Z110" s="16"/>
      <c r="AA110" s="16"/>
      <c r="AB110" s="16"/>
      <c r="AC110" s="78">
        <v>2001</v>
      </c>
      <c r="AD110" s="79" t="s">
        <v>44</v>
      </c>
      <c r="AE110" s="15"/>
      <c r="AF110" s="15"/>
      <c r="AG110" s="15"/>
      <c r="AH110" s="16"/>
      <c r="AI110" s="16"/>
      <c r="AJ110" s="16"/>
      <c r="AK110" s="16"/>
      <c r="AL110" s="69">
        <f>(SUM(AL$134:AL$148)/15)/(SUM($J$134:$J$148)/15)*BS[[#This Row],[Trenes Corridos]]</f>
        <v>2342.5294090998323</v>
      </c>
      <c r="AM110" s="16"/>
      <c r="AN110" s="16"/>
      <c r="AO110" s="16"/>
      <c r="AP110" s="16"/>
      <c r="AQ110" s="78">
        <v>2001</v>
      </c>
      <c r="AR110" s="79" t="s">
        <v>44</v>
      </c>
      <c r="AS110" s="15"/>
      <c r="AT110" s="15"/>
      <c r="AU110" s="15"/>
      <c r="AV110" s="15"/>
      <c r="AW110" s="15"/>
      <c r="AX110" s="16"/>
      <c r="AY110" s="16"/>
      <c r="AZ110" s="69">
        <f>(SUM(AZ$134:AZ$148)/15)/(SUM($J$134:$J$148)/15)*BS[[#This Row],[Trenes Corridos]]</f>
        <v>260.16943265731413</v>
      </c>
      <c r="BA110" s="16"/>
      <c r="BB110" s="16"/>
      <c r="BC110" s="16"/>
      <c r="BD110" s="16"/>
      <c r="BE110" s="78"/>
      <c r="BF110" s="79"/>
      <c r="BG110" s="15"/>
      <c r="BH110" s="15"/>
      <c r="BI110" s="15"/>
      <c r="BS110" s="78"/>
      <c r="BT110" s="79"/>
      <c r="BU110" s="15"/>
      <c r="BV110" s="15"/>
      <c r="BW110" s="15"/>
      <c r="CA110" s="45"/>
      <c r="CD110" s="45"/>
      <c r="CG110" s="78"/>
      <c r="CH110" s="79"/>
      <c r="CI110" s="15"/>
      <c r="CJ110" s="15"/>
      <c r="CK110" s="15"/>
      <c r="CO110" s="45"/>
      <c r="CR110" s="45"/>
    </row>
    <row r="111" spans="1:96" s="18" customFormat="1" ht="15" customHeight="1">
      <c r="A111" s="80">
        <v>2001</v>
      </c>
      <c r="B111" s="81" t="s">
        <v>45</v>
      </c>
      <c r="C111" s="15">
        <f t="shared" si="17"/>
        <v>0.89726315789473687</v>
      </c>
      <c r="D111" s="15">
        <f t="shared" si="18"/>
        <v>0.97069541451563923</v>
      </c>
      <c r="E111" s="15">
        <f t="shared" si="19"/>
        <v>0.92435087719298248</v>
      </c>
      <c r="F111" s="16">
        <f t="shared" si="16"/>
        <v>0</v>
      </c>
      <c r="G11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1" s="16">
        <v>7125</v>
      </c>
      <c r="I111" s="16">
        <f t="shared" si="24"/>
        <v>539</v>
      </c>
      <c r="J111" s="16">
        <v>6586</v>
      </c>
      <c r="K111" s="16">
        <v>6393</v>
      </c>
      <c r="L111" s="16">
        <f t="shared" si="25"/>
        <v>193</v>
      </c>
      <c r="M111" s="16"/>
      <c r="N111" s="16"/>
      <c r="O111" s="80">
        <v>2001</v>
      </c>
      <c r="P111" s="81" t="s">
        <v>45</v>
      </c>
      <c r="Q111" s="15"/>
      <c r="R111" s="15"/>
      <c r="S111" s="15"/>
      <c r="T111" s="16"/>
      <c r="U111" s="16"/>
      <c r="V111" s="16"/>
      <c r="W111" s="16"/>
      <c r="X111" s="69">
        <f>(SUM(X$134:X$148)/15)/(SUM($J$134:$J$148)/15)*BS[[#This Row],[Trenes Corridos]]</f>
        <v>4009.1246885429091</v>
      </c>
      <c r="Y111" s="16"/>
      <c r="Z111" s="16"/>
      <c r="AA111" s="16"/>
      <c r="AB111" s="16"/>
      <c r="AC111" s="80">
        <v>2001</v>
      </c>
      <c r="AD111" s="81" t="s">
        <v>45</v>
      </c>
      <c r="AE111" s="15"/>
      <c r="AF111" s="15"/>
      <c r="AG111" s="15"/>
      <c r="AH111" s="16"/>
      <c r="AI111" s="16"/>
      <c r="AJ111" s="16"/>
      <c r="AK111" s="16"/>
      <c r="AL111" s="69">
        <f>(SUM(AL$134:AL$148)/15)/(SUM($J$134:$J$148)/15)*BS[[#This Row],[Trenes Corridos]]</f>
        <v>2319.2872351670917</v>
      </c>
      <c r="AM111" s="16"/>
      <c r="AN111" s="16"/>
      <c r="AO111" s="16"/>
      <c r="AP111" s="16"/>
      <c r="AQ111" s="80">
        <v>2001</v>
      </c>
      <c r="AR111" s="81" t="s">
        <v>45</v>
      </c>
      <c r="AS111" s="15"/>
      <c r="AT111" s="15"/>
      <c r="AU111" s="15"/>
      <c r="AV111" s="15"/>
      <c r="AW111" s="15"/>
      <c r="AX111" s="16"/>
      <c r="AY111" s="16"/>
      <c r="AZ111" s="69">
        <f>(SUM(AZ$134:AZ$148)/15)/(SUM($J$134:$J$148)/15)*BS[[#This Row],[Trenes Corridos]]</f>
        <v>257.58807628999864</v>
      </c>
      <c r="BA111" s="16"/>
      <c r="BB111" s="16"/>
      <c r="BC111" s="16"/>
      <c r="BD111" s="16"/>
      <c r="BE111" s="80"/>
      <c r="BF111" s="81"/>
      <c r="BG111" s="15"/>
      <c r="BH111" s="15"/>
      <c r="BI111" s="15"/>
      <c r="BS111" s="80"/>
      <c r="BT111" s="81"/>
      <c r="BU111" s="15"/>
      <c r="BV111" s="15"/>
      <c r="BW111" s="15"/>
      <c r="CA111" s="45"/>
      <c r="CD111" s="45"/>
      <c r="CG111" s="80"/>
      <c r="CH111" s="81"/>
      <c r="CI111" s="15"/>
      <c r="CJ111" s="15"/>
      <c r="CK111" s="15"/>
      <c r="CO111" s="45"/>
      <c r="CR111" s="45"/>
    </row>
    <row r="112" spans="1:96" s="18" customFormat="1" ht="15" customHeight="1">
      <c r="A112" s="78">
        <v>2001</v>
      </c>
      <c r="B112" s="79" t="s">
        <v>46</v>
      </c>
      <c r="C112" s="15">
        <f t="shared" si="17"/>
        <v>0.94820311363305687</v>
      </c>
      <c r="D112" s="15">
        <f t="shared" si="18"/>
        <v>0.97210620525059666</v>
      </c>
      <c r="E112" s="15">
        <f t="shared" si="19"/>
        <v>0.97541102866288376</v>
      </c>
      <c r="F112" s="16">
        <f t="shared" si="16"/>
        <v>0</v>
      </c>
      <c r="G11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2" s="16">
        <v>6873</v>
      </c>
      <c r="I112" s="16">
        <f t="shared" si="24"/>
        <v>169</v>
      </c>
      <c r="J112" s="16">
        <v>6704</v>
      </c>
      <c r="K112" s="16">
        <v>6517</v>
      </c>
      <c r="L112" s="16">
        <f t="shared" si="25"/>
        <v>187</v>
      </c>
      <c r="M112" s="16"/>
      <c r="N112" s="16"/>
      <c r="O112" s="78">
        <v>2001</v>
      </c>
      <c r="P112" s="79" t="s">
        <v>46</v>
      </c>
      <c r="Q112" s="15"/>
      <c r="R112" s="15"/>
      <c r="S112" s="15"/>
      <c r="T112" s="16"/>
      <c r="U112" s="16"/>
      <c r="V112" s="16"/>
      <c r="W112" s="16"/>
      <c r="X112" s="69">
        <f>(SUM(X$134:X$148)/15)/(SUM($J$134:$J$148)/15)*BS[[#This Row],[Trenes Corridos]]</f>
        <v>4080.9553464912938</v>
      </c>
      <c r="Y112" s="16"/>
      <c r="Z112" s="16"/>
      <c r="AA112" s="16"/>
      <c r="AB112" s="16"/>
      <c r="AC112" s="78">
        <v>2001</v>
      </c>
      <c r="AD112" s="79" t="s">
        <v>46</v>
      </c>
      <c r="AE112" s="15"/>
      <c r="AF112" s="15"/>
      <c r="AG112" s="15"/>
      <c r="AH112" s="16"/>
      <c r="AI112" s="16"/>
      <c r="AJ112" s="16"/>
      <c r="AK112" s="16"/>
      <c r="AL112" s="69">
        <f>(SUM(AL$134:AL$148)/15)/(SUM($J$134:$J$148)/15)*BS[[#This Row],[Trenes Corridos]]</f>
        <v>2360.8414249256275</v>
      </c>
      <c r="AM112" s="16"/>
      <c r="AN112" s="16"/>
      <c r="AO112" s="16"/>
      <c r="AP112" s="16"/>
      <c r="AQ112" s="78">
        <v>2001</v>
      </c>
      <c r="AR112" s="79" t="s">
        <v>46</v>
      </c>
      <c r="AS112" s="15"/>
      <c r="AT112" s="15"/>
      <c r="AU112" s="15"/>
      <c r="AV112" s="15"/>
      <c r="AW112" s="15"/>
      <c r="AX112" s="16"/>
      <c r="AY112" s="16"/>
      <c r="AZ112" s="69">
        <f>(SUM(AZ$134:AZ$148)/15)/(SUM($J$134:$J$148)/15)*BS[[#This Row],[Trenes Corridos]]</f>
        <v>262.20322858307787</v>
      </c>
      <c r="BA112" s="16"/>
      <c r="BB112" s="16"/>
      <c r="BC112" s="16"/>
      <c r="BD112" s="16"/>
      <c r="BE112" s="78"/>
      <c r="BF112" s="79"/>
      <c r="BG112" s="15"/>
      <c r="BH112" s="15"/>
      <c r="BI112" s="15"/>
      <c r="BS112" s="78"/>
      <c r="BT112" s="79"/>
      <c r="BU112" s="15"/>
      <c r="BV112" s="15"/>
      <c r="BW112" s="15"/>
      <c r="CA112" s="45"/>
      <c r="CD112" s="45"/>
      <c r="CG112" s="78"/>
      <c r="CH112" s="79"/>
      <c r="CI112" s="15"/>
      <c r="CJ112" s="15"/>
      <c r="CK112" s="15"/>
      <c r="CO112" s="45"/>
      <c r="CR112" s="45"/>
    </row>
    <row r="113" spans="1:96" s="18" customFormat="1" ht="15" customHeight="1">
      <c r="A113" s="80">
        <v>2001</v>
      </c>
      <c r="B113" s="81" t="s">
        <v>47</v>
      </c>
      <c r="C113" s="15">
        <f t="shared" si="17"/>
        <v>0.89202418658220561</v>
      </c>
      <c r="D113" s="15">
        <f t="shared" si="18"/>
        <v>0.96390790292470441</v>
      </c>
      <c r="E113" s="15">
        <f t="shared" si="19"/>
        <v>0.92542470486610995</v>
      </c>
      <c r="F113" s="16">
        <f t="shared" si="16"/>
        <v>0</v>
      </c>
      <c r="G11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3" s="16">
        <v>6946</v>
      </c>
      <c r="I113" s="16">
        <f t="shared" si="24"/>
        <v>518</v>
      </c>
      <c r="J113" s="16">
        <v>6428</v>
      </c>
      <c r="K113" s="16">
        <v>6196</v>
      </c>
      <c r="L113" s="16">
        <f t="shared" si="25"/>
        <v>232</v>
      </c>
      <c r="M113" s="16"/>
      <c r="N113" s="16"/>
      <c r="O113" s="80">
        <v>2001</v>
      </c>
      <c r="P113" s="81" t="s">
        <v>47</v>
      </c>
      <c r="Q113" s="15"/>
      <c r="R113" s="15"/>
      <c r="S113" s="15"/>
      <c r="T113" s="16"/>
      <c r="U113" s="16"/>
      <c r="V113" s="16"/>
      <c r="W113" s="16"/>
      <c r="X113" s="69">
        <f>(SUM(X$134:X$148)/15)/(SUM($J$134:$J$148)/15)*BS[[#This Row],[Trenes Corridos]]</f>
        <v>3912.9446550188004</v>
      </c>
      <c r="Y113" s="16"/>
      <c r="Z113" s="16"/>
      <c r="AA113" s="16"/>
      <c r="AB113" s="16"/>
      <c r="AC113" s="80">
        <v>2001</v>
      </c>
      <c r="AD113" s="81" t="s">
        <v>47</v>
      </c>
      <c r="AE113" s="15"/>
      <c r="AF113" s="15"/>
      <c r="AG113" s="15"/>
      <c r="AH113" s="16"/>
      <c r="AI113" s="16"/>
      <c r="AJ113" s="16"/>
      <c r="AK113" s="16"/>
      <c r="AL113" s="69">
        <f>(SUM(AL$134:AL$148)/15)/(SUM($J$134:$J$148)/15)*BS[[#This Row],[Trenes Corridos]]</f>
        <v>2263.6468793887134</v>
      </c>
      <c r="AM113" s="16"/>
      <c r="AN113" s="16"/>
      <c r="AO113" s="16"/>
      <c r="AP113" s="16"/>
      <c r="AQ113" s="80">
        <v>2001</v>
      </c>
      <c r="AR113" s="81" t="s">
        <v>47</v>
      </c>
      <c r="AS113" s="15"/>
      <c r="AT113" s="15"/>
      <c r="AU113" s="15"/>
      <c r="AV113" s="15"/>
      <c r="AW113" s="15"/>
      <c r="AX113" s="16"/>
      <c r="AY113" s="16"/>
      <c r="AZ113" s="69">
        <f>(SUM(AZ$134:AZ$148)/15)/(SUM($J$134:$J$148)/15)*BS[[#This Row],[Trenes Corridos]]</f>
        <v>251.40846559248575</v>
      </c>
      <c r="BA113" s="16"/>
      <c r="BB113" s="16"/>
      <c r="BC113" s="16"/>
      <c r="BD113" s="16"/>
      <c r="BE113" s="80"/>
      <c r="BF113" s="81"/>
      <c r="BG113" s="15"/>
      <c r="BH113" s="15"/>
      <c r="BI113" s="15"/>
      <c r="BS113" s="80"/>
      <c r="BT113" s="81"/>
      <c r="BU113" s="15"/>
      <c r="BV113" s="15"/>
      <c r="BW113" s="15"/>
      <c r="CA113" s="45"/>
      <c r="CD113" s="45"/>
      <c r="CG113" s="80"/>
      <c r="CH113" s="81"/>
      <c r="CI113" s="15"/>
      <c r="CJ113" s="15"/>
      <c r="CK113" s="15"/>
      <c r="CO113" s="45"/>
      <c r="CR113" s="45"/>
    </row>
    <row r="114" spans="1:96" s="18" customFormat="1" ht="15" customHeight="1">
      <c r="A114" s="78">
        <v>2002</v>
      </c>
      <c r="B114" s="79" t="s">
        <v>36</v>
      </c>
      <c r="C114" s="15">
        <f t="shared" si="17"/>
        <v>0.79716252282623967</v>
      </c>
      <c r="D114" s="15">
        <f t="shared" si="18"/>
        <v>0.97946151190887121</v>
      </c>
      <c r="E114" s="15">
        <f t="shared" si="19"/>
        <v>0.81387835370136252</v>
      </c>
      <c r="F114" s="16">
        <f t="shared" si="16"/>
        <v>0</v>
      </c>
      <c r="G11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4" s="16">
        <v>7119</v>
      </c>
      <c r="I114" s="16">
        <f>H114-J114</f>
        <v>1325</v>
      </c>
      <c r="J114" s="16">
        <v>5794</v>
      </c>
      <c r="K114" s="16">
        <v>5675</v>
      </c>
      <c r="L114" s="16">
        <f>J114-K114</f>
        <v>119</v>
      </c>
      <c r="M114" s="16"/>
      <c r="N114" s="16"/>
      <c r="O114" s="78">
        <v>2002</v>
      </c>
      <c r="P114" s="79" t="s">
        <v>36</v>
      </c>
      <c r="Q114" s="15"/>
      <c r="R114" s="15"/>
      <c r="S114" s="15"/>
      <c r="T114" s="16"/>
      <c r="U114" s="16"/>
      <c r="V114" s="16"/>
      <c r="W114" s="16"/>
      <c r="X114" s="69">
        <f>(SUM(X$134:X$148)/15)/(SUM($J$134:$J$148)/15)*BS[[#This Row],[Trenes Corridos]]</f>
        <v>3527.0070521435796</v>
      </c>
      <c r="Y114" s="16"/>
      <c r="Z114" s="16"/>
      <c r="AA114" s="16"/>
      <c r="AB114" s="16"/>
      <c r="AC114" s="78">
        <v>2002</v>
      </c>
      <c r="AD114" s="79" t="s">
        <v>36</v>
      </c>
      <c r="AE114" s="15"/>
      <c r="AF114" s="15"/>
      <c r="AG114" s="15"/>
      <c r="AH114" s="16"/>
      <c r="AI114" s="16"/>
      <c r="AJ114" s="16"/>
      <c r="AK114" s="16"/>
      <c r="AL114" s="69">
        <f>(SUM(AL$134:AL$148)/15)/(SUM($J$134:$J$148)/15)*BS[[#This Row],[Trenes Corridos]]</f>
        <v>2040.3811479742076</v>
      </c>
      <c r="AM114" s="16"/>
      <c r="AN114" s="16"/>
      <c r="AO114" s="16"/>
      <c r="AP114" s="16"/>
      <c r="AQ114" s="78">
        <v>2002</v>
      </c>
      <c r="AR114" s="79" t="s">
        <v>36</v>
      </c>
      <c r="AS114" s="15"/>
      <c r="AT114" s="15"/>
      <c r="AU114" s="15"/>
      <c r="AV114" s="15"/>
      <c r="AW114" s="15"/>
      <c r="AX114" s="16"/>
      <c r="AY114" s="16"/>
      <c r="AZ114" s="69">
        <f>(SUM(AZ$134:AZ$148)/15)/(SUM($J$134:$J$148)/15)*BS[[#This Row],[Trenes Corridos]]</f>
        <v>226.61179988221258</v>
      </c>
      <c r="BA114" s="16"/>
      <c r="BB114" s="16"/>
      <c r="BC114" s="16"/>
      <c r="BD114" s="16"/>
      <c r="BE114" s="78"/>
      <c r="BF114" s="79"/>
      <c r="BG114" s="15"/>
      <c r="BH114" s="15"/>
      <c r="BI114" s="15"/>
      <c r="BS114" s="78"/>
      <c r="BT114" s="79"/>
      <c r="BU114" s="15"/>
      <c r="BV114" s="15"/>
      <c r="BW114" s="15"/>
      <c r="CA114" s="45"/>
      <c r="CD114" s="45"/>
      <c r="CG114" s="78"/>
      <c r="CH114" s="79"/>
      <c r="CI114" s="15"/>
      <c r="CJ114" s="15"/>
      <c r="CK114" s="15"/>
      <c r="CO114" s="45"/>
      <c r="CR114" s="45"/>
    </row>
    <row r="115" spans="1:96" s="18" customFormat="1" ht="15" customHeight="1">
      <c r="A115" s="80">
        <v>2002</v>
      </c>
      <c r="B115" s="81" t="s">
        <v>37</v>
      </c>
      <c r="C115" s="15">
        <f t="shared" si="17"/>
        <v>0.7485307763686978</v>
      </c>
      <c r="D115" s="15">
        <f t="shared" si="18"/>
        <v>0.98694942903752036</v>
      </c>
      <c r="E115" s="15">
        <f t="shared" si="19"/>
        <v>0.75842870399010209</v>
      </c>
      <c r="F115" s="16">
        <f t="shared" si="16"/>
        <v>0</v>
      </c>
      <c r="G11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5" s="16">
        <v>6466</v>
      </c>
      <c r="I115" s="16">
        <f>H115-J115</f>
        <v>1562</v>
      </c>
      <c r="J115" s="16">
        <v>4904</v>
      </c>
      <c r="K115" s="16">
        <v>4840</v>
      </c>
      <c r="L115" s="16">
        <f>J115-K115</f>
        <v>64</v>
      </c>
      <c r="M115" s="16"/>
      <c r="N115" s="16"/>
      <c r="O115" s="80">
        <v>2002</v>
      </c>
      <c r="P115" s="81" t="s">
        <v>37</v>
      </c>
      <c r="Q115" s="15"/>
      <c r="R115" s="15"/>
      <c r="S115" s="15"/>
      <c r="T115" s="16"/>
      <c r="U115" s="16"/>
      <c r="V115" s="16"/>
      <c r="W115" s="16"/>
      <c r="X115" s="69">
        <f>(SUM(X$134:X$148)/15)/(SUM($J$134:$J$148)/15)*BS[[#This Row],[Trenes Corridos]]</f>
        <v>2985.2334455837267</v>
      </c>
      <c r="Y115" s="16"/>
      <c r="Z115" s="16"/>
      <c r="AA115" s="16"/>
      <c r="AB115" s="16"/>
      <c r="AC115" s="80">
        <v>2002</v>
      </c>
      <c r="AD115" s="81" t="s">
        <v>37</v>
      </c>
      <c r="AE115" s="15"/>
      <c r="AF115" s="15"/>
      <c r="AG115" s="15"/>
      <c r="AH115" s="16"/>
      <c r="AI115" s="16"/>
      <c r="AJ115" s="16"/>
      <c r="AK115" s="16"/>
      <c r="AL115" s="69">
        <f>(SUM(AL$134:AL$148)/15)/(SUM($J$134:$J$148)/15)*BS[[#This Row],[Trenes Corridos]]</f>
        <v>1726.9639540327087</v>
      </c>
      <c r="AM115" s="16"/>
      <c r="AN115" s="16"/>
      <c r="AO115" s="16"/>
      <c r="AP115" s="16"/>
      <c r="AQ115" s="80">
        <v>2002</v>
      </c>
      <c r="AR115" s="81" t="s">
        <v>37</v>
      </c>
      <c r="AS115" s="15"/>
      <c r="AT115" s="15"/>
      <c r="AU115" s="15"/>
      <c r="AV115" s="15"/>
      <c r="AW115" s="15"/>
      <c r="AX115" s="16"/>
      <c r="AY115" s="16"/>
      <c r="AZ115" s="69">
        <f>(SUM(AZ$134:AZ$148)/15)/(SUM($J$134:$J$148)/15)*BS[[#This Row],[Trenes Corridos]]</f>
        <v>191.80260038356411</v>
      </c>
      <c r="BA115" s="16"/>
      <c r="BB115" s="16"/>
      <c r="BC115" s="16"/>
      <c r="BD115" s="16"/>
      <c r="BE115" s="80"/>
      <c r="BF115" s="81"/>
      <c r="BG115" s="15"/>
      <c r="BH115" s="15"/>
      <c r="BI115" s="15"/>
      <c r="BS115" s="80"/>
      <c r="BT115" s="81"/>
      <c r="BU115" s="15"/>
      <c r="BV115" s="15"/>
      <c r="BW115" s="15"/>
      <c r="CA115" s="45"/>
      <c r="CD115" s="45"/>
      <c r="CG115" s="80"/>
      <c r="CH115" s="81"/>
      <c r="CI115" s="15"/>
      <c r="CJ115" s="15"/>
      <c r="CK115" s="15"/>
      <c r="CO115" s="45"/>
      <c r="CR115" s="45"/>
    </row>
    <row r="116" spans="1:96" s="18" customFormat="1" ht="15" customHeight="1">
      <c r="A116" s="78">
        <v>2002</v>
      </c>
      <c r="B116" s="79" t="s">
        <v>38</v>
      </c>
      <c r="C116" s="15">
        <f t="shared" si="17"/>
        <v>0.68735632183908046</v>
      </c>
      <c r="D116" s="15">
        <f t="shared" si="18"/>
        <v>0.9781230832140666</v>
      </c>
      <c r="E116" s="15">
        <f t="shared" si="19"/>
        <v>0.70272988505747125</v>
      </c>
      <c r="F116" s="16">
        <f t="shared" si="16"/>
        <v>0</v>
      </c>
      <c r="G11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6" s="16">
        <v>6960</v>
      </c>
      <c r="I116" s="16">
        <f>H116-J116</f>
        <v>2069</v>
      </c>
      <c r="J116" s="16">
        <v>4891</v>
      </c>
      <c r="K116" s="16">
        <v>4784</v>
      </c>
      <c r="L116" s="16">
        <f>J116-K116</f>
        <v>107</v>
      </c>
      <c r="M116" s="16"/>
      <c r="N116" s="16"/>
      <c r="O116" s="78">
        <v>2002</v>
      </c>
      <c r="P116" s="79" t="s">
        <v>38</v>
      </c>
      <c r="Q116" s="15"/>
      <c r="R116" s="15"/>
      <c r="S116" s="15"/>
      <c r="T116" s="16"/>
      <c r="U116" s="16"/>
      <c r="V116" s="16"/>
      <c r="W116" s="16"/>
      <c r="X116" s="69">
        <f>(SUM(X$134:X$148)/15)/(SUM($J$134:$J$148)/15)*BS[[#This Row],[Trenes Corridos]]</f>
        <v>2977.3198985216168</v>
      </c>
      <c r="Y116" s="16"/>
      <c r="Z116" s="16"/>
      <c r="AA116" s="16"/>
      <c r="AB116" s="16"/>
      <c r="AC116" s="78">
        <v>2002</v>
      </c>
      <c r="AD116" s="79" t="s">
        <v>38</v>
      </c>
      <c r="AE116" s="15"/>
      <c r="AF116" s="15"/>
      <c r="AG116" s="15"/>
      <c r="AH116" s="16"/>
      <c r="AI116" s="16"/>
      <c r="AJ116" s="16"/>
      <c r="AK116" s="16"/>
      <c r="AL116" s="69">
        <f>(SUM(AL$134:AL$148)/15)/(SUM($J$134:$J$148)/15)*BS[[#This Row],[Trenes Corridos]]</f>
        <v>1722.3859500762596</v>
      </c>
      <c r="AM116" s="16"/>
      <c r="AN116" s="16"/>
      <c r="AO116" s="16"/>
      <c r="AP116" s="16"/>
      <c r="AQ116" s="78">
        <v>2002</v>
      </c>
      <c r="AR116" s="79" t="s">
        <v>38</v>
      </c>
      <c r="AS116" s="15"/>
      <c r="AT116" s="15"/>
      <c r="AU116" s="15"/>
      <c r="AV116" s="15"/>
      <c r="AW116" s="15"/>
      <c r="AX116" s="16"/>
      <c r="AY116" s="16"/>
      <c r="AZ116" s="69">
        <f>(SUM(AZ$134:AZ$148)/15)/(SUM($J$134:$J$148)/15)*BS[[#This Row],[Trenes Corridos]]</f>
        <v>191.29415140212319</v>
      </c>
      <c r="BA116" s="16"/>
      <c r="BB116" s="16"/>
      <c r="BC116" s="16"/>
      <c r="BD116" s="16"/>
      <c r="BE116" s="78"/>
      <c r="BF116" s="79"/>
      <c r="BG116" s="15"/>
      <c r="BH116" s="15"/>
      <c r="BI116" s="15"/>
      <c r="BS116" s="78"/>
      <c r="BT116" s="79"/>
      <c r="BU116" s="15"/>
      <c r="BV116" s="15"/>
      <c r="BW116" s="15"/>
      <c r="CA116" s="45"/>
      <c r="CD116" s="45"/>
      <c r="CG116" s="78"/>
      <c r="CH116" s="79"/>
      <c r="CI116" s="15"/>
      <c r="CJ116" s="15"/>
      <c r="CK116" s="15"/>
      <c r="CO116" s="45"/>
      <c r="CR116" s="45"/>
    </row>
    <row r="117" spans="1:96" s="18" customFormat="1" ht="15" customHeight="1">
      <c r="A117" s="80">
        <v>2002</v>
      </c>
      <c r="B117" s="81" t="s">
        <v>39</v>
      </c>
      <c r="C117" s="15">
        <f t="shared" si="17"/>
        <v>0.27994772760272979</v>
      </c>
      <c r="D117" s="15">
        <f t="shared" si="18"/>
        <v>0.98317185109637939</v>
      </c>
      <c r="E117" s="15">
        <f t="shared" si="19"/>
        <v>0.28473936401916655</v>
      </c>
      <c r="F117" s="16">
        <f t="shared" si="16"/>
        <v>0</v>
      </c>
      <c r="G11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7" s="16">
        <v>6887</v>
      </c>
      <c r="I117" s="16">
        <f>H117-J117</f>
        <v>4926</v>
      </c>
      <c r="J117" s="16">
        <v>1961</v>
      </c>
      <c r="K117" s="16">
        <v>1928</v>
      </c>
      <c r="L117" s="16">
        <f>J117-K117</f>
        <v>33</v>
      </c>
      <c r="M117" s="16"/>
      <c r="N117" s="16"/>
      <c r="O117" s="80">
        <v>2002</v>
      </c>
      <c r="P117" s="81" t="s">
        <v>39</v>
      </c>
      <c r="Q117" s="15"/>
      <c r="R117" s="15"/>
      <c r="S117" s="15"/>
      <c r="T117" s="16"/>
      <c r="U117" s="16"/>
      <c r="V117" s="16"/>
      <c r="W117" s="16"/>
      <c r="X117" s="69">
        <f>(SUM(X$134:X$148)/15)/(SUM($J$134:$J$148)/15)*BS[[#This Row],[Trenes Corridos]]</f>
        <v>1193.728137599855</v>
      </c>
      <c r="Y117" s="16"/>
      <c r="Z117" s="16"/>
      <c r="AA117" s="16"/>
      <c r="AB117" s="16"/>
      <c r="AC117" s="80">
        <v>2002</v>
      </c>
      <c r="AD117" s="81" t="s">
        <v>39</v>
      </c>
      <c r="AE117" s="15"/>
      <c r="AF117" s="15"/>
      <c r="AG117" s="15"/>
      <c r="AH117" s="16"/>
      <c r="AI117" s="16"/>
      <c r="AJ117" s="16"/>
      <c r="AK117" s="16"/>
      <c r="AL117" s="69">
        <f>(SUM(AL$134:AL$148)/15)/(SUM($J$134:$J$148)/15)*BS[[#This Row],[Trenes Corridos]]</f>
        <v>690.57428912278579</v>
      </c>
      <c r="AM117" s="16"/>
      <c r="AN117" s="16"/>
      <c r="AO117" s="16"/>
      <c r="AP117" s="16"/>
      <c r="AQ117" s="80">
        <v>2002</v>
      </c>
      <c r="AR117" s="81" t="s">
        <v>39</v>
      </c>
      <c r="AS117" s="15"/>
      <c r="AT117" s="15"/>
      <c r="AU117" s="15"/>
      <c r="AV117" s="15"/>
      <c r="AW117" s="15"/>
      <c r="AX117" s="16"/>
      <c r="AY117" s="16"/>
      <c r="AZ117" s="69">
        <f>(SUM(AZ$134:AZ$148)/15)/(SUM($J$134:$J$148)/15)*BS[[#This Row],[Trenes Corridos]]</f>
        <v>76.69757327735914</v>
      </c>
      <c r="BA117" s="16"/>
      <c r="BB117" s="16"/>
      <c r="BC117" s="16"/>
      <c r="BD117" s="16"/>
      <c r="BE117" s="80"/>
      <c r="BF117" s="81"/>
      <c r="BG117" s="15"/>
      <c r="BH117" s="15"/>
      <c r="BI117" s="15"/>
      <c r="BS117" s="80"/>
      <c r="BT117" s="81"/>
      <c r="BU117" s="15"/>
      <c r="BV117" s="15"/>
      <c r="BW117" s="15"/>
      <c r="CA117" s="45"/>
      <c r="CD117" s="45"/>
      <c r="CG117" s="80"/>
      <c r="CH117" s="81"/>
      <c r="CI117" s="15"/>
      <c r="CJ117" s="15"/>
      <c r="CK117" s="15"/>
      <c r="CO117" s="45"/>
      <c r="CR117" s="45"/>
    </row>
    <row r="118" spans="1:96" s="18" customFormat="1" ht="15" customHeight="1">
      <c r="A118" s="78">
        <v>2002</v>
      </c>
      <c r="B118" s="79" t="s">
        <v>40</v>
      </c>
      <c r="C118" s="15">
        <f t="shared" si="17"/>
        <v>0.73972602739726023</v>
      </c>
      <c r="D118" s="15">
        <f t="shared" si="18"/>
        <v>0.98314933178384656</v>
      </c>
      <c r="E118" s="15">
        <f t="shared" si="19"/>
        <v>0.75240454677936464</v>
      </c>
      <c r="F118" s="16">
        <f t="shared" si="16"/>
        <v>0</v>
      </c>
      <c r="G11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8" s="16">
        <f>3399+875+2588</f>
        <v>6862</v>
      </c>
      <c r="I118" s="16">
        <f t="shared" ref="I118:I125" si="26">H118-J118</f>
        <v>1699</v>
      </c>
      <c r="J118" s="16">
        <f>1895+248+3020</f>
        <v>5163</v>
      </c>
      <c r="K118" s="16">
        <f>1872+248+2956</f>
        <v>5076</v>
      </c>
      <c r="L118" s="16">
        <f>J118-K118</f>
        <v>87</v>
      </c>
      <c r="M118" s="16"/>
      <c r="N118" s="16"/>
      <c r="O118" s="78">
        <v>2002</v>
      </c>
      <c r="P118" s="79" t="s">
        <v>40</v>
      </c>
      <c r="Q118" s="15"/>
      <c r="R118" s="15"/>
      <c r="S118" s="15"/>
      <c r="T118" s="16"/>
      <c r="U118" s="16"/>
      <c r="V118" s="16"/>
      <c r="W118" s="16"/>
      <c r="X118" s="69">
        <f>(SUM(X$134:X$148)/15)/(SUM($J$134:$J$148)/15)*BS[[#This Row],[Trenes Corridos]]</f>
        <v>3142.8956524365381</v>
      </c>
      <c r="Y118" s="16"/>
      <c r="Z118" s="16"/>
      <c r="AA118" s="16"/>
      <c r="AB118" s="16"/>
      <c r="AC118" s="78">
        <v>2002</v>
      </c>
      <c r="AD118" s="79" t="s">
        <v>40</v>
      </c>
      <c r="AE118" s="15"/>
      <c r="AF118" s="15"/>
      <c r="AG118" s="15"/>
      <c r="AH118" s="16"/>
      <c r="AI118" s="16"/>
      <c r="AJ118" s="16"/>
      <c r="AK118" s="16"/>
      <c r="AL118" s="69">
        <f>(SUM(AL$134:AL$148)/15)/(SUM($J$134:$J$148)/15)*BS[[#This Row],[Trenes Corridos]]</f>
        <v>1818.1718790111897</v>
      </c>
      <c r="AM118" s="16"/>
      <c r="AN118" s="16"/>
      <c r="AO118" s="16"/>
      <c r="AP118" s="16"/>
      <c r="AQ118" s="78">
        <v>2002</v>
      </c>
      <c r="AR118" s="79" t="s">
        <v>40</v>
      </c>
      <c r="AS118" s="15"/>
      <c r="AT118" s="15"/>
      <c r="AU118" s="15"/>
      <c r="AV118" s="15"/>
      <c r="AW118" s="15"/>
      <c r="AX118" s="16"/>
      <c r="AY118" s="16"/>
      <c r="AZ118" s="69">
        <f>(SUM(AZ$134:AZ$148)/15)/(SUM($J$134:$J$148)/15)*BS[[#This Row],[Trenes Corridos]]</f>
        <v>201.93246855227193</v>
      </c>
      <c r="BA118" s="16"/>
      <c r="BB118" s="16"/>
      <c r="BC118" s="16"/>
      <c r="BD118" s="16"/>
      <c r="BE118" s="78"/>
      <c r="BF118" s="79"/>
      <c r="BG118" s="15"/>
      <c r="BH118" s="15"/>
      <c r="BI118" s="15"/>
      <c r="BS118" s="78"/>
      <c r="BT118" s="79"/>
      <c r="BU118" s="15"/>
      <c r="BV118" s="15"/>
      <c r="BW118" s="15"/>
      <c r="CA118" s="45"/>
      <c r="CD118" s="45"/>
      <c r="CG118" s="78"/>
      <c r="CH118" s="79"/>
      <c r="CI118" s="15"/>
      <c r="CJ118" s="15"/>
      <c r="CK118" s="15"/>
      <c r="CO118" s="45"/>
      <c r="CR118" s="45"/>
    </row>
    <row r="119" spans="1:96" s="18" customFormat="1" ht="15" customHeight="1">
      <c r="A119" s="80">
        <v>2002</v>
      </c>
      <c r="B119" s="81" t="s">
        <v>41</v>
      </c>
      <c r="C119" s="15">
        <f t="shared" si="17"/>
        <v>0.65923862581244197</v>
      </c>
      <c r="D119" s="15">
        <f t="shared" si="18"/>
        <v>1</v>
      </c>
      <c r="E119" s="15">
        <f t="shared" si="19"/>
        <v>0.65923862581244197</v>
      </c>
      <c r="F119" s="16">
        <f t="shared" si="16"/>
        <v>0</v>
      </c>
      <c r="G11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9" s="16">
        <f>3204+834+2424</f>
        <v>6462</v>
      </c>
      <c r="I119" s="16">
        <f t="shared" si="26"/>
        <v>2202</v>
      </c>
      <c r="J119" s="16">
        <f>1525+240+2495</f>
        <v>4260</v>
      </c>
      <c r="K119" s="16">
        <f>1525+240+2495</f>
        <v>4260</v>
      </c>
      <c r="L119" s="16">
        <f t="shared" ref="L119:L124" si="27">J119-K119</f>
        <v>0</v>
      </c>
      <c r="M119" s="16"/>
      <c r="N119" s="16"/>
      <c r="O119" s="80">
        <v>2002</v>
      </c>
      <c r="P119" s="81" t="s">
        <v>41</v>
      </c>
      <c r="Q119" s="15"/>
      <c r="R119" s="15"/>
      <c r="S119" s="15"/>
      <c r="T119" s="16"/>
      <c r="U119" s="16"/>
      <c r="V119" s="16"/>
      <c r="W119" s="16"/>
      <c r="X119" s="69">
        <f>(SUM(X$134:X$148)/15)/(SUM($J$134:$J$148)/15)*BS[[#This Row],[Trenes Corridos]]</f>
        <v>2593.2084988145753</v>
      </c>
      <c r="Y119" s="16"/>
      <c r="Z119" s="16"/>
      <c r="AA119" s="16"/>
      <c r="AB119" s="16"/>
      <c r="AC119" s="80">
        <v>2002</v>
      </c>
      <c r="AD119" s="81" t="s">
        <v>41</v>
      </c>
      <c r="AE119" s="15"/>
      <c r="AF119" s="15"/>
      <c r="AG119" s="15"/>
      <c r="AH119" s="16"/>
      <c r="AI119" s="16"/>
      <c r="AJ119" s="16"/>
      <c r="AK119" s="16"/>
      <c r="AL119" s="69">
        <f>(SUM(AL$134:AL$148)/15)/(SUM($J$134:$J$148)/15)*BS[[#This Row],[Trenes Corridos]]</f>
        <v>1500.176681113242</v>
      </c>
      <c r="AM119" s="16"/>
      <c r="AN119" s="16"/>
      <c r="AO119" s="16"/>
      <c r="AP119" s="16"/>
      <c r="AQ119" s="80">
        <v>2002</v>
      </c>
      <c r="AR119" s="81" t="s">
        <v>41</v>
      </c>
      <c r="AS119" s="15"/>
      <c r="AT119" s="15"/>
      <c r="AU119" s="15"/>
      <c r="AV119" s="15"/>
      <c r="AW119" s="15"/>
      <c r="AX119" s="16"/>
      <c r="AY119" s="16"/>
      <c r="AZ119" s="69">
        <f>(SUM(AZ$134:AZ$148)/15)/(SUM($J$134:$J$148)/15)*BS[[#This Row],[Trenes Corridos]]</f>
        <v>166.61482007218254</v>
      </c>
      <c r="BA119" s="16"/>
      <c r="BB119" s="16"/>
      <c r="BC119" s="16"/>
      <c r="BD119" s="16"/>
      <c r="BE119" s="80"/>
      <c r="BF119" s="81"/>
      <c r="BG119" s="15"/>
      <c r="BH119" s="15"/>
      <c r="BI119" s="15"/>
      <c r="BS119" s="80"/>
      <c r="BT119" s="81"/>
      <c r="BU119" s="15"/>
      <c r="BV119" s="15"/>
      <c r="BW119" s="15"/>
      <c r="CA119" s="45"/>
      <c r="CD119" s="45"/>
      <c r="CG119" s="80"/>
      <c r="CH119" s="81"/>
      <c r="CI119" s="15"/>
      <c r="CJ119" s="15"/>
      <c r="CK119" s="15"/>
      <c r="CO119" s="45"/>
      <c r="CR119" s="45"/>
    </row>
    <row r="120" spans="1:96" s="18" customFormat="1" ht="15" customHeight="1">
      <c r="A120" s="78">
        <v>2002</v>
      </c>
      <c r="B120" s="79" t="s">
        <v>42</v>
      </c>
      <c r="C120" s="15">
        <f t="shared" si="17"/>
        <v>0.639848418597872</v>
      </c>
      <c r="D120" s="15">
        <f t="shared" si="18"/>
        <v>1</v>
      </c>
      <c r="E120" s="15">
        <f t="shared" si="19"/>
        <v>0.639848418597872</v>
      </c>
      <c r="F120" s="16">
        <f t="shared" si="16"/>
        <v>0</v>
      </c>
      <c r="G12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0" s="16">
        <f>3398+875+2588</f>
        <v>6861</v>
      </c>
      <c r="I120" s="16">
        <f t="shared" si="26"/>
        <v>2471</v>
      </c>
      <c r="J120" s="16">
        <f>1556+248+2586</f>
        <v>4390</v>
      </c>
      <c r="K120" s="16">
        <f>1556+248+2586</f>
        <v>4390</v>
      </c>
      <c r="L120" s="16">
        <f t="shared" si="27"/>
        <v>0</v>
      </c>
      <c r="M120" s="16"/>
      <c r="N120" s="16"/>
      <c r="O120" s="78">
        <v>2002</v>
      </c>
      <c r="P120" s="79" t="s">
        <v>42</v>
      </c>
      <c r="Q120" s="15"/>
      <c r="R120" s="15"/>
      <c r="S120" s="15"/>
      <c r="T120" s="16"/>
      <c r="U120" s="16"/>
      <c r="V120" s="16"/>
      <c r="W120" s="16"/>
      <c r="X120" s="69">
        <f>(SUM(X$134:X$148)/15)/(SUM($J$134:$J$148)/15)*BS[[#This Row],[Trenes Corridos]]</f>
        <v>2672.3439694356771</v>
      </c>
      <c r="Y120" s="16"/>
      <c r="Z120" s="16"/>
      <c r="AA120" s="16"/>
      <c r="AB120" s="16"/>
      <c r="AC120" s="78">
        <v>2002</v>
      </c>
      <c r="AD120" s="79" t="s">
        <v>42</v>
      </c>
      <c r="AE120" s="15"/>
      <c r="AF120" s="15"/>
      <c r="AG120" s="15"/>
      <c r="AH120" s="16"/>
      <c r="AI120" s="16"/>
      <c r="AJ120" s="16"/>
      <c r="AK120" s="16"/>
      <c r="AL120" s="69">
        <f>(SUM(AL$134:AL$148)/15)/(SUM($J$134:$J$148)/15)*BS[[#This Row],[Trenes Corridos]]</f>
        <v>1545.9567206777306</v>
      </c>
      <c r="AM120" s="16"/>
      <c r="AN120" s="16"/>
      <c r="AO120" s="16"/>
      <c r="AP120" s="16"/>
      <c r="AQ120" s="78">
        <v>2002</v>
      </c>
      <c r="AR120" s="79" t="s">
        <v>42</v>
      </c>
      <c r="AS120" s="15"/>
      <c r="AT120" s="15"/>
      <c r="AU120" s="15"/>
      <c r="AV120" s="15"/>
      <c r="AW120" s="15"/>
      <c r="AX120" s="16"/>
      <c r="AY120" s="16"/>
      <c r="AZ120" s="69">
        <f>(SUM(AZ$134:AZ$148)/15)/(SUM($J$134:$J$148)/15)*BS[[#This Row],[Trenes Corridos]]</f>
        <v>171.69930988659186</v>
      </c>
      <c r="BA120" s="16"/>
      <c r="BB120" s="16"/>
      <c r="BC120" s="16"/>
      <c r="BD120" s="16"/>
      <c r="BE120" s="78"/>
      <c r="BF120" s="79"/>
      <c r="BG120" s="15"/>
      <c r="BH120" s="15"/>
      <c r="BI120" s="15"/>
      <c r="BS120" s="78"/>
      <c r="BT120" s="79"/>
      <c r="BU120" s="15"/>
      <c r="BV120" s="15"/>
      <c r="BW120" s="15"/>
      <c r="CA120" s="45"/>
      <c r="CD120" s="45"/>
      <c r="CG120" s="78"/>
      <c r="CH120" s="79"/>
      <c r="CI120" s="15"/>
      <c r="CJ120" s="15"/>
      <c r="CK120" s="15"/>
      <c r="CO120" s="45"/>
      <c r="CR120" s="45"/>
    </row>
    <row r="121" spans="1:96" s="18" customFormat="1" ht="15" customHeight="1">
      <c r="A121" s="80">
        <v>2002</v>
      </c>
      <c r="B121" s="81" t="s">
        <v>43</v>
      </c>
      <c r="C121" s="15">
        <f t="shared" si="17"/>
        <v>0.64782736347621839</v>
      </c>
      <c r="D121" s="15">
        <f t="shared" si="18"/>
        <v>1</v>
      </c>
      <c r="E121" s="15">
        <f t="shared" si="19"/>
        <v>0.64782736347621839</v>
      </c>
      <c r="F121" s="16">
        <f t="shared" si="16"/>
        <v>0</v>
      </c>
      <c r="G12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1" s="16">
        <f>3373+875+2564</f>
        <v>6812</v>
      </c>
      <c r="I121" s="16">
        <f t="shared" si="26"/>
        <v>2399</v>
      </c>
      <c r="J121" s="16">
        <f>1573+248+2592</f>
        <v>4413</v>
      </c>
      <c r="K121" s="16">
        <f>1573+248+2592</f>
        <v>4413</v>
      </c>
      <c r="L121" s="16">
        <f t="shared" si="27"/>
        <v>0</v>
      </c>
      <c r="M121" s="16"/>
      <c r="N121" s="16"/>
      <c r="O121" s="80">
        <v>2002</v>
      </c>
      <c r="P121" s="81" t="s">
        <v>43</v>
      </c>
      <c r="Q121" s="15"/>
      <c r="R121" s="15"/>
      <c r="S121" s="15"/>
      <c r="T121" s="16"/>
      <c r="U121" s="16"/>
      <c r="V121" s="16"/>
      <c r="W121" s="16"/>
      <c r="X121" s="69">
        <f>(SUM(X$134:X$148)/15)/(SUM($J$134:$J$148)/15)*BS[[#This Row],[Trenes Corridos]]</f>
        <v>2686.3448603917182</v>
      </c>
      <c r="Y121" s="16"/>
      <c r="Z121" s="16"/>
      <c r="AA121" s="16"/>
      <c r="AB121" s="16"/>
      <c r="AC121" s="80">
        <v>2002</v>
      </c>
      <c r="AD121" s="81" t="s">
        <v>43</v>
      </c>
      <c r="AE121" s="15"/>
      <c r="AF121" s="15"/>
      <c r="AG121" s="15"/>
      <c r="AH121" s="16"/>
      <c r="AI121" s="16"/>
      <c r="AJ121" s="16"/>
      <c r="AK121" s="16"/>
      <c r="AL121" s="69">
        <f>(SUM(AL$134:AL$148)/15)/(SUM($J$134:$J$148)/15)*BS[[#This Row],[Trenes Corridos]]</f>
        <v>1554.05626613914</v>
      </c>
      <c r="AM121" s="16"/>
      <c r="AN121" s="16"/>
      <c r="AO121" s="16"/>
      <c r="AP121" s="16"/>
      <c r="AQ121" s="80">
        <v>2002</v>
      </c>
      <c r="AR121" s="81" t="s">
        <v>43</v>
      </c>
      <c r="AS121" s="15"/>
      <c r="AT121" s="15"/>
      <c r="AU121" s="15"/>
      <c r="AV121" s="15"/>
      <c r="AW121" s="15"/>
      <c r="AX121" s="16"/>
      <c r="AY121" s="16"/>
      <c r="AZ121" s="69">
        <f>(SUM(AZ$134:AZ$148)/15)/(SUM($J$134:$J$148)/15)*BS[[#This Row],[Trenes Corridos]]</f>
        <v>172.59887346914118</v>
      </c>
      <c r="BA121" s="16"/>
      <c r="BB121" s="16"/>
      <c r="BC121" s="16"/>
      <c r="BD121" s="16"/>
      <c r="BE121" s="80"/>
      <c r="BF121" s="81"/>
      <c r="BG121" s="15"/>
      <c r="BH121" s="15"/>
      <c r="BI121" s="15"/>
      <c r="BS121" s="80"/>
      <c r="BT121" s="81"/>
      <c r="BU121" s="15"/>
      <c r="BV121" s="15"/>
      <c r="BW121" s="15"/>
      <c r="CA121" s="45"/>
      <c r="CD121" s="45"/>
      <c r="CG121" s="80"/>
      <c r="CH121" s="81"/>
      <c r="CI121" s="15"/>
      <c r="CJ121" s="15"/>
      <c r="CK121" s="15"/>
      <c r="CO121" s="45"/>
      <c r="CR121" s="45"/>
    </row>
    <row r="122" spans="1:96" s="18" customFormat="1" ht="15" customHeight="1">
      <c r="A122" s="78">
        <v>2002</v>
      </c>
      <c r="B122" s="79" t="s">
        <v>44</v>
      </c>
      <c r="C122" s="15">
        <f t="shared" si="17"/>
        <v>0.64223095525997587</v>
      </c>
      <c r="D122" s="15">
        <f t="shared" si="18"/>
        <v>1</v>
      </c>
      <c r="E122" s="15">
        <f t="shared" si="19"/>
        <v>0.64223095525997587</v>
      </c>
      <c r="F122" s="16">
        <f t="shared" si="16"/>
        <v>0</v>
      </c>
      <c r="G12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2" s="16">
        <f>2494+845+3277</f>
        <v>6616</v>
      </c>
      <c r="I122" s="16">
        <f t="shared" si="26"/>
        <v>2367</v>
      </c>
      <c r="J122" s="16">
        <f>1508+240+2501</f>
        <v>4249</v>
      </c>
      <c r="K122" s="16">
        <f>1508+240+2501</f>
        <v>4249</v>
      </c>
      <c r="L122" s="16">
        <f t="shared" si="27"/>
        <v>0</v>
      </c>
      <c r="M122" s="16"/>
      <c r="N122" s="16"/>
      <c r="O122" s="78">
        <v>2002</v>
      </c>
      <c r="P122" s="79" t="s">
        <v>44</v>
      </c>
      <c r="Q122" s="15"/>
      <c r="R122" s="15"/>
      <c r="S122" s="15"/>
      <c r="T122" s="16"/>
      <c r="U122" s="16"/>
      <c r="V122" s="16"/>
      <c r="W122" s="16"/>
      <c r="X122" s="69">
        <f>(SUM(X$134:X$148)/15)/(SUM($J$134:$J$148)/15)*BS[[#This Row],[Trenes Corridos]]</f>
        <v>2586.5124205312513</v>
      </c>
      <c r="Y122" s="16"/>
      <c r="Z122" s="16"/>
      <c r="AA122" s="16"/>
      <c r="AB122" s="16"/>
      <c r="AC122" s="78">
        <v>2002</v>
      </c>
      <c r="AD122" s="79" t="s">
        <v>44</v>
      </c>
      <c r="AE122" s="15"/>
      <c r="AF122" s="15"/>
      <c r="AG122" s="15"/>
      <c r="AH122" s="16"/>
      <c r="AI122" s="16"/>
      <c r="AJ122" s="16"/>
      <c r="AK122" s="16"/>
      <c r="AL122" s="69">
        <f>(SUM(AL$134:AL$148)/15)/(SUM($J$134:$J$148)/15)*BS[[#This Row],[Trenes Corridos]]</f>
        <v>1496.3029854577853</v>
      </c>
      <c r="AM122" s="16"/>
      <c r="AN122" s="16"/>
      <c r="AO122" s="16"/>
      <c r="AP122" s="16"/>
      <c r="AQ122" s="78">
        <v>2002</v>
      </c>
      <c r="AR122" s="79" t="s">
        <v>44</v>
      </c>
      <c r="AS122" s="15"/>
      <c r="AT122" s="15"/>
      <c r="AU122" s="15"/>
      <c r="AV122" s="15"/>
      <c r="AW122" s="15"/>
      <c r="AX122" s="16"/>
      <c r="AY122" s="16"/>
      <c r="AZ122" s="69">
        <f>(SUM(AZ$134:AZ$148)/15)/(SUM($J$134:$J$148)/15)*BS[[#This Row],[Trenes Corridos]]</f>
        <v>166.18459401096328</v>
      </c>
      <c r="BA122" s="16"/>
      <c r="BB122" s="16"/>
      <c r="BC122" s="16"/>
      <c r="BD122" s="16"/>
      <c r="BE122" s="78"/>
      <c r="BF122" s="79"/>
      <c r="BG122" s="15"/>
      <c r="BH122" s="15"/>
      <c r="BI122" s="15"/>
      <c r="BS122" s="78"/>
      <c r="BT122" s="79"/>
      <c r="BU122" s="15"/>
      <c r="BV122" s="15"/>
      <c r="BW122" s="15"/>
      <c r="CA122" s="45"/>
      <c r="CD122" s="45"/>
      <c r="CG122" s="78"/>
      <c r="CH122" s="79"/>
      <c r="CI122" s="15"/>
      <c r="CJ122" s="15"/>
      <c r="CK122" s="15"/>
      <c r="CO122" s="45"/>
      <c r="CR122" s="45"/>
    </row>
    <row r="123" spans="1:96" s="18" customFormat="1" ht="15" customHeight="1">
      <c r="A123" s="80">
        <v>2002</v>
      </c>
      <c r="B123" s="81" t="s">
        <v>45</v>
      </c>
      <c r="C123" s="15">
        <f t="shared" si="17"/>
        <v>0.68996473228598909</v>
      </c>
      <c r="D123" s="15">
        <f t="shared" si="18"/>
        <v>1</v>
      </c>
      <c r="E123" s="15">
        <f t="shared" si="19"/>
        <v>0.68996473228598909</v>
      </c>
      <c r="F123" s="16">
        <f t="shared" si="16"/>
        <v>0</v>
      </c>
      <c r="G12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3" s="16">
        <f>2352+3319+567</f>
        <v>6238</v>
      </c>
      <c r="I123" s="16">
        <f t="shared" si="26"/>
        <v>1934</v>
      </c>
      <c r="J123" s="16">
        <f>1539+248+2517</f>
        <v>4304</v>
      </c>
      <c r="K123" s="16">
        <f>1539+248+2517</f>
        <v>4304</v>
      </c>
      <c r="L123" s="16">
        <f t="shared" si="27"/>
        <v>0</v>
      </c>
      <c r="M123" s="16"/>
      <c r="N123" s="16"/>
      <c r="O123" s="80">
        <v>2002</v>
      </c>
      <c r="P123" s="81" t="s">
        <v>45</v>
      </c>
      <c r="Q123" s="15"/>
      <c r="R123" s="15"/>
      <c r="S123" s="15"/>
      <c r="T123" s="16"/>
      <c r="U123" s="16"/>
      <c r="V123" s="16"/>
      <c r="W123" s="16"/>
      <c r="X123" s="69">
        <f>(SUM(X$134:X$148)/15)/(SUM($J$134:$J$148)/15)*BS[[#This Row],[Trenes Corridos]]</f>
        <v>2619.9928119478714</v>
      </c>
      <c r="Y123" s="16"/>
      <c r="Z123" s="16"/>
      <c r="AA123" s="16"/>
      <c r="AB123" s="16"/>
      <c r="AC123" s="80">
        <v>2002</v>
      </c>
      <c r="AD123" s="81" t="s">
        <v>45</v>
      </c>
      <c r="AE123" s="15"/>
      <c r="AF123" s="15"/>
      <c r="AG123" s="15"/>
      <c r="AH123" s="16"/>
      <c r="AI123" s="16"/>
      <c r="AJ123" s="16"/>
      <c r="AK123" s="16"/>
      <c r="AL123" s="69">
        <f>(SUM(AL$134:AL$148)/15)/(SUM($J$134:$J$148)/15)*BS[[#This Row],[Trenes Corridos]]</f>
        <v>1515.671463735069</v>
      </c>
      <c r="AM123" s="16"/>
      <c r="AN123" s="16"/>
      <c r="AO123" s="16"/>
      <c r="AP123" s="16"/>
      <c r="AQ123" s="80">
        <v>2002</v>
      </c>
      <c r="AR123" s="81" t="s">
        <v>45</v>
      </c>
      <c r="AS123" s="15"/>
      <c r="AT123" s="15"/>
      <c r="AU123" s="15"/>
      <c r="AV123" s="15"/>
      <c r="AW123" s="15"/>
      <c r="AX123" s="16"/>
      <c r="AY123" s="16"/>
      <c r="AZ123" s="69">
        <f>(SUM(AZ$134:AZ$148)/15)/(SUM($J$134:$J$148)/15)*BS[[#This Row],[Trenes Corridos]]</f>
        <v>168.33572431705954</v>
      </c>
      <c r="BA123" s="16"/>
      <c r="BB123" s="16"/>
      <c r="BC123" s="16"/>
      <c r="BD123" s="16"/>
      <c r="BE123" s="80"/>
      <c r="BF123" s="81"/>
      <c r="BG123" s="15"/>
      <c r="BH123" s="15"/>
      <c r="BI123" s="15"/>
      <c r="BS123" s="80"/>
      <c r="BT123" s="81"/>
      <c r="BU123" s="15"/>
      <c r="BV123" s="15"/>
      <c r="BW123" s="15"/>
      <c r="CA123" s="45"/>
      <c r="CD123" s="45"/>
      <c r="CG123" s="80"/>
      <c r="CH123" s="81"/>
      <c r="CI123" s="15"/>
      <c r="CJ123" s="15"/>
      <c r="CK123" s="15"/>
      <c r="CO123" s="45"/>
      <c r="CR123" s="45"/>
    </row>
    <row r="124" spans="1:96" s="18" customFormat="1" ht="15" customHeight="1">
      <c r="A124" s="78">
        <v>2002</v>
      </c>
      <c r="B124" s="79" t="s">
        <v>46</v>
      </c>
      <c r="C124" s="15">
        <f t="shared" si="17"/>
        <v>0.96518054532056008</v>
      </c>
      <c r="D124" s="15">
        <f t="shared" si="18"/>
        <v>0.98811769143719352</v>
      </c>
      <c r="E124" s="15">
        <f t="shared" si="19"/>
        <v>0.97678703021370672</v>
      </c>
      <c r="F124" s="16">
        <f t="shared" si="16"/>
        <v>0</v>
      </c>
      <c r="G12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4" s="16">
        <f>2057+240+3131</f>
        <v>5428</v>
      </c>
      <c r="I124" s="16">
        <f t="shared" si="26"/>
        <v>126</v>
      </c>
      <c r="J124" s="16">
        <f>1976+238+3088</f>
        <v>5302</v>
      </c>
      <c r="K124" s="16">
        <f>1949+230+3060</f>
        <v>5239</v>
      </c>
      <c r="L124" s="16">
        <f t="shared" si="27"/>
        <v>63</v>
      </c>
      <c r="M124" s="16"/>
      <c r="N124" s="16"/>
      <c r="O124" s="78">
        <v>2002</v>
      </c>
      <c r="P124" s="79" t="s">
        <v>46</v>
      </c>
      <c r="Q124" s="15"/>
      <c r="R124" s="15"/>
      <c r="S124" s="15"/>
      <c r="T124" s="16"/>
      <c r="U124" s="16"/>
      <c r="V124" s="16"/>
      <c r="W124" s="16"/>
      <c r="X124" s="69">
        <f>(SUM(X$134:X$148)/15)/(SUM($J$134:$J$148)/15)*BS[[#This Row],[Trenes Corridos]]</f>
        <v>3227.5097325621778</v>
      </c>
      <c r="Y124" s="16"/>
      <c r="Z124" s="16"/>
      <c r="AA124" s="16"/>
      <c r="AB124" s="16"/>
      <c r="AC124" s="78">
        <v>2002</v>
      </c>
      <c r="AD124" s="79" t="s">
        <v>46</v>
      </c>
      <c r="AE124" s="15"/>
      <c r="AF124" s="15"/>
      <c r="AG124" s="15"/>
      <c r="AH124" s="16"/>
      <c r="AI124" s="16"/>
      <c r="AJ124" s="16"/>
      <c r="AK124" s="16"/>
      <c r="AL124" s="69">
        <f>(SUM(AL$134:AL$148)/15)/(SUM($J$134:$J$148)/15)*BS[[#This Row],[Trenes Corridos]]</f>
        <v>1867.1213059301429</v>
      </c>
      <c r="AM124" s="16"/>
      <c r="AN124" s="16"/>
      <c r="AO124" s="16"/>
      <c r="AP124" s="16"/>
      <c r="AQ124" s="78">
        <v>2002</v>
      </c>
      <c r="AR124" s="79" t="s">
        <v>46</v>
      </c>
      <c r="AS124" s="15"/>
      <c r="AT124" s="15"/>
      <c r="AU124" s="15"/>
      <c r="AV124" s="15"/>
      <c r="AW124" s="15"/>
      <c r="AX124" s="16"/>
      <c r="AY124" s="16"/>
      <c r="AZ124" s="69">
        <f>(SUM(AZ$134:AZ$148)/15)/(SUM($J$134:$J$148)/15)*BS[[#This Row],[Trenes Corridos]]</f>
        <v>207.36896150767882</v>
      </c>
      <c r="BA124" s="16"/>
      <c r="BB124" s="16"/>
      <c r="BC124" s="16"/>
      <c r="BD124" s="16"/>
      <c r="BE124" s="78"/>
      <c r="BF124" s="79"/>
      <c r="BG124" s="15"/>
      <c r="BH124" s="15"/>
      <c r="BI124" s="15"/>
      <c r="BS124" s="78"/>
      <c r="BT124" s="79"/>
      <c r="BU124" s="15"/>
      <c r="BV124" s="15"/>
      <c r="BW124" s="15"/>
      <c r="CA124" s="45"/>
      <c r="CD124" s="45"/>
      <c r="CG124" s="78"/>
      <c r="CH124" s="79"/>
      <c r="CI124" s="15"/>
      <c r="CJ124" s="15"/>
      <c r="CK124" s="15"/>
      <c r="CO124" s="45"/>
      <c r="CR124" s="45"/>
    </row>
    <row r="125" spans="1:96" s="18" customFormat="1" ht="15" customHeight="1">
      <c r="A125" s="80">
        <v>2002</v>
      </c>
      <c r="B125" s="81" t="s">
        <v>47</v>
      </c>
      <c r="C125" s="15">
        <f t="shared" si="17"/>
        <v>0.97881969587255613</v>
      </c>
      <c r="D125" s="15">
        <f t="shared" si="18"/>
        <v>0.99083745647791832</v>
      </c>
      <c r="E125" s="15">
        <f t="shared" si="19"/>
        <v>0.98787110789283128</v>
      </c>
      <c r="F125" s="16">
        <f t="shared" si="16"/>
        <v>0</v>
      </c>
      <c r="G12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5" s="16">
        <f>2088+248+3188</f>
        <v>5524</v>
      </c>
      <c r="I125" s="16">
        <f t="shared" si="26"/>
        <v>67</v>
      </c>
      <c r="J125" s="16">
        <f>2057+248+3152</f>
        <v>5457</v>
      </c>
      <c r="K125" s="16">
        <f>2022+244+3141</f>
        <v>5407</v>
      </c>
      <c r="L125" s="16">
        <f>J125-K125</f>
        <v>50</v>
      </c>
      <c r="M125" s="16"/>
      <c r="N125" s="16"/>
      <c r="O125" s="80">
        <v>2002</v>
      </c>
      <c r="P125" s="81" t="s">
        <v>47</v>
      </c>
      <c r="Q125" s="15"/>
      <c r="R125" s="15"/>
      <c r="S125" s="15"/>
      <c r="T125" s="16"/>
      <c r="U125" s="16"/>
      <c r="V125" s="16"/>
      <c r="W125" s="16"/>
      <c r="X125" s="69">
        <f>(SUM(X$134:X$148)/15)/(SUM($J$134:$J$148)/15)*BS[[#This Row],[Trenes Corridos]]</f>
        <v>3321.8635629181072</v>
      </c>
      <c r="Y125" s="16"/>
      <c r="Z125" s="16"/>
      <c r="AA125" s="16"/>
      <c r="AB125" s="16"/>
      <c r="AC125" s="80">
        <v>2002</v>
      </c>
      <c r="AD125" s="81" t="s">
        <v>47</v>
      </c>
      <c r="AE125" s="15"/>
      <c r="AF125" s="15"/>
      <c r="AG125" s="15"/>
      <c r="AH125" s="16"/>
      <c r="AI125" s="16"/>
      <c r="AJ125" s="16"/>
      <c r="AK125" s="16"/>
      <c r="AL125" s="69">
        <f>(SUM(AL$134:AL$148)/15)/(SUM($J$134:$J$148)/15)*BS[[#This Row],[Trenes Corridos]]</f>
        <v>1921.7051992570332</v>
      </c>
      <c r="AM125" s="16"/>
      <c r="AN125" s="16"/>
      <c r="AO125" s="16"/>
      <c r="AP125" s="16"/>
      <c r="AQ125" s="80">
        <v>2002</v>
      </c>
      <c r="AR125" s="81" t="s">
        <v>47</v>
      </c>
      <c r="AS125" s="15"/>
      <c r="AT125" s="15"/>
      <c r="AU125" s="15"/>
      <c r="AV125" s="15"/>
      <c r="AW125" s="15"/>
      <c r="AX125" s="16"/>
      <c r="AY125" s="16"/>
      <c r="AZ125" s="69">
        <f>(SUM(AZ$134:AZ$148)/15)/(SUM($J$134:$J$148)/15)*BS[[#This Row],[Trenes Corridos]]</f>
        <v>213.43123782485918</v>
      </c>
      <c r="BA125" s="16"/>
      <c r="BB125" s="16"/>
      <c r="BC125" s="16"/>
      <c r="BD125" s="16"/>
      <c r="BE125" s="80"/>
      <c r="BF125" s="81"/>
      <c r="BG125" s="15"/>
      <c r="BH125" s="15"/>
      <c r="BI125" s="15"/>
      <c r="BS125" s="80"/>
      <c r="BT125" s="81"/>
      <c r="BU125" s="15"/>
      <c r="BV125" s="15"/>
      <c r="BW125" s="15"/>
      <c r="CA125" s="45"/>
      <c r="CD125" s="45"/>
      <c r="CG125" s="80"/>
      <c r="CH125" s="81"/>
      <c r="CI125" s="15"/>
      <c r="CJ125" s="15"/>
      <c r="CK125" s="15"/>
      <c r="CO125" s="45"/>
      <c r="CR125" s="45"/>
    </row>
    <row r="126" spans="1:96" s="18" customFormat="1" ht="15" customHeight="1">
      <c r="A126" s="78">
        <v>2003</v>
      </c>
      <c r="B126" s="79" t="s">
        <v>36</v>
      </c>
      <c r="C126" s="15">
        <f t="shared" si="17"/>
        <v>0.98374128997677324</v>
      </c>
      <c r="D126" s="15">
        <f t="shared" si="18"/>
        <v>0.99368345064067853</v>
      </c>
      <c r="E126" s="15">
        <f t="shared" si="19"/>
        <v>0.98999463998570658</v>
      </c>
      <c r="F126" s="16">
        <f t="shared" si="16"/>
        <v>0</v>
      </c>
      <c r="G12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6" s="16">
        <f>2115+248+3234</f>
        <v>5597</v>
      </c>
      <c r="I126" s="16">
        <f>H126-J126</f>
        <v>56</v>
      </c>
      <c r="J126" s="16">
        <f>2097+247+3197</f>
        <v>5541</v>
      </c>
      <c r="K126" s="16">
        <f>2075+243+3188</f>
        <v>5506</v>
      </c>
      <c r="L126" s="16">
        <f>J126-K126</f>
        <v>35</v>
      </c>
      <c r="M126" s="16"/>
      <c r="N126" s="16"/>
      <c r="O126" s="78">
        <v>2003</v>
      </c>
      <c r="P126" s="79" t="s">
        <v>36</v>
      </c>
      <c r="Q126" s="15"/>
      <c r="R126" s="15"/>
      <c r="S126" s="15"/>
      <c r="T126" s="16"/>
      <c r="U126" s="16"/>
      <c r="V126" s="16"/>
      <c r="W126" s="16"/>
      <c r="X126" s="69">
        <f>(SUM(X$134:X$148)/15)/(SUM($J$134:$J$148)/15)*BS[[#This Row],[Trenes Corridos]]</f>
        <v>3372.9972516271268</v>
      </c>
      <c r="Y126" s="16"/>
      <c r="Z126" s="16"/>
      <c r="AA126" s="16"/>
      <c r="AB126" s="16"/>
      <c r="AC126" s="78">
        <v>2003</v>
      </c>
      <c r="AD126" s="79" t="s">
        <v>36</v>
      </c>
      <c r="AE126" s="15"/>
      <c r="AF126" s="15"/>
      <c r="AG126" s="15"/>
      <c r="AH126" s="16"/>
      <c r="AI126" s="16"/>
      <c r="AJ126" s="16"/>
      <c r="AK126" s="16"/>
      <c r="AL126" s="69">
        <f>(SUM(AL$134:AL$148)/15)/(SUM($J$134:$J$148)/15)*BS[[#This Row],[Trenes Corridos]]</f>
        <v>1951.2861478987027</v>
      </c>
      <c r="AM126" s="16"/>
      <c r="AN126" s="16"/>
      <c r="AO126" s="16"/>
      <c r="AP126" s="16"/>
      <c r="AQ126" s="78">
        <v>2003</v>
      </c>
      <c r="AR126" s="79" t="s">
        <v>36</v>
      </c>
      <c r="AS126" s="15"/>
      <c r="AT126" s="15"/>
      <c r="AU126" s="15"/>
      <c r="AV126" s="15"/>
      <c r="AW126" s="15"/>
      <c r="AX126" s="16"/>
      <c r="AY126" s="16"/>
      <c r="AZ126" s="69">
        <f>(SUM(AZ$134:AZ$148)/15)/(SUM($J$134:$J$148)/15)*BS[[#This Row],[Trenes Corridos]]</f>
        <v>216.71660047416981</v>
      </c>
      <c r="BA126" s="16"/>
      <c r="BB126" s="16"/>
      <c r="BC126" s="16"/>
      <c r="BD126" s="16"/>
      <c r="BE126" s="78"/>
      <c r="BF126" s="79"/>
      <c r="BG126" s="15"/>
      <c r="BH126" s="15"/>
      <c r="BI126" s="15"/>
      <c r="BS126" s="78"/>
      <c r="BT126" s="79"/>
      <c r="BU126" s="15"/>
      <c r="BV126" s="15"/>
      <c r="BW126" s="15"/>
      <c r="CA126" s="45"/>
      <c r="CD126" s="45"/>
      <c r="CG126" s="78"/>
      <c r="CH126" s="79"/>
      <c r="CI126" s="15"/>
      <c r="CJ126" s="15"/>
      <c r="CK126" s="15"/>
      <c r="CO126" s="45"/>
      <c r="CR126" s="45"/>
    </row>
    <row r="127" spans="1:96" s="18" customFormat="1" ht="15" customHeight="1">
      <c r="A127" s="80">
        <v>2003</v>
      </c>
      <c r="B127" s="81" t="s">
        <v>37</v>
      </c>
      <c r="C127" s="15">
        <f t="shared" si="17"/>
        <v>0.81270572745227121</v>
      </c>
      <c r="D127" s="15">
        <f t="shared" si="18"/>
        <v>0.98938088559406934</v>
      </c>
      <c r="E127" s="15">
        <f t="shared" si="19"/>
        <v>0.8214285714285714</v>
      </c>
      <c r="F127" s="16">
        <f t="shared" si="16"/>
        <v>0</v>
      </c>
      <c r="G12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7" s="16">
        <f>1920+224+3932</f>
        <v>6076</v>
      </c>
      <c r="I127" s="16">
        <f>H127-J127</f>
        <v>1085</v>
      </c>
      <c r="J127" s="16">
        <f>1903+222+2866</f>
        <v>4991</v>
      </c>
      <c r="K127" s="16">
        <f>1872+208+2858</f>
        <v>4938</v>
      </c>
      <c r="L127" s="16">
        <f>J127-K127</f>
        <v>53</v>
      </c>
      <c r="M127" s="16"/>
      <c r="N127" s="16"/>
      <c r="O127" s="80">
        <v>2003</v>
      </c>
      <c r="P127" s="81" t="s">
        <v>37</v>
      </c>
      <c r="Q127" s="15"/>
      <c r="R127" s="15"/>
      <c r="S127" s="15"/>
      <c r="T127" s="16"/>
      <c r="U127" s="16"/>
      <c r="V127" s="16"/>
      <c r="W127" s="16"/>
      <c r="X127" s="69">
        <f>(SUM(X$134:X$148)/15)/(SUM($J$134:$J$148)/15)*BS[[#This Row],[Trenes Corridos]]</f>
        <v>3038.1933374609262</v>
      </c>
      <c r="Y127" s="16"/>
      <c r="Z127" s="16"/>
      <c r="AA127" s="16"/>
      <c r="AB127" s="16"/>
      <c r="AC127" s="80">
        <v>2003</v>
      </c>
      <c r="AD127" s="81" t="s">
        <v>37</v>
      </c>
      <c r="AE127" s="15"/>
      <c r="AF127" s="15"/>
      <c r="AG127" s="15"/>
      <c r="AH127" s="16"/>
      <c r="AI127" s="16"/>
      <c r="AJ127" s="16"/>
      <c r="AK127" s="16"/>
      <c r="AL127" s="69">
        <f>(SUM(AL$134:AL$148)/15)/(SUM($J$134:$J$148)/15)*BS[[#This Row],[Trenes Corridos]]</f>
        <v>1757.6013651258663</v>
      </c>
      <c r="AM127" s="16"/>
      <c r="AN127" s="16"/>
      <c r="AO127" s="16"/>
      <c r="AP127" s="16"/>
      <c r="AQ127" s="80">
        <v>2003</v>
      </c>
      <c r="AR127" s="81" t="s">
        <v>37</v>
      </c>
      <c r="AS127" s="15"/>
      <c r="AT127" s="15"/>
      <c r="AU127" s="15"/>
      <c r="AV127" s="15"/>
      <c r="AW127" s="15"/>
      <c r="AX127" s="16"/>
      <c r="AY127" s="16"/>
      <c r="AZ127" s="69">
        <f>(SUM(AZ$134:AZ$148)/15)/(SUM($J$134:$J$148)/15)*BS[[#This Row],[Trenes Corridos]]</f>
        <v>195.20529741320729</v>
      </c>
      <c r="BA127" s="16"/>
      <c r="BB127" s="16"/>
      <c r="BC127" s="16"/>
      <c r="BD127" s="16"/>
      <c r="BE127" s="80"/>
      <c r="BF127" s="81"/>
      <c r="BG127" s="15"/>
      <c r="BH127" s="15"/>
      <c r="BI127" s="15"/>
      <c r="BS127" s="80"/>
      <c r="BT127" s="81"/>
      <c r="BU127" s="15"/>
      <c r="BV127" s="15"/>
      <c r="BW127" s="15"/>
      <c r="CA127" s="45"/>
      <c r="CD127" s="45"/>
      <c r="CG127" s="80"/>
      <c r="CH127" s="81"/>
      <c r="CI127" s="15"/>
      <c r="CJ127" s="15"/>
      <c r="CK127" s="15"/>
      <c r="CO127" s="45"/>
      <c r="CR127" s="45"/>
    </row>
    <row r="128" spans="1:96" s="18" customFormat="1" ht="15" customHeight="1">
      <c r="A128" s="78">
        <v>2003</v>
      </c>
      <c r="B128" s="79" t="s">
        <v>38</v>
      </c>
      <c r="C128" s="15">
        <f t="shared" si="17"/>
        <v>0.92956204379562046</v>
      </c>
      <c r="D128" s="15">
        <f t="shared" si="18"/>
        <v>0.98396754877342085</v>
      </c>
      <c r="E128" s="15">
        <f t="shared" si="19"/>
        <v>0.9447080291970803</v>
      </c>
      <c r="F128" s="16">
        <f t="shared" si="16"/>
        <v>0</v>
      </c>
      <c r="G12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8" s="16">
        <f>2077+248+3155</f>
        <v>5480</v>
      </c>
      <c r="I128" s="16">
        <f>H128-J128</f>
        <v>303</v>
      </c>
      <c r="J128" s="16">
        <f>1966+238+2973</f>
        <v>5177</v>
      </c>
      <c r="K128" s="16">
        <f>1927+215+2952</f>
        <v>5094</v>
      </c>
      <c r="L128" s="16">
        <f>J128-K128</f>
        <v>83</v>
      </c>
      <c r="M128" s="16"/>
      <c r="N128" s="16"/>
      <c r="O128" s="78">
        <v>2003</v>
      </c>
      <c r="P128" s="79" t="s">
        <v>38</v>
      </c>
      <c r="Q128" s="15"/>
      <c r="R128" s="15"/>
      <c r="S128" s="15"/>
      <c r="T128" s="16"/>
      <c r="U128" s="16"/>
      <c r="V128" s="16"/>
      <c r="W128" s="16"/>
      <c r="X128" s="69">
        <f>(SUM(X$134:X$148)/15)/(SUM($J$134:$J$148)/15)*BS[[#This Row],[Trenes Corridos]]</f>
        <v>3151.4179338880413</v>
      </c>
      <c r="Y128" s="16"/>
      <c r="Z128" s="16"/>
      <c r="AA128" s="16"/>
      <c r="AB128" s="16"/>
      <c r="AC128" s="78">
        <v>2003</v>
      </c>
      <c r="AD128" s="79" t="s">
        <v>38</v>
      </c>
      <c r="AE128" s="15"/>
      <c r="AF128" s="15"/>
      <c r="AG128" s="15"/>
      <c r="AH128" s="16"/>
      <c r="AI128" s="16"/>
      <c r="AJ128" s="16"/>
      <c r="AK128" s="16"/>
      <c r="AL128" s="69">
        <f>(SUM(AL$134:AL$148)/15)/(SUM($J$134:$J$148)/15)*BS[[#This Row],[Trenes Corridos]]</f>
        <v>1823.1020371181346</v>
      </c>
      <c r="AM128" s="16"/>
      <c r="AN128" s="16"/>
      <c r="AO128" s="16"/>
      <c r="AP128" s="16"/>
      <c r="AQ128" s="78">
        <v>2003</v>
      </c>
      <c r="AR128" s="79" t="s">
        <v>38</v>
      </c>
      <c r="AS128" s="15"/>
      <c r="AT128" s="15"/>
      <c r="AU128" s="15"/>
      <c r="AV128" s="15"/>
      <c r="AW128" s="15"/>
      <c r="AX128" s="16"/>
      <c r="AY128" s="16"/>
      <c r="AZ128" s="69">
        <f>(SUM(AZ$134:AZ$148)/15)/(SUM($J$134:$J$148)/15)*BS[[#This Row],[Trenes Corridos]]</f>
        <v>202.48002899382371</v>
      </c>
      <c r="BA128" s="16"/>
      <c r="BB128" s="16"/>
      <c r="BC128" s="16"/>
      <c r="BD128" s="16"/>
      <c r="BE128" s="78"/>
      <c r="BF128" s="79"/>
      <c r="BG128" s="15"/>
      <c r="BH128" s="15"/>
      <c r="BI128" s="15"/>
      <c r="BS128" s="78"/>
      <c r="BT128" s="79"/>
      <c r="BU128" s="15"/>
      <c r="BV128" s="15"/>
      <c r="BW128" s="15"/>
      <c r="CA128" s="45"/>
      <c r="CD128" s="45"/>
      <c r="CG128" s="78"/>
      <c r="CH128" s="79"/>
      <c r="CI128" s="15"/>
      <c r="CJ128" s="15"/>
      <c r="CK128" s="15"/>
      <c r="CO128" s="45"/>
      <c r="CR128" s="45"/>
    </row>
    <row r="129" spans="1:96" s="18" customFormat="1" ht="15" customHeight="1">
      <c r="A129" s="80">
        <v>2003</v>
      </c>
      <c r="B129" s="81" t="s">
        <v>39</v>
      </c>
      <c r="C129" s="15">
        <f t="shared" si="17"/>
        <v>0.93646971661418776</v>
      </c>
      <c r="D129" s="15">
        <f t="shared" si="18"/>
        <v>0.98442367601246106</v>
      </c>
      <c r="E129" s="15">
        <f t="shared" si="19"/>
        <v>0.95128727542137437</v>
      </c>
      <c r="F129" s="16">
        <f t="shared" si="16"/>
        <v>0</v>
      </c>
      <c r="G12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9" s="16">
        <v>5399</v>
      </c>
      <c r="I129" s="16">
        <f>H129-J129</f>
        <v>263</v>
      </c>
      <c r="J129" s="16">
        <v>5136</v>
      </c>
      <c r="K129" s="16">
        <v>5056</v>
      </c>
      <c r="L129" s="16">
        <f>J129-K129</f>
        <v>80</v>
      </c>
      <c r="M129" s="16"/>
      <c r="N129" s="16"/>
      <c r="O129" s="80">
        <v>2003</v>
      </c>
      <c r="P129" s="81" t="s">
        <v>39</v>
      </c>
      <c r="Q129" s="15"/>
      <c r="R129" s="15"/>
      <c r="S129" s="15"/>
      <c r="T129" s="16"/>
      <c r="U129" s="16"/>
      <c r="V129" s="16"/>
      <c r="W129" s="16"/>
      <c r="X129" s="69">
        <f>(SUM(X$134:X$148)/15)/(SUM($J$134:$J$148)/15)*BS[[#This Row],[Trenes Corridos]]</f>
        <v>3126.4598239229244</v>
      </c>
      <c r="Y129" s="16"/>
      <c r="Z129" s="16"/>
      <c r="AA129" s="16"/>
      <c r="AB129" s="16"/>
      <c r="AC129" s="80">
        <v>2003</v>
      </c>
      <c r="AD129" s="81" t="s">
        <v>39</v>
      </c>
      <c r="AE129" s="15"/>
      <c r="AF129" s="15"/>
      <c r="AG129" s="15"/>
      <c r="AH129" s="16"/>
      <c r="AI129" s="16"/>
      <c r="AJ129" s="16"/>
      <c r="AK129" s="16"/>
      <c r="AL129" s="69">
        <f>(SUM(AL$134:AL$148)/15)/(SUM($J$134:$J$148)/15)*BS[[#This Row],[Trenes Corridos]]</f>
        <v>1808.663716947796</v>
      </c>
      <c r="AM129" s="16"/>
      <c r="AN129" s="16"/>
      <c r="AO129" s="16"/>
      <c r="AP129" s="16"/>
      <c r="AQ129" s="80">
        <v>2003</v>
      </c>
      <c r="AR129" s="81" t="s">
        <v>39</v>
      </c>
      <c r="AS129" s="15"/>
      <c r="AT129" s="15"/>
      <c r="AU129" s="15"/>
      <c r="AV129" s="15"/>
      <c r="AW129" s="15"/>
      <c r="AX129" s="16"/>
      <c r="AY129" s="16"/>
      <c r="AZ129" s="69">
        <f>(SUM(AZ$134:AZ$148)/15)/(SUM($J$134:$J$148)/15)*BS[[#This Row],[Trenes Corridos]]</f>
        <v>200.87645912927923</v>
      </c>
      <c r="BA129" s="16"/>
      <c r="BB129" s="16"/>
      <c r="BC129" s="16"/>
      <c r="BD129" s="16"/>
      <c r="BE129" s="80"/>
      <c r="BF129" s="81"/>
      <c r="BG129" s="15"/>
      <c r="BH129" s="15"/>
      <c r="BI129" s="15"/>
      <c r="BS129" s="80"/>
      <c r="BT129" s="81"/>
      <c r="BU129" s="15"/>
      <c r="BV129" s="15"/>
      <c r="BW129" s="15"/>
      <c r="CA129" s="45"/>
      <c r="CD129" s="45"/>
      <c r="CG129" s="80"/>
      <c r="CH129" s="81"/>
      <c r="CI129" s="15"/>
      <c r="CJ129" s="15"/>
      <c r="CK129" s="15"/>
      <c r="CO129" s="45"/>
      <c r="CR129" s="45"/>
    </row>
    <row r="130" spans="1:96" s="18" customFormat="1" ht="15" customHeight="1">
      <c r="A130" s="78">
        <v>2003</v>
      </c>
      <c r="B130" s="79" t="s">
        <v>40</v>
      </c>
      <c r="C130" s="15">
        <f t="shared" si="17"/>
        <v>0.80821177741761208</v>
      </c>
      <c r="D130" s="15">
        <f t="shared" si="18"/>
        <v>0.9827019925552879</v>
      </c>
      <c r="E130" s="15">
        <f t="shared" si="19"/>
        <v>0.82243832162794883</v>
      </c>
      <c r="F130" s="16">
        <f t="shared" si="16"/>
        <v>0</v>
      </c>
      <c r="G13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0" s="16">
        <v>5553</v>
      </c>
      <c r="I130" s="16">
        <f t="shared" ref="I130:I148" si="28">H130-J130</f>
        <v>986</v>
      </c>
      <c r="J130" s="16">
        <v>4567</v>
      </c>
      <c r="K130" s="16">
        <v>4488</v>
      </c>
      <c r="L130" s="16">
        <f t="shared" ref="L130:L148" si="29">J130-K130</f>
        <v>79</v>
      </c>
      <c r="M130" s="16"/>
      <c r="N130" s="16"/>
      <c r="O130" s="78">
        <v>2003</v>
      </c>
      <c r="P130" s="79" t="s">
        <v>40</v>
      </c>
      <c r="Q130" s="15"/>
      <c r="R130" s="15"/>
      <c r="S130" s="15"/>
      <c r="T130" s="16"/>
      <c r="U130" s="16"/>
      <c r="V130" s="16"/>
      <c r="W130" s="16"/>
      <c r="X130" s="69">
        <f>(SUM(X$134:X$148)/15)/(SUM($J$134:$J$148)/15)*BS[[#This Row],[Trenes Corridos]]</f>
        <v>2780.0899563582548</v>
      </c>
      <c r="Y130" s="16"/>
      <c r="Z130" s="16"/>
      <c r="AA130" s="16"/>
      <c r="AB130" s="16"/>
      <c r="AC130" s="78">
        <v>2003</v>
      </c>
      <c r="AD130" s="79" t="s">
        <v>40</v>
      </c>
      <c r="AE130" s="15"/>
      <c r="AF130" s="15"/>
      <c r="AG130" s="15"/>
      <c r="AH130" s="16"/>
      <c r="AI130" s="16"/>
      <c r="AJ130" s="16"/>
      <c r="AK130" s="16"/>
      <c r="AL130" s="69">
        <f>(SUM(AL$134:AL$148)/15)/(SUM($J$134:$J$148)/15)*BS[[#This Row],[Trenes Corridos]]</f>
        <v>1608.2880053155343</v>
      </c>
      <c r="AM130" s="16"/>
      <c r="AN130" s="16"/>
      <c r="AO130" s="16"/>
      <c r="AP130" s="16"/>
      <c r="AQ130" s="78">
        <v>2003</v>
      </c>
      <c r="AR130" s="79" t="s">
        <v>40</v>
      </c>
      <c r="AS130" s="15"/>
      <c r="AT130" s="15"/>
      <c r="AU130" s="15"/>
      <c r="AV130" s="15"/>
      <c r="AW130" s="15"/>
      <c r="AX130" s="16"/>
      <c r="AY130" s="16"/>
      <c r="AZ130" s="69">
        <f>(SUM(AZ$134:AZ$148)/15)/(SUM($J$134:$J$148)/15)*BS[[#This Row],[Trenes Corridos]]</f>
        <v>178.62203832621071</v>
      </c>
      <c r="BA130" s="16"/>
      <c r="BB130" s="16"/>
      <c r="BC130" s="16"/>
      <c r="BD130" s="16"/>
      <c r="BE130" s="78"/>
      <c r="BF130" s="79"/>
      <c r="BG130" s="15"/>
      <c r="BH130" s="15"/>
      <c r="BI130" s="15"/>
      <c r="BS130" s="78"/>
      <c r="BT130" s="79"/>
      <c r="BU130" s="15"/>
      <c r="BV130" s="15"/>
      <c r="BW130" s="15"/>
      <c r="CA130" s="45"/>
      <c r="CD130" s="45"/>
      <c r="CG130" s="78"/>
      <c r="CH130" s="79"/>
      <c r="CI130" s="15"/>
      <c r="CJ130" s="15"/>
      <c r="CK130" s="15"/>
      <c r="CO130" s="45"/>
      <c r="CR130" s="45"/>
    </row>
    <row r="131" spans="1:96" s="18" customFormat="1" ht="15" customHeight="1">
      <c r="A131" s="80">
        <v>2003</v>
      </c>
      <c r="B131" s="81" t="s">
        <v>41</v>
      </c>
      <c r="C131" s="15">
        <f t="shared" si="17"/>
        <v>0.75854299662035296</v>
      </c>
      <c r="D131" s="15">
        <f t="shared" si="18"/>
        <v>0.9637404580152672</v>
      </c>
      <c r="E131" s="15">
        <f t="shared" si="19"/>
        <v>0.78708223807735633</v>
      </c>
      <c r="F131" s="16">
        <f t="shared" si="16"/>
        <v>0</v>
      </c>
      <c r="G13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1" s="16">
        <v>5326</v>
      </c>
      <c r="I131" s="16">
        <f t="shared" si="28"/>
        <v>1134</v>
      </c>
      <c r="J131" s="16">
        <v>4192</v>
      </c>
      <c r="K131" s="16">
        <v>4040</v>
      </c>
      <c r="L131" s="16">
        <f t="shared" si="29"/>
        <v>152</v>
      </c>
      <c r="M131" s="16"/>
      <c r="N131" s="16"/>
      <c r="O131" s="80">
        <v>2003</v>
      </c>
      <c r="P131" s="81" t="s">
        <v>41</v>
      </c>
      <c r="Q131" s="15"/>
      <c r="R131" s="15"/>
      <c r="S131" s="15"/>
      <c r="T131" s="16"/>
      <c r="U131" s="16"/>
      <c r="V131" s="16"/>
      <c r="W131" s="16"/>
      <c r="X131" s="69">
        <f>(SUM(X$134:X$148)/15)/(SUM($J$134:$J$148)/15)*BS[[#This Row],[Trenes Corridos]]</f>
        <v>2551.8145603358448</v>
      </c>
      <c r="Y131" s="16"/>
      <c r="Z131" s="16"/>
      <c r="AA131" s="16"/>
      <c r="AB131" s="16"/>
      <c r="AC131" s="80">
        <v>2003</v>
      </c>
      <c r="AD131" s="81" t="s">
        <v>41</v>
      </c>
      <c r="AE131" s="15"/>
      <c r="AF131" s="15"/>
      <c r="AG131" s="15"/>
      <c r="AH131" s="16"/>
      <c r="AI131" s="16"/>
      <c r="AJ131" s="16"/>
      <c r="AK131" s="16"/>
      <c r="AL131" s="69">
        <f>(SUM(AL$134:AL$148)/15)/(SUM($J$134:$J$148)/15)*BS[[#This Row],[Trenes Corridos]]</f>
        <v>1476.2301988795095</v>
      </c>
      <c r="AM131" s="16"/>
      <c r="AN131" s="16"/>
      <c r="AO131" s="16"/>
      <c r="AP131" s="16"/>
      <c r="AQ131" s="80">
        <v>2003</v>
      </c>
      <c r="AR131" s="81" t="s">
        <v>41</v>
      </c>
      <c r="AS131" s="15"/>
      <c r="AT131" s="15"/>
      <c r="AU131" s="15"/>
      <c r="AV131" s="15"/>
      <c r="AW131" s="15"/>
      <c r="AX131" s="16"/>
      <c r="AY131" s="16"/>
      <c r="AZ131" s="69">
        <f>(SUM(AZ$134:AZ$148)/15)/(SUM($J$134:$J$148)/15)*BS[[#This Row],[Trenes Corridos]]</f>
        <v>163.95524078464535</v>
      </c>
      <c r="BA131" s="16"/>
      <c r="BB131" s="16"/>
      <c r="BC131" s="16"/>
      <c r="BD131" s="16"/>
      <c r="BE131" s="80"/>
      <c r="BF131" s="81"/>
      <c r="BG131" s="15"/>
      <c r="BH131" s="15"/>
      <c r="BI131" s="15"/>
      <c r="BS131" s="80"/>
      <c r="BT131" s="81"/>
      <c r="BU131" s="15"/>
      <c r="BV131" s="15"/>
      <c r="BW131" s="15"/>
      <c r="CA131" s="45"/>
      <c r="CD131" s="45"/>
      <c r="CG131" s="80"/>
      <c r="CH131" s="81"/>
      <c r="CI131" s="15"/>
      <c r="CJ131" s="15"/>
      <c r="CK131" s="15"/>
      <c r="CO131" s="45"/>
      <c r="CR131" s="45"/>
    </row>
    <row r="132" spans="1:96" s="18" customFormat="1" ht="15" customHeight="1">
      <c r="A132" s="78">
        <v>2003</v>
      </c>
      <c r="B132" s="79" t="s">
        <v>42</v>
      </c>
      <c r="C132" s="15">
        <f t="shared" si="17"/>
        <v>0.70136843928633297</v>
      </c>
      <c r="D132" s="15">
        <f t="shared" si="18"/>
        <v>0.97028516654684882</v>
      </c>
      <c r="E132" s="15">
        <f t="shared" si="19"/>
        <v>0.72284773947687508</v>
      </c>
      <c r="F132" s="16">
        <f t="shared" si="16"/>
        <v>0</v>
      </c>
      <c r="G13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2" s="16">
        <v>5773</v>
      </c>
      <c r="I132" s="16">
        <f t="shared" si="28"/>
        <v>1600</v>
      </c>
      <c r="J132" s="16">
        <v>4173</v>
      </c>
      <c r="K132" s="16">
        <v>4049</v>
      </c>
      <c r="L132" s="16">
        <f t="shared" si="29"/>
        <v>124</v>
      </c>
      <c r="M132" s="16"/>
      <c r="N132" s="16"/>
      <c r="O132" s="78">
        <v>2003</v>
      </c>
      <c r="P132" s="79" t="s">
        <v>42</v>
      </c>
      <c r="Q132" s="15"/>
      <c r="R132" s="15"/>
      <c r="S132" s="15"/>
      <c r="T132" s="16"/>
      <c r="U132" s="16"/>
      <c r="V132" s="16"/>
      <c r="W132" s="16"/>
      <c r="X132" s="69">
        <f>(SUM(X$134:X$148)/15)/(SUM($J$134:$J$148)/15)*BS[[#This Row],[Trenes Corridos]]</f>
        <v>2540.2486069373763</v>
      </c>
      <c r="Y132" s="16"/>
      <c r="Z132" s="16"/>
      <c r="AA132" s="16"/>
      <c r="AB132" s="16"/>
      <c r="AC132" s="78">
        <v>2003</v>
      </c>
      <c r="AD132" s="79" t="s">
        <v>42</v>
      </c>
      <c r="AE132" s="15"/>
      <c r="AF132" s="15"/>
      <c r="AG132" s="15"/>
      <c r="AH132" s="16"/>
      <c r="AI132" s="16"/>
      <c r="AJ132" s="16"/>
      <c r="AK132" s="16"/>
      <c r="AL132" s="69">
        <f>(SUM(AL$134:AL$148)/15)/(SUM($J$134:$J$148)/15)*BS[[#This Row],[Trenes Corridos]]</f>
        <v>1469.5392700200841</v>
      </c>
      <c r="AM132" s="16"/>
      <c r="AN132" s="16"/>
      <c r="AO132" s="16"/>
      <c r="AP132" s="16"/>
      <c r="AQ132" s="78">
        <v>2003</v>
      </c>
      <c r="AR132" s="79" t="s">
        <v>42</v>
      </c>
      <c r="AS132" s="15"/>
      <c r="AT132" s="15"/>
      <c r="AU132" s="15"/>
      <c r="AV132" s="15"/>
      <c r="AW132" s="15"/>
      <c r="AX132" s="16"/>
      <c r="AY132" s="16"/>
      <c r="AZ132" s="69">
        <f>(SUM(AZ$134:AZ$148)/15)/(SUM($J$134:$J$148)/15)*BS[[#This Row],[Trenes Corridos]]</f>
        <v>163.21212304253936</v>
      </c>
      <c r="BA132" s="16"/>
      <c r="BB132" s="16"/>
      <c r="BC132" s="16"/>
      <c r="BD132" s="16"/>
      <c r="BE132" s="78"/>
      <c r="BF132" s="79"/>
      <c r="BG132" s="15"/>
      <c r="BH132" s="15"/>
      <c r="BI132" s="15"/>
      <c r="BS132" s="78"/>
      <c r="BT132" s="79"/>
      <c r="BU132" s="15"/>
      <c r="BV132" s="15"/>
      <c r="BW132" s="15"/>
      <c r="CA132" s="45"/>
      <c r="CD132" s="45"/>
      <c r="CG132" s="78"/>
      <c r="CH132" s="79"/>
      <c r="CI132" s="15"/>
      <c r="CJ132" s="15"/>
      <c r="CK132" s="15"/>
      <c r="CO132" s="45"/>
      <c r="CR132" s="45"/>
    </row>
    <row r="133" spans="1:96" s="18" customFormat="1" ht="15" customHeight="1">
      <c r="A133" s="80">
        <v>2003</v>
      </c>
      <c r="B133" s="81" t="s">
        <v>43</v>
      </c>
      <c r="C133" s="15">
        <f t="shared" si="17"/>
        <v>0.58083941605839418</v>
      </c>
      <c r="D133" s="15">
        <f t="shared" si="18"/>
        <v>0.97250229147571032</v>
      </c>
      <c r="E133" s="15">
        <f t="shared" si="19"/>
        <v>0.5972627737226277</v>
      </c>
      <c r="F133" s="16">
        <f t="shared" si="16"/>
        <v>0</v>
      </c>
      <c r="G13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3" s="16">
        <v>5480</v>
      </c>
      <c r="I133" s="16">
        <f t="shared" si="28"/>
        <v>2207</v>
      </c>
      <c r="J133" s="16">
        <v>3273</v>
      </c>
      <c r="K133" s="16">
        <v>3183</v>
      </c>
      <c r="L133" s="16">
        <f t="shared" si="29"/>
        <v>90</v>
      </c>
      <c r="M133" s="16"/>
      <c r="N133" s="16"/>
      <c r="O133" s="80">
        <v>2003</v>
      </c>
      <c r="P133" s="81" t="s">
        <v>43</v>
      </c>
      <c r="Q133" s="15"/>
      <c r="R133" s="15"/>
      <c r="S133" s="15"/>
      <c r="T133" s="16"/>
      <c r="U133" s="16"/>
      <c r="V133" s="16"/>
      <c r="W133" s="16"/>
      <c r="X133" s="69">
        <f>(SUM(X$134:X$148)/15)/(SUM($J$134:$J$148)/15)*BS[[#This Row],[Trenes Corridos]]</f>
        <v>1992.3876564835925</v>
      </c>
      <c r="Y133" s="16"/>
      <c r="Z133" s="16"/>
      <c r="AA133" s="16"/>
      <c r="AB133" s="16"/>
      <c r="AC133" s="80">
        <v>2003</v>
      </c>
      <c r="AD133" s="81" t="s">
        <v>43</v>
      </c>
      <c r="AE133" s="15"/>
      <c r="AF133" s="15"/>
      <c r="AG133" s="15"/>
      <c r="AH133" s="16"/>
      <c r="AI133" s="16"/>
      <c r="AJ133" s="16"/>
      <c r="AK133" s="16"/>
      <c r="AL133" s="69">
        <f>(SUM(AL$134:AL$148)/15)/(SUM($J$134:$J$148)/15)*BS[[#This Row],[Trenes Corridos]]</f>
        <v>1152.6005345736246</v>
      </c>
      <c r="AM133" s="16"/>
      <c r="AN133" s="16"/>
      <c r="AO133" s="16"/>
      <c r="AP133" s="16"/>
      <c r="AQ133" s="80">
        <v>2003</v>
      </c>
      <c r="AR133" s="81" t="s">
        <v>43</v>
      </c>
      <c r="AS133" s="15"/>
      <c r="AT133" s="15"/>
      <c r="AU133" s="15"/>
      <c r="AV133" s="15"/>
      <c r="AW133" s="15"/>
      <c r="AX133" s="16"/>
      <c r="AY133" s="16"/>
      <c r="AZ133" s="69">
        <f>(SUM(AZ$134:AZ$148)/15)/(SUM($J$134:$J$148)/15)*BS[[#This Row],[Trenes Corridos]]</f>
        <v>128.01180894278249</v>
      </c>
      <c r="BA133" s="16"/>
      <c r="BB133" s="16"/>
      <c r="BC133" s="16"/>
      <c r="BD133" s="16"/>
      <c r="BE133" s="80"/>
      <c r="BF133" s="81"/>
      <c r="BG133" s="15"/>
      <c r="BH133" s="15"/>
      <c r="BI133" s="15"/>
      <c r="BS133" s="80"/>
      <c r="BT133" s="81"/>
      <c r="BU133" s="15"/>
      <c r="BV133" s="15"/>
      <c r="BW133" s="15"/>
      <c r="CA133" s="45"/>
      <c r="CD133" s="45"/>
      <c r="CG133" s="80"/>
      <c r="CH133" s="81"/>
      <c r="CI133" s="15"/>
      <c r="CJ133" s="15"/>
      <c r="CK133" s="15"/>
      <c r="CO133" s="45"/>
      <c r="CR133" s="45"/>
    </row>
    <row r="134" spans="1:96" s="18" customFormat="1" ht="15" customHeight="1">
      <c r="A134" s="78">
        <v>2003</v>
      </c>
      <c r="B134" s="79" t="s">
        <v>44</v>
      </c>
      <c r="C134" s="15">
        <f t="shared" si="17"/>
        <v>0.63377192982456143</v>
      </c>
      <c r="D134" s="15">
        <f t="shared" si="18"/>
        <v>0.96226415094339623</v>
      </c>
      <c r="E134" s="15">
        <f t="shared" si="19"/>
        <v>0.658625730994152</v>
      </c>
      <c r="F134" s="57">
        <f t="shared" ref="F134:F148" si="30">+T134+AH134+AV134+BJ134+BX134</f>
        <v>0</v>
      </c>
      <c r="G13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4" s="57">
        <f>+V134+AJ134+AX134+BL134+BS_GC_MP_Vill[[#This Row],[Trenes Programados]]</f>
        <v>5472</v>
      </c>
      <c r="I134" s="16">
        <f t="shared" si="28"/>
        <v>1868</v>
      </c>
      <c r="J134" s="57">
        <f>+X134+AL134+AZ134+BN134+BS_GC_MP_Vill[[#This Row],[Trenes Corridos]]</f>
        <v>3604</v>
      </c>
      <c r="K134" s="57">
        <f>+Y134+AM134+BA134+BO134+BS_GC_MP_Vill[[#This Row],[Trenes Puntuales]]</f>
        <v>3468</v>
      </c>
      <c r="L134" s="16">
        <f t="shared" si="29"/>
        <v>136</v>
      </c>
      <c r="M134" s="16"/>
      <c r="N134" s="16"/>
      <c r="O134" s="78">
        <v>2003</v>
      </c>
      <c r="P134" s="79" t="s">
        <v>44</v>
      </c>
      <c r="Q134" s="15">
        <f t="shared" ref="Q134:Q148" si="31">Y134/V134</f>
        <v>0.57996207332490524</v>
      </c>
      <c r="R134" s="15">
        <f t="shared" ref="R134:R148" si="32">Y134/X134</f>
        <v>0.99189189189189186</v>
      </c>
      <c r="S134" s="15">
        <f t="shared" ref="S134:S148" si="33">X134/V134</f>
        <v>0.58470290771175726</v>
      </c>
      <c r="T134" s="16"/>
      <c r="U134" s="16"/>
      <c r="V134" s="16">
        <v>3164</v>
      </c>
      <c r="W134" s="16">
        <f t="shared" ref="W134:W148" si="34">V134-X134</f>
        <v>1314</v>
      </c>
      <c r="X134" s="16">
        <v>1850</v>
      </c>
      <c r="Y134" s="16">
        <v>1835</v>
      </c>
      <c r="Z134" s="16">
        <f t="shared" ref="Z134:Z148" si="35">X134-Y134</f>
        <v>15</v>
      </c>
      <c r="AA134" s="16"/>
      <c r="AB134" s="16"/>
      <c r="AC134" s="78">
        <v>2003</v>
      </c>
      <c r="AD134" s="79" t="s">
        <v>44</v>
      </c>
      <c r="AE134" s="15">
        <f t="shared" ref="AE134:AE148" si="36">AM134/AJ134</f>
        <v>0.72098646034816249</v>
      </c>
      <c r="AF134" s="15">
        <f t="shared" ref="AF134:AF148" si="37">AM134/AL134</f>
        <v>0.92839352428393529</v>
      </c>
      <c r="AG134" s="15">
        <f t="shared" ref="AG134:AG148" si="38">AL134/AJ134</f>
        <v>0.77659574468085102</v>
      </c>
      <c r="AH134" s="16"/>
      <c r="AI134" s="16"/>
      <c r="AJ134" s="16">
        <v>2068</v>
      </c>
      <c r="AK134" s="16">
        <f t="shared" ref="AK134:AK148" si="39">AJ134-AL134</f>
        <v>462</v>
      </c>
      <c r="AL134" s="16">
        <v>1606</v>
      </c>
      <c r="AM134" s="16">
        <v>1491</v>
      </c>
      <c r="AN134" s="16">
        <f t="shared" ref="AN134:AN148" si="40">AL134-AM134</f>
        <v>115</v>
      </c>
      <c r="AO134" s="16"/>
      <c r="AP134" s="16"/>
      <c r="AQ134" s="78">
        <v>2003</v>
      </c>
      <c r="AR134" s="79" t="s">
        <v>44</v>
      </c>
      <c r="AS134" s="15">
        <f t="shared" ref="AS134:AS148" si="41">BA134/AX134</f>
        <v>0.59166666666666667</v>
      </c>
      <c r="AT134" s="15">
        <f t="shared" ref="AT134:AT148" si="42">BA134/AZ134</f>
        <v>0.95945945945945943</v>
      </c>
      <c r="AU134" s="15">
        <f t="shared" ref="AU134:AU148" si="43">AZ134/AX134</f>
        <v>0.6166666666666667</v>
      </c>
      <c r="AV134" s="15"/>
      <c r="AW134" s="15"/>
      <c r="AX134" s="16">
        <v>240</v>
      </c>
      <c r="AY134" s="16">
        <f t="shared" ref="AY134:AY148" si="44">AX134-AZ134</f>
        <v>92</v>
      </c>
      <c r="AZ134" s="16">
        <v>148</v>
      </c>
      <c r="BA134" s="16">
        <v>142</v>
      </c>
      <c r="BB134" s="16">
        <f t="shared" ref="BB134:BB148" si="45">AZ134-BA134</f>
        <v>6</v>
      </c>
      <c r="BC134" s="16"/>
      <c r="BD134" s="16"/>
      <c r="BE134" s="78"/>
      <c r="BF134" s="79"/>
      <c r="BG134" s="15"/>
      <c r="BH134" s="15"/>
      <c r="BI134" s="15"/>
      <c r="BS134" s="78"/>
      <c r="BT134" s="79"/>
      <c r="BU134" s="15"/>
      <c r="BV134" s="15"/>
      <c r="BW134" s="15"/>
      <c r="CA134" s="45"/>
      <c r="CD134" s="45"/>
      <c r="CG134" s="78"/>
      <c r="CH134" s="79"/>
      <c r="CI134" s="15"/>
      <c r="CJ134" s="15"/>
      <c r="CK134" s="15"/>
      <c r="CO134" s="45"/>
      <c r="CR134" s="45"/>
    </row>
    <row r="135" spans="1:96" s="18" customFormat="1" ht="15" customHeight="1">
      <c r="A135" s="80">
        <v>2003</v>
      </c>
      <c r="B135" s="81" t="s">
        <v>45</v>
      </c>
      <c r="C135" s="15">
        <f t="shared" ref="C135:C198" si="46">K135/H135</f>
        <v>0.7277112738967304</v>
      </c>
      <c r="D135" s="15">
        <f t="shared" ref="D135:D198" si="47">K135/J135</f>
        <v>0.97114926084883169</v>
      </c>
      <c r="E135" s="15">
        <f t="shared" ref="E135:E198" si="48">J135/H135</f>
        <v>0.74932999821332857</v>
      </c>
      <c r="F135" s="57">
        <f t="shared" si="30"/>
        <v>0</v>
      </c>
      <c r="G13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5" s="57">
        <f>+V135+AJ135+AX135+BL135+BS_GC_MP_Vill[[#This Row],[Trenes Programados]]</f>
        <v>5597</v>
      </c>
      <c r="I135" s="16">
        <f t="shared" si="28"/>
        <v>1403</v>
      </c>
      <c r="J135" s="57">
        <f>+X135+AL135+AZ135+BN135+BS_GC_MP_Vill[[#This Row],[Trenes Corridos]]</f>
        <v>4194</v>
      </c>
      <c r="K135" s="57">
        <f>+Y135+AM135+BA135+BO135+BS_GC_MP_Vill[[#This Row],[Trenes Puntuales]]</f>
        <v>4073</v>
      </c>
      <c r="L135" s="16">
        <f t="shared" si="29"/>
        <v>121</v>
      </c>
      <c r="M135" s="16"/>
      <c r="N135" s="16"/>
      <c r="O135" s="80">
        <v>2003</v>
      </c>
      <c r="P135" s="81" t="s">
        <v>45</v>
      </c>
      <c r="Q135" s="15">
        <f t="shared" si="31"/>
        <v>0.83704390847247989</v>
      </c>
      <c r="R135" s="15">
        <f t="shared" si="32"/>
        <v>0.98579752367079387</v>
      </c>
      <c r="S135" s="15">
        <f t="shared" si="33"/>
        <v>0.84910327767470628</v>
      </c>
      <c r="T135" s="16"/>
      <c r="U135" s="16"/>
      <c r="V135" s="16">
        <v>3234</v>
      </c>
      <c r="W135" s="16">
        <f t="shared" si="34"/>
        <v>488</v>
      </c>
      <c r="X135" s="16">
        <v>2746</v>
      </c>
      <c r="Y135" s="16">
        <v>2707</v>
      </c>
      <c r="Z135" s="16">
        <f t="shared" si="35"/>
        <v>39</v>
      </c>
      <c r="AA135" s="16"/>
      <c r="AB135" s="16"/>
      <c r="AC135" s="80">
        <v>2003</v>
      </c>
      <c r="AD135" s="81" t="s">
        <v>45</v>
      </c>
      <c r="AE135" s="15">
        <f t="shared" si="36"/>
        <v>0.59810874704491723</v>
      </c>
      <c r="AF135" s="15">
        <f t="shared" si="37"/>
        <v>0.94402985074626866</v>
      </c>
      <c r="AG135" s="15">
        <f t="shared" si="38"/>
        <v>0.6335697399527187</v>
      </c>
      <c r="AH135" s="16"/>
      <c r="AI135" s="16"/>
      <c r="AJ135" s="16">
        <v>2115</v>
      </c>
      <c r="AK135" s="16">
        <f t="shared" si="39"/>
        <v>775</v>
      </c>
      <c r="AL135" s="16">
        <v>1340</v>
      </c>
      <c r="AM135" s="16">
        <v>1265</v>
      </c>
      <c r="AN135" s="16">
        <f t="shared" si="40"/>
        <v>75</v>
      </c>
      <c r="AO135" s="16"/>
      <c r="AP135" s="16"/>
      <c r="AQ135" s="80">
        <v>2003</v>
      </c>
      <c r="AR135" s="81" t="s">
        <v>45</v>
      </c>
      <c r="AS135" s="15">
        <f t="shared" si="41"/>
        <v>0.40725806451612906</v>
      </c>
      <c r="AT135" s="15">
        <f t="shared" si="42"/>
        <v>0.93518518518518523</v>
      </c>
      <c r="AU135" s="15">
        <f t="shared" si="43"/>
        <v>0.43548387096774194</v>
      </c>
      <c r="AV135" s="15"/>
      <c r="AW135" s="15"/>
      <c r="AX135" s="16">
        <v>248</v>
      </c>
      <c r="AY135" s="16">
        <f t="shared" si="44"/>
        <v>140</v>
      </c>
      <c r="AZ135" s="16">
        <v>108</v>
      </c>
      <c r="BA135" s="16">
        <v>101</v>
      </c>
      <c r="BB135" s="16">
        <f t="shared" si="45"/>
        <v>7</v>
      </c>
      <c r="BC135" s="16"/>
      <c r="BD135" s="16"/>
      <c r="BE135" s="80"/>
      <c r="BF135" s="81"/>
      <c r="BG135" s="15"/>
      <c r="BH135" s="15"/>
      <c r="BI135" s="15"/>
      <c r="BS135" s="80"/>
      <c r="BT135" s="81"/>
      <c r="BU135" s="15"/>
      <c r="BV135" s="15"/>
      <c r="BW135" s="15"/>
      <c r="CA135" s="45"/>
      <c r="CD135" s="45"/>
      <c r="CG135" s="80"/>
      <c r="CH135" s="81"/>
      <c r="CI135" s="15"/>
      <c r="CJ135" s="15"/>
      <c r="CK135" s="15"/>
      <c r="CO135" s="45"/>
      <c r="CR135" s="45"/>
    </row>
    <row r="136" spans="1:96" s="18" customFormat="1" ht="15" customHeight="1">
      <c r="A136" s="78">
        <v>2003</v>
      </c>
      <c r="B136" s="79" t="s">
        <v>46</v>
      </c>
      <c r="C136" s="15">
        <f t="shared" si="46"/>
        <v>0.72287581699346404</v>
      </c>
      <c r="D136" s="15">
        <f t="shared" si="47"/>
        <v>0.934798357884569</v>
      </c>
      <c r="E136" s="15">
        <f t="shared" si="48"/>
        <v>0.77329598506069097</v>
      </c>
      <c r="F136" s="57">
        <f t="shared" si="30"/>
        <v>0</v>
      </c>
      <c r="G13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6" s="57">
        <f>+V136+AJ136+AX136+BL136+BS_GC_MP_Vill[[#This Row],[Trenes Programados]]</f>
        <v>5355</v>
      </c>
      <c r="I136" s="16">
        <f t="shared" si="28"/>
        <v>1214</v>
      </c>
      <c r="J136" s="57">
        <f>+X136+AL136+AZ136+BN136+BS_GC_MP_Vill[[#This Row],[Trenes Corridos]]</f>
        <v>4141</v>
      </c>
      <c r="K136" s="57">
        <f>+Y136+AM136+BA136+BO136+BS_GC_MP_Vill[[#This Row],[Trenes Puntuales]]</f>
        <v>3871</v>
      </c>
      <c r="L136" s="16">
        <f t="shared" si="29"/>
        <v>270</v>
      </c>
      <c r="M136" s="16"/>
      <c r="N136" s="16"/>
      <c r="O136" s="78">
        <v>2003</v>
      </c>
      <c r="P136" s="79" t="s">
        <v>46</v>
      </c>
      <c r="Q136" s="15">
        <f t="shared" si="31"/>
        <v>0.81491085899513771</v>
      </c>
      <c r="R136" s="15">
        <f t="shared" si="32"/>
        <v>0.94975443898753309</v>
      </c>
      <c r="S136" s="15">
        <f t="shared" si="33"/>
        <v>0.85802269043760127</v>
      </c>
      <c r="T136" s="16"/>
      <c r="U136" s="16"/>
      <c r="V136" s="16">
        <v>3085</v>
      </c>
      <c r="W136" s="16">
        <f t="shared" si="34"/>
        <v>438</v>
      </c>
      <c r="X136" s="16">
        <v>2647</v>
      </c>
      <c r="Y136" s="16">
        <v>2514</v>
      </c>
      <c r="Z136" s="16">
        <f t="shared" si="35"/>
        <v>133</v>
      </c>
      <c r="AA136" s="16"/>
      <c r="AB136" s="16"/>
      <c r="AC136" s="78">
        <v>2003</v>
      </c>
      <c r="AD136" s="79" t="s">
        <v>46</v>
      </c>
      <c r="AE136" s="15">
        <f t="shared" si="36"/>
        <v>0.61527093596059113</v>
      </c>
      <c r="AF136" s="15">
        <f t="shared" si="37"/>
        <v>0.90638606676342526</v>
      </c>
      <c r="AG136" s="15">
        <f t="shared" si="38"/>
        <v>0.67881773399014778</v>
      </c>
      <c r="AH136" s="16"/>
      <c r="AI136" s="16"/>
      <c r="AJ136" s="16">
        <v>2030</v>
      </c>
      <c r="AK136" s="16">
        <f t="shared" si="39"/>
        <v>652</v>
      </c>
      <c r="AL136" s="16">
        <v>1378</v>
      </c>
      <c r="AM136" s="16">
        <v>1249</v>
      </c>
      <c r="AN136" s="16">
        <f t="shared" si="40"/>
        <v>129</v>
      </c>
      <c r="AO136" s="16"/>
      <c r="AP136" s="16"/>
      <c r="AQ136" s="78">
        <v>2003</v>
      </c>
      <c r="AR136" s="79" t="s">
        <v>46</v>
      </c>
      <c r="AS136" s="15">
        <f t="shared" si="41"/>
        <v>0.45</v>
      </c>
      <c r="AT136" s="15">
        <f t="shared" si="42"/>
        <v>0.93103448275862066</v>
      </c>
      <c r="AU136" s="15">
        <f t="shared" si="43"/>
        <v>0.48333333333333334</v>
      </c>
      <c r="AV136" s="15"/>
      <c r="AW136" s="15"/>
      <c r="AX136" s="16">
        <v>240</v>
      </c>
      <c r="AY136" s="16">
        <f t="shared" si="44"/>
        <v>124</v>
      </c>
      <c r="AZ136" s="16">
        <v>116</v>
      </c>
      <c r="BA136" s="16">
        <v>108</v>
      </c>
      <c r="BB136" s="16">
        <f t="shared" si="45"/>
        <v>8</v>
      </c>
      <c r="BC136" s="16"/>
      <c r="BD136" s="16"/>
      <c r="BE136" s="78"/>
      <c r="BF136" s="79"/>
      <c r="BG136" s="15"/>
      <c r="BH136" s="15"/>
      <c r="BI136" s="15"/>
      <c r="BS136" s="78"/>
      <c r="BT136" s="79"/>
      <c r="BU136" s="15"/>
      <c r="BV136" s="15"/>
      <c r="BW136" s="15"/>
      <c r="CA136" s="45"/>
      <c r="CD136" s="45"/>
      <c r="CG136" s="78"/>
      <c r="CH136" s="79"/>
      <c r="CI136" s="15"/>
      <c r="CJ136" s="15"/>
      <c r="CK136" s="15"/>
      <c r="CO136" s="45"/>
      <c r="CR136" s="45"/>
    </row>
    <row r="137" spans="1:96" s="18" customFormat="1" ht="15" customHeight="1">
      <c r="A137" s="80">
        <v>2003</v>
      </c>
      <c r="B137" s="81" t="s">
        <v>47</v>
      </c>
      <c r="C137" s="15">
        <f t="shared" si="46"/>
        <v>0.70510499637943524</v>
      </c>
      <c r="D137" s="15">
        <f t="shared" si="47"/>
        <v>0.92189349112426033</v>
      </c>
      <c r="E137" s="15">
        <f t="shared" si="48"/>
        <v>0.76484431571325129</v>
      </c>
      <c r="F137" s="57">
        <f t="shared" si="30"/>
        <v>0</v>
      </c>
      <c r="G13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7" s="57">
        <f>+V137+AJ137+AX137+BL137+BS_GC_MP_Vill[[#This Row],[Trenes Programados]]</f>
        <v>5524</v>
      </c>
      <c r="I137" s="16">
        <f t="shared" si="28"/>
        <v>1299</v>
      </c>
      <c r="J137" s="57">
        <f>+X137+AL137+AZ137+BN137+BS_GC_MP_Vill[[#This Row],[Trenes Corridos]]</f>
        <v>4225</v>
      </c>
      <c r="K137" s="57">
        <f>+Y137+AM137+BA137+BO137+BS_GC_MP_Vill[[#This Row],[Trenes Puntuales]]</f>
        <v>3895</v>
      </c>
      <c r="L137" s="16">
        <f t="shared" si="29"/>
        <v>330</v>
      </c>
      <c r="M137" s="16"/>
      <c r="N137" s="16"/>
      <c r="O137" s="80">
        <v>2003</v>
      </c>
      <c r="P137" s="81" t="s">
        <v>47</v>
      </c>
      <c r="Q137" s="15">
        <f t="shared" si="31"/>
        <v>0.8193224592220828</v>
      </c>
      <c r="R137" s="15">
        <f t="shared" si="32"/>
        <v>0.97754491017964074</v>
      </c>
      <c r="S137" s="15">
        <f t="shared" si="33"/>
        <v>0.83814303638644916</v>
      </c>
      <c r="T137" s="16"/>
      <c r="U137" s="16"/>
      <c r="V137" s="16">
        <v>3188</v>
      </c>
      <c r="W137" s="16">
        <f t="shared" si="34"/>
        <v>516</v>
      </c>
      <c r="X137" s="16">
        <v>2672</v>
      </c>
      <c r="Y137" s="16">
        <v>2612</v>
      </c>
      <c r="Z137" s="16">
        <f t="shared" si="35"/>
        <v>60</v>
      </c>
      <c r="AA137" s="16"/>
      <c r="AB137" s="16"/>
      <c r="AC137" s="80">
        <v>2003</v>
      </c>
      <c r="AD137" s="81" t="s">
        <v>47</v>
      </c>
      <c r="AE137" s="15">
        <f t="shared" si="36"/>
        <v>0.55220306513409967</v>
      </c>
      <c r="AF137" s="15">
        <f t="shared" si="37"/>
        <v>0.81484098939929328</v>
      </c>
      <c r="AG137" s="15">
        <f t="shared" si="38"/>
        <v>0.67768199233716475</v>
      </c>
      <c r="AH137" s="16"/>
      <c r="AI137" s="16"/>
      <c r="AJ137" s="16">
        <v>2088</v>
      </c>
      <c r="AK137" s="16">
        <f t="shared" si="39"/>
        <v>673</v>
      </c>
      <c r="AL137" s="16">
        <v>1415</v>
      </c>
      <c r="AM137" s="16">
        <v>1153</v>
      </c>
      <c r="AN137" s="16">
        <f t="shared" si="40"/>
        <v>262</v>
      </c>
      <c r="AO137" s="16"/>
      <c r="AP137" s="16"/>
      <c r="AQ137" s="80">
        <v>2003</v>
      </c>
      <c r="AR137" s="81" t="s">
        <v>47</v>
      </c>
      <c r="AS137" s="15">
        <f t="shared" si="41"/>
        <v>0.52419354838709675</v>
      </c>
      <c r="AT137" s="15">
        <f t="shared" si="42"/>
        <v>0.94202898550724634</v>
      </c>
      <c r="AU137" s="15">
        <f t="shared" si="43"/>
        <v>0.55645161290322576</v>
      </c>
      <c r="AV137" s="15"/>
      <c r="AW137" s="15"/>
      <c r="AX137" s="16">
        <v>248</v>
      </c>
      <c r="AY137" s="16">
        <f t="shared" si="44"/>
        <v>110</v>
      </c>
      <c r="AZ137" s="16">
        <v>138</v>
      </c>
      <c r="BA137" s="16">
        <v>130</v>
      </c>
      <c r="BB137" s="16">
        <f t="shared" si="45"/>
        <v>8</v>
      </c>
      <c r="BC137" s="16"/>
      <c r="BD137" s="16"/>
      <c r="BE137" s="80"/>
      <c r="BF137" s="81"/>
      <c r="BG137" s="15"/>
      <c r="BH137" s="15"/>
      <c r="BI137" s="15"/>
      <c r="BS137" s="80"/>
      <c r="BT137" s="81"/>
      <c r="BU137" s="15"/>
      <c r="BV137" s="15"/>
      <c r="BW137" s="15"/>
      <c r="CA137" s="45"/>
      <c r="CD137" s="45"/>
      <c r="CG137" s="80"/>
      <c r="CH137" s="81"/>
      <c r="CI137" s="15"/>
      <c r="CJ137" s="15"/>
      <c r="CK137" s="15"/>
      <c r="CO137" s="45"/>
      <c r="CR137" s="45"/>
    </row>
    <row r="138" spans="1:96" s="18" customFormat="1" ht="15" customHeight="1">
      <c r="A138" s="78">
        <v>2004</v>
      </c>
      <c r="B138" s="79" t="s">
        <v>36</v>
      </c>
      <c r="C138" s="15">
        <f t="shared" si="46"/>
        <v>0.72807491446065187</v>
      </c>
      <c r="D138" s="15">
        <f t="shared" si="47"/>
        <v>0.92453693116853419</v>
      </c>
      <c r="E138" s="15">
        <f t="shared" si="48"/>
        <v>0.78750225103547633</v>
      </c>
      <c r="F138" s="57">
        <f t="shared" si="30"/>
        <v>0</v>
      </c>
      <c r="G13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8" s="57">
        <f>+V138+AJ138+AX138+BL138+BS_GC_MP_Vill[[#This Row],[Trenes Programados]]</f>
        <v>5553</v>
      </c>
      <c r="I138" s="16">
        <f t="shared" si="28"/>
        <v>1180</v>
      </c>
      <c r="J138" s="57">
        <f>+X138+AL138+AZ138+BN138+BS_GC_MP_Vill[[#This Row],[Trenes Corridos]]</f>
        <v>4373</v>
      </c>
      <c r="K138" s="57">
        <f>+Y138+AM138+BA138+BO138+BS_GC_MP_Vill[[#This Row],[Trenes Puntuales]]</f>
        <v>4043</v>
      </c>
      <c r="L138" s="16">
        <f t="shared" si="29"/>
        <v>330</v>
      </c>
      <c r="M138" s="16"/>
      <c r="N138" s="16"/>
      <c r="O138" s="78">
        <v>2004</v>
      </c>
      <c r="P138" s="79" t="s">
        <v>36</v>
      </c>
      <c r="Q138" s="15">
        <f t="shared" si="31"/>
        <v>0.84442361761949392</v>
      </c>
      <c r="R138" s="15">
        <f t="shared" si="32"/>
        <v>0.98255179934569248</v>
      </c>
      <c r="S138" s="15">
        <f t="shared" si="33"/>
        <v>0.85941893158388005</v>
      </c>
      <c r="T138" s="16"/>
      <c r="U138" s="16"/>
      <c r="V138" s="16">
        <v>3201</v>
      </c>
      <c r="W138" s="16">
        <f t="shared" si="34"/>
        <v>450</v>
      </c>
      <c r="X138" s="16">
        <v>2751</v>
      </c>
      <c r="Y138" s="16">
        <v>2703</v>
      </c>
      <c r="Z138" s="16">
        <f t="shared" si="35"/>
        <v>48</v>
      </c>
      <c r="AA138" s="16"/>
      <c r="AB138" s="16"/>
      <c r="AC138" s="78">
        <v>2004</v>
      </c>
      <c r="AD138" s="79" t="s">
        <v>36</v>
      </c>
      <c r="AE138" s="15">
        <f t="shared" si="36"/>
        <v>0.58412547528517111</v>
      </c>
      <c r="AF138" s="15">
        <f t="shared" si="37"/>
        <v>0.81824234354194403</v>
      </c>
      <c r="AG138" s="15">
        <f t="shared" si="38"/>
        <v>0.71387832699619769</v>
      </c>
      <c r="AH138" s="16"/>
      <c r="AI138" s="16"/>
      <c r="AJ138" s="16">
        <v>2104</v>
      </c>
      <c r="AK138" s="16">
        <f t="shared" si="39"/>
        <v>602</v>
      </c>
      <c r="AL138" s="16">
        <v>1502</v>
      </c>
      <c r="AM138" s="16">
        <v>1229</v>
      </c>
      <c r="AN138" s="16">
        <f t="shared" si="40"/>
        <v>273</v>
      </c>
      <c r="AO138" s="16"/>
      <c r="AP138" s="16"/>
      <c r="AQ138" s="78">
        <v>2004</v>
      </c>
      <c r="AR138" s="79" t="s">
        <v>36</v>
      </c>
      <c r="AS138" s="15">
        <f t="shared" si="41"/>
        <v>0.44758064516129031</v>
      </c>
      <c r="AT138" s="15">
        <f t="shared" si="42"/>
        <v>0.92500000000000004</v>
      </c>
      <c r="AU138" s="15">
        <f t="shared" si="43"/>
        <v>0.4838709677419355</v>
      </c>
      <c r="AV138" s="15"/>
      <c r="AW138" s="15"/>
      <c r="AX138" s="16">
        <v>248</v>
      </c>
      <c r="AY138" s="16">
        <f t="shared" si="44"/>
        <v>128</v>
      </c>
      <c r="AZ138" s="16">
        <v>120</v>
      </c>
      <c r="BA138" s="16">
        <v>111</v>
      </c>
      <c r="BB138" s="16">
        <f t="shared" si="45"/>
        <v>9</v>
      </c>
      <c r="BC138" s="16"/>
      <c r="BD138" s="16"/>
      <c r="BE138" s="78"/>
      <c r="BF138" s="79"/>
      <c r="BG138" s="15"/>
      <c r="BH138" s="15"/>
      <c r="BI138" s="15"/>
      <c r="BS138" s="78"/>
      <c r="BT138" s="79"/>
      <c r="BU138" s="15"/>
      <c r="BV138" s="15"/>
      <c r="BW138" s="15"/>
      <c r="CA138" s="45"/>
      <c r="CD138" s="45"/>
      <c r="CG138" s="78"/>
      <c r="CH138" s="79"/>
      <c r="CI138" s="15"/>
      <c r="CJ138" s="15"/>
      <c r="CK138" s="15"/>
      <c r="CO138" s="45"/>
      <c r="CR138" s="45"/>
    </row>
    <row r="139" spans="1:96" s="18" customFormat="1" ht="15" customHeight="1">
      <c r="A139" s="80">
        <v>2004</v>
      </c>
      <c r="B139" s="81" t="s">
        <v>37</v>
      </c>
      <c r="C139" s="15">
        <f t="shared" si="46"/>
        <v>0.68986733320515281</v>
      </c>
      <c r="D139" s="15">
        <f t="shared" si="47"/>
        <v>0.94049803407601573</v>
      </c>
      <c r="E139" s="15">
        <f t="shared" si="48"/>
        <v>0.73351278600269176</v>
      </c>
      <c r="F139" s="57">
        <f t="shared" si="30"/>
        <v>0</v>
      </c>
      <c r="G13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9" s="57">
        <f>+V139+AJ139+AX139+BL139+BS_GC_MP_Vill[[#This Row],[Trenes Programados]]</f>
        <v>5201</v>
      </c>
      <c r="I139" s="16">
        <f t="shared" si="28"/>
        <v>1386</v>
      </c>
      <c r="J139" s="57">
        <f>+X139+AL139+AZ139+BN139+BS_GC_MP_Vill[[#This Row],[Trenes Corridos]]</f>
        <v>3815</v>
      </c>
      <c r="K139" s="57">
        <f>+Y139+AM139+BA139+BO139+BS_GC_MP_Vill[[#This Row],[Trenes Puntuales]]</f>
        <v>3588</v>
      </c>
      <c r="L139" s="16">
        <f t="shared" si="29"/>
        <v>227</v>
      </c>
      <c r="M139" s="16"/>
      <c r="N139" s="16"/>
      <c r="O139" s="80">
        <v>2004</v>
      </c>
      <c r="P139" s="81" t="s">
        <v>37</v>
      </c>
      <c r="Q139" s="15">
        <f t="shared" si="31"/>
        <v>0.83244503664223846</v>
      </c>
      <c r="R139" s="15">
        <f t="shared" si="32"/>
        <v>0.98153967007069909</v>
      </c>
      <c r="S139" s="15">
        <f t="shared" si="33"/>
        <v>0.84810126582278478</v>
      </c>
      <c r="T139" s="16"/>
      <c r="U139" s="16"/>
      <c r="V139" s="16">
        <v>3002</v>
      </c>
      <c r="W139" s="16">
        <f t="shared" si="34"/>
        <v>456</v>
      </c>
      <c r="X139" s="16">
        <v>2546</v>
      </c>
      <c r="Y139" s="16">
        <v>2499</v>
      </c>
      <c r="Z139" s="16">
        <f t="shared" si="35"/>
        <v>47</v>
      </c>
      <c r="AA139" s="16"/>
      <c r="AB139" s="16"/>
      <c r="AC139" s="80">
        <v>2004</v>
      </c>
      <c r="AD139" s="81" t="s">
        <v>37</v>
      </c>
      <c r="AE139" s="15">
        <f t="shared" si="36"/>
        <v>0.50482968988307064</v>
      </c>
      <c r="AF139" s="15">
        <f t="shared" si="37"/>
        <v>0.85236051502145926</v>
      </c>
      <c r="AG139" s="15">
        <f t="shared" si="38"/>
        <v>0.59227249618708688</v>
      </c>
      <c r="AH139" s="16"/>
      <c r="AI139" s="16"/>
      <c r="AJ139" s="16">
        <v>1967</v>
      </c>
      <c r="AK139" s="16">
        <f t="shared" si="39"/>
        <v>802</v>
      </c>
      <c r="AL139" s="16">
        <v>1165</v>
      </c>
      <c r="AM139" s="16">
        <v>993</v>
      </c>
      <c r="AN139" s="16">
        <f t="shared" si="40"/>
        <v>172</v>
      </c>
      <c r="AO139" s="16"/>
      <c r="AP139" s="16"/>
      <c r="AQ139" s="80">
        <v>2004</v>
      </c>
      <c r="AR139" s="81" t="s">
        <v>37</v>
      </c>
      <c r="AS139" s="15">
        <f t="shared" si="41"/>
        <v>0.41379310344827586</v>
      </c>
      <c r="AT139" s="15">
        <f t="shared" si="42"/>
        <v>0.92307692307692313</v>
      </c>
      <c r="AU139" s="15">
        <f t="shared" si="43"/>
        <v>0.44827586206896552</v>
      </c>
      <c r="AV139" s="15"/>
      <c r="AW139" s="15"/>
      <c r="AX139" s="16">
        <v>232</v>
      </c>
      <c r="AY139" s="16">
        <f t="shared" si="44"/>
        <v>128</v>
      </c>
      <c r="AZ139" s="16">
        <v>104</v>
      </c>
      <c r="BA139" s="16">
        <v>96</v>
      </c>
      <c r="BB139" s="16">
        <f t="shared" si="45"/>
        <v>8</v>
      </c>
      <c r="BC139" s="16"/>
      <c r="BD139" s="16"/>
      <c r="BE139" s="80"/>
      <c r="BF139" s="81"/>
      <c r="BG139" s="15"/>
      <c r="BH139" s="15"/>
      <c r="BI139" s="15"/>
      <c r="BS139" s="80"/>
      <c r="BT139" s="81"/>
      <c r="BU139" s="15"/>
      <c r="BV139" s="15"/>
      <c r="BW139" s="15"/>
      <c r="CA139" s="45"/>
      <c r="CD139" s="45"/>
      <c r="CG139" s="80"/>
      <c r="CH139" s="81"/>
      <c r="CI139" s="15"/>
      <c r="CJ139" s="15"/>
      <c r="CK139" s="15"/>
      <c r="CO139" s="45"/>
      <c r="CR139" s="45"/>
    </row>
    <row r="140" spans="1:96" s="18" customFormat="1" ht="15" customHeight="1">
      <c r="A140" s="78">
        <v>2004</v>
      </c>
      <c r="B140" s="79" t="s">
        <v>38</v>
      </c>
      <c r="C140" s="15">
        <f t="shared" si="46"/>
        <v>0.68218694885361553</v>
      </c>
      <c r="D140" s="15">
        <f t="shared" si="47"/>
        <v>0.88919540229885052</v>
      </c>
      <c r="E140" s="15">
        <f t="shared" si="48"/>
        <v>0.76719576719576721</v>
      </c>
      <c r="F140" s="57">
        <f t="shared" si="30"/>
        <v>0</v>
      </c>
      <c r="G14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0" s="57">
        <f>+V140+AJ140+AX140+BL140+BS_GC_MP_Vill[[#This Row],[Trenes Programados]]</f>
        <v>5670</v>
      </c>
      <c r="I140" s="16">
        <f t="shared" si="28"/>
        <v>1320</v>
      </c>
      <c r="J140" s="57">
        <f>+X140+AL140+AZ140+BN140+BS_GC_MP_Vill[[#This Row],[Trenes Corridos]]</f>
        <v>4350</v>
      </c>
      <c r="K140" s="57">
        <f>+Y140+AM140+BA140+BO140+BS_GC_MP_Vill[[#This Row],[Trenes Puntuales]]</f>
        <v>3868</v>
      </c>
      <c r="L140" s="16">
        <f t="shared" si="29"/>
        <v>482</v>
      </c>
      <c r="M140" s="16"/>
      <c r="N140" s="16"/>
      <c r="O140" s="78">
        <v>2004</v>
      </c>
      <c r="P140" s="79" t="s">
        <v>38</v>
      </c>
      <c r="Q140" s="15">
        <f t="shared" si="31"/>
        <v>0.80152439024390243</v>
      </c>
      <c r="R140" s="15">
        <f t="shared" si="32"/>
        <v>0.97082717872968982</v>
      </c>
      <c r="S140" s="15">
        <f t="shared" si="33"/>
        <v>0.82560975609756093</v>
      </c>
      <c r="T140" s="16"/>
      <c r="U140" s="16"/>
      <c r="V140" s="16">
        <v>3280</v>
      </c>
      <c r="W140" s="16">
        <f t="shared" si="34"/>
        <v>572</v>
      </c>
      <c r="X140" s="16">
        <v>2708</v>
      </c>
      <c r="Y140" s="16">
        <v>2629</v>
      </c>
      <c r="Z140" s="16">
        <f t="shared" si="35"/>
        <v>79</v>
      </c>
      <c r="AA140" s="16"/>
      <c r="AB140" s="16"/>
      <c r="AC140" s="78">
        <v>2004</v>
      </c>
      <c r="AD140" s="79" t="s">
        <v>38</v>
      </c>
      <c r="AE140" s="15">
        <f t="shared" si="36"/>
        <v>0.54248366013071891</v>
      </c>
      <c r="AF140" s="15">
        <f t="shared" si="37"/>
        <v>0.74871134020618557</v>
      </c>
      <c r="AG140" s="15">
        <f t="shared" si="38"/>
        <v>0.72455648926237159</v>
      </c>
      <c r="AH140" s="16"/>
      <c r="AI140" s="16"/>
      <c r="AJ140" s="16">
        <v>2142</v>
      </c>
      <c r="AK140" s="16">
        <f t="shared" si="39"/>
        <v>590</v>
      </c>
      <c r="AL140" s="16">
        <v>1552</v>
      </c>
      <c r="AM140" s="16">
        <v>1162</v>
      </c>
      <c r="AN140" s="16">
        <f t="shared" si="40"/>
        <v>390</v>
      </c>
      <c r="AO140" s="16"/>
      <c r="AP140" s="16"/>
      <c r="AQ140" s="78">
        <v>2004</v>
      </c>
      <c r="AR140" s="79" t="s">
        <v>38</v>
      </c>
      <c r="AS140" s="15">
        <f t="shared" si="41"/>
        <v>0.31048387096774194</v>
      </c>
      <c r="AT140" s="15">
        <f t="shared" si="42"/>
        <v>0.85555555555555551</v>
      </c>
      <c r="AU140" s="15">
        <f t="shared" si="43"/>
        <v>0.36290322580645162</v>
      </c>
      <c r="AV140" s="15"/>
      <c r="AW140" s="15"/>
      <c r="AX140" s="16">
        <v>248</v>
      </c>
      <c r="AY140" s="16">
        <f t="shared" si="44"/>
        <v>158</v>
      </c>
      <c r="AZ140" s="16">
        <v>90</v>
      </c>
      <c r="BA140" s="16">
        <v>77</v>
      </c>
      <c r="BB140" s="16">
        <f t="shared" si="45"/>
        <v>13</v>
      </c>
      <c r="BC140" s="16"/>
      <c r="BD140" s="16"/>
      <c r="BE140" s="78"/>
      <c r="BF140" s="79"/>
      <c r="BG140" s="15"/>
      <c r="BH140" s="15"/>
      <c r="BI140" s="15"/>
      <c r="BS140" s="78"/>
      <c r="BT140" s="79"/>
      <c r="BU140" s="15"/>
      <c r="BV140" s="15"/>
      <c r="BW140" s="15"/>
      <c r="CA140" s="45"/>
      <c r="CD140" s="45"/>
      <c r="CG140" s="78"/>
      <c r="CH140" s="79"/>
      <c r="CI140" s="15"/>
      <c r="CJ140" s="15"/>
      <c r="CK140" s="15"/>
      <c r="CO140" s="45"/>
      <c r="CR140" s="45"/>
    </row>
    <row r="141" spans="1:96" s="18" customFormat="1" ht="15" customHeight="1">
      <c r="A141" s="80">
        <v>2004</v>
      </c>
      <c r="B141" s="81" t="s">
        <v>39</v>
      </c>
      <c r="C141" s="15">
        <f t="shared" si="46"/>
        <v>0.68004543733434308</v>
      </c>
      <c r="D141" s="15">
        <f t="shared" si="47"/>
        <v>0.86575078332128219</v>
      </c>
      <c r="E141" s="15">
        <f t="shared" si="48"/>
        <v>0.78549791745550923</v>
      </c>
      <c r="F141" s="57">
        <f t="shared" si="30"/>
        <v>0</v>
      </c>
      <c r="G14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1" s="57">
        <f>+V141+AJ141+AX141+BL141+BS_GC_MP_Vill[[#This Row],[Trenes Programados]]</f>
        <v>5282</v>
      </c>
      <c r="I141" s="16">
        <f t="shared" si="28"/>
        <v>1133</v>
      </c>
      <c r="J141" s="57">
        <f>+X141+AL141+AZ141+BN141+BS_GC_MP_Vill[[#This Row],[Trenes Corridos]]</f>
        <v>4149</v>
      </c>
      <c r="K141" s="57">
        <f>+Y141+AM141+BA141+BO141+BS_GC_MP_Vill[[#This Row],[Trenes Puntuales]]</f>
        <v>3592</v>
      </c>
      <c r="L141" s="16">
        <f t="shared" si="29"/>
        <v>557</v>
      </c>
      <c r="M141" s="16"/>
      <c r="N141" s="16"/>
      <c r="O141" s="80">
        <v>2004</v>
      </c>
      <c r="P141" s="81" t="s">
        <v>39</v>
      </c>
      <c r="Q141" s="15">
        <f t="shared" si="31"/>
        <v>0.74070417900625207</v>
      </c>
      <c r="R141" s="15">
        <f t="shared" si="32"/>
        <v>0.93948247078464109</v>
      </c>
      <c r="S141" s="15">
        <f t="shared" si="33"/>
        <v>0.78841724251398482</v>
      </c>
      <c r="T141" s="16"/>
      <c r="U141" s="16"/>
      <c r="V141" s="16">
        <v>3039</v>
      </c>
      <c r="W141" s="16">
        <f t="shared" si="34"/>
        <v>643</v>
      </c>
      <c r="X141" s="16">
        <v>2396</v>
      </c>
      <c r="Y141" s="16">
        <v>2251</v>
      </c>
      <c r="Z141" s="16">
        <f t="shared" si="35"/>
        <v>145</v>
      </c>
      <c r="AA141" s="16"/>
      <c r="AB141" s="16"/>
      <c r="AC141" s="80">
        <v>2004</v>
      </c>
      <c r="AD141" s="81" t="s">
        <v>39</v>
      </c>
      <c r="AE141" s="15">
        <f t="shared" si="36"/>
        <v>0.62306540189715431</v>
      </c>
      <c r="AF141" s="15">
        <f t="shared" si="37"/>
        <v>0.76423759951010406</v>
      </c>
      <c r="AG141" s="15">
        <f t="shared" si="38"/>
        <v>0.81527708437343982</v>
      </c>
      <c r="AH141" s="16"/>
      <c r="AI141" s="16"/>
      <c r="AJ141" s="16">
        <v>2003</v>
      </c>
      <c r="AK141" s="16">
        <f t="shared" si="39"/>
        <v>370</v>
      </c>
      <c r="AL141" s="16">
        <v>1633</v>
      </c>
      <c r="AM141" s="16">
        <v>1248</v>
      </c>
      <c r="AN141" s="16">
        <f t="shared" si="40"/>
        <v>385</v>
      </c>
      <c r="AO141" s="16"/>
      <c r="AP141" s="16"/>
      <c r="AQ141" s="80">
        <v>2004</v>
      </c>
      <c r="AR141" s="81" t="s">
        <v>39</v>
      </c>
      <c r="AS141" s="15">
        <f t="shared" si="41"/>
        <v>0.38750000000000001</v>
      </c>
      <c r="AT141" s="15">
        <f t="shared" si="42"/>
        <v>0.77500000000000002</v>
      </c>
      <c r="AU141" s="15">
        <f t="shared" si="43"/>
        <v>0.5</v>
      </c>
      <c r="AV141" s="15"/>
      <c r="AW141" s="15"/>
      <c r="AX141" s="16">
        <v>240</v>
      </c>
      <c r="AY141" s="16">
        <f t="shared" si="44"/>
        <v>120</v>
      </c>
      <c r="AZ141" s="16">
        <v>120</v>
      </c>
      <c r="BA141" s="16">
        <v>93</v>
      </c>
      <c r="BB141" s="16">
        <f t="shared" si="45"/>
        <v>27</v>
      </c>
      <c r="BC141" s="16"/>
      <c r="BD141" s="16"/>
      <c r="BE141" s="80"/>
      <c r="BF141" s="81"/>
      <c r="BG141" s="15"/>
      <c r="BH141" s="15"/>
      <c r="BI141" s="15"/>
      <c r="BS141" s="80"/>
      <c r="BT141" s="81"/>
      <c r="BU141" s="15"/>
      <c r="BV141" s="15"/>
      <c r="BW141" s="15"/>
      <c r="CA141" s="45"/>
      <c r="CD141" s="45"/>
      <c r="CG141" s="80"/>
      <c r="CH141" s="81"/>
      <c r="CI141" s="15"/>
      <c r="CJ141" s="15"/>
      <c r="CK141" s="15"/>
      <c r="CO141" s="45"/>
      <c r="CR141" s="45"/>
    </row>
    <row r="142" spans="1:96" s="18" customFormat="1" ht="15" customHeight="1">
      <c r="A142" s="78">
        <v>2004</v>
      </c>
      <c r="B142" s="79" t="s">
        <v>40</v>
      </c>
      <c r="C142" s="15">
        <f t="shared" si="46"/>
        <v>0.71821684094661531</v>
      </c>
      <c r="D142" s="15">
        <f t="shared" si="47"/>
        <v>0.94314622982413876</v>
      </c>
      <c r="E142" s="15">
        <f t="shared" si="48"/>
        <v>0.76151164923867176</v>
      </c>
      <c r="F142" s="57">
        <f t="shared" si="30"/>
        <v>0</v>
      </c>
      <c r="G14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2" s="57">
        <f>+V142+AJ142+AX142+BL142+BS_GC_MP_Vill[[#This Row],[Trenes Programados]]</f>
        <v>5451</v>
      </c>
      <c r="I142" s="16">
        <f t="shared" si="28"/>
        <v>1300</v>
      </c>
      <c r="J142" s="57">
        <f>+X142+AL142+AZ142+BN142+BS_GC_MP_Vill[[#This Row],[Trenes Corridos]]</f>
        <v>4151</v>
      </c>
      <c r="K142" s="57">
        <f>+Y142+AM142+BA142+BO142+BS_GC_MP_Vill[[#This Row],[Trenes Puntuales]]</f>
        <v>3915</v>
      </c>
      <c r="L142" s="16">
        <f t="shared" si="29"/>
        <v>236</v>
      </c>
      <c r="M142" s="16"/>
      <c r="N142" s="16"/>
      <c r="O142" s="78">
        <v>2004</v>
      </c>
      <c r="P142" s="79" t="s">
        <v>40</v>
      </c>
      <c r="Q142" s="15">
        <f t="shared" si="31"/>
        <v>0.80458306810948443</v>
      </c>
      <c r="R142" s="15">
        <f t="shared" si="32"/>
        <v>0.9794653235180163</v>
      </c>
      <c r="S142" s="15">
        <f t="shared" si="33"/>
        <v>0.82145130490133678</v>
      </c>
      <c r="T142" s="16"/>
      <c r="U142" s="16"/>
      <c r="V142" s="16">
        <v>3142</v>
      </c>
      <c r="W142" s="16">
        <f t="shared" si="34"/>
        <v>561</v>
      </c>
      <c r="X142" s="16">
        <v>2581</v>
      </c>
      <c r="Y142" s="16">
        <v>2528</v>
      </c>
      <c r="Z142" s="16">
        <f t="shared" si="35"/>
        <v>53</v>
      </c>
      <c r="AA142" s="16"/>
      <c r="AB142" s="16"/>
      <c r="AC142" s="78">
        <v>2004</v>
      </c>
      <c r="AD142" s="79" t="s">
        <v>40</v>
      </c>
      <c r="AE142" s="15">
        <f t="shared" si="36"/>
        <v>0.5803008248423096</v>
      </c>
      <c r="AF142" s="15">
        <f t="shared" si="37"/>
        <v>0.90196078431372551</v>
      </c>
      <c r="AG142" s="15">
        <f t="shared" si="38"/>
        <v>0.64337700145560406</v>
      </c>
      <c r="AH142" s="16"/>
      <c r="AI142" s="16"/>
      <c r="AJ142" s="16">
        <v>2061</v>
      </c>
      <c r="AK142" s="16">
        <f t="shared" si="39"/>
        <v>735</v>
      </c>
      <c r="AL142" s="16">
        <v>1326</v>
      </c>
      <c r="AM142" s="16">
        <v>1196</v>
      </c>
      <c r="AN142" s="16">
        <f t="shared" si="40"/>
        <v>130</v>
      </c>
      <c r="AO142" s="16"/>
      <c r="AP142" s="16"/>
      <c r="AQ142" s="78">
        <v>2004</v>
      </c>
      <c r="AR142" s="79" t="s">
        <v>40</v>
      </c>
      <c r="AS142" s="15">
        <f t="shared" si="41"/>
        <v>0.77016129032258063</v>
      </c>
      <c r="AT142" s="15">
        <f t="shared" si="42"/>
        <v>0.78278688524590168</v>
      </c>
      <c r="AU142" s="15">
        <f t="shared" si="43"/>
        <v>0.9838709677419355</v>
      </c>
      <c r="AV142" s="15"/>
      <c r="AW142" s="15"/>
      <c r="AX142" s="16">
        <v>248</v>
      </c>
      <c r="AY142" s="16">
        <f t="shared" si="44"/>
        <v>4</v>
      </c>
      <c r="AZ142" s="16">
        <v>244</v>
      </c>
      <c r="BA142" s="16">
        <v>191</v>
      </c>
      <c r="BB142" s="16">
        <f t="shared" si="45"/>
        <v>53</v>
      </c>
      <c r="BC142" s="16"/>
      <c r="BD142" s="16"/>
      <c r="BE142" s="78"/>
      <c r="BF142" s="79"/>
      <c r="BG142" s="15"/>
      <c r="BH142" s="15"/>
      <c r="BI142" s="15"/>
      <c r="BS142" s="78"/>
      <c r="BT142" s="79"/>
      <c r="BU142" s="15"/>
      <c r="BV142" s="15"/>
      <c r="BW142" s="15"/>
      <c r="CA142" s="45"/>
      <c r="CD142" s="45"/>
      <c r="CG142" s="78"/>
      <c r="CH142" s="79"/>
      <c r="CI142" s="15"/>
      <c r="CJ142" s="15"/>
      <c r="CK142" s="15"/>
      <c r="CO142" s="45"/>
      <c r="CR142" s="45"/>
    </row>
    <row r="143" spans="1:96" s="18" customFormat="1" ht="15" customHeight="1">
      <c r="A143" s="80">
        <v>2004</v>
      </c>
      <c r="B143" s="81" t="s">
        <v>41</v>
      </c>
      <c r="C143" s="15">
        <f t="shared" si="46"/>
        <v>0.73587701426190033</v>
      </c>
      <c r="D143" s="15">
        <f t="shared" si="47"/>
        <v>0.969970703125</v>
      </c>
      <c r="E143" s="15">
        <f t="shared" si="48"/>
        <v>0.75865901092794963</v>
      </c>
      <c r="F143" s="57">
        <f t="shared" si="30"/>
        <v>0</v>
      </c>
      <c r="G14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3" s="57">
        <f>+V143+AJ143+AX143+BL143+BS_GC_MP_Vill[[#This Row],[Trenes Programados]]</f>
        <v>5399</v>
      </c>
      <c r="I143" s="16">
        <f t="shared" si="28"/>
        <v>1303</v>
      </c>
      <c r="J143" s="57">
        <f>+X143+AL143+AZ143+BN143+BS_GC_MP_Vill[[#This Row],[Trenes Corridos]]</f>
        <v>4096</v>
      </c>
      <c r="K143" s="57">
        <f>+Y143+AM143+BA143+BO143+BS_GC_MP_Vill[[#This Row],[Trenes Puntuales]]</f>
        <v>3973</v>
      </c>
      <c r="L143" s="16">
        <f t="shared" si="29"/>
        <v>123</v>
      </c>
      <c r="M143" s="16"/>
      <c r="N143" s="16"/>
      <c r="O143" s="80">
        <v>2004</v>
      </c>
      <c r="P143" s="81" t="s">
        <v>41</v>
      </c>
      <c r="Q143" s="15">
        <f t="shared" si="31"/>
        <v>0.81045542014111605</v>
      </c>
      <c r="R143" s="15">
        <f t="shared" si="32"/>
        <v>0.99214762465645856</v>
      </c>
      <c r="S143" s="15">
        <f t="shared" si="33"/>
        <v>0.81686978832584989</v>
      </c>
      <c r="T143" s="16"/>
      <c r="U143" s="16"/>
      <c r="V143" s="16">
        <v>3118</v>
      </c>
      <c r="W143" s="16">
        <f t="shared" si="34"/>
        <v>571</v>
      </c>
      <c r="X143" s="16">
        <v>2547</v>
      </c>
      <c r="Y143" s="16">
        <v>2527</v>
      </c>
      <c r="Z143" s="16">
        <f t="shared" si="35"/>
        <v>20</v>
      </c>
      <c r="AA143" s="16"/>
      <c r="AB143" s="16"/>
      <c r="AC143" s="80">
        <v>2004</v>
      </c>
      <c r="AD143" s="81" t="s">
        <v>41</v>
      </c>
      <c r="AE143" s="15">
        <f t="shared" si="36"/>
        <v>0.60950514453699167</v>
      </c>
      <c r="AF143" s="15">
        <f t="shared" si="37"/>
        <v>0.94242424242424239</v>
      </c>
      <c r="AG143" s="15">
        <f t="shared" si="38"/>
        <v>0.64674179323860848</v>
      </c>
      <c r="AH143" s="16"/>
      <c r="AI143" s="16"/>
      <c r="AJ143" s="16">
        <v>2041</v>
      </c>
      <c r="AK143" s="16">
        <f t="shared" si="39"/>
        <v>721</v>
      </c>
      <c r="AL143" s="16">
        <v>1320</v>
      </c>
      <c r="AM143" s="16">
        <v>1244</v>
      </c>
      <c r="AN143" s="16">
        <f t="shared" si="40"/>
        <v>76</v>
      </c>
      <c r="AO143" s="16"/>
      <c r="AP143" s="16"/>
      <c r="AQ143" s="80">
        <v>2004</v>
      </c>
      <c r="AR143" s="81" t="s">
        <v>41</v>
      </c>
      <c r="AS143" s="15">
        <f t="shared" si="41"/>
        <v>0.84166666666666667</v>
      </c>
      <c r="AT143" s="15">
        <f t="shared" si="42"/>
        <v>0.88209606986899558</v>
      </c>
      <c r="AU143" s="15">
        <f t="shared" si="43"/>
        <v>0.95416666666666672</v>
      </c>
      <c r="AV143" s="15"/>
      <c r="AW143" s="15"/>
      <c r="AX143" s="16">
        <v>240</v>
      </c>
      <c r="AY143" s="16">
        <f t="shared" si="44"/>
        <v>11</v>
      </c>
      <c r="AZ143" s="16">
        <v>229</v>
      </c>
      <c r="BA143" s="16">
        <v>202</v>
      </c>
      <c r="BB143" s="16">
        <f t="shared" si="45"/>
        <v>27</v>
      </c>
      <c r="BC143" s="16"/>
      <c r="BD143" s="16"/>
      <c r="BE143" s="80"/>
      <c r="BF143" s="81"/>
      <c r="BG143" s="15"/>
      <c r="BH143" s="15"/>
      <c r="BI143" s="15"/>
      <c r="BS143" s="80"/>
      <c r="BT143" s="81"/>
      <c r="BU143" s="15"/>
      <c r="BV143" s="15"/>
      <c r="BW143" s="15"/>
      <c r="CA143" s="45"/>
      <c r="CD143" s="45"/>
      <c r="CG143" s="80"/>
      <c r="CH143" s="81"/>
      <c r="CI143" s="15"/>
      <c r="CJ143" s="15"/>
      <c r="CK143" s="15"/>
      <c r="CO143" s="45"/>
      <c r="CR143" s="45"/>
    </row>
    <row r="144" spans="1:96" s="18" customFormat="1" ht="15" customHeight="1">
      <c r="A144" s="78">
        <v>2004</v>
      </c>
      <c r="B144" s="79" t="s">
        <v>42</v>
      </c>
      <c r="C144" s="15">
        <f t="shared" si="46"/>
        <v>0.73383756528002886</v>
      </c>
      <c r="D144" s="15">
        <f t="shared" si="47"/>
        <v>0.97325053737759737</v>
      </c>
      <c r="E144" s="15">
        <f t="shared" si="48"/>
        <v>0.75400684314784805</v>
      </c>
      <c r="F144" s="57">
        <f t="shared" si="30"/>
        <v>0</v>
      </c>
      <c r="G14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4" s="57">
        <f>+V144+AJ144+AX144+BL144+BS_GC_MP_Vill[[#This Row],[Trenes Programados]]</f>
        <v>5553</v>
      </c>
      <c r="I144" s="16">
        <f t="shared" si="28"/>
        <v>1366</v>
      </c>
      <c r="J144" s="57">
        <f>+X144+AL144+AZ144+BN144+BS_GC_MP_Vill[[#This Row],[Trenes Corridos]]</f>
        <v>4187</v>
      </c>
      <c r="K144" s="57">
        <f>+Y144+AM144+BA144+BO144+BS_GC_MP_Vill[[#This Row],[Trenes Puntuales]]</f>
        <v>4075</v>
      </c>
      <c r="L144" s="16">
        <f t="shared" si="29"/>
        <v>112</v>
      </c>
      <c r="M144" s="16"/>
      <c r="N144" s="16"/>
      <c r="O144" s="78">
        <v>2004</v>
      </c>
      <c r="P144" s="79" t="s">
        <v>42</v>
      </c>
      <c r="Q144" s="15">
        <f t="shared" si="31"/>
        <v>0.80568572321149645</v>
      </c>
      <c r="R144" s="15">
        <f t="shared" si="32"/>
        <v>0.98547955674436383</v>
      </c>
      <c r="S144" s="15">
        <f t="shared" si="33"/>
        <v>0.81755701343330212</v>
      </c>
      <c r="T144" s="16"/>
      <c r="U144" s="16"/>
      <c r="V144" s="16">
        <v>3201</v>
      </c>
      <c r="W144" s="16">
        <f t="shared" si="34"/>
        <v>584</v>
      </c>
      <c r="X144" s="16">
        <v>2617</v>
      </c>
      <c r="Y144" s="16">
        <v>2579</v>
      </c>
      <c r="Z144" s="16">
        <f t="shared" si="35"/>
        <v>38</v>
      </c>
      <c r="AA144" s="16"/>
      <c r="AB144" s="16"/>
      <c r="AC144" s="78">
        <v>2004</v>
      </c>
      <c r="AD144" s="79" t="s">
        <v>42</v>
      </c>
      <c r="AE144" s="15">
        <f t="shared" si="36"/>
        <v>0.60931558935361219</v>
      </c>
      <c r="AF144" s="15">
        <f t="shared" si="37"/>
        <v>0.96390977443609027</v>
      </c>
      <c r="AG144" s="15">
        <f t="shared" si="38"/>
        <v>0.63212927756653992</v>
      </c>
      <c r="AH144" s="16"/>
      <c r="AI144" s="16"/>
      <c r="AJ144" s="16">
        <v>2104</v>
      </c>
      <c r="AK144" s="16">
        <f t="shared" si="39"/>
        <v>774</v>
      </c>
      <c r="AL144" s="16">
        <v>1330</v>
      </c>
      <c r="AM144" s="16">
        <v>1282</v>
      </c>
      <c r="AN144" s="16">
        <f t="shared" si="40"/>
        <v>48</v>
      </c>
      <c r="AO144" s="16"/>
      <c r="AP144" s="16"/>
      <c r="AQ144" s="78">
        <v>2004</v>
      </c>
      <c r="AR144" s="79" t="s">
        <v>42</v>
      </c>
      <c r="AS144" s="15">
        <f t="shared" si="41"/>
        <v>0.86290322580645162</v>
      </c>
      <c r="AT144" s="15">
        <f t="shared" si="42"/>
        <v>0.89166666666666672</v>
      </c>
      <c r="AU144" s="15">
        <f t="shared" si="43"/>
        <v>0.967741935483871</v>
      </c>
      <c r="AV144" s="15"/>
      <c r="AW144" s="15"/>
      <c r="AX144" s="16">
        <v>248</v>
      </c>
      <c r="AY144" s="16">
        <f t="shared" si="44"/>
        <v>8</v>
      </c>
      <c r="AZ144" s="16">
        <v>240</v>
      </c>
      <c r="BA144" s="16">
        <v>214</v>
      </c>
      <c r="BB144" s="16">
        <f t="shared" si="45"/>
        <v>26</v>
      </c>
      <c r="BC144" s="16"/>
      <c r="BD144" s="16"/>
      <c r="BE144" s="78"/>
      <c r="BF144" s="79"/>
      <c r="BG144" s="15"/>
      <c r="BH144" s="15"/>
      <c r="BI144" s="15"/>
      <c r="BS144" s="78"/>
      <c r="BT144" s="79"/>
      <c r="BU144" s="15"/>
      <c r="BV144" s="15"/>
      <c r="BW144" s="15"/>
      <c r="CA144" s="45"/>
      <c r="CD144" s="45"/>
      <c r="CG144" s="78"/>
      <c r="CH144" s="79"/>
      <c r="CI144" s="15"/>
      <c r="CJ144" s="15"/>
      <c r="CK144" s="15"/>
      <c r="CO144" s="45"/>
      <c r="CR144" s="45"/>
    </row>
    <row r="145" spans="1:96" s="18" customFormat="1" ht="15" customHeight="1">
      <c r="A145" s="80">
        <v>2004</v>
      </c>
      <c r="B145" s="81" t="s">
        <v>43</v>
      </c>
      <c r="C145" s="15">
        <f t="shared" si="46"/>
        <v>0.93102824040550325</v>
      </c>
      <c r="D145" s="15">
        <f t="shared" si="47"/>
        <v>0.97645718625403455</v>
      </c>
      <c r="E145" s="15">
        <f t="shared" si="48"/>
        <v>0.95347574221578568</v>
      </c>
      <c r="F145" s="57">
        <f t="shared" si="30"/>
        <v>0</v>
      </c>
      <c r="G14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5" s="57">
        <f>+V145+AJ145+AX145+BL145+BS_GC_MP_Vill[[#This Row],[Trenes Programados]]</f>
        <v>5524</v>
      </c>
      <c r="I145" s="16">
        <f t="shared" si="28"/>
        <v>257</v>
      </c>
      <c r="J145" s="57">
        <f>+X145+AL145+AZ145+BN145+BS_GC_MP_Vill[[#This Row],[Trenes Corridos]]</f>
        <v>5267</v>
      </c>
      <c r="K145" s="57">
        <f>+Y145+AM145+BA145+BO145+BS_GC_MP_Vill[[#This Row],[Trenes Puntuales]]</f>
        <v>5143</v>
      </c>
      <c r="L145" s="16">
        <f t="shared" si="29"/>
        <v>124</v>
      </c>
      <c r="M145" s="16"/>
      <c r="N145" s="16"/>
      <c r="O145" s="80">
        <v>2004</v>
      </c>
      <c r="P145" s="81" t="s">
        <v>43</v>
      </c>
      <c r="Q145" s="15">
        <f t="shared" si="31"/>
        <v>0.95765370138017569</v>
      </c>
      <c r="R145" s="15">
        <f t="shared" si="32"/>
        <v>0.98230373230373236</v>
      </c>
      <c r="S145" s="15">
        <f t="shared" si="33"/>
        <v>0.97490589711417819</v>
      </c>
      <c r="T145" s="16"/>
      <c r="U145" s="16"/>
      <c r="V145" s="16">
        <v>3188</v>
      </c>
      <c r="W145" s="16">
        <f t="shared" si="34"/>
        <v>80</v>
      </c>
      <c r="X145" s="16">
        <v>3108</v>
      </c>
      <c r="Y145" s="16">
        <v>3053</v>
      </c>
      <c r="Z145" s="16">
        <f t="shared" si="35"/>
        <v>55</v>
      </c>
      <c r="AA145" s="16"/>
      <c r="AB145" s="16"/>
      <c r="AC145" s="80">
        <v>2004</v>
      </c>
      <c r="AD145" s="81" t="s">
        <v>43</v>
      </c>
      <c r="AE145" s="15">
        <f t="shared" si="36"/>
        <v>0.89990421455938696</v>
      </c>
      <c r="AF145" s="15">
        <f t="shared" si="37"/>
        <v>0.97407983411093835</v>
      </c>
      <c r="AG145" s="15">
        <f t="shared" si="38"/>
        <v>0.92385057471264365</v>
      </c>
      <c r="AH145" s="16"/>
      <c r="AI145" s="16"/>
      <c r="AJ145" s="16">
        <v>2088</v>
      </c>
      <c r="AK145" s="16">
        <f t="shared" si="39"/>
        <v>159</v>
      </c>
      <c r="AL145" s="16">
        <v>1929</v>
      </c>
      <c r="AM145" s="16">
        <v>1879</v>
      </c>
      <c r="AN145" s="16">
        <f t="shared" si="40"/>
        <v>50</v>
      </c>
      <c r="AO145" s="16"/>
      <c r="AP145" s="16"/>
      <c r="AQ145" s="80">
        <v>2004</v>
      </c>
      <c r="AR145" s="81" t="s">
        <v>43</v>
      </c>
      <c r="AS145" s="15">
        <f t="shared" si="41"/>
        <v>0.85080645161290325</v>
      </c>
      <c r="AT145" s="15">
        <f t="shared" si="42"/>
        <v>0.91739130434782612</v>
      </c>
      <c r="AU145" s="15">
        <f t="shared" si="43"/>
        <v>0.92741935483870963</v>
      </c>
      <c r="AV145" s="15"/>
      <c r="AW145" s="15"/>
      <c r="AX145" s="16">
        <v>248</v>
      </c>
      <c r="AY145" s="16">
        <f t="shared" si="44"/>
        <v>18</v>
      </c>
      <c r="AZ145" s="16">
        <v>230</v>
      </c>
      <c r="BA145" s="16">
        <v>211</v>
      </c>
      <c r="BB145" s="16">
        <f t="shared" si="45"/>
        <v>19</v>
      </c>
      <c r="BC145" s="16"/>
      <c r="BD145" s="16"/>
      <c r="BE145" s="80"/>
      <c r="BF145" s="81"/>
      <c r="BG145" s="15"/>
      <c r="BH145" s="15"/>
      <c r="BI145" s="15"/>
      <c r="BS145" s="80"/>
      <c r="BT145" s="81"/>
      <c r="BU145" s="15"/>
      <c r="BV145" s="15"/>
      <c r="BW145" s="15"/>
      <c r="CA145" s="45"/>
      <c r="CD145" s="45"/>
      <c r="CG145" s="80"/>
      <c r="CH145" s="81"/>
      <c r="CI145" s="15"/>
      <c r="CJ145" s="15"/>
      <c r="CK145" s="15"/>
      <c r="CO145" s="45"/>
      <c r="CR145" s="45"/>
    </row>
    <row r="146" spans="1:96" s="18" customFormat="1" ht="15" customHeight="1">
      <c r="A146" s="78">
        <v>2004</v>
      </c>
      <c r="B146" s="79" t="s">
        <v>44</v>
      </c>
      <c r="C146" s="15">
        <f t="shared" si="46"/>
        <v>0.95924707602339176</v>
      </c>
      <c r="D146" s="15">
        <f t="shared" si="47"/>
        <v>0.98535761216444528</v>
      </c>
      <c r="E146" s="15">
        <f t="shared" si="48"/>
        <v>0.97350146198830412</v>
      </c>
      <c r="F146" s="57">
        <f t="shared" si="30"/>
        <v>0</v>
      </c>
      <c r="G14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6" s="57">
        <f>+V146+AJ146+AX146+BL146+BS_GC_MP_Vill[[#This Row],[Trenes Programados]]</f>
        <v>5472</v>
      </c>
      <c r="I146" s="16">
        <f t="shared" si="28"/>
        <v>145</v>
      </c>
      <c r="J146" s="57">
        <f>+X146+AL146+AZ146+BN146+BS_GC_MP_Vill[[#This Row],[Trenes Corridos]]</f>
        <v>5327</v>
      </c>
      <c r="K146" s="57">
        <f>+Y146+AM146+BA146+BO146+BS_GC_MP_Vill[[#This Row],[Trenes Puntuales]]</f>
        <v>5249</v>
      </c>
      <c r="L146" s="16">
        <f t="shared" si="29"/>
        <v>78</v>
      </c>
      <c r="M146" s="16"/>
      <c r="N146" s="16"/>
      <c r="O146" s="78">
        <v>2004</v>
      </c>
      <c r="P146" s="79" t="s">
        <v>44</v>
      </c>
      <c r="Q146" s="15">
        <f t="shared" si="31"/>
        <v>0.97313527180783821</v>
      </c>
      <c r="R146" s="15">
        <f t="shared" si="32"/>
        <v>0.99386701097482244</v>
      </c>
      <c r="S146" s="15">
        <f t="shared" si="33"/>
        <v>0.97914032869785084</v>
      </c>
      <c r="T146" s="16"/>
      <c r="U146" s="16"/>
      <c r="V146" s="16">
        <v>3164</v>
      </c>
      <c r="W146" s="16">
        <f t="shared" si="34"/>
        <v>66</v>
      </c>
      <c r="X146" s="16">
        <v>3098</v>
      </c>
      <c r="Y146" s="16">
        <v>3079</v>
      </c>
      <c r="Z146" s="16">
        <f t="shared" si="35"/>
        <v>19</v>
      </c>
      <c r="AA146" s="16"/>
      <c r="AB146" s="16"/>
      <c r="AC146" s="78">
        <v>2004</v>
      </c>
      <c r="AD146" s="79" t="s">
        <v>44</v>
      </c>
      <c r="AE146" s="15">
        <f t="shared" si="36"/>
        <v>0.94487427466150875</v>
      </c>
      <c r="AF146" s="15">
        <f t="shared" si="37"/>
        <v>0.97944862155388468</v>
      </c>
      <c r="AG146" s="15">
        <f t="shared" si="38"/>
        <v>0.9647001934235977</v>
      </c>
      <c r="AH146" s="16"/>
      <c r="AI146" s="16"/>
      <c r="AJ146" s="16">
        <v>2068</v>
      </c>
      <c r="AK146" s="16">
        <f t="shared" si="39"/>
        <v>73</v>
      </c>
      <c r="AL146" s="16">
        <v>1995</v>
      </c>
      <c r="AM146" s="16">
        <v>1954</v>
      </c>
      <c r="AN146" s="16">
        <f t="shared" si="40"/>
        <v>41</v>
      </c>
      <c r="AO146" s="16"/>
      <c r="AP146" s="16"/>
      <c r="AQ146" s="78">
        <v>2004</v>
      </c>
      <c r="AR146" s="79" t="s">
        <v>44</v>
      </c>
      <c r="AS146" s="15">
        <f t="shared" si="41"/>
        <v>0.9</v>
      </c>
      <c r="AT146" s="15">
        <f t="shared" si="42"/>
        <v>0.92307692307692313</v>
      </c>
      <c r="AU146" s="15">
        <f t="shared" si="43"/>
        <v>0.97499999999999998</v>
      </c>
      <c r="AV146" s="15"/>
      <c r="AW146" s="15"/>
      <c r="AX146" s="16">
        <v>240</v>
      </c>
      <c r="AY146" s="16">
        <f t="shared" si="44"/>
        <v>6</v>
      </c>
      <c r="AZ146" s="16">
        <v>234</v>
      </c>
      <c r="BA146" s="16">
        <v>216</v>
      </c>
      <c r="BB146" s="16">
        <f t="shared" si="45"/>
        <v>18</v>
      </c>
      <c r="BC146" s="16"/>
      <c r="BD146" s="16"/>
      <c r="BE146" s="78"/>
      <c r="BF146" s="79"/>
      <c r="BG146" s="15"/>
      <c r="BH146" s="15"/>
      <c r="BI146" s="15"/>
      <c r="BS146" s="78"/>
      <c r="BT146" s="79"/>
      <c r="BU146" s="15"/>
      <c r="BV146" s="15"/>
      <c r="BW146" s="15"/>
      <c r="CA146" s="45"/>
      <c r="CD146" s="45"/>
      <c r="CG146" s="78"/>
      <c r="CH146" s="79"/>
      <c r="CI146" s="15"/>
      <c r="CJ146" s="15"/>
      <c r="CK146" s="15"/>
      <c r="CO146" s="45"/>
      <c r="CR146" s="45"/>
    </row>
    <row r="147" spans="1:96" s="18" customFormat="1" ht="15" customHeight="1">
      <c r="A147" s="80">
        <v>2004</v>
      </c>
      <c r="B147" s="81" t="s">
        <v>45</v>
      </c>
      <c r="C147" s="15">
        <f t="shared" si="46"/>
        <v>0.92664233576642341</v>
      </c>
      <c r="D147" s="15">
        <f t="shared" si="47"/>
        <v>0.97616301422529794</v>
      </c>
      <c r="E147" s="15">
        <f t="shared" si="48"/>
        <v>0.94927007299270072</v>
      </c>
      <c r="F147" s="57">
        <f t="shared" si="30"/>
        <v>0</v>
      </c>
      <c r="G14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7" s="57">
        <f>+V147+AJ147+AX147+BL147+BS_GC_MP_Vill[[#This Row],[Trenes Programados]]</f>
        <v>5480</v>
      </c>
      <c r="I147" s="16">
        <f t="shared" si="28"/>
        <v>278</v>
      </c>
      <c r="J147" s="57">
        <f>+X147+AL147+AZ147+BN147+BS_GC_MP_Vill[[#This Row],[Trenes Corridos]]</f>
        <v>5202</v>
      </c>
      <c r="K147" s="57">
        <f>+Y147+AM147+BA147+BO147+BS_GC_MP_Vill[[#This Row],[Trenes Puntuales]]</f>
        <v>5078</v>
      </c>
      <c r="L147" s="16">
        <f t="shared" si="29"/>
        <v>124</v>
      </c>
      <c r="M147" s="16"/>
      <c r="N147" s="16"/>
      <c r="O147" s="80">
        <v>2004</v>
      </c>
      <c r="P147" s="81" t="s">
        <v>45</v>
      </c>
      <c r="Q147" s="15">
        <f t="shared" si="31"/>
        <v>0.95150554675118859</v>
      </c>
      <c r="R147" s="15">
        <f t="shared" si="32"/>
        <v>0.98555482600131317</v>
      </c>
      <c r="S147" s="15">
        <f t="shared" si="33"/>
        <v>0.96545166402535654</v>
      </c>
      <c r="T147" s="16"/>
      <c r="U147" s="16"/>
      <c r="V147" s="16">
        <v>3155</v>
      </c>
      <c r="W147" s="16">
        <f t="shared" si="34"/>
        <v>109</v>
      </c>
      <c r="X147" s="16">
        <v>3046</v>
      </c>
      <c r="Y147" s="16">
        <v>3002</v>
      </c>
      <c r="Z147" s="16">
        <f t="shared" si="35"/>
        <v>44</v>
      </c>
      <c r="AA147" s="16"/>
      <c r="AB147" s="16"/>
      <c r="AC147" s="80">
        <v>2004</v>
      </c>
      <c r="AD147" s="81" t="s">
        <v>45</v>
      </c>
      <c r="AE147" s="15">
        <f t="shared" si="36"/>
        <v>0.89552238805970152</v>
      </c>
      <c r="AF147" s="15">
        <f t="shared" si="37"/>
        <v>0.96824570536179078</v>
      </c>
      <c r="AG147" s="15">
        <f t="shared" si="38"/>
        <v>0.9248916706788638</v>
      </c>
      <c r="AH147" s="16"/>
      <c r="AI147" s="16"/>
      <c r="AJ147" s="16">
        <v>2077</v>
      </c>
      <c r="AK147" s="16">
        <f t="shared" si="39"/>
        <v>156</v>
      </c>
      <c r="AL147" s="16">
        <v>1921</v>
      </c>
      <c r="AM147" s="16">
        <v>1860</v>
      </c>
      <c r="AN147" s="16">
        <f t="shared" si="40"/>
        <v>61</v>
      </c>
      <c r="AO147" s="16"/>
      <c r="AP147" s="16"/>
      <c r="AQ147" s="80">
        <v>2004</v>
      </c>
      <c r="AR147" s="81" t="s">
        <v>45</v>
      </c>
      <c r="AS147" s="15">
        <f t="shared" si="41"/>
        <v>0.87096774193548387</v>
      </c>
      <c r="AT147" s="15">
        <f t="shared" si="42"/>
        <v>0.91914893617021276</v>
      </c>
      <c r="AU147" s="15">
        <f t="shared" si="43"/>
        <v>0.94758064516129037</v>
      </c>
      <c r="AV147" s="15"/>
      <c r="AW147" s="15"/>
      <c r="AX147" s="16">
        <v>248</v>
      </c>
      <c r="AY147" s="16">
        <f t="shared" si="44"/>
        <v>13</v>
      </c>
      <c r="AZ147" s="16">
        <v>235</v>
      </c>
      <c r="BA147" s="16">
        <v>216</v>
      </c>
      <c r="BB147" s="16">
        <f t="shared" si="45"/>
        <v>19</v>
      </c>
      <c r="BC147" s="16"/>
      <c r="BD147" s="16"/>
      <c r="BE147" s="80"/>
      <c r="BF147" s="81"/>
      <c r="BG147" s="15"/>
      <c r="BH147" s="15"/>
      <c r="BI147" s="15"/>
      <c r="BS147" s="80"/>
      <c r="BT147" s="81"/>
      <c r="BU147" s="15"/>
      <c r="BV147" s="15"/>
      <c r="BW147" s="15"/>
      <c r="CA147" s="45"/>
      <c r="CD147" s="45"/>
      <c r="CG147" s="80"/>
      <c r="CH147" s="81"/>
      <c r="CI147" s="15"/>
      <c r="CJ147" s="15"/>
      <c r="CK147" s="15"/>
      <c r="CO147" s="45"/>
      <c r="CR147" s="45"/>
    </row>
    <row r="148" spans="1:96" s="18" customFormat="1" ht="15" customHeight="1">
      <c r="A148" s="78">
        <v>2004</v>
      </c>
      <c r="B148" s="79" t="s">
        <v>46</v>
      </c>
      <c r="C148" s="15">
        <f t="shared" si="46"/>
        <v>0.79879385964912286</v>
      </c>
      <c r="D148" s="15">
        <f t="shared" si="47"/>
        <v>0.85038910505836574</v>
      </c>
      <c r="E148" s="15">
        <f t="shared" si="48"/>
        <v>0.93932748538011701</v>
      </c>
      <c r="F148" s="57">
        <f t="shared" si="30"/>
        <v>0</v>
      </c>
      <c r="G14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8" s="57">
        <f>+V148+AJ148+AX148+BL148+BS_GC_MP_Vill[[#This Row],[Trenes Programados]]</f>
        <v>5472</v>
      </c>
      <c r="I148" s="16">
        <f t="shared" si="28"/>
        <v>332</v>
      </c>
      <c r="J148" s="57">
        <f>+X148+AL148+AZ148+BN148+BS_GC_MP_Vill[[#This Row],[Trenes Corridos]]</f>
        <v>5140</v>
      </c>
      <c r="K148" s="57">
        <f>+Y148+AM148+BA148+BO148+BS_GC_MP_Vill[[#This Row],[Trenes Puntuales]]</f>
        <v>4371</v>
      </c>
      <c r="L148" s="16">
        <f t="shared" si="29"/>
        <v>769</v>
      </c>
      <c r="M148" s="16"/>
      <c r="N148" s="16"/>
      <c r="O148" s="78">
        <v>2004</v>
      </c>
      <c r="P148" s="79" t="s">
        <v>46</v>
      </c>
      <c r="Q148" s="15">
        <f t="shared" si="31"/>
        <v>0.84608091024020227</v>
      </c>
      <c r="R148" s="15">
        <f t="shared" si="32"/>
        <v>0.89292861907938625</v>
      </c>
      <c r="S148" s="15">
        <f t="shared" si="33"/>
        <v>0.94753476611883691</v>
      </c>
      <c r="T148" s="16"/>
      <c r="U148" s="16"/>
      <c r="V148" s="16">
        <v>3164</v>
      </c>
      <c r="W148" s="16">
        <f t="shared" si="34"/>
        <v>166</v>
      </c>
      <c r="X148" s="16">
        <v>2998</v>
      </c>
      <c r="Y148" s="16">
        <v>2677</v>
      </c>
      <c r="Z148" s="16">
        <f t="shared" si="35"/>
        <v>321</v>
      </c>
      <c r="AA148" s="16"/>
      <c r="AB148" s="16"/>
      <c r="AC148" s="78">
        <v>2004</v>
      </c>
      <c r="AD148" s="79" t="s">
        <v>46</v>
      </c>
      <c r="AE148" s="15">
        <f t="shared" si="36"/>
        <v>0.73839458413926495</v>
      </c>
      <c r="AF148" s="15">
        <f t="shared" si="37"/>
        <v>0.80031446540880502</v>
      </c>
      <c r="AG148" s="15">
        <f t="shared" si="38"/>
        <v>0.92263056092843332</v>
      </c>
      <c r="AH148" s="16"/>
      <c r="AI148" s="16"/>
      <c r="AJ148" s="16">
        <v>2068</v>
      </c>
      <c r="AK148" s="16">
        <f t="shared" si="39"/>
        <v>160</v>
      </c>
      <c r="AL148" s="16">
        <v>1908</v>
      </c>
      <c r="AM148" s="16">
        <v>1527</v>
      </c>
      <c r="AN148" s="16">
        <f t="shared" si="40"/>
        <v>381</v>
      </c>
      <c r="AO148" s="16"/>
      <c r="AP148" s="16"/>
      <c r="AQ148" s="78">
        <v>2004</v>
      </c>
      <c r="AR148" s="79" t="s">
        <v>46</v>
      </c>
      <c r="AS148" s="15">
        <f t="shared" si="41"/>
        <v>0.6958333333333333</v>
      </c>
      <c r="AT148" s="15">
        <f t="shared" si="42"/>
        <v>0.71367521367521369</v>
      </c>
      <c r="AU148" s="15">
        <f t="shared" si="43"/>
        <v>0.97499999999999998</v>
      </c>
      <c r="AV148" s="15"/>
      <c r="AW148" s="15"/>
      <c r="AX148" s="16">
        <v>240</v>
      </c>
      <c r="AY148" s="16">
        <f t="shared" si="44"/>
        <v>6</v>
      </c>
      <c r="AZ148" s="16">
        <v>234</v>
      </c>
      <c r="BA148" s="16">
        <v>167</v>
      </c>
      <c r="BB148" s="16">
        <f t="shared" si="45"/>
        <v>67</v>
      </c>
      <c r="BC148" s="16"/>
      <c r="BD148" s="16"/>
      <c r="BE148" s="78"/>
      <c r="BF148" s="79"/>
      <c r="BG148" s="15"/>
      <c r="BH148" s="15"/>
      <c r="BI148" s="15"/>
      <c r="BS148" s="78"/>
      <c r="BT148" s="79"/>
      <c r="BU148" s="15"/>
      <c r="BV148" s="15"/>
      <c r="BW148" s="15"/>
      <c r="CA148" s="45"/>
      <c r="CD148" s="45"/>
      <c r="CG148" s="78"/>
      <c r="CH148" s="79"/>
      <c r="CI148" s="15"/>
      <c r="CJ148" s="15"/>
      <c r="CK148" s="15"/>
      <c r="CO148" s="45"/>
      <c r="CR148" s="45"/>
    </row>
    <row r="149" spans="1:96" s="18" customFormat="1" ht="15" customHeight="1">
      <c r="A149" s="80">
        <v>2004</v>
      </c>
      <c r="B149" s="81" t="s">
        <v>47</v>
      </c>
      <c r="C149" s="15"/>
      <c r="D149" s="15"/>
      <c r="E149" s="15"/>
      <c r="F149" s="16"/>
      <c r="G149" s="33"/>
      <c r="H149" s="57"/>
      <c r="I149" s="16"/>
      <c r="J149" s="57"/>
      <c r="K149" s="57"/>
      <c r="L149" s="16"/>
      <c r="M149" s="19" t="s">
        <v>86</v>
      </c>
      <c r="N149" s="16"/>
      <c r="O149" s="80">
        <v>2004</v>
      </c>
      <c r="P149" s="81" t="s">
        <v>47</v>
      </c>
      <c r="Q149" s="15"/>
      <c r="R149" s="15"/>
      <c r="S149" s="15"/>
      <c r="T149" s="16"/>
      <c r="U149" s="16"/>
      <c r="V149" s="16"/>
      <c r="W149" s="16"/>
      <c r="X149" s="16"/>
      <c r="Y149" s="16"/>
      <c r="Z149" s="16"/>
      <c r="AA149" s="19" t="s">
        <v>86</v>
      </c>
      <c r="AB149" s="16"/>
      <c r="AC149" s="80">
        <v>2004</v>
      </c>
      <c r="AD149" s="81" t="s">
        <v>47</v>
      </c>
      <c r="AE149" s="15"/>
      <c r="AF149" s="15"/>
      <c r="AG149" s="15"/>
      <c r="AH149" s="16"/>
      <c r="AI149" s="16"/>
      <c r="AJ149" s="16"/>
      <c r="AK149" s="16"/>
      <c r="AL149" s="16"/>
      <c r="AM149" s="16"/>
      <c r="AN149" s="16"/>
      <c r="AO149" s="19" t="s">
        <v>86</v>
      </c>
      <c r="AP149" s="16"/>
      <c r="AQ149" s="80">
        <v>2004</v>
      </c>
      <c r="AR149" s="81" t="s">
        <v>47</v>
      </c>
      <c r="AS149" s="15"/>
      <c r="AT149" s="15"/>
      <c r="AU149" s="15"/>
      <c r="AV149" s="15"/>
      <c r="AW149" s="15"/>
      <c r="AX149" s="16"/>
      <c r="AY149" s="16"/>
      <c r="AZ149" s="16"/>
      <c r="BA149" s="16"/>
      <c r="BB149" s="16"/>
      <c r="BC149" s="19" t="s">
        <v>86</v>
      </c>
      <c r="BD149" s="16"/>
      <c r="BE149" s="80"/>
      <c r="BF149" s="81"/>
      <c r="BG149" s="15"/>
      <c r="BH149" s="15"/>
      <c r="BI149" s="15"/>
      <c r="BS149" s="80"/>
      <c r="BT149" s="81"/>
      <c r="BU149" s="15"/>
      <c r="BV149" s="15"/>
      <c r="BW149" s="15"/>
      <c r="CA149" s="45"/>
      <c r="CD149" s="45"/>
      <c r="CG149" s="80"/>
      <c r="CH149" s="81"/>
      <c r="CI149" s="15"/>
      <c r="CJ149" s="15"/>
      <c r="CK149" s="15"/>
      <c r="CO149" s="45"/>
      <c r="CR149" s="45"/>
    </row>
    <row r="150" spans="1:96" s="18" customFormat="1" ht="15" customHeight="1">
      <c r="A150" s="78">
        <v>2005</v>
      </c>
      <c r="B150" s="79" t="s">
        <v>36</v>
      </c>
      <c r="C150" s="15">
        <f t="shared" si="46"/>
        <v>0.83321571394965888</v>
      </c>
      <c r="D150" s="15">
        <f t="shared" si="47"/>
        <v>0.85062439961575409</v>
      </c>
      <c r="E150" s="15">
        <f t="shared" si="48"/>
        <v>0.97953422724064931</v>
      </c>
      <c r="F150" s="57"/>
      <c r="G150" s="34"/>
      <c r="H150" s="57">
        <f>+V150+AJ150+AX150+BL150+BS_GC_MP_Vill[[#This Row],[Trenes Programados]]</f>
        <v>4251</v>
      </c>
      <c r="I150" s="16">
        <f>H150-J150</f>
        <v>87</v>
      </c>
      <c r="J150" s="57">
        <f>+X150+AL150+AZ150+BN150+BS_GC_MP_Vill[[#This Row],[Trenes Corridos]]</f>
        <v>4164</v>
      </c>
      <c r="K150" s="57">
        <f>+Y150+AM150+BA150+BO150+BS_GC_MP_Vill[[#This Row],[Trenes Puntuales]]</f>
        <v>3542</v>
      </c>
      <c r="L150" s="16">
        <f t="shared" ref="L150:L161" si="49">J150-K150</f>
        <v>622</v>
      </c>
      <c r="M150" s="16"/>
      <c r="N150" s="16"/>
      <c r="O150" s="78">
        <v>2005</v>
      </c>
      <c r="P150" s="79" t="s">
        <v>36</v>
      </c>
      <c r="Q150" s="15">
        <f t="shared" ref="Q150:Q198" si="50">Y150/V150</f>
        <v>0.91451367781155013</v>
      </c>
      <c r="R150" s="15">
        <f t="shared" ref="R150:R198" si="51">Y150/X150</f>
        <v>0.92970258787176518</v>
      </c>
      <c r="S150" s="15">
        <f t="shared" ref="S150:S198" si="52">X150/V150</f>
        <v>0.98366261398176291</v>
      </c>
      <c r="T150" s="16"/>
      <c r="U150" s="16"/>
      <c r="V150" s="16">
        <v>2632</v>
      </c>
      <c r="W150" s="16">
        <f>V150-X150</f>
        <v>43</v>
      </c>
      <c r="X150" s="16">
        <v>2589</v>
      </c>
      <c r="Y150" s="16">
        <v>2407</v>
      </c>
      <c r="Z150" s="16">
        <f t="shared" ref="Z150:Z161" si="53">X150-Y150</f>
        <v>182</v>
      </c>
      <c r="AA150" s="16"/>
      <c r="AB150" s="16"/>
      <c r="AC150" s="78">
        <v>2005</v>
      </c>
      <c r="AD150" s="79" t="s">
        <v>36</v>
      </c>
      <c r="AE150" s="15">
        <f t="shared" ref="AE150:AE198" si="54">AM150/AJ150</f>
        <v>0.71334792122538293</v>
      </c>
      <c r="AF150" s="15">
        <f t="shared" ref="AF150:AF198" si="55">AM150/AL150</f>
        <v>0.73258426966292134</v>
      </c>
      <c r="AG150" s="15">
        <f t="shared" ref="AG150:AG198" si="56">AL150/AJ150</f>
        <v>0.97374179431072205</v>
      </c>
      <c r="AH150" s="16"/>
      <c r="AI150" s="16"/>
      <c r="AJ150" s="16">
        <v>1371</v>
      </c>
      <c r="AK150" s="16">
        <f>AJ150-AL150</f>
        <v>36</v>
      </c>
      <c r="AL150" s="16">
        <v>1335</v>
      </c>
      <c r="AM150" s="16">
        <v>978</v>
      </c>
      <c r="AN150" s="16">
        <f t="shared" ref="AN150:AN161" si="57">AL150-AM150</f>
        <v>357</v>
      </c>
      <c r="AO150" s="16"/>
      <c r="AP150" s="16"/>
      <c r="AQ150" s="78">
        <v>2005</v>
      </c>
      <c r="AR150" s="79" t="s">
        <v>36</v>
      </c>
      <c r="AS150" s="15">
        <f t="shared" ref="AS150:AS198" si="58">BA150/AX150</f>
        <v>0.63306451612903225</v>
      </c>
      <c r="AT150" s="15">
        <f t="shared" ref="AT150:AT198" si="59">BA150/AZ150</f>
        <v>0.65416666666666667</v>
      </c>
      <c r="AU150" s="15">
        <f t="shared" ref="AU150:AU198" si="60">AZ150/AX150</f>
        <v>0.967741935483871</v>
      </c>
      <c r="AV150" s="15"/>
      <c r="AW150" s="15"/>
      <c r="AX150" s="16">
        <v>248</v>
      </c>
      <c r="AY150" s="16">
        <f>AX150-AZ150</f>
        <v>8</v>
      </c>
      <c r="AZ150" s="16">
        <v>240</v>
      </c>
      <c r="BA150" s="16">
        <v>157</v>
      </c>
      <c r="BB150" s="16">
        <f t="shared" ref="BB150:BB161" si="61">AZ150-BA150</f>
        <v>83</v>
      </c>
      <c r="BC150" s="16"/>
      <c r="BD150" s="16"/>
      <c r="BE150" s="78"/>
      <c r="BF150" s="79"/>
      <c r="BG150" s="15"/>
      <c r="BH150" s="15"/>
      <c r="BI150" s="15"/>
      <c r="BS150" s="78"/>
      <c r="BT150" s="79"/>
      <c r="BU150" s="15"/>
      <c r="BV150" s="15"/>
      <c r="BW150" s="15"/>
      <c r="CA150" s="45"/>
      <c r="CD150" s="45"/>
      <c r="CG150" s="78"/>
      <c r="CH150" s="79"/>
      <c r="CI150" s="15"/>
      <c r="CJ150" s="15"/>
      <c r="CK150" s="15"/>
      <c r="CO150" s="45"/>
      <c r="CR150" s="45"/>
    </row>
    <row r="151" spans="1:96" s="18" customFormat="1" ht="15" customHeight="1">
      <c r="A151" s="80">
        <v>2005</v>
      </c>
      <c r="B151" s="81" t="s">
        <v>37</v>
      </c>
      <c r="C151" s="15">
        <f t="shared" si="46"/>
        <v>0.89772727272727271</v>
      </c>
      <c r="D151" s="15">
        <f t="shared" si="47"/>
        <v>0.93040685224839403</v>
      </c>
      <c r="E151" s="15">
        <f t="shared" si="48"/>
        <v>0.96487603305785119</v>
      </c>
      <c r="F151" s="57"/>
      <c r="G151" s="34"/>
      <c r="H151" s="57">
        <f>+V151+AJ151+AX151+BL151+BS_GC_MP_Vill[[#This Row],[Trenes Programados]]</f>
        <v>3872</v>
      </c>
      <c r="I151" s="16">
        <f t="shared" ref="I151:I161" si="62">H151-J151</f>
        <v>136</v>
      </c>
      <c r="J151" s="57">
        <f>+X151+AL151+AZ151+BN151+BS_GC_MP_Vill[[#This Row],[Trenes Corridos]]</f>
        <v>3736</v>
      </c>
      <c r="K151" s="57">
        <f>+Y151+AM151+BA151+BO151+BS_GC_MP_Vill[[#This Row],[Trenes Puntuales]]</f>
        <v>3476</v>
      </c>
      <c r="L151" s="16">
        <f t="shared" si="49"/>
        <v>260</v>
      </c>
      <c r="M151" s="16"/>
      <c r="N151" s="16"/>
      <c r="O151" s="80">
        <v>2005</v>
      </c>
      <c r="P151" s="81" t="s">
        <v>37</v>
      </c>
      <c r="Q151" s="15">
        <f t="shared" si="50"/>
        <v>0.95507487520798673</v>
      </c>
      <c r="R151" s="15">
        <f t="shared" si="51"/>
        <v>0.96673684210526312</v>
      </c>
      <c r="S151" s="15">
        <f t="shared" si="52"/>
        <v>0.98793677204658903</v>
      </c>
      <c r="T151" s="16"/>
      <c r="U151" s="16"/>
      <c r="V151" s="16">
        <v>2404</v>
      </c>
      <c r="W151" s="16">
        <f t="shared" ref="W151:W161" si="63">V151-X151</f>
        <v>29</v>
      </c>
      <c r="X151" s="16">
        <v>2375</v>
      </c>
      <c r="Y151" s="16">
        <v>2296</v>
      </c>
      <c r="Z151" s="16">
        <f t="shared" si="53"/>
        <v>79</v>
      </c>
      <c r="AA151" s="16"/>
      <c r="AB151" s="16"/>
      <c r="AC151" s="80">
        <v>2005</v>
      </c>
      <c r="AD151" s="81" t="s">
        <v>37</v>
      </c>
      <c r="AE151" s="15">
        <f t="shared" si="54"/>
        <v>0.81591639871382637</v>
      </c>
      <c r="AF151" s="15">
        <f t="shared" si="55"/>
        <v>0.88801399825021876</v>
      </c>
      <c r="AG151" s="15">
        <f t="shared" si="56"/>
        <v>0.9188102893890675</v>
      </c>
      <c r="AH151" s="16"/>
      <c r="AI151" s="16"/>
      <c r="AJ151" s="16">
        <v>1244</v>
      </c>
      <c r="AK151" s="16">
        <f t="shared" ref="AK151:AK161" si="64">AJ151-AL151</f>
        <v>101</v>
      </c>
      <c r="AL151" s="16">
        <v>1143</v>
      </c>
      <c r="AM151" s="16">
        <v>1015</v>
      </c>
      <c r="AN151" s="16">
        <f t="shared" si="57"/>
        <v>128</v>
      </c>
      <c r="AO151" s="16"/>
      <c r="AP151" s="16"/>
      <c r="AQ151" s="80">
        <v>2005</v>
      </c>
      <c r="AR151" s="81" t="s">
        <v>37</v>
      </c>
      <c r="AS151" s="15">
        <f t="shared" si="58"/>
        <v>0.7366071428571429</v>
      </c>
      <c r="AT151" s="15">
        <f t="shared" si="59"/>
        <v>0.75688073394495414</v>
      </c>
      <c r="AU151" s="15">
        <f t="shared" si="60"/>
        <v>0.9732142857142857</v>
      </c>
      <c r="AV151" s="15"/>
      <c r="AW151" s="15"/>
      <c r="AX151" s="16">
        <v>224</v>
      </c>
      <c r="AY151" s="16">
        <f t="shared" ref="AY151:AY161" si="65">AX151-AZ151</f>
        <v>6</v>
      </c>
      <c r="AZ151" s="16">
        <v>218</v>
      </c>
      <c r="BA151" s="16">
        <v>165</v>
      </c>
      <c r="BB151" s="16">
        <f t="shared" si="61"/>
        <v>53</v>
      </c>
      <c r="BC151" s="16"/>
      <c r="BD151" s="16"/>
      <c r="BE151" s="80"/>
      <c r="BF151" s="81"/>
      <c r="BG151" s="15"/>
      <c r="BH151" s="15"/>
      <c r="BI151" s="15"/>
      <c r="BS151" s="80"/>
      <c r="BT151" s="81"/>
      <c r="BU151" s="15"/>
      <c r="BV151" s="15"/>
      <c r="BW151" s="15"/>
      <c r="CA151" s="45"/>
      <c r="CD151" s="45"/>
      <c r="CG151" s="80"/>
      <c r="CH151" s="81"/>
      <c r="CI151" s="15"/>
      <c r="CJ151" s="15"/>
      <c r="CK151" s="15"/>
      <c r="CO151" s="45"/>
      <c r="CR151" s="45"/>
    </row>
    <row r="152" spans="1:96" s="18" customFormat="1" ht="15" customHeight="1">
      <c r="A152" s="78">
        <v>2005</v>
      </c>
      <c r="B152" s="79" t="s">
        <v>38</v>
      </c>
      <c r="C152" s="15">
        <f t="shared" si="46"/>
        <v>0.88493919550982225</v>
      </c>
      <c r="D152" s="15">
        <f t="shared" si="47"/>
        <v>0.90874159462055715</v>
      </c>
      <c r="E152" s="15">
        <f t="shared" si="48"/>
        <v>0.97380729653882137</v>
      </c>
      <c r="F152" s="57"/>
      <c r="G152" s="34"/>
      <c r="H152" s="57">
        <f>+V152+AJ152+AX152+BL152+BS_GC_MP_Vill[[#This Row],[Trenes Programados]]</f>
        <v>4276</v>
      </c>
      <c r="I152" s="16">
        <f t="shared" si="62"/>
        <v>112</v>
      </c>
      <c r="J152" s="57">
        <f>+X152+AL152+AZ152+BN152+BS_GC_MP_Vill[[#This Row],[Trenes Corridos]]</f>
        <v>4164</v>
      </c>
      <c r="K152" s="57">
        <f>+Y152+AM152+BA152+BO152+BS_GC_MP_Vill[[#This Row],[Trenes Puntuales]]</f>
        <v>3784</v>
      </c>
      <c r="L152" s="16">
        <f t="shared" si="49"/>
        <v>380</v>
      </c>
      <c r="M152" s="16"/>
      <c r="N152" s="16"/>
      <c r="O152" s="78">
        <v>2005</v>
      </c>
      <c r="P152" s="79" t="s">
        <v>38</v>
      </c>
      <c r="Q152" s="15">
        <f t="shared" si="50"/>
        <v>0.89408217112702604</v>
      </c>
      <c r="R152" s="15">
        <f t="shared" si="51"/>
        <v>0.91371340523882894</v>
      </c>
      <c r="S152" s="15">
        <f t="shared" si="52"/>
        <v>0.97851488880512627</v>
      </c>
      <c r="T152" s="16"/>
      <c r="U152" s="16"/>
      <c r="V152" s="16">
        <v>2653</v>
      </c>
      <c r="W152" s="16">
        <f t="shared" si="63"/>
        <v>57</v>
      </c>
      <c r="X152" s="16">
        <v>2596</v>
      </c>
      <c r="Y152" s="16">
        <v>2372</v>
      </c>
      <c r="Z152" s="16">
        <f t="shared" si="53"/>
        <v>224</v>
      </c>
      <c r="AA152" s="16"/>
      <c r="AB152" s="16"/>
      <c r="AC152" s="78">
        <v>2005</v>
      </c>
      <c r="AD152" s="79" t="s">
        <v>38</v>
      </c>
      <c r="AE152" s="15">
        <f t="shared" si="54"/>
        <v>0.86181818181818182</v>
      </c>
      <c r="AF152" s="15">
        <f t="shared" si="55"/>
        <v>0.892991710625471</v>
      </c>
      <c r="AG152" s="15">
        <f t="shared" si="56"/>
        <v>0.96509090909090911</v>
      </c>
      <c r="AH152" s="16"/>
      <c r="AI152" s="16"/>
      <c r="AJ152" s="16">
        <v>1375</v>
      </c>
      <c r="AK152" s="16">
        <f t="shared" si="64"/>
        <v>48</v>
      </c>
      <c r="AL152" s="16">
        <v>1327</v>
      </c>
      <c r="AM152" s="16">
        <v>1185</v>
      </c>
      <c r="AN152" s="16">
        <f t="shared" si="57"/>
        <v>142</v>
      </c>
      <c r="AO152" s="16"/>
      <c r="AP152" s="16"/>
      <c r="AQ152" s="78">
        <v>2005</v>
      </c>
      <c r="AR152" s="79" t="s">
        <v>38</v>
      </c>
      <c r="AS152" s="15">
        <f t="shared" si="58"/>
        <v>0.91532258064516125</v>
      </c>
      <c r="AT152" s="15">
        <f t="shared" si="59"/>
        <v>0.94190871369294604</v>
      </c>
      <c r="AU152" s="15">
        <f t="shared" si="60"/>
        <v>0.97177419354838712</v>
      </c>
      <c r="AV152" s="15"/>
      <c r="AW152" s="15"/>
      <c r="AX152" s="16">
        <v>248</v>
      </c>
      <c r="AY152" s="16">
        <f t="shared" si="65"/>
        <v>7</v>
      </c>
      <c r="AZ152" s="16">
        <v>241</v>
      </c>
      <c r="BA152" s="16">
        <v>227</v>
      </c>
      <c r="BB152" s="16">
        <f t="shared" si="61"/>
        <v>14</v>
      </c>
      <c r="BC152" s="16"/>
      <c r="BD152" s="16"/>
      <c r="BE152" s="78"/>
      <c r="BF152" s="79"/>
      <c r="BG152" s="15"/>
      <c r="BH152" s="15"/>
      <c r="BI152" s="15"/>
      <c r="BS152" s="78"/>
      <c r="BT152" s="79"/>
      <c r="BU152" s="15"/>
      <c r="BV152" s="15"/>
      <c r="BW152" s="15"/>
      <c r="CA152" s="45"/>
      <c r="CD152" s="45"/>
      <c r="CG152" s="78"/>
      <c r="CH152" s="79"/>
      <c r="CI152" s="15"/>
      <c r="CJ152" s="15"/>
      <c r="CK152" s="15"/>
      <c r="CO152" s="45"/>
      <c r="CR152" s="45"/>
    </row>
    <row r="153" spans="1:96" s="18" customFormat="1" ht="15" customHeight="1">
      <c r="A153" s="80">
        <v>2005</v>
      </c>
      <c r="B153" s="81" t="s">
        <v>39</v>
      </c>
      <c r="C153" s="15">
        <f t="shared" si="46"/>
        <v>0.89305589160416166</v>
      </c>
      <c r="D153" s="15">
        <f t="shared" si="47"/>
        <v>0.92067847343477172</v>
      </c>
      <c r="E153" s="15">
        <f t="shared" si="48"/>
        <v>0.96999758045003626</v>
      </c>
      <c r="F153" s="57"/>
      <c r="G153" s="34"/>
      <c r="H153" s="57">
        <f>+V153+AJ153+AX153+BL153+BS_GC_MP_Vill[[#This Row],[Trenes Programados]]</f>
        <v>4133</v>
      </c>
      <c r="I153" s="16">
        <f t="shared" si="62"/>
        <v>124</v>
      </c>
      <c r="J153" s="57">
        <f>+X153+AL153+AZ153+BN153+BS_GC_MP_Vill[[#This Row],[Trenes Corridos]]</f>
        <v>4009</v>
      </c>
      <c r="K153" s="57">
        <f>+Y153+AM153+BA153+BO153+BS_GC_MP_Vill[[#This Row],[Trenes Puntuales]]</f>
        <v>3691</v>
      </c>
      <c r="L153" s="16">
        <f t="shared" si="49"/>
        <v>318</v>
      </c>
      <c r="M153" s="16"/>
      <c r="N153" s="16"/>
      <c r="O153" s="80">
        <v>2005</v>
      </c>
      <c r="P153" s="81" t="s">
        <v>39</v>
      </c>
      <c r="Q153" s="15">
        <f t="shared" si="50"/>
        <v>0.89387436597737024</v>
      </c>
      <c r="R153" s="15">
        <f t="shared" si="51"/>
        <v>0.9193418940609952</v>
      </c>
      <c r="S153" s="15">
        <f t="shared" si="52"/>
        <v>0.97229808817791652</v>
      </c>
      <c r="T153" s="16"/>
      <c r="U153" s="16"/>
      <c r="V153" s="16">
        <v>2563</v>
      </c>
      <c r="W153" s="16">
        <f t="shared" si="63"/>
        <v>71</v>
      </c>
      <c r="X153" s="16">
        <v>2492</v>
      </c>
      <c r="Y153" s="16">
        <v>2291</v>
      </c>
      <c r="Z153" s="16">
        <f t="shared" si="53"/>
        <v>201</v>
      </c>
      <c r="AA153" s="16"/>
      <c r="AB153" s="16"/>
      <c r="AC153" s="80">
        <v>2005</v>
      </c>
      <c r="AD153" s="81" t="s">
        <v>39</v>
      </c>
      <c r="AE153" s="15">
        <f t="shared" si="54"/>
        <v>0.87894736842105259</v>
      </c>
      <c r="AF153" s="15">
        <f t="shared" si="55"/>
        <v>0.90902021772939345</v>
      </c>
      <c r="AG153" s="15">
        <f t="shared" si="56"/>
        <v>0.96691729323308273</v>
      </c>
      <c r="AH153" s="16"/>
      <c r="AI153" s="16"/>
      <c r="AJ153" s="16">
        <v>1330</v>
      </c>
      <c r="AK153" s="16">
        <f t="shared" si="64"/>
        <v>44</v>
      </c>
      <c r="AL153" s="16">
        <v>1286</v>
      </c>
      <c r="AM153" s="16">
        <v>1169</v>
      </c>
      <c r="AN153" s="16">
        <f t="shared" si="57"/>
        <v>117</v>
      </c>
      <c r="AO153" s="16"/>
      <c r="AP153" s="16"/>
      <c r="AQ153" s="80">
        <v>2005</v>
      </c>
      <c r="AR153" s="81" t="s">
        <v>39</v>
      </c>
      <c r="AS153" s="15">
        <f t="shared" si="58"/>
        <v>0.96250000000000002</v>
      </c>
      <c r="AT153" s="15">
        <f t="shared" si="59"/>
        <v>1</v>
      </c>
      <c r="AU153" s="15">
        <f t="shared" si="60"/>
        <v>0.96250000000000002</v>
      </c>
      <c r="AV153" s="15"/>
      <c r="AW153" s="15"/>
      <c r="AX153" s="16">
        <v>240</v>
      </c>
      <c r="AY153" s="16">
        <f t="shared" si="65"/>
        <v>9</v>
      </c>
      <c r="AZ153" s="16">
        <v>231</v>
      </c>
      <c r="BA153" s="16">
        <v>231</v>
      </c>
      <c r="BB153" s="16">
        <f t="shared" si="61"/>
        <v>0</v>
      </c>
      <c r="BC153" s="16"/>
      <c r="BD153" s="16"/>
      <c r="BE153" s="80"/>
      <c r="BF153" s="81"/>
      <c r="BG153" s="15"/>
      <c r="BH153" s="15"/>
      <c r="BI153" s="15"/>
      <c r="BS153" s="80"/>
      <c r="BT153" s="81"/>
      <c r="BU153" s="15"/>
      <c r="BV153" s="15"/>
      <c r="BW153" s="15"/>
      <c r="CA153" s="45"/>
      <c r="CD153" s="45"/>
      <c r="CG153" s="80"/>
      <c r="CH153" s="81"/>
      <c r="CI153" s="15"/>
      <c r="CJ153" s="15"/>
      <c r="CK153" s="15"/>
      <c r="CO153" s="45"/>
      <c r="CR153" s="45"/>
    </row>
    <row r="154" spans="1:96" s="18" customFormat="1" ht="15" customHeight="1">
      <c r="A154" s="78">
        <v>2005</v>
      </c>
      <c r="B154" s="79" t="s">
        <v>40</v>
      </c>
      <c r="C154" s="15">
        <f t="shared" si="46"/>
        <v>0.90708068689720067</v>
      </c>
      <c r="D154" s="15">
        <f t="shared" si="47"/>
        <v>0.94140625</v>
      </c>
      <c r="E154" s="15">
        <f t="shared" si="48"/>
        <v>0.96353799106092686</v>
      </c>
      <c r="F154" s="57"/>
      <c r="G154" s="34"/>
      <c r="H154" s="57">
        <f>+V154+AJ154+AX154+BL154+BS_GC_MP_Vill[[#This Row],[Trenes Programados]]</f>
        <v>4251</v>
      </c>
      <c r="I154" s="16">
        <f t="shared" si="62"/>
        <v>155</v>
      </c>
      <c r="J154" s="57">
        <f>+X154+AL154+AZ154+BN154+BS_GC_MP_Vill[[#This Row],[Trenes Corridos]]</f>
        <v>4096</v>
      </c>
      <c r="K154" s="57">
        <f>+Y154+AM154+BA154+BO154+BS_GC_MP_Vill[[#This Row],[Trenes Puntuales]]</f>
        <v>3856</v>
      </c>
      <c r="L154" s="16">
        <f t="shared" si="49"/>
        <v>240</v>
      </c>
      <c r="M154" s="16"/>
      <c r="N154" s="16"/>
      <c r="O154" s="78">
        <v>2005</v>
      </c>
      <c r="P154" s="79" t="s">
        <v>40</v>
      </c>
      <c r="Q154" s="15">
        <f t="shared" si="50"/>
        <v>0.91755319148936165</v>
      </c>
      <c r="R154" s="15">
        <f t="shared" si="51"/>
        <v>0.94262295081967218</v>
      </c>
      <c r="S154" s="15">
        <f t="shared" si="52"/>
        <v>0.97340425531914898</v>
      </c>
      <c r="T154" s="16"/>
      <c r="U154" s="16"/>
      <c r="V154" s="16">
        <v>2632</v>
      </c>
      <c r="W154" s="16">
        <f t="shared" si="63"/>
        <v>70</v>
      </c>
      <c r="X154" s="16">
        <v>2562</v>
      </c>
      <c r="Y154" s="16">
        <v>2415</v>
      </c>
      <c r="Z154" s="16">
        <f t="shared" si="53"/>
        <v>147</v>
      </c>
      <c r="AA154" s="16"/>
      <c r="AB154" s="16"/>
      <c r="AC154" s="78">
        <v>2005</v>
      </c>
      <c r="AD154" s="79" t="s">
        <v>40</v>
      </c>
      <c r="AE154" s="15">
        <f t="shared" si="54"/>
        <v>0.9059080962800875</v>
      </c>
      <c r="AF154" s="15">
        <f t="shared" si="55"/>
        <v>0.94162244124336614</v>
      </c>
      <c r="AG154" s="15">
        <f t="shared" si="56"/>
        <v>0.96207148067104309</v>
      </c>
      <c r="AH154" s="16"/>
      <c r="AI154" s="16"/>
      <c r="AJ154" s="16">
        <v>1371</v>
      </c>
      <c r="AK154" s="16">
        <f t="shared" si="64"/>
        <v>52</v>
      </c>
      <c r="AL154" s="16">
        <v>1319</v>
      </c>
      <c r="AM154" s="16">
        <v>1242</v>
      </c>
      <c r="AN154" s="16">
        <f t="shared" si="57"/>
        <v>77</v>
      </c>
      <c r="AO154" s="16"/>
      <c r="AP154" s="16"/>
      <c r="AQ154" s="78">
        <v>2005</v>
      </c>
      <c r="AR154" s="79" t="s">
        <v>40</v>
      </c>
      <c r="AS154" s="15">
        <f t="shared" si="58"/>
        <v>0.80241935483870963</v>
      </c>
      <c r="AT154" s="15">
        <f t="shared" si="59"/>
        <v>0.92558139534883721</v>
      </c>
      <c r="AU154" s="15">
        <f t="shared" si="60"/>
        <v>0.86693548387096775</v>
      </c>
      <c r="AV154" s="15"/>
      <c r="AW154" s="15"/>
      <c r="AX154" s="16">
        <v>248</v>
      </c>
      <c r="AY154" s="16">
        <f t="shared" si="65"/>
        <v>33</v>
      </c>
      <c r="AZ154" s="16">
        <v>215</v>
      </c>
      <c r="BA154" s="16">
        <v>199</v>
      </c>
      <c r="BB154" s="16">
        <f t="shared" si="61"/>
        <v>16</v>
      </c>
      <c r="BC154" s="16"/>
      <c r="BD154" s="16"/>
      <c r="BE154" s="78"/>
      <c r="BF154" s="79"/>
      <c r="BG154" s="15"/>
      <c r="BH154" s="15"/>
      <c r="BI154" s="15"/>
      <c r="BS154" s="78"/>
      <c r="BT154" s="79"/>
      <c r="BU154" s="15"/>
      <c r="BV154" s="15"/>
      <c r="BW154" s="15"/>
      <c r="CA154" s="45"/>
      <c r="CD154" s="45"/>
      <c r="CG154" s="78"/>
      <c r="CH154" s="79"/>
      <c r="CI154" s="15"/>
      <c r="CJ154" s="15"/>
      <c r="CK154" s="15"/>
      <c r="CO154" s="45"/>
      <c r="CR154" s="45"/>
    </row>
    <row r="155" spans="1:96" s="18" customFormat="1" ht="15" customHeight="1">
      <c r="A155" s="80">
        <v>2005</v>
      </c>
      <c r="B155" s="81" t="s">
        <v>41</v>
      </c>
      <c r="C155" s="15">
        <f t="shared" si="46"/>
        <v>0.86184369707234454</v>
      </c>
      <c r="D155" s="15">
        <f t="shared" si="47"/>
        <v>0.90913731495661054</v>
      </c>
      <c r="E155" s="15">
        <f t="shared" si="48"/>
        <v>0.94797967578030484</v>
      </c>
      <c r="F155" s="57"/>
      <c r="G155" s="34"/>
      <c r="H155" s="57">
        <f>+V155+AJ155+AX155+BL155+BS_GC_MP_Vill[[#This Row],[Trenes Programados]]</f>
        <v>4133</v>
      </c>
      <c r="I155" s="16">
        <f t="shared" si="62"/>
        <v>215</v>
      </c>
      <c r="J155" s="57">
        <f>+X155+AL155+AZ155+BN155+BS_GC_MP_Vill[[#This Row],[Trenes Corridos]]</f>
        <v>3918</v>
      </c>
      <c r="K155" s="57">
        <f>+Y155+AM155+BA155+BO155+BS_GC_MP_Vill[[#This Row],[Trenes Puntuales]]</f>
        <v>3562</v>
      </c>
      <c r="L155" s="16">
        <f t="shared" si="49"/>
        <v>356</v>
      </c>
      <c r="M155" s="16"/>
      <c r="N155" s="16"/>
      <c r="O155" s="80">
        <v>2005</v>
      </c>
      <c r="P155" s="81" t="s">
        <v>41</v>
      </c>
      <c r="Q155" s="15">
        <f t="shared" si="50"/>
        <v>0.85173624658603198</v>
      </c>
      <c r="R155" s="15">
        <f t="shared" si="51"/>
        <v>0.90468296726067132</v>
      </c>
      <c r="S155" s="15">
        <f t="shared" si="52"/>
        <v>0.94147483417869682</v>
      </c>
      <c r="T155" s="16"/>
      <c r="U155" s="16"/>
      <c r="V155" s="16">
        <v>2563</v>
      </c>
      <c r="W155" s="16">
        <f t="shared" si="63"/>
        <v>150</v>
      </c>
      <c r="X155" s="16">
        <v>2413</v>
      </c>
      <c r="Y155" s="16">
        <v>2183</v>
      </c>
      <c r="Z155" s="16">
        <f t="shared" si="53"/>
        <v>230</v>
      </c>
      <c r="AA155" s="16"/>
      <c r="AB155" s="16"/>
      <c r="AC155" s="80">
        <v>2005</v>
      </c>
      <c r="AD155" s="81" t="s">
        <v>41</v>
      </c>
      <c r="AE155" s="15">
        <f t="shared" si="54"/>
        <v>0.86165413533834589</v>
      </c>
      <c r="AF155" s="15">
        <f t="shared" si="55"/>
        <v>0.90094339622641506</v>
      </c>
      <c r="AG155" s="15">
        <f t="shared" si="56"/>
        <v>0.95639097744360901</v>
      </c>
      <c r="AH155" s="16"/>
      <c r="AI155" s="16"/>
      <c r="AJ155" s="16">
        <v>1330</v>
      </c>
      <c r="AK155" s="16">
        <f t="shared" si="64"/>
        <v>58</v>
      </c>
      <c r="AL155" s="16">
        <v>1272</v>
      </c>
      <c r="AM155" s="16">
        <v>1146</v>
      </c>
      <c r="AN155" s="16">
        <f t="shared" si="57"/>
        <v>126</v>
      </c>
      <c r="AO155" s="16"/>
      <c r="AP155" s="16"/>
      <c r="AQ155" s="80">
        <v>2005</v>
      </c>
      <c r="AR155" s="81" t="s">
        <v>41</v>
      </c>
      <c r="AS155" s="15">
        <f t="shared" si="58"/>
        <v>0.97083333333333333</v>
      </c>
      <c r="AT155" s="15">
        <f t="shared" si="59"/>
        <v>1</v>
      </c>
      <c r="AU155" s="15">
        <f t="shared" si="60"/>
        <v>0.97083333333333333</v>
      </c>
      <c r="AV155" s="15"/>
      <c r="AW155" s="15"/>
      <c r="AX155" s="16">
        <v>240</v>
      </c>
      <c r="AY155" s="16">
        <f t="shared" si="65"/>
        <v>7</v>
      </c>
      <c r="AZ155" s="16">
        <v>233</v>
      </c>
      <c r="BA155" s="16">
        <v>233</v>
      </c>
      <c r="BB155" s="16">
        <f t="shared" si="61"/>
        <v>0</v>
      </c>
      <c r="BC155" s="16"/>
      <c r="BD155" s="16"/>
      <c r="BE155" s="80"/>
      <c r="BF155" s="81"/>
      <c r="BG155" s="15"/>
      <c r="BH155" s="15"/>
      <c r="BI155" s="15"/>
      <c r="BS155" s="80"/>
      <c r="BT155" s="81"/>
      <c r="BU155" s="15"/>
      <c r="BV155" s="15"/>
      <c r="BW155" s="15"/>
      <c r="CA155" s="45"/>
      <c r="CD155" s="45"/>
      <c r="CG155" s="80"/>
      <c r="CH155" s="81"/>
      <c r="CI155" s="15"/>
      <c r="CJ155" s="15"/>
      <c r="CK155" s="15"/>
      <c r="CO155" s="45"/>
      <c r="CR155" s="45"/>
    </row>
    <row r="156" spans="1:96" s="18" customFormat="1" ht="15" customHeight="1">
      <c r="A156" s="78">
        <v>2005</v>
      </c>
      <c r="B156" s="79" t="s">
        <v>42</v>
      </c>
      <c r="C156" s="15">
        <f t="shared" si="46"/>
        <v>0.83721477299458946</v>
      </c>
      <c r="D156" s="15">
        <f t="shared" si="47"/>
        <v>0.88576406172224986</v>
      </c>
      <c r="E156" s="15">
        <f t="shared" si="48"/>
        <v>0.94518936720771585</v>
      </c>
      <c r="F156" s="57"/>
      <c r="G156" s="34"/>
      <c r="H156" s="57">
        <f>+V156+AJ156+AX156+BL156+BS_GC_MP_Vill[[#This Row],[Trenes Programados]]</f>
        <v>4251</v>
      </c>
      <c r="I156" s="16">
        <f t="shared" si="62"/>
        <v>233</v>
      </c>
      <c r="J156" s="57">
        <f>+X156+AL156+AZ156+BN156+BS_GC_MP_Vill[[#This Row],[Trenes Corridos]]</f>
        <v>4018</v>
      </c>
      <c r="K156" s="57">
        <f>+Y156+AM156+BA156+BO156+BS_GC_MP_Vill[[#This Row],[Trenes Puntuales]]</f>
        <v>3559</v>
      </c>
      <c r="L156" s="16">
        <f t="shared" si="49"/>
        <v>459</v>
      </c>
      <c r="M156" s="16"/>
      <c r="N156" s="16"/>
      <c r="O156" s="78">
        <v>2005</v>
      </c>
      <c r="P156" s="79" t="s">
        <v>42</v>
      </c>
      <c r="Q156" s="15">
        <f t="shared" si="50"/>
        <v>0.8457446808510638</v>
      </c>
      <c r="R156" s="15">
        <f t="shared" si="51"/>
        <v>0.89397590361445778</v>
      </c>
      <c r="S156" s="15">
        <f t="shared" si="52"/>
        <v>0.94604863221884494</v>
      </c>
      <c r="T156" s="16"/>
      <c r="U156" s="16"/>
      <c r="V156" s="16">
        <v>2632</v>
      </c>
      <c r="W156" s="16">
        <f t="shared" si="63"/>
        <v>142</v>
      </c>
      <c r="X156" s="16">
        <v>2490</v>
      </c>
      <c r="Y156" s="16">
        <v>2226</v>
      </c>
      <c r="Z156" s="16">
        <f t="shared" si="53"/>
        <v>264</v>
      </c>
      <c r="AA156" s="16"/>
      <c r="AB156" s="16"/>
      <c r="AC156" s="78">
        <v>2005</v>
      </c>
      <c r="AD156" s="79" t="s">
        <v>42</v>
      </c>
      <c r="AE156" s="15">
        <f t="shared" si="54"/>
        <v>0.80087527352297594</v>
      </c>
      <c r="AF156" s="15">
        <f t="shared" si="55"/>
        <v>0.84984520123839014</v>
      </c>
      <c r="AG156" s="15">
        <f t="shared" si="56"/>
        <v>0.94237782640408463</v>
      </c>
      <c r="AH156" s="16"/>
      <c r="AI156" s="16"/>
      <c r="AJ156" s="16">
        <v>1371</v>
      </c>
      <c r="AK156" s="16">
        <f t="shared" si="64"/>
        <v>79</v>
      </c>
      <c r="AL156" s="16">
        <v>1292</v>
      </c>
      <c r="AM156" s="16">
        <v>1098</v>
      </c>
      <c r="AN156" s="16">
        <f t="shared" si="57"/>
        <v>194</v>
      </c>
      <c r="AO156" s="16"/>
      <c r="AP156" s="16"/>
      <c r="AQ156" s="78">
        <v>2005</v>
      </c>
      <c r="AR156" s="79" t="s">
        <v>42</v>
      </c>
      <c r="AS156" s="15">
        <f t="shared" si="58"/>
        <v>0.94758064516129037</v>
      </c>
      <c r="AT156" s="15">
        <f t="shared" si="59"/>
        <v>0.99576271186440679</v>
      </c>
      <c r="AU156" s="15">
        <f t="shared" si="60"/>
        <v>0.95161290322580649</v>
      </c>
      <c r="AV156" s="15"/>
      <c r="AW156" s="15"/>
      <c r="AX156" s="16">
        <v>248</v>
      </c>
      <c r="AY156" s="16">
        <f t="shared" si="65"/>
        <v>12</v>
      </c>
      <c r="AZ156" s="16">
        <v>236</v>
      </c>
      <c r="BA156" s="16">
        <v>235</v>
      </c>
      <c r="BB156" s="16">
        <f t="shared" si="61"/>
        <v>1</v>
      </c>
      <c r="BC156" s="16"/>
      <c r="BD156" s="16"/>
      <c r="BE156" s="78"/>
      <c r="BF156" s="79"/>
      <c r="BG156" s="15"/>
      <c r="BH156" s="15"/>
      <c r="BI156" s="15"/>
      <c r="BS156" s="78"/>
      <c r="BT156" s="79"/>
      <c r="BU156" s="15"/>
      <c r="BV156" s="15"/>
      <c r="BW156" s="15"/>
      <c r="CA156" s="45"/>
      <c r="CD156" s="45"/>
      <c r="CG156" s="78"/>
      <c r="CH156" s="79"/>
      <c r="CI156" s="15"/>
      <c r="CJ156" s="15"/>
      <c r="CK156" s="15"/>
      <c r="CO156" s="45"/>
      <c r="CR156" s="45"/>
    </row>
    <row r="157" spans="1:96" s="18" customFormat="1" ht="15" customHeight="1">
      <c r="A157" s="80">
        <v>2005</v>
      </c>
      <c r="B157" s="81" t="s">
        <v>43</v>
      </c>
      <c r="C157" s="15">
        <f t="shared" si="46"/>
        <v>0.80425631431244149</v>
      </c>
      <c r="D157" s="15">
        <f t="shared" si="47"/>
        <v>0.87372967479674801</v>
      </c>
      <c r="E157" s="15">
        <f t="shared" si="48"/>
        <v>0.92048643592142187</v>
      </c>
      <c r="F157" s="57"/>
      <c r="G157" s="34"/>
      <c r="H157" s="57">
        <f>+V157+AJ157+AX157+BL157+BS_GC_MP_Vill[[#This Row],[Trenes Programados]]</f>
        <v>4276</v>
      </c>
      <c r="I157" s="16">
        <f t="shared" si="62"/>
        <v>340</v>
      </c>
      <c r="J157" s="57">
        <f>+X157+AL157+AZ157+BN157+BS_GC_MP_Vill[[#This Row],[Trenes Corridos]]</f>
        <v>3936</v>
      </c>
      <c r="K157" s="57">
        <f>+Y157+AM157+BA157+BO157+BS_GC_MP_Vill[[#This Row],[Trenes Puntuales]]</f>
        <v>3439</v>
      </c>
      <c r="L157" s="16">
        <f t="shared" si="49"/>
        <v>497</v>
      </c>
      <c r="M157" s="16"/>
      <c r="N157" s="16"/>
      <c r="O157" s="80">
        <v>2005</v>
      </c>
      <c r="P157" s="81" t="s">
        <v>43</v>
      </c>
      <c r="Q157" s="15">
        <f t="shared" si="50"/>
        <v>0.80625706747078774</v>
      </c>
      <c r="R157" s="15">
        <f t="shared" si="51"/>
        <v>0.87520458265139112</v>
      </c>
      <c r="S157" s="15">
        <f t="shared" si="52"/>
        <v>0.9212212589521297</v>
      </c>
      <c r="T157" s="16"/>
      <c r="U157" s="16"/>
      <c r="V157" s="16">
        <v>2653</v>
      </c>
      <c r="W157" s="16">
        <f t="shared" si="63"/>
        <v>209</v>
      </c>
      <c r="X157" s="16">
        <v>2444</v>
      </c>
      <c r="Y157" s="16">
        <v>2139</v>
      </c>
      <c r="Z157" s="16">
        <f t="shared" si="53"/>
        <v>305</v>
      </c>
      <c r="AA157" s="16"/>
      <c r="AB157" s="16"/>
      <c r="AC157" s="80">
        <v>2005</v>
      </c>
      <c r="AD157" s="81" t="s">
        <v>43</v>
      </c>
      <c r="AE157" s="15">
        <f t="shared" si="54"/>
        <v>0.80072727272727273</v>
      </c>
      <c r="AF157" s="15">
        <f t="shared" si="55"/>
        <v>0.85881435257410299</v>
      </c>
      <c r="AG157" s="15">
        <f t="shared" si="56"/>
        <v>0.93236363636363639</v>
      </c>
      <c r="AH157" s="16"/>
      <c r="AI157" s="16"/>
      <c r="AJ157" s="16">
        <v>1375</v>
      </c>
      <c r="AK157" s="16">
        <f t="shared" si="64"/>
        <v>93</v>
      </c>
      <c r="AL157" s="16">
        <v>1282</v>
      </c>
      <c r="AM157" s="16">
        <v>1101</v>
      </c>
      <c r="AN157" s="16">
        <f t="shared" si="57"/>
        <v>181</v>
      </c>
      <c r="AO157" s="16"/>
      <c r="AP157" s="16"/>
      <c r="AQ157" s="80">
        <v>2005</v>
      </c>
      <c r="AR157" s="81" t="s">
        <v>43</v>
      </c>
      <c r="AS157" s="15">
        <f t="shared" si="58"/>
        <v>0.80241935483870963</v>
      </c>
      <c r="AT157" s="15">
        <f t="shared" si="59"/>
        <v>0.94761904761904758</v>
      </c>
      <c r="AU157" s="15">
        <f t="shared" si="60"/>
        <v>0.84677419354838712</v>
      </c>
      <c r="AV157" s="15"/>
      <c r="AW157" s="15"/>
      <c r="AX157" s="16">
        <v>248</v>
      </c>
      <c r="AY157" s="16">
        <f t="shared" si="65"/>
        <v>38</v>
      </c>
      <c r="AZ157" s="16">
        <v>210</v>
      </c>
      <c r="BA157" s="16">
        <v>199</v>
      </c>
      <c r="BB157" s="16">
        <f t="shared" si="61"/>
        <v>11</v>
      </c>
      <c r="BC157" s="16"/>
      <c r="BD157" s="16"/>
      <c r="BE157" s="80"/>
      <c r="BF157" s="81"/>
      <c r="BG157" s="15"/>
      <c r="BH157" s="15"/>
      <c r="BI157" s="15"/>
      <c r="BS157" s="80"/>
      <c r="BT157" s="81"/>
      <c r="BU157" s="15"/>
      <c r="BV157" s="15"/>
      <c r="BW157" s="15"/>
      <c r="CA157" s="45"/>
      <c r="CD157" s="45"/>
      <c r="CG157" s="80"/>
      <c r="CH157" s="81"/>
      <c r="CI157" s="15"/>
      <c r="CJ157" s="15"/>
      <c r="CK157" s="15"/>
      <c r="CO157" s="45"/>
      <c r="CR157" s="45"/>
    </row>
    <row r="158" spans="1:96" s="18" customFormat="1" ht="15" customHeight="1">
      <c r="A158" s="78">
        <v>2005</v>
      </c>
      <c r="B158" s="79" t="s">
        <v>44</v>
      </c>
      <c r="C158" s="15">
        <f t="shared" si="46"/>
        <v>0.83092833092833096</v>
      </c>
      <c r="D158" s="15">
        <f t="shared" si="47"/>
        <v>0.90161795407098122</v>
      </c>
      <c r="E158" s="15">
        <f t="shared" si="48"/>
        <v>0.92159692159692164</v>
      </c>
      <c r="F158" s="57"/>
      <c r="G158" s="34"/>
      <c r="H158" s="57">
        <f>+V158+AJ158+AX158+BL158+BS_GC_MP_Vill[[#This Row],[Trenes Programados]]</f>
        <v>4158</v>
      </c>
      <c r="I158" s="16">
        <f t="shared" si="62"/>
        <v>326</v>
      </c>
      <c r="J158" s="57">
        <f>+X158+AL158+AZ158+BN158+BS_GC_MP_Vill[[#This Row],[Trenes Corridos]]</f>
        <v>3832</v>
      </c>
      <c r="K158" s="57">
        <f>+Y158+AM158+BA158+BO158+BS_GC_MP_Vill[[#This Row],[Trenes Puntuales]]</f>
        <v>3455</v>
      </c>
      <c r="L158" s="16">
        <f t="shared" si="49"/>
        <v>377</v>
      </c>
      <c r="M158" s="16"/>
      <c r="N158" s="16"/>
      <c r="O158" s="78">
        <v>2005</v>
      </c>
      <c r="P158" s="79" t="s">
        <v>44</v>
      </c>
      <c r="Q158" s="15">
        <f t="shared" si="50"/>
        <v>0.83320433436532504</v>
      </c>
      <c r="R158" s="15">
        <f t="shared" si="51"/>
        <v>0.90121389702804522</v>
      </c>
      <c r="S158" s="15">
        <f t="shared" si="52"/>
        <v>0.9245356037151703</v>
      </c>
      <c r="T158" s="16"/>
      <c r="U158" s="16"/>
      <c r="V158" s="16">
        <v>2584</v>
      </c>
      <c r="W158" s="16">
        <f t="shared" si="63"/>
        <v>195</v>
      </c>
      <c r="X158" s="16">
        <v>2389</v>
      </c>
      <c r="Y158" s="16">
        <v>2153</v>
      </c>
      <c r="Z158" s="16">
        <f t="shared" si="53"/>
        <v>236</v>
      </c>
      <c r="AA158" s="16"/>
      <c r="AB158" s="16"/>
      <c r="AC158" s="78">
        <v>2005</v>
      </c>
      <c r="AD158" s="79" t="s">
        <v>44</v>
      </c>
      <c r="AE158" s="15">
        <f t="shared" si="54"/>
        <v>0.82308845577211398</v>
      </c>
      <c r="AF158" s="15">
        <f t="shared" si="55"/>
        <v>0.88906882591093117</v>
      </c>
      <c r="AG158" s="15">
        <f t="shared" si="56"/>
        <v>0.92578710644677664</v>
      </c>
      <c r="AH158" s="16"/>
      <c r="AI158" s="16"/>
      <c r="AJ158" s="16">
        <v>1334</v>
      </c>
      <c r="AK158" s="16">
        <f t="shared" si="64"/>
        <v>99</v>
      </c>
      <c r="AL158" s="16">
        <v>1235</v>
      </c>
      <c r="AM158" s="16">
        <v>1098</v>
      </c>
      <c r="AN158" s="16">
        <f t="shared" si="57"/>
        <v>137</v>
      </c>
      <c r="AO158" s="16"/>
      <c r="AP158" s="16"/>
      <c r="AQ158" s="78">
        <v>2005</v>
      </c>
      <c r="AR158" s="79" t="s">
        <v>44</v>
      </c>
      <c r="AS158" s="15">
        <f t="shared" si="58"/>
        <v>0.85</v>
      </c>
      <c r="AT158" s="15">
        <f t="shared" si="59"/>
        <v>0.98076923076923073</v>
      </c>
      <c r="AU158" s="15">
        <f t="shared" si="60"/>
        <v>0.8666666666666667</v>
      </c>
      <c r="AV158" s="15"/>
      <c r="AW158" s="15"/>
      <c r="AX158" s="16">
        <v>240</v>
      </c>
      <c r="AY158" s="16">
        <f t="shared" si="65"/>
        <v>32</v>
      </c>
      <c r="AZ158" s="16">
        <v>208</v>
      </c>
      <c r="BA158" s="16">
        <v>204</v>
      </c>
      <c r="BB158" s="16">
        <f t="shared" si="61"/>
        <v>4</v>
      </c>
      <c r="BC158" s="16"/>
      <c r="BD158" s="16"/>
      <c r="BE158" s="78"/>
      <c r="BF158" s="79"/>
      <c r="BG158" s="15"/>
      <c r="BH158" s="15"/>
      <c r="BI158" s="15"/>
      <c r="BS158" s="78"/>
      <c r="BT158" s="79"/>
      <c r="BU158" s="15"/>
      <c r="BV158" s="15"/>
      <c r="BW158" s="15"/>
      <c r="CA158" s="45"/>
      <c r="CD158" s="45"/>
      <c r="CG158" s="78"/>
      <c r="CH158" s="79"/>
      <c r="CI158" s="15"/>
      <c r="CJ158" s="15"/>
      <c r="CK158" s="15"/>
      <c r="CO158" s="45"/>
      <c r="CR158" s="45"/>
    </row>
    <row r="159" spans="1:96" s="18" customFormat="1" ht="15" customHeight="1">
      <c r="A159" s="80">
        <v>2005</v>
      </c>
      <c r="B159" s="81" t="s">
        <v>45</v>
      </c>
      <c r="C159" s="15">
        <f t="shared" si="46"/>
        <v>0.90949799670044784</v>
      </c>
      <c r="D159" s="15">
        <f t="shared" si="47"/>
        <v>0.93938656280428434</v>
      </c>
      <c r="E159" s="15">
        <f t="shared" si="48"/>
        <v>0.9681828894650012</v>
      </c>
      <c r="F159" s="57"/>
      <c r="G159" s="34"/>
      <c r="H159" s="57">
        <f>+V159+AJ159+AX159+BL159+BS_GC_MP_Vill[[#This Row],[Trenes Programados]]</f>
        <v>4243</v>
      </c>
      <c r="I159" s="16">
        <f t="shared" si="62"/>
        <v>135</v>
      </c>
      <c r="J159" s="57">
        <f>+X159+AL159+AZ159+BN159+BS_GC_MP_Vill[[#This Row],[Trenes Corridos]]</f>
        <v>4108</v>
      </c>
      <c r="K159" s="57">
        <f>+Y159+AM159+BA159+BO159+BS_GC_MP_Vill[[#This Row],[Trenes Puntuales]]</f>
        <v>3859</v>
      </c>
      <c r="L159" s="16">
        <f t="shared" si="49"/>
        <v>249</v>
      </c>
      <c r="M159" s="16"/>
      <c r="N159" s="16"/>
      <c r="O159" s="80">
        <v>2005</v>
      </c>
      <c r="P159" s="81" t="s">
        <v>45</v>
      </c>
      <c r="Q159" s="15">
        <f t="shared" si="50"/>
        <v>0.92111280487804881</v>
      </c>
      <c r="R159" s="15">
        <f t="shared" si="51"/>
        <v>0.94119937694704048</v>
      </c>
      <c r="S159" s="15">
        <f t="shared" si="52"/>
        <v>0.97865853658536583</v>
      </c>
      <c r="T159" s="16"/>
      <c r="U159" s="16"/>
      <c r="V159" s="16">
        <v>2624</v>
      </c>
      <c r="W159" s="16">
        <f t="shared" si="63"/>
        <v>56</v>
      </c>
      <c r="X159" s="16">
        <v>2568</v>
      </c>
      <c r="Y159" s="16">
        <v>2417</v>
      </c>
      <c r="Z159" s="16">
        <f t="shared" si="53"/>
        <v>151</v>
      </c>
      <c r="AA159" s="16"/>
      <c r="AB159" s="16"/>
      <c r="AC159" s="80">
        <v>2005</v>
      </c>
      <c r="AD159" s="81" t="s">
        <v>45</v>
      </c>
      <c r="AE159" s="15">
        <f t="shared" si="54"/>
        <v>0.88621444201312916</v>
      </c>
      <c r="AF159" s="15">
        <f t="shared" si="55"/>
        <v>0.9296097934200459</v>
      </c>
      <c r="AG159" s="15">
        <f t="shared" si="56"/>
        <v>0.9533187454412837</v>
      </c>
      <c r="AH159" s="16"/>
      <c r="AI159" s="16"/>
      <c r="AJ159" s="16">
        <v>1371</v>
      </c>
      <c r="AK159" s="16">
        <f t="shared" si="64"/>
        <v>64</v>
      </c>
      <c r="AL159" s="16">
        <v>1307</v>
      </c>
      <c r="AM159" s="16">
        <v>1215</v>
      </c>
      <c r="AN159" s="16">
        <f t="shared" si="57"/>
        <v>92</v>
      </c>
      <c r="AO159" s="16"/>
      <c r="AP159" s="16"/>
      <c r="AQ159" s="80">
        <v>2005</v>
      </c>
      <c r="AR159" s="81" t="s">
        <v>45</v>
      </c>
      <c r="AS159" s="15">
        <f t="shared" si="58"/>
        <v>0.91532258064516125</v>
      </c>
      <c r="AT159" s="15">
        <f t="shared" si="59"/>
        <v>0.97424892703862664</v>
      </c>
      <c r="AU159" s="15">
        <f t="shared" si="60"/>
        <v>0.93951612903225812</v>
      </c>
      <c r="AV159" s="15"/>
      <c r="AW159" s="15"/>
      <c r="AX159" s="16">
        <v>248</v>
      </c>
      <c r="AY159" s="16">
        <f t="shared" si="65"/>
        <v>15</v>
      </c>
      <c r="AZ159" s="16">
        <v>233</v>
      </c>
      <c r="BA159" s="16">
        <v>227</v>
      </c>
      <c r="BB159" s="16">
        <f t="shared" si="61"/>
        <v>6</v>
      </c>
      <c r="BC159" s="16"/>
      <c r="BD159" s="16"/>
      <c r="BE159" s="80"/>
      <c r="BF159" s="81"/>
      <c r="BG159" s="15"/>
      <c r="BH159" s="15"/>
      <c r="BI159" s="15"/>
      <c r="BS159" s="80"/>
      <c r="BT159" s="81"/>
      <c r="BU159" s="15"/>
      <c r="BV159" s="15"/>
      <c r="BW159" s="15"/>
      <c r="CA159" s="45"/>
      <c r="CD159" s="45"/>
      <c r="CG159" s="80"/>
      <c r="CH159" s="81"/>
      <c r="CI159" s="15"/>
      <c r="CJ159" s="15"/>
      <c r="CK159" s="15"/>
      <c r="CO159" s="45"/>
      <c r="CR159" s="45"/>
    </row>
    <row r="160" spans="1:96" s="18" customFormat="1" ht="15" customHeight="1">
      <c r="A160" s="78">
        <v>2005</v>
      </c>
      <c r="B160" s="79" t="s">
        <v>46</v>
      </c>
      <c r="C160" s="15">
        <f t="shared" si="46"/>
        <v>0.86724386724386726</v>
      </c>
      <c r="D160" s="15">
        <f t="shared" si="47"/>
        <v>0.91779078645965895</v>
      </c>
      <c r="E160" s="15">
        <f t="shared" si="48"/>
        <v>0.94492544492544495</v>
      </c>
      <c r="F160" s="57"/>
      <c r="G160" s="34"/>
      <c r="H160" s="57">
        <f>+V160+AJ160+AX160+BL160+BS_GC_MP_Vill[[#This Row],[Trenes Programados]]</f>
        <v>4158</v>
      </c>
      <c r="I160" s="16">
        <f t="shared" si="62"/>
        <v>229</v>
      </c>
      <c r="J160" s="57">
        <f>+X160+AL160+AZ160+BN160+BS_GC_MP_Vill[[#This Row],[Trenes Corridos]]</f>
        <v>3929</v>
      </c>
      <c r="K160" s="57">
        <f>+Y160+AM160+BA160+BO160+BS_GC_MP_Vill[[#This Row],[Trenes Puntuales]]</f>
        <v>3606</v>
      </c>
      <c r="L160" s="16">
        <f t="shared" si="49"/>
        <v>323</v>
      </c>
      <c r="M160" s="16"/>
      <c r="N160" s="16"/>
      <c r="O160" s="78">
        <v>2005</v>
      </c>
      <c r="P160" s="79" t="s">
        <v>46</v>
      </c>
      <c r="Q160" s="15">
        <f t="shared" si="50"/>
        <v>0.86919504643962853</v>
      </c>
      <c r="R160" s="15">
        <f t="shared" si="51"/>
        <v>0.91973791973791974</v>
      </c>
      <c r="S160" s="15">
        <f t="shared" si="52"/>
        <v>0.945046439628483</v>
      </c>
      <c r="T160" s="16"/>
      <c r="U160" s="16"/>
      <c r="V160" s="16">
        <v>2584</v>
      </c>
      <c r="W160" s="16">
        <f t="shared" si="63"/>
        <v>142</v>
      </c>
      <c r="X160" s="16">
        <v>2442</v>
      </c>
      <c r="Y160" s="16">
        <v>2246</v>
      </c>
      <c r="Z160" s="16">
        <f t="shared" si="53"/>
        <v>196</v>
      </c>
      <c r="AA160" s="16"/>
      <c r="AB160" s="16"/>
      <c r="AC160" s="78">
        <v>2005</v>
      </c>
      <c r="AD160" s="79" t="s">
        <v>46</v>
      </c>
      <c r="AE160" s="15">
        <f t="shared" si="54"/>
        <v>0.84557721139430286</v>
      </c>
      <c r="AF160" s="15">
        <f t="shared" si="55"/>
        <v>0.90095846645367417</v>
      </c>
      <c r="AG160" s="15">
        <f t="shared" si="56"/>
        <v>0.93853073463268366</v>
      </c>
      <c r="AH160" s="16"/>
      <c r="AI160" s="16"/>
      <c r="AJ160" s="16">
        <v>1334</v>
      </c>
      <c r="AK160" s="16">
        <f t="shared" si="64"/>
        <v>82</v>
      </c>
      <c r="AL160" s="16">
        <v>1252</v>
      </c>
      <c r="AM160" s="16">
        <v>1128</v>
      </c>
      <c r="AN160" s="16">
        <f t="shared" si="57"/>
        <v>124</v>
      </c>
      <c r="AO160" s="16"/>
      <c r="AP160" s="16"/>
      <c r="AQ160" s="78">
        <v>2005</v>
      </c>
      <c r="AR160" s="79" t="s">
        <v>46</v>
      </c>
      <c r="AS160" s="15">
        <f t="shared" si="58"/>
        <v>0.96666666666666667</v>
      </c>
      <c r="AT160" s="15">
        <f t="shared" si="59"/>
        <v>0.98723404255319147</v>
      </c>
      <c r="AU160" s="15">
        <f t="shared" si="60"/>
        <v>0.97916666666666663</v>
      </c>
      <c r="AV160" s="15"/>
      <c r="AW160" s="15"/>
      <c r="AX160" s="16">
        <v>240</v>
      </c>
      <c r="AY160" s="16">
        <f t="shared" si="65"/>
        <v>5</v>
      </c>
      <c r="AZ160" s="16">
        <v>235</v>
      </c>
      <c r="BA160" s="16">
        <v>232</v>
      </c>
      <c r="BB160" s="16">
        <f t="shared" si="61"/>
        <v>3</v>
      </c>
      <c r="BC160" s="16"/>
      <c r="BD160" s="16"/>
      <c r="BE160" s="78"/>
      <c r="BF160" s="79"/>
      <c r="BG160" s="15"/>
      <c r="BH160" s="15"/>
      <c r="BI160" s="15"/>
      <c r="BS160" s="78"/>
      <c r="BT160" s="79"/>
      <c r="BU160" s="15"/>
      <c r="BV160" s="15"/>
      <c r="BW160" s="15"/>
      <c r="CA160" s="45"/>
      <c r="CD160" s="45"/>
      <c r="CG160" s="78"/>
      <c r="CH160" s="79"/>
      <c r="CI160" s="15"/>
      <c r="CJ160" s="15"/>
      <c r="CK160" s="15"/>
      <c r="CO160" s="45"/>
      <c r="CR160" s="45"/>
    </row>
    <row r="161" spans="1:96" s="18" customFormat="1" ht="15" customHeight="1">
      <c r="A161" s="80">
        <v>2005</v>
      </c>
      <c r="B161" s="81" t="s">
        <v>47</v>
      </c>
      <c r="C161" s="15">
        <f t="shared" si="46"/>
        <v>0.87441424554826619</v>
      </c>
      <c r="D161" s="15">
        <f t="shared" si="47"/>
        <v>0.91785538612887363</v>
      </c>
      <c r="E161" s="15">
        <f t="shared" si="48"/>
        <v>0.95267104029990624</v>
      </c>
      <c r="F161" s="57"/>
      <c r="G161" s="34"/>
      <c r="H161" s="57">
        <f>+V161+AJ161+AX161+BL161+BS_GC_MP_Vill[[#This Row],[Trenes Programados]]</f>
        <v>4268</v>
      </c>
      <c r="I161" s="16">
        <f t="shared" si="62"/>
        <v>202</v>
      </c>
      <c r="J161" s="57">
        <f>+X161+AL161+AZ161+BN161+BS_GC_MP_Vill[[#This Row],[Trenes Corridos]]</f>
        <v>4066</v>
      </c>
      <c r="K161" s="57">
        <f>+Y161+AM161+BA161+BO161+BS_GC_MP_Vill[[#This Row],[Trenes Puntuales]]</f>
        <v>3732</v>
      </c>
      <c r="L161" s="16">
        <f t="shared" si="49"/>
        <v>334</v>
      </c>
      <c r="M161" s="16"/>
      <c r="N161" s="16"/>
      <c r="O161" s="80">
        <v>2005</v>
      </c>
      <c r="P161" s="81" t="s">
        <v>47</v>
      </c>
      <c r="Q161" s="15">
        <f t="shared" si="50"/>
        <v>0.88317580340264645</v>
      </c>
      <c r="R161" s="15">
        <f t="shared" si="51"/>
        <v>0.92113564668769721</v>
      </c>
      <c r="S161" s="15">
        <f t="shared" si="52"/>
        <v>0.95879017013232515</v>
      </c>
      <c r="T161" s="16"/>
      <c r="U161" s="16"/>
      <c r="V161" s="16">
        <v>2645</v>
      </c>
      <c r="W161" s="16">
        <f t="shared" si="63"/>
        <v>109</v>
      </c>
      <c r="X161" s="16">
        <v>2536</v>
      </c>
      <c r="Y161" s="16">
        <v>2336</v>
      </c>
      <c r="Z161" s="16">
        <f t="shared" si="53"/>
        <v>200</v>
      </c>
      <c r="AA161" s="16"/>
      <c r="AB161" s="16"/>
      <c r="AC161" s="80">
        <v>2005</v>
      </c>
      <c r="AD161" s="81" t="s">
        <v>47</v>
      </c>
      <c r="AE161" s="15">
        <f t="shared" si="54"/>
        <v>0.84727272727272729</v>
      </c>
      <c r="AF161" s="15">
        <f t="shared" si="55"/>
        <v>0.89753466872110943</v>
      </c>
      <c r="AG161" s="15">
        <f t="shared" si="56"/>
        <v>0.94399999999999995</v>
      </c>
      <c r="AH161" s="16"/>
      <c r="AI161" s="16"/>
      <c r="AJ161" s="16">
        <v>1375</v>
      </c>
      <c r="AK161" s="16">
        <f t="shared" si="64"/>
        <v>77</v>
      </c>
      <c r="AL161" s="16">
        <v>1298</v>
      </c>
      <c r="AM161" s="16">
        <v>1165</v>
      </c>
      <c r="AN161" s="16">
        <f t="shared" si="57"/>
        <v>133</v>
      </c>
      <c r="AO161" s="16"/>
      <c r="AP161" s="16"/>
      <c r="AQ161" s="80">
        <v>2005</v>
      </c>
      <c r="AR161" s="81" t="s">
        <v>47</v>
      </c>
      <c r="AS161" s="15">
        <f t="shared" si="58"/>
        <v>0.93145161290322576</v>
      </c>
      <c r="AT161" s="15">
        <f t="shared" si="59"/>
        <v>0.99568965517241381</v>
      </c>
      <c r="AU161" s="15">
        <f t="shared" si="60"/>
        <v>0.93548387096774188</v>
      </c>
      <c r="AV161" s="15"/>
      <c r="AW161" s="15"/>
      <c r="AX161" s="16">
        <v>248</v>
      </c>
      <c r="AY161" s="16">
        <f t="shared" si="65"/>
        <v>16</v>
      </c>
      <c r="AZ161" s="16">
        <v>232</v>
      </c>
      <c r="BA161" s="16">
        <v>231</v>
      </c>
      <c r="BB161" s="16">
        <f t="shared" si="61"/>
        <v>1</v>
      </c>
      <c r="BC161" s="16"/>
      <c r="BD161" s="16"/>
      <c r="BE161" s="80"/>
      <c r="BF161" s="81"/>
      <c r="BG161" s="15"/>
      <c r="BH161" s="15"/>
      <c r="BI161" s="15"/>
      <c r="BS161" s="80"/>
      <c r="BT161" s="81"/>
      <c r="BU161" s="15"/>
      <c r="BV161" s="15"/>
      <c r="BW161" s="15"/>
      <c r="CA161" s="45"/>
      <c r="CD161" s="45"/>
      <c r="CG161" s="80"/>
      <c r="CH161" s="81"/>
      <c r="CI161" s="15"/>
      <c r="CJ161" s="15"/>
      <c r="CK161" s="15"/>
      <c r="CO161" s="45"/>
      <c r="CR161" s="45"/>
    </row>
    <row r="162" spans="1:96" s="18" customFormat="1" ht="15" customHeight="1">
      <c r="A162" s="78">
        <v>2006</v>
      </c>
      <c r="B162" s="79" t="s">
        <v>36</v>
      </c>
      <c r="C162" s="15">
        <f t="shared" si="46"/>
        <v>0.93334892422825066</v>
      </c>
      <c r="D162" s="15">
        <f t="shared" si="47"/>
        <v>0.9568448813234236</v>
      </c>
      <c r="E162" s="15">
        <f t="shared" si="48"/>
        <v>0.97544434050514495</v>
      </c>
      <c r="F162" s="57"/>
      <c r="G162" s="34"/>
      <c r="H162" s="57">
        <f>+V162+AJ162+AX162+BL162+BS_GC_MP_Vill[[#This Row],[Trenes Programados]]</f>
        <v>4276</v>
      </c>
      <c r="I162" s="16">
        <f>H162-J162</f>
        <v>105</v>
      </c>
      <c r="J162" s="57">
        <f>+X162+AL162+AZ162+BN162+BS_GC_MP_Vill[[#This Row],[Trenes Corridos]]</f>
        <v>4171</v>
      </c>
      <c r="K162" s="57">
        <f>+Y162+AM162+BA162+BO162+BS_GC_MP_Vill[[#This Row],[Trenes Puntuales]]</f>
        <v>3991</v>
      </c>
      <c r="L162" s="16">
        <f t="shared" ref="L162:L173" si="66">J162-K162</f>
        <v>180</v>
      </c>
      <c r="M162" s="16"/>
      <c r="N162" s="16"/>
      <c r="O162" s="78">
        <v>2006</v>
      </c>
      <c r="P162" s="79" t="s">
        <v>36</v>
      </c>
      <c r="Q162" s="15">
        <f t="shared" si="50"/>
        <v>0.94308330192235201</v>
      </c>
      <c r="R162" s="15">
        <f t="shared" si="51"/>
        <v>0.96193771626297575</v>
      </c>
      <c r="S162" s="15">
        <f t="shared" si="52"/>
        <v>0.98039954768186954</v>
      </c>
      <c r="T162" s="16"/>
      <c r="U162" s="16"/>
      <c r="V162" s="16">
        <v>2653</v>
      </c>
      <c r="W162" s="16">
        <f t="shared" ref="W162:W173" si="67">V162-X162</f>
        <v>52</v>
      </c>
      <c r="X162" s="16">
        <v>2601</v>
      </c>
      <c r="Y162" s="16">
        <v>2502</v>
      </c>
      <c r="Z162" s="16">
        <f t="shared" ref="Z162:Z173" si="68">X162-Y162</f>
        <v>99</v>
      </c>
      <c r="AA162" s="16"/>
      <c r="AB162" s="16"/>
      <c r="AC162" s="78">
        <v>2006</v>
      </c>
      <c r="AD162" s="79" t="s">
        <v>36</v>
      </c>
      <c r="AE162" s="15">
        <f t="shared" si="54"/>
        <v>0.91490909090909089</v>
      </c>
      <c r="AF162" s="15">
        <f t="shared" si="55"/>
        <v>0.94020926756352763</v>
      </c>
      <c r="AG162" s="15">
        <f t="shared" si="56"/>
        <v>0.97309090909090912</v>
      </c>
      <c r="AH162" s="16"/>
      <c r="AI162" s="16"/>
      <c r="AJ162" s="16">
        <v>1375</v>
      </c>
      <c r="AK162" s="16">
        <f t="shared" ref="AK162:AK173" si="69">AJ162-AL162</f>
        <v>37</v>
      </c>
      <c r="AL162" s="16">
        <v>1338</v>
      </c>
      <c r="AM162" s="16">
        <v>1258</v>
      </c>
      <c r="AN162" s="16">
        <f t="shared" ref="AN162:AN173" si="70">AL162-AM162</f>
        <v>80</v>
      </c>
      <c r="AO162" s="16"/>
      <c r="AP162" s="16"/>
      <c r="AQ162" s="78">
        <v>2006</v>
      </c>
      <c r="AR162" s="79" t="s">
        <v>36</v>
      </c>
      <c r="AS162" s="15">
        <f t="shared" si="58"/>
        <v>0.93145161290322576</v>
      </c>
      <c r="AT162" s="15">
        <f t="shared" si="59"/>
        <v>0.99568965517241381</v>
      </c>
      <c r="AU162" s="15">
        <f t="shared" si="60"/>
        <v>0.93548387096774188</v>
      </c>
      <c r="AV162" s="15"/>
      <c r="AW162" s="15"/>
      <c r="AX162" s="16">
        <v>248</v>
      </c>
      <c r="AY162" s="16">
        <f t="shared" ref="AY162:AY173" si="71">AX162-AZ162</f>
        <v>16</v>
      </c>
      <c r="AZ162" s="16">
        <v>232</v>
      </c>
      <c r="BA162" s="16">
        <v>231</v>
      </c>
      <c r="BB162" s="16">
        <f t="shared" ref="BB162:BB173" si="72">AZ162-BA162</f>
        <v>1</v>
      </c>
      <c r="BC162" s="16"/>
      <c r="BD162" s="16"/>
      <c r="BE162" s="78"/>
      <c r="BF162" s="79"/>
      <c r="BG162" s="15"/>
      <c r="BH162" s="15"/>
      <c r="BI162" s="15"/>
      <c r="BS162" s="78"/>
      <c r="BT162" s="79"/>
      <c r="BU162" s="15"/>
      <c r="BV162" s="15"/>
      <c r="BW162" s="15"/>
      <c r="CA162" s="45"/>
      <c r="CD162" s="45"/>
      <c r="CG162" s="78"/>
      <c r="CH162" s="79"/>
      <c r="CI162" s="15"/>
      <c r="CJ162" s="15"/>
      <c r="CK162" s="15"/>
      <c r="CO162" s="45"/>
      <c r="CR162" s="45"/>
    </row>
    <row r="163" spans="1:96" s="18" customFormat="1" ht="15" customHeight="1">
      <c r="A163" s="80">
        <v>2006</v>
      </c>
      <c r="B163" s="81" t="s">
        <v>37</v>
      </c>
      <c r="C163" s="15">
        <f t="shared" si="46"/>
        <v>0.91503099173553715</v>
      </c>
      <c r="D163" s="15">
        <f t="shared" si="47"/>
        <v>0.94404476418864913</v>
      </c>
      <c r="E163" s="15">
        <f t="shared" si="48"/>
        <v>0.96926652892561982</v>
      </c>
      <c r="F163" s="57"/>
      <c r="G163" s="34"/>
      <c r="H163" s="57">
        <f>+V163+AJ163+AX163+BL163+BS_GC_MP_Vill[[#This Row],[Trenes Programados]]</f>
        <v>3872</v>
      </c>
      <c r="I163" s="16">
        <f t="shared" ref="I163:I173" si="73">H163-J163</f>
        <v>119</v>
      </c>
      <c r="J163" s="57">
        <f>+X163+AL163+AZ163+BN163+BS_GC_MP_Vill[[#This Row],[Trenes Corridos]]</f>
        <v>3753</v>
      </c>
      <c r="K163" s="57">
        <f>+Y163+AM163+BA163+BO163+BS_GC_MP_Vill[[#This Row],[Trenes Puntuales]]</f>
        <v>3543</v>
      </c>
      <c r="L163" s="16">
        <f t="shared" si="66"/>
        <v>210</v>
      </c>
      <c r="M163" s="16"/>
      <c r="N163" s="16"/>
      <c r="O163" s="80">
        <v>2006</v>
      </c>
      <c r="P163" s="81" t="s">
        <v>37</v>
      </c>
      <c r="Q163" s="15">
        <f t="shared" si="50"/>
        <v>0.92221297836938432</v>
      </c>
      <c r="R163" s="15">
        <f t="shared" si="51"/>
        <v>0.94622279129321385</v>
      </c>
      <c r="S163" s="15">
        <f t="shared" si="52"/>
        <v>0.97462562396006658</v>
      </c>
      <c r="T163" s="16"/>
      <c r="U163" s="16"/>
      <c r="V163" s="16">
        <v>2404</v>
      </c>
      <c r="W163" s="16">
        <f t="shared" si="67"/>
        <v>61</v>
      </c>
      <c r="X163" s="16">
        <v>2343</v>
      </c>
      <c r="Y163" s="16">
        <v>2217</v>
      </c>
      <c r="Z163" s="16">
        <f t="shared" si="68"/>
        <v>126</v>
      </c>
      <c r="AA163" s="16"/>
      <c r="AB163" s="16"/>
      <c r="AC163" s="80">
        <v>2006</v>
      </c>
      <c r="AD163" s="81" t="s">
        <v>37</v>
      </c>
      <c r="AE163" s="15">
        <f t="shared" si="54"/>
        <v>0.90594855305466238</v>
      </c>
      <c r="AF163" s="15">
        <f t="shared" si="55"/>
        <v>0.93217535153019027</v>
      </c>
      <c r="AG163" s="15">
        <f t="shared" si="56"/>
        <v>0.97186495176848875</v>
      </c>
      <c r="AH163" s="16"/>
      <c r="AI163" s="16"/>
      <c r="AJ163" s="16">
        <v>1244</v>
      </c>
      <c r="AK163" s="16">
        <f t="shared" si="69"/>
        <v>35</v>
      </c>
      <c r="AL163" s="16">
        <v>1209</v>
      </c>
      <c r="AM163" s="16">
        <v>1127</v>
      </c>
      <c r="AN163" s="16">
        <f t="shared" si="70"/>
        <v>82</v>
      </c>
      <c r="AO163" s="16"/>
      <c r="AP163" s="16"/>
      <c r="AQ163" s="80">
        <v>2006</v>
      </c>
      <c r="AR163" s="81" t="s">
        <v>37</v>
      </c>
      <c r="AS163" s="15">
        <f t="shared" si="58"/>
        <v>0.8883928571428571</v>
      </c>
      <c r="AT163" s="15">
        <f t="shared" si="59"/>
        <v>0.99004975124378114</v>
      </c>
      <c r="AU163" s="15">
        <f t="shared" si="60"/>
        <v>0.8973214285714286</v>
      </c>
      <c r="AV163" s="15"/>
      <c r="AW163" s="15"/>
      <c r="AX163" s="16">
        <v>224</v>
      </c>
      <c r="AY163" s="16">
        <f t="shared" si="71"/>
        <v>23</v>
      </c>
      <c r="AZ163" s="16">
        <v>201</v>
      </c>
      <c r="BA163" s="16">
        <v>199</v>
      </c>
      <c r="BB163" s="16">
        <f t="shared" si="72"/>
        <v>2</v>
      </c>
      <c r="BC163" s="16"/>
      <c r="BD163" s="16"/>
      <c r="BE163" s="80"/>
      <c r="BF163" s="81"/>
      <c r="BG163" s="15"/>
      <c r="BH163" s="15"/>
      <c r="BI163" s="15"/>
      <c r="BS163" s="80"/>
      <c r="BT163" s="81"/>
      <c r="BU163" s="15"/>
      <c r="BV163" s="15"/>
      <c r="BW163" s="15"/>
      <c r="CA163" s="45"/>
      <c r="CD163" s="45"/>
      <c r="CG163" s="80"/>
      <c r="CH163" s="81"/>
      <c r="CI163" s="15"/>
      <c r="CJ163" s="15"/>
      <c r="CK163" s="15"/>
      <c r="CO163" s="45"/>
      <c r="CR163" s="45"/>
    </row>
    <row r="164" spans="1:96" s="18" customFormat="1" ht="15" customHeight="1">
      <c r="A164" s="78">
        <v>2006</v>
      </c>
      <c r="B164" s="79" t="s">
        <v>38</v>
      </c>
      <c r="C164" s="15">
        <f t="shared" si="46"/>
        <v>0.84494855004677272</v>
      </c>
      <c r="D164" s="15">
        <f t="shared" si="47"/>
        <v>0.89342235410484672</v>
      </c>
      <c r="E164" s="15">
        <f t="shared" si="48"/>
        <v>0.94574368568755851</v>
      </c>
      <c r="F164" s="57"/>
      <c r="G164" s="34"/>
      <c r="H164" s="57">
        <f>+V164+AJ164+AX164+BL164+BS_GC_MP_Vill[[#This Row],[Trenes Programados]]</f>
        <v>4276</v>
      </c>
      <c r="I164" s="16">
        <f t="shared" si="73"/>
        <v>232</v>
      </c>
      <c r="J164" s="57">
        <f>+X164+AL164+AZ164+BN164+BS_GC_MP_Vill[[#This Row],[Trenes Corridos]]</f>
        <v>4044</v>
      </c>
      <c r="K164" s="57">
        <f>+Y164+AM164+BA164+BO164+BS_GC_MP_Vill[[#This Row],[Trenes Puntuales]]</f>
        <v>3613</v>
      </c>
      <c r="L164" s="16">
        <f t="shared" si="66"/>
        <v>431</v>
      </c>
      <c r="M164" s="16"/>
      <c r="N164" s="16"/>
      <c r="O164" s="78">
        <v>2006</v>
      </c>
      <c r="P164" s="79" t="s">
        <v>38</v>
      </c>
      <c r="Q164" s="15">
        <f t="shared" si="50"/>
        <v>0.84771956275914062</v>
      </c>
      <c r="R164" s="15">
        <f t="shared" si="51"/>
        <v>0.89959999999999996</v>
      </c>
      <c r="S164" s="15">
        <f t="shared" si="52"/>
        <v>0.94232943837165473</v>
      </c>
      <c r="T164" s="16"/>
      <c r="U164" s="16"/>
      <c r="V164" s="16">
        <v>2653</v>
      </c>
      <c r="W164" s="16">
        <f t="shared" si="67"/>
        <v>153</v>
      </c>
      <c r="X164" s="16">
        <v>2500</v>
      </c>
      <c r="Y164" s="16">
        <v>2249</v>
      </c>
      <c r="Z164" s="16">
        <f t="shared" si="68"/>
        <v>251</v>
      </c>
      <c r="AA164" s="16"/>
      <c r="AB164" s="16"/>
      <c r="AC164" s="78">
        <v>2006</v>
      </c>
      <c r="AD164" s="79" t="s">
        <v>38</v>
      </c>
      <c r="AE164" s="15">
        <f t="shared" si="54"/>
        <v>0.83272727272727276</v>
      </c>
      <c r="AF164" s="15">
        <f t="shared" si="55"/>
        <v>0.87006079027355621</v>
      </c>
      <c r="AG164" s="15">
        <f t="shared" si="56"/>
        <v>0.9570909090909091</v>
      </c>
      <c r="AH164" s="16"/>
      <c r="AI164" s="16"/>
      <c r="AJ164" s="16">
        <v>1375</v>
      </c>
      <c r="AK164" s="16">
        <f t="shared" si="69"/>
        <v>59</v>
      </c>
      <c r="AL164" s="16">
        <v>1316</v>
      </c>
      <c r="AM164" s="16">
        <v>1145</v>
      </c>
      <c r="AN164" s="16">
        <f t="shared" si="70"/>
        <v>171</v>
      </c>
      <c r="AO164" s="16"/>
      <c r="AP164" s="16"/>
      <c r="AQ164" s="78">
        <v>2006</v>
      </c>
      <c r="AR164" s="79" t="s">
        <v>38</v>
      </c>
      <c r="AS164" s="15">
        <f t="shared" si="58"/>
        <v>0.88306451612903225</v>
      </c>
      <c r="AT164" s="15">
        <f t="shared" si="59"/>
        <v>0.96052631578947367</v>
      </c>
      <c r="AU164" s="15">
        <f t="shared" si="60"/>
        <v>0.91935483870967738</v>
      </c>
      <c r="AV164" s="15"/>
      <c r="AW164" s="15"/>
      <c r="AX164" s="16">
        <v>248</v>
      </c>
      <c r="AY164" s="16">
        <f t="shared" si="71"/>
        <v>20</v>
      </c>
      <c r="AZ164" s="16">
        <v>228</v>
      </c>
      <c r="BA164" s="16">
        <v>219</v>
      </c>
      <c r="BB164" s="16">
        <f t="shared" si="72"/>
        <v>9</v>
      </c>
      <c r="BC164" s="16"/>
      <c r="BD164" s="16"/>
      <c r="BE164" s="78"/>
      <c r="BF164" s="79"/>
      <c r="BG164" s="15"/>
      <c r="BH164" s="15"/>
      <c r="BI164" s="15"/>
      <c r="BS164" s="78"/>
      <c r="BT164" s="79"/>
      <c r="BU164" s="15"/>
      <c r="BV164" s="15"/>
      <c r="BW164" s="15"/>
      <c r="CA164" s="45"/>
      <c r="CD164" s="45"/>
      <c r="CG164" s="78"/>
      <c r="CH164" s="79"/>
      <c r="CI164" s="15"/>
      <c r="CJ164" s="15"/>
      <c r="CK164" s="15"/>
      <c r="CO164" s="45"/>
      <c r="CR164" s="45"/>
    </row>
    <row r="165" spans="1:96" s="18" customFormat="1" ht="15" customHeight="1">
      <c r="A165" s="80">
        <v>2006</v>
      </c>
      <c r="B165" s="81" t="s">
        <v>39</v>
      </c>
      <c r="C165" s="15">
        <f t="shared" si="46"/>
        <v>0.90518084066471161</v>
      </c>
      <c r="D165" s="15">
        <f t="shared" si="47"/>
        <v>0.93158953722334004</v>
      </c>
      <c r="E165" s="15">
        <f t="shared" si="48"/>
        <v>0.97165200391006845</v>
      </c>
      <c r="F165" s="57"/>
      <c r="G165" s="34"/>
      <c r="H165" s="57">
        <f>+V165+AJ165+AX165+BL165+BS_GC_MP_Vill[[#This Row],[Trenes Programados]]</f>
        <v>4092</v>
      </c>
      <c r="I165" s="16">
        <f t="shared" si="73"/>
        <v>116</v>
      </c>
      <c r="J165" s="57">
        <f>+X165+AL165+AZ165+BN165+BS_GC_MP_Vill[[#This Row],[Trenes Corridos]]</f>
        <v>3976</v>
      </c>
      <c r="K165" s="57">
        <f>+Y165+AM165+BA165+BO165+BS_GC_MP_Vill[[#This Row],[Trenes Puntuales]]</f>
        <v>3704</v>
      </c>
      <c r="L165" s="16">
        <f t="shared" si="66"/>
        <v>272</v>
      </c>
      <c r="M165" s="16"/>
      <c r="N165" s="16"/>
      <c r="O165" s="80">
        <v>2006</v>
      </c>
      <c r="P165" s="81" t="s">
        <v>39</v>
      </c>
      <c r="Q165" s="15">
        <f t="shared" si="50"/>
        <v>0.90657165479018209</v>
      </c>
      <c r="R165" s="15">
        <f t="shared" si="51"/>
        <v>0.93089430894308944</v>
      </c>
      <c r="S165" s="15">
        <f t="shared" si="52"/>
        <v>0.97387173396674587</v>
      </c>
      <c r="T165" s="16"/>
      <c r="U165" s="16"/>
      <c r="V165" s="16">
        <v>2526</v>
      </c>
      <c r="W165" s="16">
        <f t="shared" si="67"/>
        <v>66</v>
      </c>
      <c r="X165" s="16">
        <v>2460</v>
      </c>
      <c r="Y165" s="16">
        <v>2290</v>
      </c>
      <c r="Z165" s="16">
        <f t="shared" si="68"/>
        <v>170</v>
      </c>
      <c r="AA165" s="16"/>
      <c r="AB165" s="16"/>
      <c r="AC165" s="80">
        <v>2006</v>
      </c>
      <c r="AD165" s="81" t="s">
        <v>39</v>
      </c>
      <c r="AE165" s="15">
        <f t="shared" si="54"/>
        <v>0.90497737556561086</v>
      </c>
      <c r="AF165" s="15">
        <f t="shared" si="55"/>
        <v>0.92807424593967514</v>
      </c>
      <c r="AG165" s="15">
        <f t="shared" si="56"/>
        <v>0.97511312217194568</v>
      </c>
      <c r="AH165" s="16"/>
      <c r="AI165" s="16"/>
      <c r="AJ165" s="16">
        <v>1326</v>
      </c>
      <c r="AK165" s="16">
        <f t="shared" si="69"/>
        <v>33</v>
      </c>
      <c r="AL165" s="16">
        <v>1293</v>
      </c>
      <c r="AM165" s="16">
        <v>1200</v>
      </c>
      <c r="AN165" s="16">
        <f t="shared" si="70"/>
        <v>93</v>
      </c>
      <c r="AO165" s="16"/>
      <c r="AP165" s="16"/>
      <c r="AQ165" s="80">
        <v>2006</v>
      </c>
      <c r="AR165" s="81" t="s">
        <v>39</v>
      </c>
      <c r="AS165" s="15">
        <f t="shared" si="58"/>
        <v>0.89166666666666672</v>
      </c>
      <c r="AT165" s="15">
        <f t="shared" si="59"/>
        <v>0.95964125560538116</v>
      </c>
      <c r="AU165" s="15">
        <f t="shared" si="60"/>
        <v>0.9291666666666667</v>
      </c>
      <c r="AV165" s="15"/>
      <c r="AW165" s="15"/>
      <c r="AX165" s="16">
        <v>240</v>
      </c>
      <c r="AY165" s="16">
        <f t="shared" si="71"/>
        <v>17</v>
      </c>
      <c r="AZ165" s="16">
        <v>223</v>
      </c>
      <c r="BA165" s="16">
        <v>214</v>
      </c>
      <c r="BB165" s="16">
        <f t="shared" si="72"/>
        <v>9</v>
      </c>
      <c r="BC165" s="16"/>
      <c r="BD165" s="16"/>
      <c r="BE165" s="80"/>
      <c r="BF165" s="81"/>
      <c r="BG165" s="15"/>
      <c r="BH165" s="15"/>
      <c r="BI165" s="15"/>
      <c r="BS165" s="80"/>
      <c r="BT165" s="81"/>
      <c r="BU165" s="15"/>
      <c r="BV165" s="15"/>
      <c r="BW165" s="15"/>
      <c r="CA165" s="45"/>
      <c r="CD165" s="45"/>
      <c r="CG165" s="80"/>
      <c r="CH165" s="81"/>
      <c r="CI165" s="15"/>
      <c r="CJ165" s="15"/>
      <c r="CK165" s="15"/>
      <c r="CO165" s="45"/>
      <c r="CR165" s="45"/>
    </row>
    <row r="166" spans="1:96" s="18" customFormat="1" ht="15" customHeight="1">
      <c r="A166" s="78">
        <v>2006</v>
      </c>
      <c r="B166" s="79" t="s">
        <v>40</v>
      </c>
      <c r="C166" s="15">
        <f t="shared" si="46"/>
        <v>0.8543872030110562</v>
      </c>
      <c r="D166" s="15">
        <f t="shared" si="47"/>
        <v>0.90213611525086934</v>
      </c>
      <c r="E166" s="15">
        <f t="shared" si="48"/>
        <v>0.94707127734650676</v>
      </c>
      <c r="F166" s="57"/>
      <c r="G166" s="34"/>
      <c r="H166" s="57">
        <f>+V166+AJ166+AX166+BL166+BS_GC_MP_Vill[[#This Row],[Trenes Programados]]</f>
        <v>4251</v>
      </c>
      <c r="I166" s="16">
        <f t="shared" si="73"/>
        <v>225</v>
      </c>
      <c r="J166" s="57">
        <f>+X166+AL166+AZ166+BN166+BS_GC_MP_Vill[[#This Row],[Trenes Corridos]]</f>
        <v>4026</v>
      </c>
      <c r="K166" s="57">
        <f>+Y166+AM166+BA166+BO166+BS_GC_MP_Vill[[#This Row],[Trenes Puntuales]]</f>
        <v>3632</v>
      </c>
      <c r="L166" s="16">
        <f t="shared" si="66"/>
        <v>394</v>
      </c>
      <c r="M166" s="16"/>
      <c r="N166" s="16"/>
      <c r="O166" s="78">
        <v>2006</v>
      </c>
      <c r="P166" s="79" t="s">
        <v>40</v>
      </c>
      <c r="Q166" s="15">
        <f t="shared" si="50"/>
        <v>0.87386018237082064</v>
      </c>
      <c r="R166" s="15">
        <f t="shared" si="51"/>
        <v>0.90694006309148267</v>
      </c>
      <c r="S166" s="15">
        <f t="shared" si="52"/>
        <v>0.96352583586626139</v>
      </c>
      <c r="T166" s="16"/>
      <c r="U166" s="16"/>
      <c r="V166" s="16">
        <v>2632</v>
      </c>
      <c r="W166" s="16">
        <f t="shared" si="67"/>
        <v>96</v>
      </c>
      <c r="X166" s="16">
        <v>2536</v>
      </c>
      <c r="Y166" s="16">
        <v>2300</v>
      </c>
      <c r="Z166" s="16">
        <f t="shared" si="68"/>
        <v>236</v>
      </c>
      <c r="AA166" s="16"/>
      <c r="AB166" s="16"/>
      <c r="AC166" s="78">
        <v>2006</v>
      </c>
      <c r="AD166" s="79" t="s">
        <v>40</v>
      </c>
      <c r="AE166" s="15">
        <f t="shared" si="54"/>
        <v>0.83880379285193285</v>
      </c>
      <c r="AF166" s="15">
        <f t="shared" si="55"/>
        <v>0.88325652841781876</v>
      </c>
      <c r="AG166" s="15">
        <f t="shared" si="56"/>
        <v>0.94967177242888401</v>
      </c>
      <c r="AH166" s="16"/>
      <c r="AI166" s="16"/>
      <c r="AJ166" s="16">
        <v>1371</v>
      </c>
      <c r="AK166" s="16">
        <f t="shared" si="69"/>
        <v>69</v>
      </c>
      <c r="AL166" s="16">
        <v>1302</v>
      </c>
      <c r="AM166" s="16">
        <v>1150</v>
      </c>
      <c r="AN166" s="16">
        <f t="shared" si="70"/>
        <v>152</v>
      </c>
      <c r="AO166" s="16"/>
      <c r="AP166" s="16"/>
      <c r="AQ166" s="78">
        <v>2006</v>
      </c>
      <c r="AR166" s="79" t="s">
        <v>40</v>
      </c>
      <c r="AS166" s="15">
        <f t="shared" si="58"/>
        <v>0.7338709677419355</v>
      </c>
      <c r="AT166" s="15">
        <f t="shared" si="59"/>
        <v>0.96808510638297873</v>
      </c>
      <c r="AU166" s="15">
        <f t="shared" si="60"/>
        <v>0.75806451612903225</v>
      </c>
      <c r="AV166" s="15"/>
      <c r="AW166" s="15"/>
      <c r="AX166" s="16">
        <v>248</v>
      </c>
      <c r="AY166" s="16">
        <f t="shared" si="71"/>
        <v>60</v>
      </c>
      <c r="AZ166" s="16">
        <v>188</v>
      </c>
      <c r="BA166" s="16">
        <v>182</v>
      </c>
      <c r="BB166" s="16">
        <f t="shared" si="72"/>
        <v>6</v>
      </c>
      <c r="BC166" s="16"/>
      <c r="BD166" s="16"/>
      <c r="BE166" s="78"/>
      <c r="BF166" s="79"/>
      <c r="BG166" s="15"/>
      <c r="BH166" s="15"/>
      <c r="BI166" s="15"/>
      <c r="BS166" s="78"/>
      <c r="BT166" s="79"/>
      <c r="BU166" s="15"/>
      <c r="BV166" s="15"/>
      <c r="BW166" s="15"/>
      <c r="CA166" s="45"/>
      <c r="CD166" s="45"/>
      <c r="CG166" s="78"/>
      <c r="CH166" s="79"/>
      <c r="CI166" s="15"/>
      <c r="CJ166" s="15"/>
      <c r="CK166" s="15"/>
      <c r="CO166" s="45"/>
      <c r="CR166" s="45"/>
    </row>
    <row r="167" spans="1:96" s="18" customFormat="1" ht="15" customHeight="1">
      <c r="A167" s="80">
        <v>2006</v>
      </c>
      <c r="B167" s="81" t="s">
        <v>41</v>
      </c>
      <c r="C167" s="15">
        <f t="shared" si="46"/>
        <v>0.87055407694168885</v>
      </c>
      <c r="D167" s="15">
        <f t="shared" si="47"/>
        <v>0.91459074733096091</v>
      </c>
      <c r="E167" s="15">
        <f t="shared" si="48"/>
        <v>0.95185095572223566</v>
      </c>
      <c r="F167" s="57"/>
      <c r="G167" s="34"/>
      <c r="H167" s="57">
        <f>+V167+AJ167+AX167+BL167+BS_GC_MP_Vill[[#This Row],[Trenes Programados]]</f>
        <v>4133</v>
      </c>
      <c r="I167" s="16">
        <f t="shared" si="73"/>
        <v>199</v>
      </c>
      <c r="J167" s="57">
        <f>+X167+AL167+AZ167+BN167+BS_GC_MP_Vill[[#This Row],[Trenes Corridos]]</f>
        <v>3934</v>
      </c>
      <c r="K167" s="57">
        <f>+Y167+AM167+BA167+BO167+BS_GC_MP_Vill[[#This Row],[Trenes Puntuales]]</f>
        <v>3598</v>
      </c>
      <c r="L167" s="16">
        <f t="shared" si="66"/>
        <v>336</v>
      </c>
      <c r="M167" s="16"/>
      <c r="N167" s="16"/>
      <c r="O167" s="80">
        <v>2006</v>
      </c>
      <c r="P167" s="81" t="s">
        <v>41</v>
      </c>
      <c r="Q167" s="15">
        <f t="shared" si="50"/>
        <v>0.8845103394459618</v>
      </c>
      <c r="R167" s="15">
        <f t="shared" si="51"/>
        <v>0.91595959595959597</v>
      </c>
      <c r="S167" s="15">
        <f t="shared" si="52"/>
        <v>0.96566523605150212</v>
      </c>
      <c r="T167" s="16"/>
      <c r="U167" s="16"/>
      <c r="V167" s="16">
        <v>2563</v>
      </c>
      <c r="W167" s="16">
        <f t="shared" si="67"/>
        <v>88</v>
      </c>
      <c r="X167" s="16">
        <v>2475</v>
      </c>
      <c r="Y167" s="16">
        <v>2267</v>
      </c>
      <c r="Z167" s="16">
        <f t="shared" si="68"/>
        <v>208</v>
      </c>
      <c r="AA167" s="16"/>
      <c r="AB167" s="16"/>
      <c r="AC167" s="80">
        <v>2006</v>
      </c>
      <c r="AD167" s="81" t="s">
        <v>41</v>
      </c>
      <c r="AE167" s="15">
        <f t="shared" si="54"/>
        <v>0.84586466165413532</v>
      </c>
      <c r="AF167" s="15">
        <f t="shared" si="55"/>
        <v>0.90216519647153171</v>
      </c>
      <c r="AG167" s="15">
        <f t="shared" si="56"/>
        <v>0.93759398496240598</v>
      </c>
      <c r="AH167" s="16"/>
      <c r="AI167" s="16"/>
      <c r="AJ167" s="16">
        <v>1330</v>
      </c>
      <c r="AK167" s="16">
        <f t="shared" si="69"/>
        <v>83</v>
      </c>
      <c r="AL167" s="16">
        <v>1247</v>
      </c>
      <c r="AM167" s="16">
        <v>1125</v>
      </c>
      <c r="AN167" s="16">
        <f t="shared" si="70"/>
        <v>122</v>
      </c>
      <c r="AO167" s="16"/>
      <c r="AP167" s="16"/>
      <c r="AQ167" s="80">
        <v>2006</v>
      </c>
      <c r="AR167" s="81" t="s">
        <v>41</v>
      </c>
      <c r="AS167" s="15">
        <f t="shared" si="58"/>
        <v>0.85833333333333328</v>
      </c>
      <c r="AT167" s="15">
        <f t="shared" si="59"/>
        <v>0.97169811320754718</v>
      </c>
      <c r="AU167" s="15">
        <f t="shared" si="60"/>
        <v>0.8833333333333333</v>
      </c>
      <c r="AV167" s="15"/>
      <c r="AW167" s="15"/>
      <c r="AX167" s="16">
        <v>240</v>
      </c>
      <c r="AY167" s="16">
        <f t="shared" si="71"/>
        <v>28</v>
      </c>
      <c r="AZ167" s="16">
        <v>212</v>
      </c>
      <c r="BA167" s="16">
        <v>206</v>
      </c>
      <c r="BB167" s="16">
        <f t="shared" si="72"/>
        <v>6</v>
      </c>
      <c r="BC167" s="16"/>
      <c r="BD167" s="16"/>
      <c r="BE167" s="80"/>
      <c r="BF167" s="81"/>
      <c r="BG167" s="15"/>
      <c r="BH167" s="15"/>
      <c r="BI167" s="15"/>
      <c r="BS167" s="80"/>
      <c r="BT167" s="81"/>
      <c r="BU167" s="15"/>
      <c r="BV167" s="15"/>
      <c r="BW167" s="15"/>
      <c r="CA167" s="45"/>
      <c r="CD167" s="45"/>
      <c r="CG167" s="80"/>
      <c r="CH167" s="81"/>
      <c r="CI167" s="15"/>
      <c r="CJ167" s="15"/>
      <c r="CK167" s="15"/>
      <c r="CO167" s="45"/>
      <c r="CR167" s="45"/>
    </row>
    <row r="168" spans="1:96" s="18" customFormat="1" ht="15" customHeight="1">
      <c r="A168" s="78">
        <v>2006</v>
      </c>
      <c r="B168" s="79" t="s">
        <v>42</v>
      </c>
      <c r="C168" s="15">
        <f t="shared" si="46"/>
        <v>0.88074039362699152</v>
      </c>
      <c r="D168" s="15">
        <f t="shared" si="47"/>
        <v>0.94210526315789478</v>
      </c>
      <c r="E168" s="15">
        <f t="shared" si="48"/>
        <v>0.93486410496719774</v>
      </c>
      <c r="F168" s="57"/>
      <c r="G168" s="34"/>
      <c r="H168" s="57">
        <f>+V168+AJ168+AX168+BL168+BS_GC_MP_Vill[[#This Row],[Trenes Programados]]</f>
        <v>4268</v>
      </c>
      <c r="I168" s="16">
        <f t="shared" si="73"/>
        <v>278</v>
      </c>
      <c r="J168" s="57">
        <f>+X168+AL168+AZ168+BN168+BS_GC_MP_Vill[[#This Row],[Trenes Corridos]]</f>
        <v>3990</v>
      </c>
      <c r="K168" s="57">
        <f>+Y168+AM168+BA168+BO168+BS_GC_MP_Vill[[#This Row],[Trenes Puntuales]]</f>
        <v>3759</v>
      </c>
      <c r="L168" s="16">
        <f t="shared" si="66"/>
        <v>231</v>
      </c>
      <c r="M168" s="16"/>
      <c r="N168" s="16"/>
      <c r="O168" s="78">
        <v>2006</v>
      </c>
      <c r="P168" s="79" t="s">
        <v>42</v>
      </c>
      <c r="Q168" s="15">
        <f t="shared" si="50"/>
        <v>0.89376181474480154</v>
      </c>
      <c r="R168" s="15">
        <f t="shared" si="51"/>
        <v>0.94825511432009624</v>
      </c>
      <c r="S168" s="15">
        <f t="shared" si="52"/>
        <v>0.94253308128544422</v>
      </c>
      <c r="T168" s="16"/>
      <c r="U168" s="16"/>
      <c r="V168" s="16">
        <v>2645</v>
      </c>
      <c r="W168" s="16">
        <f t="shared" si="67"/>
        <v>152</v>
      </c>
      <c r="X168" s="16">
        <v>2493</v>
      </c>
      <c r="Y168" s="16">
        <v>2364</v>
      </c>
      <c r="Z168" s="16">
        <f t="shared" si="68"/>
        <v>129</v>
      </c>
      <c r="AA168" s="16"/>
      <c r="AB168" s="16"/>
      <c r="AC168" s="78">
        <v>2006</v>
      </c>
      <c r="AD168" s="79" t="s">
        <v>42</v>
      </c>
      <c r="AE168" s="15">
        <f t="shared" si="54"/>
        <v>0.86109090909090913</v>
      </c>
      <c r="AF168" s="15">
        <f t="shared" si="55"/>
        <v>0.92355694227769114</v>
      </c>
      <c r="AG168" s="15">
        <f t="shared" si="56"/>
        <v>0.93236363636363639</v>
      </c>
      <c r="AH168" s="16"/>
      <c r="AI168" s="16"/>
      <c r="AJ168" s="16">
        <v>1375</v>
      </c>
      <c r="AK168" s="16">
        <f t="shared" si="69"/>
        <v>93</v>
      </c>
      <c r="AL168" s="16">
        <v>1282</v>
      </c>
      <c r="AM168" s="16">
        <v>1184</v>
      </c>
      <c r="AN168" s="16">
        <f t="shared" si="70"/>
        <v>98</v>
      </c>
      <c r="AO168" s="16"/>
      <c r="AP168" s="16"/>
      <c r="AQ168" s="78">
        <v>2006</v>
      </c>
      <c r="AR168" s="79" t="s">
        <v>42</v>
      </c>
      <c r="AS168" s="15">
        <f t="shared" si="58"/>
        <v>0.85080645161290325</v>
      </c>
      <c r="AT168" s="15">
        <f t="shared" si="59"/>
        <v>0.98139534883720925</v>
      </c>
      <c r="AU168" s="15">
        <f t="shared" si="60"/>
        <v>0.86693548387096775</v>
      </c>
      <c r="AV168" s="15"/>
      <c r="AW168" s="15"/>
      <c r="AX168" s="16">
        <v>248</v>
      </c>
      <c r="AY168" s="16">
        <f t="shared" si="71"/>
        <v>33</v>
      </c>
      <c r="AZ168" s="16">
        <v>215</v>
      </c>
      <c r="BA168" s="16">
        <v>211</v>
      </c>
      <c r="BB168" s="16">
        <f t="shared" si="72"/>
        <v>4</v>
      </c>
      <c r="BC168" s="16"/>
      <c r="BD168" s="16"/>
      <c r="BE168" s="78"/>
      <c r="BF168" s="79"/>
      <c r="BG168" s="15"/>
      <c r="BH168" s="15"/>
      <c r="BI168" s="15"/>
      <c r="BS168" s="78"/>
      <c r="BT168" s="79"/>
      <c r="BU168" s="15"/>
      <c r="BV168" s="15"/>
      <c r="BW168" s="15"/>
      <c r="CA168" s="45"/>
      <c r="CD168" s="45"/>
      <c r="CG168" s="78"/>
      <c r="CH168" s="79"/>
      <c r="CI168" s="15"/>
      <c r="CJ168" s="15"/>
      <c r="CK168" s="15"/>
      <c r="CO168" s="45"/>
      <c r="CR168" s="45"/>
    </row>
    <row r="169" spans="1:96" s="18" customFormat="1" ht="15" customHeight="1">
      <c r="A169" s="80">
        <v>2006</v>
      </c>
      <c r="B169" s="81" t="s">
        <v>43</v>
      </c>
      <c r="C169" s="15">
        <f t="shared" si="46"/>
        <v>0.87207670720299346</v>
      </c>
      <c r="D169" s="15">
        <f t="shared" si="47"/>
        <v>0.91509202453987726</v>
      </c>
      <c r="E169" s="15">
        <f t="shared" si="48"/>
        <v>0.95299345182413475</v>
      </c>
      <c r="F169" s="57"/>
      <c r="G169" s="34"/>
      <c r="H169" s="57">
        <f>+V169+AJ169+AX169+BL169+BS_GC_MP_Vill[[#This Row],[Trenes Programados]]</f>
        <v>4276</v>
      </c>
      <c r="I169" s="16">
        <f t="shared" si="73"/>
        <v>201</v>
      </c>
      <c r="J169" s="57">
        <f>+X169+AL169+AZ169+BN169+BS_GC_MP_Vill[[#This Row],[Trenes Corridos]]</f>
        <v>4075</v>
      </c>
      <c r="K169" s="57">
        <f>+Y169+AM169+BA169+BO169+BS_GC_MP_Vill[[#This Row],[Trenes Puntuales]]</f>
        <v>3729</v>
      </c>
      <c r="L169" s="16">
        <f t="shared" si="66"/>
        <v>346</v>
      </c>
      <c r="M169" s="16"/>
      <c r="N169" s="16"/>
      <c r="O169" s="80">
        <v>2006</v>
      </c>
      <c r="P169" s="81" t="s">
        <v>43</v>
      </c>
      <c r="Q169" s="15">
        <f t="shared" si="50"/>
        <v>0.89219751225028265</v>
      </c>
      <c r="R169" s="15">
        <f t="shared" si="51"/>
        <v>0.92388758782201408</v>
      </c>
      <c r="S169" s="15">
        <f t="shared" si="52"/>
        <v>0.96569920844327173</v>
      </c>
      <c r="T169" s="16"/>
      <c r="U169" s="16"/>
      <c r="V169" s="16">
        <v>2653</v>
      </c>
      <c r="W169" s="16">
        <f t="shared" si="67"/>
        <v>91</v>
      </c>
      <c r="X169" s="16">
        <v>2562</v>
      </c>
      <c r="Y169" s="16">
        <v>2367</v>
      </c>
      <c r="Z169" s="16">
        <f t="shared" si="68"/>
        <v>195</v>
      </c>
      <c r="AA169" s="16"/>
      <c r="AB169" s="16"/>
      <c r="AC169" s="80">
        <v>2006</v>
      </c>
      <c r="AD169" s="81" t="s">
        <v>43</v>
      </c>
      <c r="AE169" s="15">
        <f t="shared" si="54"/>
        <v>0.84218181818181814</v>
      </c>
      <c r="AF169" s="15">
        <f t="shared" si="55"/>
        <v>0.89076923076923076</v>
      </c>
      <c r="AG169" s="15">
        <f t="shared" si="56"/>
        <v>0.94545454545454544</v>
      </c>
      <c r="AH169" s="16"/>
      <c r="AI169" s="16"/>
      <c r="AJ169" s="16">
        <v>1375</v>
      </c>
      <c r="AK169" s="16">
        <f t="shared" si="69"/>
        <v>75</v>
      </c>
      <c r="AL169" s="16">
        <v>1300</v>
      </c>
      <c r="AM169" s="16">
        <v>1158</v>
      </c>
      <c r="AN169" s="16">
        <f t="shared" si="70"/>
        <v>142</v>
      </c>
      <c r="AO169" s="16"/>
      <c r="AP169" s="16"/>
      <c r="AQ169" s="80">
        <v>2006</v>
      </c>
      <c r="AR169" s="81" t="s">
        <v>43</v>
      </c>
      <c r="AS169" s="15">
        <f t="shared" si="58"/>
        <v>0.82258064516129037</v>
      </c>
      <c r="AT169" s="15">
        <f t="shared" si="59"/>
        <v>0.95774647887323938</v>
      </c>
      <c r="AU169" s="15">
        <f t="shared" si="60"/>
        <v>0.8588709677419355</v>
      </c>
      <c r="AV169" s="15"/>
      <c r="AW169" s="15"/>
      <c r="AX169" s="16">
        <v>248</v>
      </c>
      <c r="AY169" s="16">
        <f t="shared" si="71"/>
        <v>35</v>
      </c>
      <c r="AZ169" s="16">
        <v>213</v>
      </c>
      <c r="BA169" s="16">
        <v>204</v>
      </c>
      <c r="BB169" s="16">
        <f t="shared" si="72"/>
        <v>9</v>
      </c>
      <c r="BC169" s="16"/>
      <c r="BD169" s="16"/>
      <c r="BE169" s="80"/>
      <c r="BF169" s="81"/>
      <c r="BG169" s="15"/>
      <c r="BH169" s="15"/>
      <c r="BI169" s="15"/>
      <c r="BS169" s="80"/>
      <c r="BT169" s="81"/>
      <c r="BU169" s="15"/>
      <c r="BV169" s="15"/>
      <c r="BW169" s="15"/>
      <c r="CA169" s="45"/>
      <c r="CD169" s="45"/>
      <c r="CG169" s="80"/>
      <c r="CH169" s="81"/>
      <c r="CI169" s="15"/>
      <c r="CJ169" s="15"/>
      <c r="CK169" s="15"/>
      <c r="CO169" s="45"/>
      <c r="CR169" s="45"/>
    </row>
    <row r="170" spans="1:96" s="18" customFormat="1" ht="15" customHeight="1">
      <c r="A170" s="78">
        <v>2006</v>
      </c>
      <c r="B170" s="79" t="s">
        <v>44</v>
      </c>
      <c r="C170" s="15">
        <f t="shared" si="46"/>
        <v>0.83397590361445784</v>
      </c>
      <c r="D170" s="15">
        <f t="shared" si="47"/>
        <v>0.90318371607515657</v>
      </c>
      <c r="E170" s="15">
        <f t="shared" si="48"/>
        <v>0.92337349397590363</v>
      </c>
      <c r="F170" s="57"/>
      <c r="G170" s="34"/>
      <c r="H170" s="57">
        <f>+V170+AJ170+AX170+BL170+BS_GC_MP_Vill[[#This Row],[Trenes Programados]]</f>
        <v>4150</v>
      </c>
      <c r="I170" s="16">
        <f t="shared" si="73"/>
        <v>318</v>
      </c>
      <c r="J170" s="57">
        <f>+X170+AL170+AZ170+BN170+BS_GC_MP_Vill[[#This Row],[Trenes Corridos]]</f>
        <v>3832</v>
      </c>
      <c r="K170" s="57">
        <f>+Y170+AM170+BA170+BO170+BS_GC_MP_Vill[[#This Row],[Trenes Puntuales]]</f>
        <v>3461</v>
      </c>
      <c r="L170" s="16">
        <f t="shared" si="66"/>
        <v>371</v>
      </c>
      <c r="M170" s="16"/>
      <c r="N170" s="16"/>
      <c r="O170" s="78">
        <v>2006</v>
      </c>
      <c r="P170" s="79" t="s">
        <v>44</v>
      </c>
      <c r="Q170" s="15">
        <f t="shared" si="50"/>
        <v>0.83579192546583847</v>
      </c>
      <c r="R170" s="15">
        <f t="shared" si="51"/>
        <v>0.89670970428987917</v>
      </c>
      <c r="S170" s="15">
        <f t="shared" si="52"/>
        <v>0.93206521739130432</v>
      </c>
      <c r="T170" s="16"/>
      <c r="U170" s="16"/>
      <c r="V170" s="16">
        <v>2576</v>
      </c>
      <c r="W170" s="16">
        <f t="shared" si="67"/>
        <v>175</v>
      </c>
      <c r="X170" s="16">
        <v>2401</v>
      </c>
      <c r="Y170" s="16">
        <v>2153</v>
      </c>
      <c r="Z170" s="16">
        <f t="shared" si="68"/>
        <v>248</v>
      </c>
      <c r="AA170" s="16"/>
      <c r="AB170" s="16"/>
      <c r="AC170" s="78">
        <v>2006</v>
      </c>
      <c r="AD170" s="79" t="s">
        <v>44</v>
      </c>
      <c r="AE170" s="15">
        <f t="shared" si="54"/>
        <v>0.83283358320839584</v>
      </c>
      <c r="AF170" s="15">
        <f t="shared" si="55"/>
        <v>0.9017857142857143</v>
      </c>
      <c r="AG170" s="15">
        <f t="shared" si="56"/>
        <v>0.92353823088455778</v>
      </c>
      <c r="AH170" s="16"/>
      <c r="AI170" s="16"/>
      <c r="AJ170" s="16">
        <v>1334</v>
      </c>
      <c r="AK170" s="16">
        <f t="shared" si="69"/>
        <v>102</v>
      </c>
      <c r="AL170" s="16">
        <v>1232</v>
      </c>
      <c r="AM170" s="16">
        <v>1111</v>
      </c>
      <c r="AN170" s="16">
        <f t="shared" si="70"/>
        <v>121</v>
      </c>
      <c r="AO170" s="16"/>
      <c r="AP170" s="16"/>
      <c r="AQ170" s="78">
        <v>2006</v>
      </c>
      <c r="AR170" s="79" t="s">
        <v>44</v>
      </c>
      <c r="AS170" s="15">
        <f t="shared" si="58"/>
        <v>0.8208333333333333</v>
      </c>
      <c r="AT170" s="15">
        <f t="shared" si="59"/>
        <v>0.98994974874371855</v>
      </c>
      <c r="AU170" s="15">
        <f t="shared" si="60"/>
        <v>0.82916666666666672</v>
      </c>
      <c r="AV170" s="15"/>
      <c r="AW170" s="15"/>
      <c r="AX170" s="16">
        <v>240</v>
      </c>
      <c r="AY170" s="16">
        <f t="shared" si="71"/>
        <v>41</v>
      </c>
      <c r="AZ170" s="16">
        <v>199</v>
      </c>
      <c r="BA170" s="16">
        <v>197</v>
      </c>
      <c r="BB170" s="16">
        <f t="shared" si="72"/>
        <v>2</v>
      </c>
      <c r="BC170" s="16"/>
      <c r="BD170" s="16"/>
      <c r="BE170" s="78"/>
      <c r="BF170" s="79"/>
      <c r="BG170" s="15"/>
      <c r="BH170" s="15"/>
      <c r="BI170" s="15"/>
      <c r="BS170" s="78"/>
      <c r="BT170" s="79"/>
      <c r="BU170" s="15"/>
      <c r="BV170" s="15"/>
      <c r="BW170" s="15"/>
      <c r="CA170" s="45"/>
      <c r="CD170" s="45"/>
      <c r="CG170" s="78"/>
      <c r="CH170" s="79"/>
      <c r="CI170" s="15"/>
      <c r="CJ170" s="15"/>
      <c r="CK170" s="15"/>
      <c r="CO170" s="45"/>
      <c r="CR170" s="45"/>
    </row>
    <row r="171" spans="1:96" s="18" customFormat="1" ht="15" customHeight="1">
      <c r="A171" s="80">
        <v>2006</v>
      </c>
      <c r="B171" s="81" t="s">
        <v>45</v>
      </c>
      <c r="C171" s="15">
        <f t="shared" si="46"/>
        <v>0.86661961891319694</v>
      </c>
      <c r="D171" s="15">
        <f t="shared" si="47"/>
        <v>0.91278493557978191</v>
      </c>
      <c r="E171" s="15">
        <f t="shared" si="48"/>
        <v>0.94942366501999531</v>
      </c>
      <c r="F171" s="57"/>
      <c r="G171" s="34"/>
      <c r="H171" s="57">
        <f>+V171+AJ171+AX171+BL171+BS_GC_MP_Vill[[#This Row],[Trenes Programados]]</f>
        <v>4251</v>
      </c>
      <c r="I171" s="16">
        <f t="shared" si="73"/>
        <v>215</v>
      </c>
      <c r="J171" s="57">
        <f>+X171+AL171+AZ171+BN171+BS_GC_MP_Vill[[#This Row],[Trenes Corridos]]</f>
        <v>4036</v>
      </c>
      <c r="K171" s="57">
        <f>+Y171+AM171+BA171+BO171+BS_GC_MP_Vill[[#This Row],[Trenes Puntuales]]</f>
        <v>3684</v>
      </c>
      <c r="L171" s="16">
        <f t="shared" si="66"/>
        <v>352</v>
      </c>
      <c r="M171" s="16"/>
      <c r="N171" s="16"/>
      <c r="O171" s="80">
        <v>2006</v>
      </c>
      <c r="P171" s="81" t="s">
        <v>45</v>
      </c>
      <c r="Q171" s="15">
        <f t="shared" si="50"/>
        <v>0.87348024316109418</v>
      </c>
      <c r="R171" s="15">
        <f t="shared" si="51"/>
        <v>0.90618841150965712</v>
      </c>
      <c r="S171" s="15">
        <f t="shared" si="52"/>
        <v>0.96390577507598785</v>
      </c>
      <c r="T171" s="16"/>
      <c r="U171" s="16"/>
      <c r="V171" s="16">
        <v>2632</v>
      </c>
      <c r="W171" s="16">
        <f t="shared" si="67"/>
        <v>95</v>
      </c>
      <c r="X171" s="16">
        <v>2537</v>
      </c>
      <c r="Y171" s="16">
        <v>2299</v>
      </c>
      <c r="Z171" s="16">
        <f t="shared" si="68"/>
        <v>238</v>
      </c>
      <c r="AA171" s="16"/>
      <c r="AB171" s="16"/>
      <c r="AC171" s="80">
        <v>2006</v>
      </c>
      <c r="AD171" s="81" t="s">
        <v>45</v>
      </c>
      <c r="AE171" s="15">
        <f t="shared" si="54"/>
        <v>0.8650619985412108</v>
      </c>
      <c r="AF171" s="15">
        <f t="shared" si="55"/>
        <v>0.91301000769822938</v>
      </c>
      <c r="AG171" s="15">
        <f t="shared" si="56"/>
        <v>0.94748358862144422</v>
      </c>
      <c r="AH171" s="16"/>
      <c r="AI171" s="16"/>
      <c r="AJ171" s="16">
        <v>1371</v>
      </c>
      <c r="AK171" s="16">
        <f t="shared" si="69"/>
        <v>72</v>
      </c>
      <c r="AL171" s="16">
        <v>1299</v>
      </c>
      <c r="AM171" s="16">
        <v>1186</v>
      </c>
      <c r="AN171" s="16">
        <f t="shared" si="70"/>
        <v>113</v>
      </c>
      <c r="AO171" s="16"/>
      <c r="AP171" s="16"/>
      <c r="AQ171" s="80">
        <v>2006</v>
      </c>
      <c r="AR171" s="81" t="s">
        <v>45</v>
      </c>
      <c r="AS171" s="15">
        <f t="shared" si="58"/>
        <v>0.80241935483870963</v>
      </c>
      <c r="AT171" s="15">
        <f t="shared" si="59"/>
        <v>0.995</v>
      </c>
      <c r="AU171" s="15">
        <f t="shared" si="60"/>
        <v>0.80645161290322576</v>
      </c>
      <c r="AV171" s="15"/>
      <c r="AW171" s="15"/>
      <c r="AX171" s="16">
        <v>248</v>
      </c>
      <c r="AY171" s="16">
        <f t="shared" si="71"/>
        <v>48</v>
      </c>
      <c r="AZ171" s="16">
        <v>200</v>
      </c>
      <c r="BA171" s="16">
        <v>199</v>
      </c>
      <c r="BB171" s="16">
        <f t="shared" si="72"/>
        <v>1</v>
      </c>
      <c r="BC171" s="16"/>
      <c r="BD171" s="16"/>
      <c r="BE171" s="80"/>
      <c r="BF171" s="81"/>
      <c r="BG171" s="15"/>
      <c r="BH171" s="15"/>
      <c r="BI171" s="15"/>
      <c r="BS171" s="80"/>
      <c r="BT171" s="81"/>
      <c r="BU171" s="15"/>
      <c r="BV171" s="15"/>
      <c r="BW171" s="15"/>
      <c r="CA171" s="45"/>
      <c r="CD171" s="45"/>
      <c r="CG171" s="80"/>
      <c r="CH171" s="81"/>
      <c r="CI171" s="15"/>
      <c r="CJ171" s="15"/>
      <c r="CK171" s="15"/>
      <c r="CO171" s="45"/>
      <c r="CR171" s="45"/>
    </row>
    <row r="172" spans="1:96" s="18" customFormat="1" ht="15" customHeight="1">
      <c r="A172" s="78">
        <v>2006</v>
      </c>
      <c r="B172" s="79" t="s">
        <v>46</v>
      </c>
      <c r="C172" s="15">
        <f t="shared" si="46"/>
        <v>0.86002886002886003</v>
      </c>
      <c r="D172" s="15">
        <f t="shared" si="47"/>
        <v>0.90211907164480321</v>
      </c>
      <c r="E172" s="15">
        <f t="shared" si="48"/>
        <v>0.95334295334295338</v>
      </c>
      <c r="F172" s="57"/>
      <c r="G172" s="34"/>
      <c r="H172" s="57">
        <f>+V172+AJ172+AX172+BL172+BS_GC_MP_Vill[[#This Row],[Trenes Programados]]</f>
        <v>4158</v>
      </c>
      <c r="I172" s="16">
        <f t="shared" si="73"/>
        <v>194</v>
      </c>
      <c r="J172" s="57">
        <f>+X172+AL172+AZ172+BN172+BS_GC_MP_Vill[[#This Row],[Trenes Corridos]]</f>
        <v>3964</v>
      </c>
      <c r="K172" s="57">
        <f>+Y172+AM172+BA172+BO172+BS_GC_MP_Vill[[#This Row],[Trenes Puntuales]]</f>
        <v>3576</v>
      </c>
      <c r="L172" s="16">
        <f t="shared" si="66"/>
        <v>388</v>
      </c>
      <c r="M172" s="16"/>
      <c r="N172" s="16"/>
      <c r="O172" s="78">
        <v>2006</v>
      </c>
      <c r="P172" s="79" t="s">
        <v>46</v>
      </c>
      <c r="Q172" s="15">
        <f t="shared" si="50"/>
        <v>0.86609907120743035</v>
      </c>
      <c r="R172" s="15">
        <f t="shared" si="51"/>
        <v>0.89951768488745976</v>
      </c>
      <c r="S172" s="15">
        <f t="shared" si="52"/>
        <v>0.96284829721362231</v>
      </c>
      <c r="T172" s="16"/>
      <c r="U172" s="16"/>
      <c r="V172" s="16">
        <v>2584</v>
      </c>
      <c r="W172" s="16">
        <f t="shared" si="67"/>
        <v>96</v>
      </c>
      <c r="X172" s="16">
        <v>2488</v>
      </c>
      <c r="Y172" s="16">
        <v>2238</v>
      </c>
      <c r="Z172" s="16">
        <f t="shared" si="68"/>
        <v>250</v>
      </c>
      <c r="AA172" s="16"/>
      <c r="AB172" s="16"/>
      <c r="AC172" s="78">
        <v>2006</v>
      </c>
      <c r="AD172" s="79" t="s">
        <v>46</v>
      </c>
      <c r="AE172" s="15">
        <f t="shared" si="54"/>
        <v>0.84782608695652173</v>
      </c>
      <c r="AF172" s="15">
        <f t="shared" si="55"/>
        <v>0.89265982636148378</v>
      </c>
      <c r="AG172" s="15">
        <f t="shared" si="56"/>
        <v>0.9497751124437781</v>
      </c>
      <c r="AH172" s="16"/>
      <c r="AI172" s="16"/>
      <c r="AJ172" s="16">
        <v>1334</v>
      </c>
      <c r="AK172" s="16">
        <f t="shared" si="69"/>
        <v>67</v>
      </c>
      <c r="AL172" s="16">
        <v>1267</v>
      </c>
      <c r="AM172" s="16">
        <v>1131</v>
      </c>
      <c r="AN172" s="16">
        <f t="shared" si="70"/>
        <v>136</v>
      </c>
      <c r="AO172" s="16"/>
      <c r="AP172" s="16"/>
      <c r="AQ172" s="78">
        <v>2006</v>
      </c>
      <c r="AR172" s="79" t="s">
        <v>46</v>
      </c>
      <c r="AS172" s="15">
        <f t="shared" si="58"/>
        <v>0.86250000000000004</v>
      </c>
      <c r="AT172" s="15">
        <f t="shared" si="59"/>
        <v>0.99043062200956933</v>
      </c>
      <c r="AU172" s="15">
        <f t="shared" si="60"/>
        <v>0.87083333333333335</v>
      </c>
      <c r="AV172" s="15"/>
      <c r="AW172" s="15"/>
      <c r="AX172" s="16">
        <v>240</v>
      </c>
      <c r="AY172" s="16">
        <f t="shared" si="71"/>
        <v>31</v>
      </c>
      <c r="AZ172" s="16">
        <v>209</v>
      </c>
      <c r="BA172" s="16">
        <v>207</v>
      </c>
      <c r="BB172" s="16">
        <f t="shared" si="72"/>
        <v>2</v>
      </c>
      <c r="BC172" s="16"/>
      <c r="BD172" s="16"/>
      <c r="BE172" s="78"/>
      <c r="BF172" s="79"/>
      <c r="BG172" s="15"/>
      <c r="BH172" s="15"/>
      <c r="BI172" s="15"/>
      <c r="BS172" s="78"/>
      <c r="BT172" s="79"/>
      <c r="BU172" s="15"/>
      <c r="BV172" s="15"/>
      <c r="BW172" s="15"/>
      <c r="CA172" s="45"/>
      <c r="CD172" s="45"/>
      <c r="CG172" s="78"/>
      <c r="CH172" s="79"/>
      <c r="CI172" s="15"/>
      <c r="CJ172" s="15"/>
      <c r="CK172" s="15"/>
      <c r="CO172" s="45"/>
      <c r="CR172" s="45"/>
    </row>
    <row r="173" spans="1:96" s="18" customFormat="1" ht="15" customHeight="1">
      <c r="A173" s="80">
        <v>2006</v>
      </c>
      <c r="B173" s="81" t="s">
        <v>47</v>
      </c>
      <c r="C173" s="15">
        <f t="shared" si="46"/>
        <v>0.853959222380275</v>
      </c>
      <c r="D173" s="15">
        <f t="shared" si="47"/>
        <v>0.8962428464792237</v>
      </c>
      <c r="E173" s="15">
        <f t="shared" si="48"/>
        <v>0.95282124229492648</v>
      </c>
      <c r="F173" s="57"/>
      <c r="G173" s="34"/>
      <c r="H173" s="57">
        <f>+V173+AJ173+AX173+BL173+BS_GC_MP_Vill[[#This Row],[Trenes Programados]]</f>
        <v>4218</v>
      </c>
      <c r="I173" s="16">
        <f t="shared" si="73"/>
        <v>199</v>
      </c>
      <c r="J173" s="57">
        <f>+X173+AL173+AZ173+BN173+BS_GC_MP_Vill[[#This Row],[Trenes Corridos]]</f>
        <v>4019</v>
      </c>
      <c r="K173" s="57">
        <f>+Y173+AM173+BA173+BO173+BS_GC_MP_Vill[[#This Row],[Trenes Puntuales]]</f>
        <v>3602</v>
      </c>
      <c r="L173" s="16">
        <f t="shared" si="66"/>
        <v>417</v>
      </c>
      <c r="M173" s="16"/>
      <c r="N173" s="16"/>
      <c r="O173" s="80">
        <v>2006</v>
      </c>
      <c r="P173" s="81" t="s">
        <v>47</v>
      </c>
      <c r="Q173" s="15">
        <f t="shared" si="50"/>
        <v>0.85324625432193624</v>
      </c>
      <c r="R173" s="15">
        <f t="shared" si="51"/>
        <v>0.89846278317152106</v>
      </c>
      <c r="S173" s="15">
        <f t="shared" si="52"/>
        <v>0.94967345370726086</v>
      </c>
      <c r="T173" s="16"/>
      <c r="U173" s="16"/>
      <c r="V173" s="16">
        <v>2603</v>
      </c>
      <c r="W173" s="16">
        <f t="shared" si="67"/>
        <v>131</v>
      </c>
      <c r="X173" s="16">
        <v>2472</v>
      </c>
      <c r="Y173" s="16">
        <v>2221</v>
      </c>
      <c r="Z173" s="16">
        <f t="shared" si="68"/>
        <v>251</v>
      </c>
      <c r="AA173" s="16"/>
      <c r="AB173" s="16"/>
      <c r="AC173" s="80">
        <v>2006</v>
      </c>
      <c r="AD173" s="81" t="s">
        <v>47</v>
      </c>
      <c r="AE173" s="15">
        <f t="shared" si="54"/>
        <v>0.84418434528163866</v>
      </c>
      <c r="AF173" s="15">
        <f t="shared" si="55"/>
        <v>0.87823439878234399</v>
      </c>
      <c r="AG173" s="15">
        <f t="shared" si="56"/>
        <v>0.96122896854425754</v>
      </c>
      <c r="AH173" s="16"/>
      <c r="AI173" s="16"/>
      <c r="AJ173" s="16">
        <v>1367</v>
      </c>
      <c r="AK173" s="16">
        <f t="shared" si="69"/>
        <v>53</v>
      </c>
      <c r="AL173" s="16">
        <v>1314</v>
      </c>
      <c r="AM173" s="16">
        <v>1154</v>
      </c>
      <c r="AN173" s="16">
        <f t="shared" si="70"/>
        <v>160</v>
      </c>
      <c r="AO173" s="16"/>
      <c r="AP173" s="16"/>
      <c r="AQ173" s="80">
        <v>2006</v>
      </c>
      <c r="AR173" s="81" t="s">
        <v>47</v>
      </c>
      <c r="AS173" s="15">
        <f t="shared" si="58"/>
        <v>0.91532258064516125</v>
      </c>
      <c r="AT173" s="15">
        <f t="shared" si="59"/>
        <v>0.97424892703862664</v>
      </c>
      <c r="AU173" s="15">
        <f t="shared" si="60"/>
        <v>0.93951612903225812</v>
      </c>
      <c r="AV173" s="15"/>
      <c r="AW173" s="15"/>
      <c r="AX173" s="16">
        <v>248</v>
      </c>
      <c r="AY173" s="16">
        <f t="shared" si="71"/>
        <v>15</v>
      </c>
      <c r="AZ173" s="16">
        <v>233</v>
      </c>
      <c r="BA173" s="16">
        <v>227</v>
      </c>
      <c r="BB173" s="16">
        <f t="shared" si="72"/>
        <v>6</v>
      </c>
      <c r="BC173" s="16"/>
      <c r="BD173" s="16"/>
      <c r="BE173" s="80"/>
      <c r="BF173" s="81"/>
      <c r="BG173" s="15"/>
      <c r="BH173" s="15"/>
      <c r="BI173" s="15"/>
      <c r="BS173" s="80"/>
      <c r="BT173" s="81"/>
      <c r="BU173" s="15"/>
      <c r="BV173" s="15"/>
      <c r="BW173" s="15"/>
      <c r="CA173" s="45"/>
      <c r="CD173" s="45"/>
      <c r="CG173" s="80"/>
      <c r="CH173" s="81"/>
      <c r="CI173" s="15"/>
      <c r="CJ173" s="15"/>
      <c r="CK173" s="15"/>
      <c r="CO173" s="45"/>
      <c r="CR173" s="45"/>
    </row>
    <row r="174" spans="1:96" s="18" customFormat="1" ht="15" customHeight="1">
      <c r="A174" s="78">
        <v>2007</v>
      </c>
      <c r="B174" s="79" t="s">
        <v>36</v>
      </c>
      <c r="C174" s="15">
        <f t="shared" si="46"/>
        <v>0.92235734331150609</v>
      </c>
      <c r="D174" s="15">
        <f t="shared" si="47"/>
        <v>0.9549636803874092</v>
      </c>
      <c r="E174" s="15">
        <f t="shared" si="48"/>
        <v>0.96585594013096354</v>
      </c>
      <c r="F174" s="57"/>
      <c r="G174" s="34"/>
      <c r="H174" s="57">
        <f>+V174+AJ174+AX174+BL174+BS_GC_MP_Vill[[#This Row],[Trenes Programados]]</f>
        <v>4276</v>
      </c>
      <c r="I174" s="16">
        <f t="shared" ref="I174:I185" si="74">H174-J174</f>
        <v>146</v>
      </c>
      <c r="J174" s="57">
        <f>+X174+AL174+AZ174+BN174+BS_GC_MP_Vill[[#This Row],[Trenes Corridos]]</f>
        <v>4130</v>
      </c>
      <c r="K174" s="57">
        <f>+Y174+AM174+BA174+BO174+BS_GC_MP_Vill[[#This Row],[Trenes Puntuales]]</f>
        <v>3944</v>
      </c>
      <c r="L174" s="16">
        <f t="shared" ref="L174:L185" si="75">J174-K174</f>
        <v>186</v>
      </c>
      <c r="M174" s="16"/>
      <c r="N174" s="16"/>
      <c r="O174" s="78">
        <v>2007</v>
      </c>
      <c r="P174" s="79" t="s">
        <v>36</v>
      </c>
      <c r="Q174" s="15">
        <f t="shared" si="50"/>
        <v>0.92159819072747828</v>
      </c>
      <c r="R174" s="15">
        <f t="shared" si="51"/>
        <v>0.95099183197199533</v>
      </c>
      <c r="S174" s="15">
        <f t="shared" si="52"/>
        <v>0.96909159442140969</v>
      </c>
      <c r="T174" s="16"/>
      <c r="U174" s="16"/>
      <c r="V174" s="16">
        <v>2653</v>
      </c>
      <c r="W174" s="16">
        <f t="shared" ref="W174:W185" si="76">V174-X174</f>
        <v>82</v>
      </c>
      <c r="X174" s="16">
        <v>2571</v>
      </c>
      <c r="Y174" s="16">
        <v>2445</v>
      </c>
      <c r="Z174" s="16">
        <f t="shared" ref="Z174:Z185" si="77">X174-Y174</f>
        <v>126</v>
      </c>
      <c r="AA174" s="16"/>
      <c r="AB174" s="16"/>
      <c r="AC174" s="78">
        <v>2007</v>
      </c>
      <c r="AD174" s="79" t="s">
        <v>36</v>
      </c>
      <c r="AE174" s="15">
        <f t="shared" si="54"/>
        <v>0.92509090909090907</v>
      </c>
      <c r="AF174" s="15">
        <f t="shared" si="55"/>
        <v>0.95495495495495497</v>
      </c>
      <c r="AG174" s="15">
        <f t="shared" si="56"/>
        <v>0.96872727272727277</v>
      </c>
      <c r="AH174" s="16"/>
      <c r="AI174" s="16"/>
      <c r="AJ174" s="16">
        <v>1375</v>
      </c>
      <c r="AK174" s="16">
        <f t="shared" ref="AK174:AK185" si="78">AJ174-AL174</f>
        <v>43</v>
      </c>
      <c r="AL174" s="16">
        <v>1332</v>
      </c>
      <c r="AM174" s="16">
        <v>1272</v>
      </c>
      <c r="AN174" s="16">
        <f t="shared" ref="AN174:AN185" si="79">AL174-AM174</f>
        <v>60</v>
      </c>
      <c r="AO174" s="16"/>
      <c r="AP174" s="16"/>
      <c r="AQ174" s="78">
        <v>2007</v>
      </c>
      <c r="AR174" s="79" t="s">
        <v>36</v>
      </c>
      <c r="AS174" s="15">
        <f t="shared" si="58"/>
        <v>0.91532258064516125</v>
      </c>
      <c r="AT174" s="15">
        <f t="shared" si="59"/>
        <v>1</v>
      </c>
      <c r="AU174" s="15">
        <f t="shared" si="60"/>
        <v>0.91532258064516125</v>
      </c>
      <c r="AV174" s="15"/>
      <c r="AW174" s="15"/>
      <c r="AX174" s="16">
        <v>248</v>
      </c>
      <c r="AY174" s="16">
        <f t="shared" ref="AY174:AY185" si="80">AX174-AZ174</f>
        <v>21</v>
      </c>
      <c r="AZ174" s="16">
        <v>227</v>
      </c>
      <c r="BA174" s="16">
        <v>227</v>
      </c>
      <c r="BB174" s="16">
        <f t="shared" ref="BB174:BB185" si="81">AZ174-BA174</f>
        <v>0</v>
      </c>
      <c r="BC174" s="16"/>
      <c r="BD174" s="16"/>
      <c r="BE174" s="78"/>
      <c r="BF174" s="79"/>
      <c r="BG174" s="15"/>
      <c r="BH174" s="15"/>
      <c r="BI174" s="15"/>
      <c r="BS174" s="78"/>
      <c r="BT174" s="79"/>
      <c r="BU174" s="15"/>
      <c r="BV174" s="15"/>
      <c r="BW174" s="15"/>
      <c r="CA174" s="45"/>
      <c r="CD174" s="45"/>
      <c r="CG174" s="78"/>
      <c r="CH174" s="79"/>
      <c r="CI174" s="15"/>
      <c r="CJ174" s="15"/>
      <c r="CK174" s="15"/>
      <c r="CO174" s="45"/>
      <c r="CR174" s="45"/>
    </row>
    <row r="175" spans="1:96" s="18" customFormat="1" ht="15" customHeight="1">
      <c r="A175" s="80">
        <v>2007</v>
      </c>
      <c r="B175" s="81" t="s">
        <v>37</v>
      </c>
      <c r="C175" s="15">
        <f t="shared" si="46"/>
        <v>0.85537190082644632</v>
      </c>
      <c r="D175" s="15">
        <f t="shared" si="47"/>
        <v>0.93665158371040724</v>
      </c>
      <c r="E175" s="15">
        <f t="shared" si="48"/>
        <v>0.91322314049586772</v>
      </c>
      <c r="F175" s="57"/>
      <c r="G175" s="34"/>
      <c r="H175" s="57">
        <f>+V175+AJ175+AX175+BL175+BS_GC_MP_Vill[[#This Row],[Trenes Programados]]</f>
        <v>3872</v>
      </c>
      <c r="I175" s="16">
        <f t="shared" si="74"/>
        <v>336</v>
      </c>
      <c r="J175" s="57">
        <f>+X175+AL175+AZ175+BN175+BS_GC_MP_Vill[[#This Row],[Trenes Corridos]]</f>
        <v>3536</v>
      </c>
      <c r="K175" s="57">
        <f>+Y175+AM175+BA175+BO175+BS_GC_MP_Vill[[#This Row],[Trenes Puntuales]]</f>
        <v>3312</v>
      </c>
      <c r="L175" s="16">
        <f t="shared" si="75"/>
        <v>224</v>
      </c>
      <c r="M175" s="16"/>
      <c r="N175" s="16"/>
      <c r="O175" s="80">
        <v>2007</v>
      </c>
      <c r="P175" s="81" t="s">
        <v>37</v>
      </c>
      <c r="Q175" s="15">
        <f t="shared" si="50"/>
        <v>0.85815307820299502</v>
      </c>
      <c r="R175" s="15">
        <f t="shared" si="51"/>
        <v>0.94459706959706957</v>
      </c>
      <c r="S175" s="15">
        <f t="shared" si="52"/>
        <v>0.90848585690515804</v>
      </c>
      <c r="T175" s="16"/>
      <c r="U175" s="16"/>
      <c r="V175" s="16">
        <v>2404</v>
      </c>
      <c r="W175" s="16">
        <f t="shared" si="76"/>
        <v>220</v>
      </c>
      <c r="X175" s="16">
        <v>2184</v>
      </c>
      <c r="Y175" s="16">
        <v>2063</v>
      </c>
      <c r="Z175" s="16">
        <f t="shared" si="77"/>
        <v>121</v>
      </c>
      <c r="AA175" s="16"/>
      <c r="AB175" s="16"/>
      <c r="AC175" s="80">
        <v>2007</v>
      </c>
      <c r="AD175" s="81" t="s">
        <v>37</v>
      </c>
      <c r="AE175" s="15">
        <f t="shared" si="54"/>
        <v>0.83922829581993574</v>
      </c>
      <c r="AF175" s="15">
        <f t="shared" si="55"/>
        <v>0.91099476439790572</v>
      </c>
      <c r="AG175" s="15">
        <f t="shared" si="56"/>
        <v>0.9212218649517685</v>
      </c>
      <c r="AH175" s="16"/>
      <c r="AI175" s="16"/>
      <c r="AJ175" s="16">
        <v>1244</v>
      </c>
      <c r="AK175" s="16">
        <f t="shared" si="78"/>
        <v>98</v>
      </c>
      <c r="AL175" s="16">
        <v>1146</v>
      </c>
      <c r="AM175" s="16">
        <v>1044</v>
      </c>
      <c r="AN175" s="16">
        <f t="shared" si="79"/>
        <v>102</v>
      </c>
      <c r="AO175" s="16"/>
      <c r="AP175" s="16"/>
      <c r="AQ175" s="80">
        <v>2007</v>
      </c>
      <c r="AR175" s="81" t="s">
        <v>37</v>
      </c>
      <c r="AS175" s="15">
        <f t="shared" si="58"/>
        <v>0.9151785714285714</v>
      </c>
      <c r="AT175" s="15">
        <f t="shared" si="59"/>
        <v>0.99514563106796117</v>
      </c>
      <c r="AU175" s="15">
        <f t="shared" si="60"/>
        <v>0.9196428571428571</v>
      </c>
      <c r="AV175" s="15"/>
      <c r="AW175" s="15"/>
      <c r="AX175" s="16">
        <v>224</v>
      </c>
      <c r="AY175" s="16">
        <f t="shared" si="80"/>
        <v>18</v>
      </c>
      <c r="AZ175" s="16">
        <v>206</v>
      </c>
      <c r="BA175" s="16">
        <v>205</v>
      </c>
      <c r="BB175" s="16">
        <f t="shared" si="81"/>
        <v>1</v>
      </c>
      <c r="BC175" s="16"/>
      <c r="BD175" s="16"/>
      <c r="BE175" s="80"/>
      <c r="BF175" s="81"/>
      <c r="BG175" s="15"/>
      <c r="BH175" s="15"/>
      <c r="BI175" s="15"/>
      <c r="BS175" s="80"/>
      <c r="BT175" s="81"/>
      <c r="BU175" s="15"/>
      <c r="BV175" s="15"/>
      <c r="BW175" s="15"/>
      <c r="CA175" s="45"/>
      <c r="CD175" s="45"/>
      <c r="CG175" s="80"/>
      <c r="CH175" s="81"/>
      <c r="CI175" s="15"/>
      <c r="CJ175" s="15"/>
      <c r="CK175" s="15"/>
      <c r="CO175" s="45"/>
      <c r="CR175" s="45"/>
    </row>
    <row r="176" spans="1:96" s="18" customFormat="1" ht="15" customHeight="1">
      <c r="A176" s="78">
        <v>2007</v>
      </c>
      <c r="B176" s="79" t="s">
        <v>38</v>
      </c>
      <c r="C176" s="15">
        <f t="shared" si="46"/>
        <v>0.83044901777362023</v>
      </c>
      <c r="D176" s="15">
        <f t="shared" si="47"/>
        <v>0.90379231356579282</v>
      </c>
      <c r="E176" s="15">
        <f t="shared" si="48"/>
        <v>0.91884939195509818</v>
      </c>
      <c r="F176" s="57"/>
      <c r="G176" s="34"/>
      <c r="H176" s="57">
        <f>+V176+AJ176+AX176+BL176+BS_GC_MP_Vill[[#This Row],[Trenes Programados]]</f>
        <v>4276</v>
      </c>
      <c r="I176" s="16">
        <f t="shared" si="74"/>
        <v>347</v>
      </c>
      <c r="J176" s="57">
        <f>+X176+AL176+AZ176+BN176+BS_GC_MP_Vill[[#This Row],[Trenes Corridos]]</f>
        <v>3929</v>
      </c>
      <c r="K176" s="57">
        <f>+Y176+AM176+BA176+BO176+BS_GC_MP_Vill[[#This Row],[Trenes Puntuales]]</f>
        <v>3551</v>
      </c>
      <c r="L176" s="16">
        <f t="shared" si="75"/>
        <v>378</v>
      </c>
      <c r="M176" s="16"/>
      <c r="N176" s="16"/>
      <c r="O176" s="78">
        <v>2007</v>
      </c>
      <c r="P176" s="79" t="s">
        <v>38</v>
      </c>
      <c r="Q176" s="15">
        <f t="shared" si="50"/>
        <v>0.87410478703354688</v>
      </c>
      <c r="R176" s="15">
        <f t="shared" si="51"/>
        <v>0.92759999999999998</v>
      </c>
      <c r="S176" s="15">
        <f t="shared" si="52"/>
        <v>0.94232943837165473</v>
      </c>
      <c r="T176" s="16"/>
      <c r="U176" s="16"/>
      <c r="V176" s="16">
        <v>2653</v>
      </c>
      <c r="W176" s="16">
        <f t="shared" si="76"/>
        <v>153</v>
      </c>
      <c r="X176" s="16">
        <v>2500</v>
      </c>
      <c r="Y176" s="16">
        <v>2319</v>
      </c>
      <c r="Z176" s="16">
        <f t="shared" si="77"/>
        <v>181</v>
      </c>
      <c r="AA176" s="16"/>
      <c r="AB176" s="16"/>
      <c r="AC176" s="78">
        <v>2007</v>
      </c>
      <c r="AD176" s="79" t="s">
        <v>38</v>
      </c>
      <c r="AE176" s="15">
        <f t="shared" si="54"/>
        <v>0.7345454545454545</v>
      </c>
      <c r="AF176" s="15">
        <f t="shared" si="55"/>
        <v>0.83887043189368771</v>
      </c>
      <c r="AG176" s="15">
        <f t="shared" si="56"/>
        <v>0.87563636363636366</v>
      </c>
      <c r="AH176" s="16"/>
      <c r="AI176" s="16"/>
      <c r="AJ176" s="16">
        <v>1375</v>
      </c>
      <c r="AK176" s="16">
        <f t="shared" si="78"/>
        <v>171</v>
      </c>
      <c r="AL176" s="16">
        <v>1204</v>
      </c>
      <c r="AM176" s="16">
        <v>1010</v>
      </c>
      <c r="AN176" s="16">
        <f t="shared" si="79"/>
        <v>194</v>
      </c>
      <c r="AO176" s="16"/>
      <c r="AP176" s="16"/>
      <c r="AQ176" s="78">
        <v>2007</v>
      </c>
      <c r="AR176" s="79" t="s">
        <v>38</v>
      </c>
      <c r="AS176" s="15">
        <f t="shared" si="58"/>
        <v>0.89516129032258063</v>
      </c>
      <c r="AT176" s="15">
        <f t="shared" si="59"/>
        <v>0.98666666666666669</v>
      </c>
      <c r="AU176" s="15">
        <f t="shared" si="60"/>
        <v>0.907258064516129</v>
      </c>
      <c r="AV176" s="15"/>
      <c r="AW176" s="15"/>
      <c r="AX176" s="16">
        <v>248</v>
      </c>
      <c r="AY176" s="16">
        <f t="shared" si="80"/>
        <v>23</v>
      </c>
      <c r="AZ176" s="16">
        <v>225</v>
      </c>
      <c r="BA176" s="16">
        <v>222</v>
      </c>
      <c r="BB176" s="16">
        <f t="shared" si="81"/>
        <v>3</v>
      </c>
      <c r="BC176" s="16"/>
      <c r="BD176" s="16"/>
      <c r="BE176" s="78"/>
      <c r="BF176" s="79"/>
      <c r="BG176" s="15"/>
      <c r="BH176" s="15"/>
      <c r="BI176" s="15"/>
      <c r="BS176" s="78"/>
      <c r="BT176" s="79"/>
      <c r="BU176" s="15"/>
      <c r="BV176" s="15"/>
      <c r="BW176" s="15"/>
      <c r="CA176" s="45"/>
      <c r="CD176" s="45"/>
      <c r="CG176" s="78"/>
      <c r="CH176" s="79"/>
      <c r="CI176" s="15"/>
      <c r="CJ176" s="15"/>
      <c r="CK176" s="15"/>
      <c r="CO176" s="45"/>
      <c r="CR176" s="45"/>
    </row>
    <row r="177" spans="1:96" s="18" customFormat="1" ht="15" customHeight="1">
      <c r="A177" s="80">
        <v>2007</v>
      </c>
      <c r="B177" s="81" t="s">
        <v>39</v>
      </c>
      <c r="C177" s="15">
        <f t="shared" si="46"/>
        <v>0.66593191280920894</v>
      </c>
      <c r="D177" s="15">
        <f t="shared" si="47"/>
        <v>0.88336582196231317</v>
      </c>
      <c r="E177" s="15">
        <f t="shared" si="48"/>
        <v>0.75385745775165325</v>
      </c>
      <c r="F177" s="57"/>
      <c r="G177" s="34"/>
      <c r="H177" s="57">
        <f>+V177+AJ177+AX177+BL177+BS_GC_MP_Vill[[#This Row],[Trenes Programados]]</f>
        <v>4083</v>
      </c>
      <c r="I177" s="16">
        <f t="shared" si="74"/>
        <v>1005</v>
      </c>
      <c r="J177" s="57">
        <f>+X177+AL177+AZ177+BN177+BS_GC_MP_Vill[[#This Row],[Trenes Corridos]]</f>
        <v>3078</v>
      </c>
      <c r="K177" s="57">
        <f>+Y177+AM177+BA177+BO177+BS_GC_MP_Vill[[#This Row],[Trenes Puntuales]]</f>
        <v>2719</v>
      </c>
      <c r="L177" s="16">
        <f t="shared" si="75"/>
        <v>359</v>
      </c>
      <c r="M177" s="16"/>
      <c r="N177" s="16"/>
      <c r="O177" s="80">
        <v>2007</v>
      </c>
      <c r="P177" s="81" t="s">
        <v>39</v>
      </c>
      <c r="Q177" s="15">
        <f t="shared" si="50"/>
        <v>0.72550575168583897</v>
      </c>
      <c r="R177" s="15">
        <f t="shared" si="51"/>
        <v>0.90365612648221338</v>
      </c>
      <c r="S177" s="15">
        <f t="shared" si="52"/>
        <v>0.80285600952003178</v>
      </c>
      <c r="T177" s="16"/>
      <c r="U177" s="16"/>
      <c r="V177" s="16">
        <v>2521</v>
      </c>
      <c r="W177" s="16">
        <f t="shared" si="76"/>
        <v>497</v>
      </c>
      <c r="X177" s="16">
        <v>2024</v>
      </c>
      <c r="Y177" s="16">
        <v>1829</v>
      </c>
      <c r="Z177" s="16">
        <f t="shared" si="77"/>
        <v>195</v>
      </c>
      <c r="AA177" s="16"/>
      <c r="AB177" s="16"/>
      <c r="AC177" s="80">
        <v>2007</v>
      </c>
      <c r="AD177" s="81" t="s">
        <v>39</v>
      </c>
      <c r="AE177" s="15">
        <f t="shared" si="54"/>
        <v>0.55748865355521937</v>
      </c>
      <c r="AF177" s="15">
        <f t="shared" si="55"/>
        <v>0.81888888888888889</v>
      </c>
      <c r="AG177" s="15">
        <f t="shared" si="56"/>
        <v>0.68078668683812404</v>
      </c>
      <c r="AH177" s="16"/>
      <c r="AI177" s="16"/>
      <c r="AJ177" s="16">
        <v>1322</v>
      </c>
      <c r="AK177" s="16">
        <f t="shared" si="78"/>
        <v>422</v>
      </c>
      <c r="AL177" s="16">
        <v>900</v>
      </c>
      <c r="AM177" s="16">
        <v>737</v>
      </c>
      <c r="AN177" s="16">
        <f t="shared" si="79"/>
        <v>163</v>
      </c>
      <c r="AO177" s="16"/>
      <c r="AP177" s="16"/>
      <c r="AQ177" s="80">
        <v>2007</v>
      </c>
      <c r="AR177" s="81" t="s">
        <v>39</v>
      </c>
      <c r="AS177" s="15">
        <f t="shared" si="58"/>
        <v>0.63749999999999996</v>
      </c>
      <c r="AT177" s="15">
        <f t="shared" si="59"/>
        <v>0.99350649350649356</v>
      </c>
      <c r="AU177" s="15">
        <f t="shared" si="60"/>
        <v>0.64166666666666672</v>
      </c>
      <c r="AV177" s="15"/>
      <c r="AW177" s="15"/>
      <c r="AX177" s="16">
        <v>240</v>
      </c>
      <c r="AY177" s="16">
        <f t="shared" si="80"/>
        <v>86</v>
      </c>
      <c r="AZ177" s="16">
        <v>154</v>
      </c>
      <c r="BA177" s="16">
        <v>153</v>
      </c>
      <c r="BB177" s="16">
        <f t="shared" si="81"/>
        <v>1</v>
      </c>
      <c r="BC177" s="16"/>
      <c r="BD177" s="16"/>
      <c r="BE177" s="80"/>
      <c r="BF177" s="81"/>
      <c r="BG177" s="15"/>
      <c r="BH177" s="15"/>
      <c r="BI177" s="15"/>
      <c r="BS177" s="80"/>
      <c r="BT177" s="81"/>
      <c r="BU177" s="15"/>
      <c r="BV177" s="15"/>
      <c r="BW177" s="15"/>
      <c r="CA177" s="45"/>
      <c r="CD177" s="45"/>
      <c r="CG177" s="80"/>
      <c r="CH177" s="81"/>
      <c r="CI177" s="15"/>
      <c r="CJ177" s="15"/>
      <c r="CK177" s="15"/>
      <c r="CO177" s="45"/>
      <c r="CR177" s="45"/>
    </row>
    <row r="178" spans="1:96" s="18" customFormat="1" ht="15" customHeight="1">
      <c r="A178" s="78">
        <v>2007</v>
      </c>
      <c r="B178" s="79" t="s">
        <v>40</v>
      </c>
      <c r="C178" s="15">
        <f t="shared" si="46"/>
        <v>0.73606210303458008</v>
      </c>
      <c r="D178" s="15">
        <f t="shared" si="47"/>
        <v>0.85258855585831061</v>
      </c>
      <c r="E178" s="15">
        <f t="shared" si="48"/>
        <v>0.86332627617031288</v>
      </c>
      <c r="F178" s="57"/>
      <c r="G178" s="34"/>
      <c r="H178" s="57">
        <f>+V178+AJ178+AX178+BL178+BS_GC_MP_Vill[[#This Row],[Trenes Programados]]</f>
        <v>4251</v>
      </c>
      <c r="I178" s="16">
        <f t="shared" si="74"/>
        <v>581</v>
      </c>
      <c r="J178" s="57">
        <f>+X178+AL178+AZ178+BN178+BS_GC_MP_Vill[[#This Row],[Trenes Corridos]]</f>
        <v>3670</v>
      </c>
      <c r="K178" s="57">
        <f>+Y178+AM178+BA178+BO178+BS_GC_MP_Vill[[#This Row],[Trenes Puntuales]]</f>
        <v>3129</v>
      </c>
      <c r="L178" s="16">
        <f t="shared" si="75"/>
        <v>541</v>
      </c>
      <c r="M178" s="16"/>
      <c r="N178" s="16"/>
      <c r="O178" s="78">
        <v>2007</v>
      </c>
      <c r="P178" s="79" t="s">
        <v>40</v>
      </c>
      <c r="Q178" s="15">
        <f t="shared" si="50"/>
        <v>0.79217325227963531</v>
      </c>
      <c r="R178" s="15">
        <f t="shared" si="51"/>
        <v>0.86947456213511254</v>
      </c>
      <c r="S178" s="15">
        <f t="shared" si="52"/>
        <v>0.91109422492401215</v>
      </c>
      <c r="T178" s="16"/>
      <c r="U178" s="16"/>
      <c r="V178" s="16">
        <v>2632</v>
      </c>
      <c r="W178" s="16">
        <f t="shared" si="76"/>
        <v>234</v>
      </c>
      <c r="X178" s="16">
        <v>2398</v>
      </c>
      <c r="Y178" s="16">
        <v>2085</v>
      </c>
      <c r="Z178" s="16">
        <f t="shared" si="77"/>
        <v>313</v>
      </c>
      <c r="AA178" s="16"/>
      <c r="AB178" s="16"/>
      <c r="AC178" s="78">
        <v>2007</v>
      </c>
      <c r="AD178" s="79" t="s">
        <v>40</v>
      </c>
      <c r="AE178" s="15">
        <f t="shared" si="54"/>
        <v>0.64916119620714807</v>
      </c>
      <c r="AF178" s="15">
        <f t="shared" si="55"/>
        <v>0.79749103942652333</v>
      </c>
      <c r="AG178" s="15">
        <f t="shared" si="56"/>
        <v>0.81400437636761491</v>
      </c>
      <c r="AH178" s="16"/>
      <c r="AI178" s="16"/>
      <c r="AJ178" s="16">
        <v>1371</v>
      </c>
      <c r="AK178" s="16">
        <f t="shared" si="78"/>
        <v>255</v>
      </c>
      <c r="AL178" s="16">
        <v>1116</v>
      </c>
      <c r="AM178" s="16">
        <v>890</v>
      </c>
      <c r="AN178" s="16">
        <f t="shared" si="79"/>
        <v>226</v>
      </c>
      <c r="AO178" s="16"/>
      <c r="AP178" s="16"/>
      <c r="AQ178" s="78">
        <v>2007</v>
      </c>
      <c r="AR178" s="79" t="s">
        <v>40</v>
      </c>
      <c r="AS178" s="15">
        <f t="shared" si="58"/>
        <v>0.62096774193548387</v>
      </c>
      <c r="AT178" s="15">
        <f t="shared" si="59"/>
        <v>0.98717948717948723</v>
      </c>
      <c r="AU178" s="15">
        <f t="shared" si="60"/>
        <v>0.62903225806451613</v>
      </c>
      <c r="AV178" s="15"/>
      <c r="AW178" s="15"/>
      <c r="AX178" s="16">
        <v>248</v>
      </c>
      <c r="AY178" s="16">
        <f t="shared" si="80"/>
        <v>92</v>
      </c>
      <c r="AZ178" s="16">
        <v>156</v>
      </c>
      <c r="BA178" s="16">
        <v>154</v>
      </c>
      <c r="BB178" s="16">
        <f t="shared" si="81"/>
        <v>2</v>
      </c>
      <c r="BC178" s="16"/>
      <c r="BD178" s="16"/>
      <c r="BE178" s="78"/>
      <c r="BF178" s="79"/>
      <c r="BG178" s="15"/>
      <c r="BH178" s="15"/>
      <c r="BI178" s="15"/>
      <c r="BS178" s="78"/>
      <c r="BT178" s="79"/>
      <c r="BU178" s="15"/>
      <c r="BV178" s="15"/>
      <c r="BW178" s="15"/>
      <c r="CA178" s="45"/>
      <c r="CD178" s="45"/>
      <c r="CG178" s="78"/>
      <c r="CH178" s="79"/>
      <c r="CI178" s="15"/>
      <c r="CJ178" s="15"/>
      <c r="CK178" s="15"/>
      <c r="CO178" s="45"/>
      <c r="CR178" s="45"/>
    </row>
    <row r="179" spans="1:96" s="18" customFormat="1" ht="15" customHeight="1">
      <c r="A179" s="80">
        <v>2007</v>
      </c>
      <c r="B179" s="81" t="s">
        <v>41</v>
      </c>
      <c r="C179" s="15">
        <f t="shared" si="46"/>
        <v>0.81187878787878787</v>
      </c>
      <c r="D179" s="15">
        <f t="shared" si="47"/>
        <v>0.8739561586638831</v>
      </c>
      <c r="E179" s="15">
        <f t="shared" si="48"/>
        <v>0.928969696969697</v>
      </c>
      <c r="F179" s="57"/>
      <c r="G179" s="34"/>
      <c r="H179" s="57">
        <f>+V179+AJ179+AX179+BL179+BS_GC_MP_Vill[[#This Row],[Trenes Programados]]</f>
        <v>4125</v>
      </c>
      <c r="I179" s="16">
        <f t="shared" si="74"/>
        <v>293</v>
      </c>
      <c r="J179" s="57">
        <f>+X179+AL179+AZ179+BN179+BS_GC_MP_Vill[[#This Row],[Trenes Corridos]]</f>
        <v>3832</v>
      </c>
      <c r="K179" s="57">
        <f>+Y179+AM179+BA179+BO179+BS_GC_MP_Vill[[#This Row],[Trenes Puntuales]]</f>
        <v>3349</v>
      </c>
      <c r="L179" s="16">
        <f t="shared" si="75"/>
        <v>483</v>
      </c>
      <c r="M179" s="16"/>
      <c r="N179" s="16"/>
      <c r="O179" s="80">
        <v>2007</v>
      </c>
      <c r="P179" s="81" t="s">
        <v>41</v>
      </c>
      <c r="Q179" s="15">
        <f t="shared" si="50"/>
        <v>0.83639921722113508</v>
      </c>
      <c r="R179" s="15">
        <f t="shared" si="51"/>
        <v>0.88415390980554409</v>
      </c>
      <c r="S179" s="15">
        <f t="shared" si="52"/>
        <v>0.94598825831702549</v>
      </c>
      <c r="T179" s="16"/>
      <c r="U179" s="16"/>
      <c r="V179" s="16">
        <v>2555</v>
      </c>
      <c r="W179" s="16">
        <f t="shared" si="76"/>
        <v>138</v>
      </c>
      <c r="X179" s="16">
        <v>2417</v>
      </c>
      <c r="Y179" s="16">
        <v>2137</v>
      </c>
      <c r="Z179" s="16">
        <f t="shared" si="77"/>
        <v>280</v>
      </c>
      <c r="AA179" s="16"/>
      <c r="AB179" s="16"/>
      <c r="AC179" s="80">
        <v>2007</v>
      </c>
      <c r="AD179" s="81" t="s">
        <v>41</v>
      </c>
      <c r="AE179" s="15">
        <f t="shared" si="54"/>
        <v>0.75563909774436089</v>
      </c>
      <c r="AF179" s="15">
        <f t="shared" si="55"/>
        <v>0.84100418410041844</v>
      </c>
      <c r="AG179" s="15">
        <f t="shared" si="56"/>
        <v>0.89849624060150379</v>
      </c>
      <c r="AH179" s="16"/>
      <c r="AI179" s="16"/>
      <c r="AJ179" s="16">
        <v>1330</v>
      </c>
      <c r="AK179" s="16">
        <f t="shared" si="78"/>
        <v>135</v>
      </c>
      <c r="AL179" s="16">
        <v>1195</v>
      </c>
      <c r="AM179" s="16">
        <v>1005</v>
      </c>
      <c r="AN179" s="16">
        <f t="shared" si="79"/>
        <v>190</v>
      </c>
      <c r="AO179" s="16"/>
      <c r="AP179" s="16"/>
      <c r="AQ179" s="80">
        <v>2007</v>
      </c>
      <c r="AR179" s="81" t="s">
        <v>41</v>
      </c>
      <c r="AS179" s="15">
        <f t="shared" si="58"/>
        <v>0.86250000000000004</v>
      </c>
      <c r="AT179" s="15">
        <f t="shared" si="59"/>
        <v>0.94090909090909092</v>
      </c>
      <c r="AU179" s="15">
        <f t="shared" si="60"/>
        <v>0.91666666666666663</v>
      </c>
      <c r="AV179" s="15"/>
      <c r="AW179" s="15"/>
      <c r="AX179" s="16">
        <v>240</v>
      </c>
      <c r="AY179" s="16">
        <f t="shared" si="80"/>
        <v>20</v>
      </c>
      <c r="AZ179" s="16">
        <v>220</v>
      </c>
      <c r="BA179" s="16">
        <v>207</v>
      </c>
      <c r="BB179" s="16">
        <f t="shared" si="81"/>
        <v>13</v>
      </c>
      <c r="BC179" s="16"/>
      <c r="BD179" s="16"/>
      <c r="BE179" s="80"/>
      <c r="BF179" s="81"/>
      <c r="BG179" s="15"/>
      <c r="BH179" s="15"/>
      <c r="BI179" s="15"/>
      <c r="BS179" s="80"/>
      <c r="BT179" s="81"/>
      <c r="BU179" s="15"/>
      <c r="BV179" s="15"/>
      <c r="BW179" s="15"/>
      <c r="CA179" s="45"/>
      <c r="CD179" s="45"/>
      <c r="CG179" s="80"/>
      <c r="CH179" s="81"/>
      <c r="CI179" s="15"/>
      <c r="CJ179" s="15"/>
      <c r="CK179" s="15"/>
      <c r="CO179" s="45"/>
      <c r="CR179" s="45"/>
    </row>
    <row r="180" spans="1:96" s="18" customFormat="1" ht="15" customHeight="1">
      <c r="A180" s="78">
        <v>2007</v>
      </c>
      <c r="B180" s="79" t="s">
        <v>42</v>
      </c>
      <c r="C180" s="15">
        <f t="shared" si="46"/>
        <v>0.84450717478240411</v>
      </c>
      <c r="D180" s="15">
        <f t="shared" si="47"/>
        <v>0.95605858854860182</v>
      </c>
      <c r="E180" s="15">
        <f t="shared" si="48"/>
        <v>0.88332157139496592</v>
      </c>
      <c r="F180" s="57"/>
      <c r="G180" s="34"/>
      <c r="H180" s="57">
        <f>+V180+AJ180+AX180+BL180+BS_GC_MP_Vill[[#This Row],[Trenes Programados]]</f>
        <v>4251</v>
      </c>
      <c r="I180" s="16">
        <f t="shared" si="74"/>
        <v>496</v>
      </c>
      <c r="J180" s="57">
        <f>+X180+AL180+AZ180+BN180+BS_GC_MP_Vill[[#This Row],[Trenes Corridos]]</f>
        <v>3755</v>
      </c>
      <c r="K180" s="57">
        <f>+Y180+AM180+BA180+BO180+BS_GC_MP_Vill[[#This Row],[Trenes Puntuales]]</f>
        <v>3590</v>
      </c>
      <c r="L180" s="16">
        <f t="shared" si="75"/>
        <v>165</v>
      </c>
      <c r="M180" s="16"/>
      <c r="N180" s="16"/>
      <c r="O180" s="78">
        <v>2007</v>
      </c>
      <c r="P180" s="79" t="s">
        <v>42</v>
      </c>
      <c r="Q180" s="15">
        <f t="shared" si="50"/>
        <v>0.86892097264437695</v>
      </c>
      <c r="R180" s="15">
        <f t="shared" si="51"/>
        <v>0.96906779661016951</v>
      </c>
      <c r="S180" s="15">
        <f t="shared" si="52"/>
        <v>0.89665653495440734</v>
      </c>
      <c r="T180" s="16"/>
      <c r="U180" s="16"/>
      <c r="V180" s="16">
        <v>2632</v>
      </c>
      <c r="W180" s="16">
        <f t="shared" si="76"/>
        <v>272</v>
      </c>
      <c r="X180" s="16">
        <v>2360</v>
      </c>
      <c r="Y180" s="16">
        <v>2287</v>
      </c>
      <c r="Z180" s="16">
        <f t="shared" si="77"/>
        <v>73</v>
      </c>
      <c r="AA180" s="16"/>
      <c r="AB180" s="16"/>
      <c r="AC180" s="78">
        <v>2007</v>
      </c>
      <c r="AD180" s="79" t="s">
        <v>42</v>
      </c>
      <c r="AE180" s="15">
        <f t="shared" si="54"/>
        <v>0.80743982494529543</v>
      </c>
      <c r="AF180" s="15">
        <f t="shared" si="55"/>
        <v>0.93025210084033616</v>
      </c>
      <c r="AG180" s="15">
        <f t="shared" si="56"/>
        <v>0.86797957695113059</v>
      </c>
      <c r="AH180" s="16"/>
      <c r="AI180" s="16"/>
      <c r="AJ180" s="16">
        <v>1371</v>
      </c>
      <c r="AK180" s="16">
        <f t="shared" si="78"/>
        <v>181</v>
      </c>
      <c r="AL180" s="16">
        <v>1190</v>
      </c>
      <c r="AM180" s="16">
        <v>1107</v>
      </c>
      <c r="AN180" s="16">
        <f t="shared" si="79"/>
        <v>83</v>
      </c>
      <c r="AO180" s="16"/>
      <c r="AP180" s="16"/>
      <c r="AQ180" s="78">
        <v>2007</v>
      </c>
      <c r="AR180" s="79" t="s">
        <v>42</v>
      </c>
      <c r="AS180" s="15">
        <f t="shared" si="58"/>
        <v>0.79032258064516125</v>
      </c>
      <c r="AT180" s="15">
        <f t="shared" si="59"/>
        <v>0.95609756097560972</v>
      </c>
      <c r="AU180" s="15">
        <f t="shared" si="60"/>
        <v>0.82661290322580649</v>
      </c>
      <c r="AV180" s="15"/>
      <c r="AW180" s="15"/>
      <c r="AX180" s="16">
        <v>248</v>
      </c>
      <c r="AY180" s="16">
        <f t="shared" si="80"/>
        <v>43</v>
      </c>
      <c r="AZ180" s="16">
        <v>205</v>
      </c>
      <c r="BA180" s="16">
        <v>196</v>
      </c>
      <c r="BB180" s="16">
        <f t="shared" si="81"/>
        <v>9</v>
      </c>
      <c r="BC180" s="16"/>
      <c r="BD180" s="16"/>
      <c r="BE180" s="78"/>
      <c r="BF180" s="79"/>
      <c r="BG180" s="15"/>
      <c r="BH180" s="15"/>
      <c r="BI180" s="15"/>
      <c r="BS180" s="78"/>
      <c r="BT180" s="79"/>
      <c r="BU180" s="15"/>
      <c r="BV180" s="15"/>
      <c r="BW180" s="15"/>
      <c r="CA180" s="45"/>
      <c r="CD180" s="45"/>
      <c r="CG180" s="78"/>
      <c r="CH180" s="79"/>
      <c r="CI180" s="15"/>
      <c r="CJ180" s="15"/>
      <c r="CK180" s="15"/>
      <c r="CO180" s="45"/>
      <c r="CR180" s="45"/>
    </row>
    <row r="181" spans="1:96" s="18" customFormat="1" ht="15" customHeight="1">
      <c r="A181" s="80">
        <v>2007</v>
      </c>
      <c r="B181" s="81" t="s">
        <v>43</v>
      </c>
      <c r="C181" s="15">
        <f t="shared" si="46"/>
        <v>0.92048643592142187</v>
      </c>
      <c r="D181" s="15">
        <f t="shared" si="47"/>
        <v>0.94889103182256507</v>
      </c>
      <c r="E181" s="15">
        <f t="shared" si="48"/>
        <v>0.97006548175865293</v>
      </c>
      <c r="F181" s="57"/>
      <c r="G181" s="34"/>
      <c r="H181" s="57">
        <f>+V181+AJ181+AX181+BL181+BS_GC_MP_Vill[[#This Row],[Trenes Programados]]</f>
        <v>4276</v>
      </c>
      <c r="I181" s="16">
        <f t="shared" si="74"/>
        <v>128</v>
      </c>
      <c r="J181" s="57">
        <f>+X181+AL181+AZ181+BN181+BS_GC_MP_Vill[[#This Row],[Trenes Corridos]]</f>
        <v>4148</v>
      </c>
      <c r="K181" s="57">
        <f>+Y181+AM181+BA181+BO181+BS_GC_MP_Vill[[#This Row],[Trenes Puntuales]]</f>
        <v>3936</v>
      </c>
      <c r="L181" s="16">
        <f t="shared" si="75"/>
        <v>212</v>
      </c>
      <c r="M181" s="16"/>
      <c r="N181" s="16"/>
      <c r="O181" s="80">
        <v>2007</v>
      </c>
      <c r="P181" s="81" t="s">
        <v>43</v>
      </c>
      <c r="Q181" s="15">
        <f t="shared" si="50"/>
        <v>0.92536750848096494</v>
      </c>
      <c r="R181" s="15">
        <f t="shared" si="51"/>
        <v>0.94970986460348161</v>
      </c>
      <c r="S181" s="15">
        <f t="shared" si="52"/>
        <v>0.97436863927629103</v>
      </c>
      <c r="T181" s="16"/>
      <c r="U181" s="16"/>
      <c r="V181" s="16">
        <v>2653</v>
      </c>
      <c r="W181" s="16">
        <f t="shared" si="76"/>
        <v>68</v>
      </c>
      <c r="X181" s="16">
        <v>2585</v>
      </c>
      <c r="Y181" s="16">
        <v>2455</v>
      </c>
      <c r="Z181" s="16">
        <f t="shared" si="77"/>
        <v>130</v>
      </c>
      <c r="AA181" s="16"/>
      <c r="AB181" s="16"/>
      <c r="AC181" s="80">
        <v>2007</v>
      </c>
      <c r="AD181" s="81" t="s">
        <v>43</v>
      </c>
      <c r="AE181" s="15">
        <f t="shared" si="54"/>
        <v>0.91345454545454541</v>
      </c>
      <c r="AF181" s="15">
        <f t="shared" si="55"/>
        <v>0.94011976047904189</v>
      </c>
      <c r="AG181" s="15">
        <f t="shared" si="56"/>
        <v>0.97163636363636363</v>
      </c>
      <c r="AH181" s="16"/>
      <c r="AI181" s="16"/>
      <c r="AJ181" s="16">
        <v>1375</v>
      </c>
      <c r="AK181" s="16">
        <f t="shared" si="78"/>
        <v>39</v>
      </c>
      <c r="AL181" s="16">
        <v>1336</v>
      </c>
      <c r="AM181" s="16">
        <v>1256</v>
      </c>
      <c r="AN181" s="16">
        <f t="shared" si="79"/>
        <v>80</v>
      </c>
      <c r="AO181" s="16"/>
      <c r="AP181" s="16"/>
      <c r="AQ181" s="80">
        <v>2007</v>
      </c>
      <c r="AR181" s="81" t="s">
        <v>43</v>
      </c>
      <c r="AS181" s="15">
        <f t="shared" si="58"/>
        <v>0.907258064516129</v>
      </c>
      <c r="AT181" s="15">
        <f t="shared" si="59"/>
        <v>0.99118942731277537</v>
      </c>
      <c r="AU181" s="15">
        <f t="shared" si="60"/>
        <v>0.91532258064516125</v>
      </c>
      <c r="AV181" s="15"/>
      <c r="AW181" s="15"/>
      <c r="AX181" s="16">
        <v>248</v>
      </c>
      <c r="AY181" s="16">
        <f t="shared" si="80"/>
        <v>21</v>
      </c>
      <c r="AZ181" s="16">
        <v>227</v>
      </c>
      <c r="BA181" s="16">
        <v>225</v>
      </c>
      <c r="BB181" s="16">
        <f t="shared" si="81"/>
        <v>2</v>
      </c>
      <c r="BC181" s="16"/>
      <c r="BD181" s="16"/>
      <c r="BE181" s="80"/>
      <c r="BF181" s="81"/>
      <c r="BG181" s="15"/>
      <c r="BH181" s="15"/>
      <c r="BI181" s="15"/>
      <c r="BS181" s="80"/>
      <c r="BT181" s="81"/>
      <c r="BU181" s="15"/>
      <c r="BV181" s="15"/>
      <c r="BW181" s="15"/>
      <c r="CA181" s="45"/>
      <c r="CD181" s="45"/>
      <c r="CG181" s="80"/>
      <c r="CH181" s="81"/>
      <c r="CI181" s="15"/>
      <c r="CJ181" s="15"/>
      <c r="CK181" s="15"/>
      <c r="CO181" s="45"/>
      <c r="CR181" s="45"/>
    </row>
    <row r="182" spans="1:96" s="18" customFormat="1" ht="15" customHeight="1">
      <c r="A182" s="78">
        <v>2007</v>
      </c>
      <c r="B182" s="79" t="s">
        <v>44</v>
      </c>
      <c r="C182" s="15">
        <f t="shared" si="46"/>
        <v>0.94787878787878788</v>
      </c>
      <c r="D182" s="15">
        <f t="shared" si="47"/>
        <v>0.97142857142857142</v>
      </c>
      <c r="E182" s="15">
        <f t="shared" si="48"/>
        <v>0.97575757575757571</v>
      </c>
      <c r="F182" s="57"/>
      <c r="G182" s="34"/>
      <c r="H182" s="57">
        <f>+V182+AJ182+AX182+BL182+BS_GC_MP_Vill[[#This Row],[Trenes Programados]]</f>
        <v>4125</v>
      </c>
      <c r="I182" s="16">
        <f t="shared" si="74"/>
        <v>100</v>
      </c>
      <c r="J182" s="57">
        <f>+X182+AL182+AZ182+BN182+BS_GC_MP_Vill[[#This Row],[Trenes Corridos]]</f>
        <v>4025</v>
      </c>
      <c r="K182" s="57">
        <f>+Y182+AM182+BA182+BO182+BS_GC_MP_Vill[[#This Row],[Trenes Puntuales]]</f>
        <v>3910</v>
      </c>
      <c r="L182" s="16">
        <f t="shared" si="75"/>
        <v>115</v>
      </c>
      <c r="M182" s="16"/>
      <c r="N182" s="16"/>
      <c r="O182" s="78">
        <v>2007</v>
      </c>
      <c r="P182" s="79" t="s">
        <v>44</v>
      </c>
      <c r="Q182" s="15">
        <f t="shared" si="50"/>
        <v>0.94559686888454009</v>
      </c>
      <c r="R182" s="15">
        <f t="shared" si="51"/>
        <v>0.97028112449799198</v>
      </c>
      <c r="S182" s="15">
        <f t="shared" si="52"/>
        <v>0.97455968688845396</v>
      </c>
      <c r="T182" s="16"/>
      <c r="U182" s="16"/>
      <c r="V182" s="16">
        <v>2555</v>
      </c>
      <c r="W182" s="16">
        <f t="shared" si="76"/>
        <v>65</v>
      </c>
      <c r="X182" s="16">
        <v>2490</v>
      </c>
      <c r="Y182" s="16">
        <v>2416</v>
      </c>
      <c r="Z182" s="16">
        <f t="shared" si="77"/>
        <v>74</v>
      </c>
      <c r="AA182" s="16"/>
      <c r="AB182" s="16"/>
      <c r="AC182" s="78">
        <v>2007</v>
      </c>
      <c r="AD182" s="79" t="s">
        <v>44</v>
      </c>
      <c r="AE182" s="15">
        <f t="shared" si="54"/>
        <v>0.95714285714285718</v>
      </c>
      <c r="AF182" s="15">
        <f t="shared" si="55"/>
        <v>0.96953541507996954</v>
      </c>
      <c r="AG182" s="15">
        <f t="shared" si="56"/>
        <v>0.98721804511278199</v>
      </c>
      <c r="AH182" s="16"/>
      <c r="AI182" s="16"/>
      <c r="AJ182" s="16">
        <v>1330</v>
      </c>
      <c r="AK182" s="16">
        <f t="shared" si="78"/>
        <v>17</v>
      </c>
      <c r="AL182" s="16">
        <v>1313</v>
      </c>
      <c r="AM182" s="16">
        <v>1273</v>
      </c>
      <c r="AN182" s="16">
        <f t="shared" si="79"/>
        <v>40</v>
      </c>
      <c r="AO182" s="16"/>
      <c r="AP182" s="16"/>
      <c r="AQ182" s="78">
        <v>2007</v>
      </c>
      <c r="AR182" s="79" t="s">
        <v>44</v>
      </c>
      <c r="AS182" s="15">
        <f t="shared" si="58"/>
        <v>0.92083333333333328</v>
      </c>
      <c r="AT182" s="15">
        <f t="shared" si="59"/>
        <v>0.99549549549549554</v>
      </c>
      <c r="AU182" s="15">
        <f t="shared" si="60"/>
        <v>0.92500000000000004</v>
      </c>
      <c r="AV182" s="15"/>
      <c r="AW182" s="15"/>
      <c r="AX182" s="16">
        <v>240</v>
      </c>
      <c r="AY182" s="16">
        <f t="shared" si="80"/>
        <v>18</v>
      </c>
      <c r="AZ182" s="16">
        <v>222</v>
      </c>
      <c r="BA182" s="16">
        <v>221</v>
      </c>
      <c r="BB182" s="16">
        <f t="shared" si="81"/>
        <v>1</v>
      </c>
      <c r="BC182" s="16"/>
      <c r="BD182" s="16"/>
      <c r="BE182" s="78"/>
      <c r="BF182" s="79"/>
      <c r="BG182" s="15"/>
      <c r="BH182" s="15"/>
      <c r="BI182" s="15"/>
      <c r="BS182" s="78"/>
      <c r="BT182" s="79"/>
      <c r="BU182" s="15"/>
      <c r="BV182" s="15"/>
      <c r="BW182" s="15"/>
      <c r="CA182" s="45"/>
      <c r="CD182" s="45"/>
      <c r="CG182" s="78"/>
      <c r="CH182" s="79"/>
      <c r="CI182" s="15"/>
      <c r="CJ182" s="15"/>
      <c r="CK182" s="15"/>
      <c r="CO182" s="45"/>
      <c r="CR182" s="45"/>
    </row>
    <row r="183" spans="1:96" s="18" customFormat="1" ht="15" customHeight="1">
      <c r="A183" s="80">
        <v>2007</v>
      </c>
      <c r="B183" s="81" t="s">
        <v>45</v>
      </c>
      <c r="C183" s="15">
        <f t="shared" si="46"/>
        <v>0.94761459307764262</v>
      </c>
      <c r="D183" s="15">
        <f t="shared" si="47"/>
        <v>0.9707714422616196</v>
      </c>
      <c r="E183" s="15">
        <f t="shared" si="48"/>
        <v>0.97614593077642653</v>
      </c>
      <c r="F183" s="57"/>
      <c r="G183" s="34"/>
      <c r="H183" s="57">
        <f>+V183+AJ183+AX183+BL183+BS_GC_MP_Vill[[#This Row],[Trenes Programados]]</f>
        <v>4276</v>
      </c>
      <c r="I183" s="16">
        <f t="shared" si="74"/>
        <v>102</v>
      </c>
      <c r="J183" s="57">
        <f>+X183+AL183+AZ183+BN183+BS_GC_MP_Vill[[#This Row],[Trenes Corridos]]</f>
        <v>4174</v>
      </c>
      <c r="K183" s="57">
        <f>+Y183+AM183+BA183+BO183+BS_GC_MP_Vill[[#This Row],[Trenes Puntuales]]</f>
        <v>4052</v>
      </c>
      <c r="L183" s="16">
        <f t="shared" si="75"/>
        <v>122</v>
      </c>
      <c r="M183" s="16"/>
      <c r="N183" s="16"/>
      <c r="O183" s="80">
        <v>2007</v>
      </c>
      <c r="P183" s="81" t="s">
        <v>45</v>
      </c>
      <c r="Q183" s="15">
        <f t="shared" si="50"/>
        <v>0.94534489257444398</v>
      </c>
      <c r="R183" s="15">
        <f t="shared" si="51"/>
        <v>0.97284716834755625</v>
      </c>
      <c r="S183" s="15">
        <f t="shared" si="52"/>
        <v>0.97173011684885036</v>
      </c>
      <c r="T183" s="16"/>
      <c r="U183" s="16"/>
      <c r="V183" s="16">
        <v>2653</v>
      </c>
      <c r="W183" s="16">
        <f t="shared" si="76"/>
        <v>75</v>
      </c>
      <c r="X183" s="16">
        <v>2578</v>
      </c>
      <c r="Y183" s="16">
        <v>2508</v>
      </c>
      <c r="Z183" s="16">
        <f t="shared" si="77"/>
        <v>70</v>
      </c>
      <c r="AA183" s="16"/>
      <c r="AB183" s="16"/>
      <c r="AC183" s="80">
        <v>2007</v>
      </c>
      <c r="AD183" s="81" t="s">
        <v>45</v>
      </c>
      <c r="AE183" s="15">
        <f t="shared" si="54"/>
        <v>0.94836363636363641</v>
      </c>
      <c r="AF183" s="15">
        <f t="shared" si="55"/>
        <v>0.96307237813884783</v>
      </c>
      <c r="AG183" s="15">
        <f t="shared" si="56"/>
        <v>0.98472727272727267</v>
      </c>
      <c r="AH183" s="16"/>
      <c r="AI183" s="16"/>
      <c r="AJ183" s="16">
        <v>1375</v>
      </c>
      <c r="AK183" s="16">
        <f t="shared" si="78"/>
        <v>21</v>
      </c>
      <c r="AL183" s="16">
        <v>1354</v>
      </c>
      <c r="AM183" s="16">
        <v>1304</v>
      </c>
      <c r="AN183" s="16">
        <f t="shared" si="79"/>
        <v>50</v>
      </c>
      <c r="AO183" s="16"/>
      <c r="AP183" s="16"/>
      <c r="AQ183" s="80">
        <v>2007</v>
      </c>
      <c r="AR183" s="81" t="s">
        <v>45</v>
      </c>
      <c r="AS183" s="15">
        <f t="shared" si="58"/>
        <v>0.967741935483871</v>
      </c>
      <c r="AT183" s="15">
        <f t="shared" si="59"/>
        <v>0.99173553719008267</v>
      </c>
      <c r="AU183" s="15">
        <f t="shared" si="60"/>
        <v>0.97580645161290325</v>
      </c>
      <c r="AV183" s="15"/>
      <c r="AW183" s="15"/>
      <c r="AX183" s="16">
        <v>248</v>
      </c>
      <c r="AY183" s="16">
        <f t="shared" si="80"/>
        <v>6</v>
      </c>
      <c r="AZ183" s="16">
        <v>242</v>
      </c>
      <c r="BA183" s="16">
        <v>240</v>
      </c>
      <c r="BB183" s="16">
        <f t="shared" si="81"/>
        <v>2</v>
      </c>
      <c r="BC183" s="16"/>
      <c r="BD183" s="16"/>
      <c r="BE183" s="80"/>
      <c r="BF183" s="81"/>
      <c r="BG183" s="15"/>
      <c r="BH183" s="15"/>
      <c r="BI183" s="15"/>
      <c r="BS183" s="80"/>
      <c r="BT183" s="81"/>
      <c r="BU183" s="15"/>
      <c r="BV183" s="15"/>
      <c r="BW183" s="15"/>
      <c r="CA183" s="45"/>
      <c r="CD183" s="45"/>
      <c r="CG183" s="80"/>
      <c r="CH183" s="81"/>
      <c r="CI183" s="15"/>
      <c r="CJ183" s="15"/>
      <c r="CK183" s="15"/>
      <c r="CO183" s="45"/>
      <c r="CR183" s="45"/>
    </row>
    <row r="184" spans="1:96" s="18" customFormat="1" ht="15" customHeight="1">
      <c r="A184" s="78">
        <v>2007</v>
      </c>
      <c r="B184" s="79" t="s">
        <v>46</v>
      </c>
      <c r="C184" s="15">
        <f t="shared" si="46"/>
        <v>0.95767195767195767</v>
      </c>
      <c r="D184" s="15">
        <f t="shared" si="47"/>
        <v>0.9766985528574933</v>
      </c>
      <c r="E184" s="15">
        <f t="shared" si="48"/>
        <v>0.98051948051948057</v>
      </c>
      <c r="F184" s="57"/>
      <c r="G184" s="34"/>
      <c r="H184" s="57">
        <f>+V184+AJ184+AX184+BL184+BS_GC_MP_Vill[[#This Row],[Trenes Programados]]</f>
        <v>4158</v>
      </c>
      <c r="I184" s="16">
        <f t="shared" si="74"/>
        <v>81</v>
      </c>
      <c r="J184" s="57">
        <f>+X184+AL184+AZ184+BN184+BS_GC_MP_Vill[[#This Row],[Trenes Corridos]]</f>
        <v>4077</v>
      </c>
      <c r="K184" s="57">
        <f>+Y184+AM184+BA184+BO184+BS_GC_MP_Vill[[#This Row],[Trenes Puntuales]]</f>
        <v>3982</v>
      </c>
      <c r="L184" s="16">
        <f t="shared" si="75"/>
        <v>95</v>
      </c>
      <c r="M184" s="16"/>
      <c r="N184" s="16"/>
      <c r="O184" s="78">
        <v>2007</v>
      </c>
      <c r="P184" s="79" t="s">
        <v>46</v>
      </c>
      <c r="Q184" s="15">
        <f t="shared" si="50"/>
        <v>0.95975232198142413</v>
      </c>
      <c r="R184" s="15">
        <f t="shared" si="51"/>
        <v>0.97868981846882397</v>
      </c>
      <c r="S184" s="15">
        <f t="shared" si="52"/>
        <v>0.98065015479876161</v>
      </c>
      <c r="T184" s="16"/>
      <c r="U184" s="16"/>
      <c r="V184" s="16">
        <v>2584</v>
      </c>
      <c r="W184" s="16">
        <f t="shared" si="76"/>
        <v>50</v>
      </c>
      <c r="X184" s="16">
        <v>2534</v>
      </c>
      <c r="Y184" s="16">
        <v>2480</v>
      </c>
      <c r="Z184" s="16">
        <f t="shared" si="77"/>
        <v>54</v>
      </c>
      <c r="AA184" s="16"/>
      <c r="AB184" s="16"/>
      <c r="AC184" s="78">
        <v>2007</v>
      </c>
      <c r="AD184" s="79" t="s">
        <v>46</v>
      </c>
      <c r="AE184" s="15">
        <f t="shared" si="54"/>
        <v>0.95352323838080955</v>
      </c>
      <c r="AF184" s="15">
        <f t="shared" si="55"/>
        <v>0.97025171624713957</v>
      </c>
      <c r="AG184" s="15">
        <f t="shared" si="56"/>
        <v>0.98275862068965514</v>
      </c>
      <c r="AH184" s="16"/>
      <c r="AI184" s="16"/>
      <c r="AJ184" s="16">
        <v>1334</v>
      </c>
      <c r="AK184" s="16">
        <f t="shared" si="78"/>
        <v>23</v>
      </c>
      <c r="AL184" s="16">
        <v>1311</v>
      </c>
      <c r="AM184" s="16">
        <v>1272</v>
      </c>
      <c r="AN184" s="16">
        <f t="shared" si="79"/>
        <v>39</v>
      </c>
      <c r="AO184" s="16"/>
      <c r="AP184" s="16"/>
      <c r="AQ184" s="78">
        <v>2007</v>
      </c>
      <c r="AR184" s="79" t="s">
        <v>46</v>
      </c>
      <c r="AS184" s="15">
        <f t="shared" si="58"/>
        <v>0.95833333333333337</v>
      </c>
      <c r="AT184" s="15">
        <f t="shared" si="59"/>
        <v>0.99137931034482762</v>
      </c>
      <c r="AU184" s="15">
        <f t="shared" si="60"/>
        <v>0.96666666666666667</v>
      </c>
      <c r="AV184" s="15"/>
      <c r="AW184" s="15"/>
      <c r="AX184" s="16">
        <v>240</v>
      </c>
      <c r="AY184" s="16">
        <f t="shared" si="80"/>
        <v>8</v>
      </c>
      <c r="AZ184" s="16">
        <v>232</v>
      </c>
      <c r="BA184" s="16">
        <v>230</v>
      </c>
      <c r="BB184" s="16">
        <f t="shared" si="81"/>
        <v>2</v>
      </c>
      <c r="BC184" s="16"/>
      <c r="BD184" s="16"/>
      <c r="BE184" s="78"/>
      <c r="BF184" s="79"/>
      <c r="BG184" s="15"/>
      <c r="BH184" s="15"/>
      <c r="BI184" s="15"/>
      <c r="BS184" s="78"/>
      <c r="BT184" s="79"/>
      <c r="BU184" s="15"/>
      <c r="BV184" s="15"/>
      <c r="BW184" s="15"/>
      <c r="CA184" s="45"/>
      <c r="CD184" s="45"/>
      <c r="CG184" s="78"/>
      <c r="CH184" s="79"/>
      <c r="CI184" s="15"/>
      <c r="CJ184" s="15"/>
      <c r="CK184" s="15"/>
      <c r="CO184" s="45"/>
      <c r="CR184" s="45"/>
    </row>
    <row r="185" spans="1:96" s="18" customFormat="1" ht="15" customHeight="1">
      <c r="A185" s="80">
        <v>2007</v>
      </c>
      <c r="B185" s="81" t="s">
        <v>47</v>
      </c>
      <c r="C185" s="15">
        <f t="shared" si="46"/>
        <v>0.94628490298154277</v>
      </c>
      <c r="D185" s="15">
        <f t="shared" si="47"/>
        <v>0.97655677655677653</v>
      </c>
      <c r="E185" s="15">
        <f t="shared" si="48"/>
        <v>0.96900141978230003</v>
      </c>
      <c r="F185" s="57"/>
      <c r="G185" s="34"/>
      <c r="H185" s="57">
        <f>+V185+AJ185+AX185+BL185+BS_GC_MP_Vill[[#This Row],[Trenes Programados]]</f>
        <v>4226</v>
      </c>
      <c r="I185" s="16">
        <f t="shared" si="74"/>
        <v>131</v>
      </c>
      <c r="J185" s="57">
        <f>+X185+AL185+AZ185+BN185+BS_GC_MP_Vill[[#This Row],[Trenes Corridos]]</f>
        <v>4095</v>
      </c>
      <c r="K185" s="57">
        <f>+Y185+AM185+BA185+BO185+BS_GC_MP_Vill[[#This Row],[Trenes Puntuales]]</f>
        <v>3999</v>
      </c>
      <c r="L185" s="16">
        <f t="shared" si="75"/>
        <v>96</v>
      </c>
      <c r="M185" s="16"/>
      <c r="N185" s="16"/>
      <c r="O185" s="80">
        <v>2007</v>
      </c>
      <c r="P185" s="81" t="s">
        <v>47</v>
      </c>
      <c r="Q185" s="15">
        <f t="shared" si="50"/>
        <v>0.95212562236690923</v>
      </c>
      <c r="R185" s="15">
        <f t="shared" si="51"/>
        <v>0.97797010228166803</v>
      </c>
      <c r="S185" s="15">
        <f t="shared" si="52"/>
        <v>0.97357334354653391</v>
      </c>
      <c r="T185" s="16"/>
      <c r="U185" s="16"/>
      <c r="V185" s="16">
        <v>2611</v>
      </c>
      <c r="W185" s="16">
        <f t="shared" si="76"/>
        <v>69</v>
      </c>
      <c r="X185" s="16">
        <v>2542</v>
      </c>
      <c r="Y185" s="16">
        <v>2486</v>
      </c>
      <c r="Z185" s="16">
        <f t="shared" si="77"/>
        <v>56</v>
      </c>
      <c r="AA185" s="16"/>
      <c r="AB185" s="16"/>
      <c r="AC185" s="80">
        <v>2007</v>
      </c>
      <c r="AD185" s="81" t="s">
        <v>47</v>
      </c>
      <c r="AE185" s="15">
        <f t="shared" si="54"/>
        <v>0.93489392831016827</v>
      </c>
      <c r="AF185" s="15">
        <f t="shared" si="55"/>
        <v>0.97112462006079026</v>
      </c>
      <c r="AG185" s="15">
        <f t="shared" si="56"/>
        <v>0.96269202633504025</v>
      </c>
      <c r="AH185" s="16"/>
      <c r="AI185" s="16"/>
      <c r="AJ185" s="16">
        <v>1367</v>
      </c>
      <c r="AK185" s="16">
        <f t="shared" si="78"/>
        <v>51</v>
      </c>
      <c r="AL185" s="16">
        <v>1316</v>
      </c>
      <c r="AM185" s="16">
        <v>1278</v>
      </c>
      <c r="AN185" s="16">
        <f t="shared" si="79"/>
        <v>38</v>
      </c>
      <c r="AO185" s="16"/>
      <c r="AP185" s="16"/>
      <c r="AQ185" s="80">
        <v>2007</v>
      </c>
      <c r="AR185" s="81" t="s">
        <v>47</v>
      </c>
      <c r="AS185" s="15">
        <f t="shared" si="58"/>
        <v>0.94758064516129037</v>
      </c>
      <c r="AT185" s="15">
        <f t="shared" si="59"/>
        <v>0.99156118143459915</v>
      </c>
      <c r="AU185" s="15">
        <f t="shared" si="60"/>
        <v>0.95564516129032262</v>
      </c>
      <c r="AV185" s="15"/>
      <c r="AW185" s="15"/>
      <c r="AX185" s="16">
        <v>248</v>
      </c>
      <c r="AY185" s="16">
        <f t="shared" si="80"/>
        <v>11</v>
      </c>
      <c r="AZ185" s="16">
        <v>237</v>
      </c>
      <c r="BA185" s="16">
        <v>235</v>
      </c>
      <c r="BB185" s="16">
        <f t="shared" si="81"/>
        <v>2</v>
      </c>
      <c r="BC185" s="16"/>
      <c r="BD185" s="16"/>
      <c r="BE185" s="80"/>
      <c r="BF185" s="81"/>
      <c r="BG185" s="15"/>
      <c r="BH185" s="15"/>
      <c r="BI185" s="15"/>
      <c r="BS185" s="80"/>
      <c r="BT185" s="81"/>
      <c r="BU185" s="15"/>
      <c r="BV185" s="15"/>
      <c r="BW185" s="15"/>
      <c r="CA185" s="45"/>
      <c r="CD185" s="45"/>
      <c r="CG185" s="80"/>
      <c r="CH185" s="81"/>
      <c r="CI185" s="15"/>
      <c r="CJ185" s="15"/>
      <c r="CK185" s="15"/>
      <c r="CO185" s="45"/>
      <c r="CR185" s="45"/>
    </row>
    <row r="186" spans="1:96" s="18" customFormat="1" ht="15" customHeight="1">
      <c r="A186" s="78">
        <v>2008</v>
      </c>
      <c r="B186" s="79" t="s">
        <v>36</v>
      </c>
      <c r="C186" s="15">
        <f t="shared" si="46"/>
        <v>0.92025257249766135</v>
      </c>
      <c r="D186" s="15">
        <f t="shared" si="47"/>
        <v>0.9445511281805089</v>
      </c>
      <c r="E186" s="15">
        <f t="shared" si="48"/>
        <v>0.97427502338634242</v>
      </c>
      <c r="F186" s="57"/>
      <c r="G186" s="34"/>
      <c r="H186" s="57">
        <f>+V186+AJ186+AX186+BL186+BS_GC_MP_Vill[[#This Row],[Trenes Programados]]</f>
        <v>4276</v>
      </c>
      <c r="I186" s="16">
        <f t="shared" ref="I186:I197" si="82">H186-J186</f>
        <v>110</v>
      </c>
      <c r="J186" s="57">
        <f>+X186+AL186+AZ186+BN186+BS_GC_MP_Vill[[#This Row],[Trenes Corridos]]</f>
        <v>4166</v>
      </c>
      <c r="K186" s="57">
        <f>+Y186+AM186+BA186+BO186+BS_GC_MP_Vill[[#This Row],[Trenes Puntuales]]</f>
        <v>3935</v>
      </c>
      <c r="L186" s="16">
        <f t="shared" ref="L186:L197" si="83">J186-K186</f>
        <v>231</v>
      </c>
      <c r="M186" s="16"/>
      <c r="N186" s="16"/>
      <c r="O186" s="78">
        <v>2008</v>
      </c>
      <c r="P186" s="79" t="s">
        <v>36</v>
      </c>
      <c r="Q186" s="15">
        <f t="shared" si="50"/>
        <v>0.92800603090840561</v>
      </c>
      <c r="R186" s="15">
        <f t="shared" si="51"/>
        <v>0.95021227325357005</v>
      </c>
      <c r="S186" s="15">
        <f t="shared" si="52"/>
        <v>0.976630229928383</v>
      </c>
      <c r="T186" s="16"/>
      <c r="U186" s="16"/>
      <c r="V186" s="16">
        <v>2653</v>
      </c>
      <c r="W186" s="16">
        <f t="shared" ref="W186:W197" si="84">V186-X186</f>
        <v>62</v>
      </c>
      <c r="X186" s="16">
        <v>2591</v>
      </c>
      <c r="Y186" s="16">
        <v>2462</v>
      </c>
      <c r="Z186" s="16">
        <f t="shared" ref="Z186:Z197" si="85">X186-Y186</f>
        <v>129</v>
      </c>
      <c r="AA186" s="16"/>
      <c r="AB186" s="16"/>
      <c r="AC186" s="78">
        <v>2008</v>
      </c>
      <c r="AD186" s="79" t="s">
        <v>36</v>
      </c>
      <c r="AE186" s="15">
        <f t="shared" si="54"/>
        <v>0.89818181818181819</v>
      </c>
      <c r="AF186" s="15">
        <f t="shared" si="55"/>
        <v>0.92648162040510129</v>
      </c>
      <c r="AG186" s="15">
        <f t="shared" si="56"/>
        <v>0.96945454545454546</v>
      </c>
      <c r="AH186" s="16"/>
      <c r="AI186" s="16"/>
      <c r="AJ186" s="16">
        <v>1375</v>
      </c>
      <c r="AK186" s="16">
        <f t="shared" ref="AK186:AK197" si="86">AJ186-AL186</f>
        <v>42</v>
      </c>
      <c r="AL186" s="16">
        <v>1333</v>
      </c>
      <c r="AM186" s="16">
        <v>1235</v>
      </c>
      <c r="AN186" s="16">
        <f t="shared" ref="AN186:AN197" si="87">AL186-AM186</f>
        <v>98</v>
      </c>
      <c r="AO186" s="16"/>
      <c r="AP186" s="16"/>
      <c r="AQ186" s="78">
        <v>2008</v>
      </c>
      <c r="AR186" s="79" t="s">
        <v>36</v>
      </c>
      <c r="AS186" s="15">
        <f t="shared" si="58"/>
        <v>0.95967741935483875</v>
      </c>
      <c r="AT186" s="15">
        <f t="shared" si="59"/>
        <v>0.98347107438016534</v>
      </c>
      <c r="AU186" s="15">
        <f t="shared" si="60"/>
        <v>0.97580645161290325</v>
      </c>
      <c r="AV186" s="15"/>
      <c r="AW186" s="15"/>
      <c r="AX186" s="16">
        <v>248</v>
      </c>
      <c r="AY186" s="16">
        <f t="shared" ref="AY186:AY197" si="88">AX186-AZ186</f>
        <v>6</v>
      </c>
      <c r="AZ186" s="16">
        <v>242</v>
      </c>
      <c r="BA186" s="16">
        <v>238</v>
      </c>
      <c r="BB186" s="16">
        <f t="shared" ref="BB186:BB197" si="89">AZ186-BA186</f>
        <v>4</v>
      </c>
      <c r="BC186" s="16"/>
      <c r="BD186" s="16"/>
      <c r="BE186" s="78"/>
      <c r="BF186" s="79"/>
      <c r="BG186" s="15"/>
      <c r="BH186" s="15"/>
      <c r="BI186" s="15"/>
      <c r="BS186" s="78"/>
      <c r="BT186" s="79"/>
      <c r="BU186" s="15"/>
      <c r="BV186" s="15"/>
      <c r="BW186" s="15"/>
      <c r="CA186" s="45"/>
      <c r="CD186" s="45"/>
      <c r="CG186" s="78"/>
      <c r="CH186" s="79"/>
      <c r="CI186" s="15"/>
      <c r="CJ186" s="15"/>
      <c r="CK186" s="15"/>
      <c r="CO186" s="45"/>
      <c r="CR186" s="45"/>
    </row>
    <row r="187" spans="1:96" s="18" customFormat="1" ht="15" customHeight="1">
      <c r="A187" s="80">
        <v>2008</v>
      </c>
      <c r="B187" s="81" t="s">
        <v>37</v>
      </c>
      <c r="C187" s="15">
        <f t="shared" si="46"/>
        <v>0.84383561643835614</v>
      </c>
      <c r="D187" s="15">
        <f t="shared" si="47"/>
        <v>0.89416732647136443</v>
      </c>
      <c r="E187" s="15">
        <f t="shared" si="48"/>
        <v>0.94371108343711085</v>
      </c>
      <c r="F187" s="57"/>
      <c r="G187" s="34"/>
      <c r="H187" s="57">
        <f>+V187+AJ187+AX187+BL187+BS_GC_MP_Vill[[#This Row],[Trenes Programados]]</f>
        <v>4015</v>
      </c>
      <c r="I187" s="16">
        <f t="shared" si="82"/>
        <v>226</v>
      </c>
      <c r="J187" s="57">
        <f>+X187+AL187+AZ187+BN187+BS_GC_MP_Vill[[#This Row],[Trenes Corridos]]</f>
        <v>3789</v>
      </c>
      <c r="K187" s="57">
        <f>+Y187+AM187+BA187+BO187+BS_GC_MP_Vill[[#This Row],[Trenes Puntuales]]</f>
        <v>3388</v>
      </c>
      <c r="L187" s="16">
        <f t="shared" si="83"/>
        <v>401</v>
      </c>
      <c r="M187" s="16"/>
      <c r="N187" s="16"/>
      <c r="O187" s="80">
        <v>2008</v>
      </c>
      <c r="P187" s="81" t="s">
        <v>37</v>
      </c>
      <c r="Q187" s="15">
        <f t="shared" si="50"/>
        <v>0.86447473937449881</v>
      </c>
      <c r="R187" s="15">
        <f t="shared" si="51"/>
        <v>0.89386401326699838</v>
      </c>
      <c r="S187" s="15">
        <f t="shared" si="52"/>
        <v>0.96712109061748197</v>
      </c>
      <c r="T187" s="16"/>
      <c r="U187" s="16"/>
      <c r="V187" s="16">
        <v>2494</v>
      </c>
      <c r="W187" s="16">
        <f t="shared" si="84"/>
        <v>82</v>
      </c>
      <c r="X187" s="16">
        <v>2412</v>
      </c>
      <c r="Y187" s="16">
        <v>2156</v>
      </c>
      <c r="Z187" s="16">
        <f t="shared" si="85"/>
        <v>256</v>
      </c>
      <c r="AA187" s="16"/>
      <c r="AB187" s="16"/>
      <c r="AC187" s="80">
        <v>2008</v>
      </c>
      <c r="AD187" s="81" t="s">
        <v>37</v>
      </c>
      <c r="AE187" s="15">
        <f t="shared" si="54"/>
        <v>0.7820015515903801</v>
      </c>
      <c r="AF187" s="15">
        <f t="shared" si="55"/>
        <v>0.875</v>
      </c>
      <c r="AG187" s="15">
        <f t="shared" si="56"/>
        <v>0.89371605896043449</v>
      </c>
      <c r="AH187" s="16"/>
      <c r="AI187" s="16"/>
      <c r="AJ187" s="16">
        <v>1289</v>
      </c>
      <c r="AK187" s="16">
        <f t="shared" si="86"/>
        <v>137</v>
      </c>
      <c r="AL187" s="16">
        <v>1152</v>
      </c>
      <c r="AM187" s="16">
        <v>1008</v>
      </c>
      <c r="AN187" s="16">
        <f t="shared" si="87"/>
        <v>144</v>
      </c>
      <c r="AO187" s="16"/>
      <c r="AP187" s="16"/>
      <c r="AQ187" s="80">
        <v>2008</v>
      </c>
      <c r="AR187" s="81" t="s">
        <v>37</v>
      </c>
      <c r="AS187" s="15">
        <f t="shared" si="58"/>
        <v>0.96551724137931039</v>
      </c>
      <c r="AT187" s="15">
        <f t="shared" si="59"/>
        <v>0.99555555555555553</v>
      </c>
      <c r="AU187" s="15">
        <f t="shared" si="60"/>
        <v>0.96982758620689657</v>
      </c>
      <c r="AV187" s="15"/>
      <c r="AW187" s="15"/>
      <c r="AX187" s="16">
        <v>232</v>
      </c>
      <c r="AY187" s="16">
        <f t="shared" si="88"/>
        <v>7</v>
      </c>
      <c r="AZ187" s="16">
        <v>225</v>
      </c>
      <c r="BA187" s="16">
        <v>224</v>
      </c>
      <c r="BB187" s="16">
        <f t="shared" si="89"/>
        <v>1</v>
      </c>
      <c r="BC187" s="16"/>
      <c r="BD187" s="16"/>
      <c r="BE187" s="80"/>
      <c r="BF187" s="81"/>
      <c r="BG187" s="15"/>
      <c r="BH187" s="15"/>
      <c r="BI187" s="15"/>
      <c r="BS187" s="80"/>
      <c r="BT187" s="81"/>
      <c r="BU187" s="15"/>
      <c r="BV187" s="15"/>
      <c r="BW187" s="15"/>
      <c r="CA187" s="45"/>
      <c r="CD187" s="45"/>
      <c r="CG187" s="80"/>
      <c r="CH187" s="81"/>
      <c r="CI187" s="15"/>
      <c r="CJ187" s="15"/>
      <c r="CK187" s="15"/>
      <c r="CO187" s="45"/>
      <c r="CR187" s="45"/>
    </row>
    <row r="188" spans="1:96" s="18" customFormat="1" ht="15" customHeight="1">
      <c r="A188" s="78">
        <v>2008</v>
      </c>
      <c r="B188" s="79" t="s">
        <v>38</v>
      </c>
      <c r="C188" s="15">
        <f t="shared" si="46"/>
        <v>0.91583688952110009</v>
      </c>
      <c r="D188" s="15">
        <f t="shared" si="47"/>
        <v>0.95218141483855068</v>
      </c>
      <c r="E188" s="15">
        <f t="shared" si="48"/>
        <v>0.96183025130393551</v>
      </c>
      <c r="F188" s="57"/>
      <c r="G188" s="34"/>
      <c r="H188" s="57">
        <f>+V188+AJ188+AX188+BL188+BS_GC_MP_Vill[[#This Row],[Trenes Programados]]</f>
        <v>4218</v>
      </c>
      <c r="I188" s="16">
        <f t="shared" si="82"/>
        <v>161</v>
      </c>
      <c r="J188" s="57">
        <f>+X188+AL188+AZ188+BN188+BS_GC_MP_Vill[[#This Row],[Trenes Corridos]]</f>
        <v>4057</v>
      </c>
      <c r="K188" s="57">
        <f>+Y188+AM188+BA188+BO188+BS_GC_MP_Vill[[#This Row],[Trenes Puntuales]]</f>
        <v>3863</v>
      </c>
      <c r="L188" s="16">
        <f t="shared" si="83"/>
        <v>194</v>
      </c>
      <c r="M188" s="16"/>
      <c r="N188" s="16"/>
      <c r="O188" s="78">
        <v>2008</v>
      </c>
      <c r="P188" s="79" t="s">
        <v>38</v>
      </c>
      <c r="Q188" s="15">
        <f t="shared" si="50"/>
        <v>0.93930080676142913</v>
      </c>
      <c r="R188" s="15">
        <f t="shared" si="51"/>
        <v>0.96108490566037741</v>
      </c>
      <c r="S188" s="15">
        <f t="shared" si="52"/>
        <v>0.97733384556281211</v>
      </c>
      <c r="T188" s="16"/>
      <c r="U188" s="16"/>
      <c r="V188" s="16">
        <v>2603</v>
      </c>
      <c r="W188" s="16">
        <f t="shared" si="84"/>
        <v>59</v>
      </c>
      <c r="X188" s="16">
        <v>2544</v>
      </c>
      <c r="Y188" s="16">
        <v>2445</v>
      </c>
      <c r="Z188" s="16">
        <f t="shared" si="85"/>
        <v>99</v>
      </c>
      <c r="AA188" s="16"/>
      <c r="AB188" s="16"/>
      <c r="AC188" s="78">
        <v>2008</v>
      </c>
      <c r="AD188" s="79" t="s">
        <v>38</v>
      </c>
      <c r="AE188" s="15">
        <f t="shared" si="54"/>
        <v>0.87198244330651065</v>
      </c>
      <c r="AF188" s="15">
        <f t="shared" si="55"/>
        <v>0.92690513219284598</v>
      </c>
      <c r="AG188" s="15">
        <f t="shared" si="56"/>
        <v>0.9407461594732992</v>
      </c>
      <c r="AH188" s="16"/>
      <c r="AI188" s="16"/>
      <c r="AJ188" s="16">
        <v>1367</v>
      </c>
      <c r="AK188" s="16">
        <f t="shared" si="86"/>
        <v>81</v>
      </c>
      <c r="AL188" s="16">
        <v>1286</v>
      </c>
      <c r="AM188" s="16">
        <v>1192</v>
      </c>
      <c r="AN188" s="16">
        <f t="shared" si="87"/>
        <v>94</v>
      </c>
      <c r="AO188" s="16"/>
      <c r="AP188" s="16"/>
      <c r="AQ188" s="78">
        <v>2008</v>
      </c>
      <c r="AR188" s="79" t="s">
        <v>38</v>
      </c>
      <c r="AS188" s="15">
        <f t="shared" si="58"/>
        <v>0.91129032258064513</v>
      </c>
      <c r="AT188" s="15">
        <f t="shared" si="59"/>
        <v>0.99559471365638763</v>
      </c>
      <c r="AU188" s="15">
        <f t="shared" si="60"/>
        <v>0.91532258064516125</v>
      </c>
      <c r="AV188" s="15"/>
      <c r="AW188" s="15"/>
      <c r="AX188" s="16">
        <v>248</v>
      </c>
      <c r="AY188" s="16">
        <f t="shared" si="88"/>
        <v>21</v>
      </c>
      <c r="AZ188" s="16">
        <v>227</v>
      </c>
      <c r="BA188" s="16">
        <v>226</v>
      </c>
      <c r="BB188" s="16">
        <f t="shared" si="89"/>
        <v>1</v>
      </c>
      <c r="BC188" s="16"/>
      <c r="BD188" s="16"/>
      <c r="BE188" s="78"/>
      <c r="BF188" s="79"/>
      <c r="BG188" s="15"/>
      <c r="BH188" s="15"/>
      <c r="BI188" s="15"/>
      <c r="BS188" s="78"/>
      <c r="BT188" s="79"/>
      <c r="BU188" s="15"/>
      <c r="BV188" s="15"/>
      <c r="BW188" s="15"/>
      <c r="CA188" s="45"/>
      <c r="CD188" s="45"/>
      <c r="CG188" s="78"/>
      <c r="CH188" s="79"/>
      <c r="CI188" s="15"/>
      <c r="CJ188" s="15"/>
      <c r="CK188" s="15"/>
      <c r="CO188" s="45"/>
      <c r="CR188" s="45"/>
    </row>
    <row r="189" spans="1:96" s="18" customFormat="1" ht="15" customHeight="1">
      <c r="A189" s="80">
        <v>2008</v>
      </c>
      <c r="B189" s="81" t="s">
        <v>39</v>
      </c>
      <c r="C189" s="15">
        <f t="shared" si="46"/>
        <v>0.89523348657149771</v>
      </c>
      <c r="D189" s="15">
        <f t="shared" si="47"/>
        <v>0.94774590163934425</v>
      </c>
      <c r="E189" s="15">
        <f t="shared" si="48"/>
        <v>0.94459230583111542</v>
      </c>
      <c r="F189" s="57"/>
      <c r="G189" s="34"/>
      <c r="H189" s="57">
        <f>+V189+AJ189+AX189+BL189+BS_GC_MP_Vill[[#This Row],[Trenes Programados]]</f>
        <v>4133</v>
      </c>
      <c r="I189" s="16">
        <f t="shared" si="82"/>
        <v>229</v>
      </c>
      <c r="J189" s="57">
        <f>+X189+AL189+AZ189+BN189+BS_GC_MP_Vill[[#This Row],[Trenes Corridos]]</f>
        <v>3904</v>
      </c>
      <c r="K189" s="57">
        <f>+Y189+AM189+BA189+BO189+BS_GC_MP_Vill[[#This Row],[Trenes Puntuales]]</f>
        <v>3700</v>
      </c>
      <c r="L189" s="16">
        <f t="shared" si="83"/>
        <v>204</v>
      </c>
      <c r="M189" s="16"/>
      <c r="N189" s="16"/>
      <c r="O189" s="80">
        <v>2008</v>
      </c>
      <c r="P189" s="81" t="s">
        <v>39</v>
      </c>
      <c r="Q189" s="15">
        <f t="shared" si="50"/>
        <v>0.90674990245805698</v>
      </c>
      <c r="R189" s="15">
        <f t="shared" si="51"/>
        <v>0.95559210526315785</v>
      </c>
      <c r="S189" s="15">
        <f t="shared" si="52"/>
        <v>0.94888802184939525</v>
      </c>
      <c r="T189" s="16"/>
      <c r="U189" s="16"/>
      <c r="V189" s="16">
        <v>2563</v>
      </c>
      <c r="W189" s="16">
        <f t="shared" si="84"/>
        <v>131</v>
      </c>
      <c r="X189" s="16">
        <v>2432</v>
      </c>
      <c r="Y189" s="16">
        <v>2324</v>
      </c>
      <c r="Z189" s="16">
        <f t="shared" si="85"/>
        <v>108</v>
      </c>
      <c r="AA189" s="16"/>
      <c r="AB189" s="16"/>
      <c r="AC189" s="80">
        <v>2008</v>
      </c>
      <c r="AD189" s="81" t="s">
        <v>39</v>
      </c>
      <c r="AE189" s="15">
        <f t="shared" si="54"/>
        <v>0.85789473684210527</v>
      </c>
      <c r="AF189" s="15">
        <f t="shared" si="55"/>
        <v>0.92613636363636365</v>
      </c>
      <c r="AG189" s="15">
        <f t="shared" si="56"/>
        <v>0.9263157894736842</v>
      </c>
      <c r="AH189" s="16"/>
      <c r="AI189" s="16"/>
      <c r="AJ189" s="16">
        <v>1330</v>
      </c>
      <c r="AK189" s="16">
        <f t="shared" si="86"/>
        <v>98</v>
      </c>
      <c r="AL189" s="16">
        <v>1232</v>
      </c>
      <c r="AM189" s="16">
        <v>1141</v>
      </c>
      <c r="AN189" s="16">
        <f t="shared" si="87"/>
        <v>91</v>
      </c>
      <c r="AO189" s="16"/>
      <c r="AP189" s="16"/>
      <c r="AQ189" s="80">
        <v>2008</v>
      </c>
      <c r="AR189" s="81" t="s">
        <v>39</v>
      </c>
      <c r="AS189" s="15">
        <f t="shared" si="58"/>
        <v>0.97916666666666663</v>
      </c>
      <c r="AT189" s="15">
        <f t="shared" si="59"/>
        <v>0.97916666666666663</v>
      </c>
      <c r="AU189" s="15">
        <f t="shared" si="60"/>
        <v>1</v>
      </c>
      <c r="AV189" s="15"/>
      <c r="AW189" s="15"/>
      <c r="AX189" s="16">
        <v>240</v>
      </c>
      <c r="AY189" s="16">
        <f t="shared" si="88"/>
        <v>0</v>
      </c>
      <c r="AZ189" s="16">
        <v>240</v>
      </c>
      <c r="BA189" s="16">
        <v>235</v>
      </c>
      <c r="BB189" s="16">
        <f t="shared" si="89"/>
        <v>5</v>
      </c>
      <c r="BC189" s="16"/>
      <c r="BD189" s="16"/>
      <c r="BE189" s="80"/>
      <c r="BF189" s="81"/>
      <c r="BG189" s="15"/>
      <c r="BH189" s="15"/>
      <c r="BI189" s="15"/>
      <c r="BS189" s="80"/>
      <c r="BT189" s="81"/>
      <c r="BU189" s="15"/>
      <c r="BV189" s="15"/>
      <c r="BW189" s="15"/>
      <c r="CA189" s="45"/>
      <c r="CD189" s="45"/>
      <c r="CG189" s="80"/>
      <c r="CH189" s="81"/>
      <c r="CI189" s="15"/>
      <c r="CJ189" s="15"/>
      <c r="CK189" s="15"/>
      <c r="CO189" s="45"/>
      <c r="CR189" s="45"/>
    </row>
    <row r="190" spans="1:96" s="18" customFormat="1" ht="15" customHeight="1">
      <c r="A190" s="78">
        <v>2008</v>
      </c>
      <c r="B190" s="79" t="s">
        <v>40</v>
      </c>
      <c r="C190" s="15">
        <f t="shared" si="46"/>
        <v>0.93720712277413309</v>
      </c>
      <c r="D190" s="15">
        <f t="shared" si="47"/>
        <v>0.95397090388743144</v>
      </c>
      <c r="E190" s="15">
        <f t="shared" si="48"/>
        <v>0.98242736644798501</v>
      </c>
      <c r="F190" s="57"/>
      <c r="G190" s="34"/>
      <c r="H190" s="57">
        <f>+V190+AJ190+AX190+BL190+BS_GC_MP_Vill[[#This Row],[Trenes Programados]]</f>
        <v>4268</v>
      </c>
      <c r="I190" s="16">
        <f t="shared" si="82"/>
        <v>75</v>
      </c>
      <c r="J190" s="57">
        <f>+X190+AL190+AZ190+BN190+BS_GC_MP_Vill[[#This Row],[Trenes Corridos]]</f>
        <v>4193</v>
      </c>
      <c r="K190" s="57">
        <f>+Y190+AM190+BA190+BO190+BS_GC_MP_Vill[[#This Row],[Trenes Puntuales]]</f>
        <v>4000</v>
      </c>
      <c r="L190" s="16">
        <f t="shared" si="83"/>
        <v>193</v>
      </c>
      <c r="M190" s="16"/>
      <c r="N190" s="16"/>
      <c r="O190" s="78">
        <v>2008</v>
      </c>
      <c r="P190" s="79" t="s">
        <v>40</v>
      </c>
      <c r="Q190" s="15">
        <f t="shared" si="50"/>
        <v>0.94480151228733456</v>
      </c>
      <c r="R190" s="15">
        <f t="shared" si="51"/>
        <v>0.96004610065309259</v>
      </c>
      <c r="S190" s="15">
        <f t="shared" si="52"/>
        <v>0.98412098298676753</v>
      </c>
      <c r="T190" s="16"/>
      <c r="U190" s="16"/>
      <c r="V190" s="16">
        <v>2645</v>
      </c>
      <c r="W190" s="16">
        <f t="shared" si="84"/>
        <v>42</v>
      </c>
      <c r="X190" s="16">
        <v>2603</v>
      </c>
      <c r="Y190" s="16">
        <v>2499</v>
      </c>
      <c r="Z190" s="16">
        <f t="shared" si="85"/>
        <v>104</v>
      </c>
      <c r="AA190" s="16"/>
      <c r="AB190" s="16"/>
      <c r="AC190" s="78">
        <v>2008</v>
      </c>
      <c r="AD190" s="79" t="s">
        <v>40</v>
      </c>
      <c r="AE190" s="15">
        <f t="shared" si="54"/>
        <v>0.91272727272727272</v>
      </c>
      <c r="AF190" s="15">
        <f t="shared" si="55"/>
        <v>0.93517138599105809</v>
      </c>
      <c r="AG190" s="15">
        <f t="shared" si="56"/>
        <v>0.97599999999999998</v>
      </c>
      <c r="AH190" s="16"/>
      <c r="AI190" s="16"/>
      <c r="AJ190" s="16">
        <v>1375</v>
      </c>
      <c r="AK190" s="16">
        <f t="shared" si="86"/>
        <v>33</v>
      </c>
      <c r="AL190" s="16">
        <v>1342</v>
      </c>
      <c r="AM190" s="16">
        <v>1255</v>
      </c>
      <c r="AN190" s="16">
        <f t="shared" si="87"/>
        <v>87</v>
      </c>
      <c r="AO190" s="16"/>
      <c r="AP190" s="16"/>
      <c r="AQ190" s="78">
        <v>2008</v>
      </c>
      <c r="AR190" s="79" t="s">
        <v>40</v>
      </c>
      <c r="AS190" s="15">
        <f t="shared" si="58"/>
        <v>0.99193548387096775</v>
      </c>
      <c r="AT190" s="15">
        <f t="shared" si="59"/>
        <v>0.99193548387096775</v>
      </c>
      <c r="AU190" s="15">
        <f t="shared" si="60"/>
        <v>1</v>
      </c>
      <c r="AV190" s="15"/>
      <c r="AW190" s="15"/>
      <c r="AX190" s="16">
        <v>248</v>
      </c>
      <c r="AY190" s="16">
        <f t="shared" si="88"/>
        <v>0</v>
      </c>
      <c r="AZ190" s="16">
        <v>248</v>
      </c>
      <c r="BA190" s="16">
        <v>246</v>
      </c>
      <c r="BB190" s="16">
        <f t="shared" si="89"/>
        <v>2</v>
      </c>
      <c r="BC190" s="16"/>
      <c r="BD190" s="16"/>
      <c r="BE190" s="78"/>
      <c r="BF190" s="79"/>
      <c r="BG190" s="15"/>
      <c r="BH190" s="15"/>
      <c r="BI190" s="15"/>
      <c r="BS190" s="78"/>
      <c r="BT190" s="79"/>
      <c r="BU190" s="15"/>
      <c r="BV190" s="15"/>
      <c r="BW190" s="15"/>
      <c r="CA190" s="45"/>
      <c r="CD190" s="45"/>
      <c r="CG190" s="78"/>
      <c r="CH190" s="79"/>
      <c r="CI190" s="15"/>
      <c r="CJ190" s="15"/>
      <c r="CK190" s="15"/>
      <c r="CO190" s="45"/>
      <c r="CR190" s="45"/>
    </row>
    <row r="191" spans="1:96" s="18" customFormat="1" ht="15" customHeight="1">
      <c r="A191" s="80">
        <v>2008</v>
      </c>
      <c r="B191" s="81" t="s">
        <v>41</v>
      </c>
      <c r="C191" s="15">
        <f t="shared" si="46"/>
        <v>0.94206426484907502</v>
      </c>
      <c r="D191" s="15">
        <f t="shared" si="47"/>
        <v>0.9598214285714286</v>
      </c>
      <c r="E191" s="15">
        <f t="shared" si="48"/>
        <v>0.98149951314508277</v>
      </c>
      <c r="F191" s="57"/>
      <c r="G191" s="34"/>
      <c r="H191" s="57">
        <f>+V191+AJ191+AX191+BL191+BS_GC_MP_Vill[[#This Row],[Trenes Programados]]</f>
        <v>4108</v>
      </c>
      <c r="I191" s="16">
        <f t="shared" si="82"/>
        <v>76</v>
      </c>
      <c r="J191" s="57">
        <f>+X191+AL191+AZ191+BN191+BS_GC_MP_Vill[[#This Row],[Trenes Corridos]]</f>
        <v>4032</v>
      </c>
      <c r="K191" s="57">
        <f>+Y191+AM191+BA191+BO191+BS_GC_MP_Vill[[#This Row],[Trenes Puntuales]]</f>
        <v>3870</v>
      </c>
      <c r="L191" s="16">
        <f t="shared" si="83"/>
        <v>162</v>
      </c>
      <c r="M191" s="16"/>
      <c r="N191" s="16"/>
      <c r="O191" s="80">
        <v>2008</v>
      </c>
      <c r="P191" s="81" t="s">
        <v>41</v>
      </c>
      <c r="Q191" s="15">
        <f t="shared" si="50"/>
        <v>0.94649881982690798</v>
      </c>
      <c r="R191" s="15">
        <f t="shared" si="51"/>
        <v>0.96201519392243107</v>
      </c>
      <c r="S191" s="15">
        <f t="shared" si="52"/>
        <v>0.9838709677419355</v>
      </c>
      <c r="T191" s="16"/>
      <c r="U191" s="16"/>
      <c r="V191" s="16">
        <v>2542</v>
      </c>
      <c r="W191" s="16">
        <f t="shared" si="84"/>
        <v>41</v>
      </c>
      <c r="X191" s="16">
        <v>2501</v>
      </c>
      <c r="Y191" s="16">
        <v>2406</v>
      </c>
      <c r="Z191" s="16">
        <f t="shared" si="85"/>
        <v>95</v>
      </c>
      <c r="AA191" s="16"/>
      <c r="AB191" s="16"/>
      <c r="AC191" s="80">
        <v>2008</v>
      </c>
      <c r="AD191" s="81" t="s">
        <v>41</v>
      </c>
      <c r="AE191" s="15">
        <f t="shared" si="54"/>
        <v>0.93363499245852188</v>
      </c>
      <c r="AF191" s="15">
        <f t="shared" si="55"/>
        <v>0.95157571099154492</v>
      </c>
      <c r="AG191" s="15">
        <f t="shared" si="56"/>
        <v>0.9811463046757164</v>
      </c>
      <c r="AH191" s="16"/>
      <c r="AI191" s="16"/>
      <c r="AJ191" s="16">
        <v>1326</v>
      </c>
      <c r="AK191" s="16">
        <f t="shared" si="86"/>
        <v>25</v>
      </c>
      <c r="AL191" s="16">
        <v>1301</v>
      </c>
      <c r="AM191" s="16">
        <v>1238</v>
      </c>
      <c r="AN191" s="16">
        <f t="shared" si="87"/>
        <v>63</v>
      </c>
      <c r="AO191" s="16"/>
      <c r="AP191" s="16"/>
      <c r="AQ191" s="80">
        <v>2008</v>
      </c>
      <c r="AR191" s="81" t="s">
        <v>41</v>
      </c>
      <c r="AS191" s="15">
        <f t="shared" si="58"/>
        <v>0.94166666666666665</v>
      </c>
      <c r="AT191" s="15">
        <f t="shared" si="59"/>
        <v>0.9826086956521739</v>
      </c>
      <c r="AU191" s="15">
        <f t="shared" si="60"/>
        <v>0.95833333333333337</v>
      </c>
      <c r="AV191" s="15"/>
      <c r="AW191" s="15"/>
      <c r="AX191" s="16">
        <v>240</v>
      </c>
      <c r="AY191" s="16">
        <f t="shared" si="88"/>
        <v>10</v>
      </c>
      <c r="AZ191" s="16">
        <v>230</v>
      </c>
      <c r="BA191" s="16">
        <v>226</v>
      </c>
      <c r="BB191" s="16">
        <f t="shared" si="89"/>
        <v>4</v>
      </c>
      <c r="BC191" s="16"/>
      <c r="BD191" s="16"/>
      <c r="BE191" s="80"/>
      <c r="BF191" s="81"/>
      <c r="BG191" s="15"/>
      <c r="BH191" s="15"/>
      <c r="BI191" s="15"/>
      <c r="BS191" s="80"/>
      <c r="BT191" s="81"/>
      <c r="BU191" s="15"/>
      <c r="BV191" s="15"/>
      <c r="BW191" s="15"/>
      <c r="CA191" s="45"/>
      <c r="CD191" s="45"/>
      <c r="CG191" s="80"/>
      <c r="CH191" s="81"/>
      <c r="CI191" s="15"/>
      <c r="CJ191" s="15"/>
      <c r="CK191" s="15"/>
      <c r="CO191" s="45"/>
      <c r="CR191" s="45"/>
    </row>
    <row r="192" spans="1:96" s="18" customFormat="1" ht="15" customHeight="1">
      <c r="A192" s="78">
        <v>2008</v>
      </c>
      <c r="B192" s="79" t="s">
        <v>42</v>
      </c>
      <c r="C192" s="15">
        <f t="shared" si="46"/>
        <v>0.9179497996203333</v>
      </c>
      <c r="D192" s="15">
        <f t="shared" si="47"/>
        <v>0.93894282632146708</v>
      </c>
      <c r="E192" s="15">
        <f t="shared" si="48"/>
        <v>0.97764184771145324</v>
      </c>
      <c r="F192" s="57"/>
      <c r="G192" s="34"/>
      <c r="H192" s="57">
        <f>+V192+AJ192+AX192+BL192+BS_GC_MP_Vill[[#This Row],[Trenes Programados]]</f>
        <v>4741</v>
      </c>
      <c r="I192" s="16">
        <f t="shared" si="82"/>
        <v>106</v>
      </c>
      <c r="J192" s="57">
        <f>+X192+AL192+AZ192+BN192+BS_GC_MP_Vill[[#This Row],[Trenes Corridos]]</f>
        <v>4635</v>
      </c>
      <c r="K192" s="57">
        <f>+Y192+AM192+BA192+BO192+BS_GC_MP_Vill[[#This Row],[Trenes Puntuales]]</f>
        <v>4352</v>
      </c>
      <c r="L192" s="16">
        <f t="shared" si="83"/>
        <v>283</v>
      </c>
      <c r="M192" s="16"/>
      <c r="N192" s="16"/>
      <c r="O192" s="78">
        <v>2008</v>
      </c>
      <c r="P192" s="79" t="s">
        <v>42</v>
      </c>
      <c r="Q192" s="15">
        <f t="shared" si="50"/>
        <v>0.93003533568904595</v>
      </c>
      <c r="R192" s="15">
        <f t="shared" si="51"/>
        <v>0.94676258992805751</v>
      </c>
      <c r="S192" s="15">
        <f t="shared" si="52"/>
        <v>0.98233215547703179</v>
      </c>
      <c r="T192" s="16"/>
      <c r="U192" s="16"/>
      <c r="V192" s="16">
        <v>2830</v>
      </c>
      <c r="W192" s="16">
        <f t="shared" si="84"/>
        <v>50</v>
      </c>
      <c r="X192" s="16">
        <v>2780</v>
      </c>
      <c r="Y192" s="16">
        <v>2632</v>
      </c>
      <c r="Z192" s="16">
        <f t="shared" si="85"/>
        <v>148</v>
      </c>
      <c r="AA192" s="16"/>
      <c r="AB192" s="16"/>
      <c r="AC192" s="78">
        <v>2008</v>
      </c>
      <c r="AD192" s="79" t="s">
        <v>42</v>
      </c>
      <c r="AE192" s="15">
        <f t="shared" si="54"/>
        <v>0.89147762109135498</v>
      </c>
      <c r="AF192" s="15">
        <f t="shared" si="55"/>
        <v>0.92200380469245402</v>
      </c>
      <c r="AG192" s="15">
        <f t="shared" si="56"/>
        <v>0.9668914776210914</v>
      </c>
      <c r="AH192" s="16"/>
      <c r="AI192" s="16"/>
      <c r="AJ192" s="16">
        <v>1631</v>
      </c>
      <c r="AK192" s="16">
        <f t="shared" si="86"/>
        <v>54</v>
      </c>
      <c r="AL192" s="16">
        <v>1577</v>
      </c>
      <c r="AM192" s="16">
        <v>1454</v>
      </c>
      <c r="AN192" s="16">
        <f t="shared" si="87"/>
        <v>123</v>
      </c>
      <c r="AO192" s="16"/>
      <c r="AP192" s="16"/>
      <c r="AQ192" s="78">
        <v>2008</v>
      </c>
      <c r="AR192" s="79" t="s">
        <v>42</v>
      </c>
      <c r="AS192" s="15">
        <f t="shared" si="58"/>
        <v>0.95</v>
      </c>
      <c r="AT192" s="15">
        <f t="shared" si="59"/>
        <v>0.95683453237410077</v>
      </c>
      <c r="AU192" s="15">
        <f t="shared" si="60"/>
        <v>0.99285714285714288</v>
      </c>
      <c r="AV192" s="15"/>
      <c r="AW192" s="15"/>
      <c r="AX192" s="16">
        <v>280</v>
      </c>
      <c r="AY192" s="16">
        <f t="shared" si="88"/>
        <v>2</v>
      </c>
      <c r="AZ192" s="16">
        <v>278</v>
      </c>
      <c r="BA192" s="16">
        <v>266</v>
      </c>
      <c r="BB192" s="16">
        <f t="shared" si="89"/>
        <v>12</v>
      </c>
      <c r="BC192" s="16"/>
      <c r="BD192" s="16"/>
      <c r="BE192" s="78"/>
      <c r="BF192" s="79"/>
      <c r="BG192" s="15"/>
      <c r="BH192" s="15"/>
      <c r="BI192" s="15"/>
      <c r="BS192" s="78"/>
      <c r="BT192" s="79"/>
      <c r="BU192" s="15"/>
      <c r="BV192" s="15"/>
      <c r="BW192" s="15"/>
      <c r="CA192" s="45"/>
      <c r="CD192" s="45"/>
      <c r="CG192" s="78"/>
      <c r="CH192" s="79"/>
      <c r="CI192" s="15"/>
      <c r="CJ192" s="15"/>
      <c r="CK192" s="15"/>
      <c r="CO192" s="45"/>
      <c r="CR192" s="45"/>
    </row>
    <row r="193" spans="1:96" s="18" customFormat="1" ht="15" customHeight="1">
      <c r="A193" s="80">
        <v>2008</v>
      </c>
      <c r="B193" s="81" t="s">
        <v>43</v>
      </c>
      <c r="C193" s="15">
        <f t="shared" si="46"/>
        <v>0.91860465116279066</v>
      </c>
      <c r="D193" s="15">
        <f t="shared" si="47"/>
        <v>0.94429028815368199</v>
      </c>
      <c r="E193" s="15">
        <f t="shared" si="48"/>
        <v>0.9727990033222591</v>
      </c>
      <c r="F193" s="57"/>
      <c r="G193" s="34"/>
      <c r="H193" s="57">
        <f>+V193+AJ193+AX193+BL193+BS_GC_MP_Vill[[#This Row],[Trenes Programados]]</f>
        <v>4816</v>
      </c>
      <c r="I193" s="16">
        <f t="shared" si="82"/>
        <v>131</v>
      </c>
      <c r="J193" s="57">
        <f>+X193+AL193+AZ193+BN193+BS_GC_MP_Vill[[#This Row],[Trenes Corridos]]</f>
        <v>4685</v>
      </c>
      <c r="K193" s="57">
        <f>+Y193+AM193+BA193+BO193+BS_GC_MP_Vill[[#This Row],[Trenes Puntuales]]</f>
        <v>4424</v>
      </c>
      <c r="L193" s="16">
        <f t="shared" si="83"/>
        <v>261</v>
      </c>
      <c r="M193" s="16"/>
      <c r="N193" s="16"/>
      <c r="O193" s="80">
        <v>2008</v>
      </c>
      <c r="P193" s="81" t="s">
        <v>43</v>
      </c>
      <c r="Q193" s="15">
        <f t="shared" si="50"/>
        <v>0.93884007029876981</v>
      </c>
      <c r="R193" s="15">
        <f t="shared" si="51"/>
        <v>0.95700465782873523</v>
      </c>
      <c r="S193" s="15">
        <f t="shared" si="52"/>
        <v>0.98101933216168713</v>
      </c>
      <c r="T193" s="16"/>
      <c r="U193" s="16"/>
      <c r="V193" s="16">
        <v>2845</v>
      </c>
      <c r="W193" s="16">
        <f t="shared" si="84"/>
        <v>54</v>
      </c>
      <c r="X193" s="16">
        <v>2791</v>
      </c>
      <c r="Y193" s="16">
        <v>2671</v>
      </c>
      <c r="Z193" s="16">
        <f t="shared" si="85"/>
        <v>120</v>
      </c>
      <c r="AA193" s="16"/>
      <c r="AB193" s="16"/>
      <c r="AC193" s="80">
        <v>2008</v>
      </c>
      <c r="AD193" s="81" t="s">
        <v>43</v>
      </c>
      <c r="AE193" s="15">
        <f t="shared" si="54"/>
        <v>0.87285629804849196</v>
      </c>
      <c r="AF193" s="15">
        <f t="shared" si="55"/>
        <v>0.9139318885448916</v>
      </c>
      <c r="AG193" s="15">
        <f t="shared" si="56"/>
        <v>0.9550561797752809</v>
      </c>
      <c r="AH193" s="16"/>
      <c r="AI193" s="16"/>
      <c r="AJ193" s="16">
        <v>1691</v>
      </c>
      <c r="AK193" s="16">
        <f t="shared" si="86"/>
        <v>76</v>
      </c>
      <c r="AL193" s="16">
        <v>1615</v>
      </c>
      <c r="AM193" s="16">
        <v>1476</v>
      </c>
      <c r="AN193" s="16">
        <f t="shared" si="87"/>
        <v>139</v>
      </c>
      <c r="AO193" s="16"/>
      <c r="AP193" s="16"/>
      <c r="AQ193" s="80">
        <v>2008</v>
      </c>
      <c r="AR193" s="81" t="s">
        <v>43</v>
      </c>
      <c r="AS193" s="15">
        <f t="shared" si="58"/>
        <v>0.98928571428571432</v>
      </c>
      <c r="AT193" s="15">
        <f t="shared" si="59"/>
        <v>0.99283154121863804</v>
      </c>
      <c r="AU193" s="15">
        <f t="shared" si="60"/>
        <v>0.99642857142857144</v>
      </c>
      <c r="AV193" s="15"/>
      <c r="AW193" s="15"/>
      <c r="AX193" s="16">
        <v>280</v>
      </c>
      <c r="AY193" s="16">
        <f t="shared" si="88"/>
        <v>1</v>
      </c>
      <c r="AZ193" s="16">
        <v>279</v>
      </c>
      <c r="BA193" s="16">
        <v>277</v>
      </c>
      <c r="BB193" s="16">
        <f t="shared" si="89"/>
        <v>2</v>
      </c>
      <c r="BC193" s="16"/>
      <c r="BD193" s="16"/>
      <c r="BE193" s="80"/>
      <c r="BF193" s="81"/>
      <c r="BG193" s="15"/>
      <c r="BH193" s="15"/>
      <c r="BI193" s="15"/>
      <c r="BS193" s="80"/>
      <c r="BT193" s="81"/>
      <c r="BU193" s="15"/>
      <c r="BV193" s="15"/>
      <c r="BW193" s="15"/>
      <c r="CA193" s="45"/>
      <c r="CD193" s="45"/>
      <c r="CG193" s="80"/>
      <c r="CH193" s="81"/>
      <c r="CI193" s="15"/>
      <c r="CJ193" s="15"/>
      <c r="CK193" s="15"/>
      <c r="CO193" s="45"/>
      <c r="CR193" s="45"/>
    </row>
    <row r="194" spans="1:96" s="18" customFormat="1" ht="15" customHeight="1">
      <c r="A194" s="78">
        <v>2008</v>
      </c>
      <c r="B194" s="79" t="s">
        <v>44</v>
      </c>
      <c r="C194" s="15">
        <f t="shared" si="46"/>
        <v>0.87714467273882657</v>
      </c>
      <c r="D194" s="15">
        <f t="shared" si="47"/>
        <v>0.91777482269503541</v>
      </c>
      <c r="E194" s="15">
        <f t="shared" si="48"/>
        <v>0.9557297182800254</v>
      </c>
      <c r="F194" s="57"/>
      <c r="G194" s="34"/>
      <c r="H194" s="57">
        <f>+V194+AJ194+AX194+BL194+BS_GC_MP_Vill[[#This Row],[Trenes Programados]]</f>
        <v>4721</v>
      </c>
      <c r="I194" s="16">
        <f t="shared" si="82"/>
        <v>209</v>
      </c>
      <c r="J194" s="57">
        <f>+X194+AL194+AZ194+BN194+BS_GC_MP_Vill[[#This Row],[Trenes Corridos]]</f>
        <v>4512</v>
      </c>
      <c r="K194" s="57">
        <f>+Y194+AM194+BA194+BO194+BS_GC_MP_Vill[[#This Row],[Trenes Puntuales]]</f>
        <v>4141</v>
      </c>
      <c r="L194" s="16">
        <f t="shared" si="83"/>
        <v>371</v>
      </c>
      <c r="M194" s="16"/>
      <c r="N194" s="16"/>
      <c r="O194" s="78">
        <v>2008</v>
      </c>
      <c r="P194" s="79" t="s">
        <v>44</v>
      </c>
      <c r="Q194" s="15">
        <f t="shared" si="50"/>
        <v>0.88634739099356685</v>
      </c>
      <c r="R194" s="15">
        <f t="shared" si="51"/>
        <v>0.92296241161146264</v>
      </c>
      <c r="S194" s="15">
        <f t="shared" si="52"/>
        <v>0.96032880629020734</v>
      </c>
      <c r="T194" s="16"/>
      <c r="U194" s="16"/>
      <c r="V194" s="16">
        <v>2798</v>
      </c>
      <c r="W194" s="16">
        <f t="shared" si="84"/>
        <v>111</v>
      </c>
      <c r="X194" s="16">
        <v>2687</v>
      </c>
      <c r="Y194" s="16">
        <v>2480</v>
      </c>
      <c r="Z194" s="16">
        <f t="shared" si="85"/>
        <v>207</v>
      </c>
      <c r="AA194" s="16"/>
      <c r="AB194" s="16"/>
      <c r="AC194" s="78">
        <v>2008</v>
      </c>
      <c r="AD194" s="79" t="s">
        <v>44</v>
      </c>
      <c r="AE194" s="15">
        <f t="shared" si="54"/>
        <v>0.84713763702801459</v>
      </c>
      <c r="AF194" s="15">
        <f t="shared" si="55"/>
        <v>0.89568576947842882</v>
      </c>
      <c r="AG194" s="15">
        <f t="shared" si="56"/>
        <v>0.94579780755176612</v>
      </c>
      <c r="AH194" s="16"/>
      <c r="AI194" s="16"/>
      <c r="AJ194" s="16">
        <v>1642</v>
      </c>
      <c r="AK194" s="16">
        <f t="shared" si="86"/>
        <v>89</v>
      </c>
      <c r="AL194" s="16">
        <v>1553</v>
      </c>
      <c r="AM194" s="16">
        <v>1391</v>
      </c>
      <c r="AN194" s="16">
        <f t="shared" si="87"/>
        <v>162</v>
      </c>
      <c r="AO194" s="16"/>
      <c r="AP194" s="16"/>
      <c r="AQ194" s="78">
        <v>2008</v>
      </c>
      <c r="AR194" s="79" t="s">
        <v>44</v>
      </c>
      <c r="AS194" s="15">
        <f t="shared" si="58"/>
        <v>0.96085409252669041</v>
      </c>
      <c r="AT194" s="15">
        <f t="shared" si="59"/>
        <v>0.99264705882352944</v>
      </c>
      <c r="AU194" s="15">
        <f t="shared" si="60"/>
        <v>0.96797153024911031</v>
      </c>
      <c r="AV194" s="15"/>
      <c r="AW194" s="15"/>
      <c r="AX194" s="16">
        <v>281</v>
      </c>
      <c r="AY194" s="16">
        <f t="shared" si="88"/>
        <v>9</v>
      </c>
      <c r="AZ194" s="16">
        <v>272</v>
      </c>
      <c r="BA194" s="16">
        <v>270</v>
      </c>
      <c r="BB194" s="16">
        <f t="shared" si="89"/>
        <v>2</v>
      </c>
      <c r="BC194" s="16"/>
      <c r="BD194" s="16"/>
      <c r="BE194" s="78"/>
      <c r="BF194" s="79"/>
      <c r="BG194" s="15"/>
      <c r="BH194" s="15"/>
      <c r="BI194" s="15"/>
      <c r="BS194" s="78"/>
      <c r="BT194" s="79"/>
      <c r="BU194" s="15"/>
      <c r="BV194" s="15"/>
      <c r="BW194" s="15"/>
      <c r="CA194" s="45"/>
      <c r="CD194" s="45"/>
      <c r="CG194" s="78"/>
      <c r="CH194" s="79"/>
      <c r="CI194" s="15"/>
      <c r="CJ194" s="15"/>
      <c r="CK194" s="15"/>
      <c r="CO194" s="45"/>
      <c r="CR194" s="45"/>
    </row>
    <row r="195" spans="1:96" s="18" customFormat="1" ht="15" customHeight="1">
      <c r="A195" s="80">
        <v>2008</v>
      </c>
      <c r="B195" s="81" t="s">
        <v>45</v>
      </c>
      <c r="C195" s="15">
        <f t="shared" si="46"/>
        <v>0.91180712961055022</v>
      </c>
      <c r="D195" s="15">
        <f t="shared" si="47"/>
        <v>0.93059936908517349</v>
      </c>
      <c r="E195" s="15">
        <f t="shared" si="48"/>
        <v>0.97980630537811664</v>
      </c>
      <c r="F195" s="57"/>
      <c r="G195" s="34"/>
      <c r="H195" s="57">
        <f>+V195+AJ195+AX195+BL195+BS_GC_MP_Vill[[#This Row],[Trenes Programados]]</f>
        <v>4853</v>
      </c>
      <c r="I195" s="16">
        <f t="shared" si="82"/>
        <v>98</v>
      </c>
      <c r="J195" s="57">
        <f>+X195+AL195+AZ195+BN195+BS_GC_MP_Vill[[#This Row],[Trenes Corridos]]</f>
        <v>4755</v>
      </c>
      <c r="K195" s="57">
        <f>+Y195+AM195+BA195+BO195+BS_GC_MP_Vill[[#This Row],[Trenes Puntuales]]</f>
        <v>4425</v>
      </c>
      <c r="L195" s="16">
        <f t="shared" si="83"/>
        <v>330</v>
      </c>
      <c r="M195" s="16"/>
      <c r="N195" s="16"/>
      <c r="O195" s="80">
        <v>2008</v>
      </c>
      <c r="P195" s="81" t="s">
        <v>45</v>
      </c>
      <c r="Q195" s="15">
        <f t="shared" si="50"/>
        <v>0.92620953706926556</v>
      </c>
      <c r="R195" s="15">
        <f t="shared" si="51"/>
        <v>0.94161358811040341</v>
      </c>
      <c r="S195" s="15">
        <f t="shared" si="52"/>
        <v>0.98364079359554468</v>
      </c>
      <c r="T195" s="16"/>
      <c r="U195" s="16"/>
      <c r="V195" s="16">
        <v>2873</v>
      </c>
      <c r="W195" s="16">
        <f t="shared" si="84"/>
        <v>47</v>
      </c>
      <c r="X195" s="16">
        <v>2826</v>
      </c>
      <c r="Y195" s="16">
        <v>2661</v>
      </c>
      <c r="Z195" s="16">
        <f t="shared" si="85"/>
        <v>165</v>
      </c>
      <c r="AA195" s="16"/>
      <c r="AB195" s="16"/>
      <c r="AC195" s="80">
        <v>2008</v>
      </c>
      <c r="AD195" s="81" t="s">
        <v>45</v>
      </c>
      <c r="AE195" s="15">
        <f t="shared" si="54"/>
        <v>0.87300649734199642</v>
      </c>
      <c r="AF195" s="15">
        <f t="shared" si="55"/>
        <v>0.90012180267965891</v>
      </c>
      <c r="AG195" s="15">
        <f t="shared" si="56"/>
        <v>0.96987595983461317</v>
      </c>
      <c r="AH195" s="16"/>
      <c r="AI195" s="16"/>
      <c r="AJ195" s="16">
        <v>1693</v>
      </c>
      <c r="AK195" s="16">
        <f t="shared" si="86"/>
        <v>51</v>
      </c>
      <c r="AL195" s="16">
        <v>1642</v>
      </c>
      <c r="AM195" s="16">
        <v>1478</v>
      </c>
      <c r="AN195" s="16">
        <f t="shared" si="87"/>
        <v>164</v>
      </c>
      <c r="AO195" s="16"/>
      <c r="AP195" s="16"/>
      <c r="AQ195" s="80">
        <v>2008</v>
      </c>
      <c r="AR195" s="81" t="s">
        <v>45</v>
      </c>
      <c r="AS195" s="15">
        <f t="shared" si="58"/>
        <v>0.99651567944250874</v>
      </c>
      <c r="AT195" s="15">
        <f t="shared" si="59"/>
        <v>0.99651567944250874</v>
      </c>
      <c r="AU195" s="15">
        <f t="shared" si="60"/>
        <v>1</v>
      </c>
      <c r="AV195" s="15"/>
      <c r="AW195" s="15"/>
      <c r="AX195" s="16">
        <v>287</v>
      </c>
      <c r="AY195" s="16">
        <f t="shared" si="88"/>
        <v>0</v>
      </c>
      <c r="AZ195" s="16">
        <v>287</v>
      </c>
      <c r="BA195" s="16">
        <v>286</v>
      </c>
      <c r="BB195" s="16">
        <f t="shared" si="89"/>
        <v>1</v>
      </c>
      <c r="BC195" s="16"/>
      <c r="BD195" s="16"/>
      <c r="BE195" s="80"/>
      <c r="BF195" s="81"/>
      <c r="BG195" s="15"/>
      <c r="BH195" s="15"/>
      <c r="BI195" s="15"/>
      <c r="BS195" s="80"/>
      <c r="BT195" s="81"/>
      <c r="BU195" s="15"/>
      <c r="BV195" s="15"/>
      <c r="BW195" s="15"/>
      <c r="CA195" s="45"/>
      <c r="CD195" s="45"/>
      <c r="CG195" s="80"/>
      <c r="CH195" s="81"/>
      <c r="CI195" s="15"/>
      <c r="CJ195" s="15"/>
      <c r="CK195" s="15"/>
      <c r="CO195" s="45"/>
      <c r="CR195" s="45"/>
    </row>
    <row r="196" spans="1:96" s="18" customFormat="1" ht="15" customHeight="1">
      <c r="A196" s="78">
        <v>2008</v>
      </c>
      <c r="B196" s="79" t="s">
        <v>46</v>
      </c>
      <c r="C196" s="15">
        <f t="shared" si="46"/>
        <v>0.85784418356456782</v>
      </c>
      <c r="D196" s="15">
        <f t="shared" si="47"/>
        <v>0.89669790272199912</v>
      </c>
      <c r="E196" s="15">
        <f t="shared" si="48"/>
        <v>0.9566702241195304</v>
      </c>
      <c r="F196" s="57"/>
      <c r="G196" s="34"/>
      <c r="H196" s="57">
        <f>+V196+AJ196+AX196+BL196+BS_GC_MP_Vill[[#This Row],[Trenes Programados]]</f>
        <v>4685</v>
      </c>
      <c r="I196" s="16">
        <f t="shared" si="82"/>
        <v>203</v>
      </c>
      <c r="J196" s="57">
        <f>+X196+AL196+AZ196+BN196+BS_GC_MP_Vill[[#This Row],[Trenes Corridos]]</f>
        <v>4482</v>
      </c>
      <c r="K196" s="57">
        <f>+Y196+AM196+BA196+BO196+BS_GC_MP_Vill[[#This Row],[Trenes Puntuales]]</f>
        <v>4019</v>
      </c>
      <c r="L196" s="16">
        <f t="shared" si="83"/>
        <v>463</v>
      </c>
      <c r="M196" s="16"/>
      <c r="N196" s="16"/>
      <c r="O196" s="78">
        <v>2008</v>
      </c>
      <c r="P196" s="79" t="s">
        <v>46</v>
      </c>
      <c r="Q196" s="15">
        <f t="shared" si="50"/>
        <v>0.88303249097472925</v>
      </c>
      <c r="R196" s="15">
        <f t="shared" si="51"/>
        <v>0.91541916167664672</v>
      </c>
      <c r="S196" s="15">
        <f t="shared" si="52"/>
        <v>0.9646209386281589</v>
      </c>
      <c r="T196" s="16"/>
      <c r="U196" s="16"/>
      <c r="V196" s="16">
        <v>2770</v>
      </c>
      <c r="W196" s="16">
        <f t="shared" si="84"/>
        <v>98</v>
      </c>
      <c r="X196" s="16">
        <v>2672</v>
      </c>
      <c r="Y196" s="16">
        <v>2446</v>
      </c>
      <c r="Z196" s="16">
        <f t="shared" si="85"/>
        <v>226</v>
      </c>
      <c r="AA196" s="16"/>
      <c r="AB196" s="16"/>
      <c r="AC196" s="78">
        <v>2008</v>
      </c>
      <c r="AD196" s="79" t="s">
        <v>46</v>
      </c>
      <c r="AE196" s="15">
        <f t="shared" si="54"/>
        <v>0.79695121951219516</v>
      </c>
      <c r="AF196" s="15">
        <f t="shared" si="55"/>
        <v>0.85146579804560263</v>
      </c>
      <c r="AG196" s="15">
        <f t="shared" si="56"/>
        <v>0.93597560975609762</v>
      </c>
      <c r="AH196" s="16"/>
      <c r="AI196" s="16"/>
      <c r="AJ196" s="16">
        <v>1640</v>
      </c>
      <c r="AK196" s="16">
        <f t="shared" si="86"/>
        <v>105</v>
      </c>
      <c r="AL196" s="16">
        <v>1535</v>
      </c>
      <c r="AM196" s="16">
        <v>1307</v>
      </c>
      <c r="AN196" s="16">
        <f t="shared" si="87"/>
        <v>228</v>
      </c>
      <c r="AO196" s="16"/>
      <c r="AP196" s="16"/>
      <c r="AQ196" s="78">
        <v>2008</v>
      </c>
      <c r="AR196" s="79" t="s">
        <v>46</v>
      </c>
      <c r="AS196" s="15">
        <f t="shared" si="58"/>
        <v>0.96727272727272728</v>
      </c>
      <c r="AT196" s="15">
        <f t="shared" si="59"/>
        <v>0.96727272727272728</v>
      </c>
      <c r="AU196" s="15">
        <f t="shared" si="60"/>
        <v>1</v>
      </c>
      <c r="AV196" s="15"/>
      <c r="AW196" s="15"/>
      <c r="AX196" s="16">
        <v>275</v>
      </c>
      <c r="AY196" s="16">
        <f t="shared" si="88"/>
        <v>0</v>
      </c>
      <c r="AZ196" s="16">
        <v>275</v>
      </c>
      <c r="BA196" s="16">
        <v>266</v>
      </c>
      <c r="BB196" s="16">
        <f t="shared" si="89"/>
        <v>9</v>
      </c>
      <c r="BC196" s="16"/>
      <c r="BD196" s="16"/>
      <c r="BE196" s="78"/>
      <c r="BF196" s="79"/>
      <c r="BG196" s="15"/>
      <c r="BH196" s="15"/>
      <c r="BI196" s="15"/>
      <c r="BS196" s="78"/>
      <c r="BT196" s="79"/>
      <c r="BU196" s="15"/>
      <c r="BV196" s="15"/>
      <c r="BW196" s="15"/>
      <c r="CA196" s="45"/>
      <c r="CD196" s="45"/>
      <c r="CG196" s="78"/>
      <c r="CH196" s="79"/>
      <c r="CI196" s="15"/>
      <c r="CJ196" s="15"/>
      <c r="CK196" s="15"/>
      <c r="CO196" s="45"/>
      <c r="CR196" s="45"/>
    </row>
    <row r="197" spans="1:96" s="18" customFormat="1" ht="15" customHeight="1">
      <c r="A197" s="80">
        <v>2008</v>
      </c>
      <c r="B197" s="81" t="s">
        <v>47</v>
      </c>
      <c r="C197" s="15">
        <f t="shared" si="46"/>
        <v>0.80373056994818648</v>
      </c>
      <c r="D197" s="15">
        <f t="shared" si="47"/>
        <v>0.86659217877094974</v>
      </c>
      <c r="E197" s="15">
        <f t="shared" si="48"/>
        <v>0.92746113989637302</v>
      </c>
      <c r="F197" s="57"/>
      <c r="G197" s="34"/>
      <c r="H197" s="57">
        <f>+V197+AJ197+AX197+BL197+BS_GC_MP_Vill[[#This Row],[Trenes Programados]]</f>
        <v>4825</v>
      </c>
      <c r="I197" s="16">
        <f t="shared" si="82"/>
        <v>350</v>
      </c>
      <c r="J197" s="57">
        <f>+X197+AL197+AZ197+BN197+BS_GC_MP_Vill[[#This Row],[Trenes Corridos]]</f>
        <v>4475</v>
      </c>
      <c r="K197" s="57">
        <f>+Y197+AM197+BA197+BO197+BS_GC_MP_Vill[[#This Row],[Trenes Puntuales]]</f>
        <v>3878</v>
      </c>
      <c r="L197" s="16">
        <f t="shared" si="83"/>
        <v>597</v>
      </c>
      <c r="M197" s="16"/>
      <c r="N197" s="16"/>
      <c r="O197" s="80">
        <v>2008</v>
      </c>
      <c r="P197" s="81" t="s">
        <v>47</v>
      </c>
      <c r="Q197" s="15">
        <f t="shared" si="50"/>
        <v>0.84636969484391444</v>
      </c>
      <c r="R197" s="15">
        <f t="shared" si="51"/>
        <v>0.89007746219107342</v>
      </c>
      <c r="S197" s="15">
        <f t="shared" si="52"/>
        <v>0.95089442300947036</v>
      </c>
      <c r="T197" s="16"/>
      <c r="U197" s="16"/>
      <c r="V197" s="16">
        <v>2851</v>
      </c>
      <c r="W197" s="16">
        <f t="shared" si="84"/>
        <v>140</v>
      </c>
      <c r="X197" s="16">
        <v>2711</v>
      </c>
      <c r="Y197" s="16">
        <v>2413</v>
      </c>
      <c r="Z197" s="16">
        <f t="shared" si="85"/>
        <v>298</v>
      </c>
      <c r="AA197" s="16"/>
      <c r="AB197" s="16"/>
      <c r="AC197" s="80">
        <v>2008</v>
      </c>
      <c r="AD197" s="81" t="s">
        <v>47</v>
      </c>
      <c r="AE197" s="15">
        <f t="shared" si="54"/>
        <v>0.77383066903493192</v>
      </c>
      <c r="AF197" s="15">
        <f t="shared" si="55"/>
        <v>0.817385866166354</v>
      </c>
      <c r="AG197" s="15">
        <f t="shared" si="56"/>
        <v>0.94671403197158077</v>
      </c>
      <c r="AH197" s="16"/>
      <c r="AI197" s="16"/>
      <c r="AJ197" s="16">
        <v>1689</v>
      </c>
      <c r="AK197" s="16">
        <f t="shared" si="86"/>
        <v>90</v>
      </c>
      <c r="AL197" s="16">
        <v>1599</v>
      </c>
      <c r="AM197" s="16">
        <v>1307</v>
      </c>
      <c r="AN197" s="16">
        <f t="shared" si="87"/>
        <v>292</v>
      </c>
      <c r="AO197" s="16"/>
      <c r="AP197" s="16"/>
      <c r="AQ197" s="80">
        <v>2008</v>
      </c>
      <c r="AR197" s="81" t="s">
        <v>47</v>
      </c>
      <c r="AS197" s="15">
        <f t="shared" si="58"/>
        <v>0.55438596491228065</v>
      </c>
      <c r="AT197" s="15">
        <f t="shared" si="59"/>
        <v>0.95757575757575752</v>
      </c>
      <c r="AU197" s="15">
        <f t="shared" si="60"/>
        <v>0.57894736842105265</v>
      </c>
      <c r="AV197" s="15"/>
      <c r="AW197" s="15"/>
      <c r="AX197" s="16">
        <v>285</v>
      </c>
      <c r="AY197" s="16">
        <f t="shared" si="88"/>
        <v>120</v>
      </c>
      <c r="AZ197" s="16">
        <v>165</v>
      </c>
      <c r="BA197" s="16">
        <v>158</v>
      </c>
      <c r="BB197" s="16">
        <f t="shared" si="89"/>
        <v>7</v>
      </c>
      <c r="BC197" s="16"/>
      <c r="BD197" s="16"/>
      <c r="BE197" s="80"/>
      <c r="BF197" s="81"/>
      <c r="BG197" s="15"/>
      <c r="BH197" s="15"/>
      <c r="BI197" s="15"/>
      <c r="BS197" s="80"/>
      <c r="BT197" s="81"/>
      <c r="BU197" s="15"/>
      <c r="BV197" s="15"/>
      <c r="BW197" s="15"/>
      <c r="CA197" s="45"/>
      <c r="CD197" s="45"/>
      <c r="CG197" s="80"/>
      <c r="CH197" s="81"/>
      <c r="CI197" s="15"/>
      <c r="CJ197" s="15"/>
      <c r="CK197" s="15"/>
      <c r="CO197" s="45"/>
      <c r="CR197" s="45"/>
    </row>
    <row r="198" spans="1:96" s="18" customFormat="1" ht="15" customHeight="1">
      <c r="A198" s="78">
        <v>2009</v>
      </c>
      <c r="B198" s="79" t="s">
        <v>36</v>
      </c>
      <c r="C198" s="15">
        <f t="shared" si="46"/>
        <v>0.82422116773261811</v>
      </c>
      <c r="D198" s="15">
        <f t="shared" si="47"/>
        <v>0.87341495408832537</v>
      </c>
      <c r="E198" s="15">
        <f t="shared" si="48"/>
        <v>0.94367650092840938</v>
      </c>
      <c r="F198" s="57"/>
      <c r="G198" s="34"/>
      <c r="H198" s="57">
        <f>+V198+AJ198+AX198+BL198+BS_GC_MP_Vill[[#This Row],[Trenes Programados]]</f>
        <v>4847</v>
      </c>
      <c r="I198" s="16">
        <f t="shared" ref="I198:I209" si="90">H198-J198</f>
        <v>273</v>
      </c>
      <c r="J198" s="57">
        <f>+X198+AL198+AZ198+BN198+BS_GC_MP_Vill[[#This Row],[Trenes Corridos]]</f>
        <v>4574</v>
      </c>
      <c r="K198" s="57">
        <f>+Y198+AM198+BA198+BO198+BS_GC_MP_Vill[[#This Row],[Trenes Puntuales]]</f>
        <v>3995</v>
      </c>
      <c r="L198" s="16">
        <f t="shared" ref="L198:L209" si="91">J198-K198</f>
        <v>579</v>
      </c>
      <c r="M198" s="16"/>
      <c r="N198" s="16"/>
      <c r="O198" s="78">
        <v>2009</v>
      </c>
      <c r="P198" s="79" t="s">
        <v>36</v>
      </c>
      <c r="Q198" s="15">
        <f t="shared" si="50"/>
        <v>0.84792465992326471</v>
      </c>
      <c r="R198" s="15">
        <f t="shared" si="51"/>
        <v>0.89440765268579836</v>
      </c>
      <c r="S198" s="15">
        <f t="shared" si="52"/>
        <v>0.94802929891873033</v>
      </c>
      <c r="T198" s="16"/>
      <c r="U198" s="16"/>
      <c r="V198" s="16">
        <v>2867</v>
      </c>
      <c r="W198" s="16">
        <f t="shared" ref="W198:W209" si="92">V198-X198</f>
        <v>149</v>
      </c>
      <c r="X198" s="16">
        <v>2718</v>
      </c>
      <c r="Y198" s="16">
        <v>2431</v>
      </c>
      <c r="Z198" s="16">
        <f t="shared" ref="Z198:Z209" si="93">X198-Y198</f>
        <v>287</v>
      </c>
      <c r="AA198" s="16"/>
      <c r="AB198" s="16"/>
      <c r="AC198" s="78">
        <v>2009</v>
      </c>
      <c r="AD198" s="79" t="s">
        <v>36</v>
      </c>
      <c r="AE198" s="15">
        <f t="shared" si="54"/>
        <v>0.77581120943952797</v>
      </c>
      <c r="AF198" s="15">
        <f t="shared" si="55"/>
        <v>0.82445141065830718</v>
      </c>
      <c r="AG198" s="15">
        <f t="shared" si="56"/>
        <v>0.94100294985250732</v>
      </c>
      <c r="AH198" s="16"/>
      <c r="AI198" s="16"/>
      <c r="AJ198" s="16">
        <v>1695</v>
      </c>
      <c r="AK198" s="16">
        <f t="shared" ref="AK198:AK209" si="94">AJ198-AL198</f>
        <v>100</v>
      </c>
      <c r="AL198" s="16">
        <v>1595</v>
      </c>
      <c r="AM198" s="16">
        <v>1315</v>
      </c>
      <c r="AN198" s="16">
        <f t="shared" ref="AN198:AN209" si="95">AL198-AM198</f>
        <v>280</v>
      </c>
      <c r="AO198" s="16"/>
      <c r="AP198" s="16"/>
      <c r="AQ198" s="78">
        <v>2009</v>
      </c>
      <c r="AR198" s="79" t="s">
        <v>36</v>
      </c>
      <c r="AS198" s="15">
        <f t="shared" si="58"/>
        <v>0.87368421052631584</v>
      </c>
      <c r="AT198" s="15">
        <f t="shared" si="59"/>
        <v>0.95402298850574707</v>
      </c>
      <c r="AU198" s="15">
        <f t="shared" si="60"/>
        <v>0.91578947368421049</v>
      </c>
      <c r="AV198" s="15"/>
      <c r="AW198" s="15"/>
      <c r="AX198" s="16">
        <v>285</v>
      </c>
      <c r="AY198" s="16">
        <f t="shared" ref="AY198:AY209" si="96">AX198-AZ198</f>
        <v>24</v>
      </c>
      <c r="AZ198" s="16">
        <v>261</v>
      </c>
      <c r="BA198" s="16">
        <v>249</v>
      </c>
      <c r="BB198" s="16">
        <f t="shared" ref="BB198:BB209" si="97">AZ198-BA198</f>
        <v>12</v>
      </c>
      <c r="BC198" s="16"/>
      <c r="BD198" s="16"/>
      <c r="BE198" s="78"/>
      <c r="BF198" s="79"/>
      <c r="BG198" s="15"/>
      <c r="BH198" s="15"/>
      <c r="BI198" s="15"/>
      <c r="BS198" s="78"/>
      <c r="BT198" s="79"/>
      <c r="BU198" s="15"/>
      <c r="BV198" s="15"/>
      <c r="BW198" s="15"/>
      <c r="CA198" s="45"/>
      <c r="CD198" s="45"/>
      <c r="CG198" s="78"/>
      <c r="CH198" s="79"/>
      <c r="CI198" s="15"/>
      <c r="CJ198" s="15"/>
      <c r="CK198" s="15"/>
      <c r="CO198" s="45"/>
      <c r="CR198" s="45"/>
    </row>
    <row r="199" spans="1:96" s="18" customFormat="1" ht="15" customHeight="1">
      <c r="A199" s="80">
        <v>2009</v>
      </c>
      <c r="B199" s="81" t="s">
        <v>37</v>
      </c>
      <c r="C199" s="15">
        <f t="shared" ref="C199:C262" si="98">K199/H199</f>
        <v>0.81710646041856227</v>
      </c>
      <c r="D199" s="15">
        <f t="shared" ref="D199:D262" si="99">K199/J199</f>
        <v>0.86658624849215926</v>
      </c>
      <c r="E199" s="15">
        <f t="shared" ref="E199:E262" si="100">J199/H199</f>
        <v>0.94290263876251135</v>
      </c>
      <c r="F199" s="57"/>
      <c r="G199" s="34"/>
      <c r="H199" s="57">
        <f>+V199+AJ199+AX199+BL199+BS_GC_MP_Vill[[#This Row],[Trenes Programados]]</f>
        <v>4396</v>
      </c>
      <c r="I199" s="16">
        <f t="shared" si="90"/>
        <v>251</v>
      </c>
      <c r="J199" s="57">
        <f>+X199+AL199+AZ199+BN199+BS_GC_MP_Vill[[#This Row],[Trenes Corridos]]</f>
        <v>4145</v>
      </c>
      <c r="K199" s="57">
        <f>+Y199+AM199+BA199+BO199+BS_GC_MP_Vill[[#This Row],[Trenes Puntuales]]</f>
        <v>3592</v>
      </c>
      <c r="L199" s="16">
        <f t="shared" si="91"/>
        <v>553</v>
      </c>
      <c r="M199" s="16"/>
      <c r="N199" s="16"/>
      <c r="O199" s="80">
        <v>2009</v>
      </c>
      <c r="P199" s="81" t="s">
        <v>37</v>
      </c>
      <c r="Q199" s="15">
        <f t="shared" ref="Q199:Q262" si="101">Y199/V199</f>
        <v>0.88556067588325649</v>
      </c>
      <c r="R199" s="15">
        <f t="shared" ref="R199:R262" si="102">Y199/X199</f>
        <v>0.91799363057324845</v>
      </c>
      <c r="S199" s="15">
        <f t="shared" ref="S199:S262" si="103">X199/V199</f>
        <v>0.96466973886328722</v>
      </c>
      <c r="T199" s="16"/>
      <c r="U199" s="16"/>
      <c r="V199" s="16">
        <v>2604</v>
      </c>
      <c r="W199" s="16">
        <f t="shared" si="92"/>
        <v>92</v>
      </c>
      <c r="X199" s="16">
        <v>2512</v>
      </c>
      <c r="Y199" s="16">
        <v>2306</v>
      </c>
      <c r="Z199" s="16">
        <f t="shared" si="93"/>
        <v>206</v>
      </c>
      <c r="AA199" s="16"/>
      <c r="AB199" s="16"/>
      <c r="AC199" s="80">
        <v>2009</v>
      </c>
      <c r="AD199" s="81" t="s">
        <v>37</v>
      </c>
      <c r="AE199" s="15">
        <f t="shared" ref="AE199:AE262" si="104">AM199/AJ199</f>
        <v>0.70039164490861616</v>
      </c>
      <c r="AF199" s="15">
        <f t="shared" ref="AF199:AF262" si="105">AM199/AL199</f>
        <v>0.7588401697312589</v>
      </c>
      <c r="AG199" s="15">
        <f t="shared" ref="AG199:AG262" si="106">AL199/AJ199</f>
        <v>0.92297650130548303</v>
      </c>
      <c r="AH199" s="16"/>
      <c r="AI199" s="16"/>
      <c r="AJ199" s="16">
        <v>1532</v>
      </c>
      <c r="AK199" s="16">
        <f t="shared" si="94"/>
        <v>118</v>
      </c>
      <c r="AL199" s="16">
        <v>1414</v>
      </c>
      <c r="AM199" s="16">
        <v>1073</v>
      </c>
      <c r="AN199" s="16">
        <f t="shared" si="95"/>
        <v>341</v>
      </c>
      <c r="AO199" s="16"/>
      <c r="AP199" s="16"/>
      <c r="AQ199" s="80">
        <v>2009</v>
      </c>
      <c r="AR199" s="81" t="s">
        <v>37</v>
      </c>
      <c r="AS199" s="15">
        <f t="shared" ref="AS199:AS262" si="107">BA199/AX199</f>
        <v>0.81923076923076921</v>
      </c>
      <c r="AT199" s="15">
        <f t="shared" ref="AT199:AT262" si="108">BA199/AZ199</f>
        <v>0.9726027397260274</v>
      </c>
      <c r="AU199" s="15">
        <f t="shared" ref="AU199:AU262" si="109">AZ199/AX199</f>
        <v>0.84230769230769231</v>
      </c>
      <c r="AV199" s="15"/>
      <c r="AW199" s="15"/>
      <c r="AX199" s="16">
        <v>260</v>
      </c>
      <c r="AY199" s="16">
        <f t="shared" si="96"/>
        <v>41</v>
      </c>
      <c r="AZ199" s="16">
        <v>219</v>
      </c>
      <c r="BA199" s="16">
        <v>213</v>
      </c>
      <c r="BB199" s="16">
        <f t="shared" si="97"/>
        <v>6</v>
      </c>
      <c r="BC199" s="16"/>
      <c r="BD199" s="16"/>
      <c r="BE199" s="80"/>
      <c r="BF199" s="81"/>
      <c r="BG199" s="15"/>
      <c r="BH199" s="15"/>
      <c r="BI199" s="15"/>
      <c r="BS199" s="80"/>
      <c r="BT199" s="81"/>
      <c r="BU199" s="15"/>
      <c r="BV199" s="15"/>
      <c r="BW199" s="15"/>
      <c r="CA199" s="45"/>
      <c r="CD199" s="45"/>
      <c r="CG199" s="80"/>
      <c r="CH199" s="81"/>
      <c r="CI199" s="15"/>
      <c r="CJ199" s="15"/>
      <c r="CK199" s="15"/>
      <c r="CO199" s="45"/>
      <c r="CR199" s="45"/>
    </row>
    <row r="200" spans="1:96" s="18" customFormat="1" ht="15" customHeight="1">
      <c r="A200" s="78">
        <v>2009</v>
      </c>
      <c r="B200" s="79" t="s">
        <v>38</v>
      </c>
      <c r="C200" s="15">
        <f t="shared" si="98"/>
        <v>0.73984245439469321</v>
      </c>
      <c r="D200" s="15">
        <f t="shared" si="99"/>
        <v>0.77401865105183254</v>
      </c>
      <c r="E200" s="15">
        <f t="shared" si="100"/>
        <v>0.9558457711442786</v>
      </c>
      <c r="F200" s="57"/>
      <c r="G200" s="34"/>
      <c r="H200" s="57">
        <f>+V200+AJ200+AX200+BL200+BS_GC_MP_Vill[[#This Row],[Trenes Programados]]</f>
        <v>4824</v>
      </c>
      <c r="I200" s="16">
        <f t="shared" si="90"/>
        <v>213</v>
      </c>
      <c r="J200" s="57">
        <f>+X200+AL200+AZ200+BN200+BS_GC_MP_Vill[[#This Row],[Trenes Corridos]]</f>
        <v>4611</v>
      </c>
      <c r="K200" s="57">
        <f>+Y200+AM200+BA200+BO200+BS_GC_MP_Vill[[#This Row],[Trenes Puntuales]]</f>
        <v>3569</v>
      </c>
      <c r="L200" s="16">
        <f t="shared" si="91"/>
        <v>1042</v>
      </c>
      <c r="M200" s="16"/>
      <c r="N200" s="16"/>
      <c r="O200" s="78">
        <v>2009</v>
      </c>
      <c r="P200" s="79" t="s">
        <v>38</v>
      </c>
      <c r="Q200" s="15">
        <f t="shared" si="101"/>
        <v>0.80848824973693445</v>
      </c>
      <c r="R200" s="15">
        <f t="shared" si="102"/>
        <v>0.82973362131029516</v>
      </c>
      <c r="S200" s="15">
        <f t="shared" si="103"/>
        <v>0.97439494914065239</v>
      </c>
      <c r="T200" s="16"/>
      <c r="U200" s="16"/>
      <c r="V200" s="16">
        <v>2851</v>
      </c>
      <c r="W200" s="16">
        <f t="shared" si="92"/>
        <v>73</v>
      </c>
      <c r="X200" s="16">
        <v>2778</v>
      </c>
      <c r="Y200" s="16">
        <v>2305</v>
      </c>
      <c r="Z200" s="16">
        <f t="shared" si="93"/>
        <v>473</v>
      </c>
      <c r="AA200" s="16"/>
      <c r="AB200" s="16"/>
      <c r="AC200" s="78">
        <v>2009</v>
      </c>
      <c r="AD200" s="79" t="s">
        <v>38</v>
      </c>
      <c r="AE200" s="15">
        <f t="shared" si="104"/>
        <v>0.58910597986974544</v>
      </c>
      <c r="AF200" s="15">
        <f t="shared" si="105"/>
        <v>0.63987138263665599</v>
      </c>
      <c r="AG200" s="15">
        <f t="shared" si="106"/>
        <v>0.9206631142687981</v>
      </c>
      <c r="AH200" s="16"/>
      <c r="AI200" s="16"/>
      <c r="AJ200" s="16">
        <v>1689</v>
      </c>
      <c r="AK200" s="16">
        <f t="shared" si="94"/>
        <v>134</v>
      </c>
      <c r="AL200" s="16">
        <v>1555</v>
      </c>
      <c r="AM200" s="16">
        <v>995</v>
      </c>
      <c r="AN200" s="16">
        <f t="shared" si="95"/>
        <v>560</v>
      </c>
      <c r="AO200" s="16"/>
      <c r="AP200" s="16"/>
      <c r="AQ200" s="78">
        <v>2009</v>
      </c>
      <c r="AR200" s="79" t="s">
        <v>38</v>
      </c>
      <c r="AS200" s="15">
        <f t="shared" si="107"/>
        <v>0.94718309859154926</v>
      </c>
      <c r="AT200" s="15">
        <f t="shared" si="108"/>
        <v>0.96762589928057552</v>
      </c>
      <c r="AU200" s="15">
        <f t="shared" si="109"/>
        <v>0.97887323943661975</v>
      </c>
      <c r="AV200" s="15"/>
      <c r="AW200" s="15"/>
      <c r="AX200" s="16">
        <v>284</v>
      </c>
      <c r="AY200" s="16">
        <f t="shared" si="96"/>
        <v>6</v>
      </c>
      <c r="AZ200" s="16">
        <v>278</v>
      </c>
      <c r="BA200" s="16">
        <v>269</v>
      </c>
      <c r="BB200" s="16">
        <f t="shared" si="97"/>
        <v>9</v>
      </c>
      <c r="BC200" s="16"/>
      <c r="BD200" s="16"/>
      <c r="BE200" s="78"/>
      <c r="BF200" s="79"/>
      <c r="BG200" s="15"/>
      <c r="BH200" s="15"/>
      <c r="BI200" s="15"/>
      <c r="BS200" s="78"/>
      <c r="BT200" s="79"/>
      <c r="BU200" s="15"/>
      <c r="BV200" s="15"/>
      <c r="BW200" s="15"/>
      <c r="CA200" s="45"/>
      <c r="CD200" s="45"/>
      <c r="CG200" s="78"/>
      <c r="CH200" s="79"/>
      <c r="CI200" s="15"/>
      <c r="CJ200" s="15"/>
      <c r="CK200" s="15"/>
      <c r="CO200" s="45"/>
      <c r="CR200" s="45"/>
    </row>
    <row r="201" spans="1:96" s="18" customFormat="1" ht="15" customHeight="1">
      <c r="A201" s="80">
        <v>2009</v>
      </c>
      <c r="B201" s="81" t="s">
        <v>39</v>
      </c>
      <c r="C201" s="15">
        <f t="shared" si="98"/>
        <v>0.77413127413127414</v>
      </c>
      <c r="D201" s="15">
        <f t="shared" si="99"/>
        <v>0.81119352663519895</v>
      </c>
      <c r="E201" s="15">
        <f t="shared" si="100"/>
        <v>0.95431145431145437</v>
      </c>
      <c r="F201" s="57"/>
      <c r="G201" s="34"/>
      <c r="H201" s="57">
        <f>+V201+AJ201+AX201+BL201+BS_GC_MP_Vill[[#This Row],[Trenes Programados]]</f>
        <v>4662</v>
      </c>
      <c r="I201" s="16">
        <f t="shared" si="90"/>
        <v>213</v>
      </c>
      <c r="J201" s="57">
        <f>+X201+AL201+AZ201+BN201+BS_GC_MP_Vill[[#This Row],[Trenes Corridos]]</f>
        <v>4449</v>
      </c>
      <c r="K201" s="57">
        <f>+Y201+AM201+BA201+BO201+BS_GC_MP_Vill[[#This Row],[Trenes Puntuales]]</f>
        <v>3609</v>
      </c>
      <c r="L201" s="16">
        <f t="shared" si="91"/>
        <v>840</v>
      </c>
      <c r="M201" s="16"/>
      <c r="N201" s="16"/>
      <c r="O201" s="80">
        <v>2009</v>
      </c>
      <c r="P201" s="81" t="s">
        <v>39</v>
      </c>
      <c r="Q201" s="15">
        <f t="shared" si="101"/>
        <v>0.8155410312273057</v>
      </c>
      <c r="R201" s="15">
        <f t="shared" si="102"/>
        <v>0.84658876743309464</v>
      </c>
      <c r="S201" s="15">
        <f t="shared" si="103"/>
        <v>0.96332607116920843</v>
      </c>
      <c r="T201" s="16"/>
      <c r="U201" s="16"/>
      <c r="V201" s="16">
        <v>2754</v>
      </c>
      <c r="W201" s="16">
        <f t="shared" si="92"/>
        <v>101</v>
      </c>
      <c r="X201" s="16">
        <v>2653</v>
      </c>
      <c r="Y201" s="16">
        <v>2246</v>
      </c>
      <c r="Z201" s="16">
        <f t="shared" si="93"/>
        <v>407</v>
      </c>
      <c r="AA201" s="16"/>
      <c r="AB201" s="16"/>
      <c r="AC201" s="80">
        <v>2009</v>
      </c>
      <c r="AD201" s="81" t="s">
        <v>39</v>
      </c>
      <c r="AE201" s="15">
        <f t="shared" si="104"/>
        <v>0.67625458996328025</v>
      </c>
      <c r="AF201" s="15">
        <f t="shared" si="105"/>
        <v>0.72127937336814618</v>
      </c>
      <c r="AG201" s="15">
        <f t="shared" si="106"/>
        <v>0.93757649938800491</v>
      </c>
      <c r="AH201" s="16"/>
      <c r="AI201" s="16"/>
      <c r="AJ201" s="16">
        <v>1634</v>
      </c>
      <c r="AK201" s="16">
        <f t="shared" si="94"/>
        <v>102</v>
      </c>
      <c r="AL201" s="16">
        <v>1532</v>
      </c>
      <c r="AM201" s="16">
        <v>1105</v>
      </c>
      <c r="AN201" s="16">
        <f t="shared" si="95"/>
        <v>427</v>
      </c>
      <c r="AO201" s="16"/>
      <c r="AP201" s="16"/>
      <c r="AQ201" s="80">
        <v>2009</v>
      </c>
      <c r="AR201" s="81" t="s">
        <v>39</v>
      </c>
      <c r="AS201" s="15">
        <f t="shared" si="107"/>
        <v>0.94160583941605835</v>
      </c>
      <c r="AT201" s="15">
        <f t="shared" si="108"/>
        <v>0.97727272727272729</v>
      </c>
      <c r="AU201" s="15">
        <f t="shared" si="109"/>
        <v>0.96350364963503654</v>
      </c>
      <c r="AV201" s="15"/>
      <c r="AW201" s="15"/>
      <c r="AX201" s="16">
        <v>274</v>
      </c>
      <c r="AY201" s="16">
        <f t="shared" si="96"/>
        <v>10</v>
      </c>
      <c r="AZ201" s="16">
        <v>264</v>
      </c>
      <c r="BA201" s="16">
        <v>258</v>
      </c>
      <c r="BB201" s="16">
        <f t="shared" si="97"/>
        <v>6</v>
      </c>
      <c r="BC201" s="16"/>
      <c r="BD201" s="16"/>
      <c r="BE201" s="80"/>
      <c r="BF201" s="81"/>
      <c r="BG201" s="15"/>
      <c r="BH201" s="15"/>
      <c r="BI201" s="15"/>
      <c r="BS201" s="80"/>
      <c r="BT201" s="81"/>
      <c r="BU201" s="15"/>
      <c r="BV201" s="15"/>
      <c r="BW201" s="15"/>
      <c r="CA201" s="45"/>
      <c r="CD201" s="45"/>
      <c r="CG201" s="80"/>
      <c r="CH201" s="81"/>
      <c r="CI201" s="15"/>
      <c r="CJ201" s="15"/>
      <c r="CK201" s="15"/>
      <c r="CO201" s="45"/>
      <c r="CR201" s="45"/>
    </row>
    <row r="202" spans="1:96" s="18" customFormat="1" ht="15" customHeight="1">
      <c r="A202" s="78">
        <v>2009</v>
      </c>
      <c r="B202" s="79" t="s">
        <v>40</v>
      </c>
      <c r="C202" s="15">
        <f t="shared" si="98"/>
        <v>0.7876383378575903</v>
      </c>
      <c r="D202" s="15">
        <f t="shared" si="99"/>
        <v>0.81804380828453693</v>
      </c>
      <c r="E202" s="15">
        <f t="shared" si="100"/>
        <v>0.96283148882856551</v>
      </c>
      <c r="F202" s="57"/>
      <c r="G202" s="34"/>
      <c r="H202" s="57">
        <f>+V202+AJ202+AX202+BL202+BS_GC_MP_Vill[[#This Row],[Trenes Programados]]</f>
        <v>4789</v>
      </c>
      <c r="I202" s="16">
        <f t="shared" si="90"/>
        <v>178</v>
      </c>
      <c r="J202" s="57">
        <f>+X202+AL202+AZ202+BN202+BS_GC_MP_Vill[[#This Row],[Trenes Corridos]]</f>
        <v>4611</v>
      </c>
      <c r="K202" s="57">
        <f>+Y202+AM202+BA202+BO202+BS_GC_MP_Vill[[#This Row],[Trenes Puntuales]]</f>
        <v>3772</v>
      </c>
      <c r="L202" s="16">
        <f t="shared" si="91"/>
        <v>839</v>
      </c>
      <c r="M202" s="16"/>
      <c r="N202" s="16"/>
      <c r="O202" s="78">
        <v>2009</v>
      </c>
      <c r="P202" s="79" t="s">
        <v>40</v>
      </c>
      <c r="Q202" s="15">
        <f t="shared" si="101"/>
        <v>0.84980517180304638</v>
      </c>
      <c r="R202" s="15">
        <f t="shared" si="102"/>
        <v>0.87141300399564114</v>
      </c>
      <c r="S202" s="15">
        <f t="shared" si="103"/>
        <v>0.97520368402408786</v>
      </c>
      <c r="T202" s="16"/>
      <c r="U202" s="16"/>
      <c r="V202" s="16">
        <v>2823</v>
      </c>
      <c r="W202" s="16">
        <f t="shared" si="92"/>
        <v>70</v>
      </c>
      <c r="X202" s="16">
        <v>2753</v>
      </c>
      <c r="Y202" s="16">
        <v>2399</v>
      </c>
      <c r="Z202" s="16">
        <f t="shared" si="93"/>
        <v>354</v>
      </c>
      <c r="AA202" s="16"/>
      <c r="AB202" s="16"/>
      <c r="AC202" s="78">
        <v>2009</v>
      </c>
      <c r="AD202" s="79" t="s">
        <v>40</v>
      </c>
      <c r="AE202" s="15">
        <f t="shared" si="104"/>
        <v>0.66330764671013631</v>
      </c>
      <c r="AF202" s="15">
        <f t="shared" si="105"/>
        <v>0.70288944723618085</v>
      </c>
      <c r="AG202" s="15">
        <f t="shared" si="106"/>
        <v>0.94368701837581503</v>
      </c>
      <c r="AH202" s="16"/>
      <c r="AI202" s="16"/>
      <c r="AJ202" s="16">
        <v>1687</v>
      </c>
      <c r="AK202" s="16">
        <f t="shared" si="94"/>
        <v>95</v>
      </c>
      <c r="AL202" s="16">
        <v>1592</v>
      </c>
      <c r="AM202" s="16">
        <v>1119</v>
      </c>
      <c r="AN202" s="16">
        <f t="shared" si="95"/>
        <v>473</v>
      </c>
      <c r="AO202" s="16"/>
      <c r="AP202" s="16"/>
      <c r="AQ202" s="78">
        <v>2009</v>
      </c>
      <c r="AR202" s="79" t="s">
        <v>40</v>
      </c>
      <c r="AS202" s="15">
        <f t="shared" si="107"/>
        <v>0.91039426523297495</v>
      </c>
      <c r="AT202" s="15">
        <f t="shared" si="108"/>
        <v>0.95488721804511278</v>
      </c>
      <c r="AU202" s="15">
        <f t="shared" si="109"/>
        <v>0.95340501792114696</v>
      </c>
      <c r="AV202" s="15"/>
      <c r="AW202" s="15"/>
      <c r="AX202" s="16">
        <v>279</v>
      </c>
      <c r="AY202" s="16">
        <f t="shared" si="96"/>
        <v>13</v>
      </c>
      <c r="AZ202" s="16">
        <v>266</v>
      </c>
      <c r="BA202" s="16">
        <v>254</v>
      </c>
      <c r="BB202" s="16">
        <f t="shared" si="97"/>
        <v>12</v>
      </c>
      <c r="BC202" s="16"/>
      <c r="BD202" s="16"/>
      <c r="BE202" s="78"/>
      <c r="BF202" s="79"/>
      <c r="BG202" s="15"/>
      <c r="BH202" s="15"/>
      <c r="BI202" s="15"/>
      <c r="BS202" s="78"/>
      <c r="BT202" s="79"/>
      <c r="BU202" s="15"/>
      <c r="BV202" s="15"/>
      <c r="BW202" s="15"/>
      <c r="CA202" s="45"/>
      <c r="CD202" s="45"/>
      <c r="CG202" s="78"/>
      <c r="CH202" s="79"/>
      <c r="CI202" s="15"/>
      <c r="CJ202" s="15"/>
      <c r="CK202" s="15"/>
      <c r="CO202" s="45"/>
      <c r="CR202" s="45"/>
    </row>
    <row r="203" spans="1:96" s="18" customFormat="1" ht="15" customHeight="1">
      <c r="A203" s="80">
        <v>2009</v>
      </c>
      <c r="B203" s="81" t="s">
        <v>41</v>
      </c>
      <c r="C203" s="15">
        <f t="shared" si="98"/>
        <v>0.77616712854402048</v>
      </c>
      <c r="D203" s="15">
        <f t="shared" si="99"/>
        <v>0.82524932003626472</v>
      </c>
      <c r="E203" s="15">
        <f t="shared" si="100"/>
        <v>0.94052440844169682</v>
      </c>
      <c r="F203" s="57"/>
      <c r="G203" s="34"/>
      <c r="H203" s="57">
        <f>+V203+AJ203+AX203+BL203+BS_GC_MP_Vill[[#This Row],[Trenes Programados]]</f>
        <v>4691</v>
      </c>
      <c r="I203" s="16">
        <f t="shared" si="90"/>
        <v>279</v>
      </c>
      <c r="J203" s="57">
        <f>+X203+AL203+AZ203+BN203+BS_GC_MP_Vill[[#This Row],[Trenes Corridos]]</f>
        <v>4412</v>
      </c>
      <c r="K203" s="57">
        <f>+Y203+AM203+BA203+BO203+BS_GC_MP_Vill[[#This Row],[Trenes Puntuales]]</f>
        <v>3641</v>
      </c>
      <c r="L203" s="16">
        <f t="shared" si="91"/>
        <v>771</v>
      </c>
      <c r="M203" s="16"/>
      <c r="N203" s="16"/>
      <c r="O203" s="80">
        <v>2009</v>
      </c>
      <c r="P203" s="81" t="s">
        <v>41</v>
      </c>
      <c r="Q203" s="15">
        <f t="shared" si="101"/>
        <v>0.82817002881844382</v>
      </c>
      <c r="R203" s="15">
        <f t="shared" si="102"/>
        <v>0.86493604213694508</v>
      </c>
      <c r="S203" s="15">
        <f t="shared" si="103"/>
        <v>0.95749279538904897</v>
      </c>
      <c r="T203" s="16"/>
      <c r="U203" s="16"/>
      <c r="V203" s="16">
        <v>2776</v>
      </c>
      <c r="W203" s="16">
        <f t="shared" si="92"/>
        <v>118</v>
      </c>
      <c r="X203" s="16">
        <v>2658</v>
      </c>
      <c r="Y203" s="16">
        <v>2299</v>
      </c>
      <c r="Z203" s="16">
        <f t="shared" si="93"/>
        <v>359</v>
      </c>
      <c r="AA203" s="16"/>
      <c r="AB203" s="16"/>
      <c r="AC203" s="80">
        <v>2009</v>
      </c>
      <c r="AD203" s="81" t="s">
        <v>41</v>
      </c>
      <c r="AE203" s="15">
        <f t="shared" si="104"/>
        <v>0.66178266178266176</v>
      </c>
      <c r="AF203" s="15">
        <f t="shared" si="105"/>
        <v>0.72556894243641235</v>
      </c>
      <c r="AG203" s="15">
        <f t="shared" si="106"/>
        <v>0.91208791208791207</v>
      </c>
      <c r="AH203" s="16"/>
      <c r="AI203" s="16"/>
      <c r="AJ203" s="16">
        <v>1638</v>
      </c>
      <c r="AK203" s="16">
        <f t="shared" si="94"/>
        <v>144</v>
      </c>
      <c r="AL203" s="16">
        <v>1494</v>
      </c>
      <c r="AM203" s="16">
        <v>1084</v>
      </c>
      <c r="AN203" s="16">
        <f t="shared" si="95"/>
        <v>410</v>
      </c>
      <c r="AO203" s="16"/>
      <c r="AP203" s="16"/>
      <c r="AQ203" s="80">
        <v>2009</v>
      </c>
      <c r="AR203" s="81" t="s">
        <v>41</v>
      </c>
      <c r="AS203" s="15">
        <f t="shared" si="107"/>
        <v>0.93140794223826717</v>
      </c>
      <c r="AT203" s="15">
        <f t="shared" si="108"/>
        <v>0.99230769230769234</v>
      </c>
      <c r="AU203" s="15">
        <f t="shared" si="109"/>
        <v>0.93862815884476536</v>
      </c>
      <c r="AV203" s="15"/>
      <c r="AW203" s="15"/>
      <c r="AX203" s="16">
        <v>277</v>
      </c>
      <c r="AY203" s="16">
        <f t="shared" si="96"/>
        <v>17</v>
      </c>
      <c r="AZ203" s="16">
        <v>260</v>
      </c>
      <c r="BA203" s="16">
        <v>258</v>
      </c>
      <c r="BB203" s="16">
        <f t="shared" si="97"/>
        <v>2</v>
      </c>
      <c r="BC203" s="16"/>
      <c r="BD203" s="16"/>
      <c r="BE203" s="80"/>
      <c r="BF203" s="81"/>
      <c r="BG203" s="15"/>
      <c r="BH203" s="15"/>
      <c r="BI203" s="15"/>
      <c r="BS203" s="80"/>
      <c r="BT203" s="81"/>
      <c r="BU203" s="15"/>
      <c r="BV203" s="15"/>
      <c r="BW203" s="15"/>
      <c r="CA203" s="45"/>
      <c r="CD203" s="45"/>
      <c r="CG203" s="80"/>
      <c r="CH203" s="81"/>
      <c r="CI203" s="15"/>
      <c r="CJ203" s="15"/>
      <c r="CK203" s="15"/>
      <c r="CO203" s="45"/>
      <c r="CR203" s="45"/>
    </row>
    <row r="204" spans="1:96" s="18" customFormat="1" ht="15" customHeight="1">
      <c r="A204" s="78">
        <v>2009</v>
      </c>
      <c r="B204" s="79" t="s">
        <v>42</v>
      </c>
      <c r="C204" s="15">
        <f t="shared" si="98"/>
        <v>0.82834743140086653</v>
      </c>
      <c r="D204" s="15">
        <f t="shared" si="99"/>
        <v>0.85699039487726791</v>
      </c>
      <c r="E204" s="15">
        <f t="shared" si="100"/>
        <v>0.96657726428718793</v>
      </c>
      <c r="F204" s="57"/>
      <c r="G204" s="34"/>
      <c r="H204" s="57">
        <f>+V204+AJ204+AX204+BL204+BS_GC_MP_Vill[[#This Row],[Trenes Programados]]</f>
        <v>4847</v>
      </c>
      <c r="I204" s="16">
        <f t="shared" si="90"/>
        <v>162</v>
      </c>
      <c r="J204" s="57">
        <f>+X204+AL204+AZ204+BN204+BS_GC_MP_Vill[[#This Row],[Trenes Corridos]]</f>
        <v>4685</v>
      </c>
      <c r="K204" s="57">
        <f>+Y204+AM204+BA204+BO204+BS_GC_MP_Vill[[#This Row],[Trenes Puntuales]]</f>
        <v>4015</v>
      </c>
      <c r="L204" s="16">
        <f t="shared" si="91"/>
        <v>670</v>
      </c>
      <c r="M204" s="16"/>
      <c r="N204" s="16"/>
      <c r="O204" s="78">
        <v>2009</v>
      </c>
      <c r="P204" s="79" t="s">
        <v>42</v>
      </c>
      <c r="Q204" s="15">
        <f t="shared" si="101"/>
        <v>0.86117893268224621</v>
      </c>
      <c r="R204" s="15">
        <f t="shared" si="102"/>
        <v>0.8868534482758621</v>
      </c>
      <c r="S204" s="15">
        <f t="shared" si="103"/>
        <v>0.97104987792117192</v>
      </c>
      <c r="T204" s="16"/>
      <c r="U204" s="16"/>
      <c r="V204" s="16">
        <v>2867</v>
      </c>
      <c r="W204" s="16">
        <f t="shared" si="92"/>
        <v>83</v>
      </c>
      <c r="X204" s="16">
        <v>2784</v>
      </c>
      <c r="Y204" s="16">
        <v>2469</v>
      </c>
      <c r="Z204" s="16">
        <f t="shared" si="93"/>
        <v>315</v>
      </c>
      <c r="AA204" s="16"/>
      <c r="AB204" s="16"/>
      <c r="AC204" s="78">
        <v>2009</v>
      </c>
      <c r="AD204" s="79" t="s">
        <v>42</v>
      </c>
      <c r="AE204" s="15">
        <f t="shared" si="104"/>
        <v>0.75634218289085542</v>
      </c>
      <c r="AF204" s="15">
        <f t="shared" si="105"/>
        <v>0.78698588090853283</v>
      </c>
      <c r="AG204" s="15">
        <f t="shared" si="106"/>
        <v>0.9610619469026549</v>
      </c>
      <c r="AH204" s="16"/>
      <c r="AI204" s="16"/>
      <c r="AJ204" s="16">
        <v>1695</v>
      </c>
      <c r="AK204" s="16">
        <f t="shared" si="94"/>
        <v>66</v>
      </c>
      <c r="AL204" s="16">
        <v>1629</v>
      </c>
      <c r="AM204" s="16">
        <v>1282</v>
      </c>
      <c r="AN204" s="16">
        <f t="shared" si="95"/>
        <v>347</v>
      </c>
      <c r="AO204" s="16"/>
      <c r="AP204" s="16"/>
      <c r="AQ204" s="78">
        <v>2009</v>
      </c>
      <c r="AR204" s="79" t="s">
        <v>42</v>
      </c>
      <c r="AS204" s="15">
        <f t="shared" si="107"/>
        <v>0.9263157894736842</v>
      </c>
      <c r="AT204" s="15">
        <f t="shared" si="108"/>
        <v>0.97058823529411764</v>
      </c>
      <c r="AU204" s="15">
        <f t="shared" si="109"/>
        <v>0.95438596491228067</v>
      </c>
      <c r="AV204" s="15"/>
      <c r="AW204" s="15"/>
      <c r="AX204" s="16">
        <v>285</v>
      </c>
      <c r="AY204" s="16">
        <f t="shared" si="96"/>
        <v>13</v>
      </c>
      <c r="AZ204" s="16">
        <v>272</v>
      </c>
      <c r="BA204" s="16">
        <v>264</v>
      </c>
      <c r="BB204" s="16">
        <f t="shared" si="97"/>
        <v>8</v>
      </c>
      <c r="BC204" s="16"/>
      <c r="BD204" s="16"/>
      <c r="BE204" s="78"/>
      <c r="BF204" s="79"/>
      <c r="BG204" s="15"/>
      <c r="BH204" s="15"/>
      <c r="BI204" s="15"/>
      <c r="BS204" s="78"/>
      <c r="BT204" s="79"/>
      <c r="BU204" s="15"/>
      <c r="BV204" s="15"/>
      <c r="BW204" s="15"/>
      <c r="CA204" s="45"/>
      <c r="CD204" s="45"/>
      <c r="CG204" s="78"/>
      <c r="CH204" s="79"/>
      <c r="CI204" s="15"/>
      <c r="CJ204" s="15"/>
      <c r="CK204" s="15"/>
      <c r="CO204" s="45"/>
      <c r="CR204" s="45"/>
    </row>
    <row r="205" spans="1:96" s="18" customFormat="1" ht="15" customHeight="1">
      <c r="A205" s="80">
        <v>2009</v>
      </c>
      <c r="B205" s="81" t="s">
        <v>43</v>
      </c>
      <c r="C205" s="15">
        <f t="shared" si="98"/>
        <v>0.8262764632627646</v>
      </c>
      <c r="D205" s="15">
        <f t="shared" si="99"/>
        <v>0.84630102040816324</v>
      </c>
      <c r="E205" s="15">
        <f t="shared" si="100"/>
        <v>0.97633872976338731</v>
      </c>
      <c r="F205" s="57"/>
      <c r="G205" s="34"/>
      <c r="H205" s="57">
        <f>+V205+AJ205+AX205+BL205+BS_GC_MP_Vill[[#This Row],[Trenes Programados]]</f>
        <v>4818</v>
      </c>
      <c r="I205" s="16">
        <f t="shared" si="90"/>
        <v>114</v>
      </c>
      <c r="J205" s="57">
        <f>+X205+AL205+AZ205+BN205+BS_GC_MP_Vill[[#This Row],[Trenes Corridos]]</f>
        <v>4704</v>
      </c>
      <c r="K205" s="57">
        <f>+Y205+AM205+BA205+BO205+BS_GC_MP_Vill[[#This Row],[Trenes Puntuales]]</f>
        <v>3981</v>
      </c>
      <c r="L205" s="16">
        <f t="shared" si="91"/>
        <v>723</v>
      </c>
      <c r="M205" s="16"/>
      <c r="N205" s="16"/>
      <c r="O205" s="80">
        <v>2009</v>
      </c>
      <c r="P205" s="81" t="s">
        <v>43</v>
      </c>
      <c r="Q205" s="15">
        <f t="shared" si="101"/>
        <v>0.8537785588752197</v>
      </c>
      <c r="R205" s="15">
        <f t="shared" si="102"/>
        <v>0.86843046120843759</v>
      </c>
      <c r="S205" s="15">
        <f t="shared" si="103"/>
        <v>0.98312829525483303</v>
      </c>
      <c r="T205" s="16"/>
      <c r="U205" s="16"/>
      <c r="V205" s="16">
        <v>2845</v>
      </c>
      <c r="W205" s="16">
        <f t="shared" si="92"/>
        <v>48</v>
      </c>
      <c r="X205" s="16">
        <v>2797</v>
      </c>
      <c r="Y205" s="16">
        <v>2429</v>
      </c>
      <c r="Z205" s="16">
        <f t="shared" si="93"/>
        <v>368</v>
      </c>
      <c r="AA205" s="16"/>
      <c r="AB205" s="16"/>
      <c r="AC205" s="80">
        <v>2009</v>
      </c>
      <c r="AD205" s="81" t="s">
        <v>43</v>
      </c>
      <c r="AE205" s="15">
        <f t="shared" si="104"/>
        <v>0.75931401537551746</v>
      </c>
      <c r="AF205" s="15">
        <f t="shared" si="105"/>
        <v>0.78773006134969326</v>
      </c>
      <c r="AG205" s="15">
        <f t="shared" si="106"/>
        <v>0.96392667060910708</v>
      </c>
      <c r="AH205" s="16"/>
      <c r="AI205" s="16"/>
      <c r="AJ205" s="16">
        <v>1691</v>
      </c>
      <c r="AK205" s="16">
        <f t="shared" si="94"/>
        <v>61</v>
      </c>
      <c r="AL205" s="16">
        <v>1630</v>
      </c>
      <c r="AM205" s="16">
        <v>1284</v>
      </c>
      <c r="AN205" s="16">
        <f t="shared" si="95"/>
        <v>346</v>
      </c>
      <c r="AO205" s="16"/>
      <c r="AP205" s="16"/>
      <c r="AQ205" s="80">
        <v>2009</v>
      </c>
      <c r="AR205" s="81" t="s">
        <v>43</v>
      </c>
      <c r="AS205" s="15">
        <f t="shared" si="107"/>
        <v>0.95035460992907805</v>
      </c>
      <c r="AT205" s="15">
        <f t="shared" si="108"/>
        <v>0.96750902527075811</v>
      </c>
      <c r="AU205" s="15">
        <f t="shared" si="109"/>
        <v>0.98226950354609932</v>
      </c>
      <c r="AV205" s="15"/>
      <c r="AW205" s="15"/>
      <c r="AX205" s="16">
        <v>282</v>
      </c>
      <c r="AY205" s="16">
        <f t="shared" si="96"/>
        <v>5</v>
      </c>
      <c r="AZ205" s="16">
        <v>277</v>
      </c>
      <c r="BA205" s="16">
        <v>268</v>
      </c>
      <c r="BB205" s="16">
        <f t="shared" si="97"/>
        <v>9</v>
      </c>
      <c r="BC205" s="16"/>
      <c r="BD205" s="16"/>
      <c r="BE205" s="80"/>
      <c r="BF205" s="81"/>
      <c r="BG205" s="15"/>
      <c r="BH205" s="15"/>
      <c r="BI205" s="15"/>
      <c r="BS205" s="80"/>
      <c r="BT205" s="81"/>
      <c r="BU205" s="15"/>
      <c r="BV205" s="15"/>
      <c r="BW205" s="15"/>
      <c r="CA205" s="45"/>
      <c r="CD205" s="45"/>
      <c r="CG205" s="80"/>
      <c r="CH205" s="81"/>
      <c r="CI205" s="15"/>
      <c r="CJ205" s="15"/>
      <c r="CK205" s="15"/>
      <c r="CO205" s="45"/>
      <c r="CR205" s="45"/>
    </row>
    <row r="206" spans="1:96" s="18" customFormat="1" ht="15" customHeight="1">
      <c r="A206" s="78">
        <v>2009</v>
      </c>
      <c r="B206" s="79" t="s">
        <v>44</v>
      </c>
      <c r="C206" s="15">
        <f t="shared" si="98"/>
        <v>0.80338983050847457</v>
      </c>
      <c r="D206" s="15">
        <f t="shared" si="99"/>
        <v>0.84341637010676151</v>
      </c>
      <c r="E206" s="15">
        <f t="shared" si="100"/>
        <v>0.9525423728813559</v>
      </c>
      <c r="F206" s="57"/>
      <c r="G206" s="34"/>
      <c r="H206" s="57">
        <f>+V206+AJ206+AX206+BL206+BS_GC_MP_Vill[[#This Row],[Trenes Programados]]</f>
        <v>4720</v>
      </c>
      <c r="I206" s="16">
        <f t="shared" si="90"/>
        <v>224</v>
      </c>
      <c r="J206" s="57">
        <f>+X206+AL206+AZ206+BN206+BS_GC_MP_Vill[[#This Row],[Trenes Corridos]]</f>
        <v>4496</v>
      </c>
      <c r="K206" s="57">
        <f>+Y206+AM206+BA206+BO206+BS_GC_MP_Vill[[#This Row],[Trenes Puntuales]]</f>
        <v>3792</v>
      </c>
      <c r="L206" s="16">
        <f t="shared" si="91"/>
        <v>704</v>
      </c>
      <c r="M206" s="16"/>
      <c r="N206" s="16"/>
      <c r="O206" s="78">
        <v>2009</v>
      </c>
      <c r="P206" s="79" t="s">
        <v>44</v>
      </c>
      <c r="Q206" s="15">
        <f t="shared" si="101"/>
        <v>0.83059328091493922</v>
      </c>
      <c r="R206" s="15">
        <f t="shared" si="102"/>
        <v>0.87335588124765129</v>
      </c>
      <c r="S206" s="15">
        <f t="shared" si="103"/>
        <v>0.95103645461043607</v>
      </c>
      <c r="T206" s="16"/>
      <c r="U206" s="16"/>
      <c r="V206" s="16">
        <v>2798</v>
      </c>
      <c r="W206" s="16">
        <f t="shared" si="92"/>
        <v>137</v>
      </c>
      <c r="X206" s="16">
        <v>2661</v>
      </c>
      <c r="Y206" s="16">
        <v>2324</v>
      </c>
      <c r="Z206" s="16">
        <f t="shared" si="93"/>
        <v>337</v>
      </c>
      <c r="AA206" s="16"/>
      <c r="AB206" s="16"/>
      <c r="AC206" s="78">
        <v>2009</v>
      </c>
      <c r="AD206" s="79" t="s">
        <v>44</v>
      </c>
      <c r="AE206" s="15">
        <f t="shared" si="104"/>
        <v>0.72838002436053595</v>
      </c>
      <c r="AF206" s="15">
        <f t="shared" si="105"/>
        <v>0.76765083440308091</v>
      </c>
      <c r="AG206" s="15">
        <f t="shared" si="106"/>
        <v>0.9488428745432399</v>
      </c>
      <c r="AH206" s="16"/>
      <c r="AI206" s="16"/>
      <c r="AJ206" s="16">
        <v>1642</v>
      </c>
      <c r="AK206" s="16">
        <f t="shared" si="94"/>
        <v>84</v>
      </c>
      <c r="AL206" s="16">
        <v>1558</v>
      </c>
      <c r="AM206" s="16">
        <v>1196</v>
      </c>
      <c r="AN206" s="16">
        <f t="shared" si="95"/>
        <v>362</v>
      </c>
      <c r="AO206" s="16"/>
      <c r="AP206" s="16"/>
      <c r="AQ206" s="78">
        <v>2009</v>
      </c>
      <c r="AR206" s="79" t="s">
        <v>44</v>
      </c>
      <c r="AS206" s="15">
        <f t="shared" si="107"/>
        <v>0.97142857142857142</v>
      </c>
      <c r="AT206" s="15">
        <f t="shared" si="108"/>
        <v>0.98194945848375448</v>
      </c>
      <c r="AU206" s="15">
        <f t="shared" si="109"/>
        <v>0.98928571428571432</v>
      </c>
      <c r="AV206" s="15"/>
      <c r="AW206" s="15"/>
      <c r="AX206" s="16">
        <v>280</v>
      </c>
      <c r="AY206" s="16">
        <f t="shared" si="96"/>
        <v>3</v>
      </c>
      <c r="AZ206" s="16">
        <v>277</v>
      </c>
      <c r="BA206" s="16">
        <v>272</v>
      </c>
      <c r="BB206" s="16">
        <f t="shared" si="97"/>
        <v>5</v>
      </c>
      <c r="BC206" s="16"/>
      <c r="BD206" s="16"/>
      <c r="BE206" s="78"/>
      <c r="BF206" s="79"/>
      <c r="BG206" s="15"/>
      <c r="BH206" s="15"/>
      <c r="BI206" s="15"/>
      <c r="BS206" s="78"/>
      <c r="BT206" s="79"/>
      <c r="BU206" s="15"/>
      <c r="BV206" s="15"/>
      <c r="BW206" s="15"/>
      <c r="CA206" s="45"/>
      <c r="CD206" s="45"/>
      <c r="CG206" s="78"/>
      <c r="CH206" s="79"/>
      <c r="CI206" s="15"/>
      <c r="CJ206" s="15"/>
      <c r="CK206" s="15"/>
      <c r="CO206" s="45"/>
      <c r="CR206" s="45"/>
    </row>
    <row r="207" spans="1:96" s="18" customFormat="1" ht="15" customHeight="1">
      <c r="A207" s="80">
        <v>2009</v>
      </c>
      <c r="B207" s="81" t="s">
        <v>45</v>
      </c>
      <c r="C207" s="15">
        <f t="shared" si="98"/>
        <v>0.80730348669279972</v>
      </c>
      <c r="D207" s="15">
        <f t="shared" si="99"/>
        <v>0.83043293718166389</v>
      </c>
      <c r="E207" s="15">
        <f t="shared" si="100"/>
        <v>0.97214772023932328</v>
      </c>
      <c r="F207" s="57"/>
      <c r="G207" s="34"/>
      <c r="H207" s="57">
        <f>+V207+AJ207+AX207+BL207+BS_GC_MP_Vill[[#This Row],[Trenes Programados]]</f>
        <v>4847</v>
      </c>
      <c r="I207" s="16">
        <f t="shared" si="90"/>
        <v>135</v>
      </c>
      <c r="J207" s="57">
        <f>+X207+AL207+AZ207+BN207+BS_GC_MP_Vill[[#This Row],[Trenes Corridos]]</f>
        <v>4712</v>
      </c>
      <c r="K207" s="57">
        <f>+Y207+AM207+BA207+BO207+BS_GC_MP_Vill[[#This Row],[Trenes Puntuales]]</f>
        <v>3913</v>
      </c>
      <c r="L207" s="16">
        <f t="shared" si="91"/>
        <v>799</v>
      </c>
      <c r="M207" s="16"/>
      <c r="N207" s="16"/>
      <c r="O207" s="80">
        <v>2009</v>
      </c>
      <c r="P207" s="81" t="s">
        <v>45</v>
      </c>
      <c r="Q207" s="15">
        <f t="shared" si="101"/>
        <v>0.8256016742239275</v>
      </c>
      <c r="R207" s="15">
        <f t="shared" si="102"/>
        <v>0.8462638541294244</v>
      </c>
      <c r="S207" s="15">
        <f t="shared" si="103"/>
        <v>0.97558423439134989</v>
      </c>
      <c r="T207" s="16"/>
      <c r="U207" s="16"/>
      <c r="V207" s="16">
        <v>2867</v>
      </c>
      <c r="W207" s="16">
        <f t="shared" si="92"/>
        <v>70</v>
      </c>
      <c r="X207" s="16">
        <v>2797</v>
      </c>
      <c r="Y207" s="16">
        <v>2367</v>
      </c>
      <c r="Z207" s="16">
        <f t="shared" si="93"/>
        <v>430</v>
      </c>
      <c r="AA207" s="16"/>
      <c r="AB207" s="16"/>
      <c r="AC207" s="80">
        <v>2009</v>
      </c>
      <c r="AD207" s="81" t="s">
        <v>45</v>
      </c>
      <c r="AE207" s="15">
        <f t="shared" si="104"/>
        <v>0.7469026548672566</v>
      </c>
      <c r="AF207" s="15">
        <f t="shared" si="105"/>
        <v>0.77621091354996929</v>
      </c>
      <c r="AG207" s="15">
        <f t="shared" si="106"/>
        <v>0.96224188790560472</v>
      </c>
      <c r="AH207" s="16"/>
      <c r="AI207" s="16"/>
      <c r="AJ207" s="16">
        <v>1695</v>
      </c>
      <c r="AK207" s="16">
        <f t="shared" si="94"/>
        <v>64</v>
      </c>
      <c r="AL207" s="16">
        <v>1631</v>
      </c>
      <c r="AM207" s="16">
        <v>1266</v>
      </c>
      <c r="AN207" s="16">
        <f t="shared" si="95"/>
        <v>365</v>
      </c>
      <c r="AO207" s="16"/>
      <c r="AP207" s="16"/>
      <c r="AQ207" s="80">
        <v>2009</v>
      </c>
      <c r="AR207" s="81" t="s">
        <v>45</v>
      </c>
      <c r="AS207" s="15">
        <f t="shared" si="107"/>
        <v>0.98245614035087714</v>
      </c>
      <c r="AT207" s="15">
        <f t="shared" si="108"/>
        <v>0.9859154929577465</v>
      </c>
      <c r="AU207" s="15">
        <f t="shared" si="109"/>
        <v>0.99649122807017543</v>
      </c>
      <c r="AV207" s="15"/>
      <c r="AW207" s="15"/>
      <c r="AX207" s="16">
        <v>285</v>
      </c>
      <c r="AY207" s="16">
        <f t="shared" si="96"/>
        <v>1</v>
      </c>
      <c r="AZ207" s="16">
        <v>284</v>
      </c>
      <c r="BA207" s="16">
        <v>280</v>
      </c>
      <c r="BB207" s="16">
        <f t="shared" si="97"/>
        <v>4</v>
      </c>
      <c r="BC207" s="16"/>
      <c r="BD207" s="16"/>
      <c r="BE207" s="80"/>
      <c r="BF207" s="81"/>
      <c r="BG207" s="15"/>
      <c r="BH207" s="15"/>
      <c r="BI207" s="15"/>
      <c r="BS207" s="80"/>
      <c r="BT207" s="81"/>
      <c r="BU207" s="15"/>
      <c r="BV207" s="15"/>
      <c r="BW207" s="15"/>
      <c r="CA207" s="45"/>
      <c r="CD207" s="45"/>
      <c r="CG207" s="80"/>
      <c r="CH207" s="81"/>
      <c r="CI207" s="15"/>
      <c r="CJ207" s="15"/>
      <c r="CK207" s="15"/>
      <c r="CO207" s="45"/>
      <c r="CR207" s="45"/>
    </row>
    <row r="208" spans="1:96" s="18" customFormat="1" ht="15" customHeight="1">
      <c r="A208" s="78">
        <v>2009</v>
      </c>
      <c r="B208" s="79" t="s">
        <v>46</v>
      </c>
      <c r="C208" s="15">
        <f t="shared" si="98"/>
        <v>0.75399701556171395</v>
      </c>
      <c r="D208" s="15">
        <f t="shared" si="99"/>
        <v>0.80901189387008232</v>
      </c>
      <c r="E208" s="15">
        <f t="shared" si="100"/>
        <v>0.93199744191004052</v>
      </c>
      <c r="F208" s="57"/>
      <c r="G208" s="34"/>
      <c r="H208" s="57">
        <f>+V208+AJ208+AX208+BL208+BS_GC_MP_Vill[[#This Row],[Trenes Programados]]</f>
        <v>4691</v>
      </c>
      <c r="I208" s="16">
        <f t="shared" si="90"/>
        <v>319</v>
      </c>
      <c r="J208" s="57">
        <f>+X208+AL208+AZ208+BN208+BS_GC_MP_Vill[[#This Row],[Trenes Corridos]]</f>
        <v>4372</v>
      </c>
      <c r="K208" s="57">
        <f>+Y208+AM208+BA208+BO208+BS_GC_MP_Vill[[#This Row],[Trenes Puntuales]]</f>
        <v>3537</v>
      </c>
      <c r="L208" s="16">
        <f t="shared" si="91"/>
        <v>835</v>
      </c>
      <c r="M208" s="16"/>
      <c r="N208" s="16"/>
      <c r="O208" s="78">
        <v>2009</v>
      </c>
      <c r="P208" s="79" t="s">
        <v>46</v>
      </c>
      <c r="Q208" s="15">
        <f t="shared" si="101"/>
        <v>0.77089337175792505</v>
      </c>
      <c r="R208" s="15">
        <f t="shared" si="102"/>
        <v>0.83398285268901018</v>
      </c>
      <c r="S208" s="15">
        <f t="shared" si="103"/>
        <v>0.92435158501440917</v>
      </c>
      <c r="T208" s="16"/>
      <c r="U208" s="16"/>
      <c r="V208" s="16">
        <v>2776</v>
      </c>
      <c r="W208" s="16">
        <f t="shared" si="92"/>
        <v>210</v>
      </c>
      <c r="X208" s="16">
        <v>2566</v>
      </c>
      <c r="Y208" s="16">
        <v>2140</v>
      </c>
      <c r="Z208" s="16">
        <f t="shared" si="93"/>
        <v>426</v>
      </c>
      <c r="AA208" s="16"/>
      <c r="AB208" s="16"/>
      <c r="AC208" s="78">
        <v>2009</v>
      </c>
      <c r="AD208" s="79" t="s">
        <v>46</v>
      </c>
      <c r="AE208" s="15">
        <f t="shared" si="104"/>
        <v>0.70085470085470081</v>
      </c>
      <c r="AF208" s="15">
        <f t="shared" si="105"/>
        <v>0.73921442369607215</v>
      </c>
      <c r="AG208" s="15">
        <f t="shared" si="106"/>
        <v>0.94810744810744807</v>
      </c>
      <c r="AH208" s="16"/>
      <c r="AI208" s="16"/>
      <c r="AJ208" s="16">
        <v>1638</v>
      </c>
      <c r="AK208" s="16">
        <f t="shared" si="94"/>
        <v>85</v>
      </c>
      <c r="AL208" s="16">
        <v>1553</v>
      </c>
      <c r="AM208" s="16">
        <v>1148</v>
      </c>
      <c r="AN208" s="16">
        <f t="shared" si="95"/>
        <v>405</v>
      </c>
      <c r="AO208" s="16"/>
      <c r="AP208" s="16"/>
      <c r="AQ208" s="78">
        <v>2009</v>
      </c>
      <c r="AR208" s="79" t="s">
        <v>46</v>
      </c>
      <c r="AS208" s="15">
        <f t="shared" si="107"/>
        <v>0.89891696750902528</v>
      </c>
      <c r="AT208" s="15">
        <f t="shared" si="108"/>
        <v>0.98418972332015808</v>
      </c>
      <c r="AU208" s="15">
        <f t="shared" si="109"/>
        <v>0.91335740072202165</v>
      </c>
      <c r="AV208" s="15"/>
      <c r="AW208" s="15"/>
      <c r="AX208" s="16">
        <v>277</v>
      </c>
      <c r="AY208" s="16">
        <f t="shared" si="96"/>
        <v>24</v>
      </c>
      <c r="AZ208" s="16">
        <v>253</v>
      </c>
      <c r="BA208" s="16">
        <v>249</v>
      </c>
      <c r="BB208" s="16">
        <f t="shared" si="97"/>
        <v>4</v>
      </c>
      <c r="BC208" s="16"/>
      <c r="BD208" s="16"/>
      <c r="BE208" s="78"/>
      <c r="BF208" s="79"/>
      <c r="BG208" s="15"/>
      <c r="BH208" s="15"/>
      <c r="BI208" s="15"/>
      <c r="BS208" s="78"/>
      <c r="BT208" s="79"/>
      <c r="BU208" s="15"/>
      <c r="BV208" s="15"/>
      <c r="BW208" s="15"/>
      <c r="CA208" s="45"/>
      <c r="CD208" s="45"/>
      <c r="CG208" s="78"/>
      <c r="CH208" s="79"/>
      <c r="CI208" s="15"/>
      <c r="CJ208" s="15"/>
      <c r="CK208" s="15"/>
      <c r="CO208" s="45"/>
      <c r="CR208" s="45"/>
    </row>
    <row r="209" spans="1:96" s="18" customFormat="1" ht="15" customHeight="1">
      <c r="A209" s="80">
        <v>2009</v>
      </c>
      <c r="B209" s="81" t="s">
        <v>47</v>
      </c>
      <c r="C209" s="15">
        <f t="shared" si="98"/>
        <v>0.8063847429519071</v>
      </c>
      <c r="D209" s="15">
        <f t="shared" si="99"/>
        <v>0.86061946902654862</v>
      </c>
      <c r="E209" s="15">
        <f t="shared" si="100"/>
        <v>0.93698175787728022</v>
      </c>
      <c r="F209" s="57"/>
      <c r="G209" s="34"/>
      <c r="H209" s="57">
        <f>+V209+AJ209+AX209+BL209+BS_GC_MP_Vill[[#This Row],[Trenes Programados]]</f>
        <v>4824</v>
      </c>
      <c r="I209" s="16">
        <f t="shared" si="90"/>
        <v>304</v>
      </c>
      <c r="J209" s="57">
        <f>+X209+AL209+AZ209+BN209+BS_GC_MP_Vill[[#This Row],[Trenes Corridos]]</f>
        <v>4520</v>
      </c>
      <c r="K209" s="57">
        <f>+Y209+AM209+BA209+BO209+BS_GC_MP_Vill[[#This Row],[Trenes Puntuales]]</f>
        <v>3890</v>
      </c>
      <c r="L209" s="16">
        <f t="shared" si="91"/>
        <v>630</v>
      </c>
      <c r="M209" s="16"/>
      <c r="N209" s="16"/>
      <c r="O209" s="80">
        <v>2009</v>
      </c>
      <c r="P209" s="81" t="s">
        <v>47</v>
      </c>
      <c r="Q209" s="15">
        <f t="shared" si="101"/>
        <v>0.86320589266923886</v>
      </c>
      <c r="R209" s="15">
        <f t="shared" si="102"/>
        <v>0.8798712906685735</v>
      </c>
      <c r="S209" s="15">
        <f t="shared" si="103"/>
        <v>0.98105927744651</v>
      </c>
      <c r="T209" s="16"/>
      <c r="U209" s="16"/>
      <c r="V209" s="16">
        <v>2851</v>
      </c>
      <c r="W209" s="16">
        <f t="shared" si="92"/>
        <v>54</v>
      </c>
      <c r="X209" s="16">
        <v>2797</v>
      </c>
      <c r="Y209" s="16">
        <v>2461</v>
      </c>
      <c r="Z209" s="16">
        <f t="shared" si="93"/>
        <v>336</v>
      </c>
      <c r="AA209" s="16"/>
      <c r="AB209" s="16"/>
      <c r="AC209" s="80">
        <v>2009</v>
      </c>
      <c r="AD209" s="81" t="s">
        <v>47</v>
      </c>
      <c r="AE209" s="15">
        <f t="shared" si="104"/>
        <v>0.80935464772054466</v>
      </c>
      <c r="AF209" s="15">
        <f t="shared" si="105"/>
        <v>0.82898726500909647</v>
      </c>
      <c r="AG209" s="15">
        <f t="shared" si="106"/>
        <v>0.97631734754292476</v>
      </c>
      <c r="AH209" s="16"/>
      <c r="AI209" s="16"/>
      <c r="AJ209" s="16">
        <v>1689</v>
      </c>
      <c r="AK209" s="16">
        <f t="shared" si="94"/>
        <v>40</v>
      </c>
      <c r="AL209" s="16">
        <v>1649</v>
      </c>
      <c r="AM209" s="16">
        <v>1367</v>
      </c>
      <c r="AN209" s="16">
        <f t="shared" si="95"/>
        <v>282</v>
      </c>
      <c r="AO209" s="16"/>
      <c r="AP209" s="16"/>
      <c r="AQ209" s="80">
        <v>2009</v>
      </c>
      <c r="AR209" s="81" t="s">
        <v>47</v>
      </c>
      <c r="AS209" s="15">
        <f t="shared" si="107"/>
        <v>0.21830985915492956</v>
      </c>
      <c r="AT209" s="15">
        <f t="shared" si="108"/>
        <v>0.83783783783783783</v>
      </c>
      <c r="AU209" s="15">
        <f t="shared" si="109"/>
        <v>0.26056338028169013</v>
      </c>
      <c r="AV209" s="15"/>
      <c r="AW209" s="15"/>
      <c r="AX209" s="16">
        <v>284</v>
      </c>
      <c r="AY209" s="16">
        <f t="shared" si="96"/>
        <v>210</v>
      </c>
      <c r="AZ209" s="16">
        <v>74</v>
      </c>
      <c r="BA209" s="16">
        <v>62</v>
      </c>
      <c r="BB209" s="16">
        <f t="shared" si="97"/>
        <v>12</v>
      </c>
      <c r="BC209" s="16"/>
      <c r="BD209" s="16"/>
      <c r="BE209" s="80"/>
      <c r="BF209" s="81"/>
      <c r="BG209" s="15"/>
      <c r="BH209" s="15"/>
      <c r="BI209" s="15"/>
      <c r="BS209" s="80"/>
      <c r="BT209" s="81"/>
      <c r="BU209" s="15"/>
      <c r="BV209" s="15"/>
      <c r="BW209" s="15"/>
      <c r="CA209" s="45"/>
      <c r="CD209" s="45"/>
      <c r="CG209" s="80"/>
      <c r="CH209" s="81"/>
      <c r="CI209" s="15"/>
      <c r="CJ209" s="15"/>
      <c r="CK209" s="15"/>
      <c r="CO209" s="45"/>
      <c r="CR209" s="45"/>
    </row>
    <row r="210" spans="1:96" s="18" customFormat="1" ht="15" customHeight="1">
      <c r="A210" s="78">
        <v>2010</v>
      </c>
      <c r="B210" s="79" t="s">
        <v>36</v>
      </c>
      <c r="C210" s="15">
        <f t="shared" si="98"/>
        <v>0.87754254877542548</v>
      </c>
      <c r="D210" s="15">
        <f t="shared" si="99"/>
        <v>0.89690284259652098</v>
      </c>
      <c r="E210" s="15">
        <f t="shared" si="100"/>
        <v>0.97841427978414275</v>
      </c>
      <c r="F210" s="57"/>
      <c r="G210" s="34"/>
      <c r="H210" s="57">
        <f>+V210+AJ210+AX210+BL210+BS_GC_MP_Vill[[#This Row],[Trenes Programados]]</f>
        <v>4818</v>
      </c>
      <c r="I210" s="16">
        <f t="shared" ref="I210:I221" si="110">H210-J210</f>
        <v>104</v>
      </c>
      <c r="J210" s="57">
        <f>+X210+AL210+AZ210+BN210+BS_GC_MP_Vill[[#This Row],[Trenes Corridos]]</f>
        <v>4714</v>
      </c>
      <c r="K210" s="57">
        <f>+Y210+AM210+BA210+BO210+BS_GC_MP_Vill[[#This Row],[Trenes Puntuales]]</f>
        <v>4228</v>
      </c>
      <c r="L210" s="16">
        <f t="shared" ref="L210:L221" si="111">J210-K210</f>
        <v>486</v>
      </c>
      <c r="M210" s="16"/>
      <c r="N210" s="16"/>
      <c r="O210" s="78">
        <v>2010</v>
      </c>
      <c r="P210" s="79" t="s">
        <v>36</v>
      </c>
      <c r="Q210" s="15">
        <f t="shared" si="101"/>
        <v>0.89595782073813712</v>
      </c>
      <c r="R210" s="15">
        <f t="shared" si="102"/>
        <v>0.9100321313816494</v>
      </c>
      <c r="S210" s="15">
        <f t="shared" si="103"/>
        <v>0.98453427065026367</v>
      </c>
      <c r="T210" s="16"/>
      <c r="U210" s="16"/>
      <c r="V210" s="16">
        <v>2845</v>
      </c>
      <c r="W210" s="16">
        <f t="shared" ref="W210:W221" si="112">V210-X210</f>
        <v>44</v>
      </c>
      <c r="X210" s="16">
        <v>2801</v>
      </c>
      <c r="Y210" s="16">
        <v>2549</v>
      </c>
      <c r="Z210" s="16">
        <f t="shared" ref="Z210:Z221" si="113">X210-Y210</f>
        <v>252</v>
      </c>
      <c r="AA210" s="16"/>
      <c r="AB210" s="16"/>
      <c r="AC210" s="78">
        <v>2010</v>
      </c>
      <c r="AD210" s="79" t="s">
        <v>36</v>
      </c>
      <c r="AE210" s="15">
        <f t="shared" si="104"/>
        <v>0.82909520993494978</v>
      </c>
      <c r="AF210" s="15">
        <f t="shared" si="105"/>
        <v>0.85959534028203555</v>
      </c>
      <c r="AG210" s="15">
        <f t="shared" si="106"/>
        <v>0.96451803666469549</v>
      </c>
      <c r="AH210" s="16"/>
      <c r="AI210" s="16"/>
      <c r="AJ210" s="16">
        <v>1691</v>
      </c>
      <c r="AK210" s="16">
        <f t="shared" ref="AK210:AK221" si="114">AJ210-AL210</f>
        <v>60</v>
      </c>
      <c r="AL210" s="16">
        <v>1631</v>
      </c>
      <c r="AM210" s="16">
        <v>1402</v>
      </c>
      <c r="AN210" s="16">
        <f t="shared" ref="AN210:AN221" si="115">AL210-AM210</f>
        <v>229</v>
      </c>
      <c r="AO210" s="16"/>
      <c r="AP210" s="16"/>
      <c r="AQ210" s="78">
        <v>2010</v>
      </c>
      <c r="AR210" s="79" t="s">
        <v>36</v>
      </c>
      <c r="AS210" s="15">
        <f t="shared" si="107"/>
        <v>0.98226950354609932</v>
      </c>
      <c r="AT210" s="15">
        <f t="shared" si="108"/>
        <v>0.98226950354609932</v>
      </c>
      <c r="AU210" s="15">
        <f t="shared" si="109"/>
        <v>1</v>
      </c>
      <c r="AV210" s="15"/>
      <c r="AW210" s="15"/>
      <c r="AX210" s="16">
        <v>282</v>
      </c>
      <c r="AY210" s="16">
        <f t="shared" ref="AY210:AY221" si="116">AX210-AZ210</f>
        <v>0</v>
      </c>
      <c r="AZ210" s="16">
        <v>282</v>
      </c>
      <c r="BA210" s="16">
        <v>277</v>
      </c>
      <c r="BB210" s="16">
        <f t="shared" ref="BB210:BB221" si="117">AZ210-BA210</f>
        <v>5</v>
      </c>
      <c r="BC210" s="16"/>
      <c r="BD210" s="16"/>
      <c r="BE210" s="78"/>
      <c r="BF210" s="79"/>
      <c r="BG210" s="15"/>
      <c r="BH210" s="15"/>
      <c r="BI210" s="15"/>
      <c r="BS210" s="78"/>
      <c r="BT210" s="79"/>
      <c r="BU210" s="15"/>
      <c r="BV210" s="15"/>
      <c r="BW210" s="15"/>
      <c r="CA210" s="45"/>
      <c r="CD210" s="45"/>
      <c r="CG210" s="78"/>
      <c r="CH210" s="79"/>
      <c r="CI210" s="15"/>
      <c r="CJ210" s="15"/>
      <c r="CK210" s="15"/>
      <c r="CO210" s="45"/>
      <c r="CR210" s="45"/>
    </row>
    <row r="211" spans="1:96" s="18" customFormat="1" ht="15" customHeight="1">
      <c r="A211" s="80">
        <v>2010</v>
      </c>
      <c r="B211" s="81" t="s">
        <v>37</v>
      </c>
      <c r="C211" s="15">
        <f t="shared" si="98"/>
        <v>0.79686078252957238</v>
      </c>
      <c r="D211" s="15">
        <f t="shared" si="99"/>
        <v>0.83305588585017831</v>
      </c>
      <c r="E211" s="15">
        <f t="shared" si="100"/>
        <v>0.95655141037306646</v>
      </c>
      <c r="F211" s="57"/>
      <c r="G211" s="34"/>
      <c r="H211" s="57">
        <f>+V211+AJ211+AX211+BL211+BS_GC_MP_Vill[[#This Row],[Trenes Programados]]</f>
        <v>4396</v>
      </c>
      <c r="I211" s="16">
        <f t="shared" si="110"/>
        <v>191</v>
      </c>
      <c r="J211" s="57">
        <f>+X211+AL211+AZ211+BN211+BS_GC_MP_Vill[[#This Row],[Trenes Corridos]]</f>
        <v>4205</v>
      </c>
      <c r="K211" s="57">
        <f>+Y211+AM211+BA211+BO211+BS_GC_MP_Vill[[#This Row],[Trenes Puntuales]]</f>
        <v>3503</v>
      </c>
      <c r="L211" s="16">
        <f t="shared" si="111"/>
        <v>702</v>
      </c>
      <c r="M211" s="16"/>
      <c r="N211" s="16"/>
      <c r="O211" s="80">
        <v>2010</v>
      </c>
      <c r="P211" s="81" t="s">
        <v>37</v>
      </c>
      <c r="Q211" s="15">
        <f t="shared" si="101"/>
        <v>0.82296466973886329</v>
      </c>
      <c r="R211" s="15">
        <f t="shared" si="102"/>
        <v>0.84938565200158544</v>
      </c>
      <c r="S211" s="15">
        <f t="shared" si="103"/>
        <v>0.96889400921658986</v>
      </c>
      <c r="T211" s="16"/>
      <c r="U211" s="16"/>
      <c r="V211" s="16">
        <v>2604</v>
      </c>
      <c r="W211" s="16">
        <f t="shared" si="112"/>
        <v>81</v>
      </c>
      <c r="X211" s="16">
        <v>2523</v>
      </c>
      <c r="Y211" s="16">
        <v>2143</v>
      </c>
      <c r="Z211" s="16">
        <f t="shared" si="113"/>
        <v>380</v>
      </c>
      <c r="AA211" s="16"/>
      <c r="AB211" s="16"/>
      <c r="AC211" s="80">
        <v>2010</v>
      </c>
      <c r="AD211" s="81" t="s">
        <v>37</v>
      </c>
      <c r="AE211" s="15">
        <f t="shared" si="104"/>
        <v>0.74477806788511747</v>
      </c>
      <c r="AF211" s="15">
        <f t="shared" si="105"/>
        <v>0.78365384615384615</v>
      </c>
      <c r="AG211" s="15">
        <f t="shared" si="106"/>
        <v>0.95039164490861616</v>
      </c>
      <c r="AH211" s="16"/>
      <c r="AI211" s="16"/>
      <c r="AJ211" s="16">
        <v>1532</v>
      </c>
      <c r="AK211" s="16">
        <f t="shared" si="114"/>
        <v>76</v>
      </c>
      <c r="AL211" s="16">
        <v>1456</v>
      </c>
      <c r="AM211" s="16">
        <v>1141</v>
      </c>
      <c r="AN211" s="16">
        <f t="shared" si="115"/>
        <v>315</v>
      </c>
      <c r="AO211" s="16"/>
      <c r="AP211" s="16"/>
      <c r="AQ211" s="80">
        <v>2010</v>
      </c>
      <c r="AR211" s="81" t="s">
        <v>37</v>
      </c>
      <c r="AS211" s="15">
        <f t="shared" si="107"/>
        <v>0.84230769230769231</v>
      </c>
      <c r="AT211" s="15">
        <f t="shared" si="108"/>
        <v>0.96902654867256632</v>
      </c>
      <c r="AU211" s="15">
        <f t="shared" si="109"/>
        <v>0.86923076923076925</v>
      </c>
      <c r="AV211" s="15"/>
      <c r="AW211" s="15"/>
      <c r="AX211" s="16">
        <v>260</v>
      </c>
      <c r="AY211" s="16">
        <f t="shared" si="116"/>
        <v>34</v>
      </c>
      <c r="AZ211" s="16">
        <v>226</v>
      </c>
      <c r="BA211" s="16">
        <v>219</v>
      </c>
      <c r="BB211" s="16">
        <f t="shared" si="117"/>
        <v>7</v>
      </c>
      <c r="BC211" s="16"/>
      <c r="BD211" s="16"/>
      <c r="BE211" s="80"/>
      <c r="BF211" s="81"/>
      <c r="BG211" s="15"/>
      <c r="BH211" s="15"/>
      <c r="BI211" s="15"/>
      <c r="BS211" s="80"/>
      <c r="BT211" s="81"/>
      <c r="BU211" s="15"/>
      <c r="BV211" s="15"/>
      <c r="BW211" s="15"/>
      <c r="CA211" s="45"/>
      <c r="CD211" s="45"/>
      <c r="CG211" s="80"/>
      <c r="CH211" s="81"/>
      <c r="CI211" s="15"/>
      <c r="CJ211" s="15"/>
      <c r="CK211" s="15"/>
      <c r="CO211" s="45"/>
      <c r="CR211" s="45"/>
    </row>
    <row r="212" spans="1:96" s="18" customFormat="1" ht="15" customHeight="1">
      <c r="A212" s="78">
        <v>2010</v>
      </c>
      <c r="B212" s="79" t="s">
        <v>38</v>
      </c>
      <c r="C212" s="15">
        <f t="shared" si="98"/>
        <v>0.8357716876159077</v>
      </c>
      <c r="D212" s="15">
        <f t="shared" si="99"/>
        <v>0.85389473684210526</v>
      </c>
      <c r="E212" s="15">
        <f t="shared" si="100"/>
        <v>0.97877601483618382</v>
      </c>
      <c r="F212" s="57"/>
      <c r="G212" s="34"/>
      <c r="H212" s="57">
        <f>+V212+AJ212+AX212+BL212+BS_GC_MP_Vill[[#This Row],[Trenes Programados]]</f>
        <v>4853</v>
      </c>
      <c r="I212" s="16">
        <f t="shared" si="110"/>
        <v>103</v>
      </c>
      <c r="J212" s="57">
        <f>+X212+AL212+AZ212+BN212+BS_GC_MP_Vill[[#This Row],[Trenes Corridos]]</f>
        <v>4750</v>
      </c>
      <c r="K212" s="57">
        <f>+Y212+AM212+BA212+BO212+BS_GC_MP_Vill[[#This Row],[Trenes Puntuales]]</f>
        <v>4056</v>
      </c>
      <c r="L212" s="16">
        <f t="shared" si="111"/>
        <v>694</v>
      </c>
      <c r="M212" s="16"/>
      <c r="N212" s="16"/>
      <c r="O212" s="78">
        <v>2010</v>
      </c>
      <c r="P212" s="79" t="s">
        <v>38</v>
      </c>
      <c r="Q212" s="15">
        <f t="shared" si="101"/>
        <v>0.85520361990950222</v>
      </c>
      <c r="R212" s="15">
        <f t="shared" si="102"/>
        <v>0.86942675159235672</v>
      </c>
      <c r="S212" s="15">
        <f t="shared" si="103"/>
        <v>0.98364079359554468</v>
      </c>
      <c r="T212" s="16"/>
      <c r="U212" s="16"/>
      <c r="V212" s="16">
        <v>2873</v>
      </c>
      <c r="W212" s="16">
        <f t="shared" si="112"/>
        <v>47</v>
      </c>
      <c r="X212" s="16">
        <v>2826</v>
      </c>
      <c r="Y212" s="16">
        <v>2457</v>
      </c>
      <c r="Z212" s="16">
        <f t="shared" si="113"/>
        <v>369</v>
      </c>
      <c r="AA212" s="16"/>
      <c r="AB212" s="16"/>
      <c r="AC212" s="78">
        <v>2010</v>
      </c>
      <c r="AD212" s="79" t="s">
        <v>38</v>
      </c>
      <c r="AE212" s="15">
        <f t="shared" si="104"/>
        <v>0.78086237448316598</v>
      </c>
      <c r="AF212" s="15">
        <f t="shared" si="105"/>
        <v>0.80315917375455648</v>
      </c>
      <c r="AG212" s="15">
        <f t="shared" si="106"/>
        <v>0.9722386296515062</v>
      </c>
      <c r="AH212" s="16"/>
      <c r="AI212" s="16"/>
      <c r="AJ212" s="16">
        <v>1693</v>
      </c>
      <c r="AK212" s="16">
        <f t="shared" si="114"/>
        <v>47</v>
      </c>
      <c r="AL212" s="16">
        <v>1646</v>
      </c>
      <c r="AM212" s="16">
        <v>1322</v>
      </c>
      <c r="AN212" s="16">
        <f t="shared" si="115"/>
        <v>324</v>
      </c>
      <c r="AO212" s="16"/>
      <c r="AP212" s="16"/>
      <c r="AQ212" s="78">
        <v>2010</v>
      </c>
      <c r="AR212" s="79" t="s">
        <v>38</v>
      </c>
      <c r="AS212" s="15">
        <f t="shared" si="107"/>
        <v>0.96515679442508706</v>
      </c>
      <c r="AT212" s="15">
        <f t="shared" si="108"/>
        <v>0.99640287769784175</v>
      </c>
      <c r="AU212" s="15">
        <f t="shared" si="109"/>
        <v>0.96864111498257843</v>
      </c>
      <c r="AV212" s="15"/>
      <c r="AW212" s="15"/>
      <c r="AX212" s="16">
        <v>287</v>
      </c>
      <c r="AY212" s="16">
        <f t="shared" si="116"/>
        <v>9</v>
      </c>
      <c r="AZ212" s="16">
        <v>278</v>
      </c>
      <c r="BA212" s="16">
        <v>277</v>
      </c>
      <c r="BB212" s="16">
        <f t="shared" si="117"/>
        <v>1</v>
      </c>
      <c r="BC212" s="16"/>
      <c r="BD212" s="16"/>
      <c r="BE212" s="78"/>
      <c r="BF212" s="79"/>
      <c r="BG212" s="15"/>
      <c r="BH212" s="15"/>
      <c r="BI212" s="15"/>
      <c r="BS212" s="78"/>
      <c r="BT212" s="79"/>
      <c r="BU212" s="15"/>
      <c r="BV212" s="15"/>
      <c r="BW212" s="15"/>
      <c r="CA212" s="45"/>
      <c r="CD212" s="45"/>
      <c r="CG212" s="78"/>
      <c r="CH212" s="79"/>
      <c r="CI212" s="15"/>
      <c r="CJ212" s="15"/>
      <c r="CK212" s="15"/>
      <c r="CO212" s="45"/>
      <c r="CR212" s="45"/>
    </row>
    <row r="213" spans="1:96" s="18" customFormat="1" ht="15" customHeight="1">
      <c r="A213" s="80">
        <v>2010</v>
      </c>
      <c r="B213" s="81" t="s">
        <v>39</v>
      </c>
      <c r="C213" s="15">
        <f t="shared" si="98"/>
        <v>0.77886872998932766</v>
      </c>
      <c r="D213" s="15">
        <f t="shared" si="99"/>
        <v>0.82166178788561139</v>
      </c>
      <c r="E213" s="15">
        <f t="shared" si="100"/>
        <v>0.94791889007470653</v>
      </c>
      <c r="F213" s="57"/>
      <c r="G213" s="34"/>
      <c r="H213" s="57">
        <f>+V213+AJ213+AX213+BL213+BS_GC_MP_Vill[[#This Row],[Trenes Programados]]</f>
        <v>4685</v>
      </c>
      <c r="I213" s="16">
        <f t="shared" si="110"/>
        <v>244</v>
      </c>
      <c r="J213" s="57">
        <f>+X213+AL213+AZ213+BN213+BS_GC_MP_Vill[[#This Row],[Trenes Corridos]]</f>
        <v>4441</v>
      </c>
      <c r="K213" s="57">
        <f>+Y213+AM213+BA213+BO213+BS_GC_MP_Vill[[#This Row],[Trenes Puntuales]]</f>
        <v>3649</v>
      </c>
      <c r="L213" s="16">
        <f t="shared" si="111"/>
        <v>792</v>
      </c>
      <c r="M213" s="16"/>
      <c r="N213" s="16"/>
      <c r="O213" s="80">
        <v>2010</v>
      </c>
      <c r="P213" s="81" t="s">
        <v>39</v>
      </c>
      <c r="Q213" s="15">
        <f t="shared" si="101"/>
        <v>0.77978339350180503</v>
      </c>
      <c r="R213" s="15">
        <f t="shared" si="102"/>
        <v>0.84079408330089533</v>
      </c>
      <c r="S213" s="15">
        <f t="shared" si="103"/>
        <v>0.92743682310469311</v>
      </c>
      <c r="T213" s="16"/>
      <c r="U213" s="16"/>
      <c r="V213" s="16">
        <v>2770</v>
      </c>
      <c r="W213" s="16">
        <f t="shared" si="112"/>
        <v>201</v>
      </c>
      <c r="X213" s="16">
        <v>2569</v>
      </c>
      <c r="Y213" s="16">
        <v>2160</v>
      </c>
      <c r="Z213" s="16">
        <f t="shared" si="113"/>
        <v>409</v>
      </c>
      <c r="AA213" s="16"/>
      <c r="AB213" s="16"/>
      <c r="AC213" s="80">
        <v>2010</v>
      </c>
      <c r="AD213" s="81" t="s">
        <v>39</v>
      </c>
      <c r="AE213" s="15">
        <f t="shared" si="104"/>
        <v>0.75731707317073171</v>
      </c>
      <c r="AF213" s="15">
        <f t="shared" si="105"/>
        <v>0.77383177570093453</v>
      </c>
      <c r="AG213" s="15">
        <f t="shared" si="106"/>
        <v>0.97865853658536583</v>
      </c>
      <c r="AH213" s="16"/>
      <c r="AI213" s="16"/>
      <c r="AJ213" s="16">
        <v>1640</v>
      </c>
      <c r="AK213" s="16">
        <f t="shared" si="114"/>
        <v>35</v>
      </c>
      <c r="AL213" s="16">
        <v>1605</v>
      </c>
      <c r="AM213" s="16">
        <v>1242</v>
      </c>
      <c r="AN213" s="16">
        <f t="shared" si="115"/>
        <v>363</v>
      </c>
      <c r="AO213" s="16"/>
      <c r="AP213" s="16"/>
      <c r="AQ213" s="80">
        <v>2010</v>
      </c>
      <c r="AR213" s="81" t="s">
        <v>39</v>
      </c>
      <c r="AS213" s="15">
        <f t="shared" si="107"/>
        <v>0.89818181818181819</v>
      </c>
      <c r="AT213" s="15">
        <f t="shared" si="108"/>
        <v>0.92509363295880154</v>
      </c>
      <c r="AU213" s="15">
        <f t="shared" si="109"/>
        <v>0.97090909090909094</v>
      </c>
      <c r="AV213" s="15"/>
      <c r="AW213" s="15"/>
      <c r="AX213" s="16">
        <v>275</v>
      </c>
      <c r="AY213" s="16">
        <f t="shared" si="116"/>
        <v>8</v>
      </c>
      <c r="AZ213" s="16">
        <v>267</v>
      </c>
      <c r="BA213" s="16">
        <v>247</v>
      </c>
      <c r="BB213" s="16">
        <f t="shared" si="117"/>
        <v>20</v>
      </c>
      <c r="BC213" s="16"/>
      <c r="BD213" s="16"/>
      <c r="BE213" s="80"/>
      <c r="BF213" s="81"/>
      <c r="BG213" s="15"/>
      <c r="BH213" s="15"/>
      <c r="BI213" s="15"/>
      <c r="BS213" s="80"/>
      <c r="BT213" s="81"/>
      <c r="BU213" s="15"/>
      <c r="BV213" s="15"/>
      <c r="BW213" s="15"/>
      <c r="CA213" s="45"/>
      <c r="CD213" s="45"/>
      <c r="CG213" s="80"/>
      <c r="CH213" s="81"/>
      <c r="CI213" s="15"/>
      <c r="CJ213" s="15"/>
      <c r="CK213" s="15"/>
      <c r="CO213" s="45"/>
      <c r="CR213" s="45"/>
    </row>
    <row r="214" spans="1:96" s="18" customFormat="1" ht="15" customHeight="1">
      <c r="A214" s="78">
        <v>2010</v>
      </c>
      <c r="B214" s="79" t="s">
        <v>40</v>
      </c>
      <c r="C214" s="15">
        <f t="shared" si="98"/>
        <v>0.89760805707091906</v>
      </c>
      <c r="D214" s="15">
        <f t="shared" si="99"/>
        <v>0.90885914595283623</v>
      </c>
      <c r="E214" s="15">
        <f t="shared" si="100"/>
        <v>0.98762064624422996</v>
      </c>
      <c r="F214" s="57"/>
      <c r="G214" s="34"/>
      <c r="H214" s="57">
        <f>+V214+AJ214+AX214+BL214+BS_GC_MP_Vill[[#This Row],[Trenes Programados]]</f>
        <v>4766</v>
      </c>
      <c r="I214" s="16">
        <f t="shared" si="110"/>
        <v>59</v>
      </c>
      <c r="J214" s="57">
        <f>+X214+AL214+AZ214+BN214+BS_GC_MP_Vill[[#This Row],[Trenes Corridos]]</f>
        <v>4707</v>
      </c>
      <c r="K214" s="57">
        <f>+Y214+AM214+BA214+BO214+BS_GC_MP_Vill[[#This Row],[Trenes Puntuales]]</f>
        <v>4278</v>
      </c>
      <c r="L214" s="16">
        <f t="shared" si="111"/>
        <v>429</v>
      </c>
      <c r="M214" s="16"/>
      <c r="N214" s="16"/>
      <c r="O214" s="78">
        <v>2010</v>
      </c>
      <c r="P214" s="79" t="s">
        <v>40</v>
      </c>
      <c r="Q214" s="15">
        <f t="shared" si="101"/>
        <v>0.90951193444959033</v>
      </c>
      <c r="R214" s="15">
        <f t="shared" si="102"/>
        <v>0.91702586206896552</v>
      </c>
      <c r="S214" s="15">
        <f t="shared" si="103"/>
        <v>0.99180619878874243</v>
      </c>
      <c r="T214" s="16"/>
      <c r="U214" s="16"/>
      <c r="V214" s="16">
        <v>2807</v>
      </c>
      <c r="W214" s="16">
        <f t="shared" si="112"/>
        <v>23</v>
      </c>
      <c r="X214" s="16">
        <v>2784</v>
      </c>
      <c r="Y214" s="16">
        <v>2553</v>
      </c>
      <c r="Z214" s="16">
        <f t="shared" si="113"/>
        <v>231</v>
      </c>
      <c r="AA214" s="16"/>
      <c r="AB214" s="16"/>
      <c r="AC214" s="78">
        <v>2010</v>
      </c>
      <c r="AD214" s="79" t="s">
        <v>40</v>
      </c>
      <c r="AE214" s="15">
        <f t="shared" si="104"/>
        <v>0.86793575252825694</v>
      </c>
      <c r="AF214" s="15">
        <f t="shared" si="105"/>
        <v>0.8810386473429952</v>
      </c>
      <c r="AG214" s="15">
        <f t="shared" si="106"/>
        <v>0.98512790005948836</v>
      </c>
      <c r="AH214" s="16"/>
      <c r="AI214" s="16"/>
      <c r="AJ214" s="16">
        <v>1681</v>
      </c>
      <c r="AK214" s="16">
        <f t="shared" si="114"/>
        <v>25</v>
      </c>
      <c r="AL214" s="16">
        <v>1656</v>
      </c>
      <c r="AM214" s="16">
        <v>1459</v>
      </c>
      <c r="AN214" s="16">
        <f t="shared" si="115"/>
        <v>197</v>
      </c>
      <c r="AO214" s="16"/>
      <c r="AP214" s="16"/>
      <c r="AQ214" s="78">
        <v>2010</v>
      </c>
      <c r="AR214" s="79" t="s">
        <v>40</v>
      </c>
      <c r="AS214" s="15">
        <f t="shared" si="107"/>
        <v>0.95683453237410077</v>
      </c>
      <c r="AT214" s="15">
        <f t="shared" si="108"/>
        <v>0.99625468164794007</v>
      </c>
      <c r="AU214" s="15">
        <f t="shared" si="109"/>
        <v>0.96043165467625902</v>
      </c>
      <c r="AV214" s="15"/>
      <c r="AW214" s="15"/>
      <c r="AX214" s="16">
        <v>278</v>
      </c>
      <c r="AY214" s="16">
        <f t="shared" si="116"/>
        <v>11</v>
      </c>
      <c r="AZ214" s="16">
        <v>267</v>
      </c>
      <c r="BA214" s="16">
        <v>266</v>
      </c>
      <c r="BB214" s="16">
        <f t="shared" si="117"/>
        <v>1</v>
      </c>
      <c r="BC214" s="16"/>
      <c r="BD214" s="16"/>
      <c r="BE214" s="78"/>
      <c r="BF214" s="79"/>
      <c r="BG214" s="15"/>
      <c r="BH214" s="15"/>
      <c r="BI214" s="15"/>
      <c r="BS214" s="78"/>
      <c r="BT214" s="79"/>
      <c r="BU214" s="15"/>
      <c r="BV214" s="15"/>
      <c r="BW214" s="15"/>
      <c r="CA214" s="45"/>
      <c r="CD214" s="45"/>
      <c r="CG214" s="78"/>
      <c r="CH214" s="79"/>
      <c r="CI214" s="15"/>
      <c r="CJ214" s="15"/>
      <c r="CK214" s="15"/>
      <c r="CO214" s="45"/>
      <c r="CR214" s="45"/>
    </row>
    <row r="215" spans="1:96" s="18" customFormat="1" ht="15" customHeight="1">
      <c r="A215" s="80">
        <v>2010</v>
      </c>
      <c r="B215" s="81" t="s">
        <v>41</v>
      </c>
      <c r="C215" s="15">
        <f t="shared" si="98"/>
        <v>0.8900021317416329</v>
      </c>
      <c r="D215" s="15">
        <f t="shared" si="99"/>
        <v>0.90328861964517526</v>
      </c>
      <c r="E215" s="15">
        <f t="shared" si="100"/>
        <v>0.98529098273289273</v>
      </c>
      <c r="F215" s="57"/>
      <c r="G215" s="34"/>
      <c r="H215" s="57">
        <f>+V215+AJ215+AX215+BL215+BS_GC_MP_Vill[[#This Row],[Trenes Programados]]</f>
        <v>4691</v>
      </c>
      <c r="I215" s="16">
        <f t="shared" si="110"/>
        <v>69</v>
      </c>
      <c r="J215" s="57">
        <f>+X215+AL215+AZ215+BN215+BS_GC_MP_Vill[[#This Row],[Trenes Corridos]]</f>
        <v>4622</v>
      </c>
      <c r="K215" s="57">
        <f>+Y215+AM215+BA215+BO215+BS_GC_MP_Vill[[#This Row],[Trenes Puntuales]]</f>
        <v>4175</v>
      </c>
      <c r="L215" s="16">
        <f t="shared" si="111"/>
        <v>447</v>
      </c>
      <c r="M215" s="16"/>
      <c r="N215" s="16"/>
      <c r="O215" s="80">
        <v>2010</v>
      </c>
      <c r="P215" s="81" t="s">
        <v>41</v>
      </c>
      <c r="Q215" s="15">
        <f t="shared" si="101"/>
        <v>0.89661383285302598</v>
      </c>
      <c r="R215" s="15">
        <f t="shared" si="102"/>
        <v>0.91005484460694697</v>
      </c>
      <c r="S215" s="15">
        <f t="shared" si="103"/>
        <v>0.98523054755043227</v>
      </c>
      <c r="T215" s="16"/>
      <c r="U215" s="16"/>
      <c r="V215" s="16">
        <v>2776</v>
      </c>
      <c r="W215" s="16">
        <f t="shared" si="112"/>
        <v>41</v>
      </c>
      <c r="X215" s="16">
        <v>2735</v>
      </c>
      <c r="Y215" s="16">
        <v>2489</v>
      </c>
      <c r="Z215" s="16">
        <f t="shared" si="113"/>
        <v>246</v>
      </c>
      <c r="AA215" s="16"/>
      <c r="AB215" s="16"/>
      <c r="AC215" s="80">
        <v>2010</v>
      </c>
      <c r="AD215" s="81" t="s">
        <v>41</v>
      </c>
      <c r="AE215" s="15">
        <f t="shared" si="104"/>
        <v>0.86935286935286937</v>
      </c>
      <c r="AF215" s="15">
        <f t="shared" si="105"/>
        <v>0.88228004956629491</v>
      </c>
      <c r="AG215" s="15">
        <f t="shared" si="106"/>
        <v>0.9853479853479854</v>
      </c>
      <c r="AH215" s="16"/>
      <c r="AI215" s="16"/>
      <c r="AJ215" s="16">
        <v>1638</v>
      </c>
      <c r="AK215" s="16">
        <f t="shared" si="114"/>
        <v>24</v>
      </c>
      <c r="AL215" s="16">
        <v>1614</v>
      </c>
      <c r="AM215" s="16">
        <v>1424</v>
      </c>
      <c r="AN215" s="16">
        <f t="shared" si="115"/>
        <v>190</v>
      </c>
      <c r="AO215" s="16"/>
      <c r="AP215" s="16"/>
      <c r="AQ215" s="80">
        <v>2010</v>
      </c>
      <c r="AR215" s="81" t="s">
        <v>41</v>
      </c>
      <c r="AS215" s="15">
        <f t="shared" si="107"/>
        <v>0.94584837545126355</v>
      </c>
      <c r="AT215" s="15">
        <f t="shared" si="108"/>
        <v>0.95970695970695974</v>
      </c>
      <c r="AU215" s="15">
        <f t="shared" si="109"/>
        <v>0.98555956678700363</v>
      </c>
      <c r="AV215" s="15"/>
      <c r="AW215" s="15"/>
      <c r="AX215" s="16">
        <v>277</v>
      </c>
      <c r="AY215" s="16">
        <f t="shared" si="116"/>
        <v>4</v>
      </c>
      <c r="AZ215" s="16">
        <v>273</v>
      </c>
      <c r="BA215" s="16">
        <v>262</v>
      </c>
      <c r="BB215" s="16">
        <f t="shared" si="117"/>
        <v>11</v>
      </c>
      <c r="BC215" s="16"/>
      <c r="BD215" s="16"/>
      <c r="BE215" s="80"/>
      <c r="BF215" s="81"/>
      <c r="BG215" s="15"/>
      <c r="BH215" s="15"/>
      <c r="BI215" s="15"/>
      <c r="BS215" s="80"/>
      <c r="BT215" s="81"/>
      <c r="BU215" s="15"/>
      <c r="BV215" s="15"/>
      <c r="BW215" s="15"/>
      <c r="CA215" s="45"/>
      <c r="CD215" s="45"/>
      <c r="CG215" s="80"/>
      <c r="CH215" s="81"/>
      <c r="CI215" s="15"/>
      <c r="CJ215" s="15"/>
      <c r="CK215" s="15"/>
      <c r="CO215" s="45"/>
      <c r="CR215" s="45"/>
    </row>
    <row r="216" spans="1:96" s="18" customFormat="1" ht="15" customHeight="1">
      <c r="A216" s="78">
        <v>2010</v>
      </c>
      <c r="B216" s="79" t="s">
        <v>42</v>
      </c>
      <c r="C216" s="15">
        <f t="shared" si="98"/>
        <v>0.89147926552506707</v>
      </c>
      <c r="D216" s="15">
        <f t="shared" si="99"/>
        <v>0.91430385103681755</v>
      </c>
      <c r="E216" s="15">
        <f t="shared" si="100"/>
        <v>0.97503610480709713</v>
      </c>
      <c r="F216" s="57"/>
      <c r="G216" s="34"/>
      <c r="H216" s="57">
        <f>+V216+AJ216+AX216+BL216+BS_GC_MP_Vill[[#This Row],[Trenes Programados]]</f>
        <v>4847</v>
      </c>
      <c r="I216" s="16">
        <f t="shared" si="110"/>
        <v>121</v>
      </c>
      <c r="J216" s="57">
        <f>+X216+AL216+AZ216+BN216+BS_GC_MP_Vill[[#This Row],[Trenes Corridos]]</f>
        <v>4726</v>
      </c>
      <c r="K216" s="57">
        <f>+Y216+AM216+BA216+BO216+BS_GC_MP_Vill[[#This Row],[Trenes Puntuales]]</f>
        <v>4321</v>
      </c>
      <c r="L216" s="16">
        <f t="shared" si="111"/>
        <v>405</v>
      </c>
      <c r="M216" s="16"/>
      <c r="N216" s="16"/>
      <c r="O216" s="78">
        <v>2010</v>
      </c>
      <c r="P216" s="79" t="s">
        <v>42</v>
      </c>
      <c r="Q216" s="15">
        <f t="shared" si="101"/>
        <v>0.89919776770143012</v>
      </c>
      <c r="R216" s="15">
        <f t="shared" si="102"/>
        <v>0.92500897021887329</v>
      </c>
      <c r="S216" s="15">
        <f t="shared" si="103"/>
        <v>0.97209626787582837</v>
      </c>
      <c r="T216" s="16"/>
      <c r="U216" s="16"/>
      <c r="V216" s="16">
        <v>2867</v>
      </c>
      <c r="W216" s="16">
        <f t="shared" si="112"/>
        <v>80</v>
      </c>
      <c r="X216" s="16">
        <v>2787</v>
      </c>
      <c r="Y216" s="16">
        <v>2578</v>
      </c>
      <c r="Z216" s="16">
        <f t="shared" si="113"/>
        <v>209</v>
      </c>
      <c r="AA216" s="16"/>
      <c r="AB216" s="16"/>
      <c r="AC216" s="78">
        <v>2010</v>
      </c>
      <c r="AD216" s="79" t="s">
        <v>42</v>
      </c>
      <c r="AE216" s="15">
        <f t="shared" si="104"/>
        <v>0.87020648967551617</v>
      </c>
      <c r="AF216" s="15">
        <f t="shared" si="105"/>
        <v>0.88801926550270927</v>
      </c>
      <c r="AG216" s="15">
        <f t="shared" si="106"/>
        <v>0.97994100294985254</v>
      </c>
      <c r="AH216" s="16"/>
      <c r="AI216" s="16"/>
      <c r="AJ216" s="16">
        <v>1695</v>
      </c>
      <c r="AK216" s="16">
        <f t="shared" si="114"/>
        <v>34</v>
      </c>
      <c r="AL216" s="16">
        <v>1661</v>
      </c>
      <c r="AM216" s="16">
        <v>1475</v>
      </c>
      <c r="AN216" s="16">
        <f t="shared" si="115"/>
        <v>186</v>
      </c>
      <c r="AO216" s="16"/>
      <c r="AP216" s="16"/>
      <c r="AQ216" s="78">
        <v>2010</v>
      </c>
      <c r="AR216" s="79" t="s">
        <v>42</v>
      </c>
      <c r="AS216" s="15">
        <f t="shared" si="107"/>
        <v>0.94035087719298249</v>
      </c>
      <c r="AT216" s="15">
        <f t="shared" si="108"/>
        <v>0.96402877697841727</v>
      </c>
      <c r="AU216" s="15">
        <f t="shared" si="109"/>
        <v>0.9754385964912281</v>
      </c>
      <c r="AV216" s="15"/>
      <c r="AW216" s="15"/>
      <c r="AX216" s="16">
        <v>285</v>
      </c>
      <c r="AY216" s="16">
        <f t="shared" si="116"/>
        <v>7</v>
      </c>
      <c r="AZ216" s="16">
        <v>278</v>
      </c>
      <c r="BA216" s="16">
        <v>268</v>
      </c>
      <c r="BB216" s="16">
        <f t="shared" si="117"/>
        <v>10</v>
      </c>
      <c r="BC216" s="16"/>
      <c r="BD216" s="16"/>
      <c r="BE216" s="78"/>
      <c r="BF216" s="79"/>
      <c r="BG216" s="15"/>
      <c r="BH216" s="15"/>
      <c r="BI216" s="15"/>
      <c r="BS216" s="78"/>
      <c r="BT216" s="79"/>
      <c r="BU216" s="15"/>
      <c r="BV216" s="15"/>
      <c r="BW216" s="15"/>
      <c r="CA216" s="45"/>
      <c r="CD216" s="45"/>
      <c r="CG216" s="78"/>
      <c r="CH216" s="79"/>
      <c r="CI216" s="15"/>
      <c r="CJ216" s="15"/>
      <c r="CK216" s="15"/>
      <c r="CO216" s="45"/>
      <c r="CR216" s="45"/>
    </row>
    <row r="217" spans="1:96" s="18" customFormat="1" ht="15" customHeight="1">
      <c r="A217" s="80">
        <v>2010</v>
      </c>
      <c r="B217" s="81" t="s">
        <v>43</v>
      </c>
      <c r="C217" s="15">
        <f t="shared" si="98"/>
        <v>0.88847429519071308</v>
      </c>
      <c r="D217" s="15">
        <f t="shared" si="99"/>
        <v>0.91561632129886772</v>
      </c>
      <c r="E217" s="15">
        <f t="shared" si="100"/>
        <v>0.97035655058043113</v>
      </c>
      <c r="F217" s="57"/>
      <c r="G217" s="34"/>
      <c r="H217" s="57">
        <f>+V217+AJ217+AX217+BL217+BS_GC_MP_Vill[[#This Row],[Trenes Programados]]</f>
        <v>4824</v>
      </c>
      <c r="I217" s="16">
        <f t="shared" si="110"/>
        <v>143</v>
      </c>
      <c r="J217" s="57">
        <f>+X217+AL217+AZ217+BN217+BS_GC_MP_Vill[[#This Row],[Trenes Corridos]]</f>
        <v>4681</v>
      </c>
      <c r="K217" s="57">
        <f>+Y217+AM217+BA217+BO217+BS_GC_MP_Vill[[#This Row],[Trenes Puntuales]]</f>
        <v>4286</v>
      </c>
      <c r="L217" s="16">
        <f t="shared" si="111"/>
        <v>395</v>
      </c>
      <c r="M217" s="16"/>
      <c r="N217" s="16"/>
      <c r="O217" s="80">
        <v>2010</v>
      </c>
      <c r="P217" s="81" t="s">
        <v>43</v>
      </c>
      <c r="Q217" s="15">
        <f t="shared" si="101"/>
        <v>0.89722904244124868</v>
      </c>
      <c r="R217" s="15">
        <f t="shared" si="102"/>
        <v>0.92346570397111916</v>
      </c>
      <c r="S217" s="15">
        <f t="shared" si="103"/>
        <v>0.97158891616976495</v>
      </c>
      <c r="T217" s="16"/>
      <c r="U217" s="16"/>
      <c r="V217" s="16">
        <v>2851</v>
      </c>
      <c r="W217" s="16">
        <f t="shared" si="112"/>
        <v>81</v>
      </c>
      <c r="X217" s="16">
        <v>2770</v>
      </c>
      <c r="Y217" s="16">
        <v>2558</v>
      </c>
      <c r="Z217" s="16">
        <f t="shared" si="113"/>
        <v>212</v>
      </c>
      <c r="AA217" s="16"/>
      <c r="AB217" s="16"/>
      <c r="AC217" s="80">
        <v>2010</v>
      </c>
      <c r="AD217" s="81" t="s">
        <v>43</v>
      </c>
      <c r="AE217" s="15">
        <f t="shared" si="104"/>
        <v>0.86441681468324449</v>
      </c>
      <c r="AF217" s="15">
        <f t="shared" si="105"/>
        <v>0.8951563458001226</v>
      </c>
      <c r="AG217" s="15">
        <f t="shared" si="106"/>
        <v>0.96566015393724092</v>
      </c>
      <c r="AH217" s="16"/>
      <c r="AI217" s="16"/>
      <c r="AJ217" s="16">
        <v>1689</v>
      </c>
      <c r="AK217" s="16">
        <f t="shared" si="114"/>
        <v>58</v>
      </c>
      <c r="AL217" s="16">
        <v>1631</v>
      </c>
      <c r="AM217" s="16">
        <v>1460</v>
      </c>
      <c r="AN217" s="16">
        <f t="shared" si="115"/>
        <v>171</v>
      </c>
      <c r="AO217" s="16"/>
      <c r="AP217" s="16"/>
      <c r="AQ217" s="80">
        <v>2010</v>
      </c>
      <c r="AR217" s="81" t="s">
        <v>43</v>
      </c>
      <c r="AS217" s="15">
        <f t="shared" si="107"/>
        <v>0.94366197183098588</v>
      </c>
      <c r="AT217" s="15">
        <f t="shared" si="108"/>
        <v>0.95714285714285718</v>
      </c>
      <c r="AU217" s="15">
        <f t="shared" si="109"/>
        <v>0.9859154929577465</v>
      </c>
      <c r="AV217" s="15"/>
      <c r="AW217" s="15"/>
      <c r="AX217" s="16">
        <v>284</v>
      </c>
      <c r="AY217" s="16">
        <f t="shared" si="116"/>
        <v>4</v>
      </c>
      <c r="AZ217" s="16">
        <v>280</v>
      </c>
      <c r="BA217" s="16">
        <v>268</v>
      </c>
      <c r="BB217" s="16">
        <f t="shared" si="117"/>
        <v>12</v>
      </c>
      <c r="BC217" s="16"/>
      <c r="BD217" s="16"/>
      <c r="BE217" s="80"/>
      <c r="BF217" s="81"/>
      <c r="BG217" s="15"/>
      <c r="BH217" s="15"/>
      <c r="BI217" s="15"/>
      <c r="BS217" s="80"/>
      <c r="BT217" s="81"/>
      <c r="BU217" s="15"/>
      <c r="BV217" s="15"/>
      <c r="BW217" s="15"/>
      <c r="CA217" s="45"/>
      <c r="CD217" s="45"/>
      <c r="CG217" s="80"/>
      <c r="CH217" s="81"/>
      <c r="CI217" s="15"/>
      <c r="CJ217" s="15"/>
      <c r="CK217" s="15"/>
      <c r="CO217" s="45"/>
      <c r="CR217" s="45"/>
    </row>
    <row r="218" spans="1:96" s="18" customFormat="1" ht="15" customHeight="1">
      <c r="A218" s="78">
        <v>2010</v>
      </c>
      <c r="B218" s="79" t="s">
        <v>44</v>
      </c>
      <c r="C218" s="15">
        <f t="shared" si="98"/>
        <v>0.88728813559322028</v>
      </c>
      <c r="D218" s="15">
        <f t="shared" si="99"/>
        <v>0.9055135135135135</v>
      </c>
      <c r="E218" s="15">
        <f t="shared" si="100"/>
        <v>0.9798728813559322</v>
      </c>
      <c r="F218" s="57"/>
      <c r="G218" s="34"/>
      <c r="H218" s="57">
        <f>+V218+AJ218+AX218+BL218+BS_GC_MP_Vill[[#This Row],[Trenes Programados]]</f>
        <v>4720</v>
      </c>
      <c r="I218" s="16">
        <f t="shared" si="110"/>
        <v>95</v>
      </c>
      <c r="J218" s="57">
        <f>+X218+AL218+AZ218+BN218+BS_GC_MP_Vill[[#This Row],[Trenes Corridos]]</f>
        <v>4625</v>
      </c>
      <c r="K218" s="57">
        <f>+Y218+AM218+BA218+BO218+BS_GC_MP_Vill[[#This Row],[Trenes Puntuales]]</f>
        <v>4188</v>
      </c>
      <c r="L218" s="16">
        <f t="shared" si="111"/>
        <v>437</v>
      </c>
      <c r="M218" s="16"/>
      <c r="N218" s="16"/>
      <c r="O218" s="78">
        <v>2010</v>
      </c>
      <c r="P218" s="79" t="s">
        <v>44</v>
      </c>
      <c r="Q218" s="15">
        <f t="shared" si="101"/>
        <v>0.87919942816297358</v>
      </c>
      <c r="R218" s="15">
        <f t="shared" si="102"/>
        <v>0.90076894910289274</v>
      </c>
      <c r="S218" s="15">
        <f t="shared" si="103"/>
        <v>0.97605432451751251</v>
      </c>
      <c r="T218" s="16"/>
      <c r="U218" s="16"/>
      <c r="V218" s="16">
        <v>2798</v>
      </c>
      <c r="W218" s="16">
        <f t="shared" si="112"/>
        <v>67</v>
      </c>
      <c r="X218" s="16">
        <v>2731</v>
      </c>
      <c r="Y218" s="16">
        <v>2460</v>
      </c>
      <c r="Z218" s="16">
        <f t="shared" si="113"/>
        <v>271</v>
      </c>
      <c r="AA218" s="16"/>
      <c r="AB218" s="16"/>
      <c r="AC218" s="78">
        <v>2010</v>
      </c>
      <c r="AD218" s="79" t="s">
        <v>44</v>
      </c>
      <c r="AE218" s="15">
        <f t="shared" si="104"/>
        <v>0.89220462850182702</v>
      </c>
      <c r="AF218" s="15">
        <f t="shared" si="105"/>
        <v>0.90320591861898891</v>
      </c>
      <c r="AG218" s="15">
        <f t="shared" si="106"/>
        <v>0.98781973203410478</v>
      </c>
      <c r="AH218" s="16"/>
      <c r="AI218" s="16"/>
      <c r="AJ218" s="16">
        <v>1642</v>
      </c>
      <c r="AK218" s="16">
        <f t="shared" si="114"/>
        <v>20</v>
      </c>
      <c r="AL218" s="16">
        <v>1622</v>
      </c>
      <c r="AM218" s="16">
        <v>1465</v>
      </c>
      <c r="AN218" s="16">
        <f t="shared" si="115"/>
        <v>157</v>
      </c>
      <c r="AO218" s="16"/>
      <c r="AP218" s="16"/>
      <c r="AQ218" s="78">
        <v>2010</v>
      </c>
      <c r="AR218" s="79" t="s">
        <v>44</v>
      </c>
      <c r="AS218" s="15">
        <f t="shared" si="107"/>
        <v>0.93928571428571428</v>
      </c>
      <c r="AT218" s="15">
        <f t="shared" si="108"/>
        <v>0.96691176470588236</v>
      </c>
      <c r="AU218" s="15">
        <f t="shared" si="109"/>
        <v>0.97142857142857142</v>
      </c>
      <c r="AV218" s="15"/>
      <c r="AW218" s="15"/>
      <c r="AX218" s="16">
        <v>280</v>
      </c>
      <c r="AY218" s="16">
        <f t="shared" si="116"/>
        <v>8</v>
      </c>
      <c r="AZ218" s="16">
        <v>272</v>
      </c>
      <c r="BA218" s="16">
        <v>263</v>
      </c>
      <c r="BB218" s="16">
        <f t="shared" si="117"/>
        <v>9</v>
      </c>
      <c r="BC218" s="16"/>
      <c r="BD218" s="16"/>
      <c r="BE218" s="78"/>
      <c r="BF218" s="79"/>
      <c r="BG218" s="15"/>
      <c r="BH218" s="15"/>
      <c r="BI218" s="15"/>
      <c r="BS218" s="78"/>
      <c r="BT218" s="79"/>
      <c r="BU218" s="15"/>
      <c r="BV218" s="15"/>
      <c r="BW218" s="15"/>
      <c r="CA218" s="45"/>
      <c r="CD218" s="45"/>
      <c r="CG218" s="78"/>
      <c r="CH218" s="79"/>
      <c r="CI218" s="15"/>
      <c r="CJ218" s="15"/>
      <c r="CK218" s="15"/>
      <c r="CO218" s="45"/>
      <c r="CR218" s="45"/>
    </row>
    <row r="219" spans="1:96" s="18" customFormat="1" ht="15" customHeight="1">
      <c r="A219" s="80">
        <v>2010</v>
      </c>
      <c r="B219" s="81" t="s">
        <v>45</v>
      </c>
      <c r="C219" s="15">
        <f t="shared" si="98"/>
        <v>0.88703278346210068</v>
      </c>
      <c r="D219" s="15">
        <f t="shared" si="99"/>
        <v>0.91650485436893203</v>
      </c>
      <c r="E219" s="15">
        <f t="shared" si="100"/>
        <v>0.96784297348089376</v>
      </c>
      <c r="F219" s="57"/>
      <c r="G219" s="34"/>
      <c r="H219" s="57">
        <f>+V219+AJ219+AX219+BL219+BS_GC_MP_Vill[[#This Row],[Trenes Programados]]</f>
        <v>4789</v>
      </c>
      <c r="I219" s="16">
        <f t="shared" si="110"/>
        <v>154</v>
      </c>
      <c r="J219" s="57">
        <f>+X219+AL219+AZ219+BN219+BS_GC_MP_Vill[[#This Row],[Trenes Corridos]]</f>
        <v>4635</v>
      </c>
      <c r="K219" s="57">
        <f>+Y219+AM219+BA219+BO219+BS_GC_MP_Vill[[#This Row],[Trenes Puntuales]]</f>
        <v>4248</v>
      </c>
      <c r="L219" s="16">
        <f t="shared" si="111"/>
        <v>387</v>
      </c>
      <c r="M219" s="16"/>
      <c r="N219" s="16"/>
      <c r="O219" s="80">
        <v>2010</v>
      </c>
      <c r="P219" s="81" t="s">
        <v>45</v>
      </c>
      <c r="Q219" s="15">
        <f t="shared" si="101"/>
        <v>0.90116896918172162</v>
      </c>
      <c r="R219" s="15">
        <f t="shared" si="102"/>
        <v>0.91874322860238355</v>
      </c>
      <c r="S219" s="15">
        <f t="shared" si="103"/>
        <v>0.9808714133900106</v>
      </c>
      <c r="T219" s="16"/>
      <c r="U219" s="16"/>
      <c r="V219" s="16">
        <v>2823</v>
      </c>
      <c r="W219" s="16">
        <f t="shared" si="112"/>
        <v>54</v>
      </c>
      <c r="X219" s="16">
        <v>2769</v>
      </c>
      <c r="Y219" s="16">
        <v>2544</v>
      </c>
      <c r="Z219" s="16">
        <f t="shared" si="113"/>
        <v>225</v>
      </c>
      <c r="AA219" s="16"/>
      <c r="AB219" s="16"/>
      <c r="AC219" s="80">
        <v>2010</v>
      </c>
      <c r="AD219" s="81" t="s">
        <v>45</v>
      </c>
      <c r="AE219" s="15">
        <f t="shared" si="104"/>
        <v>0.85417901600474211</v>
      </c>
      <c r="AF219" s="15">
        <f t="shared" si="105"/>
        <v>0.90118824265165731</v>
      </c>
      <c r="AG219" s="15">
        <f t="shared" si="106"/>
        <v>0.94783639596917602</v>
      </c>
      <c r="AH219" s="16"/>
      <c r="AI219" s="16"/>
      <c r="AJ219" s="16">
        <v>1687</v>
      </c>
      <c r="AK219" s="16">
        <f t="shared" si="114"/>
        <v>88</v>
      </c>
      <c r="AL219" s="16">
        <v>1599</v>
      </c>
      <c r="AM219" s="16">
        <v>1441</v>
      </c>
      <c r="AN219" s="16">
        <f t="shared" si="115"/>
        <v>158</v>
      </c>
      <c r="AO219" s="16"/>
      <c r="AP219" s="16"/>
      <c r="AQ219" s="80">
        <v>2010</v>
      </c>
      <c r="AR219" s="81" t="s">
        <v>45</v>
      </c>
      <c r="AS219" s="15">
        <f t="shared" si="107"/>
        <v>0.94265232974910396</v>
      </c>
      <c r="AT219" s="15">
        <f t="shared" si="108"/>
        <v>0.98501872659176026</v>
      </c>
      <c r="AU219" s="15">
        <f t="shared" si="109"/>
        <v>0.956989247311828</v>
      </c>
      <c r="AV219" s="15"/>
      <c r="AW219" s="15"/>
      <c r="AX219" s="16">
        <v>279</v>
      </c>
      <c r="AY219" s="16">
        <f t="shared" si="116"/>
        <v>12</v>
      </c>
      <c r="AZ219" s="16">
        <v>267</v>
      </c>
      <c r="BA219" s="16">
        <v>263</v>
      </c>
      <c r="BB219" s="16">
        <f t="shared" si="117"/>
        <v>4</v>
      </c>
      <c r="BC219" s="16"/>
      <c r="BD219" s="16"/>
      <c r="BE219" s="80"/>
      <c r="BF219" s="81"/>
      <c r="BG219" s="15"/>
      <c r="BH219" s="15"/>
      <c r="BI219" s="15"/>
      <c r="BS219" s="80"/>
      <c r="BT219" s="81"/>
      <c r="BU219" s="15"/>
      <c r="BV219" s="15"/>
      <c r="BW219" s="15"/>
      <c r="CA219" s="45"/>
      <c r="CD219" s="45"/>
      <c r="CG219" s="80"/>
      <c r="CH219" s="81"/>
      <c r="CI219" s="15"/>
      <c r="CJ219" s="15"/>
      <c r="CK219" s="15"/>
      <c r="CO219" s="45"/>
      <c r="CR219" s="45"/>
    </row>
    <row r="220" spans="1:96" s="18" customFormat="1" ht="15" customHeight="1">
      <c r="A220" s="78">
        <v>2010</v>
      </c>
      <c r="B220" s="79" t="s">
        <v>46</v>
      </c>
      <c r="C220" s="15">
        <f t="shared" si="98"/>
        <v>0.88829673843530166</v>
      </c>
      <c r="D220" s="15">
        <f t="shared" si="99"/>
        <v>0.90883315158124323</v>
      </c>
      <c r="E220" s="15">
        <f t="shared" si="100"/>
        <v>0.97740353869111063</v>
      </c>
      <c r="F220" s="57"/>
      <c r="G220" s="34"/>
      <c r="H220" s="57">
        <f>+V220+AJ220+AX220+BL220+BS_GC_MP_Vill[[#This Row],[Trenes Programados]]</f>
        <v>4691</v>
      </c>
      <c r="I220" s="16">
        <f t="shared" si="110"/>
        <v>106</v>
      </c>
      <c r="J220" s="57">
        <f>+X220+AL220+AZ220+BN220+BS_GC_MP_Vill[[#This Row],[Trenes Corridos]]</f>
        <v>4585</v>
      </c>
      <c r="K220" s="57">
        <f>+Y220+AM220+BA220+BO220+BS_GC_MP_Vill[[#This Row],[Trenes Puntuales]]</f>
        <v>4167</v>
      </c>
      <c r="L220" s="16">
        <f t="shared" si="111"/>
        <v>418</v>
      </c>
      <c r="M220" s="16"/>
      <c r="N220" s="16"/>
      <c r="O220" s="78">
        <v>2010</v>
      </c>
      <c r="P220" s="79" t="s">
        <v>46</v>
      </c>
      <c r="Q220" s="15">
        <f t="shared" si="101"/>
        <v>0.90742074927953886</v>
      </c>
      <c r="R220" s="15">
        <f t="shared" si="102"/>
        <v>0.91566703017084694</v>
      </c>
      <c r="S220" s="15">
        <f t="shared" si="103"/>
        <v>0.99099423631123917</v>
      </c>
      <c r="T220" s="16"/>
      <c r="U220" s="16"/>
      <c r="V220" s="16">
        <v>2776</v>
      </c>
      <c r="W220" s="16">
        <f t="shared" si="112"/>
        <v>25</v>
      </c>
      <c r="X220" s="16">
        <v>2751</v>
      </c>
      <c r="Y220" s="16">
        <v>2519</v>
      </c>
      <c r="Z220" s="16">
        <f t="shared" si="113"/>
        <v>232</v>
      </c>
      <c r="AA220" s="16"/>
      <c r="AB220" s="16"/>
      <c r="AC220" s="78">
        <v>2010</v>
      </c>
      <c r="AD220" s="79" t="s">
        <v>46</v>
      </c>
      <c r="AE220" s="15">
        <f t="shared" si="104"/>
        <v>0.8504273504273504</v>
      </c>
      <c r="AF220" s="15">
        <f t="shared" si="105"/>
        <v>0.88332276474318328</v>
      </c>
      <c r="AG220" s="15">
        <f t="shared" si="106"/>
        <v>0.96275946275946278</v>
      </c>
      <c r="AH220" s="16"/>
      <c r="AI220" s="16"/>
      <c r="AJ220" s="16">
        <v>1638</v>
      </c>
      <c r="AK220" s="16">
        <f t="shared" si="114"/>
        <v>61</v>
      </c>
      <c r="AL220" s="16">
        <v>1577</v>
      </c>
      <c r="AM220" s="16">
        <v>1393</v>
      </c>
      <c r="AN220" s="16">
        <f t="shared" si="115"/>
        <v>184</v>
      </c>
      <c r="AO220" s="16"/>
      <c r="AP220" s="16"/>
      <c r="AQ220" s="78">
        <v>2010</v>
      </c>
      <c r="AR220" s="79" t="s">
        <v>46</v>
      </c>
      <c r="AS220" s="15">
        <f t="shared" si="107"/>
        <v>0.92057761732851984</v>
      </c>
      <c r="AT220" s="15">
        <f t="shared" si="108"/>
        <v>0.99221789883268485</v>
      </c>
      <c r="AU220" s="15">
        <f t="shared" si="109"/>
        <v>0.92779783393501802</v>
      </c>
      <c r="AV220" s="15"/>
      <c r="AW220" s="15"/>
      <c r="AX220" s="16">
        <v>277</v>
      </c>
      <c r="AY220" s="16">
        <f t="shared" si="116"/>
        <v>20</v>
      </c>
      <c r="AZ220" s="16">
        <v>257</v>
      </c>
      <c r="BA220" s="16">
        <v>255</v>
      </c>
      <c r="BB220" s="16">
        <f t="shared" si="117"/>
        <v>2</v>
      </c>
      <c r="BC220" s="16"/>
      <c r="BD220" s="16"/>
      <c r="BE220" s="78"/>
      <c r="BF220" s="79"/>
      <c r="BG220" s="15"/>
      <c r="BH220" s="15"/>
      <c r="BI220" s="15"/>
      <c r="BS220" s="78"/>
      <c r="BT220" s="79"/>
      <c r="BU220" s="15"/>
      <c r="BV220" s="15"/>
      <c r="BW220" s="15"/>
      <c r="CA220" s="45"/>
      <c r="CD220" s="45"/>
      <c r="CG220" s="78"/>
      <c r="CH220" s="79"/>
      <c r="CI220" s="15"/>
      <c r="CJ220" s="15"/>
      <c r="CK220" s="15"/>
      <c r="CO220" s="45"/>
      <c r="CR220" s="45"/>
    </row>
    <row r="221" spans="1:96" s="18" customFormat="1" ht="15" customHeight="1">
      <c r="A221" s="80">
        <v>2010</v>
      </c>
      <c r="B221" s="81" t="s">
        <v>47</v>
      </c>
      <c r="C221" s="15">
        <f t="shared" si="98"/>
        <v>0.75695309256953092</v>
      </c>
      <c r="D221" s="15">
        <f t="shared" si="99"/>
        <v>0.91334835962935135</v>
      </c>
      <c r="E221" s="15">
        <f t="shared" si="100"/>
        <v>0.82876712328767121</v>
      </c>
      <c r="F221" s="57"/>
      <c r="G221" s="34"/>
      <c r="H221" s="57">
        <f>+V221+AJ221+AX221+BL221+BS_GC_MP_Vill[[#This Row],[Trenes Programados]]</f>
        <v>4818</v>
      </c>
      <c r="I221" s="16">
        <f t="shared" si="110"/>
        <v>825</v>
      </c>
      <c r="J221" s="57">
        <f>+X221+AL221+AZ221+BN221+BS_GC_MP_Vill[[#This Row],[Trenes Corridos]]</f>
        <v>3993</v>
      </c>
      <c r="K221" s="57">
        <f>+Y221+AM221+BA221+BO221+BS_GC_MP_Vill[[#This Row],[Trenes Puntuales]]</f>
        <v>3647</v>
      </c>
      <c r="L221" s="16">
        <f t="shared" si="111"/>
        <v>346</v>
      </c>
      <c r="M221" s="16"/>
      <c r="N221" s="16"/>
      <c r="O221" s="80">
        <v>2010</v>
      </c>
      <c r="P221" s="81" t="s">
        <v>47</v>
      </c>
      <c r="Q221" s="15">
        <f t="shared" si="101"/>
        <v>0.77609841827768011</v>
      </c>
      <c r="R221" s="15">
        <f t="shared" si="102"/>
        <v>0.91580257154707589</v>
      </c>
      <c r="S221" s="15">
        <f t="shared" si="103"/>
        <v>0.84745166959578211</v>
      </c>
      <c r="T221" s="16"/>
      <c r="U221" s="16"/>
      <c r="V221" s="16">
        <v>2845</v>
      </c>
      <c r="W221" s="16">
        <f t="shared" si="112"/>
        <v>434</v>
      </c>
      <c r="X221" s="16">
        <v>2411</v>
      </c>
      <c r="Y221" s="16">
        <v>2208</v>
      </c>
      <c r="Z221" s="16">
        <f t="shared" si="113"/>
        <v>203</v>
      </c>
      <c r="AA221" s="16"/>
      <c r="AB221" s="16"/>
      <c r="AC221" s="80">
        <v>2010</v>
      </c>
      <c r="AD221" s="81" t="s">
        <v>47</v>
      </c>
      <c r="AE221" s="15">
        <f t="shared" si="104"/>
        <v>0.69367238320520397</v>
      </c>
      <c r="AF221" s="15">
        <f t="shared" si="105"/>
        <v>0.8933739527798934</v>
      </c>
      <c r="AG221" s="15">
        <f t="shared" si="106"/>
        <v>0.77646363098758131</v>
      </c>
      <c r="AH221" s="16"/>
      <c r="AI221" s="16"/>
      <c r="AJ221" s="16">
        <v>1691</v>
      </c>
      <c r="AK221" s="16">
        <f t="shared" si="114"/>
        <v>378</v>
      </c>
      <c r="AL221" s="16">
        <v>1313</v>
      </c>
      <c r="AM221" s="16">
        <v>1173</v>
      </c>
      <c r="AN221" s="16">
        <f t="shared" si="115"/>
        <v>140</v>
      </c>
      <c r="AO221" s="16"/>
      <c r="AP221" s="16"/>
      <c r="AQ221" s="80">
        <v>2010</v>
      </c>
      <c r="AR221" s="81" t="s">
        <v>47</v>
      </c>
      <c r="AS221" s="15">
        <f t="shared" si="107"/>
        <v>0.94326241134751776</v>
      </c>
      <c r="AT221" s="15">
        <f t="shared" si="108"/>
        <v>0.98884758364312264</v>
      </c>
      <c r="AU221" s="15">
        <f t="shared" si="109"/>
        <v>0.95390070921985815</v>
      </c>
      <c r="AV221" s="15"/>
      <c r="AW221" s="15"/>
      <c r="AX221" s="16">
        <v>282</v>
      </c>
      <c r="AY221" s="16">
        <f t="shared" si="116"/>
        <v>13</v>
      </c>
      <c r="AZ221" s="16">
        <v>269</v>
      </c>
      <c r="BA221" s="16">
        <v>266</v>
      </c>
      <c r="BB221" s="16">
        <f t="shared" si="117"/>
        <v>3</v>
      </c>
      <c r="BC221" s="16"/>
      <c r="BD221" s="16"/>
      <c r="BE221" s="80"/>
      <c r="BF221" s="81"/>
      <c r="BG221" s="15"/>
      <c r="BH221" s="15"/>
      <c r="BI221" s="15"/>
      <c r="BS221" s="80"/>
      <c r="BT221" s="81"/>
      <c r="BU221" s="15"/>
      <c r="BV221" s="15"/>
      <c r="BW221" s="15"/>
      <c r="CA221" s="45"/>
      <c r="CD221" s="45"/>
      <c r="CG221" s="80"/>
      <c r="CH221" s="81"/>
      <c r="CI221" s="15"/>
      <c r="CJ221" s="15"/>
      <c r="CK221" s="15"/>
      <c r="CO221" s="45"/>
      <c r="CR221" s="45"/>
    </row>
    <row r="222" spans="1:96" s="18" customFormat="1" ht="15" customHeight="1">
      <c r="A222" s="78">
        <v>2011</v>
      </c>
      <c r="B222" s="79" t="s">
        <v>36</v>
      </c>
      <c r="C222" s="15">
        <f t="shared" si="98"/>
        <v>0.91894693200663347</v>
      </c>
      <c r="D222" s="15">
        <f t="shared" si="99"/>
        <v>0.94198895027624308</v>
      </c>
      <c r="E222" s="15">
        <f t="shared" si="100"/>
        <v>0.9755389718076285</v>
      </c>
      <c r="F222" s="57"/>
      <c r="G222" s="34"/>
      <c r="H222" s="57">
        <f>+V222+AJ222+AX222+BL222+BS_GC_MP_Vill[[#This Row],[Trenes Programados]]</f>
        <v>4824</v>
      </c>
      <c r="I222" s="16">
        <f t="shared" ref="I222:I233" si="118">H222-J222</f>
        <v>118</v>
      </c>
      <c r="J222" s="57">
        <f>+X222+AL222+AZ222+BN222+BS_GC_MP_Vill[[#This Row],[Trenes Corridos]]</f>
        <v>4706</v>
      </c>
      <c r="K222" s="57">
        <f>+Y222+AM222+BA222+BO222+BS_GC_MP_Vill[[#This Row],[Trenes Puntuales]]</f>
        <v>4433</v>
      </c>
      <c r="L222" s="16">
        <f t="shared" ref="L222:L233" si="119">J222-K222</f>
        <v>273</v>
      </c>
      <c r="M222" s="16"/>
      <c r="N222" s="16"/>
      <c r="O222" s="78">
        <v>2011</v>
      </c>
      <c r="P222" s="79" t="s">
        <v>36</v>
      </c>
      <c r="Q222" s="15">
        <f t="shared" si="101"/>
        <v>0.92458786390740089</v>
      </c>
      <c r="R222" s="15">
        <f t="shared" si="102"/>
        <v>0.94514162782359268</v>
      </c>
      <c r="S222" s="15">
        <f t="shared" si="103"/>
        <v>0.97825324447562256</v>
      </c>
      <c r="T222" s="16"/>
      <c r="U222" s="16"/>
      <c r="V222" s="16">
        <v>2851</v>
      </c>
      <c r="W222" s="16">
        <f t="shared" ref="W222:W233" si="120">V222-X222</f>
        <v>62</v>
      </c>
      <c r="X222" s="16">
        <v>2789</v>
      </c>
      <c r="Y222" s="16">
        <v>2636</v>
      </c>
      <c r="Z222" s="16">
        <f t="shared" ref="Z222:Z233" si="121">X222-Y222</f>
        <v>153</v>
      </c>
      <c r="AA222" s="16"/>
      <c r="AB222" s="16"/>
      <c r="AC222" s="78">
        <v>2011</v>
      </c>
      <c r="AD222" s="79" t="s">
        <v>36</v>
      </c>
      <c r="AE222" s="15">
        <f t="shared" si="104"/>
        <v>0.90704558910597988</v>
      </c>
      <c r="AF222" s="15">
        <f t="shared" si="105"/>
        <v>0.93187347931873477</v>
      </c>
      <c r="AG222" s="15">
        <f t="shared" si="106"/>
        <v>0.97335701598579039</v>
      </c>
      <c r="AH222" s="16"/>
      <c r="AI222" s="16"/>
      <c r="AJ222" s="16">
        <v>1689</v>
      </c>
      <c r="AK222" s="16">
        <f t="shared" ref="AK222:AK233" si="122">AJ222-AL222</f>
        <v>45</v>
      </c>
      <c r="AL222" s="16">
        <v>1644</v>
      </c>
      <c r="AM222" s="16">
        <v>1532</v>
      </c>
      <c r="AN222" s="16">
        <f t="shared" ref="AN222:AN233" si="123">AL222-AM222</f>
        <v>112</v>
      </c>
      <c r="AO222" s="16"/>
      <c r="AP222" s="16"/>
      <c r="AQ222" s="78">
        <v>2011</v>
      </c>
      <c r="AR222" s="79" t="s">
        <v>36</v>
      </c>
      <c r="AS222" s="15">
        <f t="shared" si="107"/>
        <v>0.93309859154929575</v>
      </c>
      <c r="AT222" s="15">
        <f t="shared" si="108"/>
        <v>0.97069597069597069</v>
      </c>
      <c r="AU222" s="15">
        <f t="shared" si="109"/>
        <v>0.96126760563380287</v>
      </c>
      <c r="AV222" s="15"/>
      <c r="AW222" s="15"/>
      <c r="AX222" s="16">
        <v>284</v>
      </c>
      <c r="AY222" s="16">
        <f t="shared" ref="AY222:AY233" si="124">AX222-AZ222</f>
        <v>11</v>
      </c>
      <c r="AZ222" s="16">
        <v>273</v>
      </c>
      <c r="BA222" s="16">
        <v>265</v>
      </c>
      <c r="BB222" s="16">
        <f t="shared" ref="BB222:BB233" si="125">AZ222-BA222</f>
        <v>8</v>
      </c>
      <c r="BC222" s="16"/>
      <c r="BD222" s="16"/>
      <c r="BE222" s="78"/>
      <c r="BF222" s="79"/>
      <c r="BG222" s="15"/>
      <c r="BH222" s="15"/>
      <c r="BI222" s="15"/>
      <c r="BS222" s="78"/>
      <c r="BT222" s="79"/>
      <c r="BU222" s="15"/>
      <c r="BV222" s="15"/>
      <c r="BW222" s="15"/>
      <c r="CA222" s="45"/>
      <c r="CD222" s="45"/>
      <c r="CG222" s="78"/>
      <c r="CH222" s="79"/>
      <c r="CI222" s="15"/>
      <c r="CJ222" s="15"/>
      <c r="CK222" s="15"/>
      <c r="CO222" s="45"/>
      <c r="CR222" s="45"/>
    </row>
    <row r="223" spans="1:96" s="18" customFormat="1" ht="15" customHeight="1">
      <c r="A223" s="80">
        <v>2011</v>
      </c>
      <c r="B223" s="81" t="s">
        <v>37</v>
      </c>
      <c r="C223" s="15">
        <f t="shared" si="98"/>
        <v>0.9131028207461328</v>
      </c>
      <c r="D223" s="15">
        <f t="shared" si="99"/>
        <v>0.94647488799811363</v>
      </c>
      <c r="E223" s="15">
        <f t="shared" si="100"/>
        <v>0.9647406733393995</v>
      </c>
      <c r="F223" s="57"/>
      <c r="G223" s="34"/>
      <c r="H223" s="57">
        <f>+V223+AJ223+AX223+BL223+BS_GC_MP_Vill[[#This Row],[Trenes Programados]]</f>
        <v>4396</v>
      </c>
      <c r="I223" s="16">
        <f t="shared" si="118"/>
        <v>155</v>
      </c>
      <c r="J223" s="57">
        <f>+X223+AL223+AZ223+BN223+BS_GC_MP_Vill[[#This Row],[Trenes Corridos]]</f>
        <v>4241</v>
      </c>
      <c r="K223" s="57">
        <f>+Y223+AM223+BA223+BO223+BS_GC_MP_Vill[[#This Row],[Trenes Puntuales]]</f>
        <v>4014</v>
      </c>
      <c r="L223" s="16">
        <f t="shared" si="119"/>
        <v>227</v>
      </c>
      <c r="M223" s="16"/>
      <c r="N223" s="16"/>
      <c r="O223" s="80">
        <v>2011</v>
      </c>
      <c r="P223" s="81" t="s">
        <v>37</v>
      </c>
      <c r="Q223" s="15">
        <f t="shared" si="101"/>
        <v>0.92511520737327191</v>
      </c>
      <c r="R223" s="15">
        <f t="shared" si="102"/>
        <v>0.95633187772925765</v>
      </c>
      <c r="S223" s="15">
        <f t="shared" si="103"/>
        <v>0.96735791090629797</v>
      </c>
      <c r="T223" s="16"/>
      <c r="U223" s="16"/>
      <c r="V223" s="16">
        <v>2604</v>
      </c>
      <c r="W223" s="16">
        <f t="shared" si="120"/>
        <v>85</v>
      </c>
      <c r="X223" s="16">
        <v>2519</v>
      </c>
      <c r="Y223" s="16">
        <v>2409</v>
      </c>
      <c r="Z223" s="16">
        <f t="shared" si="121"/>
        <v>110</v>
      </c>
      <c r="AA223" s="16"/>
      <c r="AB223" s="16"/>
      <c r="AC223" s="80">
        <v>2011</v>
      </c>
      <c r="AD223" s="81" t="s">
        <v>37</v>
      </c>
      <c r="AE223" s="15">
        <f t="shared" si="104"/>
        <v>0.88968668407310703</v>
      </c>
      <c r="AF223" s="15">
        <f t="shared" si="105"/>
        <v>0.92344173441734423</v>
      </c>
      <c r="AG223" s="15">
        <f t="shared" si="106"/>
        <v>0.96344647519582249</v>
      </c>
      <c r="AH223" s="16"/>
      <c r="AI223" s="16"/>
      <c r="AJ223" s="16">
        <v>1532</v>
      </c>
      <c r="AK223" s="16">
        <f t="shared" si="122"/>
        <v>56</v>
      </c>
      <c r="AL223" s="16">
        <v>1476</v>
      </c>
      <c r="AM223" s="16">
        <v>1363</v>
      </c>
      <c r="AN223" s="16">
        <f t="shared" si="123"/>
        <v>113</v>
      </c>
      <c r="AO223" s="16"/>
      <c r="AP223" s="16"/>
      <c r="AQ223" s="80">
        <v>2011</v>
      </c>
      <c r="AR223" s="81" t="s">
        <v>37</v>
      </c>
      <c r="AS223" s="15">
        <f t="shared" si="107"/>
        <v>0.93076923076923079</v>
      </c>
      <c r="AT223" s="15">
        <f t="shared" si="108"/>
        <v>0.98373983739837401</v>
      </c>
      <c r="AU223" s="15">
        <f t="shared" si="109"/>
        <v>0.94615384615384612</v>
      </c>
      <c r="AV223" s="15"/>
      <c r="AW223" s="15"/>
      <c r="AX223" s="16">
        <v>260</v>
      </c>
      <c r="AY223" s="16">
        <f t="shared" si="124"/>
        <v>14</v>
      </c>
      <c r="AZ223" s="16">
        <v>246</v>
      </c>
      <c r="BA223" s="16">
        <v>242</v>
      </c>
      <c r="BB223" s="16">
        <f t="shared" si="125"/>
        <v>4</v>
      </c>
      <c r="BC223" s="16"/>
      <c r="BD223" s="16"/>
      <c r="BE223" s="80"/>
      <c r="BF223" s="81"/>
      <c r="BG223" s="15"/>
      <c r="BH223" s="15"/>
      <c r="BI223" s="15"/>
      <c r="BS223" s="80"/>
      <c r="BT223" s="81"/>
      <c r="BU223" s="15"/>
      <c r="BV223" s="15"/>
      <c r="BW223" s="15"/>
      <c r="CA223" s="45"/>
      <c r="CD223" s="45"/>
      <c r="CG223" s="80"/>
      <c r="CH223" s="81"/>
      <c r="CI223" s="15"/>
      <c r="CJ223" s="15"/>
      <c r="CK223" s="15"/>
      <c r="CO223" s="45"/>
      <c r="CR223" s="45"/>
    </row>
    <row r="224" spans="1:96" s="18" customFormat="1" ht="15" customHeight="1">
      <c r="A224" s="78">
        <v>2011</v>
      </c>
      <c r="B224" s="79" t="s">
        <v>38</v>
      </c>
      <c r="C224" s="15">
        <f t="shared" si="98"/>
        <v>0.92299622324800668</v>
      </c>
      <c r="D224" s="15">
        <f t="shared" si="99"/>
        <v>0.94683598794662072</v>
      </c>
      <c r="E224" s="15">
        <f t="shared" si="100"/>
        <v>0.97482165337809479</v>
      </c>
      <c r="F224" s="57"/>
      <c r="G224" s="34"/>
      <c r="H224" s="57">
        <f>+V224+AJ224+AX224+BL224+BS_GC_MP_Vill[[#This Row],[Trenes Programados]]</f>
        <v>4766</v>
      </c>
      <c r="I224" s="16">
        <f t="shared" si="118"/>
        <v>120</v>
      </c>
      <c r="J224" s="57">
        <f>+X224+AL224+AZ224+BN224+BS_GC_MP_Vill[[#This Row],[Trenes Corridos]]</f>
        <v>4646</v>
      </c>
      <c r="K224" s="57">
        <f>+Y224+AM224+BA224+BO224+BS_GC_MP_Vill[[#This Row],[Trenes Puntuales]]</f>
        <v>4399</v>
      </c>
      <c r="L224" s="16">
        <f t="shared" si="119"/>
        <v>247</v>
      </c>
      <c r="M224" s="16"/>
      <c r="N224" s="16"/>
      <c r="O224" s="78">
        <v>2011</v>
      </c>
      <c r="P224" s="79" t="s">
        <v>38</v>
      </c>
      <c r="Q224" s="15">
        <f t="shared" si="101"/>
        <v>0.93729960812255075</v>
      </c>
      <c r="R224" s="15">
        <f t="shared" si="102"/>
        <v>0.95464441219158203</v>
      </c>
      <c r="S224" s="15">
        <f t="shared" si="103"/>
        <v>0.98183113644460274</v>
      </c>
      <c r="T224" s="16"/>
      <c r="U224" s="16"/>
      <c r="V224" s="16">
        <v>2807</v>
      </c>
      <c r="W224" s="16">
        <f t="shared" si="120"/>
        <v>51</v>
      </c>
      <c r="X224" s="16">
        <v>2756</v>
      </c>
      <c r="Y224" s="16">
        <v>2631</v>
      </c>
      <c r="Z224" s="16">
        <f t="shared" si="121"/>
        <v>125</v>
      </c>
      <c r="AA224" s="16"/>
      <c r="AB224" s="16"/>
      <c r="AC224" s="78">
        <v>2011</v>
      </c>
      <c r="AD224" s="79" t="s">
        <v>38</v>
      </c>
      <c r="AE224" s="15">
        <f t="shared" si="104"/>
        <v>0.9042236763831053</v>
      </c>
      <c r="AF224" s="15">
        <f t="shared" si="105"/>
        <v>0.93538461538461537</v>
      </c>
      <c r="AG224" s="15">
        <f t="shared" si="106"/>
        <v>0.96668649613325397</v>
      </c>
      <c r="AH224" s="16"/>
      <c r="AI224" s="16"/>
      <c r="AJ224" s="16">
        <v>1681</v>
      </c>
      <c r="AK224" s="16">
        <f t="shared" si="122"/>
        <v>56</v>
      </c>
      <c r="AL224" s="16">
        <v>1625</v>
      </c>
      <c r="AM224" s="16">
        <v>1520</v>
      </c>
      <c r="AN224" s="16">
        <f t="shared" si="123"/>
        <v>105</v>
      </c>
      <c r="AO224" s="16"/>
      <c r="AP224" s="16"/>
      <c r="AQ224" s="78">
        <v>2011</v>
      </c>
      <c r="AR224" s="79" t="s">
        <v>38</v>
      </c>
      <c r="AS224" s="15">
        <f t="shared" si="107"/>
        <v>0.8920863309352518</v>
      </c>
      <c r="AT224" s="15">
        <f t="shared" si="108"/>
        <v>0.9358490566037736</v>
      </c>
      <c r="AU224" s="15">
        <f t="shared" si="109"/>
        <v>0.9532374100719424</v>
      </c>
      <c r="AV224" s="15"/>
      <c r="AW224" s="15"/>
      <c r="AX224" s="16">
        <v>278</v>
      </c>
      <c r="AY224" s="16">
        <f t="shared" si="124"/>
        <v>13</v>
      </c>
      <c r="AZ224" s="16">
        <v>265</v>
      </c>
      <c r="BA224" s="16">
        <v>248</v>
      </c>
      <c r="BB224" s="16">
        <f t="shared" si="125"/>
        <v>17</v>
      </c>
      <c r="BC224" s="16"/>
      <c r="BD224" s="16"/>
      <c r="BE224" s="78"/>
      <c r="BF224" s="79"/>
      <c r="BG224" s="15"/>
      <c r="BH224" s="15"/>
      <c r="BI224" s="15"/>
      <c r="BS224" s="78"/>
      <c r="BT224" s="79"/>
      <c r="BU224" s="15"/>
      <c r="BV224" s="15"/>
      <c r="BW224" s="15"/>
      <c r="CA224" s="45"/>
      <c r="CD224" s="45"/>
      <c r="CG224" s="78"/>
      <c r="CH224" s="79"/>
      <c r="CI224" s="15"/>
      <c r="CJ224" s="15"/>
      <c r="CK224" s="15"/>
      <c r="CO224" s="45"/>
      <c r="CR224" s="45"/>
    </row>
    <row r="225" spans="1:96" s="18" customFormat="1" ht="15" customHeight="1">
      <c r="A225" s="80">
        <v>2011</v>
      </c>
      <c r="B225" s="81" t="s">
        <v>39</v>
      </c>
      <c r="C225" s="15">
        <f t="shared" si="98"/>
        <v>0.9153780068728522</v>
      </c>
      <c r="D225" s="15">
        <f t="shared" si="99"/>
        <v>0.93752749670039592</v>
      </c>
      <c r="E225" s="15">
        <f t="shared" si="100"/>
        <v>0.97637457044673537</v>
      </c>
      <c r="F225" s="57"/>
      <c r="G225" s="34"/>
      <c r="H225" s="57">
        <f>+V225+AJ225+AX225+BL225+BS_GC_MP_Vill[[#This Row],[Trenes Programados]]</f>
        <v>4656</v>
      </c>
      <c r="I225" s="16">
        <f t="shared" si="118"/>
        <v>110</v>
      </c>
      <c r="J225" s="57">
        <f>+X225+AL225+AZ225+BN225+BS_GC_MP_Vill[[#This Row],[Trenes Corridos]]</f>
        <v>4546</v>
      </c>
      <c r="K225" s="57">
        <f>+Y225+AM225+BA225+BO225+BS_GC_MP_Vill[[#This Row],[Trenes Puntuales]]</f>
        <v>4262</v>
      </c>
      <c r="L225" s="16">
        <f t="shared" si="119"/>
        <v>284</v>
      </c>
      <c r="M225" s="16"/>
      <c r="N225" s="16"/>
      <c r="O225" s="80">
        <v>2011</v>
      </c>
      <c r="P225" s="81" t="s">
        <v>39</v>
      </c>
      <c r="Q225" s="15">
        <f t="shared" si="101"/>
        <v>0.92503639010189231</v>
      </c>
      <c r="R225" s="15">
        <f t="shared" si="102"/>
        <v>0.94252873563218387</v>
      </c>
      <c r="S225" s="15">
        <f t="shared" si="103"/>
        <v>0.98144104803493448</v>
      </c>
      <c r="T225" s="16"/>
      <c r="U225" s="16"/>
      <c r="V225" s="16">
        <v>2748</v>
      </c>
      <c r="W225" s="16">
        <f t="shared" si="120"/>
        <v>51</v>
      </c>
      <c r="X225" s="16">
        <v>2697</v>
      </c>
      <c r="Y225" s="16">
        <v>2542</v>
      </c>
      <c r="Z225" s="16">
        <f t="shared" si="121"/>
        <v>155</v>
      </c>
      <c r="AA225" s="16"/>
      <c r="AB225" s="16"/>
      <c r="AC225" s="80">
        <v>2011</v>
      </c>
      <c r="AD225" s="81" t="s">
        <v>39</v>
      </c>
      <c r="AE225" s="15">
        <f t="shared" si="104"/>
        <v>0.90281173594132025</v>
      </c>
      <c r="AF225" s="15">
        <f t="shared" si="105"/>
        <v>0.91967621419676215</v>
      </c>
      <c r="AG225" s="15">
        <f t="shared" si="106"/>
        <v>0.98166259168704162</v>
      </c>
      <c r="AH225" s="16"/>
      <c r="AI225" s="16"/>
      <c r="AJ225" s="16">
        <v>1636</v>
      </c>
      <c r="AK225" s="16">
        <f t="shared" si="122"/>
        <v>30</v>
      </c>
      <c r="AL225" s="16">
        <v>1606</v>
      </c>
      <c r="AM225" s="16">
        <v>1477</v>
      </c>
      <c r="AN225" s="16">
        <f t="shared" si="123"/>
        <v>129</v>
      </c>
      <c r="AO225" s="16"/>
      <c r="AP225" s="16"/>
      <c r="AQ225" s="80">
        <v>2011</v>
      </c>
      <c r="AR225" s="81" t="s">
        <v>39</v>
      </c>
      <c r="AS225" s="15">
        <f t="shared" si="107"/>
        <v>0.89338235294117652</v>
      </c>
      <c r="AT225" s="15">
        <f t="shared" si="108"/>
        <v>1</v>
      </c>
      <c r="AU225" s="15">
        <f t="shared" si="109"/>
        <v>0.89338235294117652</v>
      </c>
      <c r="AV225" s="15"/>
      <c r="AW225" s="15"/>
      <c r="AX225" s="16">
        <v>272</v>
      </c>
      <c r="AY225" s="16">
        <f t="shared" si="124"/>
        <v>29</v>
      </c>
      <c r="AZ225" s="16">
        <v>243</v>
      </c>
      <c r="BA225" s="16">
        <v>243</v>
      </c>
      <c r="BB225" s="16">
        <f t="shared" si="125"/>
        <v>0</v>
      </c>
      <c r="BC225" s="16"/>
      <c r="BD225" s="16"/>
      <c r="BE225" s="80"/>
      <c r="BF225" s="81"/>
      <c r="BG225" s="15"/>
      <c r="BH225" s="15"/>
      <c r="BI225" s="15"/>
      <c r="BS225" s="80"/>
      <c r="BT225" s="81"/>
      <c r="BU225" s="15"/>
      <c r="BV225" s="15"/>
      <c r="BW225" s="15"/>
      <c r="CA225" s="45"/>
      <c r="CD225" s="45"/>
      <c r="CG225" s="80"/>
      <c r="CH225" s="81"/>
      <c r="CI225" s="15"/>
      <c r="CJ225" s="15"/>
      <c r="CK225" s="15"/>
      <c r="CO225" s="45"/>
      <c r="CR225" s="45"/>
    </row>
    <row r="226" spans="1:96" s="18" customFormat="1" ht="15" customHeight="1">
      <c r="A226" s="78">
        <v>2011</v>
      </c>
      <c r="B226" s="79" t="s">
        <v>40</v>
      </c>
      <c r="C226" s="15">
        <f t="shared" si="98"/>
        <v>0.93573797678275294</v>
      </c>
      <c r="D226" s="15">
        <f t="shared" si="99"/>
        <v>0.95615335733954676</v>
      </c>
      <c r="E226" s="15">
        <f t="shared" si="100"/>
        <v>0.97864842454394696</v>
      </c>
      <c r="F226" s="57"/>
      <c r="G226" s="34"/>
      <c r="H226" s="57">
        <f>+V226+AJ226+AX226+BL226+BS_GC_MP_Vill[[#This Row],[Trenes Programados]]</f>
        <v>4824</v>
      </c>
      <c r="I226" s="16">
        <f t="shared" si="118"/>
        <v>103</v>
      </c>
      <c r="J226" s="57">
        <f>+X226+AL226+AZ226+BN226+BS_GC_MP_Vill[[#This Row],[Trenes Corridos]]</f>
        <v>4721</v>
      </c>
      <c r="K226" s="57">
        <f>+Y226+AM226+BA226+BO226+BS_GC_MP_Vill[[#This Row],[Trenes Puntuales]]</f>
        <v>4514</v>
      </c>
      <c r="L226" s="16">
        <f t="shared" si="119"/>
        <v>207</v>
      </c>
      <c r="M226" s="16"/>
      <c r="N226" s="16"/>
      <c r="O226" s="78">
        <v>2011</v>
      </c>
      <c r="P226" s="79" t="s">
        <v>40</v>
      </c>
      <c r="Q226" s="15">
        <f t="shared" si="101"/>
        <v>0.94528235706769559</v>
      </c>
      <c r="R226" s="15">
        <f t="shared" si="102"/>
        <v>0.96078431372549022</v>
      </c>
      <c r="S226" s="15">
        <f t="shared" si="103"/>
        <v>0.98386531041739744</v>
      </c>
      <c r="T226" s="16"/>
      <c r="U226" s="16"/>
      <c r="V226" s="16">
        <v>2851</v>
      </c>
      <c r="W226" s="16">
        <f t="shared" si="120"/>
        <v>46</v>
      </c>
      <c r="X226" s="16">
        <v>2805</v>
      </c>
      <c r="Y226" s="16">
        <v>2695</v>
      </c>
      <c r="Z226" s="16">
        <f t="shared" si="121"/>
        <v>110</v>
      </c>
      <c r="AA226" s="16"/>
      <c r="AB226" s="16"/>
      <c r="AC226" s="78">
        <v>2011</v>
      </c>
      <c r="AD226" s="79" t="s">
        <v>40</v>
      </c>
      <c r="AE226" s="15">
        <f t="shared" si="104"/>
        <v>0.93191237418590878</v>
      </c>
      <c r="AF226" s="15">
        <f t="shared" si="105"/>
        <v>0.94762191450933175</v>
      </c>
      <c r="AG226" s="15">
        <f t="shared" si="106"/>
        <v>0.9834221432800474</v>
      </c>
      <c r="AH226" s="16"/>
      <c r="AI226" s="16"/>
      <c r="AJ226" s="16">
        <v>1689</v>
      </c>
      <c r="AK226" s="16">
        <f t="shared" si="122"/>
        <v>28</v>
      </c>
      <c r="AL226" s="16">
        <v>1661</v>
      </c>
      <c r="AM226" s="16">
        <v>1574</v>
      </c>
      <c r="AN226" s="16">
        <f t="shared" si="123"/>
        <v>87</v>
      </c>
      <c r="AO226" s="16"/>
      <c r="AP226" s="16"/>
      <c r="AQ226" s="78">
        <v>2011</v>
      </c>
      <c r="AR226" s="79" t="s">
        <v>40</v>
      </c>
      <c r="AS226" s="15">
        <f t="shared" si="107"/>
        <v>0.86267605633802813</v>
      </c>
      <c r="AT226" s="15">
        <f t="shared" si="108"/>
        <v>0.96078431372549022</v>
      </c>
      <c r="AU226" s="15">
        <f t="shared" si="109"/>
        <v>0.897887323943662</v>
      </c>
      <c r="AV226" s="15"/>
      <c r="AW226" s="15"/>
      <c r="AX226" s="16">
        <v>284</v>
      </c>
      <c r="AY226" s="16">
        <f t="shared" si="124"/>
        <v>29</v>
      </c>
      <c r="AZ226" s="16">
        <v>255</v>
      </c>
      <c r="BA226" s="16">
        <v>245</v>
      </c>
      <c r="BB226" s="16">
        <f t="shared" si="125"/>
        <v>10</v>
      </c>
      <c r="BC226" s="16"/>
      <c r="BD226" s="16"/>
      <c r="BE226" s="78"/>
      <c r="BF226" s="79"/>
      <c r="BG226" s="15"/>
      <c r="BH226" s="15"/>
      <c r="BI226" s="15"/>
      <c r="BS226" s="78"/>
      <c r="BT226" s="79"/>
      <c r="BU226" s="15"/>
      <c r="BV226" s="15"/>
      <c r="BW226" s="15"/>
      <c r="CA226" s="45"/>
      <c r="CD226" s="45"/>
      <c r="CG226" s="78"/>
      <c r="CH226" s="79"/>
      <c r="CI226" s="15"/>
      <c r="CJ226" s="15"/>
      <c r="CK226" s="15"/>
      <c r="CO226" s="45"/>
      <c r="CR226" s="45"/>
    </row>
    <row r="227" spans="1:96" s="18" customFormat="1" ht="15" customHeight="1">
      <c r="A227" s="80">
        <v>2011</v>
      </c>
      <c r="B227" s="81" t="s">
        <v>41</v>
      </c>
      <c r="C227" s="15">
        <f t="shared" si="98"/>
        <v>0.92858665529737794</v>
      </c>
      <c r="D227" s="15">
        <f t="shared" si="99"/>
        <v>0.94572297003907946</v>
      </c>
      <c r="E227" s="15">
        <f t="shared" si="100"/>
        <v>0.98188019612023025</v>
      </c>
      <c r="F227" s="57"/>
      <c r="G227" s="34"/>
      <c r="H227" s="57">
        <f>+V227+AJ227+AX227+BL227+BS_GC_MP_Vill[[#This Row],[Trenes Programados]]</f>
        <v>4691</v>
      </c>
      <c r="I227" s="16">
        <f t="shared" si="118"/>
        <v>85</v>
      </c>
      <c r="J227" s="57">
        <f>+X227+AL227+AZ227+BN227+BS_GC_MP_Vill[[#This Row],[Trenes Corridos]]</f>
        <v>4606</v>
      </c>
      <c r="K227" s="57">
        <f>+Y227+AM227+BA227+BO227+BS_GC_MP_Vill[[#This Row],[Trenes Puntuales]]</f>
        <v>4356</v>
      </c>
      <c r="L227" s="16">
        <f t="shared" si="119"/>
        <v>250</v>
      </c>
      <c r="M227" s="16"/>
      <c r="N227" s="16"/>
      <c r="O227" s="80">
        <v>2011</v>
      </c>
      <c r="P227" s="81" t="s">
        <v>41</v>
      </c>
      <c r="Q227" s="15">
        <f t="shared" si="101"/>
        <v>0.93083573487031701</v>
      </c>
      <c r="R227" s="15">
        <f t="shared" si="102"/>
        <v>0.94756142280894751</v>
      </c>
      <c r="S227" s="15">
        <f t="shared" si="103"/>
        <v>0.98234870317002887</v>
      </c>
      <c r="T227" s="16"/>
      <c r="U227" s="16"/>
      <c r="V227" s="16">
        <v>2776</v>
      </c>
      <c r="W227" s="16">
        <f t="shared" si="120"/>
        <v>49</v>
      </c>
      <c r="X227" s="16">
        <v>2727</v>
      </c>
      <c r="Y227" s="16">
        <v>2584</v>
      </c>
      <c r="Z227" s="16">
        <f t="shared" si="121"/>
        <v>143</v>
      </c>
      <c r="AA227" s="16"/>
      <c r="AB227" s="16"/>
      <c r="AC227" s="80">
        <v>2011</v>
      </c>
      <c r="AD227" s="81" t="s">
        <v>41</v>
      </c>
      <c r="AE227" s="15">
        <f t="shared" si="104"/>
        <v>0.9218559218559218</v>
      </c>
      <c r="AF227" s="15">
        <f t="shared" si="105"/>
        <v>0.93556381660470878</v>
      </c>
      <c r="AG227" s="15">
        <f t="shared" si="106"/>
        <v>0.9853479853479854</v>
      </c>
      <c r="AH227" s="16"/>
      <c r="AI227" s="16"/>
      <c r="AJ227" s="16">
        <v>1638</v>
      </c>
      <c r="AK227" s="16">
        <f t="shared" si="122"/>
        <v>24</v>
      </c>
      <c r="AL227" s="16">
        <v>1614</v>
      </c>
      <c r="AM227" s="16">
        <v>1510</v>
      </c>
      <c r="AN227" s="16">
        <f t="shared" si="123"/>
        <v>104</v>
      </c>
      <c r="AO227" s="16"/>
      <c r="AP227" s="16"/>
      <c r="AQ227" s="80">
        <v>2011</v>
      </c>
      <c r="AR227" s="81" t="s">
        <v>41</v>
      </c>
      <c r="AS227" s="15">
        <f t="shared" si="107"/>
        <v>0.94584837545126355</v>
      </c>
      <c r="AT227" s="15">
        <f t="shared" si="108"/>
        <v>0.98867924528301887</v>
      </c>
      <c r="AU227" s="15">
        <f t="shared" si="109"/>
        <v>0.95667870036101088</v>
      </c>
      <c r="AV227" s="15"/>
      <c r="AW227" s="15"/>
      <c r="AX227" s="16">
        <v>277</v>
      </c>
      <c r="AY227" s="16">
        <f t="shared" si="124"/>
        <v>12</v>
      </c>
      <c r="AZ227" s="16">
        <v>265</v>
      </c>
      <c r="BA227" s="16">
        <v>262</v>
      </c>
      <c r="BB227" s="16">
        <f t="shared" si="125"/>
        <v>3</v>
      </c>
      <c r="BC227" s="16"/>
      <c r="BD227" s="16"/>
      <c r="BE227" s="80"/>
      <c r="BF227" s="81"/>
      <c r="BG227" s="15"/>
      <c r="BH227" s="15"/>
      <c r="BI227" s="15"/>
      <c r="BS227" s="80"/>
      <c r="BT227" s="81"/>
      <c r="BU227" s="15"/>
      <c r="BV227" s="15"/>
      <c r="BW227" s="15"/>
      <c r="CA227" s="45"/>
      <c r="CD227" s="45"/>
      <c r="CG227" s="80"/>
      <c r="CH227" s="81"/>
      <c r="CI227" s="15"/>
      <c r="CJ227" s="15"/>
      <c r="CK227" s="15"/>
      <c r="CO227" s="45"/>
      <c r="CR227" s="45"/>
    </row>
    <row r="228" spans="1:96" s="18" customFormat="1" ht="15" customHeight="1">
      <c r="A228" s="78">
        <v>2011</v>
      </c>
      <c r="B228" s="79" t="s">
        <v>42</v>
      </c>
      <c r="C228" s="15">
        <f t="shared" si="98"/>
        <v>0.91998341625207292</v>
      </c>
      <c r="D228" s="15">
        <f t="shared" si="99"/>
        <v>0.95236051502145924</v>
      </c>
      <c r="E228" s="15">
        <f t="shared" si="100"/>
        <v>0.96600331674958539</v>
      </c>
      <c r="F228" s="57"/>
      <c r="G228" s="34"/>
      <c r="H228" s="57">
        <f>+V228+AJ228+AX228+BL228+BS_GC_MP_Vill[[#This Row],[Trenes Programados]]</f>
        <v>4824</v>
      </c>
      <c r="I228" s="16">
        <f t="shared" si="118"/>
        <v>164</v>
      </c>
      <c r="J228" s="57">
        <f>+X228+AL228+AZ228+BN228+BS_GC_MP_Vill[[#This Row],[Trenes Corridos]]</f>
        <v>4660</v>
      </c>
      <c r="K228" s="57">
        <f>+Y228+AM228+BA228+BO228+BS_GC_MP_Vill[[#This Row],[Trenes Puntuales]]</f>
        <v>4438</v>
      </c>
      <c r="L228" s="16">
        <f t="shared" si="119"/>
        <v>222</v>
      </c>
      <c r="M228" s="16"/>
      <c r="N228" s="16"/>
      <c r="O228" s="78">
        <v>2011</v>
      </c>
      <c r="P228" s="79" t="s">
        <v>42</v>
      </c>
      <c r="Q228" s="15">
        <f t="shared" si="101"/>
        <v>0.92353560154331815</v>
      </c>
      <c r="R228" s="15">
        <f t="shared" si="102"/>
        <v>0.95675872093023251</v>
      </c>
      <c r="S228" s="15">
        <f t="shared" si="103"/>
        <v>0.96527534198526832</v>
      </c>
      <c r="T228" s="16"/>
      <c r="U228" s="16"/>
      <c r="V228" s="16">
        <v>2851</v>
      </c>
      <c r="W228" s="16">
        <f t="shared" si="120"/>
        <v>99</v>
      </c>
      <c r="X228" s="16">
        <v>2752</v>
      </c>
      <c r="Y228" s="16">
        <v>2633</v>
      </c>
      <c r="Z228" s="16">
        <f t="shared" si="121"/>
        <v>119</v>
      </c>
      <c r="AA228" s="16"/>
      <c r="AB228" s="16"/>
      <c r="AC228" s="78">
        <v>2011</v>
      </c>
      <c r="AD228" s="79" t="s">
        <v>42</v>
      </c>
      <c r="AE228" s="15">
        <f t="shared" si="104"/>
        <v>0.91000592066311425</v>
      </c>
      <c r="AF228" s="15">
        <f t="shared" si="105"/>
        <v>0.94121249234537663</v>
      </c>
      <c r="AG228" s="15">
        <f t="shared" si="106"/>
        <v>0.96684428656009469</v>
      </c>
      <c r="AH228" s="16"/>
      <c r="AI228" s="16"/>
      <c r="AJ228" s="16">
        <v>1689</v>
      </c>
      <c r="AK228" s="16">
        <f t="shared" si="122"/>
        <v>56</v>
      </c>
      <c r="AL228" s="16">
        <v>1633</v>
      </c>
      <c r="AM228" s="16">
        <v>1537</v>
      </c>
      <c r="AN228" s="16">
        <f t="shared" si="123"/>
        <v>96</v>
      </c>
      <c r="AO228" s="16"/>
      <c r="AP228" s="16"/>
      <c r="AQ228" s="78">
        <v>2011</v>
      </c>
      <c r="AR228" s="79" t="s">
        <v>42</v>
      </c>
      <c r="AS228" s="15">
        <f t="shared" si="107"/>
        <v>0.94366197183098588</v>
      </c>
      <c r="AT228" s="15">
        <f t="shared" si="108"/>
        <v>0.97454545454545449</v>
      </c>
      <c r="AU228" s="15">
        <f t="shared" si="109"/>
        <v>0.96830985915492962</v>
      </c>
      <c r="AV228" s="15"/>
      <c r="AW228" s="15"/>
      <c r="AX228" s="16">
        <v>284</v>
      </c>
      <c r="AY228" s="16">
        <f t="shared" si="124"/>
        <v>9</v>
      </c>
      <c r="AZ228" s="16">
        <v>275</v>
      </c>
      <c r="BA228" s="16">
        <v>268</v>
      </c>
      <c r="BB228" s="16">
        <f t="shared" si="125"/>
        <v>7</v>
      </c>
      <c r="BC228" s="16"/>
      <c r="BD228" s="16"/>
      <c r="BE228" s="78"/>
      <c r="BF228" s="79"/>
      <c r="BG228" s="15"/>
      <c r="BH228" s="15"/>
      <c r="BI228" s="15"/>
      <c r="BS228" s="78"/>
      <c r="BT228" s="79"/>
      <c r="BU228" s="15"/>
      <c r="BV228" s="15"/>
      <c r="BW228" s="15"/>
      <c r="CA228" s="45"/>
      <c r="CD228" s="45"/>
      <c r="CG228" s="78"/>
      <c r="CH228" s="79"/>
      <c r="CI228" s="15"/>
      <c r="CJ228" s="15"/>
      <c r="CK228" s="15"/>
      <c r="CO228" s="45"/>
      <c r="CR228" s="45"/>
    </row>
    <row r="229" spans="1:96" s="18" customFormat="1" ht="15" customHeight="1">
      <c r="A229" s="80">
        <v>2011</v>
      </c>
      <c r="B229" s="81" t="s">
        <v>43</v>
      </c>
      <c r="C229" s="15">
        <f t="shared" si="98"/>
        <v>0.92994024314856794</v>
      </c>
      <c r="D229" s="15">
        <f t="shared" si="99"/>
        <v>0.96103066439522999</v>
      </c>
      <c r="E229" s="15">
        <f t="shared" si="100"/>
        <v>0.96764887698330926</v>
      </c>
      <c r="F229" s="57"/>
      <c r="G229" s="34"/>
      <c r="H229" s="57">
        <f>+V229+AJ229+AX229+BL229+BS_GC_MP_Vill[[#This Row],[Trenes Programados]]</f>
        <v>4853</v>
      </c>
      <c r="I229" s="16">
        <f t="shared" si="118"/>
        <v>157</v>
      </c>
      <c r="J229" s="57">
        <f>+X229+AL229+AZ229+BN229+BS_GC_MP_Vill[[#This Row],[Trenes Corridos]]</f>
        <v>4696</v>
      </c>
      <c r="K229" s="57">
        <f>+Y229+AM229+BA229+BO229+BS_GC_MP_Vill[[#This Row],[Trenes Puntuales]]</f>
        <v>4513</v>
      </c>
      <c r="L229" s="16">
        <f t="shared" si="119"/>
        <v>183</v>
      </c>
      <c r="M229" s="16"/>
      <c r="N229" s="16"/>
      <c r="O229" s="80">
        <v>2011</v>
      </c>
      <c r="P229" s="81" t="s">
        <v>43</v>
      </c>
      <c r="Q229" s="15">
        <f t="shared" si="101"/>
        <v>0.9321266968325792</v>
      </c>
      <c r="R229" s="15">
        <f t="shared" si="102"/>
        <v>0.96054519368723101</v>
      </c>
      <c r="S229" s="15">
        <f t="shared" si="103"/>
        <v>0.97041420118343191</v>
      </c>
      <c r="T229" s="16"/>
      <c r="U229" s="16"/>
      <c r="V229" s="16">
        <v>2873</v>
      </c>
      <c r="W229" s="16">
        <f t="shared" si="120"/>
        <v>85</v>
      </c>
      <c r="X229" s="16">
        <v>2788</v>
      </c>
      <c r="Y229" s="16">
        <v>2678</v>
      </c>
      <c r="Z229" s="16">
        <f t="shared" si="121"/>
        <v>110</v>
      </c>
      <c r="AA229" s="16"/>
      <c r="AB229" s="16"/>
      <c r="AC229" s="80">
        <v>2011</v>
      </c>
      <c r="AD229" s="81" t="s">
        <v>43</v>
      </c>
      <c r="AE229" s="15">
        <f t="shared" si="104"/>
        <v>0.91966922622563496</v>
      </c>
      <c r="AF229" s="15">
        <f t="shared" si="105"/>
        <v>0.95815384615384613</v>
      </c>
      <c r="AG229" s="15">
        <f t="shared" si="106"/>
        <v>0.95983461311281748</v>
      </c>
      <c r="AH229" s="16"/>
      <c r="AI229" s="16"/>
      <c r="AJ229" s="16">
        <v>1693</v>
      </c>
      <c r="AK229" s="16">
        <f t="shared" si="122"/>
        <v>68</v>
      </c>
      <c r="AL229" s="16">
        <v>1625</v>
      </c>
      <c r="AM229" s="16">
        <v>1557</v>
      </c>
      <c r="AN229" s="16">
        <f t="shared" si="123"/>
        <v>68</v>
      </c>
      <c r="AO229" s="16"/>
      <c r="AP229" s="16"/>
      <c r="AQ229" s="80">
        <v>2011</v>
      </c>
      <c r="AR229" s="81" t="s">
        <v>43</v>
      </c>
      <c r="AS229" s="15">
        <f t="shared" si="107"/>
        <v>0.96864111498257843</v>
      </c>
      <c r="AT229" s="15">
        <f t="shared" si="108"/>
        <v>0.98233215547703179</v>
      </c>
      <c r="AU229" s="15">
        <f t="shared" si="109"/>
        <v>0.98606271777003485</v>
      </c>
      <c r="AV229" s="15"/>
      <c r="AW229" s="15"/>
      <c r="AX229" s="16">
        <v>287</v>
      </c>
      <c r="AY229" s="16">
        <f t="shared" si="124"/>
        <v>4</v>
      </c>
      <c r="AZ229" s="16">
        <v>283</v>
      </c>
      <c r="BA229" s="16">
        <v>278</v>
      </c>
      <c r="BB229" s="16">
        <f t="shared" si="125"/>
        <v>5</v>
      </c>
      <c r="BC229" s="16"/>
      <c r="BD229" s="16"/>
      <c r="BE229" s="80"/>
      <c r="BF229" s="81"/>
      <c r="BG229" s="15"/>
      <c r="BH229" s="15"/>
      <c r="BI229" s="15"/>
      <c r="BS229" s="80"/>
      <c r="BT229" s="81"/>
      <c r="BU229" s="15"/>
      <c r="BV229" s="15"/>
      <c r="BW229" s="15"/>
      <c r="CA229" s="45"/>
      <c r="CD229" s="45"/>
      <c r="CG229" s="80"/>
      <c r="CH229" s="81"/>
      <c r="CI229" s="15"/>
      <c r="CJ229" s="15"/>
      <c r="CK229" s="15"/>
      <c r="CO229" s="45"/>
      <c r="CR229" s="45"/>
    </row>
    <row r="230" spans="1:96" s="18" customFormat="1" ht="15" customHeight="1">
      <c r="A230" s="78">
        <v>2011</v>
      </c>
      <c r="B230" s="79" t="s">
        <v>44</v>
      </c>
      <c r="C230" s="15">
        <f t="shared" si="98"/>
        <v>0.93411016949152548</v>
      </c>
      <c r="D230" s="15">
        <f t="shared" si="99"/>
        <v>0.9609851787271142</v>
      </c>
      <c r="E230" s="15">
        <f t="shared" si="100"/>
        <v>0.9720338983050848</v>
      </c>
      <c r="F230" s="57"/>
      <c r="G230" s="34"/>
      <c r="H230" s="57">
        <f>+V230+AJ230+AX230+BL230+BS_GC_MP_Vill[[#This Row],[Trenes Programados]]</f>
        <v>4720</v>
      </c>
      <c r="I230" s="16">
        <f t="shared" si="118"/>
        <v>132</v>
      </c>
      <c r="J230" s="57">
        <f>+X230+AL230+AZ230+BN230+BS_GC_MP_Vill[[#This Row],[Trenes Corridos]]</f>
        <v>4588</v>
      </c>
      <c r="K230" s="57">
        <f>+Y230+AM230+BA230+BO230+BS_GC_MP_Vill[[#This Row],[Trenes Puntuales]]</f>
        <v>4409</v>
      </c>
      <c r="L230" s="16">
        <f t="shared" si="119"/>
        <v>179</v>
      </c>
      <c r="M230" s="16"/>
      <c r="N230" s="16"/>
      <c r="O230" s="78">
        <v>2011</v>
      </c>
      <c r="P230" s="79" t="s">
        <v>44</v>
      </c>
      <c r="Q230" s="15">
        <f t="shared" si="101"/>
        <v>0.94460328806290206</v>
      </c>
      <c r="R230" s="15">
        <f t="shared" si="102"/>
        <v>0.96074154852780802</v>
      </c>
      <c r="S230" s="15">
        <f t="shared" si="103"/>
        <v>0.98320228734810577</v>
      </c>
      <c r="T230" s="16"/>
      <c r="U230" s="16"/>
      <c r="V230" s="16">
        <v>2798</v>
      </c>
      <c r="W230" s="16">
        <f t="shared" si="120"/>
        <v>47</v>
      </c>
      <c r="X230" s="16">
        <v>2751</v>
      </c>
      <c r="Y230" s="16">
        <v>2643</v>
      </c>
      <c r="Z230" s="16">
        <f t="shared" si="121"/>
        <v>108</v>
      </c>
      <c r="AA230" s="16"/>
      <c r="AB230" s="16"/>
      <c r="AC230" s="78">
        <v>2011</v>
      </c>
      <c r="AD230" s="79" t="s">
        <v>44</v>
      </c>
      <c r="AE230" s="15">
        <f t="shared" si="104"/>
        <v>0.91047503045066991</v>
      </c>
      <c r="AF230" s="15">
        <f t="shared" si="105"/>
        <v>0.95894804361770369</v>
      </c>
      <c r="AG230" s="15">
        <f t="shared" si="106"/>
        <v>0.94945188794153468</v>
      </c>
      <c r="AH230" s="16"/>
      <c r="AI230" s="16"/>
      <c r="AJ230" s="16">
        <v>1642</v>
      </c>
      <c r="AK230" s="16">
        <f t="shared" si="122"/>
        <v>83</v>
      </c>
      <c r="AL230" s="16">
        <v>1559</v>
      </c>
      <c r="AM230" s="16">
        <v>1495</v>
      </c>
      <c r="AN230" s="16">
        <f t="shared" si="123"/>
        <v>64</v>
      </c>
      <c r="AO230" s="16"/>
      <c r="AP230" s="16"/>
      <c r="AQ230" s="78">
        <v>2011</v>
      </c>
      <c r="AR230" s="79" t="s">
        <v>44</v>
      </c>
      <c r="AS230" s="15">
        <f t="shared" si="107"/>
        <v>0.96785714285714286</v>
      </c>
      <c r="AT230" s="15">
        <f t="shared" si="108"/>
        <v>0.97482014388489213</v>
      </c>
      <c r="AU230" s="15">
        <f t="shared" si="109"/>
        <v>0.99285714285714288</v>
      </c>
      <c r="AV230" s="15"/>
      <c r="AW230" s="15"/>
      <c r="AX230" s="16">
        <v>280</v>
      </c>
      <c r="AY230" s="16">
        <f t="shared" si="124"/>
        <v>2</v>
      </c>
      <c r="AZ230" s="16">
        <v>278</v>
      </c>
      <c r="BA230" s="16">
        <v>271</v>
      </c>
      <c r="BB230" s="16">
        <f t="shared" si="125"/>
        <v>7</v>
      </c>
      <c r="BC230" s="16"/>
      <c r="BD230" s="16"/>
      <c r="BE230" s="78"/>
      <c r="BF230" s="79"/>
      <c r="BG230" s="15"/>
      <c r="BH230" s="15"/>
      <c r="BI230" s="15"/>
      <c r="BS230" s="78"/>
      <c r="BT230" s="79"/>
      <c r="BU230" s="15"/>
      <c r="BV230" s="15"/>
      <c r="BW230" s="15"/>
      <c r="CA230" s="45"/>
      <c r="CD230" s="45"/>
      <c r="CG230" s="78"/>
      <c r="CH230" s="79"/>
      <c r="CI230" s="15"/>
      <c r="CJ230" s="15"/>
      <c r="CK230" s="15"/>
      <c r="CO230" s="45"/>
      <c r="CR230" s="45"/>
    </row>
    <row r="231" spans="1:96" s="18" customFormat="1" ht="15" customHeight="1">
      <c r="A231" s="80">
        <v>2011</v>
      </c>
      <c r="B231" s="81" t="s">
        <v>45</v>
      </c>
      <c r="C231" s="15">
        <f t="shared" si="98"/>
        <v>0.94541303445413039</v>
      </c>
      <c r="D231" s="15">
        <f t="shared" si="99"/>
        <v>0.96076777051255013</v>
      </c>
      <c r="E231" s="15">
        <f t="shared" si="100"/>
        <v>0.98401826484018262</v>
      </c>
      <c r="F231" s="57"/>
      <c r="G231" s="34"/>
      <c r="H231" s="57">
        <f>+V231+AJ231+AX231+BL231+BS_GC_MP_Vill[[#This Row],[Trenes Programados]]</f>
        <v>4818</v>
      </c>
      <c r="I231" s="16">
        <f t="shared" si="118"/>
        <v>77</v>
      </c>
      <c r="J231" s="57">
        <f>+X231+AL231+AZ231+BN231+BS_GC_MP_Vill[[#This Row],[Trenes Corridos]]</f>
        <v>4741</v>
      </c>
      <c r="K231" s="57">
        <f>+Y231+AM231+BA231+BO231+BS_GC_MP_Vill[[#This Row],[Trenes Puntuales]]</f>
        <v>4555</v>
      </c>
      <c r="L231" s="16">
        <f t="shared" si="119"/>
        <v>186</v>
      </c>
      <c r="M231" s="16"/>
      <c r="N231" s="16"/>
      <c r="O231" s="80">
        <v>2011</v>
      </c>
      <c r="P231" s="81" t="s">
        <v>45</v>
      </c>
      <c r="Q231" s="15">
        <f t="shared" si="101"/>
        <v>0.957469244288225</v>
      </c>
      <c r="R231" s="15">
        <f t="shared" si="102"/>
        <v>0.96767317939609232</v>
      </c>
      <c r="S231" s="15">
        <f t="shared" si="103"/>
        <v>0.98945518453427062</v>
      </c>
      <c r="T231" s="16"/>
      <c r="U231" s="16"/>
      <c r="V231" s="16">
        <v>2845</v>
      </c>
      <c r="W231" s="16">
        <f t="shared" si="120"/>
        <v>30</v>
      </c>
      <c r="X231" s="16">
        <v>2815</v>
      </c>
      <c r="Y231" s="16">
        <v>2724</v>
      </c>
      <c r="Z231" s="16">
        <f t="shared" si="121"/>
        <v>91</v>
      </c>
      <c r="AA231" s="16"/>
      <c r="AB231" s="16"/>
      <c r="AC231" s="80">
        <v>2011</v>
      </c>
      <c r="AD231" s="81" t="s">
        <v>45</v>
      </c>
      <c r="AE231" s="15">
        <f t="shared" si="104"/>
        <v>0.93081017149615608</v>
      </c>
      <c r="AF231" s="15">
        <f t="shared" si="105"/>
        <v>0.95163240628778722</v>
      </c>
      <c r="AG231" s="15">
        <f t="shared" si="106"/>
        <v>0.97811945594322891</v>
      </c>
      <c r="AH231" s="16"/>
      <c r="AI231" s="16"/>
      <c r="AJ231" s="16">
        <v>1691</v>
      </c>
      <c r="AK231" s="16">
        <f t="shared" si="122"/>
        <v>37</v>
      </c>
      <c r="AL231" s="16">
        <v>1654</v>
      </c>
      <c r="AM231" s="16">
        <v>1574</v>
      </c>
      <c r="AN231" s="16">
        <f t="shared" si="123"/>
        <v>80</v>
      </c>
      <c r="AO231" s="16"/>
      <c r="AP231" s="16"/>
      <c r="AQ231" s="80">
        <v>2011</v>
      </c>
      <c r="AR231" s="81" t="s">
        <v>45</v>
      </c>
      <c r="AS231" s="15">
        <f t="shared" si="107"/>
        <v>0.91134751773049649</v>
      </c>
      <c r="AT231" s="15">
        <f t="shared" si="108"/>
        <v>0.94485294117647056</v>
      </c>
      <c r="AU231" s="15">
        <f t="shared" si="109"/>
        <v>0.96453900709219853</v>
      </c>
      <c r="AV231" s="15"/>
      <c r="AW231" s="15"/>
      <c r="AX231" s="16">
        <v>282</v>
      </c>
      <c r="AY231" s="16">
        <f t="shared" si="124"/>
        <v>10</v>
      </c>
      <c r="AZ231" s="16">
        <v>272</v>
      </c>
      <c r="BA231" s="16">
        <v>257</v>
      </c>
      <c r="BB231" s="16">
        <f t="shared" si="125"/>
        <v>15</v>
      </c>
      <c r="BC231" s="16"/>
      <c r="BD231" s="16"/>
      <c r="BE231" s="80"/>
      <c r="BF231" s="81"/>
      <c r="BG231" s="15"/>
      <c r="BH231" s="15"/>
      <c r="BI231" s="15"/>
      <c r="BS231" s="80"/>
      <c r="BT231" s="81"/>
      <c r="BU231" s="15"/>
      <c r="BV231" s="15"/>
      <c r="BW231" s="15"/>
      <c r="CA231" s="45"/>
      <c r="CD231" s="45"/>
      <c r="CG231" s="80"/>
      <c r="CH231" s="81"/>
      <c r="CI231" s="15"/>
      <c r="CJ231" s="15"/>
      <c r="CK231" s="15"/>
      <c r="CO231" s="45"/>
      <c r="CR231" s="45"/>
    </row>
    <row r="232" spans="1:96" s="18" customFormat="1" ht="15" customHeight="1">
      <c r="A232" s="78">
        <v>2011</v>
      </c>
      <c r="B232" s="79" t="s">
        <v>46</v>
      </c>
      <c r="C232" s="15">
        <f t="shared" si="98"/>
        <v>0.94052440844169682</v>
      </c>
      <c r="D232" s="15">
        <f t="shared" si="99"/>
        <v>0.95373973194984873</v>
      </c>
      <c r="E232" s="15">
        <f t="shared" si="100"/>
        <v>0.9861436793860584</v>
      </c>
      <c r="F232" s="57"/>
      <c r="G232" s="34"/>
      <c r="H232" s="57">
        <f>+V232+AJ232+AX232+BL232+BS_GC_MP_Vill[[#This Row],[Trenes Programados]]</f>
        <v>4691</v>
      </c>
      <c r="I232" s="16">
        <f t="shared" si="118"/>
        <v>65</v>
      </c>
      <c r="J232" s="57">
        <f>+X232+AL232+AZ232+BN232+BS_GC_MP_Vill[[#This Row],[Trenes Corridos]]</f>
        <v>4626</v>
      </c>
      <c r="K232" s="57">
        <f>+Y232+AM232+BA232+BO232+BS_GC_MP_Vill[[#This Row],[Trenes Puntuales]]</f>
        <v>4412</v>
      </c>
      <c r="L232" s="16">
        <f t="shared" si="119"/>
        <v>214</v>
      </c>
      <c r="M232" s="16"/>
      <c r="N232" s="16"/>
      <c r="O232" s="78">
        <v>2011</v>
      </c>
      <c r="P232" s="79" t="s">
        <v>46</v>
      </c>
      <c r="Q232" s="15">
        <f t="shared" si="101"/>
        <v>0.9528097982708934</v>
      </c>
      <c r="R232" s="15">
        <f t="shared" si="102"/>
        <v>0.96077006901561934</v>
      </c>
      <c r="S232" s="15">
        <f t="shared" si="103"/>
        <v>0.99171469740634011</v>
      </c>
      <c r="T232" s="16"/>
      <c r="U232" s="16"/>
      <c r="V232" s="16">
        <v>2776</v>
      </c>
      <c r="W232" s="16">
        <f t="shared" si="120"/>
        <v>23</v>
      </c>
      <c r="X232" s="16">
        <v>2753</v>
      </c>
      <c r="Y232" s="16">
        <v>2645</v>
      </c>
      <c r="Z232" s="16">
        <f t="shared" si="121"/>
        <v>108</v>
      </c>
      <c r="AA232" s="16"/>
      <c r="AB232" s="16"/>
      <c r="AC232" s="78">
        <v>2011</v>
      </c>
      <c r="AD232" s="79" t="s">
        <v>46</v>
      </c>
      <c r="AE232" s="15">
        <f t="shared" si="104"/>
        <v>0.91575091575091572</v>
      </c>
      <c r="AF232" s="15">
        <f t="shared" si="105"/>
        <v>0.93926111458985595</v>
      </c>
      <c r="AG232" s="15">
        <f t="shared" si="106"/>
        <v>0.97496947496947495</v>
      </c>
      <c r="AH232" s="16"/>
      <c r="AI232" s="16"/>
      <c r="AJ232" s="16">
        <v>1638</v>
      </c>
      <c r="AK232" s="16">
        <f t="shared" si="122"/>
        <v>41</v>
      </c>
      <c r="AL232" s="16">
        <v>1597</v>
      </c>
      <c r="AM232" s="16">
        <v>1500</v>
      </c>
      <c r="AN232" s="16">
        <f t="shared" si="123"/>
        <v>97</v>
      </c>
      <c r="AO232" s="16"/>
      <c r="AP232" s="16"/>
      <c r="AQ232" s="78">
        <v>2011</v>
      </c>
      <c r="AR232" s="79" t="s">
        <v>46</v>
      </c>
      <c r="AS232" s="15">
        <f t="shared" si="107"/>
        <v>0.96389891696750907</v>
      </c>
      <c r="AT232" s="15">
        <f t="shared" si="108"/>
        <v>0.96739130434782605</v>
      </c>
      <c r="AU232" s="15">
        <f t="shared" si="109"/>
        <v>0.99638989169675085</v>
      </c>
      <c r="AV232" s="15"/>
      <c r="AW232" s="15"/>
      <c r="AX232" s="16">
        <v>277</v>
      </c>
      <c r="AY232" s="16">
        <f t="shared" si="124"/>
        <v>1</v>
      </c>
      <c r="AZ232" s="16">
        <v>276</v>
      </c>
      <c r="BA232" s="16">
        <v>267</v>
      </c>
      <c r="BB232" s="16">
        <f t="shared" si="125"/>
        <v>9</v>
      </c>
      <c r="BC232" s="16"/>
      <c r="BD232" s="16"/>
      <c r="BE232" s="78"/>
      <c r="BF232" s="79"/>
      <c r="BG232" s="15"/>
      <c r="BH232" s="15"/>
      <c r="BI232" s="15"/>
      <c r="BS232" s="78"/>
      <c r="BT232" s="79"/>
      <c r="BU232" s="15"/>
      <c r="BV232" s="15"/>
      <c r="BW232" s="15"/>
      <c r="CA232" s="45"/>
      <c r="CD232" s="45"/>
      <c r="CG232" s="78"/>
      <c r="CH232" s="79"/>
      <c r="CI232" s="15"/>
      <c r="CJ232" s="15"/>
      <c r="CK232" s="15"/>
      <c r="CO232" s="45"/>
      <c r="CR232" s="45"/>
    </row>
    <row r="233" spans="1:96" s="18" customFormat="1" ht="15" customHeight="1">
      <c r="A233" s="80">
        <v>2011</v>
      </c>
      <c r="B233" s="81" t="s">
        <v>47</v>
      </c>
      <c r="C233" s="15">
        <f t="shared" si="98"/>
        <v>0.87712743877127441</v>
      </c>
      <c r="D233" s="15">
        <f t="shared" si="99"/>
        <v>0.91650401214487098</v>
      </c>
      <c r="E233" s="15">
        <f t="shared" si="100"/>
        <v>0.9570361145703612</v>
      </c>
      <c r="F233" s="57"/>
      <c r="G233" s="34"/>
      <c r="H233" s="57">
        <f>+V233+AJ233+AX233+BL233+BS_GC_MP_Vill[[#This Row],[Trenes Programados]]</f>
        <v>4818</v>
      </c>
      <c r="I233" s="16">
        <f t="shared" si="118"/>
        <v>207</v>
      </c>
      <c r="J233" s="57">
        <f>+X233+AL233+AZ233+BN233+BS_GC_MP_Vill[[#This Row],[Trenes Corridos]]</f>
        <v>4611</v>
      </c>
      <c r="K233" s="57">
        <f>+Y233+AM233+BA233+BO233+BS_GC_MP_Vill[[#This Row],[Trenes Puntuales]]</f>
        <v>4226</v>
      </c>
      <c r="L233" s="16">
        <f t="shared" si="119"/>
        <v>385</v>
      </c>
      <c r="M233" s="16"/>
      <c r="N233" s="16"/>
      <c r="O233" s="80">
        <v>2011</v>
      </c>
      <c r="P233" s="81" t="s">
        <v>47</v>
      </c>
      <c r="Q233" s="15">
        <f t="shared" si="101"/>
        <v>0.89525483304042175</v>
      </c>
      <c r="R233" s="15">
        <f t="shared" si="102"/>
        <v>0.91585760517799353</v>
      </c>
      <c r="S233" s="15">
        <f t="shared" si="103"/>
        <v>0.97750439367311071</v>
      </c>
      <c r="T233" s="16"/>
      <c r="U233" s="16"/>
      <c r="V233" s="16">
        <v>2845</v>
      </c>
      <c r="W233" s="16">
        <f t="shared" si="120"/>
        <v>64</v>
      </c>
      <c r="X233" s="16">
        <v>2781</v>
      </c>
      <c r="Y233" s="16">
        <v>2547</v>
      </c>
      <c r="Z233" s="16">
        <f t="shared" si="121"/>
        <v>234</v>
      </c>
      <c r="AA233" s="16"/>
      <c r="AB233" s="16"/>
      <c r="AC233" s="80">
        <v>2011</v>
      </c>
      <c r="AD233" s="81" t="s">
        <v>47</v>
      </c>
      <c r="AE233" s="15">
        <f t="shared" si="104"/>
        <v>0.84033116499112948</v>
      </c>
      <c r="AF233" s="15">
        <f t="shared" si="105"/>
        <v>0.9079872204472843</v>
      </c>
      <c r="AG233" s="15">
        <f t="shared" si="106"/>
        <v>0.92548787699586044</v>
      </c>
      <c r="AH233" s="16"/>
      <c r="AI233" s="16"/>
      <c r="AJ233" s="16">
        <v>1691</v>
      </c>
      <c r="AK233" s="16">
        <f t="shared" si="122"/>
        <v>126</v>
      </c>
      <c r="AL233" s="16">
        <v>1565</v>
      </c>
      <c r="AM233" s="16">
        <v>1421</v>
      </c>
      <c r="AN233" s="16">
        <f t="shared" si="123"/>
        <v>144</v>
      </c>
      <c r="AO233" s="16"/>
      <c r="AP233" s="16"/>
      <c r="AQ233" s="80">
        <v>2011</v>
      </c>
      <c r="AR233" s="81" t="s">
        <v>47</v>
      </c>
      <c r="AS233" s="15">
        <f t="shared" si="107"/>
        <v>0.91489361702127658</v>
      </c>
      <c r="AT233" s="15">
        <f t="shared" si="108"/>
        <v>0.97358490566037736</v>
      </c>
      <c r="AU233" s="15">
        <f t="shared" si="109"/>
        <v>0.93971631205673756</v>
      </c>
      <c r="AV233" s="15"/>
      <c r="AW233" s="15"/>
      <c r="AX233" s="16">
        <v>282</v>
      </c>
      <c r="AY233" s="16">
        <f t="shared" si="124"/>
        <v>17</v>
      </c>
      <c r="AZ233" s="16">
        <v>265</v>
      </c>
      <c r="BA233" s="16">
        <v>258</v>
      </c>
      <c r="BB233" s="16">
        <f t="shared" si="125"/>
        <v>7</v>
      </c>
      <c r="BC233" s="16"/>
      <c r="BD233" s="16"/>
      <c r="BE233" s="80"/>
      <c r="BF233" s="81"/>
      <c r="BG233" s="15"/>
      <c r="BH233" s="15"/>
      <c r="BI233" s="15"/>
      <c r="BS233" s="80"/>
      <c r="BT233" s="81"/>
      <c r="BU233" s="15"/>
      <c r="BV233" s="15"/>
      <c r="BW233" s="15"/>
      <c r="CA233" s="45"/>
      <c r="CD233" s="45"/>
      <c r="CG233" s="80"/>
      <c r="CH233" s="81"/>
      <c r="CI233" s="15"/>
      <c r="CJ233" s="15"/>
      <c r="CK233" s="15"/>
      <c r="CO233" s="45"/>
      <c r="CR233" s="45"/>
    </row>
    <row r="234" spans="1:96" s="18" customFormat="1" ht="15" customHeight="1">
      <c r="A234" s="78">
        <v>2012</v>
      </c>
      <c r="B234" s="79" t="s">
        <v>36</v>
      </c>
      <c r="C234" s="15">
        <f t="shared" si="98"/>
        <v>0.90912837420152481</v>
      </c>
      <c r="D234" s="15">
        <f t="shared" si="99"/>
        <v>0.941929974380871</v>
      </c>
      <c r="E234" s="15">
        <f t="shared" si="100"/>
        <v>0.96517617968267055</v>
      </c>
      <c r="F234" s="57"/>
      <c r="G234" s="34"/>
      <c r="H234" s="57">
        <f>+V234+AJ234+AX234+BL234+BS_GC_MP_Vill[[#This Row],[Trenes Programados]]</f>
        <v>4853</v>
      </c>
      <c r="I234" s="16">
        <f t="shared" ref="I234:I245" si="126">H234-J234</f>
        <v>169</v>
      </c>
      <c r="J234" s="57">
        <f>+X234+AL234+AZ234+BN234+BS_GC_MP_Vill[[#This Row],[Trenes Corridos]]</f>
        <v>4684</v>
      </c>
      <c r="K234" s="57">
        <f>+Y234+AM234+BA234+BO234+BS_GC_MP_Vill[[#This Row],[Trenes Puntuales]]</f>
        <v>4412</v>
      </c>
      <c r="L234" s="16">
        <f t="shared" ref="L234:L245" si="127">J234-K234</f>
        <v>272</v>
      </c>
      <c r="M234" s="16"/>
      <c r="N234" s="16"/>
      <c r="O234" s="78">
        <v>2012</v>
      </c>
      <c r="P234" s="79" t="s">
        <v>36</v>
      </c>
      <c r="Q234" s="15">
        <f t="shared" si="101"/>
        <v>0.92446919596240862</v>
      </c>
      <c r="R234" s="15">
        <f t="shared" si="102"/>
        <v>0.93818438714235253</v>
      </c>
      <c r="S234" s="15">
        <f t="shared" si="103"/>
        <v>0.98538113470240163</v>
      </c>
      <c r="T234" s="16"/>
      <c r="U234" s="16"/>
      <c r="V234" s="16">
        <v>2873</v>
      </c>
      <c r="W234" s="16">
        <f t="shared" ref="W234:W245" si="128">V234-X234</f>
        <v>42</v>
      </c>
      <c r="X234" s="16">
        <v>2831</v>
      </c>
      <c r="Y234" s="16">
        <v>2656</v>
      </c>
      <c r="Z234" s="16">
        <f t="shared" ref="Z234:Z245" si="129">X234-Y234</f>
        <v>175</v>
      </c>
      <c r="AA234" s="16"/>
      <c r="AB234" s="16"/>
      <c r="AC234" s="78">
        <v>2012</v>
      </c>
      <c r="AD234" s="79" t="s">
        <v>36</v>
      </c>
      <c r="AE234" s="15">
        <f t="shared" si="104"/>
        <v>0.88068517424689896</v>
      </c>
      <c r="AF234" s="15">
        <f t="shared" si="105"/>
        <v>0.94069400630914823</v>
      </c>
      <c r="AG234" s="15">
        <f t="shared" si="106"/>
        <v>0.93620791494388655</v>
      </c>
      <c r="AH234" s="16"/>
      <c r="AI234" s="16"/>
      <c r="AJ234" s="16">
        <v>1693</v>
      </c>
      <c r="AK234" s="16">
        <f t="shared" ref="AK234:AK245" si="130">AJ234-AL234</f>
        <v>108</v>
      </c>
      <c r="AL234" s="16">
        <v>1585</v>
      </c>
      <c r="AM234" s="16">
        <v>1491</v>
      </c>
      <c r="AN234" s="16">
        <f t="shared" ref="AN234:AN245" si="131">AL234-AM234</f>
        <v>94</v>
      </c>
      <c r="AO234" s="16"/>
      <c r="AP234" s="16"/>
      <c r="AQ234" s="78">
        <v>2012</v>
      </c>
      <c r="AR234" s="79" t="s">
        <v>36</v>
      </c>
      <c r="AS234" s="15">
        <f t="shared" si="107"/>
        <v>0.9233449477351916</v>
      </c>
      <c r="AT234" s="15">
        <f t="shared" si="108"/>
        <v>0.98880597014925375</v>
      </c>
      <c r="AU234" s="15">
        <f t="shared" si="109"/>
        <v>0.93379790940766549</v>
      </c>
      <c r="AV234" s="15"/>
      <c r="AW234" s="15"/>
      <c r="AX234" s="16">
        <v>287</v>
      </c>
      <c r="AY234" s="16">
        <f t="shared" ref="AY234:AY245" si="132">AX234-AZ234</f>
        <v>19</v>
      </c>
      <c r="AZ234" s="16">
        <v>268</v>
      </c>
      <c r="BA234" s="16">
        <v>265</v>
      </c>
      <c r="BB234" s="16">
        <f t="shared" ref="BB234:BB245" si="133">AZ234-BA234</f>
        <v>3</v>
      </c>
      <c r="BC234" s="16"/>
      <c r="BD234" s="16"/>
      <c r="BE234" s="78"/>
      <c r="BF234" s="79"/>
      <c r="BG234" s="15"/>
      <c r="BH234" s="15"/>
      <c r="BI234" s="15"/>
      <c r="BS234" s="78"/>
      <c r="BT234" s="79"/>
      <c r="BU234" s="15"/>
      <c r="BV234" s="15"/>
      <c r="BW234" s="15"/>
      <c r="CA234" s="45"/>
      <c r="CD234" s="45"/>
      <c r="CG234" s="78"/>
      <c r="CH234" s="79"/>
      <c r="CI234" s="15"/>
      <c r="CJ234" s="15"/>
      <c r="CK234" s="15"/>
      <c r="CO234" s="45"/>
      <c r="CR234" s="45"/>
    </row>
    <row r="235" spans="1:96" s="18" customFormat="1" ht="15" customHeight="1">
      <c r="A235" s="80">
        <v>2012</v>
      </c>
      <c r="B235" s="81" t="s">
        <v>37</v>
      </c>
      <c r="C235" s="15">
        <f t="shared" si="98"/>
        <v>0.8575262804741669</v>
      </c>
      <c r="D235" s="15">
        <f t="shared" si="99"/>
        <v>0.88935281837160751</v>
      </c>
      <c r="E235" s="15">
        <f t="shared" si="100"/>
        <v>0.96421382241109377</v>
      </c>
      <c r="F235" s="57"/>
      <c r="G235" s="34"/>
      <c r="H235" s="57">
        <f>+V235+AJ235+AX235+BL235+BS_GC_MP_Vill[[#This Row],[Trenes Programados]]</f>
        <v>4471</v>
      </c>
      <c r="I235" s="16">
        <f t="shared" si="126"/>
        <v>160</v>
      </c>
      <c r="J235" s="57">
        <f>+X235+AL235+AZ235+BN235+BS_GC_MP_Vill[[#This Row],[Trenes Corridos]]</f>
        <v>4311</v>
      </c>
      <c r="K235" s="57">
        <f>+Y235+AM235+BA235+BO235+BS_GC_MP_Vill[[#This Row],[Trenes Puntuales]]</f>
        <v>3834</v>
      </c>
      <c r="L235" s="16">
        <f t="shared" si="127"/>
        <v>477</v>
      </c>
      <c r="M235" s="16"/>
      <c r="N235" s="16"/>
      <c r="O235" s="80">
        <v>2012</v>
      </c>
      <c r="P235" s="81" t="s">
        <v>37</v>
      </c>
      <c r="Q235" s="15">
        <f t="shared" si="101"/>
        <v>0.88197343453510435</v>
      </c>
      <c r="R235" s="15">
        <f t="shared" si="102"/>
        <v>0.89729729729729735</v>
      </c>
      <c r="S235" s="15">
        <f t="shared" si="103"/>
        <v>0.98292220113851991</v>
      </c>
      <c r="T235" s="16"/>
      <c r="U235" s="16"/>
      <c r="V235" s="16">
        <v>2635</v>
      </c>
      <c r="W235" s="16">
        <f t="shared" si="128"/>
        <v>45</v>
      </c>
      <c r="X235" s="16">
        <v>2590</v>
      </c>
      <c r="Y235" s="16">
        <v>2324</v>
      </c>
      <c r="Z235" s="16">
        <f t="shared" si="129"/>
        <v>266</v>
      </c>
      <c r="AA235" s="16"/>
      <c r="AB235" s="16"/>
      <c r="AC235" s="80">
        <v>2012</v>
      </c>
      <c r="AD235" s="81" t="s">
        <v>37</v>
      </c>
      <c r="AE235" s="15">
        <f t="shared" si="104"/>
        <v>0.80253968253968255</v>
      </c>
      <c r="AF235" s="15">
        <f t="shared" si="105"/>
        <v>0.86397812713602185</v>
      </c>
      <c r="AG235" s="15">
        <f t="shared" si="106"/>
        <v>0.92888888888888888</v>
      </c>
      <c r="AH235" s="16"/>
      <c r="AI235" s="16"/>
      <c r="AJ235" s="16">
        <v>1575</v>
      </c>
      <c r="AK235" s="16">
        <f t="shared" si="130"/>
        <v>112</v>
      </c>
      <c r="AL235" s="16">
        <v>1463</v>
      </c>
      <c r="AM235" s="16">
        <v>1264</v>
      </c>
      <c r="AN235" s="16">
        <f t="shared" si="131"/>
        <v>199</v>
      </c>
      <c r="AO235" s="16"/>
      <c r="AP235" s="16"/>
      <c r="AQ235" s="80">
        <v>2012</v>
      </c>
      <c r="AR235" s="81" t="s">
        <v>37</v>
      </c>
      <c r="AS235" s="15">
        <f t="shared" si="107"/>
        <v>0.94252873563218387</v>
      </c>
      <c r="AT235" s="15">
        <f t="shared" si="108"/>
        <v>0.95348837209302328</v>
      </c>
      <c r="AU235" s="15">
        <f t="shared" si="109"/>
        <v>0.9885057471264368</v>
      </c>
      <c r="AV235" s="15"/>
      <c r="AW235" s="15"/>
      <c r="AX235" s="16">
        <v>261</v>
      </c>
      <c r="AY235" s="16">
        <f t="shared" si="132"/>
        <v>3</v>
      </c>
      <c r="AZ235" s="16">
        <v>258</v>
      </c>
      <c r="BA235" s="16">
        <v>246</v>
      </c>
      <c r="BB235" s="16">
        <f t="shared" si="133"/>
        <v>12</v>
      </c>
      <c r="BC235" s="16"/>
      <c r="BD235" s="16"/>
      <c r="BE235" s="80"/>
      <c r="BF235" s="81"/>
      <c r="BG235" s="15"/>
      <c r="BH235" s="15"/>
      <c r="BI235" s="15"/>
      <c r="BS235" s="80"/>
      <c r="BT235" s="81"/>
      <c r="BU235" s="15"/>
      <c r="BV235" s="15"/>
      <c r="BW235" s="15"/>
      <c r="CA235" s="45"/>
      <c r="CD235" s="45"/>
      <c r="CG235" s="80"/>
      <c r="CH235" s="81"/>
      <c r="CI235" s="15"/>
      <c r="CJ235" s="15"/>
      <c r="CK235" s="15"/>
      <c r="CO235" s="45"/>
      <c r="CR235" s="45"/>
    </row>
    <row r="236" spans="1:96" s="18" customFormat="1" ht="15" customHeight="1">
      <c r="A236" s="78">
        <v>2012</v>
      </c>
      <c r="B236" s="79" t="s">
        <v>38</v>
      </c>
      <c r="C236" s="15">
        <f t="shared" si="98"/>
        <v>0.87161761801303572</v>
      </c>
      <c r="D236" s="15">
        <f t="shared" si="99"/>
        <v>0.90300798035604668</v>
      </c>
      <c r="E236" s="15">
        <f t="shared" si="100"/>
        <v>0.9652380011850682</v>
      </c>
      <c r="F236" s="57"/>
      <c r="G236" s="34"/>
      <c r="H236" s="57">
        <f>+V236+AJ236+AX236+BL236+BS_GC_MP_Vill[[#This Row],[Trenes Programados]]</f>
        <v>5063</v>
      </c>
      <c r="I236" s="16">
        <f t="shared" si="126"/>
        <v>176</v>
      </c>
      <c r="J236" s="57">
        <f>+X236+AL236+AZ236+BN236+BS_GC_MP_Vill[[#This Row],[Trenes Corridos]]</f>
        <v>4887</v>
      </c>
      <c r="K236" s="57">
        <f>+Y236+AM236+BA236+BO236+BS_GC_MP_Vill[[#This Row],[Trenes Puntuales]]</f>
        <v>4413</v>
      </c>
      <c r="L236" s="16">
        <f t="shared" si="127"/>
        <v>474</v>
      </c>
      <c r="M236" s="16"/>
      <c r="N236" s="16"/>
      <c r="O236" s="78">
        <v>2012</v>
      </c>
      <c r="P236" s="79" t="s">
        <v>38</v>
      </c>
      <c r="Q236" s="15">
        <f t="shared" si="101"/>
        <v>0.87233333333333329</v>
      </c>
      <c r="R236" s="15">
        <f t="shared" si="102"/>
        <v>0.90616343490304707</v>
      </c>
      <c r="S236" s="15">
        <f t="shared" si="103"/>
        <v>0.96266666666666667</v>
      </c>
      <c r="T236" s="16"/>
      <c r="U236" s="16"/>
      <c r="V236" s="16">
        <v>3000</v>
      </c>
      <c r="W236" s="16">
        <f t="shared" si="128"/>
        <v>112</v>
      </c>
      <c r="X236" s="16">
        <v>2888</v>
      </c>
      <c r="Y236" s="16">
        <v>2617</v>
      </c>
      <c r="Z236" s="16">
        <f t="shared" si="129"/>
        <v>271</v>
      </c>
      <c r="AA236" s="16"/>
      <c r="AB236" s="16"/>
      <c r="AC236" s="78">
        <v>2012</v>
      </c>
      <c r="AD236" s="79" t="s">
        <v>38</v>
      </c>
      <c r="AE236" s="15">
        <f t="shared" si="104"/>
        <v>0.85828571428571432</v>
      </c>
      <c r="AF236" s="15">
        <f t="shared" si="105"/>
        <v>0.8887573964497042</v>
      </c>
      <c r="AG236" s="15">
        <f t="shared" si="106"/>
        <v>0.96571428571428575</v>
      </c>
      <c r="AH236" s="16"/>
      <c r="AI236" s="16"/>
      <c r="AJ236" s="16">
        <v>1750</v>
      </c>
      <c r="AK236" s="16">
        <f t="shared" si="130"/>
        <v>60</v>
      </c>
      <c r="AL236" s="16">
        <v>1690</v>
      </c>
      <c r="AM236" s="16">
        <v>1502</v>
      </c>
      <c r="AN236" s="16">
        <f t="shared" si="131"/>
        <v>188</v>
      </c>
      <c r="AO236" s="16"/>
      <c r="AP236" s="16"/>
      <c r="AQ236" s="78">
        <v>2012</v>
      </c>
      <c r="AR236" s="79" t="s">
        <v>38</v>
      </c>
      <c r="AS236" s="15">
        <f t="shared" si="107"/>
        <v>0.93929712460063897</v>
      </c>
      <c r="AT236" s="15">
        <f t="shared" si="108"/>
        <v>0.95145631067961167</v>
      </c>
      <c r="AU236" s="15">
        <f t="shared" si="109"/>
        <v>0.98722044728434499</v>
      </c>
      <c r="AV236" s="15"/>
      <c r="AW236" s="15"/>
      <c r="AX236" s="16">
        <v>313</v>
      </c>
      <c r="AY236" s="16">
        <f t="shared" si="132"/>
        <v>4</v>
      </c>
      <c r="AZ236" s="16">
        <v>309</v>
      </c>
      <c r="BA236" s="16">
        <v>294</v>
      </c>
      <c r="BB236" s="16">
        <f t="shared" si="133"/>
        <v>15</v>
      </c>
      <c r="BC236" s="16"/>
      <c r="BD236" s="16"/>
      <c r="BE236" s="78"/>
      <c r="BF236" s="79"/>
      <c r="BG236" s="15"/>
      <c r="BH236" s="15"/>
      <c r="BI236" s="15"/>
      <c r="BS236" s="78"/>
      <c r="BT236" s="79"/>
      <c r="BU236" s="15"/>
      <c r="BV236" s="15"/>
      <c r="BW236" s="15"/>
      <c r="CA236" s="45"/>
      <c r="CD236" s="45"/>
      <c r="CG236" s="78"/>
      <c r="CH236" s="79"/>
      <c r="CI236" s="15"/>
      <c r="CJ236" s="15"/>
      <c r="CK236" s="15"/>
      <c r="CO236" s="45"/>
      <c r="CR236" s="45"/>
    </row>
    <row r="237" spans="1:96" s="18" customFormat="1" ht="15" customHeight="1">
      <c r="A237" s="80">
        <v>2012</v>
      </c>
      <c r="B237" s="81" t="s">
        <v>39</v>
      </c>
      <c r="C237" s="15">
        <f t="shared" si="98"/>
        <v>0.75171553337492203</v>
      </c>
      <c r="D237" s="15">
        <f t="shared" si="99"/>
        <v>0.8864639529180971</v>
      </c>
      <c r="E237" s="15">
        <f t="shared" si="100"/>
        <v>0.84799334580993968</v>
      </c>
      <c r="F237" s="57"/>
      <c r="G237" s="34"/>
      <c r="H237" s="57">
        <f>+V237+AJ237+AX237+BL237+BS_GC_MP_Vill[[#This Row],[Trenes Programados]]</f>
        <v>4809</v>
      </c>
      <c r="I237" s="16">
        <f t="shared" si="126"/>
        <v>731</v>
      </c>
      <c r="J237" s="57">
        <f>+X237+AL237+AZ237+BN237+BS_GC_MP_Vill[[#This Row],[Trenes Corridos]]</f>
        <v>4078</v>
      </c>
      <c r="K237" s="57">
        <f>+Y237+AM237+BA237+BO237+BS_GC_MP_Vill[[#This Row],[Trenes Puntuales]]</f>
        <v>3615</v>
      </c>
      <c r="L237" s="16">
        <f t="shared" si="127"/>
        <v>463</v>
      </c>
      <c r="M237" s="16"/>
      <c r="N237" s="16"/>
      <c r="O237" s="80">
        <v>2012</v>
      </c>
      <c r="P237" s="81" t="s">
        <v>39</v>
      </c>
      <c r="Q237" s="15">
        <f t="shared" si="101"/>
        <v>0.74884710890386663</v>
      </c>
      <c r="R237" s="15">
        <f t="shared" si="102"/>
        <v>0.87775467775467775</v>
      </c>
      <c r="S237" s="15">
        <f t="shared" si="103"/>
        <v>0.85313941113870162</v>
      </c>
      <c r="T237" s="16"/>
      <c r="U237" s="16"/>
      <c r="V237" s="16">
        <v>2819</v>
      </c>
      <c r="W237" s="16">
        <f t="shared" si="128"/>
        <v>414</v>
      </c>
      <c r="X237" s="16">
        <v>2405</v>
      </c>
      <c r="Y237" s="16">
        <v>2111</v>
      </c>
      <c r="Z237" s="16">
        <f t="shared" si="129"/>
        <v>294</v>
      </c>
      <c r="AA237" s="16"/>
      <c r="AB237" s="16"/>
      <c r="AC237" s="80">
        <v>2012</v>
      </c>
      <c r="AD237" s="81" t="s">
        <v>39</v>
      </c>
      <c r="AE237" s="15">
        <f t="shared" si="104"/>
        <v>0.7299880525686977</v>
      </c>
      <c r="AF237" s="15">
        <f t="shared" si="105"/>
        <v>0.8804034582132565</v>
      </c>
      <c r="AG237" s="15">
        <f t="shared" si="106"/>
        <v>0.82915173237753881</v>
      </c>
      <c r="AH237" s="16"/>
      <c r="AI237" s="16"/>
      <c r="AJ237" s="16">
        <v>1674</v>
      </c>
      <c r="AK237" s="16">
        <f t="shared" si="130"/>
        <v>286</v>
      </c>
      <c r="AL237" s="16">
        <v>1388</v>
      </c>
      <c r="AM237" s="16">
        <v>1222</v>
      </c>
      <c r="AN237" s="16">
        <f t="shared" si="131"/>
        <v>166</v>
      </c>
      <c r="AO237" s="16"/>
      <c r="AP237" s="16"/>
      <c r="AQ237" s="80">
        <v>2012</v>
      </c>
      <c r="AR237" s="81" t="s">
        <v>39</v>
      </c>
      <c r="AS237" s="15">
        <f t="shared" si="107"/>
        <v>0.89240506329113922</v>
      </c>
      <c r="AT237" s="15">
        <f t="shared" si="108"/>
        <v>0.98947368421052628</v>
      </c>
      <c r="AU237" s="15">
        <f t="shared" si="109"/>
        <v>0.90189873417721522</v>
      </c>
      <c r="AV237" s="15"/>
      <c r="AW237" s="15"/>
      <c r="AX237" s="16">
        <v>316</v>
      </c>
      <c r="AY237" s="16">
        <f t="shared" si="132"/>
        <v>31</v>
      </c>
      <c r="AZ237" s="16">
        <v>285</v>
      </c>
      <c r="BA237" s="16">
        <v>282</v>
      </c>
      <c r="BB237" s="16">
        <f t="shared" si="133"/>
        <v>3</v>
      </c>
      <c r="BC237" s="16"/>
      <c r="BD237" s="16"/>
      <c r="BE237" s="80"/>
      <c r="BF237" s="81"/>
      <c r="BG237" s="15"/>
      <c r="BH237" s="15"/>
      <c r="BI237" s="15"/>
      <c r="BS237" s="80"/>
      <c r="BT237" s="81"/>
      <c r="BU237" s="15"/>
      <c r="BV237" s="15"/>
      <c r="BW237" s="15"/>
      <c r="CA237" s="45"/>
      <c r="CD237" s="45"/>
      <c r="CG237" s="80"/>
      <c r="CH237" s="81"/>
      <c r="CI237" s="15"/>
      <c r="CJ237" s="15"/>
      <c r="CK237" s="15"/>
      <c r="CO237" s="45"/>
      <c r="CR237" s="45"/>
    </row>
    <row r="238" spans="1:96" s="18" customFormat="1" ht="15" customHeight="1">
      <c r="A238" s="78">
        <v>2012</v>
      </c>
      <c r="B238" s="79" t="s">
        <v>40</v>
      </c>
      <c r="C238" s="15">
        <f t="shared" si="98"/>
        <v>0.86652165315404395</v>
      </c>
      <c r="D238" s="15">
        <f t="shared" si="99"/>
        <v>0.9153958637977857</v>
      </c>
      <c r="E238" s="15">
        <f t="shared" si="100"/>
        <v>0.94660866126161758</v>
      </c>
      <c r="F238" s="57"/>
      <c r="G238" s="34"/>
      <c r="H238" s="57">
        <f>+V238+AJ238+AX238+BL238+BS_GC_MP_Vill[[#This Row],[Trenes Programados]]</f>
        <v>5057</v>
      </c>
      <c r="I238" s="16">
        <f t="shared" si="126"/>
        <v>270</v>
      </c>
      <c r="J238" s="57">
        <f>+X238+AL238+AZ238+BN238+BS_GC_MP_Vill[[#This Row],[Trenes Corridos]]</f>
        <v>4787</v>
      </c>
      <c r="K238" s="57">
        <f>+Y238+AM238+BA238+BO238+BS_GC_MP_Vill[[#This Row],[Trenes Puntuales]]</f>
        <v>4382</v>
      </c>
      <c r="L238" s="16">
        <f t="shared" si="127"/>
        <v>405</v>
      </c>
      <c r="M238" s="16"/>
      <c r="N238" s="16"/>
      <c r="O238" s="78">
        <v>2012</v>
      </c>
      <c r="P238" s="79" t="s">
        <v>40</v>
      </c>
      <c r="Q238" s="15">
        <f t="shared" si="101"/>
        <v>0.84599933043187148</v>
      </c>
      <c r="R238" s="15">
        <f t="shared" si="102"/>
        <v>0.90153407063860147</v>
      </c>
      <c r="S238" s="15">
        <f t="shared" si="103"/>
        <v>0.93839973217274852</v>
      </c>
      <c r="T238" s="16"/>
      <c r="U238" s="16"/>
      <c r="V238" s="16">
        <v>2987</v>
      </c>
      <c r="W238" s="16">
        <f t="shared" si="128"/>
        <v>184</v>
      </c>
      <c r="X238" s="16">
        <v>2803</v>
      </c>
      <c r="Y238" s="16">
        <v>2527</v>
      </c>
      <c r="Z238" s="16">
        <f t="shared" si="129"/>
        <v>276</v>
      </c>
      <c r="AA238" s="16"/>
      <c r="AB238" s="16"/>
      <c r="AC238" s="78">
        <v>2012</v>
      </c>
      <c r="AD238" s="79" t="s">
        <v>40</v>
      </c>
      <c r="AE238" s="15">
        <f t="shared" si="104"/>
        <v>0.87757437070938216</v>
      </c>
      <c r="AF238" s="15">
        <f t="shared" si="105"/>
        <v>0.92298435619735264</v>
      </c>
      <c r="AG238" s="15">
        <f t="shared" si="106"/>
        <v>0.95080091533180777</v>
      </c>
      <c r="AH238" s="16"/>
      <c r="AI238" s="16"/>
      <c r="AJ238" s="16">
        <v>1748</v>
      </c>
      <c r="AK238" s="16">
        <f t="shared" si="130"/>
        <v>86</v>
      </c>
      <c r="AL238" s="16">
        <v>1662</v>
      </c>
      <c r="AM238" s="16">
        <v>1534</v>
      </c>
      <c r="AN238" s="16">
        <f t="shared" si="131"/>
        <v>128</v>
      </c>
      <c r="AO238" s="16"/>
      <c r="AP238" s="16"/>
      <c r="AQ238" s="78">
        <v>2012</v>
      </c>
      <c r="AR238" s="79" t="s">
        <v>40</v>
      </c>
      <c r="AS238" s="15">
        <f t="shared" si="107"/>
        <v>0.99689440993788825</v>
      </c>
      <c r="AT238" s="15">
        <f t="shared" si="108"/>
        <v>0.99689440993788825</v>
      </c>
      <c r="AU238" s="15">
        <f t="shared" si="109"/>
        <v>1</v>
      </c>
      <c r="AV238" s="15"/>
      <c r="AW238" s="15"/>
      <c r="AX238" s="16">
        <v>322</v>
      </c>
      <c r="AY238" s="16">
        <f t="shared" si="132"/>
        <v>0</v>
      </c>
      <c r="AZ238" s="16">
        <v>322</v>
      </c>
      <c r="BA238" s="16">
        <v>321</v>
      </c>
      <c r="BB238" s="16">
        <f t="shared" si="133"/>
        <v>1</v>
      </c>
      <c r="BC238" s="16"/>
      <c r="BD238" s="16"/>
      <c r="BE238" s="78"/>
      <c r="BF238" s="79"/>
      <c r="BG238" s="15"/>
      <c r="BH238" s="15"/>
      <c r="BI238" s="15"/>
      <c r="BS238" s="78"/>
      <c r="BT238" s="79"/>
      <c r="BU238" s="15"/>
      <c r="BV238" s="15"/>
      <c r="BW238" s="15"/>
      <c r="CA238" s="45"/>
      <c r="CD238" s="45"/>
      <c r="CG238" s="78"/>
      <c r="CH238" s="79"/>
      <c r="CI238" s="15"/>
      <c r="CJ238" s="15"/>
      <c r="CK238" s="15"/>
      <c r="CO238" s="45"/>
      <c r="CR238" s="45"/>
    </row>
    <row r="239" spans="1:96" s="18" customFormat="1" ht="15" customHeight="1">
      <c r="A239" s="80">
        <v>2012</v>
      </c>
      <c r="B239" s="81" t="s">
        <v>41</v>
      </c>
      <c r="C239" s="15">
        <f t="shared" si="98"/>
        <v>0.80244648318042811</v>
      </c>
      <c r="D239" s="15">
        <f t="shared" si="99"/>
        <v>0.89515578803729812</v>
      </c>
      <c r="E239" s="15">
        <f t="shared" si="100"/>
        <v>0.89643221202854229</v>
      </c>
      <c r="F239" s="57"/>
      <c r="G239" s="34"/>
      <c r="H239" s="57">
        <f>+V239+AJ239+AX239+BL239+BS_GC_MP_Vill[[#This Row],[Trenes Programados]]</f>
        <v>4905</v>
      </c>
      <c r="I239" s="16">
        <f t="shared" si="126"/>
        <v>508</v>
      </c>
      <c r="J239" s="57">
        <f>+X239+AL239+AZ239+BN239+BS_GC_MP_Vill[[#This Row],[Trenes Corridos]]</f>
        <v>4397</v>
      </c>
      <c r="K239" s="57">
        <f>+Y239+AM239+BA239+BO239+BS_GC_MP_Vill[[#This Row],[Trenes Puntuales]]</f>
        <v>3936</v>
      </c>
      <c r="L239" s="16">
        <f t="shared" si="127"/>
        <v>461</v>
      </c>
      <c r="M239" s="16"/>
      <c r="N239" s="16"/>
      <c r="O239" s="80">
        <v>2012</v>
      </c>
      <c r="P239" s="81" t="s">
        <v>41</v>
      </c>
      <c r="Q239" s="15">
        <f t="shared" si="101"/>
        <v>0.79586206896551726</v>
      </c>
      <c r="R239" s="15">
        <f t="shared" si="102"/>
        <v>0.89043209876543206</v>
      </c>
      <c r="S239" s="15">
        <f t="shared" si="103"/>
        <v>0.89379310344827589</v>
      </c>
      <c r="T239" s="16"/>
      <c r="U239" s="16"/>
      <c r="V239" s="16">
        <v>2900</v>
      </c>
      <c r="W239" s="16">
        <f t="shared" si="128"/>
        <v>308</v>
      </c>
      <c r="X239" s="16">
        <v>2592</v>
      </c>
      <c r="Y239" s="16">
        <v>2308</v>
      </c>
      <c r="Z239" s="16">
        <f t="shared" si="129"/>
        <v>284</v>
      </c>
      <c r="AA239" s="16"/>
      <c r="AB239" s="16"/>
      <c r="AC239" s="80">
        <v>2012</v>
      </c>
      <c r="AD239" s="81" t="s">
        <v>41</v>
      </c>
      <c r="AE239" s="15">
        <f t="shared" si="104"/>
        <v>0.78525073746312679</v>
      </c>
      <c r="AF239" s="15">
        <f t="shared" si="105"/>
        <v>0.88379814077025232</v>
      </c>
      <c r="AG239" s="15">
        <f t="shared" si="106"/>
        <v>0.8884955752212389</v>
      </c>
      <c r="AH239" s="16"/>
      <c r="AI239" s="16"/>
      <c r="AJ239" s="16">
        <v>1695</v>
      </c>
      <c r="AK239" s="16">
        <f t="shared" si="130"/>
        <v>189</v>
      </c>
      <c r="AL239" s="16">
        <v>1506</v>
      </c>
      <c r="AM239" s="16">
        <v>1331</v>
      </c>
      <c r="AN239" s="16">
        <f t="shared" si="131"/>
        <v>175</v>
      </c>
      <c r="AO239" s="16"/>
      <c r="AP239" s="16"/>
      <c r="AQ239" s="80">
        <v>2012</v>
      </c>
      <c r="AR239" s="81" t="s">
        <v>41</v>
      </c>
      <c r="AS239" s="15">
        <f t="shared" si="107"/>
        <v>0.95806451612903221</v>
      </c>
      <c r="AT239" s="15">
        <f t="shared" si="108"/>
        <v>0.99331103678929766</v>
      </c>
      <c r="AU239" s="15">
        <f t="shared" si="109"/>
        <v>0.96451612903225803</v>
      </c>
      <c r="AV239" s="15"/>
      <c r="AW239" s="15"/>
      <c r="AX239" s="16">
        <v>310</v>
      </c>
      <c r="AY239" s="16">
        <f t="shared" si="132"/>
        <v>11</v>
      </c>
      <c r="AZ239" s="16">
        <v>299</v>
      </c>
      <c r="BA239" s="16">
        <v>297</v>
      </c>
      <c r="BB239" s="16">
        <f t="shared" si="133"/>
        <v>2</v>
      </c>
      <c r="BC239" s="16"/>
      <c r="BD239" s="16"/>
      <c r="BE239" s="80"/>
      <c r="BF239" s="81"/>
      <c r="BG239" s="15"/>
      <c r="BH239" s="15"/>
      <c r="BI239" s="15"/>
      <c r="BS239" s="80"/>
      <c r="BT239" s="81"/>
      <c r="BU239" s="15"/>
      <c r="BV239" s="15"/>
      <c r="BW239" s="15"/>
      <c r="CA239" s="45"/>
      <c r="CD239" s="45"/>
      <c r="CG239" s="80"/>
      <c r="CH239" s="81"/>
      <c r="CI239" s="15"/>
      <c r="CJ239" s="15"/>
      <c r="CK239" s="15"/>
      <c r="CO239" s="45"/>
      <c r="CR239" s="45"/>
    </row>
    <row r="240" spans="1:96" s="18" customFormat="1" ht="15" customHeight="1">
      <c r="A240" s="78">
        <v>2012</v>
      </c>
      <c r="B240" s="79" t="s">
        <v>42</v>
      </c>
      <c r="C240" s="15">
        <f t="shared" si="98"/>
        <v>0.88946015424164526</v>
      </c>
      <c r="D240" s="15">
        <f t="shared" si="99"/>
        <v>0.94674805304146492</v>
      </c>
      <c r="E240" s="15">
        <f t="shared" si="100"/>
        <v>0.93948981609649995</v>
      </c>
      <c r="F240" s="57"/>
      <c r="G240" s="34"/>
      <c r="H240" s="57">
        <f>+V240+AJ240+AX240+BL240+BS_GC_MP_Vill[[#This Row],[Trenes Programados]]</f>
        <v>5057</v>
      </c>
      <c r="I240" s="16">
        <f t="shared" si="126"/>
        <v>306</v>
      </c>
      <c r="J240" s="57">
        <f>+X240+AL240+AZ240+BN240+BS_GC_MP_Vill[[#This Row],[Trenes Corridos]]</f>
        <v>4751</v>
      </c>
      <c r="K240" s="57">
        <f>+Y240+AM240+BA240+BO240+BS_GC_MP_Vill[[#This Row],[Trenes Puntuales]]</f>
        <v>4498</v>
      </c>
      <c r="L240" s="16">
        <f t="shared" si="127"/>
        <v>253</v>
      </c>
      <c r="M240" s="16"/>
      <c r="N240" s="16"/>
      <c r="O240" s="78">
        <v>2012</v>
      </c>
      <c r="P240" s="79" t="s">
        <v>42</v>
      </c>
      <c r="Q240" s="15">
        <f t="shared" si="101"/>
        <v>0.87947773685972552</v>
      </c>
      <c r="R240" s="15">
        <f t="shared" si="102"/>
        <v>0.94292893036611625</v>
      </c>
      <c r="S240" s="15">
        <f t="shared" si="103"/>
        <v>0.93270840308001335</v>
      </c>
      <c r="T240" s="16"/>
      <c r="U240" s="16"/>
      <c r="V240" s="16">
        <v>2987</v>
      </c>
      <c r="W240" s="16">
        <f t="shared" si="128"/>
        <v>201</v>
      </c>
      <c r="X240" s="16">
        <v>2786</v>
      </c>
      <c r="Y240" s="16">
        <v>2627</v>
      </c>
      <c r="Z240" s="16">
        <f t="shared" si="129"/>
        <v>159</v>
      </c>
      <c r="AA240" s="16"/>
      <c r="AB240" s="16"/>
      <c r="AC240" s="78">
        <v>2012</v>
      </c>
      <c r="AD240" s="79" t="s">
        <v>42</v>
      </c>
      <c r="AE240" s="15">
        <f t="shared" si="104"/>
        <v>0.88787185354691078</v>
      </c>
      <c r="AF240" s="15">
        <f t="shared" si="105"/>
        <v>0.94289185905224793</v>
      </c>
      <c r="AG240" s="15">
        <f t="shared" si="106"/>
        <v>0.9416475972540046</v>
      </c>
      <c r="AH240" s="16"/>
      <c r="AI240" s="16"/>
      <c r="AJ240" s="16">
        <v>1748</v>
      </c>
      <c r="AK240" s="16">
        <f t="shared" si="130"/>
        <v>102</v>
      </c>
      <c r="AL240" s="16">
        <v>1646</v>
      </c>
      <c r="AM240" s="16">
        <v>1552</v>
      </c>
      <c r="AN240" s="16">
        <f t="shared" si="131"/>
        <v>94</v>
      </c>
      <c r="AO240" s="16"/>
      <c r="AP240" s="16"/>
      <c r="AQ240" s="78">
        <v>2012</v>
      </c>
      <c r="AR240" s="79" t="s">
        <v>42</v>
      </c>
      <c r="AS240" s="15">
        <f t="shared" si="107"/>
        <v>0.99068322981366463</v>
      </c>
      <c r="AT240" s="15">
        <f t="shared" si="108"/>
        <v>1</v>
      </c>
      <c r="AU240" s="15">
        <f t="shared" si="109"/>
        <v>0.99068322981366463</v>
      </c>
      <c r="AV240" s="15"/>
      <c r="AW240" s="15"/>
      <c r="AX240" s="16">
        <v>322</v>
      </c>
      <c r="AY240" s="16">
        <f t="shared" si="132"/>
        <v>3</v>
      </c>
      <c r="AZ240" s="16">
        <v>319</v>
      </c>
      <c r="BA240" s="16">
        <v>319</v>
      </c>
      <c r="BB240" s="16">
        <f t="shared" si="133"/>
        <v>0</v>
      </c>
      <c r="BC240" s="16"/>
      <c r="BD240" s="16"/>
      <c r="BE240" s="78"/>
      <c r="BF240" s="79"/>
      <c r="BG240" s="15"/>
      <c r="BH240" s="15"/>
      <c r="BI240" s="15"/>
      <c r="BS240" s="78"/>
      <c r="BT240" s="79"/>
      <c r="BU240" s="15"/>
      <c r="BV240" s="15"/>
      <c r="BW240" s="15"/>
      <c r="CA240" s="45"/>
      <c r="CD240" s="45"/>
      <c r="CG240" s="78"/>
      <c r="CH240" s="79"/>
      <c r="CI240" s="15"/>
      <c r="CJ240" s="15"/>
      <c r="CK240" s="15"/>
      <c r="CO240" s="45"/>
      <c r="CR240" s="45"/>
    </row>
    <row r="241" spans="1:96" s="18" customFormat="1" ht="15" customHeight="1">
      <c r="A241" s="80">
        <v>2012</v>
      </c>
      <c r="B241" s="81" t="s">
        <v>43</v>
      </c>
      <c r="C241" s="15">
        <f t="shared" si="98"/>
        <v>0.87522106504224795</v>
      </c>
      <c r="D241" s="15">
        <f t="shared" si="99"/>
        <v>0.91797197032151689</v>
      </c>
      <c r="E241" s="15">
        <f t="shared" si="100"/>
        <v>0.953428964433091</v>
      </c>
      <c r="F241" s="57"/>
      <c r="G241" s="34"/>
      <c r="H241" s="57">
        <f>+V241+AJ241+AX241+BL241+BS_GC_MP_Vill[[#This Row],[Trenes Programados]]</f>
        <v>5089</v>
      </c>
      <c r="I241" s="16">
        <f t="shared" si="126"/>
        <v>237</v>
      </c>
      <c r="J241" s="57">
        <f>+X241+AL241+AZ241+BN241+BS_GC_MP_Vill[[#This Row],[Trenes Corridos]]</f>
        <v>4852</v>
      </c>
      <c r="K241" s="57">
        <f>+Y241+AM241+BA241+BO241+BS_GC_MP_Vill[[#This Row],[Trenes Puntuales]]</f>
        <v>4454</v>
      </c>
      <c r="L241" s="16">
        <f t="shared" si="127"/>
        <v>398</v>
      </c>
      <c r="M241" s="16"/>
      <c r="N241" s="16"/>
      <c r="O241" s="80">
        <v>2012</v>
      </c>
      <c r="P241" s="81" t="s">
        <v>43</v>
      </c>
      <c r="Q241" s="15">
        <f t="shared" si="101"/>
        <v>0.8689449236894492</v>
      </c>
      <c r="R241" s="15">
        <f t="shared" si="102"/>
        <v>0.91605456453305356</v>
      </c>
      <c r="S241" s="15">
        <f t="shared" si="103"/>
        <v>0.94857332448573328</v>
      </c>
      <c r="T241" s="16"/>
      <c r="U241" s="16"/>
      <c r="V241" s="16">
        <v>3014</v>
      </c>
      <c r="W241" s="16">
        <f t="shared" si="128"/>
        <v>155</v>
      </c>
      <c r="X241" s="16">
        <v>2859</v>
      </c>
      <c r="Y241" s="16">
        <v>2619</v>
      </c>
      <c r="Z241" s="16">
        <f t="shared" si="129"/>
        <v>240</v>
      </c>
      <c r="AA241" s="16"/>
      <c r="AB241" s="16"/>
      <c r="AC241" s="80">
        <v>2012</v>
      </c>
      <c r="AD241" s="81" t="s">
        <v>43</v>
      </c>
      <c r="AE241" s="15">
        <f t="shared" si="104"/>
        <v>0.8729344729344729</v>
      </c>
      <c r="AF241" s="15">
        <f t="shared" si="105"/>
        <v>0.90919881305637984</v>
      </c>
      <c r="AG241" s="15">
        <f t="shared" si="106"/>
        <v>0.96011396011396011</v>
      </c>
      <c r="AH241" s="16"/>
      <c r="AI241" s="16"/>
      <c r="AJ241" s="16">
        <v>1755</v>
      </c>
      <c r="AK241" s="16">
        <f t="shared" si="130"/>
        <v>70</v>
      </c>
      <c r="AL241" s="16">
        <v>1685</v>
      </c>
      <c r="AM241" s="16">
        <v>1532</v>
      </c>
      <c r="AN241" s="16">
        <f t="shared" si="131"/>
        <v>153</v>
      </c>
      <c r="AO241" s="16"/>
      <c r="AP241" s="16"/>
      <c r="AQ241" s="80">
        <v>2012</v>
      </c>
      <c r="AR241" s="81" t="s">
        <v>43</v>
      </c>
      <c r="AS241" s="15">
        <f t="shared" si="107"/>
        <v>0.94687500000000002</v>
      </c>
      <c r="AT241" s="15">
        <f t="shared" si="108"/>
        <v>0.98376623376623373</v>
      </c>
      <c r="AU241" s="15">
        <f t="shared" si="109"/>
        <v>0.96250000000000002</v>
      </c>
      <c r="AV241" s="15"/>
      <c r="AW241" s="15"/>
      <c r="AX241" s="16">
        <v>320</v>
      </c>
      <c r="AY241" s="16">
        <f t="shared" si="132"/>
        <v>12</v>
      </c>
      <c r="AZ241" s="16">
        <v>308</v>
      </c>
      <c r="BA241" s="16">
        <v>303</v>
      </c>
      <c r="BB241" s="16">
        <f t="shared" si="133"/>
        <v>5</v>
      </c>
      <c r="BC241" s="16"/>
      <c r="BD241" s="16"/>
      <c r="BE241" s="80"/>
      <c r="BF241" s="81"/>
      <c r="BG241" s="15"/>
      <c r="BH241" s="15"/>
      <c r="BI241" s="15"/>
      <c r="BS241" s="80"/>
      <c r="BT241" s="81"/>
      <c r="BU241" s="15"/>
      <c r="BV241" s="15"/>
      <c r="BW241" s="15"/>
      <c r="CA241" s="45"/>
      <c r="CD241" s="45"/>
      <c r="CG241" s="80"/>
      <c r="CH241" s="81"/>
      <c r="CI241" s="15"/>
      <c r="CJ241" s="15"/>
      <c r="CK241" s="15"/>
      <c r="CO241" s="45"/>
      <c r="CR241" s="45"/>
    </row>
    <row r="242" spans="1:96" s="18" customFormat="1" ht="15" customHeight="1">
      <c r="A242" s="78">
        <v>2012</v>
      </c>
      <c r="B242" s="79" t="s">
        <v>44</v>
      </c>
      <c r="C242" s="15">
        <f t="shared" si="98"/>
        <v>0.85963472193720503</v>
      </c>
      <c r="D242" s="15">
        <f t="shared" si="99"/>
        <v>0.91703152364273199</v>
      </c>
      <c r="E242" s="15">
        <f t="shared" si="100"/>
        <v>0.93741021957726245</v>
      </c>
      <c r="F242" s="57"/>
      <c r="G242" s="34"/>
      <c r="H242" s="57">
        <f>+V242+AJ242+AX242+BL242+BS_GC_MP_Vill[[#This Row],[Trenes Programados]]</f>
        <v>4873</v>
      </c>
      <c r="I242" s="16">
        <f t="shared" si="126"/>
        <v>305</v>
      </c>
      <c r="J242" s="57">
        <f>+X242+AL242+AZ242+BN242+BS_GC_MP_Vill[[#This Row],[Trenes Corridos]]</f>
        <v>4568</v>
      </c>
      <c r="K242" s="57">
        <f>+Y242+AM242+BA242+BO242+BS_GC_MP_Vill[[#This Row],[Trenes Puntuales]]</f>
        <v>4189</v>
      </c>
      <c r="L242" s="16">
        <f t="shared" si="127"/>
        <v>379</v>
      </c>
      <c r="M242" s="16"/>
      <c r="N242" s="16"/>
      <c r="O242" s="78">
        <v>2012</v>
      </c>
      <c r="P242" s="79" t="s">
        <v>44</v>
      </c>
      <c r="Q242" s="15">
        <f t="shared" si="101"/>
        <v>0.84162895927601811</v>
      </c>
      <c r="R242" s="15">
        <f t="shared" si="102"/>
        <v>0.91073446327683616</v>
      </c>
      <c r="S242" s="15">
        <f t="shared" si="103"/>
        <v>0.92412112774103727</v>
      </c>
      <c r="T242" s="16"/>
      <c r="U242" s="16"/>
      <c r="V242" s="16">
        <v>2873</v>
      </c>
      <c r="W242" s="16">
        <f t="shared" si="128"/>
        <v>218</v>
      </c>
      <c r="X242" s="16">
        <v>2655</v>
      </c>
      <c r="Y242" s="16">
        <v>2418</v>
      </c>
      <c r="Z242" s="16">
        <f t="shared" si="129"/>
        <v>237</v>
      </c>
      <c r="AA242" s="16"/>
      <c r="AB242" s="16"/>
      <c r="AC242" s="78">
        <v>2012</v>
      </c>
      <c r="AD242" s="79" t="s">
        <v>44</v>
      </c>
      <c r="AE242" s="15">
        <f t="shared" si="104"/>
        <v>0.86789099526066349</v>
      </c>
      <c r="AF242" s="15">
        <f t="shared" si="105"/>
        <v>0.9116365899191039</v>
      </c>
      <c r="AG242" s="15">
        <f t="shared" si="106"/>
        <v>0.95201421800947872</v>
      </c>
      <c r="AH242" s="16"/>
      <c r="AI242" s="16"/>
      <c r="AJ242" s="16">
        <v>1688</v>
      </c>
      <c r="AK242" s="16">
        <f t="shared" si="130"/>
        <v>81</v>
      </c>
      <c r="AL242" s="16">
        <v>1607</v>
      </c>
      <c r="AM242" s="16">
        <v>1465</v>
      </c>
      <c r="AN242" s="16">
        <f t="shared" si="131"/>
        <v>142</v>
      </c>
      <c r="AO242" s="16"/>
      <c r="AP242" s="16"/>
      <c r="AQ242" s="78">
        <v>2012</v>
      </c>
      <c r="AR242" s="79" t="s">
        <v>44</v>
      </c>
      <c r="AS242" s="15">
        <f t="shared" si="107"/>
        <v>0.98076923076923073</v>
      </c>
      <c r="AT242" s="15">
        <f t="shared" si="108"/>
        <v>1</v>
      </c>
      <c r="AU242" s="15">
        <f t="shared" si="109"/>
        <v>0.98076923076923073</v>
      </c>
      <c r="AV242" s="15"/>
      <c r="AW242" s="15"/>
      <c r="AX242" s="16">
        <v>312</v>
      </c>
      <c r="AY242" s="16">
        <f t="shared" si="132"/>
        <v>6</v>
      </c>
      <c r="AZ242" s="16">
        <v>306</v>
      </c>
      <c r="BA242" s="16">
        <v>306</v>
      </c>
      <c r="BB242" s="16">
        <f t="shared" si="133"/>
        <v>0</v>
      </c>
      <c r="BC242" s="16"/>
      <c r="BD242" s="16"/>
      <c r="BE242" s="78"/>
      <c r="BF242" s="79"/>
      <c r="BG242" s="15"/>
      <c r="BH242" s="15"/>
      <c r="BI242" s="15"/>
      <c r="BS242" s="78"/>
      <c r="BT242" s="79"/>
      <c r="BU242" s="15"/>
      <c r="BV242" s="15"/>
      <c r="BW242" s="15"/>
      <c r="CA242" s="45"/>
      <c r="CD242" s="45"/>
      <c r="CG242" s="78"/>
      <c r="CH242" s="79"/>
      <c r="CI242" s="15"/>
      <c r="CJ242" s="15"/>
      <c r="CK242" s="15"/>
      <c r="CO242" s="45"/>
      <c r="CR242" s="45"/>
    </row>
    <row r="243" spans="1:96" s="18" customFormat="1" ht="15" customHeight="1">
      <c r="A243" s="80">
        <v>2012</v>
      </c>
      <c r="B243" s="81" t="s">
        <v>45</v>
      </c>
      <c r="C243" s="15">
        <f t="shared" si="98"/>
        <v>0.86578895657300059</v>
      </c>
      <c r="D243" s="15">
        <f t="shared" si="99"/>
        <v>0.91391827421696747</v>
      </c>
      <c r="E243" s="15">
        <f t="shared" si="100"/>
        <v>0.94733739438003539</v>
      </c>
      <c r="F243" s="57"/>
      <c r="G243" s="34"/>
      <c r="H243" s="57">
        <f>+V243+AJ243+AX243+BL243+BS_GC_MP_Vill[[#This Row],[Trenes Programados]]</f>
        <v>5089</v>
      </c>
      <c r="I243" s="16">
        <f t="shared" si="126"/>
        <v>268</v>
      </c>
      <c r="J243" s="57">
        <f>+X243+AL243+AZ243+BN243+BS_GC_MP_Vill[[#This Row],[Trenes Corridos]]</f>
        <v>4821</v>
      </c>
      <c r="K243" s="57">
        <f>+Y243+AM243+BA243+BO243+BS_GC_MP_Vill[[#This Row],[Trenes Puntuales]]</f>
        <v>4406</v>
      </c>
      <c r="L243" s="16">
        <f t="shared" si="127"/>
        <v>415</v>
      </c>
      <c r="M243" s="16"/>
      <c r="N243" s="16"/>
      <c r="O243" s="80">
        <v>2012</v>
      </c>
      <c r="P243" s="81" t="s">
        <v>45</v>
      </c>
      <c r="Q243" s="15">
        <f t="shared" si="101"/>
        <v>0.86728599867285994</v>
      </c>
      <c r="R243" s="15">
        <f t="shared" si="102"/>
        <v>0.90985033066481025</v>
      </c>
      <c r="S243" s="15">
        <f t="shared" si="103"/>
        <v>0.9532183145321832</v>
      </c>
      <c r="T243" s="16"/>
      <c r="U243" s="16"/>
      <c r="V243" s="16">
        <v>3014</v>
      </c>
      <c r="W243" s="16">
        <f t="shared" si="128"/>
        <v>141</v>
      </c>
      <c r="X243" s="16">
        <v>2873</v>
      </c>
      <c r="Y243" s="16">
        <v>2614</v>
      </c>
      <c r="Z243" s="16">
        <f t="shared" si="129"/>
        <v>259</v>
      </c>
      <c r="AA243" s="16"/>
      <c r="AB243" s="16"/>
      <c r="AC243" s="80">
        <v>2012</v>
      </c>
      <c r="AD243" s="81" t="s">
        <v>45</v>
      </c>
      <c r="AE243" s="15">
        <f t="shared" si="104"/>
        <v>0.85071225071225076</v>
      </c>
      <c r="AF243" s="15">
        <f t="shared" si="105"/>
        <v>0.90649666059502121</v>
      </c>
      <c r="AG243" s="15">
        <f t="shared" si="106"/>
        <v>0.93846153846153846</v>
      </c>
      <c r="AH243" s="16"/>
      <c r="AI243" s="16"/>
      <c r="AJ243" s="16">
        <v>1755</v>
      </c>
      <c r="AK243" s="16">
        <f t="shared" si="130"/>
        <v>108</v>
      </c>
      <c r="AL243" s="16">
        <v>1647</v>
      </c>
      <c r="AM243" s="16">
        <v>1493</v>
      </c>
      <c r="AN243" s="16">
        <f t="shared" si="131"/>
        <v>154</v>
      </c>
      <c r="AO243" s="16"/>
      <c r="AP243" s="16"/>
      <c r="AQ243" s="80">
        <v>2012</v>
      </c>
      <c r="AR243" s="81" t="s">
        <v>45</v>
      </c>
      <c r="AS243" s="15">
        <f t="shared" si="107"/>
        <v>0.93437499999999996</v>
      </c>
      <c r="AT243" s="15">
        <f t="shared" si="108"/>
        <v>0.99335548172757471</v>
      </c>
      <c r="AU243" s="15">
        <f t="shared" si="109"/>
        <v>0.94062500000000004</v>
      </c>
      <c r="AV243" s="15"/>
      <c r="AW243" s="15"/>
      <c r="AX243" s="16">
        <v>320</v>
      </c>
      <c r="AY243" s="16">
        <f t="shared" si="132"/>
        <v>19</v>
      </c>
      <c r="AZ243" s="16">
        <v>301</v>
      </c>
      <c r="BA243" s="16">
        <v>299</v>
      </c>
      <c r="BB243" s="16">
        <f t="shared" si="133"/>
        <v>2</v>
      </c>
      <c r="BC243" s="16"/>
      <c r="BD243" s="16"/>
      <c r="BE243" s="80"/>
      <c r="BF243" s="81"/>
      <c r="BG243" s="15"/>
      <c r="BH243" s="15"/>
      <c r="BI243" s="15"/>
      <c r="BS243" s="80"/>
      <c r="BT243" s="81"/>
      <c r="BU243" s="15"/>
      <c r="BV243" s="15"/>
      <c r="BW243" s="15"/>
      <c r="CA243" s="45"/>
      <c r="CD243" s="45"/>
      <c r="CG243" s="80"/>
      <c r="CH243" s="81"/>
      <c r="CI243" s="15"/>
      <c r="CJ243" s="15"/>
      <c r="CK243" s="15"/>
      <c r="CO243" s="45"/>
      <c r="CR243" s="45"/>
    </row>
    <row r="244" spans="1:96" s="18" customFormat="1" ht="15" customHeight="1">
      <c r="A244" s="78">
        <v>2012</v>
      </c>
      <c r="B244" s="79" t="s">
        <v>46</v>
      </c>
      <c r="C244" s="15">
        <f t="shared" si="98"/>
        <v>0.78832858885725909</v>
      </c>
      <c r="D244" s="15">
        <f t="shared" si="99"/>
        <v>0.88093615087480115</v>
      </c>
      <c r="E244" s="15">
        <f t="shared" si="100"/>
        <v>0.89487596583977225</v>
      </c>
      <c r="F244" s="57"/>
      <c r="G244" s="34"/>
      <c r="H244" s="57">
        <f>+V244+AJ244+AX244+BL244+BS_GC_MP_Vill[[#This Row],[Trenes Programados]]</f>
        <v>4918</v>
      </c>
      <c r="I244" s="16">
        <f t="shared" si="126"/>
        <v>517</v>
      </c>
      <c r="J244" s="57">
        <f>+X244+AL244+AZ244+BN244+BS_GC_MP_Vill[[#This Row],[Trenes Corridos]]</f>
        <v>4401</v>
      </c>
      <c r="K244" s="57">
        <f>+Y244+AM244+BA244+BO244+BS_GC_MP_Vill[[#This Row],[Trenes Puntuales]]</f>
        <v>3877</v>
      </c>
      <c r="L244" s="16">
        <f t="shared" si="127"/>
        <v>524</v>
      </c>
      <c r="M244" s="16"/>
      <c r="N244" s="16"/>
      <c r="O244" s="78">
        <v>2012</v>
      </c>
      <c r="P244" s="79" t="s">
        <v>46</v>
      </c>
      <c r="Q244" s="15">
        <f t="shared" si="101"/>
        <v>0.78392305049811062</v>
      </c>
      <c r="R244" s="15">
        <f t="shared" si="102"/>
        <v>0.88655788655788659</v>
      </c>
      <c r="S244" s="15">
        <f t="shared" si="103"/>
        <v>0.88423222260391621</v>
      </c>
      <c r="T244" s="16"/>
      <c r="U244" s="16"/>
      <c r="V244" s="16">
        <v>2911</v>
      </c>
      <c r="W244" s="16">
        <f t="shared" si="128"/>
        <v>337</v>
      </c>
      <c r="X244" s="16">
        <v>2574</v>
      </c>
      <c r="Y244" s="16">
        <v>2282</v>
      </c>
      <c r="Z244" s="16">
        <f t="shared" si="129"/>
        <v>292</v>
      </c>
      <c r="AA244" s="16"/>
      <c r="AB244" s="16"/>
      <c r="AC244" s="78">
        <v>2012</v>
      </c>
      <c r="AD244" s="79" t="s">
        <v>46</v>
      </c>
      <c r="AE244" s="15">
        <f t="shared" si="104"/>
        <v>0.79846788450206241</v>
      </c>
      <c r="AF244" s="15">
        <f t="shared" si="105"/>
        <v>0.85488958990536279</v>
      </c>
      <c r="AG244" s="15">
        <f t="shared" si="106"/>
        <v>0.934001178550383</v>
      </c>
      <c r="AH244" s="16"/>
      <c r="AI244" s="16"/>
      <c r="AJ244" s="16">
        <v>1697</v>
      </c>
      <c r="AK244" s="16">
        <f t="shared" si="130"/>
        <v>112</v>
      </c>
      <c r="AL244" s="16">
        <v>1585</v>
      </c>
      <c r="AM244" s="16">
        <v>1355</v>
      </c>
      <c r="AN244" s="16">
        <f t="shared" si="131"/>
        <v>230</v>
      </c>
      <c r="AO244" s="16"/>
      <c r="AP244" s="16"/>
      <c r="AQ244" s="78">
        <v>2012</v>
      </c>
      <c r="AR244" s="79" t="s">
        <v>46</v>
      </c>
      <c r="AS244" s="15">
        <f t="shared" si="107"/>
        <v>0.77419354838709675</v>
      </c>
      <c r="AT244" s="15">
        <f t="shared" si="108"/>
        <v>0.99173553719008267</v>
      </c>
      <c r="AU244" s="15">
        <f t="shared" si="109"/>
        <v>0.78064516129032258</v>
      </c>
      <c r="AV244" s="15"/>
      <c r="AW244" s="15"/>
      <c r="AX244" s="16">
        <v>310</v>
      </c>
      <c r="AY244" s="16">
        <f t="shared" si="132"/>
        <v>68</v>
      </c>
      <c r="AZ244" s="16">
        <v>242</v>
      </c>
      <c r="BA244" s="16">
        <v>240</v>
      </c>
      <c r="BB244" s="16">
        <f t="shared" si="133"/>
        <v>2</v>
      </c>
      <c r="BC244" s="16"/>
      <c r="BD244" s="16"/>
      <c r="BE244" s="78"/>
      <c r="BF244" s="79"/>
      <c r="BG244" s="15"/>
      <c r="BH244" s="15"/>
      <c r="BI244" s="15"/>
      <c r="BS244" s="78"/>
      <c r="BT244" s="79"/>
      <c r="BU244" s="15"/>
      <c r="BV244" s="15"/>
      <c r="BW244" s="15"/>
      <c r="CA244" s="45"/>
      <c r="CD244" s="45"/>
      <c r="CG244" s="78"/>
      <c r="CH244" s="79"/>
      <c r="CI244" s="15"/>
      <c r="CJ244" s="15"/>
      <c r="CK244" s="15"/>
      <c r="CO244" s="45"/>
      <c r="CR244" s="45"/>
    </row>
    <row r="245" spans="1:96" s="18" customFormat="1" ht="15" customHeight="1">
      <c r="A245" s="80">
        <v>2012</v>
      </c>
      <c r="B245" s="81" t="s">
        <v>47</v>
      </c>
      <c r="C245" s="15">
        <f t="shared" si="98"/>
        <v>0.84377510040160641</v>
      </c>
      <c r="D245" s="15">
        <f t="shared" si="99"/>
        <v>0.89556692242114233</v>
      </c>
      <c r="E245" s="15">
        <f t="shared" si="100"/>
        <v>0.94216867469879517</v>
      </c>
      <c r="F245" s="57"/>
      <c r="G245" s="34"/>
      <c r="H245" s="57">
        <f>+V245+AJ245+AX245+BL245+BS_GC_MP_Vill[[#This Row],[Trenes Programados]]</f>
        <v>4980</v>
      </c>
      <c r="I245" s="16">
        <f t="shared" si="126"/>
        <v>288</v>
      </c>
      <c r="J245" s="57">
        <f>+X245+AL245+AZ245+BN245+BS_GC_MP_Vill[[#This Row],[Trenes Corridos]]</f>
        <v>4692</v>
      </c>
      <c r="K245" s="57">
        <f>+Y245+AM245+BA245+BO245+BS_GC_MP_Vill[[#This Row],[Trenes Puntuales]]</f>
        <v>4202</v>
      </c>
      <c r="L245" s="16">
        <f t="shared" si="127"/>
        <v>490</v>
      </c>
      <c r="M245" s="16"/>
      <c r="N245" s="16"/>
      <c r="O245" s="80">
        <v>2012</v>
      </c>
      <c r="P245" s="81" t="s">
        <v>47</v>
      </c>
      <c r="Q245" s="15">
        <f t="shared" si="101"/>
        <v>0.85352498288843259</v>
      </c>
      <c r="R245" s="15">
        <f t="shared" si="102"/>
        <v>0.89358652812611972</v>
      </c>
      <c r="S245" s="15">
        <f t="shared" si="103"/>
        <v>0.95516769336071183</v>
      </c>
      <c r="T245" s="16"/>
      <c r="U245" s="16"/>
      <c r="V245" s="16">
        <v>2922</v>
      </c>
      <c r="W245" s="16">
        <f t="shared" si="128"/>
        <v>131</v>
      </c>
      <c r="X245" s="16">
        <v>2791</v>
      </c>
      <c r="Y245" s="16">
        <v>2494</v>
      </c>
      <c r="Z245" s="16">
        <f t="shared" si="129"/>
        <v>297</v>
      </c>
      <c r="AA245" s="16"/>
      <c r="AB245" s="16"/>
      <c r="AC245" s="80">
        <v>2012</v>
      </c>
      <c r="AD245" s="81" t="s">
        <v>47</v>
      </c>
      <c r="AE245" s="15">
        <f t="shared" si="104"/>
        <v>0.82159353348729791</v>
      </c>
      <c r="AF245" s="15">
        <f t="shared" si="105"/>
        <v>0.88330229671011795</v>
      </c>
      <c r="AG245" s="15">
        <f t="shared" si="106"/>
        <v>0.93013856812933027</v>
      </c>
      <c r="AH245" s="16"/>
      <c r="AI245" s="16"/>
      <c r="AJ245" s="16">
        <v>1732</v>
      </c>
      <c r="AK245" s="16">
        <f t="shared" si="130"/>
        <v>121</v>
      </c>
      <c r="AL245" s="16">
        <v>1611</v>
      </c>
      <c r="AM245" s="16">
        <v>1423</v>
      </c>
      <c r="AN245" s="16">
        <f t="shared" si="131"/>
        <v>188</v>
      </c>
      <c r="AO245" s="16"/>
      <c r="AP245" s="16"/>
      <c r="AQ245" s="80">
        <v>2012</v>
      </c>
      <c r="AR245" s="81" t="s">
        <v>47</v>
      </c>
      <c r="AS245" s="15">
        <f t="shared" si="107"/>
        <v>0.87423312883435578</v>
      </c>
      <c r="AT245" s="15">
        <f t="shared" si="108"/>
        <v>0.98275862068965514</v>
      </c>
      <c r="AU245" s="15">
        <f t="shared" si="109"/>
        <v>0.88957055214723924</v>
      </c>
      <c r="AV245" s="15"/>
      <c r="AW245" s="15"/>
      <c r="AX245" s="16">
        <v>326</v>
      </c>
      <c r="AY245" s="16">
        <f t="shared" si="132"/>
        <v>36</v>
      </c>
      <c r="AZ245" s="16">
        <v>290</v>
      </c>
      <c r="BA245" s="16">
        <v>285</v>
      </c>
      <c r="BB245" s="16">
        <f t="shared" si="133"/>
        <v>5</v>
      </c>
      <c r="BC245" s="16"/>
      <c r="BD245" s="16"/>
      <c r="BE245" s="80"/>
      <c r="BF245" s="81"/>
      <c r="BG245" s="15"/>
      <c r="BH245" s="15"/>
      <c r="BI245" s="15"/>
      <c r="BS245" s="80"/>
      <c r="BT245" s="81"/>
      <c r="BU245" s="15"/>
      <c r="BV245" s="15"/>
      <c r="BW245" s="15"/>
      <c r="CA245" s="45"/>
      <c r="CD245" s="45"/>
      <c r="CG245" s="80"/>
      <c r="CH245" s="81"/>
      <c r="CI245" s="15"/>
      <c r="CJ245" s="15"/>
      <c r="CK245" s="15"/>
      <c r="CO245" s="45"/>
      <c r="CR245" s="45"/>
    </row>
    <row r="246" spans="1:96" s="18" customFormat="1" ht="15" customHeight="1">
      <c r="A246" s="78">
        <v>2013</v>
      </c>
      <c r="B246" s="79" t="s">
        <v>36</v>
      </c>
      <c r="C246" s="15">
        <f t="shared" si="98"/>
        <v>0.86012608353033881</v>
      </c>
      <c r="D246" s="15">
        <f t="shared" si="99"/>
        <v>0.93993541442411199</v>
      </c>
      <c r="E246" s="15">
        <f t="shared" si="100"/>
        <v>0.91509062253743101</v>
      </c>
      <c r="F246" s="57"/>
      <c r="G246" s="34"/>
      <c r="H246" s="57">
        <f>+V246+AJ246+AX246+BL246+BS_GC_MP_Vill[[#This Row],[Trenes Programados]]</f>
        <v>5076</v>
      </c>
      <c r="I246" s="16">
        <f t="shared" ref="I246:I257" si="134">H246-J246</f>
        <v>431</v>
      </c>
      <c r="J246" s="57">
        <f>+X246+AL246+AZ246+BN246+BS_GC_MP_Vill[[#This Row],[Trenes Corridos]]</f>
        <v>4645</v>
      </c>
      <c r="K246" s="57">
        <f>+Y246+AM246+BA246+BO246+BS_GC_MP_Vill[[#This Row],[Trenes Puntuales]]</f>
        <v>4366</v>
      </c>
      <c r="L246" s="16">
        <f t="shared" ref="L246:L257" si="135">J246-K246</f>
        <v>279</v>
      </c>
      <c r="M246" s="16"/>
      <c r="N246" s="16"/>
      <c r="O246" s="78">
        <v>2013</v>
      </c>
      <c r="P246" s="79" t="s">
        <v>36</v>
      </c>
      <c r="Q246" s="15">
        <f t="shared" si="101"/>
        <v>0.87046287046287041</v>
      </c>
      <c r="R246" s="15">
        <f t="shared" si="102"/>
        <v>0.95123726346433768</v>
      </c>
      <c r="S246" s="15">
        <f t="shared" si="103"/>
        <v>0.91508491508491507</v>
      </c>
      <c r="T246" s="16"/>
      <c r="U246" s="16"/>
      <c r="V246" s="16">
        <v>3003</v>
      </c>
      <c r="W246" s="16">
        <f t="shared" ref="W246:W257" si="136">V246-X246</f>
        <v>255</v>
      </c>
      <c r="X246" s="16">
        <v>2748</v>
      </c>
      <c r="Y246" s="16">
        <v>2614</v>
      </c>
      <c r="Z246" s="16">
        <f t="shared" ref="Z246:Z257" si="137">X246-Y246</f>
        <v>134</v>
      </c>
      <c r="AA246" s="16"/>
      <c r="AB246" s="16"/>
      <c r="AC246" s="78">
        <v>2013</v>
      </c>
      <c r="AD246" s="79" t="s">
        <v>36</v>
      </c>
      <c r="AE246" s="15">
        <f t="shared" si="104"/>
        <v>0.83399885909868798</v>
      </c>
      <c r="AF246" s="15">
        <f t="shared" si="105"/>
        <v>0.91203992514036181</v>
      </c>
      <c r="AG246" s="15">
        <f t="shared" si="106"/>
        <v>0.9144324015972618</v>
      </c>
      <c r="AH246" s="16"/>
      <c r="AI246" s="16"/>
      <c r="AJ246" s="16">
        <v>1753</v>
      </c>
      <c r="AK246" s="16">
        <f t="shared" ref="AK246:AK257" si="138">AJ246-AL246</f>
        <v>150</v>
      </c>
      <c r="AL246" s="16">
        <v>1603</v>
      </c>
      <c r="AM246" s="16">
        <v>1462</v>
      </c>
      <c r="AN246" s="16">
        <f t="shared" ref="AN246:AN257" si="139">AL246-AM246</f>
        <v>141</v>
      </c>
      <c r="AO246" s="16"/>
      <c r="AP246" s="16"/>
      <c r="AQ246" s="78">
        <v>2013</v>
      </c>
      <c r="AR246" s="79" t="s">
        <v>36</v>
      </c>
      <c r="AS246" s="15">
        <f t="shared" si="107"/>
        <v>0.90625</v>
      </c>
      <c r="AT246" s="15">
        <f t="shared" si="108"/>
        <v>0.98639455782312924</v>
      </c>
      <c r="AU246" s="15">
        <f t="shared" si="109"/>
        <v>0.91874999999999996</v>
      </c>
      <c r="AV246" s="15"/>
      <c r="AW246" s="15"/>
      <c r="AX246" s="16">
        <v>320</v>
      </c>
      <c r="AY246" s="16">
        <f t="shared" ref="AY246:AY257" si="140">AX246-AZ246</f>
        <v>26</v>
      </c>
      <c r="AZ246" s="16">
        <v>294</v>
      </c>
      <c r="BA246" s="16">
        <v>290</v>
      </c>
      <c r="BB246" s="16">
        <f t="shared" ref="BB246:BB257" si="141">AZ246-BA246</f>
        <v>4</v>
      </c>
      <c r="BC246" s="16"/>
      <c r="BD246" s="16"/>
      <c r="BE246" s="78"/>
      <c r="BF246" s="79"/>
      <c r="BG246" s="15"/>
      <c r="BH246" s="15"/>
      <c r="BI246" s="15"/>
      <c r="BS246" s="78"/>
      <c r="BT246" s="79"/>
      <c r="BU246" s="15"/>
      <c r="BV246" s="15"/>
      <c r="BW246" s="15"/>
      <c r="CA246" s="45"/>
      <c r="CD246" s="45"/>
      <c r="CG246" s="78"/>
      <c r="CH246" s="79"/>
      <c r="CI246" s="15"/>
      <c r="CJ246" s="15"/>
      <c r="CK246" s="15"/>
      <c r="CO246" s="45"/>
      <c r="CR246" s="45"/>
    </row>
    <row r="247" spans="1:96" s="18" customFormat="1" ht="15" customHeight="1">
      <c r="A247" s="80">
        <v>2013</v>
      </c>
      <c r="B247" s="81" t="s">
        <v>37</v>
      </c>
      <c r="C247" s="15">
        <f t="shared" si="98"/>
        <v>0.90492021276595747</v>
      </c>
      <c r="D247" s="15">
        <f t="shared" si="99"/>
        <v>0.9457956914523975</v>
      </c>
      <c r="E247" s="15">
        <f t="shared" si="100"/>
        <v>0.95678191489361697</v>
      </c>
      <c r="F247" s="57"/>
      <c r="G247" s="34"/>
      <c r="H247" s="57">
        <f>+V247+AJ247+AX247+BL247+BS_GC_MP_Vill[[#This Row],[Trenes Programados]]</f>
        <v>4512</v>
      </c>
      <c r="I247" s="16">
        <f t="shared" si="134"/>
        <v>195</v>
      </c>
      <c r="J247" s="57">
        <f>+X247+AL247+AZ247+BN247+BS_GC_MP_Vill[[#This Row],[Trenes Corridos]]</f>
        <v>4317</v>
      </c>
      <c r="K247" s="57">
        <f>+Y247+AM247+BA247+BO247+BS_GC_MP_Vill[[#This Row],[Trenes Puntuales]]</f>
        <v>4083</v>
      </c>
      <c r="L247" s="16">
        <f t="shared" si="135"/>
        <v>234</v>
      </c>
      <c r="M247" s="16"/>
      <c r="N247" s="16"/>
      <c r="O247" s="80">
        <v>2013</v>
      </c>
      <c r="P247" s="81" t="s">
        <v>37</v>
      </c>
      <c r="Q247" s="15">
        <f t="shared" si="101"/>
        <v>0.89437947944172014</v>
      </c>
      <c r="R247" s="15">
        <f t="shared" si="102"/>
        <v>0.93752471332542509</v>
      </c>
      <c r="S247" s="15">
        <f t="shared" si="103"/>
        <v>0.95397963032817801</v>
      </c>
      <c r="T247" s="16"/>
      <c r="U247" s="16"/>
      <c r="V247" s="16">
        <v>2651</v>
      </c>
      <c r="W247" s="16">
        <f t="shared" si="136"/>
        <v>122</v>
      </c>
      <c r="X247" s="16">
        <v>2529</v>
      </c>
      <c r="Y247" s="16">
        <v>2371</v>
      </c>
      <c r="Z247" s="16">
        <f t="shared" si="137"/>
        <v>158</v>
      </c>
      <c r="AA247" s="16"/>
      <c r="AB247" s="16"/>
      <c r="AC247" s="80">
        <v>2013</v>
      </c>
      <c r="AD247" s="81" t="s">
        <v>37</v>
      </c>
      <c r="AE247" s="15">
        <f t="shared" si="104"/>
        <v>0.91193363114231019</v>
      </c>
      <c r="AF247" s="15">
        <f t="shared" si="105"/>
        <v>0.95076513639387894</v>
      </c>
      <c r="AG247" s="15">
        <f t="shared" si="106"/>
        <v>0.95915762603701338</v>
      </c>
      <c r="AH247" s="16"/>
      <c r="AI247" s="16"/>
      <c r="AJ247" s="16">
        <v>1567</v>
      </c>
      <c r="AK247" s="16">
        <f t="shared" si="138"/>
        <v>64</v>
      </c>
      <c r="AL247" s="16">
        <v>1503</v>
      </c>
      <c r="AM247" s="16">
        <v>1429</v>
      </c>
      <c r="AN247" s="16">
        <f t="shared" si="139"/>
        <v>74</v>
      </c>
      <c r="AO247" s="16"/>
      <c r="AP247" s="16"/>
      <c r="AQ247" s="80">
        <v>2013</v>
      </c>
      <c r="AR247" s="81" t="s">
        <v>37</v>
      </c>
      <c r="AS247" s="15">
        <f t="shared" si="107"/>
        <v>0.9625850340136054</v>
      </c>
      <c r="AT247" s="15">
        <f t="shared" si="108"/>
        <v>0.99298245614035086</v>
      </c>
      <c r="AU247" s="15">
        <f t="shared" si="109"/>
        <v>0.96938775510204078</v>
      </c>
      <c r="AV247" s="15"/>
      <c r="AW247" s="15"/>
      <c r="AX247" s="16">
        <v>294</v>
      </c>
      <c r="AY247" s="16">
        <f t="shared" si="140"/>
        <v>9</v>
      </c>
      <c r="AZ247" s="16">
        <v>285</v>
      </c>
      <c r="BA247" s="16">
        <v>283</v>
      </c>
      <c r="BB247" s="16">
        <f t="shared" si="141"/>
        <v>2</v>
      </c>
      <c r="BC247" s="16"/>
      <c r="BD247" s="16"/>
      <c r="BE247" s="80"/>
      <c r="BF247" s="81"/>
      <c r="BG247" s="15"/>
      <c r="BH247" s="15"/>
      <c r="BI247" s="15"/>
      <c r="BS247" s="80"/>
      <c r="BT247" s="81"/>
      <c r="BU247" s="15"/>
      <c r="BV247" s="15"/>
      <c r="BW247" s="15"/>
      <c r="CA247" s="45"/>
      <c r="CD247" s="45"/>
      <c r="CG247" s="80"/>
      <c r="CH247" s="81"/>
      <c r="CI247" s="15"/>
      <c r="CJ247" s="15"/>
      <c r="CK247" s="15"/>
      <c r="CO247" s="45"/>
      <c r="CR247" s="45"/>
    </row>
    <row r="248" spans="1:96" s="18" customFormat="1" ht="15" customHeight="1">
      <c r="A248" s="78">
        <v>2013</v>
      </c>
      <c r="B248" s="79" t="s">
        <v>38</v>
      </c>
      <c r="C248" s="15">
        <f t="shared" si="98"/>
        <v>0.91063998414899938</v>
      </c>
      <c r="D248" s="15">
        <f t="shared" si="99"/>
        <v>0.94431888226833782</v>
      </c>
      <c r="E248" s="15">
        <f t="shared" si="100"/>
        <v>0.96433524866257181</v>
      </c>
      <c r="F248" s="57"/>
      <c r="G248" s="34"/>
      <c r="H248" s="57">
        <f>+V248+AJ248+AX248+BL248+BS_GC_MP_Vill[[#This Row],[Trenes Programados]]</f>
        <v>5047</v>
      </c>
      <c r="I248" s="16">
        <f t="shared" si="134"/>
        <v>180</v>
      </c>
      <c r="J248" s="57">
        <f>+X248+AL248+AZ248+BN248+BS_GC_MP_Vill[[#This Row],[Trenes Corridos]]</f>
        <v>4867</v>
      </c>
      <c r="K248" s="57">
        <f>+Y248+AM248+BA248+BO248+BS_GC_MP_Vill[[#This Row],[Trenes Puntuales]]</f>
        <v>4596</v>
      </c>
      <c r="L248" s="16">
        <f t="shared" si="135"/>
        <v>271</v>
      </c>
      <c r="M248" s="16"/>
      <c r="N248" s="16"/>
      <c r="O248" s="78">
        <v>2013</v>
      </c>
      <c r="P248" s="79" t="s">
        <v>38</v>
      </c>
      <c r="Q248" s="15">
        <f t="shared" si="101"/>
        <v>0.91747735659174778</v>
      </c>
      <c r="R248" s="15">
        <f t="shared" si="102"/>
        <v>0.94932315168344328</v>
      </c>
      <c r="S248" s="15">
        <f t="shared" si="103"/>
        <v>0.96645420999664544</v>
      </c>
      <c r="T248" s="16"/>
      <c r="U248" s="16"/>
      <c r="V248" s="16">
        <v>2981</v>
      </c>
      <c r="W248" s="16">
        <f t="shared" si="136"/>
        <v>100</v>
      </c>
      <c r="X248" s="16">
        <v>2881</v>
      </c>
      <c r="Y248" s="16">
        <v>2735</v>
      </c>
      <c r="Z248" s="16">
        <f t="shared" si="137"/>
        <v>146</v>
      </c>
      <c r="AA248" s="16"/>
      <c r="AB248" s="16"/>
      <c r="AC248" s="78">
        <v>2013</v>
      </c>
      <c r="AD248" s="79" t="s">
        <v>38</v>
      </c>
      <c r="AE248" s="15">
        <f t="shared" si="104"/>
        <v>0.89506880733944949</v>
      </c>
      <c r="AF248" s="15">
        <f t="shared" si="105"/>
        <v>0.92861392028554435</v>
      </c>
      <c r="AG248" s="15">
        <f t="shared" si="106"/>
        <v>0.96387614678899081</v>
      </c>
      <c r="AH248" s="16"/>
      <c r="AI248" s="16"/>
      <c r="AJ248" s="16">
        <v>1744</v>
      </c>
      <c r="AK248" s="16">
        <f t="shared" si="138"/>
        <v>63</v>
      </c>
      <c r="AL248" s="16">
        <v>1681</v>
      </c>
      <c r="AM248" s="16">
        <v>1561</v>
      </c>
      <c r="AN248" s="16">
        <f t="shared" si="139"/>
        <v>120</v>
      </c>
      <c r="AO248" s="16"/>
      <c r="AP248" s="16"/>
      <c r="AQ248" s="78">
        <v>2013</v>
      </c>
      <c r="AR248" s="79" t="s">
        <v>38</v>
      </c>
      <c r="AS248" s="15">
        <f t="shared" si="107"/>
        <v>0.93167701863354035</v>
      </c>
      <c r="AT248" s="15">
        <f t="shared" si="108"/>
        <v>0.98360655737704916</v>
      </c>
      <c r="AU248" s="15">
        <f t="shared" si="109"/>
        <v>0.94720496894409933</v>
      </c>
      <c r="AV248" s="15"/>
      <c r="AW248" s="15"/>
      <c r="AX248" s="16">
        <v>322</v>
      </c>
      <c r="AY248" s="16">
        <f t="shared" si="140"/>
        <v>17</v>
      </c>
      <c r="AZ248" s="16">
        <v>305</v>
      </c>
      <c r="BA248" s="16">
        <v>300</v>
      </c>
      <c r="BB248" s="16">
        <f t="shared" si="141"/>
        <v>5</v>
      </c>
      <c r="BC248" s="16"/>
      <c r="BD248" s="16"/>
      <c r="BE248" s="78"/>
      <c r="BF248" s="79"/>
      <c r="BG248" s="15"/>
      <c r="BH248" s="15"/>
      <c r="BI248" s="15"/>
      <c r="BS248" s="78"/>
      <c r="BT248" s="79"/>
      <c r="BU248" s="15"/>
      <c r="BV248" s="15"/>
      <c r="BW248" s="15"/>
      <c r="CA248" s="45"/>
      <c r="CD248" s="45"/>
      <c r="CG248" s="78"/>
      <c r="CH248" s="79"/>
      <c r="CI248" s="15"/>
      <c r="CJ248" s="15"/>
      <c r="CK248" s="15"/>
      <c r="CO248" s="45"/>
      <c r="CR248" s="45"/>
    </row>
    <row r="249" spans="1:96" s="18" customFormat="1" ht="15" customHeight="1">
      <c r="A249" s="80">
        <v>2013</v>
      </c>
      <c r="B249" s="81" t="s">
        <v>39</v>
      </c>
      <c r="C249" s="15">
        <f t="shared" si="98"/>
        <v>0.87331150225133036</v>
      </c>
      <c r="D249" s="15">
        <f t="shared" si="99"/>
        <v>0.90864565587734247</v>
      </c>
      <c r="E249" s="15">
        <f t="shared" si="100"/>
        <v>0.96111338518215306</v>
      </c>
      <c r="F249" s="57"/>
      <c r="G249" s="34"/>
      <c r="H249" s="57">
        <f>+V249+AJ249+AX249+BL249+BS_GC_MP_Vill[[#This Row],[Trenes Programados]]</f>
        <v>4886</v>
      </c>
      <c r="I249" s="16">
        <f t="shared" si="134"/>
        <v>190</v>
      </c>
      <c r="J249" s="57">
        <f>+X249+AL249+AZ249+BN249+BS_GC_MP_Vill[[#This Row],[Trenes Corridos]]</f>
        <v>4696</v>
      </c>
      <c r="K249" s="57">
        <f>+Y249+AM249+BA249+BO249+BS_GC_MP_Vill[[#This Row],[Trenes Puntuales]]</f>
        <v>4267</v>
      </c>
      <c r="L249" s="16">
        <f t="shared" si="135"/>
        <v>429</v>
      </c>
      <c r="M249" s="16"/>
      <c r="N249" s="16"/>
      <c r="O249" s="80">
        <v>2013</v>
      </c>
      <c r="P249" s="81" t="s">
        <v>39</v>
      </c>
      <c r="Q249" s="15">
        <f t="shared" si="101"/>
        <v>0.86719833564493753</v>
      </c>
      <c r="R249" s="15">
        <f t="shared" si="102"/>
        <v>0.90714544795067098</v>
      </c>
      <c r="S249" s="15">
        <f t="shared" si="103"/>
        <v>0.95596393897364773</v>
      </c>
      <c r="T249" s="16"/>
      <c r="U249" s="16"/>
      <c r="V249" s="16">
        <v>2884</v>
      </c>
      <c r="W249" s="16">
        <f t="shared" si="136"/>
        <v>127</v>
      </c>
      <c r="X249" s="16">
        <v>2757</v>
      </c>
      <c r="Y249" s="16">
        <v>2501</v>
      </c>
      <c r="Z249" s="16">
        <f t="shared" si="137"/>
        <v>256</v>
      </c>
      <c r="AA249" s="16"/>
      <c r="AB249" s="16"/>
      <c r="AC249" s="80">
        <v>2013</v>
      </c>
      <c r="AD249" s="81" t="s">
        <v>39</v>
      </c>
      <c r="AE249" s="15">
        <f t="shared" si="104"/>
        <v>0.87218934911242607</v>
      </c>
      <c r="AF249" s="15">
        <f t="shared" si="105"/>
        <v>0.89823278488726388</v>
      </c>
      <c r="AG249" s="15">
        <f t="shared" si="106"/>
        <v>0.97100591715976337</v>
      </c>
      <c r="AH249" s="16"/>
      <c r="AI249" s="16"/>
      <c r="AJ249" s="16">
        <v>1690</v>
      </c>
      <c r="AK249" s="16">
        <f t="shared" si="138"/>
        <v>49</v>
      </c>
      <c r="AL249" s="16">
        <v>1641</v>
      </c>
      <c r="AM249" s="16">
        <v>1474</v>
      </c>
      <c r="AN249" s="16">
        <f t="shared" si="139"/>
        <v>167</v>
      </c>
      <c r="AO249" s="16"/>
      <c r="AP249" s="16"/>
      <c r="AQ249" s="80">
        <v>2013</v>
      </c>
      <c r="AR249" s="81" t="s">
        <v>39</v>
      </c>
      <c r="AS249" s="15">
        <f t="shared" si="107"/>
        <v>0.9358974358974359</v>
      </c>
      <c r="AT249" s="15">
        <f t="shared" si="108"/>
        <v>0.97986577181208057</v>
      </c>
      <c r="AU249" s="15">
        <f t="shared" si="109"/>
        <v>0.95512820512820518</v>
      </c>
      <c r="AV249" s="15"/>
      <c r="AW249" s="15"/>
      <c r="AX249" s="16">
        <v>312</v>
      </c>
      <c r="AY249" s="16">
        <f t="shared" si="140"/>
        <v>14</v>
      </c>
      <c r="AZ249" s="16">
        <v>298</v>
      </c>
      <c r="BA249" s="16">
        <v>292</v>
      </c>
      <c r="BB249" s="16">
        <f t="shared" si="141"/>
        <v>6</v>
      </c>
      <c r="BC249" s="16"/>
      <c r="BD249" s="16"/>
      <c r="BE249" s="80"/>
      <c r="BF249" s="81"/>
      <c r="BG249" s="15"/>
      <c r="BH249" s="15"/>
      <c r="BI249" s="15"/>
      <c r="BS249" s="80"/>
      <c r="BT249" s="81"/>
      <c r="BU249" s="15"/>
      <c r="BV249" s="15"/>
      <c r="BW249" s="15"/>
      <c r="CA249" s="45"/>
      <c r="CD249" s="45"/>
      <c r="CG249" s="80"/>
      <c r="CH249" s="81"/>
      <c r="CI249" s="15"/>
      <c r="CJ249" s="15"/>
      <c r="CK249" s="15"/>
      <c r="CO249" s="45"/>
      <c r="CR249" s="45"/>
    </row>
    <row r="250" spans="1:96" s="18" customFormat="1" ht="15" customHeight="1">
      <c r="A250" s="78">
        <v>2013</v>
      </c>
      <c r="B250" s="79" t="s">
        <v>40</v>
      </c>
      <c r="C250" s="15">
        <f t="shared" si="98"/>
        <v>0.8718805266260562</v>
      </c>
      <c r="D250" s="15">
        <f t="shared" si="99"/>
        <v>0.91844338646243018</v>
      </c>
      <c r="E250" s="15">
        <f t="shared" si="100"/>
        <v>0.94930241697779527</v>
      </c>
      <c r="F250" s="57"/>
      <c r="G250" s="34"/>
      <c r="H250" s="57">
        <f>+V250+AJ250+AX250+BL250+BS_GC_MP_Vill[[#This Row],[Trenes Programados]]</f>
        <v>5089</v>
      </c>
      <c r="I250" s="16">
        <f t="shared" si="134"/>
        <v>258</v>
      </c>
      <c r="J250" s="57">
        <f>+X250+AL250+AZ250+BN250+BS_GC_MP_Vill[[#This Row],[Trenes Corridos]]</f>
        <v>4831</v>
      </c>
      <c r="K250" s="57">
        <f>+Y250+AM250+BA250+BO250+BS_GC_MP_Vill[[#This Row],[Trenes Puntuales]]</f>
        <v>4437</v>
      </c>
      <c r="L250" s="16">
        <f t="shared" si="135"/>
        <v>394</v>
      </c>
      <c r="M250" s="16"/>
      <c r="N250" s="16"/>
      <c r="O250" s="78">
        <v>2013</v>
      </c>
      <c r="P250" s="79" t="s">
        <v>40</v>
      </c>
      <c r="Q250" s="15">
        <f t="shared" si="101"/>
        <v>0.89581950895819507</v>
      </c>
      <c r="R250" s="15">
        <f t="shared" si="102"/>
        <v>0.92087312414733968</v>
      </c>
      <c r="S250" s="15">
        <f t="shared" si="103"/>
        <v>0.97279362972793626</v>
      </c>
      <c r="T250" s="16"/>
      <c r="U250" s="16"/>
      <c r="V250" s="16">
        <v>3014</v>
      </c>
      <c r="W250" s="16">
        <f t="shared" si="136"/>
        <v>82</v>
      </c>
      <c r="X250" s="16">
        <v>2932</v>
      </c>
      <c r="Y250" s="16">
        <v>2700</v>
      </c>
      <c r="Z250" s="16">
        <f t="shared" si="137"/>
        <v>232</v>
      </c>
      <c r="AA250" s="16"/>
      <c r="AB250" s="16"/>
      <c r="AC250" s="78">
        <v>2013</v>
      </c>
      <c r="AD250" s="79" t="s">
        <v>40</v>
      </c>
      <c r="AE250" s="15">
        <f t="shared" si="104"/>
        <v>0.85128205128205126</v>
      </c>
      <c r="AF250" s="15">
        <f t="shared" si="105"/>
        <v>0.91042047531992687</v>
      </c>
      <c r="AG250" s="15">
        <f t="shared" si="106"/>
        <v>0.93504273504273505</v>
      </c>
      <c r="AH250" s="16"/>
      <c r="AI250" s="16"/>
      <c r="AJ250" s="16">
        <v>1755</v>
      </c>
      <c r="AK250" s="16">
        <f t="shared" si="138"/>
        <v>114</v>
      </c>
      <c r="AL250" s="16">
        <v>1641</v>
      </c>
      <c r="AM250" s="16">
        <v>1494</v>
      </c>
      <c r="AN250" s="16">
        <f t="shared" si="139"/>
        <v>147</v>
      </c>
      <c r="AO250" s="16"/>
      <c r="AP250" s="16"/>
      <c r="AQ250" s="78">
        <v>2013</v>
      </c>
      <c r="AR250" s="79" t="s">
        <v>40</v>
      </c>
      <c r="AS250" s="15">
        <f t="shared" si="107"/>
        <v>0.75937500000000002</v>
      </c>
      <c r="AT250" s="15">
        <f t="shared" si="108"/>
        <v>0.94186046511627908</v>
      </c>
      <c r="AU250" s="15">
        <f t="shared" si="109"/>
        <v>0.80625000000000002</v>
      </c>
      <c r="AV250" s="15"/>
      <c r="AW250" s="15"/>
      <c r="AX250" s="16">
        <v>320</v>
      </c>
      <c r="AY250" s="16">
        <f t="shared" si="140"/>
        <v>62</v>
      </c>
      <c r="AZ250" s="16">
        <v>258</v>
      </c>
      <c r="BA250" s="16">
        <v>243</v>
      </c>
      <c r="BB250" s="16">
        <f t="shared" si="141"/>
        <v>15</v>
      </c>
      <c r="BC250" s="16"/>
      <c r="BD250" s="16"/>
      <c r="BE250" s="78"/>
      <c r="BF250" s="79"/>
      <c r="BG250" s="15"/>
      <c r="BH250" s="15"/>
      <c r="BI250" s="15"/>
      <c r="BS250" s="78"/>
      <c r="BT250" s="79"/>
      <c r="BU250" s="15"/>
      <c r="BV250" s="15"/>
      <c r="BW250" s="15"/>
      <c r="CA250" s="45"/>
      <c r="CD250" s="45"/>
      <c r="CG250" s="78"/>
      <c r="CH250" s="79"/>
      <c r="CI250" s="15"/>
      <c r="CJ250" s="15"/>
      <c r="CK250" s="15"/>
      <c r="CO250" s="45"/>
      <c r="CR250" s="45"/>
    </row>
    <row r="251" spans="1:96" s="18" customFormat="1" ht="15" customHeight="1">
      <c r="A251" s="80">
        <v>2013</v>
      </c>
      <c r="B251" s="81" t="s">
        <v>41</v>
      </c>
      <c r="C251" s="15">
        <f t="shared" si="98"/>
        <v>0.84218136748605665</v>
      </c>
      <c r="D251" s="15">
        <f t="shared" si="99"/>
        <v>0.8917322834645669</v>
      </c>
      <c r="E251" s="15">
        <f t="shared" si="100"/>
        <v>0.94443296839495972</v>
      </c>
      <c r="F251" s="57"/>
      <c r="G251" s="34"/>
      <c r="H251" s="57">
        <f>+V251+AJ251+AX251+BL251+BS_GC_MP_Vill[[#This Row],[Trenes Programados]]</f>
        <v>4841</v>
      </c>
      <c r="I251" s="16">
        <f t="shared" si="134"/>
        <v>269</v>
      </c>
      <c r="J251" s="57">
        <f>+X251+AL251+AZ251+BN251+BS_GC_MP_Vill[[#This Row],[Trenes Corridos]]</f>
        <v>4572</v>
      </c>
      <c r="K251" s="57">
        <f>+Y251+AM251+BA251+BO251+BS_GC_MP_Vill[[#This Row],[Trenes Puntuales]]</f>
        <v>4077</v>
      </c>
      <c r="L251" s="16">
        <f t="shared" si="135"/>
        <v>495</v>
      </c>
      <c r="M251" s="16"/>
      <c r="N251" s="16"/>
      <c r="O251" s="80">
        <v>2013</v>
      </c>
      <c r="P251" s="81" t="s">
        <v>41</v>
      </c>
      <c r="Q251" s="15">
        <f t="shared" si="101"/>
        <v>0.84153197470133523</v>
      </c>
      <c r="R251" s="15">
        <f t="shared" si="102"/>
        <v>0.88670862643465387</v>
      </c>
      <c r="S251" s="15">
        <f t="shared" si="103"/>
        <v>0.94905130007027405</v>
      </c>
      <c r="T251" s="16"/>
      <c r="U251" s="16"/>
      <c r="V251" s="16">
        <v>2846</v>
      </c>
      <c r="W251" s="16">
        <f t="shared" si="136"/>
        <v>145</v>
      </c>
      <c r="X251" s="16">
        <v>2701</v>
      </c>
      <c r="Y251" s="16">
        <v>2395</v>
      </c>
      <c r="Z251" s="16">
        <f t="shared" si="137"/>
        <v>306</v>
      </c>
      <c r="AA251" s="16"/>
      <c r="AB251" s="16"/>
      <c r="AC251" s="80">
        <v>2013</v>
      </c>
      <c r="AD251" s="81" t="s">
        <v>41</v>
      </c>
      <c r="AE251" s="15">
        <f t="shared" si="104"/>
        <v>0.85663295657346816</v>
      </c>
      <c r="AF251" s="15">
        <f t="shared" si="105"/>
        <v>0.89496581727781233</v>
      </c>
      <c r="AG251" s="15">
        <f t="shared" si="106"/>
        <v>0.95716835217132656</v>
      </c>
      <c r="AH251" s="16"/>
      <c r="AI251" s="16"/>
      <c r="AJ251" s="16">
        <v>1681</v>
      </c>
      <c r="AK251" s="16">
        <f t="shared" si="138"/>
        <v>72</v>
      </c>
      <c r="AL251" s="16">
        <v>1609</v>
      </c>
      <c r="AM251" s="16">
        <v>1440</v>
      </c>
      <c r="AN251" s="16">
        <f t="shared" si="139"/>
        <v>169</v>
      </c>
      <c r="AO251" s="16"/>
      <c r="AP251" s="16"/>
      <c r="AQ251" s="80">
        <v>2013</v>
      </c>
      <c r="AR251" s="81" t="s">
        <v>41</v>
      </c>
      <c r="AS251" s="15">
        <f t="shared" si="107"/>
        <v>0.77070063694267521</v>
      </c>
      <c r="AT251" s="15">
        <f t="shared" si="108"/>
        <v>0.92366412213740456</v>
      </c>
      <c r="AU251" s="15">
        <f t="shared" si="109"/>
        <v>0.83439490445859876</v>
      </c>
      <c r="AV251" s="15"/>
      <c r="AW251" s="15"/>
      <c r="AX251" s="16">
        <v>314</v>
      </c>
      <c r="AY251" s="16">
        <f t="shared" si="140"/>
        <v>52</v>
      </c>
      <c r="AZ251" s="16">
        <v>262</v>
      </c>
      <c r="BA251" s="16">
        <v>242</v>
      </c>
      <c r="BB251" s="16">
        <f t="shared" si="141"/>
        <v>20</v>
      </c>
      <c r="BC251" s="16"/>
      <c r="BD251" s="16"/>
      <c r="BE251" s="80"/>
      <c r="BF251" s="81"/>
      <c r="BG251" s="15"/>
      <c r="BH251" s="15"/>
      <c r="BI251" s="15"/>
      <c r="BS251" s="80"/>
      <c r="BT251" s="81"/>
      <c r="BU251" s="15"/>
      <c r="BV251" s="15"/>
      <c r="BW251" s="15"/>
      <c r="CA251" s="45"/>
      <c r="CD251" s="45"/>
      <c r="CG251" s="80"/>
      <c r="CH251" s="81"/>
      <c r="CI251" s="15"/>
      <c r="CJ251" s="15"/>
      <c r="CK251" s="15"/>
      <c r="CO251" s="45"/>
      <c r="CR251" s="45"/>
    </row>
    <row r="252" spans="1:96" s="18" customFormat="1" ht="15" customHeight="1">
      <c r="A252" s="78">
        <v>2013</v>
      </c>
      <c r="B252" s="79" t="s">
        <v>42</v>
      </c>
      <c r="C252" s="15">
        <f t="shared" si="98"/>
        <v>0.82000393004519556</v>
      </c>
      <c r="D252" s="15">
        <f t="shared" si="99"/>
        <v>0.89376740201327909</v>
      </c>
      <c r="E252" s="15">
        <f t="shared" si="100"/>
        <v>0.91746905089408526</v>
      </c>
      <c r="F252" s="57"/>
      <c r="G252" s="34"/>
      <c r="H252" s="57">
        <f>+V252+AJ252+AX252+BL252+BS_GC_MP_Vill[[#This Row],[Trenes Programados]]</f>
        <v>5089</v>
      </c>
      <c r="I252" s="16">
        <f t="shared" si="134"/>
        <v>420</v>
      </c>
      <c r="J252" s="57">
        <f>+X252+AL252+AZ252+BN252+BS_GC_MP_Vill[[#This Row],[Trenes Corridos]]</f>
        <v>4669</v>
      </c>
      <c r="K252" s="57">
        <f>+Y252+AM252+BA252+BO252+BS_GC_MP_Vill[[#This Row],[Trenes Puntuales]]</f>
        <v>4173</v>
      </c>
      <c r="L252" s="16">
        <f t="shared" si="135"/>
        <v>496</v>
      </c>
      <c r="M252" s="16"/>
      <c r="N252" s="16"/>
      <c r="O252" s="78">
        <v>2013</v>
      </c>
      <c r="P252" s="79" t="s">
        <v>42</v>
      </c>
      <c r="Q252" s="15">
        <f t="shared" si="101"/>
        <v>0.81585932315859322</v>
      </c>
      <c r="R252" s="15">
        <f t="shared" si="102"/>
        <v>0.88104621999283406</v>
      </c>
      <c r="S252" s="15">
        <f t="shared" si="103"/>
        <v>0.92601194426011946</v>
      </c>
      <c r="T252" s="16"/>
      <c r="U252" s="16"/>
      <c r="V252" s="16">
        <v>3014</v>
      </c>
      <c r="W252" s="16">
        <f t="shared" si="136"/>
        <v>223</v>
      </c>
      <c r="X252" s="16">
        <v>2791</v>
      </c>
      <c r="Y252" s="16">
        <v>2459</v>
      </c>
      <c r="Z252" s="16">
        <f t="shared" si="137"/>
        <v>332</v>
      </c>
      <c r="AA252" s="16"/>
      <c r="AB252" s="16"/>
      <c r="AC252" s="78">
        <v>2013</v>
      </c>
      <c r="AD252" s="79" t="s">
        <v>42</v>
      </c>
      <c r="AE252" s="15">
        <f t="shared" si="104"/>
        <v>0.81082621082621087</v>
      </c>
      <c r="AF252" s="15">
        <f t="shared" si="105"/>
        <v>0.90406607369758574</v>
      </c>
      <c r="AG252" s="15">
        <f t="shared" si="106"/>
        <v>0.89686609686609686</v>
      </c>
      <c r="AH252" s="16"/>
      <c r="AI252" s="16"/>
      <c r="AJ252" s="16">
        <v>1755</v>
      </c>
      <c r="AK252" s="16">
        <f t="shared" si="138"/>
        <v>181</v>
      </c>
      <c r="AL252" s="16">
        <v>1574</v>
      </c>
      <c r="AM252" s="16">
        <v>1423</v>
      </c>
      <c r="AN252" s="16">
        <f t="shared" si="139"/>
        <v>151</v>
      </c>
      <c r="AO252" s="16"/>
      <c r="AP252" s="16"/>
      <c r="AQ252" s="78">
        <v>2013</v>
      </c>
      <c r="AR252" s="79" t="s">
        <v>42</v>
      </c>
      <c r="AS252" s="15">
        <f t="shared" si="107"/>
        <v>0.90937500000000004</v>
      </c>
      <c r="AT252" s="15">
        <f t="shared" si="108"/>
        <v>0.95723684210526316</v>
      </c>
      <c r="AU252" s="15">
        <f t="shared" si="109"/>
        <v>0.95</v>
      </c>
      <c r="AV252" s="15"/>
      <c r="AW252" s="15"/>
      <c r="AX252" s="16">
        <v>320</v>
      </c>
      <c r="AY252" s="16">
        <f t="shared" si="140"/>
        <v>16</v>
      </c>
      <c r="AZ252" s="16">
        <v>304</v>
      </c>
      <c r="BA252" s="16">
        <v>291</v>
      </c>
      <c r="BB252" s="16">
        <f t="shared" si="141"/>
        <v>13</v>
      </c>
      <c r="BC252" s="16"/>
      <c r="BD252" s="16"/>
      <c r="BE252" s="78"/>
      <c r="BF252" s="79"/>
      <c r="BG252" s="15"/>
      <c r="BH252" s="15"/>
      <c r="BI252" s="15"/>
      <c r="BS252" s="78"/>
      <c r="BT252" s="79"/>
      <c r="BU252" s="15"/>
      <c r="BV252" s="15"/>
      <c r="BW252" s="15"/>
      <c r="CA252" s="45"/>
      <c r="CD252" s="45"/>
      <c r="CG252" s="78"/>
      <c r="CH252" s="79"/>
      <c r="CI252" s="15"/>
      <c r="CJ252" s="15"/>
      <c r="CK252" s="15"/>
      <c r="CO252" s="45"/>
      <c r="CR252" s="45"/>
    </row>
    <row r="253" spans="1:96" s="18" customFormat="1" ht="15" customHeight="1">
      <c r="A253" s="80">
        <v>2013</v>
      </c>
      <c r="B253" s="81" t="s">
        <v>43</v>
      </c>
      <c r="C253" s="15">
        <f t="shared" si="98"/>
        <v>0.84160756501182032</v>
      </c>
      <c r="D253" s="15">
        <f t="shared" si="99"/>
        <v>0.86917599186164807</v>
      </c>
      <c r="E253" s="15">
        <f t="shared" si="100"/>
        <v>0.96828211189913316</v>
      </c>
      <c r="F253" s="57"/>
      <c r="G253" s="34"/>
      <c r="H253" s="57">
        <f>+V253+AJ253+AX253+BL253+BS_GC_MP_Vill[[#This Row],[Trenes Programados]]</f>
        <v>5076</v>
      </c>
      <c r="I253" s="16">
        <f t="shared" si="134"/>
        <v>161</v>
      </c>
      <c r="J253" s="57">
        <f>+X253+AL253+AZ253+BN253+BS_GC_MP_Vill[[#This Row],[Trenes Corridos]]</f>
        <v>4915</v>
      </c>
      <c r="K253" s="57">
        <f>+Y253+AM253+BA253+BO253+BS_GC_MP_Vill[[#This Row],[Trenes Puntuales]]</f>
        <v>4272</v>
      </c>
      <c r="L253" s="16">
        <f t="shared" si="135"/>
        <v>643</v>
      </c>
      <c r="M253" s="16"/>
      <c r="N253" s="16"/>
      <c r="O253" s="80">
        <v>2013</v>
      </c>
      <c r="P253" s="81" t="s">
        <v>43</v>
      </c>
      <c r="Q253" s="15">
        <f t="shared" si="101"/>
        <v>0.82384282384282381</v>
      </c>
      <c r="R253" s="15">
        <f t="shared" si="102"/>
        <v>0.85222183947640373</v>
      </c>
      <c r="S253" s="15">
        <f t="shared" si="103"/>
        <v>0.96669996669996672</v>
      </c>
      <c r="T253" s="16"/>
      <c r="U253" s="16"/>
      <c r="V253" s="16">
        <v>3003</v>
      </c>
      <c r="W253" s="16">
        <f t="shared" si="136"/>
        <v>100</v>
      </c>
      <c r="X253" s="16">
        <v>2903</v>
      </c>
      <c r="Y253" s="16">
        <v>2474</v>
      </c>
      <c r="Z253" s="16">
        <f t="shared" si="137"/>
        <v>429</v>
      </c>
      <c r="AA253" s="16"/>
      <c r="AB253" s="16"/>
      <c r="AC253" s="80">
        <v>2013</v>
      </c>
      <c r="AD253" s="81" t="s">
        <v>43</v>
      </c>
      <c r="AE253" s="15">
        <f t="shared" si="104"/>
        <v>0.85510553337136341</v>
      </c>
      <c r="AF253" s="15">
        <f t="shared" si="105"/>
        <v>0.87917888563049851</v>
      </c>
      <c r="AG253" s="15">
        <f t="shared" si="106"/>
        <v>0.97261836851112382</v>
      </c>
      <c r="AH253" s="16"/>
      <c r="AI253" s="16"/>
      <c r="AJ253" s="16">
        <v>1753</v>
      </c>
      <c r="AK253" s="16">
        <f t="shared" si="138"/>
        <v>48</v>
      </c>
      <c r="AL253" s="16">
        <v>1705</v>
      </c>
      <c r="AM253" s="16">
        <v>1499</v>
      </c>
      <c r="AN253" s="16">
        <f t="shared" si="139"/>
        <v>206</v>
      </c>
      <c r="AO253" s="16"/>
      <c r="AP253" s="16"/>
      <c r="AQ253" s="80">
        <v>2013</v>
      </c>
      <c r="AR253" s="81" t="s">
        <v>43</v>
      </c>
      <c r="AS253" s="15">
        <f t="shared" si="107"/>
        <v>0.93437499999999996</v>
      </c>
      <c r="AT253" s="15">
        <f t="shared" si="108"/>
        <v>0.97394136807817588</v>
      </c>
      <c r="AU253" s="15">
        <f t="shared" si="109"/>
        <v>0.95937499999999998</v>
      </c>
      <c r="AV253" s="15"/>
      <c r="AW253" s="15"/>
      <c r="AX253" s="16">
        <v>320</v>
      </c>
      <c r="AY253" s="16">
        <f t="shared" si="140"/>
        <v>13</v>
      </c>
      <c r="AZ253" s="16">
        <v>307</v>
      </c>
      <c r="BA253" s="16">
        <v>299</v>
      </c>
      <c r="BB253" s="16">
        <f t="shared" si="141"/>
        <v>8</v>
      </c>
      <c r="BC253" s="16"/>
      <c r="BD253" s="16"/>
      <c r="BE253" s="80"/>
      <c r="BF253" s="81"/>
      <c r="BG253" s="15"/>
      <c r="BH253" s="15"/>
      <c r="BI253" s="15"/>
      <c r="BS253" s="80"/>
      <c r="BT253" s="81"/>
      <c r="BU253" s="15"/>
      <c r="BV253" s="15"/>
      <c r="BW253" s="15"/>
      <c r="CA253" s="45"/>
      <c r="CD253" s="45"/>
      <c r="CG253" s="80"/>
      <c r="CH253" s="81"/>
      <c r="CI253" s="15"/>
      <c r="CJ253" s="15"/>
      <c r="CK253" s="15"/>
      <c r="CO253" s="45"/>
      <c r="CR253" s="45"/>
    </row>
    <row r="254" spans="1:96" s="18" customFormat="1" ht="15" customHeight="1">
      <c r="A254" s="78">
        <v>2013</v>
      </c>
      <c r="B254" s="79" t="s">
        <v>44</v>
      </c>
      <c r="C254" s="15">
        <f t="shared" si="98"/>
        <v>0.82126880845872308</v>
      </c>
      <c r="D254" s="15">
        <f t="shared" si="99"/>
        <v>0.86137769247174234</v>
      </c>
      <c r="E254" s="15">
        <f t="shared" si="100"/>
        <v>0.95343635624237499</v>
      </c>
      <c r="F254" s="57"/>
      <c r="G254" s="34"/>
      <c r="H254" s="57">
        <f>+V254+AJ254+AX254+BL254+BS_GC_MP_Vill[[#This Row],[Trenes Programados]]</f>
        <v>4918</v>
      </c>
      <c r="I254" s="16">
        <f t="shared" si="134"/>
        <v>229</v>
      </c>
      <c r="J254" s="57">
        <f>+X254+AL254+AZ254+BN254+BS_GC_MP_Vill[[#This Row],[Trenes Corridos]]</f>
        <v>4689</v>
      </c>
      <c r="K254" s="57">
        <f>+Y254+AM254+BA254+BO254+BS_GC_MP_Vill[[#This Row],[Trenes Puntuales]]</f>
        <v>4039</v>
      </c>
      <c r="L254" s="16">
        <f t="shared" si="135"/>
        <v>650</v>
      </c>
      <c r="M254" s="16"/>
      <c r="N254" s="16"/>
      <c r="O254" s="78">
        <v>2013</v>
      </c>
      <c r="P254" s="79" t="s">
        <v>44</v>
      </c>
      <c r="Q254" s="15">
        <f t="shared" si="101"/>
        <v>0.80316042597045689</v>
      </c>
      <c r="R254" s="15">
        <f t="shared" si="102"/>
        <v>0.84252252252252258</v>
      </c>
      <c r="S254" s="15">
        <f t="shared" si="103"/>
        <v>0.95328065956715902</v>
      </c>
      <c r="T254" s="16"/>
      <c r="U254" s="16"/>
      <c r="V254" s="16">
        <v>2911</v>
      </c>
      <c r="W254" s="16">
        <f t="shared" si="136"/>
        <v>136</v>
      </c>
      <c r="X254" s="16">
        <v>2775</v>
      </c>
      <c r="Y254" s="16">
        <v>2338</v>
      </c>
      <c r="Z254" s="16">
        <f t="shared" si="137"/>
        <v>437</v>
      </c>
      <c r="AA254" s="16"/>
      <c r="AB254" s="16"/>
      <c r="AC254" s="78">
        <v>2013</v>
      </c>
      <c r="AD254" s="79" t="s">
        <v>44</v>
      </c>
      <c r="AE254" s="15">
        <f t="shared" si="104"/>
        <v>0.83677077195050087</v>
      </c>
      <c r="AF254" s="15">
        <f t="shared" si="105"/>
        <v>0.87925696594427249</v>
      </c>
      <c r="AG254" s="15">
        <f t="shared" si="106"/>
        <v>0.95167943429581614</v>
      </c>
      <c r="AH254" s="16"/>
      <c r="AI254" s="16"/>
      <c r="AJ254" s="16">
        <v>1697</v>
      </c>
      <c r="AK254" s="16">
        <f t="shared" si="138"/>
        <v>82</v>
      </c>
      <c r="AL254" s="16">
        <v>1615</v>
      </c>
      <c r="AM254" s="16">
        <v>1420</v>
      </c>
      <c r="AN254" s="16">
        <f t="shared" si="139"/>
        <v>195</v>
      </c>
      <c r="AO254" s="16"/>
      <c r="AP254" s="16"/>
      <c r="AQ254" s="78">
        <v>2013</v>
      </c>
      <c r="AR254" s="79" t="s">
        <v>44</v>
      </c>
      <c r="AS254" s="15">
        <f t="shared" si="107"/>
        <v>0.90645161290322585</v>
      </c>
      <c r="AT254" s="15">
        <f t="shared" si="108"/>
        <v>0.93979933110367897</v>
      </c>
      <c r="AU254" s="15">
        <f t="shared" si="109"/>
        <v>0.96451612903225803</v>
      </c>
      <c r="AV254" s="15"/>
      <c r="AW254" s="15"/>
      <c r="AX254" s="16">
        <v>310</v>
      </c>
      <c r="AY254" s="16">
        <f t="shared" si="140"/>
        <v>11</v>
      </c>
      <c r="AZ254" s="16">
        <v>299</v>
      </c>
      <c r="BA254" s="16">
        <v>281</v>
      </c>
      <c r="BB254" s="16">
        <f t="shared" si="141"/>
        <v>18</v>
      </c>
      <c r="BC254" s="16"/>
      <c r="BD254" s="16"/>
      <c r="BE254" s="78"/>
      <c r="BF254" s="79"/>
      <c r="BG254" s="15"/>
      <c r="BH254" s="15"/>
      <c r="BI254" s="15"/>
      <c r="BS254" s="78"/>
      <c r="BT254" s="79"/>
      <c r="BU254" s="15"/>
      <c r="BV254" s="15"/>
      <c r="BW254" s="15"/>
      <c r="CA254" s="45"/>
      <c r="CD254" s="45"/>
      <c r="CG254" s="78"/>
      <c r="CH254" s="79"/>
      <c r="CI254" s="15"/>
      <c r="CJ254" s="15"/>
      <c r="CK254" s="15"/>
      <c r="CO254" s="45"/>
      <c r="CR254" s="45"/>
    </row>
    <row r="255" spans="1:96" s="18" customFormat="1" ht="15" customHeight="1">
      <c r="A255" s="80">
        <v>2013</v>
      </c>
      <c r="B255" s="81" t="s">
        <v>45</v>
      </c>
      <c r="C255" s="15">
        <f t="shared" si="98"/>
        <v>0.82000393004519556</v>
      </c>
      <c r="D255" s="15">
        <f t="shared" si="99"/>
        <v>0.8452501519141179</v>
      </c>
      <c r="E255" s="15">
        <f t="shared" si="100"/>
        <v>0.97013165651404987</v>
      </c>
      <c r="F255" s="57"/>
      <c r="G255" s="34"/>
      <c r="H255" s="57">
        <f>+V255+AJ255+AX255+BL255+BS_GC_MP_Vill[[#This Row],[Trenes Programados]]</f>
        <v>5089</v>
      </c>
      <c r="I255" s="16">
        <f t="shared" si="134"/>
        <v>152</v>
      </c>
      <c r="J255" s="57">
        <f>+X255+AL255+AZ255+BN255+BS_GC_MP_Vill[[#This Row],[Trenes Corridos]]</f>
        <v>4937</v>
      </c>
      <c r="K255" s="57">
        <f>+Y255+AM255+BA255+BO255+BS_GC_MP_Vill[[#This Row],[Trenes Puntuales]]</f>
        <v>4173</v>
      </c>
      <c r="L255" s="16">
        <f t="shared" si="135"/>
        <v>764</v>
      </c>
      <c r="M255" s="16"/>
      <c r="N255" s="16"/>
      <c r="O255" s="80">
        <v>2013</v>
      </c>
      <c r="P255" s="81" t="s">
        <v>45</v>
      </c>
      <c r="Q255" s="15">
        <f t="shared" si="101"/>
        <v>0.8221632382216324</v>
      </c>
      <c r="R255" s="15">
        <f t="shared" si="102"/>
        <v>0.84979423868312753</v>
      </c>
      <c r="S255" s="15">
        <f t="shared" si="103"/>
        <v>0.96748506967485071</v>
      </c>
      <c r="T255" s="16"/>
      <c r="U255" s="16"/>
      <c r="V255" s="16">
        <v>3014</v>
      </c>
      <c r="W255" s="16">
        <f t="shared" si="136"/>
        <v>98</v>
      </c>
      <c r="X255" s="16">
        <v>2916</v>
      </c>
      <c r="Y255" s="16">
        <v>2478</v>
      </c>
      <c r="Z255" s="16">
        <f t="shared" si="137"/>
        <v>438</v>
      </c>
      <c r="AA255" s="16"/>
      <c r="AB255" s="16"/>
      <c r="AC255" s="80">
        <v>2013</v>
      </c>
      <c r="AD255" s="81" t="s">
        <v>45</v>
      </c>
      <c r="AE255" s="15">
        <f t="shared" si="104"/>
        <v>0.79715099715099713</v>
      </c>
      <c r="AF255" s="15">
        <f t="shared" si="105"/>
        <v>0.82052785923753668</v>
      </c>
      <c r="AG255" s="15">
        <f t="shared" si="106"/>
        <v>0.97150997150997154</v>
      </c>
      <c r="AH255" s="16"/>
      <c r="AI255" s="16"/>
      <c r="AJ255" s="16">
        <v>1755</v>
      </c>
      <c r="AK255" s="16">
        <f t="shared" si="138"/>
        <v>50</v>
      </c>
      <c r="AL255" s="16">
        <v>1705</v>
      </c>
      <c r="AM255" s="16">
        <v>1399</v>
      </c>
      <c r="AN255" s="16">
        <f t="shared" si="139"/>
        <v>306</v>
      </c>
      <c r="AO255" s="16"/>
      <c r="AP255" s="16"/>
      <c r="AQ255" s="80">
        <v>2013</v>
      </c>
      <c r="AR255" s="81" t="s">
        <v>45</v>
      </c>
      <c r="AS255" s="15">
        <f t="shared" si="107"/>
        <v>0.92500000000000004</v>
      </c>
      <c r="AT255" s="15">
        <f t="shared" si="108"/>
        <v>0.93670886075949367</v>
      </c>
      <c r="AU255" s="15">
        <f t="shared" si="109"/>
        <v>0.98750000000000004</v>
      </c>
      <c r="AV255" s="15"/>
      <c r="AW255" s="15"/>
      <c r="AX255" s="16">
        <v>320</v>
      </c>
      <c r="AY255" s="16">
        <f t="shared" si="140"/>
        <v>4</v>
      </c>
      <c r="AZ255" s="16">
        <v>316</v>
      </c>
      <c r="BA255" s="16">
        <v>296</v>
      </c>
      <c r="BB255" s="16">
        <f t="shared" si="141"/>
        <v>20</v>
      </c>
      <c r="BC255" s="16"/>
      <c r="BD255" s="16"/>
      <c r="BE255" s="80"/>
      <c r="BF255" s="81"/>
      <c r="BG255" s="15"/>
      <c r="BH255" s="15"/>
      <c r="BI255" s="15"/>
      <c r="BS255" s="80"/>
      <c r="BT255" s="81"/>
      <c r="BU255" s="15"/>
      <c r="BV255" s="15"/>
      <c r="BW255" s="15"/>
      <c r="CA255" s="45"/>
      <c r="CD255" s="45"/>
      <c r="CG255" s="80"/>
      <c r="CH255" s="81"/>
      <c r="CI255" s="15"/>
      <c r="CJ255" s="15"/>
      <c r="CK255" s="15"/>
      <c r="CO255" s="45"/>
      <c r="CR255" s="45"/>
    </row>
    <row r="256" spans="1:96" s="18" customFormat="1" ht="15" customHeight="1">
      <c r="A256" s="78">
        <v>2013</v>
      </c>
      <c r="B256" s="79" t="s">
        <v>46</v>
      </c>
      <c r="C256" s="15">
        <f t="shared" si="98"/>
        <v>0.79204892966360851</v>
      </c>
      <c r="D256" s="15">
        <f t="shared" si="99"/>
        <v>0.83386992916934966</v>
      </c>
      <c r="E256" s="15">
        <f t="shared" si="100"/>
        <v>0.9498470948012232</v>
      </c>
      <c r="F256" s="57"/>
      <c r="G256" s="34"/>
      <c r="H256" s="57">
        <f>+V256+AJ256+AX256+BL256+BS_GC_MP_Vill[[#This Row],[Trenes Programados]]</f>
        <v>4905</v>
      </c>
      <c r="I256" s="16">
        <f t="shared" si="134"/>
        <v>246</v>
      </c>
      <c r="J256" s="57">
        <f>+X256+AL256+AZ256+BN256+BS_GC_MP_Vill[[#This Row],[Trenes Corridos]]</f>
        <v>4659</v>
      </c>
      <c r="K256" s="57">
        <f>+Y256+AM256+BA256+BO256+BS_GC_MP_Vill[[#This Row],[Trenes Puntuales]]</f>
        <v>3885</v>
      </c>
      <c r="L256" s="16">
        <f t="shared" si="135"/>
        <v>774</v>
      </c>
      <c r="M256" s="16"/>
      <c r="N256" s="16"/>
      <c r="O256" s="78">
        <v>2013</v>
      </c>
      <c r="P256" s="79" t="s">
        <v>46</v>
      </c>
      <c r="Q256" s="15">
        <f t="shared" si="101"/>
        <v>0.78620689655172415</v>
      </c>
      <c r="R256" s="15">
        <f t="shared" si="102"/>
        <v>0.83485902599780304</v>
      </c>
      <c r="S256" s="15">
        <f t="shared" si="103"/>
        <v>0.94172413793103449</v>
      </c>
      <c r="T256" s="16"/>
      <c r="U256" s="16"/>
      <c r="V256" s="16">
        <v>2900</v>
      </c>
      <c r="W256" s="16">
        <f t="shared" si="136"/>
        <v>169</v>
      </c>
      <c r="X256" s="16">
        <v>2731</v>
      </c>
      <c r="Y256" s="16">
        <v>2280</v>
      </c>
      <c r="Z256" s="16">
        <f t="shared" si="137"/>
        <v>451</v>
      </c>
      <c r="AA256" s="16"/>
      <c r="AB256" s="16"/>
      <c r="AC256" s="78">
        <v>2013</v>
      </c>
      <c r="AD256" s="79" t="s">
        <v>46</v>
      </c>
      <c r="AE256" s="15">
        <f t="shared" si="104"/>
        <v>0.77876106194690264</v>
      </c>
      <c r="AF256" s="15">
        <f t="shared" si="105"/>
        <v>0.81381011097410605</v>
      </c>
      <c r="AG256" s="15">
        <f t="shared" si="106"/>
        <v>0.9569321533923304</v>
      </c>
      <c r="AH256" s="16"/>
      <c r="AI256" s="16"/>
      <c r="AJ256" s="16">
        <v>1695</v>
      </c>
      <c r="AK256" s="16">
        <f t="shared" si="138"/>
        <v>73</v>
      </c>
      <c r="AL256" s="16">
        <v>1622</v>
      </c>
      <c r="AM256" s="16">
        <v>1320</v>
      </c>
      <c r="AN256" s="16">
        <f t="shared" si="139"/>
        <v>302</v>
      </c>
      <c r="AO256" s="16"/>
      <c r="AP256" s="16"/>
      <c r="AQ256" s="78">
        <v>2013</v>
      </c>
      <c r="AR256" s="79" t="s">
        <v>46</v>
      </c>
      <c r="AS256" s="15">
        <f t="shared" si="107"/>
        <v>0.91935483870967738</v>
      </c>
      <c r="AT256" s="15">
        <f t="shared" si="108"/>
        <v>0.93137254901960786</v>
      </c>
      <c r="AU256" s="15">
        <f t="shared" si="109"/>
        <v>0.98709677419354835</v>
      </c>
      <c r="AV256" s="15"/>
      <c r="AW256" s="15"/>
      <c r="AX256" s="16">
        <v>310</v>
      </c>
      <c r="AY256" s="16">
        <f t="shared" si="140"/>
        <v>4</v>
      </c>
      <c r="AZ256" s="16">
        <v>306</v>
      </c>
      <c r="BA256" s="16">
        <v>285</v>
      </c>
      <c r="BB256" s="16">
        <f t="shared" si="141"/>
        <v>21</v>
      </c>
      <c r="BC256" s="16"/>
      <c r="BD256" s="16"/>
      <c r="BE256" s="78"/>
      <c r="BF256" s="79"/>
      <c r="BG256" s="15"/>
      <c r="BH256" s="15"/>
      <c r="BI256" s="15"/>
      <c r="BS256" s="78"/>
      <c r="BT256" s="79"/>
      <c r="BU256" s="15"/>
      <c r="BV256" s="15"/>
      <c r="BW256" s="15"/>
      <c r="CA256" s="45"/>
      <c r="CD256" s="45"/>
      <c r="CG256" s="78"/>
      <c r="CH256" s="79"/>
      <c r="CI256" s="15"/>
      <c r="CJ256" s="15"/>
      <c r="CK256" s="15"/>
      <c r="CO256" s="45"/>
      <c r="CR256" s="45"/>
    </row>
    <row r="257" spans="1:96" s="18" customFormat="1" ht="15" customHeight="1">
      <c r="A257" s="80">
        <v>2013</v>
      </c>
      <c r="B257" s="81" t="s">
        <v>47</v>
      </c>
      <c r="C257" s="15">
        <f t="shared" si="98"/>
        <v>0.76605048698071954</v>
      </c>
      <c r="D257" s="15">
        <f t="shared" si="99"/>
        <v>0.84130102597686096</v>
      </c>
      <c r="E257" s="15">
        <f t="shared" si="100"/>
        <v>0.91055456171735238</v>
      </c>
      <c r="F257" s="57"/>
      <c r="G257" s="34"/>
      <c r="H257" s="57">
        <f>+V257+AJ257+AX257+BL257+BS_GC_MP_Vill[[#This Row],[Trenes Programados]]</f>
        <v>5031</v>
      </c>
      <c r="I257" s="16">
        <f t="shared" si="134"/>
        <v>450</v>
      </c>
      <c r="J257" s="57">
        <f>+X257+AL257+AZ257+BN257+BS_GC_MP_Vill[[#This Row],[Trenes Corridos]]</f>
        <v>4581</v>
      </c>
      <c r="K257" s="57">
        <f>+Y257+AM257+BA257+BO257+BS_GC_MP_Vill[[#This Row],[Trenes Puntuales]]</f>
        <v>3854</v>
      </c>
      <c r="L257" s="16">
        <f t="shared" si="135"/>
        <v>727</v>
      </c>
      <c r="M257" s="16"/>
      <c r="N257" s="16"/>
      <c r="O257" s="80">
        <v>2013</v>
      </c>
      <c r="P257" s="81" t="s">
        <v>47</v>
      </c>
      <c r="Q257" s="15">
        <f t="shared" si="101"/>
        <v>0.81483979763912306</v>
      </c>
      <c r="R257" s="15">
        <f t="shared" si="102"/>
        <v>0.87251715420729503</v>
      </c>
      <c r="S257" s="15">
        <f t="shared" si="103"/>
        <v>0.93389544688026982</v>
      </c>
      <c r="T257" s="16"/>
      <c r="U257" s="16"/>
      <c r="V257" s="16">
        <v>2965</v>
      </c>
      <c r="W257" s="16">
        <f t="shared" si="136"/>
        <v>196</v>
      </c>
      <c r="X257" s="16">
        <v>2769</v>
      </c>
      <c r="Y257" s="16">
        <v>2416</v>
      </c>
      <c r="Z257" s="16">
        <f t="shared" si="137"/>
        <v>353</v>
      </c>
      <c r="AA257" s="16"/>
      <c r="AB257" s="16"/>
      <c r="AC257" s="80">
        <v>2013</v>
      </c>
      <c r="AD257" s="81" t="s">
        <v>47</v>
      </c>
      <c r="AE257" s="15">
        <f t="shared" si="104"/>
        <v>0.66513761467889909</v>
      </c>
      <c r="AF257" s="15">
        <f t="shared" si="105"/>
        <v>0.76923076923076927</v>
      </c>
      <c r="AG257" s="15">
        <f t="shared" si="106"/>
        <v>0.86467889908256879</v>
      </c>
      <c r="AH257" s="16"/>
      <c r="AI257" s="16"/>
      <c r="AJ257" s="16">
        <v>1744</v>
      </c>
      <c r="AK257" s="16">
        <f t="shared" si="138"/>
        <v>236</v>
      </c>
      <c r="AL257" s="16">
        <v>1508</v>
      </c>
      <c r="AM257" s="16">
        <v>1160</v>
      </c>
      <c r="AN257" s="16">
        <f t="shared" si="139"/>
        <v>348</v>
      </c>
      <c r="AO257" s="16"/>
      <c r="AP257" s="16"/>
      <c r="AQ257" s="80">
        <v>2013</v>
      </c>
      <c r="AR257" s="81" t="s">
        <v>47</v>
      </c>
      <c r="AS257" s="15">
        <f t="shared" si="107"/>
        <v>0.86335403726708071</v>
      </c>
      <c r="AT257" s="15">
        <f t="shared" si="108"/>
        <v>0.91447368421052633</v>
      </c>
      <c r="AU257" s="15">
        <f t="shared" si="109"/>
        <v>0.94409937888198758</v>
      </c>
      <c r="AV257" s="15"/>
      <c r="AW257" s="15"/>
      <c r="AX257" s="16">
        <v>322</v>
      </c>
      <c r="AY257" s="16">
        <f t="shared" si="140"/>
        <v>18</v>
      </c>
      <c r="AZ257" s="16">
        <v>304</v>
      </c>
      <c r="BA257" s="16">
        <v>278</v>
      </c>
      <c r="BB257" s="16">
        <f t="shared" si="141"/>
        <v>26</v>
      </c>
      <c r="BC257" s="16"/>
      <c r="BD257" s="16"/>
      <c r="BE257" s="80"/>
      <c r="BF257" s="81"/>
      <c r="BG257" s="15"/>
      <c r="BH257" s="15"/>
      <c r="BI257" s="15"/>
      <c r="BS257" s="80"/>
      <c r="BT257" s="81"/>
      <c r="BU257" s="15"/>
      <c r="BV257" s="15"/>
      <c r="BW257" s="15"/>
      <c r="CA257" s="45"/>
      <c r="CD257" s="45"/>
      <c r="CG257" s="80"/>
      <c r="CH257" s="81"/>
      <c r="CI257" s="15"/>
      <c r="CJ257" s="15"/>
      <c r="CK257" s="15"/>
      <c r="CO257" s="45"/>
      <c r="CR257" s="45"/>
    </row>
    <row r="258" spans="1:96" s="18" customFormat="1" ht="15" customHeight="1">
      <c r="A258" s="78">
        <v>2014</v>
      </c>
      <c r="B258" s="79" t="s">
        <v>36</v>
      </c>
      <c r="C258" s="15">
        <f t="shared" si="98"/>
        <v>0.84378070347808998</v>
      </c>
      <c r="D258" s="15">
        <f t="shared" si="99"/>
        <v>0.89983235540653816</v>
      </c>
      <c r="E258" s="15">
        <f t="shared" si="100"/>
        <v>0.93770878365101196</v>
      </c>
      <c r="F258" s="57"/>
      <c r="G258" s="34"/>
      <c r="H258" s="57">
        <f>+V258+AJ258+AX258+BL258+BS_GC_MP_Vill[[#This Row],[Trenes Programados]]</f>
        <v>5089</v>
      </c>
      <c r="I258" s="16">
        <f t="shared" ref="I258:I269" si="142">H258-J258</f>
        <v>317</v>
      </c>
      <c r="J258" s="57">
        <f>+X258+AL258+AZ258+BN258+BS_GC_MP_Vill[[#This Row],[Trenes Corridos]]</f>
        <v>4772</v>
      </c>
      <c r="K258" s="57">
        <f>+Y258+AM258+BA258+BO258+BS_GC_MP_Vill[[#This Row],[Trenes Puntuales]]</f>
        <v>4294</v>
      </c>
      <c r="L258" s="16">
        <f t="shared" ref="L258:L269" si="143">J258-K258</f>
        <v>478</v>
      </c>
      <c r="M258" s="16"/>
      <c r="N258" s="16"/>
      <c r="O258" s="78">
        <v>2014</v>
      </c>
      <c r="P258" s="79" t="s">
        <v>36</v>
      </c>
      <c r="Q258" s="15">
        <f t="shared" si="101"/>
        <v>0.86363636363636365</v>
      </c>
      <c r="R258" s="15">
        <f t="shared" si="102"/>
        <v>0.90507649513212796</v>
      </c>
      <c r="S258" s="15">
        <f t="shared" si="103"/>
        <v>0.95421366954213671</v>
      </c>
      <c r="T258" s="16"/>
      <c r="U258" s="16"/>
      <c r="V258" s="16">
        <v>3014</v>
      </c>
      <c r="W258" s="16">
        <f>V258-X258</f>
        <v>138</v>
      </c>
      <c r="X258" s="16">
        <v>2876</v>
      </c>
      <c r="Y258" s="16">
        <v>2603</v>
      </c>
      <c r="Z258" s="16">
        <f t="shared" ref="Z258:Z269" si="144">X258-Y258</f>
        <v>273</v>
      </c>
      <c r="AA258" s="16"/>
      <c r="AB258" s="16"/>
      <c r="AC258" s="78">
        <v>2014</v>
      </c>
      <c r="AD258" s="79" t="s">
        <v>36</v>
      </c>
      <c r="AE258" s="15">
        <f t="shared" si="104"/>
        <v>0.79088319088319092</v>
      </c>
      <c r="AF258" s="15">
        <f t="shared" si="105"/>
        <v>0.87350534927627443</v>
      </c>
      <c r="AG258" s="15">
        <f t="shared" si="106"/>
        <v>0.90541310541310538</v>
      </c>
      <c r="AH258" s="16"/>
      <c r="AI258" s="16"/>
      <c r="AJ258" s="16">
        <v>1755</v>
      </c>
      <c r="AK258" s="16">
        <f>AJ258-AL258</f>
        <v>166</v>
      </c>
      <c r="AL258" s="16">
        <v>1589</v>
      </c>
      <c r="AM258" s="16">
        <v>1388</v>
      </c>
      <c r="AN258" s="16">
        <f t="shared" ref="AN258:AN269" si="145">AL258-AM258</f>
        <v>201</v>
      </c>
      <c r="AO258" s="16"/>
      <c r="AP258" s="16"/>
      <c r="AQ258" s="78">
        <v>2014</v>
      </c>
      <c r="AR258" s="79" t="s">
        <v>36</v>
      </c>
      <c r="AS258" s="15">
        <f t="shared" si="107"/>
        <v>0.94687500000000002</v>
      </c>
      <c r="AT258" s="15">
        <f t="shared" si="108"/>
        <v>0.98697068403908794</v>
      </c>
      <c r="AU258" s="15">
        <f t="shared" si="109"/>
        <v>0.95937499999999998</v>
      </c>
      <c r="AV258" s="15"/>
      <c r="AW258" s="15"/>
      <c r="AX258" s="16">
        <v>320</v>
      </c>
      <c r="AY258" s="16">
        <f>AX258-AZ258</f>
        <v>13</v>
      </c>
      <c r="AZ258" s="16">
        <v>307</v>
      </c>
      <c r="BA258" s="16">
        <v>303</v>
      </c>
      <c r="BB258" s="16">
        <f t="shared" ref="BB258:BB269" si="146">AZ258-BA258</f>
        <v>4</v>
      </c>
      <c r="BC258" s="16"/>
      <c r="BD258" s="16"/>
      <c r="BE258" s="78"/>
      <c r="BF258" s="79"/>
      <c r="BG258" s="15"/>
      <c r="BH258" s="15"/>
      <c r="BI258" s="15"/>
      <c r="BS258" s="78"/>
      <c r="BT258" s="79"/>
      <c r="BU258" s="15"/>
      <c r="BV258" s="15"/>
      <c r="BW258" s="15"/>
      <c r="CA258" s="45"/>
      <c r="CD258" s="45"/>
      <c r="CG258" s="78"/>
      <c r="CH258" s="79"/>
      <c r="CI258" s="15"/>
      <c r="CJ258" s="15"/>
      <c r="CK258" s="15"/>
      <c r="CO258" s="45"/>
      <c r="CR258" s="45"/>
    </row>
    <row r="259" spans="1:96" s="18" customFormat="1" ht="15" customHeight="1">
      <c r="A259" s="80">
        <v>2014</v>
      </c>
      <c r="B259" s="81" t="s">
        <v>37</v>
      </c>
      <c r="C259" s="15">
        <f t="shared" si="98"/>
        <v>0.80512152777777779</v>
      </c>
      <c r="D259" s="15">
        <f t="shared" si="99"/>
        <v>0.87212035731076631</v>
      </c>
      <c r="E259" s="15">
        <f t="shared" si="100"/>
        <v>0.92317708333333337</v>
      </c>
      <c r="F259" s="57"/>
      <c r="G259" s="34"/>
      <c r="H259" s="57">
        <f>+V259+AJ259+AX259+BL259+BS_GC_MP_Vill[[#This Row],[Trenes Programados]]</f>
        <v>4608</v>
      </c>
      <c r="I259" s="16">
        <f t="shared" si="142"/>
        <v>354</v>
      </c>
      <c r="J259" s="57">
        <f>+X259+AL259+AZ259+BN259+BS_GC_MP_Vill[[#This Row],[Trenes Corridos]]</f>
        <v>4254</v>
      </c>
      <c r="K259" s="57">
        <f>+Y259+AM259+BA259+BO259+BS_GC_MP_Vill[[#This Row],[Trenes Puntuales]]</f>
        <v>3710</v>
      </c>
      <c r="L259" s="16">
        <f t="shared" si="143"/>
        <v>544</v>
      </c>
      <c r="M259" s="16"/>
      <c r="N259" s="16"/>
      <c r="O259" s="80">
        <v>2014</v>
      </c>
      <c r="P259" s="81" t="s">
        <v>37</v>
      </c>
      <c r="Q259" s="15">
        <f t="shared" si="101"/>
        <v>0.83857979502196189</v>
      </c>
      <c r="R259" s="15">
        <f t="shared" si="102"/>
        <v>0.89667318982387478</v>
      </c>
      <c r="S259" s="15">
        <f t="shared" si="103"/>
        <v>0.93521229868228406</v>
      </c>
      <c r="T259" s="16"/>
      <c r="U259" s="16"/>
      <c r="V259" s="16">
        <v>2732</v>
      </c>
      <c r="W259" s="16">
        <f>V259-X259</f>
        <v>177</v>
      </c>
      <c r="X259" s="16">
        <v>2555</v>
      </c>
      <c r="Y259" s="16">
        <v>2291</v>
      </c>
      <c r="Z259" s="16">
        <f t="shared" si="144"/>
        <v>264</v>
      </c>
      <c r="AA259" s="16"/>
      <c r="AB259" s="16"/>
      <c r="AC259" s="80">
        <v>2014</v>
      </c>
      <c r="AD259" s="81" t="s">
        <v>37</v>
      </c>
      <c r="AE259" s="15">
        <f t="shared" si="104"/>
        <v>0.73236775818639799</v>
      </c>
      <c r="AF259" s="15">
        <f t="shared" si="105"/>
        <v>0.8167134831460674</v>
      </c>
      <c r="AG259" s="15">
        <f t="shared" si="106"/>
        <v>0.89672544080604533</v>
      </c>
      <c r="AH259" s="16"/>
      <c r="AI259" s="16"/>
      <c r="AJ259" s="16">
        <v>1588</v>
      </c>
      <c r="AK259" s="16">
        <f>AJ259-AL259</f>
        <v>164</v>
      </c>
      <c r="AL259" s="16">
        <v>1424</v>
      </c>
      <c r="AM259" s="16">
        <v>1163</v>
      </c>
      <c r="AN259" s="16">
        <f t="shared" si="145"/>
        <v>261</v>
      </c>
      <c r="AO259" s="16"/>
      <c r="AP259" s="16"/>
      <c r="AQ259" s="80">
        <v>2014</v>
      </c>
      <c r="AR259" s="81" t="s">
        <v>37</v>
      </c>
      <c r="AS259" s="15">
        <f t="shared" si="107"/>
        <v>0.88888888888888884</v>
      </c>
      <c r="AT259" s="15">
        <f t="shared" si="108"/>
        <v>0.93090909090909091</v>
      </c>
      <c r="AU259" s="15">
        <f t="shared" si="109"/>
        <v>0.95486111111111116</v>
      </c>
      <c r="AV259" s="15"/>
      <c r="AW259" s="15"/>
      <c r="AX259" s="16">
        <v>288</v>
      </c>
      <c r="AY259" s="16">
        <f>AX259-AZ259</f>
        <v>13</v>
      </c>
      <c r="AZ259" s="16">
        <v>275</v>
      </c>
      <c r="BA259" s="16">
        <v>256</v>
      </c>
      <c r="BB259" s="16">
        <f t="shared" si="146"/>
        <v>19</v>
      </c>
      <c r="BC259" s="16"/>
      <c r="BD259" s="16"/>
      <c r="BE259" s="80"/>
      <c r="BF259" s="81"/>
      <c r="BG259" s="15"/>
      <c r="BH259" s="15"/>
      <c r="BI259" s="15"/>
      <c r="BS259" s="80"/>
      <c r="BT259" s="81"/>
      <c r="BU259" s="15"/>
      <c r="BV259" s="15"/>
      <c r="BW259" s="15"/>
      <c r="CA259" s="45"/>
      <c r="CD259" s="45"/>
      <c r="CG259" s="80"/>
      <c r="CH259" s="81"/>
      <c r="CI259" s="15"/>
      <c r="CJ259" s="15"/>
      <c r="CK259" s="15"/>
      <c r="CO259" s="45"/>
      <c r="CR259" s="45"/>
    </row>
    <row r="260" spans="1:96" s="18" customFormat="1" ht="15" customHeight="1">
      <c r="A260" s="78">
        <v>2014</v>
      </c>
      <c r="B260" s="79" t="s">
        <v>38</v>
      </c>
      <c r="C260" s="15">
        <f t="shared" si="98"/>
        <v>0.80140562248995983</v>
      </c>
      <c r="D260" s="15">
        <f t="shared" si="99"/>
        <v>0.86273238218763515</v>
      </c>
      <c r="E260" s="15">
        <f t="shared" si="100"/>
        <v>0.92891566265060244</v>
      </c>
      <c r="F260" s="57"/>
      <c r="G260" s="34"/>
      <c r="H260" s="57">
        <f>+V260+AJ260+AX260+BL260+BS_GC_MP_Vill[[#This Row],[Trenes Programados]]</f>
        <v>4980</v>
      </c>
      <c r="I260" s="16">
        <f t="shared" si="142"/>
        <v>354</v>
      </c>
      <c r="J260" s="57">
        <f>+X260+AL260+AZ260+BN260+BS_GC_MP_Vill[[#This Row],[Trenes Corridos]]</f>
        <v>4626</v>
      </c>
      <c r="K260" s="57">
        <f>+Y260+AM260+BA260+BO260+BS_GC_MP_Vill[[#This Row],[Trenes Puntuales]]</f>
        <v>3991</v>
      </c>
      <c r="L260" s="16">
        <f t="shared" si="143"/>
        <v>635</v>
      </c>
      <c r="M260" s="16"/>
      <c r="N260" s="16"/>
      <c r="O260" s="78">
        <v>2014</v>
      </c>
      <c r="P260" s="79" t="s">
        <v>38</v>
      </c>
      <c r="Q260" s="15">
        <f t="shared" si="101"/>
        <v>0.82135523613963035</v>
      </c>
      <c r="R260" s="15">
        <f t="shared" si="102"/>
        <v>0.88430361090641119</v>
      </c>
      <c r="S260" s="15">
        <f t="shared" si="103"/>
        <v>0.92881587953456535</v>
      </c>
      <c r="T260" s="16"/>
      <c r="U260" s="16"/>
      <c r="V260" s="16">
        <v>2922</v>
      </c>
      <c r="W260" s="16">
        <f>V260-X260</f>
        <v>208</v>
      </c>
      <c r="X260" s="16">
        <v>2714</v>
      </c>
      <c r="Y260" s="16">
        <v>2400</v>
      </c>
      <c r="Z260" s="16">
        <f t="shared" si="144"/>
        <v>314</v>
      </c>
      <c r="AA260" s="16"/>
      <c r="AB260" s="16"/>
      <c r="AC260" s="78">
        <v>2014</v>
      </c>
      <c r="AD260" s="79" t="s">
        <v>38</v>
      </c>
      <c r="AE260" s="15">
        <f t="shared" si="104"/>
        <v>0.75288683602771367</v>
      </c>
      <c r="AF260" s="15">
        <f t="shared" si="105"/>
        <v>0.80793060718711274</v>
      </c>
      <c r="AG260" s="15">
        <f t="shared" si="106"/>
        <v>0.93187066974595845</v>
      </c>
      <c r="AH260" s="16"/>
      <c r="AI260" s="16"/>
      <c r="AJ260" s="16">
        <v>1732</v>
      </c>
      <c r="AK260" s="16">
        <f>AJ260-AL260</f>
        <v>118</v>
      </c>
      <c r="AL260" s="16">
        <v>1614</v>
      </c>
      <c r="AM260" s="16">
        <v>1304</v>
      </c>
      <c r="AN260" s="16">
        <f t="shared" si="145"/>
        <v>310</v>
      </c>
      <c r="AO260" s="16"/>
      <c r="AP260" s="16"/>
      <c r="AQ260" s="78">
        <v>2014</v>
      </c>
      <c r="AR260" s="79" t="s">
        <v>38</v>
      </c>
      <c r="AS260" s="15">
        <f t="shared" si="107"/>
        <v>0.88036809815950923</v>
      </c>
      <c r="AT260" s="15">
        <f t="shared" si="108"/>
        <v>0.96308724832214765</v>
      </c>
      <c r="AU260" s="15">
        <f t="shared" si="109"/>
        <v>0.91411042944785281</v>
      </c>
      <c r="AV260" s="15"/>
      <c r="AW260" s="15"/>
      <c r="AX260" s="16">
        <v>326</v>
      </c>
      <c r="AY260" s="16">
        <f>AX260-AZ260</f>
        <v>28</v>
      </c>
      <c r="AZ260" s="16">
        <v>298</v>
      </c>
      <c r="BA260" s="16">
        <v>287</v>
      </c>
      <c r="BB260" s="16">
        <f t="shared" si="146"/>
        <v>11</v>
      </c>
      <c r="BC260" s="16"/>
      <c r="BD260" s="16"/>
      <c r="BE260" s="78"/>
      <c r="BF260" s="79"/>
      <c r="BG260" s="15"/>
      <c r="BH260" s="15"/>
      <c r="BI260" s="15"/>
      <c r="BS260" s="78"/>
      <c r="BT260" s="79"/>
      <c r="BU260" s="15"/>
      <c r="BV260" s="15"/>
      <c r="BW260" s="15"/>
      <c r="CA260" s="45"/>
      <c r="CD260" s="45"/>
      <c r="CG260" s="78"/>
      <c r="CH260" s="79"/>
      <c r="CI260" s="15"/>
      <c r="CJ260" s="15"/>
      <c r="CK260" s="15"/>
      <c r="CO260" s="45"/>
      <c r="CR260" s="45"/>
    </row>
    <row r="261" spans="1:96" s="18" customFormat="1" ht="15" customHeight="1">
      <c r="A261" s="80">
        <v>2014</v>
      </c>
      <c r="B261" s="81" t="s">
        <v>39</v>
      </c>
      <c r="C261" s="15">
        <f t="shared" si="98"/>
        <v>0.73445516109172992</v>
      </c>
      <c r="D261" s="15">
        <f t="shared" si="99"/>
        <v>0.83680149637596446</v>
      </c>
      <c r="E261" s="15">
        <f t="shared" si="100"/>
        <v>0.87769341268212597</v>
      </c>
      <c r="F261" s="57"/>
      <c r="G261" s="34"/>
      <c r="H261" s="57">
        <f>+V261+AJ261+AX261+BL261+BS_GC_MP_Vill[[#This Row],[Trenes Programados]]</f>
        <v>4873</v>
      </c>
      <c r="I261" s="16">
        <f t="shared" si="142"/>
        <v>596</v>
      </c>
      <c r="J261" s="57">
        <f>+X261+AL261+AZ261+BN261+BS_GC_MP_Vill[[#This Row],[Trenes Corridos]]</f>
        <v>4277</v>
      </c>
      <c r="K261" s="57">
        <f>+Y261+AM261+BA261+BO261+BS_GC_MP_Vill[[#This Row],[Trenes Puntuales]]</f>
        <v>3579</v>
      </c>
      <c r="L261" s="16">
        <f t="shared" si="143"/>
        <v>698</v>
      </c>
      <c r="M261" s="16"/>
      <c r="N261" s="16"/>
      <c r="O261" s="80">
        <v>2014</v>
      </c>
      <c r="P261" s="81" t="s">
        <v>39</v>
      </c>
      <c r="Q261" s="15">
        <f t="shared" si="101"/>
        <v>0.73686042464323009</v>
      </c>
      <c r="R261" s="15">
        <f t="shared" si="102"/>
        <v>0.83974613248710828</v>
      </c>
      <c r="S261" s="15">
        <f t="shared" si="103"/>
        <v>0.87747998607727118</v>
      </c>
      <c r="T261" s="16"/>
      <c r="U261" s="16"/>
      <c r="V261" s="16">
        <v>2873</v>
      </c>
      <c r="W261" s="16">
        <f>V261-X261</f>
        <v>352</v>
      </c>
      <c r="X261" s="16">
        <v>2521</v>
      </c>
      <c r="Y261" s="16">
        <v>2117</v>
      </c>
      <c r="Z261" s="16">
        <f t="shared" si="144"/>
        <v>404</v>
      </c>
      <c r="AA261" s="16"/>
      <c r="AB261" s="16"/>
      <c r="AC261" s="80">
        <v>2014</v>
      </c>
      <c r="AD261" s="81" t="s">
        <v>39</v>
      </c>
      <c r="AE261" s="15">
        <f t="shared" si="104"/>
        <v>0.70971563981042651</v>
      </c>
      <c r="AF261" s="15">
        <f t="shared" si="105"/>
        <v>0.81496598639455786</v>
      </c>
      <c r="AG261" s="15">
        <f t="shared" si="106"/>
        <v>0.87085308056872035</v>
      </c>
      <c r="AH261" s="16"/>
      <c r="AI261" s="16"/>
      <c r="AJ261" s="16">
        <v>1688</v>
      </c>
      <c r="AK261" s="16">
        <f>AJ261-AL261</f>
        <v>218</v>
      </c>
      <c r="AL261" s="16">
        <v>1470</v>
      </c>
      <c r="AM261" s="16">
        <v>1198</v>
      </c>
      <c r="AN261" s="16">
        <f t="shared" si="145"/>
        <v>272</v>
      </c>
      <c r="AO261" s="16"/>
      <c r="AP261" s="16"/>
      <c r="AQ261" s="80">
        <v>2014</v>
      </c>
      <c r="AR261" s="81" t="s">
        <v>39</v>
      </c>
      <c r="AS261" s="15">
        <f t="shared" si="107"/>
        <v>0.84615384615384615</v>
      </c>
      <c r="AT261" s="15">
        <f t="shared" si="108"/>
        <v>0.92307692307692313</v>
      </c>
      <c r="AU261" s="15">
        <f t="shared" si="109"/>
        <v>0.91666666666666663</v>
      </c>
      <c r="AV261" s="15"/>
      <c r="AW261" s="15"/>
      <c r="AX261" s="16">
        <v>312</v>
      </c>
      <c r="AY261" s="16">
        <f>AX261-AZ261</f>
        <v>26</v>
      </c>
      <c r="AZ261" s="16">
        <v>286</v>
      </c>
      <c r="BA261" s="16">
        <v>264</v>
      </c>
      <c r="BB261" s="16">
        <f t="shared" si="146"/>
        <v>22</v>
      </c>
      <c r="BC261" s="16"/>
      <c r="BD261" s="16"/>
      <c r="BE261" s="80"/>
      <c r="BF261" s="81"/>
      <c r="BG261" s="15"/>
      <c r="BH261" s="15"/>
      <c r="BI261" s="15"/>
      <c r="BS261" s="80"/>
      <c r="BT261" s="81"/>
      <c r="BU261" s="15"/>
      <c r="BV261" s="15"/>
      <c r="BW261" s="15"/>
      <c r="CA261" s="45"/>
      <c r="CD261" s="45"/>
      <c r="CG261" s="80"/>
      <c r="CH261" s="81"/>
      <c r="CI261" s="15"/>
      <c r="CJ261" s="15"/>
      <c r="CK261" s="15"/>
      <c r="CO261" s="45"/>
      <c r="CR261" s="45"/>
    </row>
    <row r="262" spans="1:96" s="18" customFormat="1" ht="15" customHeight="1">
      <c r="A262" s="78">
        <v>2014</v>
      </c>
      <c r="B262" s="79" t="s">
        <v>40</v>
      </c>
      <c r="C262" s="15">
        <f t="shared" si="98"/>
        <v>0.67922283901665348</v>
      </c>
      <c r="D262" s="15">
        <f t="shared" si="99"/>
        <v>0.79158964879852123</v>
      </c>
      <c r="E262" s="15">
        <f t="shared" si="100"/>
        <v>0.85804916732751779</v>
      </c>
      <c r="F262" s="57"/>
      <c r="G262" s="34"/>
      <c r="H262" s="57">
        <f>+V262+AJ262+AX262+BL262+BS_GC_MP_Vill[[#This Row],[Trenes Programados]]</f>
        <v>5044</v>
      </c>
      <c r="I262" s="16">
        <f t="shared" si="142"/>
        <v>716</v>
      </c>
      <c r="J262" s="57">
        <f>+X262+AL262+AZ262+BN262+BS_GC_MP_Vill[[#This Row],[Trenes Corridos]]</f>
        <v>4328</v>
      </c>
      <c r="K262" s="57">
        <f>+Y262+AM262+BA262+BO262+BS_GC_MP_Vill[[#This Row],[Trenes Puntuales]]</f>
        <v>3426</v>
      </c>
      <c r="L262" s="16">
        <f t="shared" si="143"/>
        <v>902</v>
      </c>
      <c r="M262" s="16"/>
      <c r="N262" s="16"/>
      <c r="O262" s="78">
        <v>2014</v>
      </c>
      <c r="P262" s="79" t="s">
        <v>40</v>
      </c>
      <c r="Q262" s="15">
        <f t="shared" si="101"/>
        <v>0.72782258064516125</v>
      </c>
      <c r="R262" s="15">
        <f t="shared" si="102"/>
        <v>0.78336347197106693</v>
      </c>
      <c r="S262" s="15">
        <f t="shared" si="103"/>
        <v>0.92909946236559138</v>
      </c>
      <c r="T262" s="16"/>
      <c r="U262" s="16"/>
      <c r="V262" s="16">
        <v>2976</v>
      </c>
      <c r="W262" s="16">
        <f t="shared" ref="W262:W269" si="147">V262-X262</f>
        <v>211</v>
      </c>
      <c r="X262" s="16">
        <v>2765</v>
      </c>
      <c r="Y262" s="16">
        <v>2166</v>
      </c>
      <c r="Z262" s="16">
        <f t="shared" si="144"/>
        <v>599</v>
      </c>
      <c r="AA262" s="16"/>
      <c r="AB262" s="16"/>
      <c r="AC262" s="78">
        <v>2014</v>
      </c>
      <c r="AD262" s="79" t="s">
        <v>40</v>
      </c>
      <c r="AE262" s="15">
        <f t="shared" si="104"/>
        <v>0.57560137457044669</v>
      </c>
      <c r="AF262" s="15">
        <f t="shared" si="105"/>
        <v>0.78210116731517509</v>
      </c>
      <c r="AG262" s="15">
        <f t="shared" si="106"/>
        <v>0.73596792668957622</v>
      </c>
      <c r="AH262" s="16"/>
      <c r="AI262" s="16"/>
      <c r="AJ262" s="16">
        <v>1746</v>
      </c>
      <c r="AK262" s="16">
        <f t="shared" ref="AK262:AK269" si="148">AJ262-AL262</f>
        <v>461</v>
      </c>
      <c r="AL262" s="16">
        <v>1285</v>
      </c>
      <c r="AM262" s="16">
        <v>1005</v>
      </c>
      <c r="AN262" s="16">
        <f t="shared" si="145"/>
        <v>280</v>
      </c>
      <c r="AO262" s="16"/>
      <c r="AP262" s="16"/>
      <c r="AQ262" s="78">
        <v>2014</v>
      </c>
      <c r="AR262" s="79" t="s">
        <v>40</v>
      </c>
      <c r="AS262" s="15">
        <f t="shared" si="107"/>
        <v>0.79192546583850931</v>
      </c>
      <c r="AT262" s="15">
        <f t="shared" si="108"/>
        <v>0.91726618705035967</v>
      </c>
      <c r="AU262" s="15">
        <f t="shared" si="109"/>
        <v>0.86335403726708071</v>
      </c>
      <c r="AV262" s="15"/>
      <c r="AW262" s="15"/>
      <c r="AX262" s="16">
        <v>322</v>
      </c>
      <c r="AY262" s="16">
        <f t="shared" ref="AY262:AY269" si="149">AX262-AZ262</f>
        <v>44</v>
      </c>
      <c r="AZ262" s="16">
        <v>278</v>
      </c>
      <c r="BA262" s="16">
        <v>255</v>
      </c>
      <c r="BB262" s="16">
        <f t="shared" si="146"/>
        <v>23</v>
      </c>
      <c r="BC262" s="16"/>
      <c r="BD262" s="16"/>
      <c r="BE262" s="78"/>
      <c r="BF262" s="79"/>
      <c r="BG262" s="15"/>
      <c r="BH262" s="15"/>
      <c r="BI262" s="15"/>
      <c r="BS262" s="78"/>
      <c r="BT262" s="79"/>
      <c r="BU262" s="15"/>
      <c r="BV262" s="15"/>
      <c r="BW262" s="15"/>
      <c r="CA262" s="45"/>
      <c r="CD262" s="45"/>
      <c r="CG262" s="78"/>
      <c r="CH262" s="79"/>
      <c r="CI262" s="15"/>
      <c r="CJ262" s="15"/>
      <c r="CK262" s="15"/>
      <c r="CO262" s="45"/>
      <c r="CR262" s="45"/>
    </row>
    <row r="263" spans="1:96" s="18" customFormat="1" ht="15" customHeight="1">
      <c r="A263" s="80">
        <v>2014</v>
      </c>
      <c r="B263" s="81" t="s">
        <v>41</v>
      </c>
      <c r="C263" s="15">
        <f t="shared" ref="C263:C326" si="150">K263/H263</f>
        <v>0.72206303724928367</v>
      </c>
      <c r="D263" s="15">
        <f t="shared" ref="D263:D326" si="151">K263/J263</f>
        <v>0.76100086281276957</v>
      </c>
      <c r="E263" s="15">
        <f t="shared" ref="E263:E326" si="152">J263/H263</f>
        <v>0.94883340155546458</v>
      </c>
      <c r="F263" s="57"/>
      <c r="G263" s="34"/>
      <c r="H263" s="57">
        <f>+V263+AJ263+AX263+BL263+BS_GC_MP_Vill[[#This Row],[Trenes Programados]]</f>
        <v>4886</v>
      </c>
      <c r="I263" s="16">
        <f t="shared" si="142"/>
        <v>250</v>
      </c>
      <c r="J263" s="57">
        <f>+X263+AL263+AZ263+BN263+BS_GC_MP_Vill[[#This Row],[Trenes Corridos]]</f>
        <v>4636</v>
      </c>
      <c r="K263" s="57">
        <f>+Y263+AM263+BA263+BO263+BS_GC_MP_Vill[[#This Row],[Trenes Puntuales]]</f>
        <v>3528</v>
      </c>
      <c r="L263" s="16">
        <f t="shared" si="143"/>
        <v>1108</v>
      </c>
      <c r="M263" s="16"/>
      <c r="N263" s="16"/>
      <c r="O263" s="80">
        <v>2014</v>
      </c>
      <c r="P263" s="81" t="s">
        <v>41</v>
      </c>
      <c r="Q263" s="15">
        <f t="shared" ref="Q263:Q326" si="153">Y263/V263</f>
        <v>0.72260748959778087</v>
      </c>
      <c r="R263" s="15">
        <f t="shared" ref="R263:R326" si="154">Y263/X263</f>
        <v>0.76309044306114981</v>
      </c>
      <c r="S263" s="15">
        <f t="shared" ref="S263:S326" si="155">X263/V263</f>
        <v>0.94694868238557561</v>
      </c>
      <c r="T263" s="16"/>
      <c r="U263" s="16"/>
      <c r="V263" s="16">
        <v>2884</v>
      </c>
      <c r="W263" s="16">
        <f t="shared" si="147"/>
        <v>153</v>
      </c>
      <c r="X263" s="16">
        <v>2731</v>
      </c>
      <c r="Y263" s="16">
        <v>2084</v>
      </c>
      <c r="Z263" s="16">
        <f t="shared" si="144"/>
        <v>647</v>
      </c>
      <c r="AA263" s="16"/>
      <c r="AB263" s="16"/>
      <c r="AC263" s="80">
        <v>2014</v>
      </c>
      <c r="AD263" s="81" t="s">
        <v>41</v>
      </c>
      <c r="AE263" s="15">
        <f t="shared" ref="AE263:AE326" si="156">AM263/AJ263</f>
        <v>0.69881656804733727</v>
      </c>
      <c r="AF263" s="15">
        <f t="shared" ref="AF263:AF326" si="157">AM263/AL263</f>
        <v>0.72721674876847286</v>
      </c>
      <c r="AG263" s="15">
        <f t="shared" ref="AG263:AG326" si="158">AL263/AJ263</f>
        <v>0.96094674556213022</v>
      </c>
      <c r="AH263" s="16"/>
      <c r="AI263" s="16"/>
      <c r="AJ263" s="16">
        <v>1690</v>
      </c>
      <c r="AK263" s="16">
        <f t="shared" si="148"/>
        <v>66</v>
      </c>
      <c r="AL263" s="16">
        <v>1624</v>
      </c>
      <c r="AM263" s="16">
        <v>1181</v>
      </c>
      <c r="AN263" s="16">
        <f t="shared" si="145"/>
        <v>443</v>
      </c>
      <c r="AO263" s="16"/>
      <c r="AP263" s="16"/>
      <c r="AQ263" s="80">
        <v>2014</v>
      </c>
      <c r="AR263" s="81" t="s">
        <v>41</v>
      </c>
      <c r="AS263" s="15">
        <f t="shared" ref="AS263:AS301" si="159">BA263/AX263</f>
        <v>0.84294871794871795</v>
      </c>
      <c r="AT263" s="15">
        <f t="shared" ref="AT263:AT301" si="160">BA263/AZ263</f>
        <v>0.93594306049822062</v>
      </c>
      <c r="AU263" s="15">
        <f t="shared" ref="AU263:AU301" si="161">AZ263/AX263</f>
        <v>0.90064102564102566</v>
      </c>
      <c r="AV263" s="15"/>
      <c r="AW263" s="15"/>
      <c r="AX263" s="16">
        <v>312</v>
      </c>
      <c r="AY263" s="16">
        <f t="shared" si="149"/>
        <v>31</v>
      </c>
      <c r="AZ263" s="16">
        <v>281</v>
      </c>
      <c r="BA263" s="16">
        <v>263</v>
      </c>
      <c r="BB263" s="16">
        <f t="shared" si="146"/>
        <v>18</v>
      </c>
      <c r="BC263" s="16"/>
      <c r="BD263" s="16"/>
      <c r="BE263" s="80"/>
      <c r="BF263" s="81"/>
      <c r="BG263" s="15"/>
      <c r="BH263" s="15"/>
      <c r="BI263" s="15"/>
      <c r="BS263" s="80"/>
      <c r="BT263" s="81"/>
      <c r="BU263" s="15"/>
      <c r="BV263" s="15"/>
      <c r="BW263" s="15"/>
      <c r="CA263" s="45"/>
      <c r="CD263" s="45"/>
      <c r="CG263" s="80"/>
      <c r="CH263" s="81"/>
      <c r="CI263" s="15"/>
      <c r="CJ263" s="15"/>
      <c r="CK263" s="15"/>
      <c r="CO263" s="45"/>
      <c r="CR263" s="45"/>
    </row>
    <row r="264" spans="1:96" s="18" customFormat="1" ht="15" customHeight="1">
      <c r="A264" s="78">
        <v>2014</v>
      </c>
      <c r="B264" s="79" t="s">
        <v>42</v>
      </c>
      <c r="C264" s="15">
        <f t="shared" si="150"/>
        <v>0.69561799960699544</v>
      </c>
      <c r="D264" s="15">
        <f t="shared" si="151"/>
        <v>0.80308529945553542</v>
      </c>
      <c r="E264" s="15">
        <f t="shared" si="152"/>
        <v>0.86618196109255252</v>
      </c>
      <c r="F264" s="57"/>
      <c r="G264" s="34"/>
      <c r="H264" s="57">
        <f>+V264+AJ264+AX264+BL264+BS_GC_MP_Vill[[#This Row],[Trenes Programados]]</f>
        <v>5089</v>
      </c>
      <c r="I264" s="16">
        <f t="shared" si="142"/>
        <v>681</v>
      </c>
      <c r="J264" s="57">
        <f>+X264+AL264+AZ264+BN264+BS_GC_MP_Vill[[#This Row],[Trenes Corridos]]</f>
        <v>4408</v>
      </c>
      <c r="K264" s="57">
        <f>+Y264+AM264+BA264+BO264+BS_GC_MP_Vill[[#This Row],[Trenes Puntuales]]</f>
        <v>3540</v>
      </c>
      <c r="L264" s="16">
        <f t="shared" si="143"/>
        <v>868</v>
      </c>
      <c r="M264" s="16"/>
      <c r="N264" s="16"/>
      <c r="O264" s="78">
        <v>2014</v>
      </c>
      <c r="P264" s="79" t="s">
        <v>42</v>
      </c>
      <c r="Q264" s="15">
        <f t="shared" si="153"/>
        <v>0.80225613802256135</v>
      </c>
      <c r="R264" s="15">
        <f t="shared" si="154"/>
        <v>0.8261018107277075</v>
      </c>
      <c r="S264" s="15">
        <f t="shared" si="155"/>
        <v>0.971134704711347</v>
      </c>
      <c r="T264" s="16"/>
      <c r="U264" s="16"/>
      <c r="V264" s="16">
        <v>3014</v>
      </c>
      <c r="W264" s="16">
        <f t="shared" si="147"/>
        <v>87</v>
      </c>
      <c r="X264" s="16">
        <v>2927</v>
      </c>
      <c r="Y264" s="16">
        <v>2418</v>
      </c>
      <c r="Z264" s="16">
        <f t="shared" si="144"/>
        <v>509</v>
      </c>
      <c r="AA264" s="16"/>
      <c r="AB264" s="16"/>
      <c r="AC264" s="78">
        <v>2014</v>
      </c>
      <c r="AD264" s="79" t="s">
        <v>42</v>
      </c>
      <c r="AE264" s="15">
        <f t="shared" si="156"/>
        <v>0.47521367521367519</v>
      </c>
      <c r="AF264" s="15">
        <f t="shared" si="157"/>
        <v>0.71099744245524299</v>
      </c>
      <c r="AG264" s="15">
        <f t="shared" si="158"/>
        <v>0.66837606837606833</v>
      </c>
      <c r="AH264" s="16"/>
      <c r="AI264" s="16"/>
      <c r="AJ264" s="16">
        <v>1755</v>
      </c>
      <c r="AK264" s="16">
        <f t="shared" si="148"/>
        <v>582</v>
      </c>
      <c r="AL264" s="16">
        <v>1173</v>
      </c>
      <c r="AM264" s="16">
        <v>834</v>
      </c>
      <c r="AN264" s="16">
        <f t="shared" si="145"/>
        <v>339</v>
      </c>
      <c r="AO264" s="16"/>
      <c r="AP264" s="16"/>
      <c r="AQ264" s="78">
        <v>2014</v>
      </c>
      <c r="AR264" s="79" t="s">
        <v>42</v>
      </c>
      <c r="AS264" s="15">
        <f t="shared" si="159"/>
        <v>0.9</v>
      </c>
      <c r="AT264" s="15">
        <f t="shared" si="160"/>
        <v>0.93506493506493504</v>
      </c>
      <c r="AU264" s="15">
        <f t="shared" si="161"/>
        <v>0.96250000000000002</v>
      </c>
      <c r="AV264" s="15"/>
      <c r="AW264" s="15"/>
      <c r="AX264" s="16">
        <v>320</v>
      </c>
      <c r="AY264" s="16">
        <f t="shared" si="149"/>
        <v>12</v>
      </c>
      <c r="AZ264" s="16">
        <v>308</v>
      </c>
      <c r="BA264" s="16">
        <v>288</v>
      </c>
      <c r="BB264" s="16">
        <f t="shared" si="146"/>
        <v>20</v>
      </c>
      <c r="BC264" s="16"/>
      <c r="BD264" s="16"/>
      <c r="BE264" s="78"/>
      <c r="BF264" s="79"/>
      <c r="BG264" s="15"/>
      <c r="BH264" s="15"/>
      <c r="BI264" s="15"/>
      <c r="BS264" s="78"/>
      <c r="BT264" s="79"/>
      <c r="BU264" s="15"/>
      <c r="BV264" s="15"/>
      <c r="BW264" s="15"/>
      <c r="CA264" s="45"/>
      <c r="CD264" s="45"/>
      <c r="CG264" s="78"/>
      <c r="CH264" s="79"/>
      <c r="CI264" s="15"/>
      <c r="CJ264" s="15"/>
      <c r="CK264" s="15"/>
      <c r="CO264" s="45"/>
      <c r="CR264" s="45"/>
    </row>
    <row r="265" spans="1:96" s="18" customFormat="1" ht="15" customHeight="1">
      <c r="A265" s="80">
        <v>2014</v>
      </c>
      <c r="B265" s="81" t="s">
        <v>43</v>
      </c>
      <c r="C265" s="15">
        <f t="shared" si="150"/>
        <v>0.73572561459159402</v>
      </c>
      <c r="D265" s="15">
        <f t="shared" si="151"/>
        <v>0.79193341869398204</v>
      </c>
      <c r="E265" s="15">
        <f t="shared" si="152"/>
        <v>0.92902458366375895</v>
      </c>
      <c r="F265" s="57"/>
      <c r="G265" s="34"/>
      <c r="H265" s="57">
        <f>+V265+AJ265+AX265+BL265+BS_GC_MP_Vill[[#This Row],[Trenes Programados]]</f>
        <v>5044</v>
      </c>
      <c r="I265" s="16">
        <f t="shared" si="142"/>
        <v>358</v>
      </c>
      <c r="J265" s="57">
        <f>+X265+AL265+AZ265+BN265+BS_GC_MP_Vill[[#This Row],[Trenes Corridos]]</f>
        <v>4686</v>
      </c>
      <c r="K265" s="57">
        <f>+Y265+AM265+BA265+BO265+BS_GC_MP_Vill[[#This Row],[Trenes Puntuales]]</f>
        <v>3711</v>
      </c>
      <c r="L265" s="16">
        <f t="shared" si="143"/>
        <v>975</v>
      </c>
      <c r="M265" s="16"/>
      <c r="N265" s="16"/>
      <c r="O265" s="80">
        <v>2014</v>
      </c>
      <c r="P265" s="81" t="s">
        <v>43</v>
      </c>
      <c r="Q265" s="15">
        <f t="shared" si="153"/>
        <v>0.7456317204301075</v>
      </c>
      <c r="R265" s="15">
        <f t="shared" si="154"/>
        <v>0.80021637216011543</v>
      </c>
      <c r="S265" s="15">
        <f t="shared" si="155"/>
        <v>0.93178763440860213</v>
      </c>
      <c r="T265" s="16"/>
      <c r="U265" s="16"/>
      <c r="V265" s="16">
        <v>2976</v>
      </c>
      <c r="W265" s="16">
        <f t="shared" si="147"/>
        <v>203</v>
      </c>
      <c r="X265" s="16">
        <v>2773</v>
      </c>
      <c r="Y265" s="16">
        <v>2219</v>
      </c>
      <c r="Z265" s="16">
        <f t="shared" si="144"/>
        <v>554</v>
      </c>
      <c r="AA265" s="16"/>
      <c r="AB265" s="16"/>
      <c r="AC265" s="80">
        <v>2014</v>
      </c>
      <c r="AD265" s="81" t="s">
        <v>43</v>
      </c>
      <c r="AE265" s="15">
        <f t="shared" si="156"/>
        <v>0.69530355097365404</v>
      </c>
      <c r="AF265" s="15">
        <f t="shared" si="157"/>
        <v>0.75030902348578488</v>
      </c>
      <c r="AG265" s="15">
        <f t="shared" si="158"/>
        <v>0.92668957617411229</v>
      </c>
      <c r="AH265" s="16"/>
      <c r="AI265" s="16"/>
      <c r="AJ265" s="16">
        <v>1746</v>
      </c>
      <c r="AK265" s="16">
        <f t="shared" si="148"/>
        <v>128</v>
      </c>
      <c r="AL265" s="16">
        <v>1618</v>
      </c>
      <c r="AM265" s="16">
        <v>1214</v>
      </c>
      <c r="AN265" s="16">
        <f t="shared" si="145"/>
        <v>404</v>
      </c>
      <c r="AO265" s="16"/>
      <c r="AP265" s="16"/>
      <c r="AQ265" s="80">
        <v>2014</v>
      </c>
      <c r="AR265" s="81" t="s">
        <v>43</v>
      </c>
      <c r="AS265" s="15">
        <f t="shared" si="159"/>
        <v>0.86335403726708071</v>
      </c>
      <c r="AT265" s="15">
        <f t="shared" si="160"/>
        <v>0.94237288135593222</v>
      </c>
      <c r="AU265" s="15">
        <f t="shared" si="161"/>
        <v>0.91614906832298137</v>
      </c>
      <c r="AV265" s="15"/>
      <c r="AW265" s="15"/>
      <c r="AX265" s="16">
        <v>322</v>
      </c>
      <c r="AY265" s="16">
        <f t="shared" si="149"/>
        <v>27</v>
      </c>
      <c r="AZ265" s="16">
        <v>295</v>
      </c>
      <c r="BA265" s="16">
        <v>278</v>
      </c>
      <c r="BB265" s="16">
        <f t="shared" si="146"/>
        <v>17</v>
      </c>
      <c r="BC265" s="16"/>
      <c r="BD265" s="16"/>
      <c r="BE265" s="80"/>
      <c r="BF265" s="81"/>
      <c r="BG265" s="15"/>
      <c r="BH265" s="15"/>
      <c r="BI265" s="15"/>
      <c r="BS265" s="80"/>
      <c r="BT265" s="81"/>
      <c r="BU265" s="15"/>
      <c r="BV265" s="15"/>
      <c r="BW265" s="15"/>
      <c r="CA265" s="45"/>
      <c r="CD265" s="45"/>
      <c r="CG265" s="80"/>
      <c r="CH265" s="81"/>
      <c r="CI265" s="15"/>
      <c r="CJ265" s="15"/>
      <c r="CK265" s="15"/>
      <c r="CO265" s="45"/>
      <c r="CR265" s="45"/>
    </row>
    <row r="266" spans="1:96" s="18" customFormat="1" ht="15" customHeight="1">
      <c r="A266" s="78">
        <v>2014</v>
      </c>
      <c r="B266" s="79" t="s">
        <v>44</v>
      </c>
      <c r="C266" s="15">
        <f t="shared" si="150"/>
        <v>0.70808080808080809</v>
      </c>
      <c r="D266" s="15">
        <f t="shared" si="151"/>
        <v>0.73572628043660793</v>
      </c>
      <c r="E266" s="15">
        <f t="shared" si="152"/>
        <v>0.9624242424242424</v>
      </c>
      <c r="F266" s="57"/>
      <c r="G266" s="34"/>
      <c r="H266" s="57">
        <f>+V266+AJ266+AX266+BL266+BS_GC_MP_Vill[[#This Row],[Trenes Programados]]</f>
        <v>4950</v>
      </c>
      <c r="I266" s="16">
        <f t="shared" si="142"/>
        <v>186</v>
      </c>
      <c r="J266" s="57">
        <f>+X266+AL266+AZ266+BN266+BS_GC_MP_Vill[[#This Row],[Trenes Corridos]]</f>
        <v>4764</v>
      </c>
      <c r="K266" s="57">
        <f>+Y266+AM266+BA266+BO266+BS_GC_MP_Vill[[#This Row],[Trenes Puntuales]]</f>
        <v>3505</v>
      </c>
      <c r="L266" s="16">
        <f t="shared" si="143"/>
        <v>1259</v>
      </c>
      <c r="M266" s="16"/>
      <c r="N266" s="16"/>
      <c r="O266" s="78">
        <v>2014</v>
      </c>
      <c r="P266" s="79" t="s">
        <v>44</v>
      </c>
      <c r="Q266" s="15">
        <f t="shared" si="153"/>
        <v>0.73677069199457257</v>
      </c>
      <c r="R266" s="15">
        <f t="shared" si="154"/>
        <v>0.76157082748948102</v>
      </c>
      <c r="S266" s="15">
        <f t="shared" si="155"/>
        <v>0.9674355495251018</v>
      </c>
      <c r="T266" s="16"/>
      <c r="U266" s="16"/>
      <c r="V266" s="16">
        <v>2948</v>
      </c>
      <c r="W266" s="16">
        <f t="shared" si="147"/>
        <v>96</v>
      </c>
      <c r="X266" s="16">
        <v>2852</v>
      </c>
      <c r="Y266" s="16">
        <v>2172</v>
      </c>
      <c r="Z266" s="16">
        <f t="shared" si="144"/>
        <v>680</v>
      </c>
      <c r="AA266" s="16"/>
      <c r="AB266" s="16"/>
      <c r="AC266" s="78">
        <v>2014</v>
      </c>
      <c r="AD266" s="79" t="s">
        <v>44</v>
      </c>
      <c r="AE266" s="15">
        <f t="shared" si="156"/>
        <v>0.63282172373081469</v>
      </c>
      <c r="AF266" s="15">
        <f t="shared" si="157"/>
        <v>0.65686274509803921</v>
      </c>
      <c r="AG266" s="15">
        <f t="shared" si="158"/>
        <v>0.9634002361275088</v>
      </c>
      <c r="AH266" s="16"/>
      <c r="AI266" s="16"/>
      <c r="AJ266" s="16">
        <v>1694</v>
      </c>
      <c r="AK266" s="16">
        <f t="shared" si="148"/>
        <v>62</v>
      </c>
      <c r="AL266" s="16">
        <v>1632</v>
      </c>
      <c r="AM266" s="16">
        <v>1072</v>
      </c>
      <c r="AN266" s="16">
        <f t="shared" si="145"/>
        <v>560</v>
      </c>
      <c r="AO266" s="16"/>
      <c r="AP266" s="16"/>
      <c r="AQ266" s="78">
        <v>2014</v>
      </c>
      <c r="AR266" s="79" t="s">
        <v>44</v>
      </c>
      <c r="AS266" s="15">
        <f t="shared" si="159"/>
        <v>0.84740259740259738</v>
      </c>
      <c r="AT266" s="15">
        <f t="shared" si="160"/>
        <v>0.93214285714285716</v>
      </c>
      <c r="AU266" s="15">
        <f t="shared" si="161"/>
        <v>0.90909090909090906</v>
      </c>
      <c r="AV266" s="15"/>
      <c r="AW266" s="15"/>
      <c r="AX266" s="16">
        <v>308</v>
      </c>
      <c r="AY266" s="16">
        <f t="shared" si="149"/>
        <v>28</v>
      </c>
      <c r="AZ266" s="16">
        <v>280</v>
      </c>
      <c r="BA266" s="16">
        <v>261</v>
      </c>
      <c r="BB266" s="16">
        <f t="shared" si="146"/>
        <v>19</v>
      </c>
      <c r="BC266" s="16"/>
      <c r="BD266" s="16"/>
      <c r="BE266" s="78"/>
      <c r="BF266" s="79"/>
      <c r="BG266" s="15"/>
      <c r="BH266" s="15"/>
      <c r="BI266" s="15"/>
      <c r="BS266" s="78"/>
      <c r="BT266" s="79"/>
      <c r="BU266" s="15"/>
      <c r="BV266" s="15"/>
      <c r="BW266" s="15"/>
      <c r="CA266" s="45"/>
      <c r="CD266" s="45"/>
      <c r="CG266" s="78"/>
      <c r="CH266" s="79"/>
      <c r="CI266" s="15"/>
      <c r="CJ266" s="15"/>
      <c r="CK266" s="15"/>
      <c r="CO266" s="45"/>
      <c r="CR266" s="45"/>
    </row>
    <row r="267" spans="1:96" s="18" customFormat="1" ht="15" customHeight="1">
      <c r="A267" s="80">
        <v>2014</v>
      </c>
      <c r="B267" s="81" t="s">
        <v>45</v>
      </c>
      <c r="C267" s="15">
        <f t="shared" si="150"/>
        <v>0.74616895874263256</v>
      </c>
      <c r="D267" s="15">
        <f t="shared" si="151"/>
        <v>0.85772357723577231</v>
      </c>
      <c r="E267" s="15">
        <f t="shared" si="152"/>
        <v>0.8699410609037328</v>
      </c>
      <c r="F267" s="57"/>
      <c r="G267" s="34"/>
      <c r="H267" s="57">
        <f>+V267+AJ267+AX267+BL267+BS_GC_MP_Vill[[#This Row],[Trenes Programados]]</f>
        <v>5090</v>
      </c>
      <c r="I267" s="16">
        <f t="shared" si="142"/>
        <v>662</v>
      </c>
      <c r="J267" s="57">
        <f>+X267+AL267+AZ267+BN267+BS_GC_MP_Vill[[#This Row],[Trenes Corridos]]</f>
        <v>4428</v>
      </c>
      <c r="K267" s="57">
        <f>+Y267+AM267+BA267+BO267+BS_GC_MP_Vill[[#This Row],[Trenes Puntuales]]</f>
        <v>3798</v>
      </c>
      <c r="L267" s="16">
        <f t="shared" si="143"/>
        <v>630</v>
      </c>
      <c r="M267" s="16"/>
      <c r="N267" s="16"/>
      <c r="O267" s="80">
        <v>2014</v>
      </c>
      <c r="P267" s="81" t="s">
        <v>45</v>
      </c>
      <c r="Q267" s="15">
        <f t="shared" si="153"/>
        <v>0.85718789407314</v>
      </c>
      <c r="R267" s="15">
        <f t="shared" si="154"/>
        <v>0.87908179760750083</v>
      </c>
      <c r="S267" s="15">
        <f t="shared" si="155"/>
        <v>0.97509457755359397</v>
      </c>
      <c r="T267" s="16"/>
      <c r="U267" s="16"/>
      <c r="V267" s="16">
        <v>3172</v>
      </c>
      <c r="W267" s="16">
        <f t="shared" si="147"/>
        <v>79</v>
      </c>
      <c r="X267" s="16">
        <v>3093</v>
      </c>
      <c r="Y267" s="16">
        <v>2719</v>
      </c>
      <c r="Z267" s="16">
        <f t="shared" si="144"/>
        <v>374</v>
      </c>
      <c r="AA267" s="16"/>
      <c r="AB267" s="16"/>
      <c r="AC267" s="80">
        <v>2014</v>
      </c>
      <c r="AD267" s="81" t="s">
        <v>45</v>
      </c>
      <c r="AE267" s="15">
        <f t="shared" si="156"/>
        <v>0.52315394242803503</v>
      </c>
      <c r="AF267" s="15">
        <f t="shared" si="157"/>
        <v>0.7857142857142857</v>
      </c>
      <c r="AG267" s="15">
        <f t="shared" si="158"/>
        <v>0.66583229036295366</v>
      </c>
      <c r="AH267" s="16"/>
      <c r="AI267" s="16"/>
      <c r="AJ267" s="16">
        <v>1598</v>
      </c>
      <c r="AK267" s="16">
        <f t="shared" si="148"/>
        <v>534</v>
      </c>
      <c r="AL267" s="16">
        <v>1064</v>
      </c>
      <c r="AM267" s="16">
        <v>836</v>
      </c>
      <c r="AN267" s="16">
        <f t="shared" si="145"/>
        <v>228</v>
      </c>
      <c r="AO267" s="16"/>
      <c r="AP267" s="16"/>
      <c r="AQ267" s="80">
        <v>2014</v>
      </c>
      <c r="AR267" s="81" t="s">
        <v>45</v>
      </c>
      <c r="AS267" s="15">
        <f t="shared" si="159"/>
        <v>0.75937500000000002</v>
      </c>
      <c r="AT267" s="15">
        <f t="shared" si="160"/>
        <v>0.89667896678966785</v>
      </c>
      <c r="AU267" s="15">
        <f t="shared" si="161"/>
        <v>0.84687500000000004</v>
      </c>
      <c r="AV267" s="15"/>
      <c r="AW267" s="15"/>
      <c r="AX267" s="16">
        <v>320</v>
      </c>
      <c r="AY267" s="16">
        <f t="shared" si="149"/>
        <v>49</v>
      </c>
      <c r="AZ267" s="16">
        <v>271</v>
      </c>
      <c r="BA267" s="16">
        <v>243</v>
      </c>
      <c r="BB267" s="16">
        <f t="shared" si="146"/>
        <v>28</v>
      </c>
      <c r="BC267" s="16"/>
      <c r="BD267" s="16"/>
      <c r="BE267" s="80"/>
      <c r="BF267" s="81"/>
      <c r="BG267" s="15"/>
      <c r="BH267" s="15"/>
      <c r="BI267" s="15"/>
      <c r="BS267" s="80"/>
      <c r="BT267" s="81"/>
      <c r="BU267" s="15"/>
      <c r="BV267" s="15"/>
      <c r="BW267" s="15"/>
      <c r="CA267" s="45"/>
      <c r="CD267" s="45"/>
      <c r="CG267" s="80"/>
      <c r="CH267" s="81"/>
      <c r="CI267" s="15"/>
      <c r="CJ267" s="15"/>
      <c r="CK267" s="15"/>
      <c r="CO267" s="45"/>
      <c r="CR267" s="45"/>
    </row>
    <row r="268" spans="1:96" s="18" customFormat="1" ht="15" customHeight="1">
      <c r="A268" s="78">
        <v>2014</v>
      </c>
      <c r="B268" s="79" t="s">
        <v>46</v>
      </c>
      <c r="C268" s="15">
        <f t="shared" si="150"/>
        <v>0.70898277276456112</v>
      </c>
      <c r="D268" s="15">
        <f t="shared" si="151"/>
        <v>0.89559585492227978</v>
      </c>
      <c r="E268" s="15">
        <f t="shared" si="152"/>
        <v>0.79163248564397048</v>
      </c>
      <c r="F268" s="57"/>
      <c r="G268" s="34"/>
      <c r="H268" s="57">
        <f>+V268+AJ268+AX268+BL268+BS_GC_MP_Vill[[#This Row],[Trenes Programados]]</f>
        <v>4876</v>
      </c>
      <c r="I268" s="16">
        <f t="shared" si="142"/>
        <v>1016</v>
      </c>
      <c r="J268" s="57">
        <f>+X268+AL268+AZ268+BN268+BS_GC_MP_Vill[[#This Row],[Trenes Corridos]]</f>
        <v>3860</v>
      </c>
      <c r="K268" s="57">
        <f>+Y268+AM268+BA268+BO268+BS_GC_MP_Vill[[#This Row],[Trenes Puntuales]]</f>
        <v>3457</v>
      </c>
      <c r="L268" s="16">
        <f t="shared" si="143"/>
        <v>403</v>
      </c>
      <c r="M268" s="16"/>
      <c r="N268" s="16"/>
      <c r="O268" s="78">
        <v>2014</v>
      </c>
      <c r="P268" s="79" t="s">
        <v>46</v>
      </c>
      <c r="Q268" s="15">
        <f t="shared" si="153"/>
        <v>0.86096433289299867</v>
      </c>
      <c r="R268" s="15">
        <f t="shared" si="154"/>
        <v>0.90804597701149425</v>
      </c>
      <c r="S268" s="15">
        <f t="shared" si="155"/>
        <v>0.9481505944517834</v>
      </c>
      <c r="T268" s="16"/>
      <c r="U268" s="16"/>
      <c r="V268" s="16">
        <v>3028</v>
      </c>
      <c r="W268" s="16">
        <f t="shared" si="147"/>
        <v>157</v>
      </c>
      <c r="X268" s="16">
        <v>2871</v>
      </c>
      <c r="Y268" s="16">
        <v>2607</v>
      </c>
      <c r="Z268" s="16">
        <f t="shared" si="144"/>
        <v>264</v>
      </c>
      <c r="AA268" s="16"/>
      <c r="AB268" s="16"/>
      <c r="AC268" s="78">
        <v>2014</v>
      </c>
      <c r="AD268" s="79" t="s">
        <v>46</v>
      </c>
      <c r="AE268" s="15">
        <f t="shared" si="156"/>
        <v>0.38736979166666669</v>
      </c>
      <c r="AF268" s="15">
        <f t="shared" si="157"/>
        <v>0.82524271844660191</v>
      </c>
      <c r="AG268" s="15">
        <f t="shared" si="158"/>
        <v>0.46940104166666669</v>
      </c>
      <c r="AH268" s="16"/>
      <c r="AI268" s="16"/>
      <c r="AJ268" s="16">
        <v>1536</v>
      </c>
      <c r="AK268" s="16">
        <f t="shared" si="148"/>
        <v>815</v>
      </c>
      <c r="AL268" s="16">
        <v>721</v>
      </c>
      <c r="AM268" s="16">
        <v>595</v>
      </c>
      <c r="AN268" s="16">
        <f t="shared" si="145"/>
        <v>126</v>
      </c>
      <c r="AO268" s="16"/>
      <c r="AP268" s="16"/>
      <c r="AQ268" s="78">
        <v>2014</v>
      </c>
      <c r="AR268" s="79" t="s">
        <v>46</v>
      </c>
      <c r="AS268" s="15">
        <f t="shared" si="159"/>
        <v>0.81730769230769229</v>
      </c>
      <c r="AT268" s="15">
        <f t="shared" si="160"/>
        <v>0.95149253731343286</v>
      </c>
      <c r="AU268" s="15">
        <f t="shared" si="161"/>
        <v>0.85897435897435892</v>
      </c>
      <c r="AV268" s="15"/>
      <c r="AW268" s="15"/>
      <c r="AX268" s="16">
        <v>312</v>
      </c>
      <c r="AY268" s="16">
        <f t="shared" si="149"/>
        <v>44</v>
      </c>
      <c r="AZ268" s="16">
        <v>268</v>
      </c>
      <c r="BA268" s="16">
        <v>255</v>
      </c>
      <c r="BB268" s="16">
        <f t="shared" si="146"/>
        <v>13</v>
      </c>
      <c r="BC268" s="16"/>
      <c r="BD268" s="16"/>
      <c r="BE268" s="78"/>
      <c r="BF268" s="79"/>
      <c r="BG268" s="15"/>
      <c r="BH268" s="15"/>
      <c r="BI268" s="15"/>
      <c r="BS268" s="78"/>
      <c r="BT268" s="79"/>
      <c r="BU268" s="15"/>
      <c r="BV268" s="15"/>
      <c r="BW268" s="15"/>
      <c r="CA268" s="45"/>
      <c r="CD268" s="45"/>
      <c r="CG268" s="78"/>
      <c r="CH268" s="79"/>
      <c r="CI268" s="15"/>
      <c r="CJ268" s="15"/>
      <c r="CK268" s="15"/>
      <c r="CO268" s="45"/>
      <c r="CR268" s="45"/>
    </row>
    <row r="269" spans="1:96" s="18" customFormat="1" ht="15" customHeight="1">
      <c r="A269" s="80">
        <v>2014</v>
      </c>
      <c r="B269" s="81" t="s">
        <v>47</v>
      </c>
      <c r="C269" s="15">
        <f t="shared" si="150"/>
        <v>0.80047885075818037</v>
      </c>
      <c r="D269" s="15">
        <f t="shared" si="151"/>
        <v>0.85398041719880802</v>
      </c>
      <c r="E269" s="15">
        <f t="shared" si="152"/>
        <v>0.93735035913806863</v>
      </c>
      <c r="F269" s="57"/>
      <c r="G269" s="34"/>
      <c r="H269" s="57">
        <f>+V269+AJ269+AX269+BL269+BS_GC_MP_Vill[[#This Row],[Trenes Programados]]</f>
        <v>5012</v>
      </c>
      <c r="I269" s="16">
        <f t="shared" si="142"/>
        <v>314</v>
      </c>
      <c r="J269" s="57">
        <f>+X269+AL269+AZ269+BN269+BS_GC_MP_Vill[[#This Row],[Trenes Corridos]]</f>
        <v>4698</v>
      </c>
      <c r="K269" s="57">
        <f>+Y269+AM269+BA269+BO269+BS_GC_MP_Vill[[#This Row],[Trenes Puntuales]]</f>
        <v>4012</v>
      </c>
      <c r="L269" s="16">
        <f t="shared" si="143"/>
        <v>686</v>
      </c>
      <c r="M269" s="16"/>
      <c r="N269" s="16"/>
      <c r="O269" s="80">
        <v>2014</v>
      </c>
      <c r="P269" s="81" t="s">
        <v>47</v>
      </c>
      <c r="Q269" s="15">
        <f t="shared" si="153"/>
        <v>0.8285070785070785</v>
      </c>
      <c r="R269" s="15">
        <f t="shared" si="154"/>
        <v>0.87614834977883638</v>
      </c>
      <c r="S269" s="15">
        <f t="shared" si="155"/>
        <v>0.94562419562419564</v>
      </c>
      <c r="T269" s="16"/>
      <c r="U269" s="16"/>
      <c r="V269" s="16">
        <v>3108</v>
      </c>
      <c r="W269" s="16">
        <f t="shared" si="147"/>
        <v>169</v>
      </c>
      <c r="X269" s="16">
        <v>2939</v>
      </c>
      <c r="Y269" s="16">
        <v>2575</v>
      </c>
      <c r="Z269" s="16">
        <f t="shared" si="144"/>
        <v>364</v>
      </c>
      <c r="AA269" s="16"/>
      <c r="AB269" s="16"/>
      <c r="AC269" s="80">
        <v>2014</v>
      </c>
      <c r="AD269" s="81" t="s">
        <v>47</v>
      </c>
      <c r="AE269" s="15">
        <f t="shared" si="156"/>
        <v>0.74367088607594933</v>
      </c>
      <c r="AF269" s="15">
        <f t="shared" si="157"/>
        <v>0.80589849108367628</v>
      </c>
      <c r="AG269" s="15">
        <f t="shared" si="158"/>
        <v>0.92278481012658231</v>
      </c>
      <c r="AH269" s="16"/>
      <c r="AI269" s="16"/>
      <c r="AJ269" s="16">
        <v>1580</v>
      </c>
      <c r="AK269" s="16">
        <f t="shared" si="148"/>
        <v>122</v>
      </c>
      <c r="AL269" s="16">
        <v>1458</v>
      </c>
      <c r="AM269" s="16">
        <v>1175</v>
      </c>
      <c r="AN269" s="16">
        <f t="shared" si="145"/>
        <v>283</v>
      </c>
      <c r="AO269" s="16"/>
      <c r="AP269" s="16"/>
      <c r="AQ269" s="80">
        <v>2014</v>
      </c>
      <c r="AR269" s="81" t="s">
        <v>47</v>
      </c>
      <c r="AS269" s="15">
        <f t="shared" si="159"/>
        <v>0.80864197530864201</v>
      </c>
      <c r="AT269" s="15">
        <f t="shared" si="160"/>
        <v>0.87043189368770768</v>
      </c>
      <c r="AU269" s="15">
        <f t="shared" si="161"/>
        <v>0.92901234567901236</v>
      </c>
      <c r="AV269" s="15"/>
      <c r="AW269" s="15"/>
      <c r="AX269" s="16">
        <v>324</v>
      </c>
      <c r="AY269" s="16">
        <f t="shared" si="149"/>
        <v>23</v>
      </c>
      <c r="AZ269" s="16">
        <v>301</v>
      </c>
      <c r="BA269" s="16">
        <v>262</v>
      </c>
      <c r="BB269" s="16">
        <f t="shared" si="146"/>
        <v>39</v>
      </c>
      <c r="BC269" s="16"/>
      <c r="BD269" s="16"/>
      <c r="BE269" s="80"/>
      <c r="BF269" s="81"/>
      <c r="BG269" s="15"/>
      <c r="BH269" s="15"/>
      <c r="BI269" s="15"/>
      <c r="BS269" s="80"/>
      <c r="BT269" s="81"/>
      <c r="BU269" s="15"/>
      <c r="BV269" s="15"/>
      <c r="BW269" s="15"/>
      <c r="CA269" s="45"/>
      <c r="CD269" s="45"/>
      <c r="CG269" s="80"/>
      <c r="CH269" s="81"/>
      <c r="CI269" s="15"/>
      <c r="CJ269" s="15"/>
      <c r="CK269" s="15"/>
      <c r="CO269" s="45"/>
      <c r="CR269" s="45"/>
    </row>
    <row r="270" spans="1:96" s="18" customFormat="1" ht="15" customHeight="1">
      <c r="A270" s="78">
        <v>2015</v>
      </c>
      <c r="B270" s="79" t="s">
        <v>36</v>
      </c>
      <c r="C270" s="15">
        <f t="shared" si="150"/>
        <v>0.8320880849390484</v>
      </c>
      <c r="D270" s="15">
        <f t="shared" si="151"/>
        <v>0.89604065212788486</v>
      </c>
      <c r="E270" s="15">
        <f t="shared" si="152"/>
        <v>0.92862760519071963</v>
      </c>
      <c r="F270" s="57"/>
      <c r="G270" s="34"/>
      <c r="H270" s="57">
        <f>+V270+AJ270+AX270+BL270+BS_GC_MP_Vill[[#This Row],[Trenes Programados]]</f>
        <v>5086</v>
      </c>
      <c r="I270" s="16">
        <f t="shared" ref="I270:I281" si="162">H270-J270</f>
        <v>363</v>
      </c>
      <c r="J270" s="57">
        <f>+X270+AL270+AZ270+BN270+BS_GC_MP_Vill[[#This Row],[Trenes Corridos]]</f>
        <v>4723</v>
      </c>
      <c r="K270" s="57">
        <f>+Y270+AM270+BA270+BO270+BS_GC_MP_Vill[[#This Row],[Trenes Puntuales]]</f>
        <v>4232</v>
      </c>
      <c r="L270" s="16">
        <f t="shared" ref="L270:L281" si="163">J270-K270</f>
        <v>491</v>
      </c>
      <c r="M270" s="16"/>
      <c r="N270" s="16"/>
      <c r="O270" s="78">
        <v>2015</v>
      </c>
      <c r="P270" s="79" t="s">
        <v>36</v>
      </c>
      <c r="Q270" s="15">
        <f t="shared" si="153"/>
        <v>0.87973484848484851</v>
      </c>
      <c r="R270" s="15">
        <f t="shared" si="154"/>
        <v>0.92101784534038333</v>
      </c>
      <c r="S270" s="15">
        <f t="shared" si="155"/>
        <v>0.95517676767676762</v>
      </c>
      <c r="T270" s="16"/>
      <c r="U270" s="16"/>
      <c r="V270" s="16">
        <v>3168</v>
      </c>
      <c r="W270" s="16">
        <f t="shared" ref="W270:W281" si="164">V270-X270</f>
        <v>142</v>
      </c>
      <c r="X270" s="16">
        <v>3026</v>
      </c>
      <c r="Y270" s="16">
        <v>2787</v>
      </c>
      <c r="Z270" s="16">
        <f t="shared" ref="Z270:Z281" si="165">X270-Y270</f>
        <v>239</v>
      </c>
      <c r="AA270" s="16"/>
      <c r="AB270" s="16"/>
      <c r="AC270" s="78">
        <v>2015</v>
      </c>
      <c r="AD270" s="79" t="s">
        <v>36</v>
      </c>
      <c r="AE270" s="15">
        <f t="shared" si="156"/>
        <v>0.81163954943679595</v>
      </c>
      <c r="AF270" s="15">
        <f t="shared" si="157"/>
        <v>0.84550195567144715</v>
      </c>
      <c r="AG270" s="15">
        <f t="shared" si="158"/>
        <v>0.95994993742177726</v>
      </c>
      <c r="AH270" s="16"/>
      <c r="AI270" s="16"/>
      <c r="AJ270" s="16">
        <v>1598</v>
      </c>
      <c r="AK270" s="16">
        <f t="shared" ref="AK270:AK281" si="166">AJ270-AL270</f>
        <v>64</v>
      </c>
      <c r="AL270" s="16">
        <v>1534</v>
      </c>
      <c r="AM270" s="16">
        <v>1297</v>
      </c>
      <c r="AN270" s="16">
        <f t="shared" ref="AN270:AN281" si="167">AL270-AM270</f>
        <v>237</v>
      </c>
      <c r="AO270" s="16"/>
      <c r="AP270" s="16"/>
      <c r="AQ270" s="78">
        <v>2015</v>
      </c>
      <c r="AR270" s="79" t="s">
        <v>36</v>
      </c>
      <c r="AS270" s="15">
        <f t="shared" si="159"/>
        <v>0.46250000000000002</v>
      </c>
      <c r="AT270" s="15">
        <f t="shared" si="160"/>
        <v>0.90797546012269936</v>
      </c>
      <c r="AU270" s="15">
        <f t="shared" si="161"/>
        <v>0.50937500000000002</v>
      </c>
      <c r="AV270" s="15"/>
      <c r="AW270" s="15"/>
      <c r="AX270" s="16">
        <v>320</v>
      </c>
      <c r="AY270" s="16">
        <f t="shared" ref="AY270:AY281" si="168">AX270-AZ270</f>
        <v>157</v>
      </c>
      <c r="AZ270" s="16">
        <v>163</v>
      </c>
      <c r="BA270" s="16">
        <v>148</v>
      </c>
      <c r="BB270" s="16">
        <f t="shared" ref="BB270:BB281" si="169">AZ270-BA270</f>
        <v>15</v>
      </c>
      <c r="BC270" s="16"/>
      <c r="BD270" s="16"/>
      <c r="BE270" s="78"/>
      <c r="BF270" s="79"/>
      <c r="BG270" s="15"/>
      <c r="BH270" s="15"/>
      <c r="BI270" s="15"/>
      <c r="BS270" s="78"/>
      <c r="BT270" s="79"/>
      <c r="BU270" s="15"/>
      <c r="BV270" s="15"/>
      <c r="BW270" s="15"/>
      <c r="CA270" s="45"/>
      <c r="CD270" s="45"/>
      <c r="CG270" s="78"/>
      <c r="CH270" s="79"/>
      <c r="CI270" s="15"/>
      <c r="CJ270" s="15"/>
      <c r="CK270" s="15"/>
      <c r="CO270" s="45"/>
      <c r="CR270" s="45"/>
    </row>
    <row r="271" spans="1:96" s="18" customFormat="1" ht="15" customHeight="1">
      <c r="A271" s="80">
        <v>2015</v>
      </c>
      <c r="B271" s="81" t="s">
        <v>37</v>
      </c>
      <c r="C271" s="15">
        <f t="shared" si="150"/>
        <v>0.84728955486998681</v>
      </c>
      <c r="D271" s="15">
        <f t="shared" si="151"/>
        <v>0.87525608923287046</v>
      </c>
      <c r="E271" s="15">
        <f t="shared" si="152"/>
        <v>0.96804759806081975</v>
      </c>
      <c r="F271" s="57"/>
      <c r="G271" s="34"/>
      <c r="H271" s="57">
        <f>+V271+AJ271+AX271+BL271+BS_GC_MP_Vill[[#This Row],[Trenes Programados]]</f>
        <v>4538</v>
      </c>
      <c r="I271" s="16">
        <f t="shared" si="162"/>
        <v>145</v>
      </c>
      <c r="J271" s="57">
        <f>+X271+AL271+AZ271+BN271+BS_GC_MP_Vill[[#This Row],[Trenes Corridos]]</f>
        <v>4393</v>
      </c>
      <c r="K271" s="57">
        <f>+Y271+AM271+BA271+BO271+BS_GC_MP_Vill[[#This Row],[Trenes Puntuales]]</f>
        <v>3845</v>
      </c>
      <c r="L271" s="16">
        <f t="shared" si="163"/>
        <v>548</v>
      </c>
      <c r="M271" s="16"/>
      <c r="N271" s="16"/>
      <c r="O271" s="80">
        <v>2015</v>
      </c>
      <c r="P271" s="81" t="s">
        <v>37</v>
      </c>
      <c r="Q271" s="15">
        <f t="shared" si="153"/>
        <v>0.875</v>
      </c>
      <c r="R271" s="15">
        <f t="shared" si="154"/>
        <v>0.90289483327226094</v>
      </c>
      <c r="S271" s="15">
        <f t="shared" si="155"/>
        <v>0.96910511363636365</v>
      </c>
      <c r="T271" s="16"/>
      <c r="U271" s="16"/>
      <c r="V271" s="16">
        <v>2816</v>
      </c>
      <c r="W271" s="16">
        <f t="shared" si="164"/>
        <v>87</v>
      </c>
      <c r="X271" s="16">
        <v>2729</v>
      </c>
      <c r="Y271" s="16">
        <v>2464</v>
      </c>
      <c r="Z271" s="16">
        <f t="shared" si="165"/>
        <v>265</v>
      </c>
      <c r="AA271" s="16"/>
      <c r="AB271" s="16"/>
      <c r="AC271" s="80">
        <v>2015</v>
      </c>
      <c r="AD271" s="81" t="s">
        <v>37</v>
      </c>
      <c r="AE271" s="15">
        <f t="shared" si="156"/>
        <v>0.80349650349650348</v>
      </c>
      <c r="AF271" s="15">
        <f t="shared" si="157"/>
        <v>0.82661870503597124</v>
      </c>
      <c r="AG271" s="15">
        <f t="shared" si="158"/>
        <v>0.97202797202797198</v>
      </c>
      <c r="AH271" s="16"/>
      <c r="AI271" s="16"/>
      <c r="AJ271" s="16">
        <v>1430</v>
      </c>
      <c r="AK271" s="16">
        <f t="shared" si="166"/>
        <v>40</v>
      </c>
      <c r="AL271" s="16">
        <v>1390</v>
      </c>
      <c r="AM271" s="16">
        <v>1149</v>
      </c>
      <c r="AN271" s="16">
        <f t="shared" si="167"/>
        <v>241</v>
      </c>
      <c r="AO271" s="16"/>
      <c r="AP271" s="16"/>
      <c r="AQ271" s="80">
        <v>2015</v>
      </c>
      <c r="AR271" s="81" t="s">
        <v>37</v>
      </c>
      <c r="AS271" s="15">
        <f t="shared" si="159"/>
        <v>0.79452054794520544</v>
      </c>
      <c r="AT271" s="15">
        <f t="shared" si="160"/>
        <v>0.84671532846715325</v>
      </c>
      <c r="AU271" s="15">
        <f t="shared" si="161"/>
        <v>0.93835616438356162</v>
      </c>
      <c r="AV271" s="15"/>
      <c r="AW271" s="15"/>
      <c r="AX271" s="16">
        <v>292</v>
      </c>
      <c r="AY271" s="16">
        <f t="shared" si="168"/>
        <v>18</v>
      </c>
      <c r="AZ271" s="16">
        <v>274</v>
      </c>
      <c r="BA271" s="16">
        <v>232</v>
      </c>
      <c r="BB271" s="16">
        <f t="shared" si="169"/>
        <v>42</v>
      </c>
      <c r="BC271" s="16"/>
      <c r="BD271" s="16"/>
      <c r="BE271" s="80"/>
      <c r="BF271" s="81"/>
      <c r="BG271" s="15"/>
      <c r="BH271" s="15"/>
      <c r="BI271" s="15"/>
      <c r="BS271" s="80"/>
      <c r="BT271" s="81"/>
      <c r="BU271" s="15"/>
      <c r="BV271" s="15"/>
      <c r="BW271" s="15"/>
      <c r="CA271" s="45"/>
      <c r="CD271" s="45"/>
      <c r="CG271" s="80"/>
      <c r="CH271" s="81"/>
      <c r="CI271" s="15"/>
      <c r="CJ271" s="15"/>
      <c r="CK271" s="15"/>
      <c r="CO271" s="45"/>
      <c r="CR271" s="45"/>
    </row>
    <row r="272" spans="1:96" s="18" customFormat="1" ht="15" customHeight="1">
      <c r="A272" s="78">
        <v>2015</v>
      </c>
      <c r="B272" s="79" t="s">
        <v>38</v>
      </c>
      <c r="C272" s="15">
        <f t="shared" si="150"/>
        <v>0.77294493216280924</v>
      </c>
      <c r="D272" s="15">
        <f t="shared" si="151"/>
        <v>0.84881682734443475</v>
      </c>
      <c r="E272" s="15">
        <f t="shared" si="152"/>
        <v>0.91061452513966479</v>
      </c>
      <c r="F272" s="57"/>
      <c r="G272" s="34"/>
      <c r="H272" s="57">
        <f>+V272+AJ272+AX272+BL272+BS_GC_MP_Vill[[#This Row],[Trenes Programados]]</f>
        <v>5012</v>
      </c>
      <c r="I272" s="16">
        <f t="shared" si="162"/>
        <v>448</v>
      </c>
      <c r="J272" s="57">
        <f>+X272+AL272+AZ272+BN272+BS_GC_MP_Vill[[#This Row],[Trenes Corridos]]</f>
        <v>4564</v>
      </c>
      <c r="K272" s="57">
        <f>+Y272+AM272+BA272+BO272+BS_GC_MP_Vill[[#This Row],[Trenes Puntuales]]</f>
        <v>3874</v>
      </c>
      <c r="L272" s="16">
        <f t="shared" si="163"/>
        <v>690</v>
      </c>
      <c r="M272" s="16"/>
      <c r="N272" s="16"/>
      <c r="O272" s="78">
        <v>2015</v>
      </c>
      <c r="P272" s="79" t="s">
        <v>38</v>
      </c>
      <c r="Q272" s="15">
        <f t="shared" si="153"/>
        <v>0.77992277992277992</v>
      </c>
      <c r="R272" s="15">
        <f t="shared" si="154"/>
        <v>0.87037701974865345</v>
      </c>
      <c r="S272" s="15">
        <f t="shared" si="155"/>
        <v>0.89607464607464604</v>
      </c>
      <c r="T272" s="16"/>
      <c r="U272" s="16"/>
      <c r="V272" s="16">
        <v>3108</v>
      </c>
      <c r="W272" s="16">
        <f t="shared" si="164"/>
        <v>323</v>
      </c>
      <c r="X272" s="16">
        <v>2785</v>
      </c>
      <c r="Y272" s="16">
        <v>2424</v>
      </c>
      <c r="Z272" s="16">
        <f t="shared" si="165"/>
        <v>361</v>
      </c>
      <c r="AA272" s="16"/>
      <c r="AB272" s="16"/>
      <c r="AC272" s="78">
        <v>2015</v>
      </c>
      <c r="AD272" s="79" t="s">
        <v>38</v>
      </c>
      <c r="AE272" s="15">
        <f t="shared" si="156"/>
        <v>0.74493670886075947</v>
      </c>
      <c r="AF272" s="15">
        <f t="shared" si="157"/>
        <v>0.80013596193065939</v>
      </c>
      <c r="AG272" s="15">
        <f t="shared" si="158"/>
        <v>0.93101265822784807</v>
      </c>
      <c r="AH272" s="16"/>
      <c r="AI272" s="16"/>
      <c r="AJ272" s="16">
        <v>1580</v>
      </c>
      <c r="AK272" s="16">
        <f t="shared" si="166"/>
        <v>109</v>
      </c>
      <c r="AL272" s="16">
        <v>1471</v>
      </c>
      <c r="AM272" s="16">
        <v>1177</v>
      </c>
      <c r="AN272" s="16">
        <f t="shared" si="167"/>
        <v>294</v>
      </c>
      <c r="AO272" s="16"/>
      <c r="AP272" s="16"/>
      <c r="AQ272" s="78">
        <v>2015</v>
      </c>
      <c r="AR272" s="79" t="s">
        <v>38</v>
      </c>
      <c r="AS272" s="15">
        <f t="shared" si="159"/>
        <v>0.84259259259259256</v>
      </c>
      <c r="AT272" s="15">
        <f t="shared" si="160"/>
        <v>0.88636363636363635</v>
      </c>
      <c r="AU272" s="15">
        <f t="shared" si="161"/>
        <v>0.95061728395061729</v>
      </c>
      <c r="AV272" s="15"/>
      <c r="AW272" s="15"/>
      <c r="AX272" s="16">
        <v>324</v>
      </c>
      <c r="AY272" s="16">
        <f t="shared" si="168"/>
        <v>16</v>
      </c>
      <c r="AZ272" s="16">
        <v>308</v>
      </c>
      <c r="BA272" s="16">
        <v>273</v>
      </c>
      <c r="BB272" s="16">
        <f t="shared" si="169"/>
        <v>35</v>
      </c>
      <c r="BC272" s="16"/>
      <c r="BD272" s="16"/>
      <c r="BE272" s="78"/>
      <c r="BF272" s="79"/>
      <c r="BG272" s="15"/>
      <c r="BH272" s="15"/>
      <c r="BI272" s="15"/>
      <c r="BS272" s="78"/>
      <c r="BT272" s="79"/>
      <c r="BU272" s="15"/>
      <c r="BV272" s="15"/>
      <c r="BW272" s="15"/>
      <c r="CA272" s="45"/>
      <c r="CD272" s="45"/>
      <c r="CG272" s="78"/>
      <c r="CH272" s="79"/>
      <c r="CI272" s="15"/>
      <c r="CJ272" s="15"/>
      <c r="CK272" s="15"/>
      <c r="CO272" s="45"/>
      <c r="CR272" s="45"/>
    </row>
    <row r="273" spans="1:96" s="18" customFormat="1" ht="15" customHeight="1">
      <c r="A273" s="80">
        <v>2015</v>
      </c>
      <c r="B273" s="81" t="s">
        <v>39</v>
      </c>
      <c r="C273" s="15">
        <f t="shared" si="150"/>
        <v>0.80881147540983611</v>
      </c>
      <c r="D273" s="15">
        <f t="shared" si="151"/>
        <v>0.84032361081541407</v>
      </c>
      <c r="E273" s="15">
        <f t="shared" si="152"/>
        <v>0.96250000000000002</v>
      </c>
      <c r="F273" s="57"/>
      <c r="G273" s="34"/>
      <c r="H273" s="57">
        <f>+V273+AJ273+AX273+BL273+BS_GC_MP_Vill[[#This Row],[Trenes Programados]]</f>
        <v>4880</v>
      </c>
      <c r="I273" s="16">
        <f t="shared" si="162"/>
        <v>183</v>
      </c>
      <c r="J273" s="57">
        <f>+X273+AL273+AZ273+BN273+BS_GC_MP_Vill[[#This Row],[Trenes Corridos]]</f>
        <v>4697</v>
      </c>
      <c r="K273" s="57">
        <f>+Y273+AM273+BA273+BO273+BS_GC_MP_Vill[[#This Row],[Trenes Puntuales]]</f>
        <v>3947</v>
      </c>
      <c r="L273" s="16">
        <f t="shared" si="163"/>
        <v>750</v>
      </c>
      <c r="M273" s="16"/>
      <c r="N273" s="16"/>
      <c r="O273" s="80">
        <v>2015</v>
      </c>
      <c r="P273" s="81" t="s">
        <v>39</v>
      </c>
      <c r="Q273" s="15">
        <f t="shared" si="153"/>
        <v>0.82156992084432723</v>
      </c>
      <c r="R273" s="15">
        <f t="shared" si="154"/>
        <v>0.86163957108267031</v>
      </c>
      <c r="S273" s="15">
        <f t="shared" si="155"/>
        <v>0.95349604221635886</v>
      </c>
      <c r="T273" s="16"/>
      <c r="U273" s="16"/>
      <c r="V273" s="16">
        <v>3032</v>
      </c>
      <c r="W273" s="16">
        <f t="shared" si="164"/>
        <v>141</v>
      </c>
      <c r="X273" s="16">
        <v>2891</v>
      </c>
      <c r="Y273" s="16">
        <v>2491</v>
      </c>
      <c r="Z273" s="16">
        <f t="shared" si="165"/>
        <v>400</v>
      </c>
      <c r="AA273" s="16"/>
      <c r="AB273" s="16"/>
      <c r="AC273" s="80">
        <v>2015</v>
      </c>
      <c r="AD273" s="81" t="s">
        <v>39</v>
      </c>
      <c r="AE273" s="15">
        <f t="shared" si="156"/>
        <v>0.7578125</v>
      </c>
      <c r="AF273" s="15">
        <f t="shared" si="157"/>
        <v>0.77807486631016043</v>
      </c>
      <c r="AG273" s="15">
        <f t="shared" si="158"/>
        <v>0.97395833333333337</v>
      </c>
      <c r="AH273" s="16"/>
      <c r="AI273" s="16"/>
      <c r="AJ273" s="16">
        <v>1536</v>
      </c>
      <c r="AK273" s="16">
        <f t="shared" si="166"/>
        <v>40</v>
      </c>
      <c r="AL273" s="16">
        <v>1496</v>
      </c>
      <c r="AM273" s="16">
        <v>1164</v>
      </c>
      <c r="AN273" s="16">
        <f t="shared" si="167"/>
        <v>332</v>
      </c>
      <c r="AO273" s="16"/>
      <c r="AP273" s="16"/>
      <c r="AQ273" s="80">
        <v>2015</v>
      </c>
      <c r="AR273" s="81" t="s">
        <v>39</v>
      </c>
      <c r="AS273" s="15">
        <f t="shared" si="159"/>
        <v>0.9358974358974359</v>
      </c>
      <c r="AT273" s="15">
        <f t="shared" si="160"/>
        <v>0.9419354838709677</v>
      </c>
      <c r="AU273" s="15">
        <f t="shared" si="161"/>
        <v>0.99358974358974361</v>
      </c>
      <c r="AV273" s="15"/>
      <c r="AW273" s="15"/>
      <c r="AX273" s="16">
        <v>312</v>
      </c>
      <c r="AY273" s="16">
        <f t="shared" si="168"/>
        <v>2</v>
      </c>
      <c r="AZ273" s="16">
        <v>310</v>
      </c>
      <c r="BA273" s="16">
        <v>292</v>
      </c>
      <c r="BB273" s="16">
        <f t="shared" si="169"/>
        <v>18</v>
      </c>
      <c r="BC273" s="16"/>
      <c r="BD273" s="16"/>
      <c r="BE273" s="80"/>
      <c r="BF273" s="81"/>
      <c r="BG273" s="15"/>
      <c r="BH273" s="15"/>
      <c r="BI273" s="15"/>
      <c r="BS273" s="80"/>
      <c r="BT273" s="81"/>
      <c r="BU273" s="15"/>
      <c r="BV273" s="15"/>
      <c r="BW273" s="15"/>
      <c r="CA273" s="45"/>
      <c r="CD273" s="45"/>
      <c r="CG273" s="80"/>
      <c r="CH273" s="81"/>
      <c r="CI273" s="15"/>
      <c r="CJ273" s="15"/>
      <c r="CK273" s="15"/>
      <c r="CO273" s="45"/>
      <c r="CR273" s="45"/>
    </row>
    <row r="274" spans="1:96" s="18" customFormat="1" ht="15" customHeight="1">
      <c r="A274" s="78">
        <v>2015</v>
      </c>
      <c r="B274" s="79" t="s">
        <v>40</v>
      </c>
      <c r="C274" s="15">
        <f t="shared" si="150"/>
        <v>0.76857028753993606</v>
      </c>
      <c r="D274" s="15">
        <f t="shared" si="151"/>
        <v>0.81253958201393284</v>
      </c>
      <c r="E274" s="15">
        <f t="shared" si="152"/>
        <v>0.94588658146964855</v>
      </c>
      <c r="F274" s="57"/>
      <c r="G274" s="34"/>
      <c r="H274" s="57">
        <f>+V274+AJ274+AX274+BL274+BS_GC_MP_Vill[[#This Row],[Trenes Programados]]</f>
        <v>5008</v>
      </c>
      <c r="I274" s="16">
        <f t="shared" si="162"/>
        <v>271</v>
      </c>
      <c r="J274" s="57">
        <f>+X274+AL274+AZ274+BN274+BS_GC_MP_Vill[[#This Row],[Trenes Corridos]]</f>
        <v>4737</v>
      </c>
      <c r="K274" s="57">
        <f>+Y274+AM274+BA274+BO274+BS_GC_MP_Vill[[#This Row],[Trenes Puntuales]]</f>
        <v>3849</v>
      </c>
      <c r="L274" s="16">
        <f t="shared" si="163"/>
        <v>888</v>
      </c>
      <c r="M274" s="16"/>
      <c r="N274" s="16"/>
      <c r="O274" s="78">
        <v>2015</v>
      </c>
      <c r="P274" s="79" t="s">
        <v>40</v>
      </c>
      <c r="Q274" s="15">
        <f t="shared" si="153"/>
        <v>0.77319587628865982</v>
      </c>
      <c r="R274" s="15">
        <f t="shared" si="154"/>
        <v>0.82701585113714682</v>
      </c>
      <c r="S274" s="15">
        <f t="shared" si="155"/>
        <v>0.93492268041237114</v>
      </c>
      <c r="T274" s="16"/>
      <c r="U274" s="16"/>
      <c r="V274" s="16">
        <v>3104</v>
      </c>
      <c r="W274" s="16">
        <f t="shared" si="164"/>
        <v>202</v>
      </c>
      <c r="X274" s="16">
        <v>2902</v>
      </c>
      <c r="Y274" s="16">
        <v>2400</v>
      </c>
      <c r="Z274" s="16">
        <f t="shared" si="165"/>
        <v>502</v>
      </c>
      <c r="AA274" s="16"/>
      <c r="AB274" s="16"/>
      <c r="AC274" s="78">
        <v>2015</v>
      </c>
      <c r="AD274" s="79" t="s">
        <v>40</v>
      </c>
      <c r="AE274" s="15">
        <f t="shared" si="156"/>
        <v>0.72974683544303798</v>
      </c>
      <c r="AF274" s="15">
        <f t="shared" si="157"/>
        <v>0.76005273566249176</v>
      </c>
      <c r="AG274" s="15">
        <f t="shared" si="158"/>
        <v>0.96012658227848102</v>
      </c>
      <c r="AH274" s="16"/>
      <c r="AI274" s="16"/>
      <c r="AJ274" s="16">
        <v>1580</v>
      </c>
      <c r="AK274" s="16">
        <f t="shared" si="166"/>
        <v>63</v>
      </c>
      <c r="AL274" s="16">
        <v>1517</v>
      </c>
      <c r="AM274" s="16">
        <v>1153</v>
      </c>
      <c r="AN274" s="16">
        <f t="shared" si="167"/>
        <v>364</v>
      </c>
      <c r="AO274" s="16"/>
      <c r="AP274" s="16"/>
      <c r="AQ274" s="78">
        <v>2015</v>
      </c>
      <c r="AR274" s="79" t="s">
        <v>40</v>
      </c>
      <c r="AS274" s="15">
        <f t="shared" si="159"/>
        <v>0.9135802469135802</v>
      </c>
      <c r="AT274" s="15">
        <f t="shared" si="160"/>
        <v>0.9308176100628931</v>
      </c>
      <c r="AU274" s="15">
        <f t="shared" si="161"/>
        <v>0.98148148148148151</v>
      </c>
      <c r="AV274" s="15"/>
      <c r="AW274" s="15"/>
      <c r="AX274" s="16">
        <v>324</v>
      </c>
      <c r="AY274" s="16">
        <f t="shared" si="168"/>
        <v>6</v>
      </c>
      <c r="AZ274" s="16">
        <v>318</v>
      </c>
      <c r="BA274" s="16">
        <v>296</v>
      </c>
      <c r="BB274" s="16">
        <f t="shared" si="169"/>
        <v>22</v>
      </c>
      <c r="BC274" s="16"/>
      <c r="BD274" s="16"/>
      <c r="BE274" s="78"/>
      <c r="BF274" s="79"/>
      <c r="BG274" s="15"/>
      <c r="BH274" s="15"/>
      <c r="BI274" s="15"/>
      <c r="BS274" s="78"/>
      <c r="BT274" s="79"/>
      <c r="BU274" s="15"/>
      <c r="BV274" s="15"/>
      <c r="BW274" s="15"/>
      <c r="CA274" s="45"/>
      <c r="CD274" s="45"/>
      <c r="CG274" s="78"/>
      <c r="CH274" s="79"/>
      <c r="CI274" s="15"/>
      <c r="CJ274" s="15"/>
      <c r="CK274" s="15"/>
      <c r="CO274" s="45"/>
      <c r="CR274" s="45"/>
    </row>
    <row r="275" spans="1:96" s="18" customFormat="1" ht="15" customHeight="1">
      <c r="A275" s="80">
        <v>2015</v>
      </c>
      <c r="B275" s="81" t="s">
        <v>41</v>
      </c>
      <c r="C275" s="15">
        <f t="shared" si="150"/>
        <v>0.75340239691245181</v>
      </c>
      <c r="D275" s="15">
        <f t="shared" si="151"/>
        <v>0.82385606397156819</v>
      </c>
      <c r="E275" s="15">
        <f t="shared" si="152"/>
        <v>0.91448303879748116</v>
      </c>
      <c r="F275" s="57"/>
      <c r="G275" s="34"/>
      <c r="H275" s="57">
        <f>+V275+AJ275+AX275+BL275+BS_GC_MP_Vill[[#This Row],[Trenes Programados]]</f>
        <v>4923</v>
      </c>
      <c r="I275" s="16">
        <f t="shared" si="162"/>
        <v>421</v>
      </c>
      <c r="J275" s="57">
        <f>+X275+AL275+AZ275+BN275+BS_GC_MP_Vill[[#This Row],[Trenes Corridos]]</f>
        <v>4502</v>
      </c>
      <c r="K275" s="57">
        <f>+Y275+AM275+BA275+BO275+BS_GC_MP_Vill[[#This Row],[Trenes Puntuales]]</f>
        <v>3709</v>
      </c>
      <c r="L275" s="16">
        <f t="shared" si="163"/>
        <v>793</v>
      </c>
      <c r="M275" s="16"/>
      <c r="N275" s="16"/>
      <c r="O275" s="80">
        <v>2015</v>
      </c>
      <c r="P275" s="81" t="s">
        <v>41</v>
      </c>
      <c r="Q275" s="15">
        <f t="shared" si="153"/>
        <v>0.75195567144719688</v>
      </c>
      <c r="R275" s="15">
        <f t="shared" si="154"/>
        <v>0.8337549692808095</v>
      </c>
      <c r="S275" s="15">
        <f t="shared" si="155"/>
        <v>0.90189048239895697</v>
      </c>
      <c r="T275" s="16"/>
      <c r="U275" s="16"/>
      <c r="V275" s="16">
        <v>3068</v>
      </c>
      <c r="W275" s="16">
        <f t="shared" si="164"/>
        <v>301</v>
      </c>
      <c r="X275" s="16">
        <v>2767</v>
      </c>
      <c r="Y275" s="16">
        <v>2307</v>
      </c>
      <c r="Z275" s="16">
        <f t="shared" si="165"/>
        <v>460</v>
      </c>
      <c r="AA275" s="16"/>
      <c r="AB275" s="16"/>
      <c r="AC275" s="80">
        <v>2015</v>
      </c>
      <c r="AD275" s="81" t="s">
        <v>41</v>
      </c>
      <c r="AE275" s="15">
        <f t="shared" si="156"/>
        <v>0.73139158576051777</v>
      </c>
      <c r="AF275" s="15">
        <f t="shared" si="157"/>
        <v>0.7825484764542936</v>
      </c>
      <c r="AG275" s="15">
        <f t="shared" si="158"/>
        <v>0.93462783171521036</v>
      </c>
      <c r="AH275" s="16"/>
      <c r="AI275" s="16"/>
      <c r="AJ275" s="16">
        <v>1545</v>
      </c>
      <c r="AK275" s="16">
        <f t="shared" si="166"/>
        <v>101</v>
      </c>
      <c r="AL275" s="16">
        <v>1444</v>
      </c>
      <c r="AM275" s="16">
        <v>1130</v>
      </c>
      <c r="AN275" s="16">
        <f t="shared" si="167"/>
        <v>314</v>
      </c>
      <c r="AO275" s="16"/>
      <c r="AP275" s="16"/>
      <c r="AQ275" s="80">
        <v>2015</v>
      </c>
      <c r="AR275" s="81" t="s">
        <v>41</v>
      </c>
      <c r="AS275" s="15">
        <f t="shared" si="159"/>
        <v>0.8774193548387097</v>
      </c>
      <c r="AT275" s="15">
        <f t="shared" si="160"/>
        <v>0.93470790378006874</v>
      </c>
      <c r="AU275" s="15">
        <f t="shared" si="161"/>
        <v>0.93870967741935485</v>
      </c>
      <c r="AV275" s="15"/>
      <c r="AW275" s="15"/>
      <c r="AX275" s="16">
        <v>310</v>
      </c>
      <c r="AY275" s="16">
        <f t="shared" si="168"/>
        <v>19</v>
      </c>
      <c r="AZ275" s="16">
        <v>291</v>
      </c>
      <c r="BA275" s="16">
        <v>272</v>
      </c>
      <c r="BB275" s="16">
        <f t="shared" si="169"/>
        <v>19</v>
      </c>
      <c r="BC275" s="16"/>
      <c r="BD275" s="16"/>
      <c r="BE275" s="80"/>
      <c r="BF275" s="81"/>
      <c r="BG275" s="15"/>
      <c r="BH275" s="15"/>
      <c r="BI275" s="15"/>
      <c r="BS275" s="80"/>
      <c r="BT275" s="81"/>
      <c r="BU275" s="15"/>
      <c r="BV275" s="15"/>
      <c r="BW275" s="15"/>
      <c r="CA275" s="45"/>
      <c r="CD275" s="45"/>
      <c r="CG275" s="80"/>
      <c r="CH275" s="81"/>
      <c r="CI275" s="15"/>
      <c r="CJ275" s="15"/>
      <c r="CK275" s="15"/>
      <c r="CO275" s="45"/>
      <c r="CR275" s="45"/>
    </row>
    <row r="276" spans="1:96" s="18" customFormat="1" ht="15" customHeight="1">
      <c r="A276" s="78">
        <v>2015</v>
      </c>
      <c r="B276" s="79" t="s">
        <v>42</v>
      </c>
      <c r="C276" s="15">
        <f t="shared" si="150"/>
        <v>0.80864440078585464</v>
      </c>
      <c r="D276" s="15">
        <f t="shared" si="151"/>
        <v>0.85625130018722695</v>
      </c>
      <c r="E276" s="15">
        <f t="shared" si="152"/>
        <v>0.94440078585461684</v>
      </c>
      <c r="F276" s="57"/>
      <c r="G276" s="34"/>
      <c r="H276" s="57">
        <f>+V276+AJ276+AX276+BL276+BS_GC_MP_Vill[[#This Row],[Trenes Programados]]</f>
        <v>5090</v>
      </c>
      <c r="I276" s="16">
        <f t="shared" si="162"/>
        <v>283</v>
      </c>
      <c r="J276" s="57">
        <f>+X276+AL276+AZ276+BN276+BS_GC_MP_Vill[[#This Row],[Trenes Corridos]]</f>
        <v>4807</v>
      </c>
      <c r="K276" s="57">
        <f>+Y276+AM276+BA276+BO276+BS_GC_MP_Vill[[#This Row],[Trenes Puntuales]]</f>
        <v>4116</v>
      </c>
      <c r="L276" s="16">
        <f t="shared" si="163"/>
        <v>691</v>
      </c>
      <c r="M276" s="16"/>
      <c r="N276" s="16"/>
      <c r="O276" s="78">
        <v>2015</v>
      </c>
      <c r="P276" s="79" t="s">
        <v>42</v>
      </c>
      <c r="Q276" s="15">
        <f t="shared" si="153"/>
        <v>0.81525851197982346</v>
      </c>
      <c r="R276" s="15">
        <f t="shared" si="154"/>
        <v>0.86691250419041233</v>
      </c>
      <c r="S276" s="15">
        <f t="shared" si="155"/>
        <v>0.94041614123581341</v>
      </c>
      <c r="T276" s="16"/>
      <c r="U276" s="16"/>
      <c r="V276" s="16">
        <v>3172</v>
      </c>
      <c r="W276" s="16">
        <f t="shared" si="164"/>
        <v>189</v>
      </c>
      <c r="X276" s="16">
        <v>2983</v>
      </c>
      <c r="Y276" s="16">
        <v>2586</v>
      </c>
      <c r="Z276" s="16">
        <f t="shared" si="165"/>
        <v>397</v>
      </c>
      <c r="AA276" s="16"/>
      <c r="AB276" s="16"/>
      <c r="AC276" s="78">
        <v>2015</v>
      </c>
      <c r="AD276" s="79" t="s">
        <v>42</v>
      </c>
      <c r="AE276" s="15">
        <f t="shared" si="156"/>
        <v>0.79286608260325409</v>
      </c>
      <c r="AF276" s="15">
        <f t="shared" si="157"/>
        <v>0.82756368386675372</v>
      </c>
      <c r="AG276" s="15">
        <f t="shared" si="158"/>
        <v>0.95807259073842299</v>
      </c>
      <c r="AH276" s="16"/>
      <c r="AI276" s="16"/>
      <c r="AJ276" s="16">
        <v>1598</v>
      </c>
      <c r="AK276" s="16">
        <f t="shared" si="166"/>
        <v>67</v>
      </c>
      <c r="AL276" s="16">
        <v>1531</v>
      </c>
      <c r="AM276" s="16">
        <v>1267</v>
      </c>
      <c r="AN276" s="16">
        <f t="shared" si="167"/>
        <v>264</v>
      </c>
      <c r="AO276" s="16"/>
      <c r="AP276" s="16"/>
      <c r="AQ276" s="78">
        <v>2015</v>
      </c>
      <c r="AR276" s="79" t="s">
        <v>42</v>
      </c>
      <c r="AS276" s="15">
        <f t="shared" si="159"/>
        <v>0.82187500000000002</v>
      </c>
      <c r="AT276" s="15">
        <f t="shared" si="160"/>
        <v>0.89761092150170652</v>
      </c>
      <c r="AU276" s="15">
        <f t="shared" si="161"/>
        <v>0.91562500000000002</v>
      </c>
      <c r="AV276" s="15"/>
      <c r="AW276" s="15"/>
      <c r="AX276" s="16">
        <v>320</v>
      </c>
      <c r="AY276" s="16">
        <f t="shared" si="168"/>
        <v>27</v>
      </c>
      <c r="AZ276" s="16">
        <v>293</v>
      </c>
      <c r="BA276" s="16">
        <v>263</v>
      </c>
      <c r="BB276" s="16">
        <f t="shared" si="169"/>
        <v>30</v>
      </c>
      <c r="BC276" s="16"/>
      <c r="BD276" s="16"/>
      <c r="BE276" s="78"/>
      <c r="BF276" s="79"/>
      <c r="BG276" s="15"/>
      <c r="BH276" s="15"/>
      <c r="BI276" s="15"/>
      <c r="BS276" s="78"/>
      <c r="BT276" s="79"/>
      <c r="BU276" s="15"/>
      <c r="BV276" s="15"/>
      <c r="BW276" s="15"/>
      <c r="CA276" s="45"/>
      <c r="CD276" s="45"/>
      <c r="CG276" s="78"/>
      <c r="CH276" s="79"/>
      <c r="CI276" s="15"/>
      <c r="CJ276" s="15"/>
      <c r="CK276" s="15"/>
      <c r="CO276" s="45"/>
      <c r="CR276" s="45"/>
    </row>
    <row r="277" spans="1:96" s="18" customFormat="1" ht="15" customHeight="1">
      <c r="A277" s="80">
        <v>2015</v>
      </c>
      <c r="B277" s="81" t="s">
        <v>43</v>
      </c>
      <c r="C277" s="15">
        <f t="shared" si="150"/>
        <v>0.80800475530017835</v>
      </c>
      <c r="D277" s="15">
        <f t="shared" si="151"/>
        <v>0.86160997253327698</v>
      </c>
      <c r="E277" s="15">
        <f t="shared" si="152"/>
        <v>0.93778482266693086</v>
      </c>
      <c r="F277" s="57"/>
      <c r="G277" s="34"/>
      <c r="H277" s="57">
        <f>+V277+AJ277+AX277+BL277+BS_GC_MP_Vill[[#This Row],[Trenes Programados]]</f>
        <v>5047</v>
      </c>
      <c r="I277" s="16">
        <f t="shared" si="162"/>
        <v>314</v>
      </c>
      <c r="J277" s="57">
        <f>+X277+AL277+AZ277+BN277+BS_GC_MP_Vill[[#This Row],[Trenes Corridos]]</f>
        <v>4733</v>
      </c>
      <c r="K277" s="57">
        <f>+Y277+AM277+BA277+BO277+BS_GC_MP_Vill[[#This Row],[Trenes Puntuales]]</f>
        <v>4078</v>
      </c>
      <c r="L277" s="16">
        <f t="shared" si="163"/>
        <v>655</v>
      </c>
      <c r="M277" s="16"/>
      <c r="N277" s="16"/>
      <c r="O277" s="80">
        <v>2015</v>
      </c>
      <c r="P277" s="81" t="s">
        <v>43</v>
      </c>
      <c r="Q277" s="15">
        <f t="shared" si="153"/>
        <v>0.80612244897959184</v>
      </c>
      <c r="R277" s="15">
        <f t="shared" si="154"/>
        <v>0.8610354223433242</v>
      </c>
      <c r="S277" s="15">
        <f t="shared" si="155"/>
        <v>0.93622448979591832</v>
      </c>
      <c r="T277" s="16"/>
      <c r="U277" s="16"/>
      <c r="V277" s="16">
        <v>3136</v>
      </c>
      <c r="W277" s="16">
        <f t="shared" si="164"/>
        <v>200</v>
      </c>
      <c r="X277" s="16">
        <v>2936</v>
      </c>
      <c r="Y277" s="16">
        <v>2528</v>
      </c>
      <c r="Z277" s="16">
        <f t="shared" si="165"/>
        <v>408</v>
      </c>
      <c r="AA277" s="16"/>
      <c r="AB277" s="16"/>
      <c r="AC277" s="80">
        <v>2015</v>
      </c>
      <c r="AD277" s="81" t="s">
        <v>43</v>
      </c>
      <c r="AE277" s="15">
        <f t="shared" si="156"/>
        <v>0.80176211453744495</v>
      </c>
      <c r="AF277" s="15">
        <f t="shared" si="157"/>
        <v>0.84651162790697676</v>
      </c>
      <c r="AG277" s="15">
        <f t="shared" si="158"/>
        <v>0.94713656387665202</v>
      </c>
      <c r="AH277" s="16"/>
      <c r="AI277" s="16"/>
      <c r="AJ277" s="16">
        <v>1589</v>
      </c>
      <c r="AK277" s="16">
        <f t="shared" si="166"/>
        <v>84</v>
      </c>
      <c r="AL277" s="16">
        <v>1505</v>
      </c>
      <c r="AM277" s="16">
        <v>1274</v>
      </c>
      <c r="AN277" s="16">
        <f t="shared" si="167"/>
        <v>231</v>
      </c>
      <c r="AO277" s="16"/>
      <c r="AP277" s="16"/>
      <c r="AQ277" s="80">
        <v>2015</v>
      </c>
      <c r="AR277" s="81" t="s">
        <v>43</v>
      </c>
      <c r="AS277" s="15">
        <f t="shared" si="159"/>
        <v>0.8571428571428571</v>
      </c>
      <c r="AT277" s="15">
        <f t="shared" si="160"/>
        <v>0.9452054794520548</v>
      </c>
      <c r="AU277" s="15">
        <f t="shared" si="161"/>
        <v>0.90683229813664601</v>
      </c>
      <c r="AV277" s="15"/>
      <c r="AW277" s="15"/>
      <c r="AX277" s="16">
        <v>322</v>
      </c>
      <c r="AY277" s="16">
        <f t="shared" si="168"/>
        <v>30</v>
      </c>
      <c r="AZ277" s="16">
        <v>292</v>
      </c>
      <c r="BA277" s="16">
        <v>276</v>
      </c>
      <c r="BB277" s="16">
        <f t="shared" si="169"/>
        <v>16</v>
      </c>
      <c r="BC277" s="16"/>
      <c r="BD277" s="16"/>
      <c r="BE277" s="80"/>
      <c r="BF277" s="81"/>
      <c r="BG277" s="15"/>
      <c r="BH277" s="15"/>
      <c r="BI277" s="15"/>
      <c r="BS277" s="80"/>
      <c r="BT277" s="81"/>
      <c r="BU277" s="15"/>
      <c r="BV277" s="15"/>
      <c r="BW277" s="15"/>
      <c r="CA277" s="45"/>
      <c r="CD277" s="45"/>
      <c r="CG277" s="80"/>
      <c r="CH277" s="81"/>
      <c r="CI277" s="15"/>
      <c r="CJ277" s="15"/>
      <c r="CK277" s="15"/>
      <c r="CO277" s="45"/>
      <c r="CR277" s="45"/>
    </row>
    <row r="278" spans="1:96" s="18" customFormat="1" ht="15" customHeight="1">
      <c r="A278" s="78">
        <v>2015</v>
      </c>
      <c r="B278" s="79" t="s">
        <v>44</v>
      </c>
      <c r="C278" s="15">
        <f t="shared" si="150"/>
        <v>0.73321270607157218</v>
      </c>
      <c r="D278" s="15">
        <f t="shared" si="151"/>
        <v>0.81955056179775276</v>
      </c>
      <c r="E278" s="15">
        <f t="shared" si="152"/>
        <v>0.89465219139525531</v>
      </c>
      <c r="F278" s="57"/>
      <c r="G278" s="34"/>
      <c r="H278" s="57">
        <f>+V278+AJ278+AX278+BL278+BS_GC_MP_Vill[[#This Row],[Trenes Programados]]</f>
        <v>4974</v>
      </c>
      <c r="I278" s="16">
        <f t="shared" si="162"/>
        <v>524</v>
      </c>
      <c r="J278" s="57">
        <f>+X278+AL278+AZ278+BN278+BS_GC_MP_Vill[[#This Row],[Trenes Corridos]]</f>
        <v>4450</v>
      </c>
      <c r="K278" s="57">
        <f>+Y278+AM278+BA278+BO278+BS_GC_MP_Vill[[#This Row],[Trenes Puntuales]]</f>
        <v>3647</v>
      </c>
      <c r="L278" s="16">
        <f t="shared" si="163"/>
        <v>803</v>
      </c>
      <c r="M278" s="16"/>
      <c r="N278" s="16"/>
      <c r="O278" s="78">
        <v>2015</v>
      </c>
      <c r="P278" s="79" t="s">
        <v>44</v>
      </c>
      <c r="Q278" s="15">
        <f t="shared" si="153"/>
        <v>0.72835917312661502</v>
      </c>
      <c r="R278" s="15">
        <f t="shared" si="154"/>
        <v>0.82843497428361501</v>
      </c>
      <c r="S278" s="15">
        <f t="shared" si="155"/>
        <v>0.87919896640826878</v>
      </c>
      <c r="T278" s="16"/>
      <c r="U278" s="16"/>
      <c r="V278" s="16">
        <v>3096</v>
      </c>
      <c r="W278" s="16">
        <f t="shared" si="164"/>
        <v>374</v>
      </c>
      <c r="X278" s="16">
        <v>2722</v>
      </c>
      <c r="Y278" s="16">
        <v>2255</v>
      </c>
      <c r="Z278" s="16">
        <f t="shared" si="165"/>
        <v>467</v>
      </c>
      <c r="AA278" s="16"/>
      <c r="AB278" s="16"/>
      <c r="AC278" s="78">
        <v>2015</v>
      </c>
      <c r="AD278" s="79" t="s">
        <v>44</v>
      </c>
      <c r="AE278" s="15">
        <f t="shared" si="156"/>
        <v>0.77091377091377089</v>
      </c>
      <c r="AF278" s="15">
        <f t="shared" si="157"/>
        <v>0.81774744027303758</v>
      </c>
      <c r="AG278" s="15">
        <f t="shared" si="158"/>
        <v>0.94272844272844269</v>
      </c>
      <c r="AH278" s="16"/>
      <c r="AI278" s="16"/>
      <c r="AJ278" s="16">
        <v>1554</v>
      </c>
      <c r="AK278" s="16">
        <f t="shared" si="166"/>
        <v>89</v>
      </c>
      <c r="AL278" s="16">
        <v>1465</v>
      </c>
      <c r="AM278" s="16">
        <v>1198</v>
      </c>
      <c r="AN278" s="16">
        <f t="shared" si="167"/>
        <v>267</v>
      </c>
      <c r="AO278" s="16"/>
      <c r="AP278" s="16"/>
      <c r="AQ278" s="78">
        <v>2015</v>
      </c>
      <c r="AR278" s="79" t="s">
        <v>44</v>
      </c>
      <c r="AS278" s="15">
        <f t="shared" si="159"/>
        <v>0.59876543209876543</v>
      </c>
      <c r="AT278" s="15">
        <f t="shared" si="160"/>
        <v>0.73764258555133078</v>
      </c>
      <c r="AU278" s="15">
        <f t="shared" si="161"/>
        <v>0.81172839506172845</v>
      </c>
      <c r="AV278" s="15"/>
      <c r="AW278" s="15"/>
      <c r="AX278" s="16">
        <v>324</v>
      </c>
      <c r="AY278" s="16">
        <f t="shared" si="168"/>
        <v>61</v>
      </c>
      <c r="AZ278" s="16">
        <v>263</v>
      </c>
      <c r="BA278" s="16">
        <v>194</v>
      </c>
      <c r="BB278" s="16">
        <f t="shared" si="169"/>
        <v>69</v>
      </c>
      <c r="BC278" s="16"/>
      <c r="BD278" s="16"/>
      <c r="BE278" s="78"/>
      <c r="BF278" s="79"/>
      <c r="BG278" s="15"/>
      <c r="BH278" s="15"/>
      <c r="BI278" s="15"/>
      <c r="BS278" s="78"/>
      <c r="BT278" s="79"/>
      <c r="BU278" s="15"/>
      <c r="BV278" s="15"/>
      <c r="BW278" s="15"/>
      <c r="CA278" s="45"/>
      <c r="CD278" s="45"/>
      <c r="CG278" s="78"/>
      <c r="CH278" s="79"/>
      <c r="CI278" s="15"/>
      <c r="CJ278" s="15"/>
      <c r="CK278" s="15"/>
      <c r="CO278" s="45"/>
      <c r="CR278" s="45"/>
    </row>
    <row r="279" spans="1:96" s="18" customFormat="1" ht="15" customHeight="1">
      <c r="A279" s="80">
        <v>2015</v>
      </c>
      <c r="B279" s="81" t="s">
        <v>45</v>
      </c>
      <c r="C279" s="15">
        <f t="shared" si="150"/>
        <v>0.48879276445143532</v>
      </c>
      <c r="D279" s="15">
        <f t="shared" si="151"/>
        <v>0.61473788328387735</v>
      </c>
      <c r="E279" s="15">
        <f t="shared" si="152"/>
        <v>0.79512386944553681</v>
      </c>
      <c r="F279" s="57"/>
      <c r="G279" s="34"/>
      <c r="H279" s="57">
        <f>+V279+AJ279+AX279+BL279+BS_GC_MP_Vill[[#This Row],[Trenes Programados]]</f>
        <v>5086</v>
      </c>
      <c r="I279" s="16">
        <f t="shared" si="162"/>
        <v>1042</v>
      </c>
      <c r="J279" s="57">
        <f>+X279+AL279+AZ279+BN279+BS_GC_MP_Vill[[#This Row],[Trenes Corridos]]</f>
        <v>4044</v>
      </c>
      <c r="K279" s="57">
        <f>+Y279+AM279+BA279+BO279+BS_GC_MP_Vill[[#This Row],[Trenes Puntuales]]</f>
        <v>2486</v>
      </c>
      <c r="L279" s="16">
        <f t="shared" si="163"/>
        <v>1558</v>
      </c>
      <c r="M279" s="16"/>
      <c r="N279" s="16"/>
      <c r="O279" s="80">
        <v>2015</v>
      </c>
      <c r="P279" s="81" t="s">
        <v>45</v>
      </c>
      <c r="Q279" s="15">
        <f t="shared" si="153"/>
        <v>0.52904040404040409</v>
      </c>
      <c r="R279" s="15">
        <f t="shared" si="154"/>
        <v>0.67201283079390539</v>
      </c>
      <c r="S279" s="15">
        <f t="shared" si="155"/>
        <v>0.7872474747474747</v>
      </c>
      <c r="T279" s="16"/>
      <c r="U279" s="16"/>
      <c r="V279" s="16">
        <v>3168</v>
      </c>
      <c r="W279" s="16">
        <f t="shared" si="164"/>
        <v>674</v>
      </c>
      <c r="X279" s="16">
        <v>2494</v>
      </c>
      <c r="Y279" s="16">
        <v>1676</v>
      </c>
      <c r="Z279" s="16">
        <f t="shared" si="165"/>
        <v>818</v>
      </c>
      <c r="AA279" s="16"/>
      <c r="AB279" s="16"/>
      <c r="AC279" s="80">
        <v>2015</v>
      </c>
      <c r="AD279" s="81" t="s">
        <v>45</v>
      </c>
      <c r="AE279" s="15">
        <f t="shared" si="156"/>
        <v>0.33041301627033792</v>
      </c>
      <c r="AF279" s="15">
        <f t="shared" si="157"/>
        <v>0.42443729903536975</v>
      </c>
      <c r="AG279" s="15">
        <f t="shared" si="158"/>
        <v>0.77847309136420528</v>
      </c>
      <c r="AH279" s="16"/>
      <c r="AI279" s="16"/>
      <c r="AJ279" s="16">
        <v>1598</v>
      </c>
      <c r="AK279" s="16">
        <f t="shared" si="166"/>
        <v>354</v>
      </c>
      <c r="AL279" s="16">
        <v>1244</v>
      </c>
      <c r="AM279" s="16">
        <v>528</v>
      </c>
      <c r="AN279" s="16">
        <f t="shared" si="167"/>
        <v>716</v>
      </c>
      <c r="AO279" s="16"/>
      <c r="AP279" s="16"/>
      <c r="AQ279" s="80">
        <v>2015</v>
      </c>
      <c r="AR279" s="81" t="s">
        <v>45</v>
      </c>
      <c r="AS279" s="15">
        <f t="shared" si="159"/>
        <v>0.88124999999999998</v>
      </c>
      <c r="AT279" s="15">
        <f t="shared" si="160"/>
        <v>0.92156862745098034</v>
      </c>
      <c r="AU279" s="15">
        <f t="shared" si="161"/>
        <v>0.95625000000000004</v>
      </c>
      <c r="AV279" s="15"/>
      <c r="AW279" s="15"/>
      <c r="AX279" s="16">
        <v>320</v>
      </c>
      <c r="AY279" s="16">
        <f t="shared" si="168"/>
        <v>14</v>
      </c>
      <c r="AZ279" s="16">
        <v>306</v>
      </c>
      <c r="BA279" s="16">
        <v>282</v>
      </c>
      <c r="BB279" s="16">
        <f t="shared" si="169"/>
        <v>24</v>
      </c>
      <c r="BC279" s="16"/>
      <c r="BD279" s="16"/>
      <c r="BE279" s="80"/>
      <c r="BF279" s="81"/>
      <c r="BG279" s="15"/>
      <c r="BH279" s="15"/>
      <c r="BI279" s="15"/>
      <c r="BS279" s="80"/>
      <c r="BT279" s="81"/>
      <c r="BU279" s="15"/>
      <c r="BV279" s="15"/>
      <c r="BW279" s="15"/>
      <c r="CA279" s="45"/>
      <c r="CD279" s="45"/>
      <c r="CG279" s="80"/>
      <c r="CH279" s="81"/>
      <c r="CI279" s="15"/>
      <c r="CJ279" s="15"/>
      <c r="CK279" s="15"/>
      <c r="CO279" s="45"/>
      <c r="CR279" s="45"/>
    </row>
    <row r="280" spans="1:96" s="18" customFormat="1" ht="15" customHeight="1">
      <c r="A280" s="78">
        <v>2015</v>
      </c>
      <c r="B280" s="79" t="s">
        <v>46</v>
      </c>
      <c r="C280" s="15">
        <f t="shared" si="150"/>
        <v>0.55819672131147546</v>
      </c>
      <c r="D280" s="15">
        <f t="shared" si="151"/>
        <v>0.59088937093275484</v>
      </c>
      <c r="E280" s="15">
        <f t="shared" si="152"/>
        <v>0.94467213114754101</v>
      </c>
      <c r="F280" s="57"/>
      <c r="G280" s="34"/>
      <c r="H280" s="57">
        <f>+V280+AJ280+AX280+BL280+BS_GC_MP_Vill[[#This Row],[Trenes Programados]]</f>
        <v>4880</v>
      </c>
      <c r="I280" s="16">
        <f t="shared" si="162"/>
        <v>270</v>
      </c>
      <c r="J280" s="57">
        <f>+X280+AL280+AZ280+BN280+BS_GC_MP_Vill[[#This Row],[Trenes Corridos]]</f>
        <v>4610</v>
      </c>
      <c r="K280" s="57">
        <f>+Y280+AM280+BA280+BO280+BS_GC_MP_Vill[[#This Row],[Trenes Puntuales]]</f>
        <v>2724</v>
      </c>
      <c r="L280" s="16">
        <f t="shared" si="163"/>
        <v>1886</v>
      </c>
      <c r="M280" s="16"/>
      <c r="N280" s="16"/>
      <c r="O280" s="78">
        <v>2015</v>
      </c>
      <c r="P280" s="79" t="s">
        <v>46</v>
      </c>
      <c r="Q280" s="15">
        <f t="shared" si="153"/>
        <v>0.69228232189973615</v>
      </c>
      <c r="R280" s="15">
        <f t="shared" si="154"/>
        <v>0.72454263030721433</v>
      </c>
      <c r="S280" s="15">
        <f t="shared" si="155"/>
        <v>0.95547493403693928</v>
      </c>
      <c r="T280" s="16"/>
      <c r="U280" s="16"/>
      <c r="V280" s="16">
        <v>3032</v>
      </c>
      <c r="W280" s="16">
        <f t="shared" si="164"/>
        <v>135</v>
      </c>
      <c r="X280" s="16">
        <v>2897</v>
      </c>
      <c r="Y280" s="16">
        <v>2099</v>
      </c>
      <c r="Z280" s="16">
        <f t="shared" si="165"/>
        <v>798</v>
      </c>
      <c r="AA280" s="16"/>
      <c r="AB280" s="16"/>
      <c r="AC280" s="78">
        <v>2015</v>
      </c>
      <c r="AD280" s="79" t="s">
        <v>46</v>
      </c>
      <c r="AE280" s="15">
        <f t="shared" si="156"/>
        <v>0.24739583333333334</v>
      </c>
      <c r="AF280" s="15">
        <f t="shared" si="157"/>
        <v>0.26573426573426573</v>
      </c>
      <c r="AG280" s="15">
        <f t="shared" si="158"/>
        <v>0.93098958333333337</v>
      </c>
      <c r="AH280" s="16"/>
      <c r="AI280" s="16"/>
      <c r="AJ280" s="16">
        <v>1536</v>
      </c>
      <c r="AK280" s="16">
        <f t="shared" si="166"/>
        <v>106</v>
      </c>
      <c r="AL280" s="16">
        <v>1430</v>
      </c>
      <c r="AM280" s="16">
        <v>380</v>
      </c>
      <c r="AN280" s="16">
        <f t="shared" si="167"/>
        <v>1050</v>
      </c>
      <c r="AO280" s="16"/>
      <c r="AP280" s="16"/>
      <c r="AQ280" s="78">
        <v>2015</v>
      </c>
      <c r="AR280" s="79" t="s">
        <v>46</v>
      </c>
      <c r="AS280" s="15">
        <f t="shared" si="159"/>
        <v>0.78525641025641024</v>
      </c>
      <c r="AT280" s="15">
        <f t="shared" si="160"/>
        <v>0.86572438162544174</v>
      </c>
      <c r="AU280" s="15">
        <f t="shared" si="161"/>
        <v>0.90705128205128205</v>
      </c>
      <c r="AV280" s="15"/>
      <c r="AW280" s="15"/>
      <c r="AX280" s="16">
        <v>312</v>
      </c>
      <c r="AY280" s="16">
        <f t="shared" si="168"/>
        <v>29</v>
      </c>
      <c r="AZ280" s="16">
        <v>283</v>
      </c>
      <c r="BA280" s="16">
        <v>245</v>
      </c>
      <c r="BB280" s="16">
        <f t="shared" si="169"/>
        <v>38</v>
      </c>
      <c r="BC280" s="16"/>
      <c r="BD280" s="16"/>
      <c r="BE280" s="78"/>
      <c r="BF280" s="79"/>
      <c r="BG280" s="15"/>
      <c r="BH280" s="15"/>
      <c r="BI280" s="15"/>
      <c r="BS280" s="78"/>
      <c r="BT280" s="79"/>
      <c r="BU280" s="15"/>
      <c r="BV280" s="15"/>
      <c r="BW280" s="15"/>
      <c r="CA280" s="45"/>
      <c r="CD280" s="45"/>
      <c r="CG280" s="78"/>
      <c r="CH280" s="79"/>
      <c r="CI280" s="15"/>
      <c r="CJ280" s="15"/>
      <c r="CK280" s="15"/>
      <c r="CO280" s="45"/>
      <c r="CR280" s="45"/>
    </row>
    <row r="281" spans="1:96" s="18" customFormat="1" ht="15" customHeight="1">
      <c r="A281" s="80">
        <v>2015</v>
      </c>
      <c r="B281" s="81" t="s">
        <v>47</v>
      </c>
      <c r="C281" s="15">
        <f t="shared" si="150"/>
        <v>0.45570630486831604</v>
      </c>
      <c r="D281" s="15">
        <f t="shared" si="151"/>
        <v>0.52074783401732783</v>
      </c>
      <c r="E281" s="15">
        <f t="shared" si="152"/>
        <v>0.87509976057462091</v>
      </c>
      <c r="F281" s="57"/>
      <c r="G281" s="34"/>
      <c r="H281" s="57">
        <f>+V281+AJ281+AX281+BL281+BS_GC_MP_Vill[[#This Row],[Trenes Programados]]</f>
        <v>5012</v>
      </c>
      <c r="I281" s="16">
        <f t="shared" si="162"/>
        <v>626</v>
      </c>
      <c r="J281" s="57">
        <f>+X281+AL281+AZ281+BN281+BS_GC_MP_Vill[[#This Row],[Trenes Corridos]]</f>
        <v>4386</v>
      </c>
      <c r="K281" s="57">
        <f>+Y281+AM281+BA281+BO281+BS_GC_MP_Vill[[#This Row],[Trenes Puntuales]]</f>
        <v>2284</v>
      </c>
      <c r="L281" s="16">
        <f t="shared" si="163"/>
        <v>2102</v>
      </c>
      <c r="M281" s="16"/>
      <c r="N281" s="16"/>
      <c r="O281" s="80">
        <v>2015</v>
      </c>
      <c r="P281" s="81" t="s">
        <v>47</v>
      </c>
      <c r="Q281" s="15">
        <f t="shared" si="153"/>
        <v>0.57368082368082363</v>
      </c>
      <c r="R281" s="15">
        <f t="shared" si="154"/>
        <v>0.625394598386531</v>
      </c>
      <c r="S281" s="15">
        <f t="shared" si="155"/>
        <v>0.91731016731016735</v>
      </c>
      <c r="T281" s="16"/>
      <c r="U281" s="16"/>
      <c r="V281" s="16">
        <v>3108</v>
      </c>
      <c r="W281" s="16">
        <f t="shared" si="164"/>
        <v>257</v>
      </c>
      <c r="X281" s="16">
        <v>2851</v>
      </c>
      <c r="Y281" s="16">
        <v>1783</v>
      </c>
      <c r="Z281" s="16">
        <f t="shared" si="165"/>
        <v>1068</v>
      </c>
      <c r="AA281" s="16"/>
      <c r="AB281" s="16"/>
      <c r="AC281" s="80">
        <v>2015</v>
      </c>
      <c r="AD281" s="81" t="s">
        <v>47</v>
      </c>
      <c r="AE281" s="15">
        <f t="shared" si="156"/>
        <v>0.19430379746835444</v>
      </c>
      <c r="AF281" s="15">
        <f t="shared" si="157"/>
        <v>0.24135220125786164</v>
      </c>
      <c r="AG281" s="15">
        <f t="shared" si="158"/>
        <v>0.80506329113924047</v>
      </c>
      <c r="AH281" s="16"/>
      <c r="AI281" s="16"/>
      <c r="AJ281" s="16">
        <v>1580</v>
      </c>
      <c r="AK281" s="16">
        <f t="shared" si="166"/>
        <v>308</v>
      </c>
      <c r="AL281" s="16">
        <v>1272</v>
      </c>
      <c r="AM281" s="16">
        <v>307</v>
      </c>
      <c r="AN281" s="16">
        <f t="shared" si="167"/>
        <v>965</v>
      </c>
      <c r="AO281" s="16"/>
      <c r="AP281" s="16"/>
      <c r="AQ281" s="80">
        <v>2015</v>
      </c>
      <c r="AR281" s="81" t="s">
        <v>47</v>
      </c>
      <c r="AS281" s="15">
        <f t="shared" si="159"/>
        <v>0.59876543209876543</v>
      </c>
      <c r="AT281" s="15">
        <f t="shared" si="160"/>
        <v>0.73764258555133078</v>
      </c>
      <c r="AU281" s="15">
        <f t="shared" si="161"/>
        <v>0.81172839506172845</v>
      </c>
      <c r="AV281" s="15"/>
      <c r="AW281" s="15"/>
      <c r="AX281" s="16">
        <v>324</v>
      </c>
      <c r="AY281" s="16">
        <f t="shared" si="168"/>
        <v>61</v>
      </c>
      <c r="AZ281" s="16">
        <v>263</v>
      </c>
      <c r="BA281" s="16">
        <v>194</v>
      </c>
      <c r="BB281" s="16">
        <f t="shared" si="169"/>
        <v>69</v>
      </c>
      <c r="BC281" s="16"/>
      <c r="BD281" s="16"/>
      <c r="BE281" s="80"/>
      <c r="BF281" s="81"/>
      <c r="BG281" s="15"/>
      <c r="BH281" s="15"/>
      <c r="BI281" s="15"/>
      <c r="BS281" s="80"/>
      <c r="BT281" s="81"/>
      <c r="BU281" s="15"/>
      <c r="BV281" s="15"/>
      <c r="BW281" s="15"/>
      <c r="CA281" s="45"/>
      <c r="CD281" s="45"/>
      <c r="CG281" s="80"/>
      <c r="CH281" s="81"/>
      <c r="CI281" s="15"/>
      <c r="CJ281" s="15"/>
      <c r="CK281" s="15"/>
      <c r="CO281" s="45"/>
      <c r="CR281" s="45"/>
    </row>
    <row r="282" spans="1:96" s="18" customFormat="1" ht="15" customHeight="1">
      <c r="A282" s="78">
        <v>2016</v>
      </c>
      <c r="B282" s="79" t="s">
        <v>36</v>
      </c>
      <c r="C282" s="15">
        <f t="shared" si="150"/>
        <v>0.52546066970477512</v>
      </c>
      <c r="D282" s="15">
        <f t="shared" si="151"/>
        <v>0.57815565729234797</v>
      </c>
      <c r="E282" s="15">
        <f t="shared" si="152"/>
        <v>0.90885674658212801</v>
      </c>
      <c r="F282" s="57"/>
      <c r="G282" s="34"/>
      <c r="H282" s="57">
        <f>+V282+AJ282+AX282+BL282+BS_GC_MP_Vill[[#This Row],[Trenes Programados]]</f>
        <v>5047</v>
      </c>
      <c r="I282" s="16">
        <f t="shared" ref="I282:I293" si="170">H282-J282</f>
        <v>460</v>
      </c>
      <c r="J282" s="57">
        <f>+X282+AL282+AZ282+BN282+BS_GC_MP_Vill[[#This Row],[Trenes Corridos]]</f>
        <v>4587</v>
      </c>
      <c r="K282" s="57">
        <f>+Y282+AM282+BA282+BO282+BS_GC_MP_Vill[[#This Row],[Trenes Puntuales]]</f>
        <v>2652</v>
      </c>
      <c r="L282" s="16">
        <f t="shared" ref="L282:L293" si="171">J282-K282</f>
        <v>1935</v>
      </c>
      <c r="M282" s="16"/>
      <c r="N282" s="16"/>
      <c r="O282" s="78">
        <v>2016</v>
      </c>
      <c r="P282" s="79" t="s">
        <v>36</v>
      </c>
      <c r="Q282" s="15">
        <f t="shared" si="153"/>
        <v>0.66677295918367352</v>
      </c>
      <c r="R282" s="15">
        <f t="shared" si="154"/>
        <v>0.71830985915492962</v>
      </c>
      <c r="S282" s="15">
        <f t="shared" si="155"/>
        <v>0.92825255102040816</v>
      </c>
      <c r="T282" s="16"/>
      <c r="U282" s="16"/>
      <c r="V282" s="16">
        <v>3136</v>
      </c>
      <c r="W282" s="16">
        <f t="shared" ref="W282:W293" si="172">V282-X282</f>
        <v>225</v>
      </c>
      <c r="X282" s="16">
        <v>2911</v>
      </c>
      <c r="Y282" s="16">
        <v>2091</v>
      </c>
      <c r="Z282" s="16">
        <f t="shared" ref="Z282:Z293" si="173">X282-Y282</f>
        <v>820</v>
      </c>
      <c r="AA282" s="16"/>
      <c r="AB282" s="16"/>
      <c r="AC282" s="78">
        <v>2016</v>
      </c>
      <c r="AD282" s="79" t="s">
        <v>36</v>
      </c>
      <c r="AE282" s="15">
        <f t="shared" si="156"/>
        <v>0.21019509125235997</v>
      </c>
      <c r="AF282" s="15">
        <f t="shared" si="157"/>
        <v>0.24046076313894887</v>
      </c>
      <c r="AG282" s="15">
        <f t="shared" si="158"/>
        <v>0.87413467589679039</v>
      </c>
      <c r="AH282" s="16"/>
      <c r="AI282" s="16"/>
      <c r="AJ282" s="16">
        <v>1589</v>
      </c>
      <c r="AK282" s="16">
        <f t="shared" ref="AK282:AK293" si="174">AJ282-AL282</f>
        <v>200</v>
      </c>
      <c r="AL282" s="16">
        <v>1389</v>
      </c>
      <c r="AM282" s="16">
        <v>334</v>
      </c>
      <c r="AN282" s="16">
        <f t="shared" ref="AN282:AN293" si="175">AL282-AM282</f>
        <v>1055</v>
      </c>
      <c r="AO282" s="16"/>
      <c r="AP282" s="16"/>
      <c r="AQ282" s="78">
        <v>2016</v>
      </c>
      <c r="AR282" s="79" t="s">
        <v>36</v>
      </c>
      <c r="AS282" s="15">
        <f t="shared" si="159"/>
        <v>0.70496894409937894</v>
      </c>
      <c r="AT282" s="15">
        <f t="shared" si="160"/>
        <v>0.7909407665505227</v>
      </c>
      <c r="AU282" s="15">
        <f t="shared" si="161"/>
        <v>0.89130434782608692</v>
      </c>
      <c r="AV282" s="15"/>
      <c r="AW282" s="15"/>
      <c r="AX282" s="16">
        <v>322</v>
      </c>
      <c r="AY282" s="16">
        <f t="shared" ref="AY282:AY293" si="176">AX282-AZ282</f>
        <v>35</v>
      </c>
      <c r="AZ282" s="16">
        <v>287</v>
      </c>
      <c r="BA282" s="16">
        <v>227</v>
      </c>
      <c r="BB282" s="16">
        <f t="shared" ref="BB282:BB293" si="177">AZ282-BA282</f>
        <v>60</v>
      </c>
      <c r="BC282" s="16"/>
      <c r="BD282" s="16"/>
      <c r="BE282" s="78"/>
      <c r="BF282" s="79"/>
      <c r="BG282" s="15"/>
      <c r="BH282" s="15"/>
      <c r="BI282" s="15"/>
      <c r="BS282" s="78"/>
      <c r="BT282" s="79"/>
      <c r="BU282" s="15"/>
      <c r="BV282" s="15"/>
      <c r="BW282" s="15"/>
      <c r="CA282" s="45"/>
      <c r="CD282" s="45"/>
      <c r="CG282" s="78"/>
      <c r="CH282" s="79"/>
      <c r="CI282" s="15"/>
      <c r="CJ282" s="15"/>
      <c r="CK282" s="15"/>
      <c r="CO282" s="45"/>
      <c r="CR282" s="45"/>
    </row>
    <row r="283" spans="1:96" s="18" customFormat="1" ht="15" customHeight="1">
      <c r="A283" s="80">
        <v>2016</v>
      </c>
      <c r="B283" s="81" t="s">
        <v>37</v>
      </c>
      <c r="C283" s="15">
        <f t="shared" si="150"/>
        <v>0.5519218517732003</v>
      </c>
      <c r="D283" s="15">
        <f t="shared" si="151"/>
        <v>0.58654931166779511</v>
      </c>
      <c r="E283" s="15">
        <f t="shared" si="152"/>
        <v>0.94096411127627944</v>
      </c>
      <c r="F283" s="57"/>
      <c r="G283" s="34"/>
      <c r="H283" s="57">
        <f>+V283+AJ283+AX283+BL283+BS_GC_MP_Vill[[#This Row],[Trenes Programados]]</f>
        <v>4709</v>
      </c>
      <c r="I283" s="16">
        <f t="shared" si="170"/>
        <v>278</v>
      </c>
      <c r="J283" s="57">
        <f>+X283+AL283+AZ283+BN283+BS_GC_MP_Vill[[#This Row],[Trenes Corridos]]</f>
        <v>4431</v>
      </c>
      <c r="K283" s="57">
        <f>+Y283+AM283+BA283+BO283+BS_GC_MP_Vill[[#This Row],[Trenes Puntuales]]</f>
        <v>2599</v>
      </c>
      <c r="L283" s="16">
        <f t="shared" si="171"/>
        <v>1832</v>
      </c>
      <c r="M283" s="16"/>
      <c r="N283" s="16"/>
      <c r="O283" s="80">
        <v>2016</v>
      </c>
      <c r="P283" s="81" t="s">
        <v>37</v>
      </c>
      <c r="Q283" s="15">
        <f t="shared" si="153"/>
        <v>0.6774965800273598</v>
      </c>
      <c r="R283" s="15">
        <f t="shared" si="154"/>
        <v>0.72404970760233922</v>
      </c>
      <c r="S283" s="15">
        <f t="shared" si="155"/>
        <v>0.93570451436388513</v>
      </c>
      <c r="T283" s="16"/>
      <c r="U283" s="16"/>
      <c r="V283" s="16">
        <v>2924</v>
      </c>
      <c r="W283" s="16">
        <f t="shared" si="172"/>
        <v>188</v>
      </c>
      <c r="X283" s="16">
        <v>2736</v>
      </c>
      <c r="Y283" s="16">
        <v>1981</v>
      </c>
      <c r="Z283" s="16">
        <f t="shared" si="173"/>
        <v>755</v>
      </c>
      <c r="AA283" s="16"/>
      <c r="AB283" s="16"/>
      <c r="AC283" s="80">
        <v>2016</v>
      </c>
      <c r="AD283" s="81" t="s">
        <v>37</v>
      </c>
      <c r="AE283" s="15">
        <f t="shared" si="156"/>
        <v>0.26432906271072149</v>
      </c>
      <c r="AF283" s="15">
        <f t="shared" si="157"/>
        <v>0.27860696517412936</v>
      </c>
      <c r="AG283" s="15">
        <f t="shared" si="158"/>
        <v>0.94875252865812543</v>
      </c>
      <c r="AH283" s="16"/>
      <c r="AI283" s="16"/>
      <c r="AJ283" s="16">
        <v>1483</v>
      </c>
      <c r="AK283" s="16">
        <f t="shared" si="174"/>
        <v>76</v>
      </c>
      <c r="AL283" s="16">
        <v>1407</v>
      </c>
      <c r="AM283" s="16">
        <v>392</v>
      </c>
      <c r="AN283" s="16">
        <f t="shared" si="175"/>
        <v>1015</v>
      </c>
      <c r="AO283" s="16"/>
      <c r="AP283" s="16"/>
      <c r="AQ283" s="80">
        <v>2016</v>
      </c>
      <c r="AR283" s="81" t="s">
        <v>37</v>
      </c>
      <c r="AS283" s="15">
        <f t="shared" si="159"/>
        <v>0.7483443708609272</v>
      </c>
      <c r="AT283" s="15">
        <f t="shared" si="160"/>
        <v>0.78472222222222221</v>
      </c>
      <c r="AU283" s="15">
        <f t="shared" si="161"/>
        <v>0.95364238410596025</v>
      </c>
      <c r="AV283" s="15"/>
      <c r="AW283" s="15"/>
      <c r="AX283" s="16">
        <v>302</v>
      </c>
      <c r="AY283" s="16">
        <f t="shared" si="176"/>
        <v>14</v>
      </c>
      <c r="AZ283" s="16">
        <v>288</v>
      </c>
      <c r="BA283" s="16">
        <v>226</v>
      </c>
      <c r="BB283" s="16">
        <f t="shared" si="177"/>
        <v>62</v>
      </c>
      <c r="BC283" s="16"/>
      <c r="BD283" s="16"/>
      <c r="BE283" s="80"/>
      <c r="BF283" s="81"/>
      <c r="BG283" s="15"/>
      <c r="BH283" s="15"/>
      <c r="BI283" s="15"/>
      <c r="BS283" s="80"/>
      <c r="BT283" s="81"/>
      <c r="BU283" s="15"/>
      <c r="BV283" s="15"/>
      <c r="BW283" s="15"/>
      <c r="CA283" s="45"/>
      <c r="CD283" s="45"/>
      <c r="CG283" s="80"/>
      <c r="CH283" s="81"/>
      <c r="CI283" s="15"/>
      <c r="CJ283" s="15"/>
      <c r="CK283" s="15"/>
      <c r="CO283" s="45"/>
      <c r="CR283" s="45"/>
    </row>
    <row r="284" spans="1:96" s="18" customFormat="1" ht="15" customHeight="1">
      <c r="A284" s="78">
        <v>2016</v>
      </c>
      <c r="B284" s="79" t="s">
        <v>38</v>
      </c>
      <c r="C284" s="15">
        <f t="shared" si="150"/>
        <v>0.63432983567610379</v>
      </c>
      <c r="D284" s="15">
        <f t="shared" si="151"/>
        <v>0.65561694290976058</v>
      </c>
      <c r="E284" s="15">
        <f t="shared" si="152"/>
        <v>0.96753118194416943</v>
      </c>
      <c r="F284" s="57"/>
      <c r="G284" s="34"/>
      <c r="H284" s="57">
        <f>+V284+AJ284+AX284+BL284+BS_GC_MP_Vill[[#This Row],[Trenes Programados]]</f>
        <v>5051</v>
      </c>
      <c r="I284" s="16">
        <f t="shared" si="170"/>
        <v>164</v>
      </c>
      <c r="J284" s="57">
        <f>+X284+AL284+AZ284+BN284+BS_GC_MP_Vill[[#This Row],[Trenes Corridos]]</f>
        <v>4887</v>
      </c>
      <c r="K284" s="57">
        <f>+Y284+AM284+BA284+BO284+BS_GC_MP_Vill[[#This Row],[Trenes Puntuales]]</f>
        <v>3204</v>
      </c>
      <c r="L284" s="16">
        <f t="shared" si="171"/>
        <v>1683</v>
      </c>
      <c r="M284" s="16"/>
      <c r="N284" s="16"/>
      <c r="O284" s="78">
        <v>2016</v>
      </c>
      <c r="P284" s="79" t="s">
        <v>38</v>
      </c>
      <c r="Q284" s="15">
        <f t="shared" si="153"/>
        <v>0.79458598726114649</v>
      </c>
      <c r="R284" s="15">
        <f t="shared" si="154"/>
        <v>0.81722895512610549</v>
      </c>
      <c r="S284" s="15">
        <f t="shared" si="155"/>
        <v>0.9722929936305732</v>
      </c>
      <c r="T284" s="16"/>
      <c r="U284" s="16"/>
      <c r="V284" s="16">
        <v>3140</v>
      </c>
      <c r="W284" s="16">
        <f t="shared" si="172"/>
        <v>87</v>
      </c>
      <c r="X284" s="16">
        <v>3053</v>
      </c>
      <c r="Y284" s="16">
        <v>2495</v>
      </c>
      <c r="Z284" s="16">
        <f t="shared" si="173"/>
        <v>558</v>
      </c>
      <c r="AA284" s="16"/>
      <c r="AB284" s="16"/>
      <c r="AC284" s="78">
        <v>2016</v>
      </c>
      <c r="AD284" s="79" t="s">
        <v>38</v>
      </c>
      <c r="AE284" s="15">
        <f t="shared" si="156"/>
        <v>0.29767149150409061</v>
      </c>
      <c r="AF284" s="15">
        <f t="shared" si="157"/>
        <v>0.31138907175773534</v>
      </c>
      <c r="AG284" s="15">
        <f t="shared" si="158"/>
        <v>0.95594713656387664</v>
      </c>
      <c r="AH284" s="16"/>
      <c r="AI284" s="16"/>
      <c r="AJ284" s="16">
        <v>1589</v>
      </c>
      <c r="AK284" s="16">
        <f t="shared" si="174"/>
        <v>70</v>
      </c>
      <c r="AL284" s="16">
        <v>1519</v>
      </c>
      <c r="AM284" s="16">
        <v>473</v>
      </c>
      <c r="AN284" s="16">
        <f t="shared" si="175"/>
        <v>1046</v>
      </c>
      <c r="AO284" s="16"/>
      <c r="AP284" s="16"/>
      <c r="AQ284" s="78">
        <v>2016</v>
      </c>
      <c r="AR284" s="79" t="s">
        <v>38</v>
      </c>
      <c r="AS284" s="15">
        <f t="shared" si="159"/>
        <v>0.73291925465838514</v>
      </c>
      <c r="AT284" s="15">
        <f t="shared" si="160"/>
        <v>0.74920634920634921</v>
      </c>
      <c r="AU284" s="15">
        <f t="shared" si="161"/>
        <v>0.97826086956521741</v>
      </c>
      <c r="AV284" s="15"/>
      <c r="AW284" s="15"/>
      <c r="AX284" s="16">
        <v>322</v>
      </c>
      <c r="AY284" s="16">
        <f t="shared" si="176"/>
        <v>7</v>
      </c>
      <c r="AZ284" s="16">
        <v>315</v>
      </c>
      <c r="BA284" s="16">
        <v>236</v>
      </c>
      <c r="BB284" s="16">
        <f t="shared" si="177"/>
        <v>79</v>
      </c>
      <c r="BC284" s="16"/>
      <c r="BD284" s="16"/>
      <c r="BE284" s="78"/>
      <c r="BF284" s="79"/>
      <c r="BG284" s="15"/>
      <c r="BH284" s="15"/>
      <c r="BI284" s="15"/>
      <c r="BS284" s="78"/>
      <c r="BT284" s="79"/>
      <c r="BU284" s="15"/>
      <c r="BV284" s="15"/>
      <c r="BW284" s="15"/>
      <c r="CA284" s="45"/>
      <c r="CD284" s="45"/>
      <c r="CG284" s="78"/>
      <c r="CH284" s="79"/>
      <c r="CI284" s="15"/>
      <c r="CJ284" s="15"/>
      <c r="CK284" s="15"/>
      <c r="CO284" s="45"/>
      <c r="CR284" s="45"/>
    </row>
    <row r="285" spans="1:96" s="18" customFormat="1" ht="15" customHeight="1">
      <c r="A285" s="80">
        <v>2016</v>
      </c>
      <c r="B285" s="81" t="s">
        <v>39</v>
      </c>
      <c r="C285" s="15">
        <f t="shared" si="150"/>
        <v>0.59036389510063025</v>
      </c>
      <c r="D285" s="15">
        <f t="shared" si="151"/>
        <v>0.61603733559609675</v>
      </c>
      <c r="E285" s="15">
        <f t="shared" si="152"/>
        <v>0.95832486277698714</v>
      </c>
      <c r="F285" s="57"/>
      <c r="G285" s="34"/>
      <c r="H285" s="57">
        <f>+V285+AJ285+AX285+BL285+BS_GC_MP_Vill[[#This Row],[Trenes Programados]]</f>
        <v>4919</v>
      </c>
      <c r="I285" s="16">
        <f t="shared" si="170"/>
        <v>205</v>
      </c>
      <c r="J285" s="57">
        <f>+X285+AL285+AZ285+BN285+BS_GC_MP_Vill[[#This Row],[Trenes Corridos]]</f>
        <v>4714</v>
      </c>
      <c r="K285" s="57">
        <f>+Y285+AM285+BA285+BO285+BS_GC_MP_Vill[[#This Row],[Trenes Puntuales]]</f>
        <v>2904</v>
      </c>
      <c r="L285" s="16">
        <f t="shared" si="171"/>
        <v>1810</v>
      </c>
      <c r="M285" s="16"/>
      <c r="N285" s="16"/>
      <c r="O285" s="80">
        <v>2016</v>
      </c>
      <c r="P285" s="81" t="s">
        <v>39</v>
      </c>
      <c r="Q285" s="15">
        <f t="shared" si="153"/>
        <v>0.75391644908616184</v>
      </c>
      <c r="R285" s="15">
        <f t="shared" si="154"/>
        <v>0.78464673913043481</v>
      </c>
      <c r="S285" s="15">
        <f t="shared" si="155"/>
        <v>0.96083550913838123</v>
      </c>
      <c r="T285" s="16"/>
      <c r="U285" s="16"/>
      <c r="V285" s="16">
        <v>3064</v>
      </c>
      <c r="W285" s="16">
        <f t="shared" si="172"/>
        <v>120</v>
      </c>
      <c r="X285" s="16">
        <v>2944</v>
      </c>
      <c r="Y285" s="16">
        <v>2310</v>
      </c>
      <c r="Z285" s="16">
        <f t="shared" si="173"/>
        <v>634</v>
      </c>
      <c r="AA285" s="16"/>
      <c r="AB285" s="16"/>
      <c r="AC285" s="80">
        <v>2016</v>
      </c>
      <c r="AD285" s="81" t="s">
        <v>39</v>
      </c>
      <c r="AE285" s="15">
        <f t="shared" si="156"/>
        <v>0.25307443365695792</v>
      </c>
      <c r="AF285" s="15">
        <f t="shared" si="157"/>
        <v>0.26347708894878707</v>
      </c>
      <c r="AG285" s="15">
        <f t="shared" si="158"/>
        <v>0.96051779935275083</v>
      </c>
      <c r="AH285" s="16"/>
      <c r="AI285" s="16"/>
      <c r="AJ285" s="16">
        <v>1545</v>
      </c>
      <c r="AK285" s="16">
        <f t="shared" si="174"/>
        <v>61</v>
      </c>
      <c r="AL285" s="16">
        <v>1484</v>
      </c>
      <c r="AM285" s="16">
        <v>391</v>
      </c>
      <c r="AN285" s="16">
        <f t="shared" si="175"/>
        <v>1093</v>
      </c>
      <c r="AO285" s="16"/>
      <c r="AP285" s="16"/>
      <c r="AQ285" s="80">
        <v>2016</v>
      </c>
      <c r="AR285" s="81" t="s">
        <v>39</v>
      </c>
      <c r="AS285" s="15">
        <f t="shared" si="159"/>
        <v>0.65483870967741931</v>
      </c>
      <c r="AT285" s="15">
        <f t="shared" si="160"/>
        <v>0.70979020979020979</v>
      </c>
      <c r="AU285" s="15">
        <f t="shared" si="161"/>
        <v>0.92258064516129035</v>
      </c>
      <c r="AV285" s="15"/>
      <c r="AW285" s="15"/>
      <c r="AX285" s="16">
        <v>310</v>
      </c>
      <c r="AY285" s="16">
        <f t="shared" si="176"/>
        <v>24</v>
      </c>
      <c r="AZ285" s="16">
        <v>286</v>
      </c>
      <c r="BA285" s="16">
        <v>203</v>
      </c>
      <c r="BB285" s="16">
        <f t="shared" si="177"/>
        <v>83</v>
      </c>
      <c r="BC285" s="16"/>
      <c r="BD285" s="16"/>
      <c r="BE285" s="80"/>
      <c r="BF285" s="81"/>
      <c r="BG285" s="15"/>
      <c r="BH285" s="15"/>
      <c r="BI285" s="15"/>
      <c r="BS285" s="80"/>
      <c r="BT285" s="81"/>
      <c r="BU285" s="15"/>
      <c r="BV285" s="15"/>
      <c r="BW285" s="15"/>
      <c r="CA285" s="45"/>
      <c r="CD285" s="45"/>
      <c r="CG285" s="80"/>
      <c r="CH285" s="81"/>
      <c r="CI285" s="15"/>
      <c r="CJ285" s="15"/>
      <c r="CK285" s="15"/>
      <c r="CO285" s="45"/>
      <c r="CR285" s="45"/>
    </row>
    <row r="286" spans="1:96" s="18" customFormat="1" ht="15" customHeight="1">
      <c r="A286" s="78">
        <v>2016</v>
      </c>
      <c r="B286" s="79" t="s">
        <v>40</v>
      </c>
      <c r="C286" s="15">
        <f t="shared" si="150"/>
        <v>0.63650762225301916</v>
      </c>
      <c r="D286" s="15">
        <f t="shared" si="151"/>
        <v>0.65212981744421905</v>
      </c>
      <c r="E286" s="15">
        <f t="shared" si="152"/>
        <v>0.97604434765392989</v>
      </c>
      <c r="F286" s="57"/>
      <c r="G286" s="34"/>
      <c r="H286" s="57">
        <f>+V286+AJ286+AX286+BL286+BS_GC_MP_Vill[[#This Row],[Trenes Programados]]</f>
        <v>5051</v>
      </c>
      <c r="I286" s="16">
        <f t="shared" si="170"/>
        <v>121</v>
      </c>
      <c r="J286" s="57">
        <f>+X286+AL286+AZ286+BN286+BS_GC_MP_Vill[[#This Row],[Trenes Corridos]]</f>
        <v>4930</v>
      </c>
      <c r="K286" s="57">
        <f>+Y286+AM286+BA286+BO286+BS_GC_MP_Vill[[#This Row],[Trenes Puntuales]]</f>
        <v>3215</v>
      </c>
      <c r="L286" s="16">
        <f t="shared" si="171"/>
        <v>1715</v>
      </c>
      <c r="M286" s="16"/>
      <c r="N286" s="16"/>
      <c r="O286" s="78">
        <v>2016</v>
      </c>
      <c r="P286" s="79" t="s">
        <v>40</v>
      </c>
      <c r="Q286" s="15">
        <f t="shared" si="153"/>
        <v>0.79108280254777075</v>
      </c>
      <c r="R286" s="15">
        <f t="shared" si="154"/>
        <v>0.81149950996406406</v>
      </c>
      <c r="S286" s="15">
        <f t="shared" si="155"/>
        <v>0.97484076433121014</v>
      </c>
      <c r="T286" s="16"/>
      <c r="U286" s="16"/>
      <c r="V286" s="16">
        <v>3140</v>
      </c>
      <c r="W286" s="16">
        <f t="shared" si="172"/>
        <v>79</v>
      </c>
      <c r="X286" s="16">
        <v>3061</v>
      </c>
      <c r="Y286" s="16">
        <v>2484</v>
      </c>
      <c r="Z286" s="16">
        <f t="shared" si="173"/>
        <v>577</v>
      </c>
      <c r="AA286" s="16"/>
      <c r="AB286" s="16"/>
      <c r="AC286" s="78">
        <v>2016</v>
      </c>
      <c r="AD286" s="79" t="s">
        <v>40</v>
      </c>
      <c r="AE286" s="15">
        <f t="shared" si="156"/>
        <v>0.31718061674008813</v>
      </c>
      <c r="AF286" s="15">
        <f t="shared" si="157"/>
        <v>0.32266325224071701</v>
      </c>
      <c r="AG286" s="15">
        <f t="shared" si="158"/>
        <v>0.9830081812460667</v>
      </c>
      <c r="AH286" s="16"/>
      <c r="AI286" s="16"/>
      <c r="AJ286" s="16">
        <v>1589</v>
      </c>
      <c r="AK286" s="16">
        <f t="shared" si="174"/>
        <v>27</v>
      </c>
      <c r="AL286" s="16">
        <v>1562</v>
      </c>
      <c r="AM286" s="16">
        <v>504</v>
      </c>
      <c r="AN286" s="16">
        <f t="shared" si="175"/>
        <v>1058</v>
      </c>
      <c r="AO286" s="16"/>
      <c r="AP286" s="16"/>
      <c r="AQ286" s="78">
        <v>2016</v>
      </c>
      <c r="AR286" s="79" t="s">
        <v>40</v>
      </c>
      <c r="AS286" s="15">
        <f t="shared" si="159"/>
        <v>0.70496894409937894</v>
      </c>
      <c r="AT286" s="15">
        <f t="shared" si="160"/>
        <v>0.73941368078175895</v>
      </c>
      <c r="AU286" s="15">
        <f t="shared" si="161"/>
        <v>0.95341614906832295</v>
      </c>
      <c r="AV286" s="15"/>
      <c r="AW286" s="15"/>
      <c r="AX286" s="16">
        <v>322</v>
      </c>
      <c r="AY286" s="16">
        <f t="shared" si="176"/>
        <v>15</v>
      </c>
      <c r="AZ286" s="16">
        <v>307</v>
      </c>
      <c r="BA286" s="16">
        <v>227</v>
      </c>
      <c r="BB286" s="16">
        <f t="shared" si="177"/>
        <v>80</v>
      </c>
      <c r="BC286" s="16"/>
      <c r="BD286" s="16"/>
      <c r="BE286" s="78"/>
      <c r="BF286" s="79"/>
      <c r="BG286" s="15"/>
      <c r="BH286" s="15"/>
      <c r="BI286" s="15"/>
      <c r="BS286" s="78"/>
      <c r="BT286" s="79"/>
      <c r="BU286" s="15"/>
      <c r="BV286" s="15"/>
      <c r="BW286" s="15"/>
      <c r="CA286" s="45"/>
      <c r="CD286" s="45"/>
      <c r="CG286" s="78"/>
      <c r="CH286" s="79"/>
      <c r="CI286" s="15"/>
      <c r="CJ286" s="15"/>
      <c r="CK286" s="15"/>
      <c r="CO286" s="45"/>
      <c r="CR286" s="45"/>
    </row>
    <row r="287" spans="1:96" s="18" customFormat="1" ht="15" customHeight="1">
      <c r="A287" s="80">
        <v>2016</v>
      </c>
      <c r="B287" s="81" t="s">
        <v>41</v>
      </c>
      <c r="C287" s="15">
        <f t="shared" si="150"/>
        <v>0.62459016393442623</v>
      </c>
      <c r="D287" s="15">
        <f t="shared" si="151"/>
        <v>0.66666666666666663</v>
      </c>
      <c r="E287" s="15">
        <f t="shared" si="152"/>
        <v>0.93688524590163935</v>
      </c>
      <c r="F287" s="57"/>
      <c r="G287" s="34"/>
      <c r="H287" s="57">
        <f>+V287+AJ287+AX287+BL287+BS_GC_MP_Vill[[#This Row],[Trenes Programados]]</f>
        <v>4880</v>
      </c>
      <c r="I287" s="16">
        <f t="shared" si="170"/>
        <v>308</v>
      </c>
      <c r="J287" s="57">
        <f>+X287+AL287+AZ287+BN287+BS_GC_MP_Vill[[#This Row],[Trenes Corridos]]</f>
        <v>4572</v>
      </c>
      <c r="K287" s="57">
        <f>+Y287+AM287+BA287+BO287+BS_GC_MP_Vill[[#This Row],[Trenes Puntuales]]</f>
        <v>3048</v>
      </c>
      <c r="L287" s="16">
        <f t="shared" si="171"/>
        <v>1524</v>
      </c>
      <c r="M287" s="16"/>
      <c r="N287" s="16"/>
      <c r="O287" s="80">
        <v>2016</v>
      </c>
      <c r="P287" s="81" t="s">
        <v>41</v>
      </c>
      <c r="Q287" s="15">
        <f t="shared" si="153"/>
        <v>0.77407651715039583</v>
      </c>
      <c r="R287" s="15">
        <f t="shared" si="154"/>
        <v>0.81976947258120847</v>
      </c>
      <c r="S287" s="15">
        <f t="shared" si="155"/>
        <v>0.94426121372031657</v>
      </c>
      <c r="T287" s="16"/>
      <c r="U287" s="16"/>
      <c r="V287" s="16">
        <v>3032</v>
      </c>
      <c r="W287" s="16">
        <f t="shared" si="172"/>
        <v>169</v>
      </c>
      <c r="X287" s="16">
        <v>2863</v>
      </c>
      <c r="Y287" s="16">
        <v>2347</v>
      </c>
      <c r="Z287" s="16">
        <f t="shared" si="173"/>
        <v>516</v>
      </c>
      <c r="AA287" s="16"/>
      <c r="AB287" s="16"/>
      <c r="AC287" s="80">
        <v>2016</v>
      </c>
      <c r="AD287" s="81" t="s">
        <v>41</v>
      </c>
      <c r="AE287" s="15">
        <f t="shared" si="156"/>
        <v>0.322265625</v>
      </c>
      <c r="AF287" s="15">
        <f t="shared" si="157"/>
        <v>0.34957627118644069</v>
      </c>
      <c r="AG287" s="15">
        <f t="shared" si="158"/>
        <v>0.921875</v>
      </c>
      <c r="AH287" s="16"/>
      <c r="AI287" s="16"/>
      <c r="AJ287" s="16">
        <v>1536</v>
      </c>
      <c r="AK287" s="16">
        <f t="shared" si="174"/>
        <v>120</v>
      </c>
      <c r="AL287" s="16">
        <v>1416</v>
      </c>
      <c r="AM287" s="16">
        <v>495</v>
      </c>
      <c r="AN287" s="16">
        <f t="shared" si="175"/>
        <v>921</v>
      </c>
      <c r="AO287" s="16"/>
      <c r="AP287" s="16"/>
      <c r="AQ287" s="80">
        <v>2016</v>
      </c>
      <c r="AR287" s="81" t="s">
        <v>41</v>
      </c>
      <c r="AS287" s="15">
        <f t="shared" si="159"/>
        <v>0.66025641025641024</v>
      </c>
      <c r="AT287" s="15">
        <f t="shared" si="160"/>
        <v>0.70307167235494883</v>
      </c>
      <c r="AU287" s="15">
        <f t="shared" si="161"/>
        <v>0.9391025641025641</v>
      </c>
      <c r="AV287" s="15"/>
      <c r="AW287" s="15"/>
      <c r="AX287" s="16">
        <v>312</v>
      </c>
      <c r="AY287" s="16">
        <f t="shared" si="176"/>
        <v>19</v>
      </c>
      <c r="AZ287" s="16">
        <v>293</v>
      </c>
      <c r="BA287" s="16">
        <v>206</v>
      </c>
      <c r="BB287" s="16">
        <f t="shared" si="177"/>
        <v>87</v>
      </c>
      <c r="BC287" s="16"/>
      <c r="BD287" s="16"/>
      <c r="BE287" s="80"/>
      <c r="BF287" s="81"/>
      <c r="BG287" s="15"/>
      <c r="BH287" s="15"/>
      <c r="BI287" s="15"/>
      <c r="BS287" s="80"/>
      <c r="BT287" s="81"/>
      <c r="BU287" s="15"/>
      <c r="BV287" s="15"/>
      <c r="BW287" s="15"/>
      <c r="CA287" s="45"/>
      <c r="CD287" s="45"/>
      <c r="CG287" s="80"/>
      <c r="CH287" s="81"/>
      <c r="CI287" s="15"/>
      <c r="CJ287" s="15"/>
      <c r="CK287" s="15"/>
      <c r="CO287" s="45"/>
      <c r="CR287" s="45"/>
    </row>
    <row r="288" spans="1:96" s="18" customFormat="1" ht="15" customHeight="1">
      <c r="A288" s="78">
        <v>2016</v>
      </c>
      <c r="B288" s="79" t="s">
        <v>42</v>
      </c>
      <c r="C288" s="15">
        <f t="shared" si="150"/>
        <v>0.60674381484437345</v>
      </c>
      <c r="D288" s="15">
        <f t="shared" si="151"/>
        <v>0.64923142613151152</v>
      </c>
      <c r="E288" s="15">
        <f t="shared" si="152"/>
        <v>0.93455706304868313</v>
      </c>
      <c r="F288" s="57"/>
      <c r="G288" s="34"/>
      <c r="H288" s="57">
        <f>+V288+AJ288+AX288+BL288+BS_GC_MP_Vill[[#This Row],[Trenes Programados]]</f>
        <v>5012</v>
      </c>
      <c r="I288" s="16">
        <f t="shared" si="170"/>
        <v>328</v>
      </c>
      <c r="J288" s="57">
        <f>+X288+AL288+AZ288+BN288+BS_GC_MP_Vill[[#This Row],[Trenes Corridos]]</f>
        <v>4684</v>
      </c>
      <c r="K288" s="57">
        <f>+Y288+AM288+BA288+BO288+BS_GC_MP_Vill[[#This Row],[Trenes Puntuales]]</f>
        <v>3041</v>
      </c>
      <c r="L288" s="16">
        <f t="shared" si="171"/>
        <v>1643</v>
      </c>
      <c r="M288" s="16"/>
      <c r="N288" s="16"/>
      <c r="O288" s="78">
        <v>2016</v>
      </c>
      <c r="P288" s="79" t="s">
        <v>42</v>
      </c>
      <c r="Q288" s="15">
        <f t="shared" si="153"/>
        <v>0.73101673101673104</v>
      </c>
      <c r="R288" s="15">
        <f t="shared" si="154"/>
        <v>0.77095351204614859</v>
      </c>
      <c r="S288" s="15">
        <f t="shared" si="155"/>
        <v>0.94819819819819817</v>
      </c>
      <c r="T288" s="16"/>
      <c r="U288" s="16"/>
      <c r="V288" s="16">
        <v>3108</v>
      </c>
      <c r="W288" s="16">
        <f t="shared" si="172"/>
        <v>161</v>
      </c>
      <c r="X288" s="16">
        <v>2947</v>
      </c>
      <c r="Y288" s="16">
        <v>2272</v>
      </c>
      <c r="Z288" s="16">
        <f t="shared" si="173"/>
        <v>675</v>
      </c>
      <c r="AA288" s="16"/>
      <c r="AB288" s="16"/>
      <c r="AC288" s="78">
        <v>2016</v>
      </c>
      <c r="AD288" s="79" t="s">
        <v>42</v>
      </c>
      <c r="AE288" s="15">
        <f t="shared" si="156"/>
        <v>0.36012658227848099</v>
      </c>
      <c r="AF288" s="15">
        <f t="shared" si="157"/>
        <v>0.38628649015614391</v>
      </c>
      <c r="AG288" s="15">
        <f t="shared" si="158"/>
        <v>0.9322784810126582</v>
      </c>
      <c r="AH288" s="16"/>
      <c r="AI288" s="16"/>
      <c r="AJ288" s="16">
        <v>1580</v>
      </c>
      <c r="AK288" s="16">
        <f t="shared" si="174"/>
        <v>107</v>
      </c>
      <c r="AL288" s="16">
        <v>1473</v>
      </c>
      <c r="AM288" s="16">
        <v>569</v>
      </c>
      <c r="AN288" s="16">
        <f t="shared" si="175"/>
        <v>904</v>
      </c>
      <c r="AO288" s="16"/>
      <c r="AP288" s="16"/>
      <c r="AQ288" s="78">
        <v>2016</v>
      </c>
      <c r="AR288" s="79" t="s">
        <v>42</v>
      </c>
      <c r="AS288" s="15">
        <f t="shared" si="159"/>
        <v>0.61728395061728392</v>
      </c>
      <c r="AT288" s="15">
        <f t="shared" si="160"/>
        <v>0.75757575757575757</v>
      </c>
      <c r="AU288" s="15">
        <f t="shared" si="161"/>
        <v>0.81481481481481477</v>
      </c>
      <c r="AV288" s="15"/>
      <c r="AW288" s="15"/>
      <c r="AX288" s="16">
        <v>324</v>
      </c>
      <c r="AY288" s="16">
        <f t="shared" si="176"/>
        <v>60</v>
      </c>
      <c r="AZ288" s="16">
        <v>264</v>
      </c>
      <c r="BA288" s="16">
        <v>200</v>
      </c>
      <c r="BB288" s="16">
        <f t="shared" si="177"/>
        <v>64</v>
      </c>
      <c r="BC288" s="16"/>
      <c r="BD288" s="16"/>
      <c r="BE288" s="78"/>
      <c r="BF288" s="79"/>
      <c r="BG288" s="15"/>
      <c r="BH288" s="15"/>
      <c r="BI288" s="15"/>
      <c r="BS288" s="78"/>
      <c r="BT288" s="79"/>
      <c r="BU288" s="15"/>
      <c r="BV288" s="15"/>
      <c r="BW288" s="15"/>
      <c r="CA288" s="45"/>
      <c r="CD288" s="45"/>
      <c r="CG288" s="78"/>
      <c r="CH288" s="79"/>
      <c r="CI288" s="15"/>
      <c r="CJ288" s="15"/>
      <c r="CK288" s="15"/>
      <c r="CO288" s="45"/>
      <c r="CR288" s="45"/>
    </row>
    <row r="289" spans="1:96" s="18" customFormat="1" ht="15" customHeight="1">
      <c r="A289" s="80">
        <v>2016</v>
      </c>
      <c r="B289" s="81" t="s">
        <v>43</v>
      </c>
      <c r="C289" s="15">
        <f t="shared" si="150"/>
        <v>0.58113948919449898</v>
      </c>
      <c r="D289" s="15">
        <f t="shared" si="151"/>
        <v>0.62273684210526314</v>
      </c>
      <c r="E289" s="15">
        <f t="shared" si="152"/>
        <v>0.93320235756385073</v>
      </c>
      <c r="F289" s="57"/>
      <c r="G289" s="34"/>
      <c r="H289" s="57">
        <f>+V289+AJ289+AX289+BL289+BS_GC_MP_Vill[[#This Row],[Trenes Programados]]</f>
        <v>5090</v>
      </c>
      <c r="I289" s="16">
        <f t="shared" si="170"/>
        <v>340</v>
      </c>
      <c r="J289" s="57">
        <f>+X289+AL289+AZ289+BN289+BS_GC_MP_Vill[[#This Row],[Trenes Corridos]]</f>
        <v>4750</v>
      </c>
      <c r="K289" s="57">
        <f>+Y289+AM289+BA289+BO289+BS_GC_MP_Vill[[#This Row],[Trenes Puntuales]]</f>
        <v>2958</v>
      </c>
      <c r="L289" s="16">
        <f t="shared" si="171"/>
        <v>1792</v>
      </c>
      <c r="M289" s="16"/>
      <c r="N289" s="16"/>
      <c r="O289" s="80">
        <v>2016</v>
      </c>
      <c r="P289" s="81" t="s">
        <v>43</v>
      </c>
      <c r="Q289" s="15">
        <f t="shared" si="153"/>
        <v>0.70523329129886503</v>
      </c>
      <c r="R289" s="15">
        <f t="shared" si="154"/>
        <v>0.75985054347826086</v>
      </c>
      <c r="S289" s="15">
        <f t="shared" si="155"/>
        <v>0.92812105926860022</v>
      </c>
      <c r="T289" s="16"/>
      <c r="U289" s="16"/>
      <c r="V289" s="16">
        <v>3172</v>
      </c>
      <c r="W289" s="16">
        <f t="shared" si="172"/>
        <v>228</v>
      </c>
      <c r="X289" s="16">
        <v>2944</v>
      </c>
      <c r="Y289" s="16">
        <v>2237</v>
      </c>
      <c r="Z289" s="16">
        <f t="shared" si="173"/>
        <v>707</v>
      </c>
      <c r="AA289" s="16"/>
      <c r="AB289" s="16"/>
      <c r="AC289" s="80">
        <v>2016</v>
      </c>
      <c r="AD289" s="81" t="s">
        <v>43</v>
      </c>
      <c r="AE289" s="15">
        <f t="shared" si="156"/>
        <v>0.31914893617021278</v>
      </c>
      <c r="AF289" s="15">
        <f t="shared" si="157"/>
        <v>0.34136546184738958</v>
      </c>
      <c r="AG289" s="15">
        <f t="shared" si="158"/>
        <v>0.93491864831038796</v>
      </c>
      <c r="AH289" s="16"/>
      <c r="AI289" s="16"/>
      <c r="AJ289" s="16">
        <v>1598</v>
      </c>
      <c r="AK289" s="16">
        <f t="shared" si="174"/>
        <v>104</v>
      </c>
      <c r="AL289" s="16">
        <v>1494</v>
      </c>
      <c r="AM289" s="16">
        <v>510</v>
      </c>
      <c r="AN289" s="16">
        <f t="shared" si="175"/>
        <v>984</v>
      </c>
      <c r="AO289" s="16"/>
      <c r="AP289" s="16"/>
      <c r="AQ289" s="80">
        <v>2016</v>
      </c>
      <c r="AR289" s="81" t="s">
        <v>43</v>
      </c>
      <c r="AS289" s="15">
        <f t="shared" si="159"/>
        <v>0.65937500000000004</v>
      </c>
      <c r="AT289" s="15">
        <f t="shared" si="160"/>
        <v>0.67628205128205132</v>
      </c>
      <c r="AU289" s="15">
        <f t="shared" si="161"/>
        <v>0.97499999999999998</v>
      </c>
      <c r="AV289" s="15"/>
      <c r="AW289" s="15"/>
      <c r="AX289" s="16">
        <v>320</v>
      </c>
      <c r="AY289" s="16">
        <f t="shared" si="176"/>
        <v>8</v>
      </c>
      <c r="AZ289" s="16">
        <v>312</v>
      </c>
      <c r="BA289" s="16">
        <v>211</v>
      </c>
      <c r="BB289" s="16">
        <f t="shared" si="177"/>
        <v>101</v>
      </c>
      <c r="BC289" s="16"/>
      <c r="BD289" s="16"/>
      <c r="BE289" s="80"/>
      <c r="BF289" s="81"/>
      <c r="BG289" s="15"/>
      <c r="BH289" s="15"/>
      <c r="BI289" s="15"/>
      <c r="BS289" s="80"/>
      <c r="BT289" s="81"/>
      <c r="BU289" s="15"/>
      <c r="BV289" s="15"/>
      <c r="BW289" s="15"/>
      <c r="CA289" s="45"/>
      <c r="CD289" s="45"/>
      <c r="CG289" s="80"/>
      <c r="CH289" s="81"/>
      <c r="CI289" s="15"/>
      <c r="CJ289" s="15"/>
      <c r="CK289" s="15"/>
      <c r="CO289" s="45"/>
      <c r="CR289" s="45"/>
    </row>
    <row r="290" spans="1:96" s="18" customFormat="1" ht="15" customHeight="1">
      <c r="A290" s="78">
        <v>2016</v>
      </c>
      <c r="B290" s="79" t="s">
        <v>44</v>
      </c>
      <c r="C290" s="15">
        <f t="shared" si="150"/>
        <v>0.63715207745058489</v>
      </c>
      <c r="D290" s="15">
        <f t="shared" si="151"/>
        <v>0.68008611410118402</v>
      </c>
      <c r="E290" s="15">
        <f t="shared" si="152"/>
        <v>0.9368697055264219</v>
      </c>
      <c r="F290" s="57"/>
      <c r="G290" s="34"/>
      <c r="H290" s="57">
        <f>+V290+AJ290+AX290+BL290+BS_GC_MP_Vill[[#This Row],[Trenes Programados]]</f>
        <v>4958</v>
      </c>
      <c r="I290" s="16">
        <f t="shared" si="170"/>
        <v>313</v>
      </c>
      <c r="J290" s="57">
        <f>+X290+AL290+AZ290+BN290+BS_GC_MP_Vill[[#This Row],[Trenes Corridos]]</f>
        <v>4645</v>
      </c>
      <c r="K290" s="57">
        <f>+Y290+AM290+BA290+BO290+BS_GC_MP_Vill[[#This Row],[Trenes Puntuales]]</f>
        <v>3159</v>
      </c>
      <c r="L290" s="16">
        <f t="shared" si="171"/>
        <v>1486</v>
      </c>
      <c r="M290" s="16"/>
      <c r="N290" s="16"/>
      <c r="O290" s="78">
        <v>2016</v>
      </c>
      <c r="P290" s="79" t="s">
        <v>44</v>
      </c>
      <c r="Q290" s="15">
        <f t="shared" si="153"/>
        <v>0.74903100775193798</v>
      </c>
      <c r="R290" s="15">
        <f t="shared" si="154"/>
        <v>0.80576789437109109</v>
      </c>
      <c r="S290" s="15">
        <f t="shared" si="155"/>
        <v>0.92958656330749356</v>
      </c>
      <c r="T290" s="16"/>
      <c r="U290" s="16"/>
      <c r="V290" s="16">
        <v>3096</v>
      </c>
      <c r="W290" s="16">
        <f t="shared" si="172"/>
        <v>218</v>
      </c>
      <c r="X290" s="16">
        <v>2878</v>
      </c>
      <c r="Y290" s="16">
        <v>2319</v>
      </c>
      <c r="Z290" s="16">
        <f t="shared" si="173"/>
        <v>559</v>
      </c>
      <c r="AA290" s="16"/>
      <c r="AB290" s="16"/>
      <c r="AC290" s="78">
        <v>2016</v>
      </c>
      <c r="AD290" s="79" t="s">
        <v>44</v>
      </c>
      <c r="AE290" s="15">
        <f t="shared" si="156"/>
        <v>0.40669240669240669</v>
      </c>
      <c r="AF290" s="15">
        <f t="shared" si="157"/>
        <v>0.42387659289067742</v>
      </c>
      <c r="AG290" s="15">
        <f t="shared" si="158"/>
        <v>0.95945945945945943</v>
      </c>
      <c r="AH290" s="16"/>
      <c r="AI290" s="16"/>
      <c r="AJ290" s="16">
        <v>1554</v>
      </c>
      <c r="AK290" s="16">
        <f t="shared" si="174"/>
        <v>63</v>
      </c>
      <c r="AL290" s="16">
        <v>1491</v>
      </c>
      <c r="AM290" s="16">
        <v>632</v>
      </c>
      <c r="AN290" s="16">
        <f t="shared" si="175"/>
        <v>859</v>
      </c>
      <c r="AO290" s="16"/>
      <c r="AP290" s="16"/>
      <c r="AQ290" s="78">
        <v>2016</v>
      </c>
      <c r="AR290" s="79" t="s">
        <v>44</v>
      </c>
      <c r="AS290" s="15">
        <f t="shared" si="159"/>
        <v>0.67532467532467533</v>
      </c>
      <c r="AT290" s="15">
        <f t="shared" si="160"/>
        <v>0.75362318840579712</v>
      </c>
      <c r="AU290" s="15">
        <f t="shared" si="161"/>
        <v>0.89610389610389607</v>
      </c>
      <c r="AV290" s="15"/>
      <c r="AW290" s="15"/>
      <c r="AX290" s="16">
        <v>308</v>
      </c>
      <c r="AY290" s="16">
        <f t="shared" si="176"/>
        <v>32</v>
      </c>
      <c r="AZ290" s="16">
        <v>276</v>
      </c>
      <c r="BA290" s="16">
        <v>208</v>
      </c>
      <c r="BB290" s="16">
        <f t="shared" si="177"/>
        <v>68</v>
      </c>
      <c r="BC290" s="16"/>
      <c r="BD290" s="16"/>
      <c r="BE290" s="78"/>
      <c r="BF290" s="79"/>
      <c r="BG290" s="15"/>
      <c r="BH290" s="15"/>
      <c r="BI290" s="15"/>
      <c r="BS290" s="78"/>
      <c r="BT290" s="79"/>
      <c r="BU290" s="15"/>
      <c r="BV290" s="15"/>
      <c r="BW290" s="15"/>
      <c r="CA290" s="45"/>
      <c r="CD290" s="45"/>
      <c r="CG290" s="78"/>
      <c r="CH290" s="79"/>
      <c r="CI290" s="15"/>
      <c r="CJ290" s="15"/>
      <c r="CK290" s="15"/>
      <c r="CO290" s="45"/>
      <c r="CR290" s="45"/>
    </row>
    <row r="291" spans="1:96" s="18" customFormat="1" ht="15" customHeight="1">
      <c r="A291" s="80">
        <v>2016</v>
      </c>
      <c r="B291" s="81" t="s">
        <v>45</v>
      </c>
      <c r="C291" s="15">
        <f t="shared" si="150"/>
        <v>0.63820091143253421</v>
      </c>
      <c r="D291" s="15">
        <f t="shared" si="151"/>
        <v>0.72122704881325572</v>
      </c>
      <c r="E291" s="15">
        <f t="shared" si="152"/>
        <v>0.88488210818307911</v>
      </c>
      <c r="F291" s="57"/>
      <c r="G291" s="34"/>
      <c r="H291" s="57">
        <f>+V291+AJ291+AX291+BL291+BS_GC_MP_Vill[[#This Row],[Trenes Programados]]</f>
        <v>5047</v>
      </c>
      <c r="I291" s="16">
        <f t="shared" si="170"/>
        <v>581</v>
      </c>
      <c r="J291" s="57">
        <f>+X291+AL291+AZ291+BN291+BS_GC_MP_Vill[[#This Row],[Trenes Corridos]]</f>
        <v>4466</v>
      </c>
      <c r="K291" s="57">
        <f>+Y291+AM291+BA291+BO291+BS_GC_MP_Vill[[#This Row],[Trenes Puntuales]]</f>
        <v>3221</v>
      </c>
      <c r="L291" s="16">
        <f t="shared" si="171"/>
        <v>1245</v>
      </c>
      <c r="M291" s="16"/>
      <c r="N291" s="16"/>
      <c r="O291" s="80">
        <v>2016</v>
      </c>
      <c r="P291" s="81" t="s">
        <v>45</v>
      </c>
      <c r="Q291" s="15">
        <f t="shared" si="153"/>
        <v>0.7455357142857143</v>
      </c>
      <c r="R291" s="15">
        <f t="shared" si="154"/>
        <v>0.85892725936811165</v>
      </c>
      <c r="S291" s="15">
        <f t="shared" si="155"/>
        <v>0.86798469387755106</v>
      </c>
      <c r="T291" s="16"/>
      <c r="U291" s="16"/>
      <c r="V291" s="16">
        <v>3136</v>
      </c>
      <c r="W291" s="16">
        <f t="shared" si="172"/>
        <v>414</v>
      </c>
      <c r="X291" s="16">
        <v>2722</v>
      </c>
      <c r="Y291" s="16">
        <v>2338</v>
      </c>
      <c r="Z291" s="16">
        <f t="shared" si="173"/>
        <v>384</v>
      </c>
      <c r="AA291" s="16"/>
      <c r="AB291" s="16"/>
      <c r="AC291" s="80">
        <v>2016</v>
      </c>
      <c r="AD291" s="81" t="s">
        <v>45</v>
      </c>
      <c r="AE291" s="15">
        <f t="shared" si="156"/>
        <v>0.42794210195091253</v>
      </c>
      <c r="AF291" s="15">
        <f t="shared" si="157"/>
        <v>0.45945945945945948</v>
      </c>
      <c r="AG291" s="15">
        <f t="shared" si="158"/>
        <v>0.93140339836375075</v>
      </c>
      <c r="AH291" s="16"/>
      <c r="AI291" s="16"/>
      <c r="AJ291" s="16">
        <v>1589</v>
      </c>
      <c r="AK291" s="16">
        <f t="shared" si="174"/>
        <v>109</v>
      </c>
      <c r="AL291" s="16">
        <v>1480</v>
      </c>
      <c r="AM291" s="16">
        <v>680</v>
      </c>
      <c r="AN291" s="16">
        <f t="shared" si="175"/>
        <v>800</v>
      </c>
      <c r="AO291" s="16"/>
      <c r="AP291" s="16"/>
      <c r="AQ291" s="80">
        <v>2016</v>
      </c>
      <c r="AR291" s="81" t="s">
        <v>45</v>
      </c>
      <c r="AS291" s="15">
        <f t="shared" si="159"/>
        <v>0.63043478260869568</v>
      </c>
      <c r="AT291" s="15">
        <f t="shared" si="160"/>
        <v>0.76893939393939392</v>
      </c>
      <c r="AU291" s="15">
        <f t="shared" si="161"/>
        <v>0.81987577639751552</v>
      </c>
      <c r="AV291" s="15"/>
      <c r="AW291" s="15"/>
      <c r="AX291" s="16">
        <v>322</v>
      </c>
      <c r="AY291" s="16">
        <f t="shared" si="176"/>
        <v>58</v>
      </c>
      <c r="AZ291" s="16">
        <v>264</v>
      </c>
      <c r="BA291" s="16">
        <v>203</v>
      </c>
      <c r="BB291" s="16">
        <f t="shared" si="177"/>
        <v>61</v>
      </c>
      <c r="BC291" s="16"/>
      <c r="BD291" s="16"/>
      <c r="BE291" s="80"/>
      <c r="BF291" s="81"/>
      <c r="BG291" s="15"/>
      <c r="BH291" s="15"/>
      <c r="BI291" s="15"/>
      <c r="BS291" s="80"/>
      <c r="BT291" s="81"/>
      <c r="BU291" s="15"/>
      <c r="BV291" s="15"/>
      <c r="BW291" s="15"/>
      <c r="CA291" s="45"/>
      <c r="CD291" s="45"/>
      <c r="CG291" s="80"/>
      <c r="CH291" s="81"/>
      <c r="CI291" s="15"/>
      <c r="CJ291" s="15"/>
      <c r="CK291" s="15"/>
      <c r="CO291" s="45"/>
      <c r="CR291" s="45"/>
    </row>
    <row r="292" spans="1:96" s="18" customFormat="1" ht="15" customHeight="1">
      <c r="A292" s="78">
        <v>2016</v>
      </c>
      <c r="B292" s="79" t="s">
        <v>46</v>
      </c>
      <c r="C292" s="15">
        <f t="shared" si="150"/>
        <v>0.6968896117096971</v>
      </c>
      <c r="D292" s="15">
        <f t="shared" si="151"/>
        <v>0.74086881348606004</v>
      </c>
      <c r="E292" s="15">
        <f t="shared" si="152"/>
        <v>0.94063834112624523</v>
      </c>
      <c r="F292" s="57"/>
      <c r="G292" s="34"/>
      <c r="H292" s="57">
        <f>+V292+AJ292+AX292+BL292+BS_GC_MP_Vill[[#This Row],[Trenes Programados]]</f>
        <v>4919</v>
      </c>
      <c r="I292" s="16">
        <f t="shared" si="170"/>
        <v>292</v>
      </c>
      <c r="J292" s="57">
        <f>+X292+AL292+AZ292+BN292+BS_GC_MP_Vill[[#This Row],[Trenes Corridos]]</f>
        <v>4627</v>
      </c>
      <c r="K292" s="57">
        <f>+Y292+AM292+BA292+BO292+BS_GC_MP_Vill[[#This Row],[Trenes Puntuales]]</f>
        <v>3428</v>
      </c>
      <c r="L292" s="16">
        <f t="shared" si="171"/>
        <v>1199</v>
      </c>
      <c r="M292" s="16"/>
      <c r="N292" s="16"/>
      <c r="O292" s="78">
        <v>2016</v>
      </c>
      <c r="P292" s="79" t="s">
        <v>46</v>
      </c>
      <c r="Q292" s="15">
        <f t="shared" si="153"/>
        <v>0.81135770234986948</v>
      </c>
      <c r="R292" s="15">
        <f t="shared" si="154"/>
        <v>0.8563554943162246</v>
      </c>
      <c r="S292" s="15">
        <f t="shared" si="155"/>
        <v>0.94745430809399478</v>
      </c>
      <c r="T292" s="16"/>
      <c r="U292" s="16"/>
      <c r="V292" s="16">
        <v>3064</v>
      </c>
      <c r="W292" s="16">
        <f t="shared" si="172"/>
        <v>161</v>
      </c>
      <c r="X292" s="16">
        <v>2903</v>
      </c>
      <c r="Y292" s="16">
        <v>2486</v>
      </c>
      <c r="Z292" s="16">
        <f t="shared" si="173"/>
        <v>417</v>
      </c>
      <c r="AA292" s="16"/>
      <c r="AB292" s="16"/>
      <c r="AC292" s="78">
        <v>2016</v>
      </c>
      <c r="AD292" s="79" t="s">
        <v>46</v>
      </c>
      <c r="AE292" s="15">
        <f t="shared" si="156"/>
        <v>0.47766990291262135</v>
      </c>
      <c r="AF292" s="15">
        <f t="shared" si="157"/>
        <v>0.51214434420541288</v>
      </c>
      <c r="AG292" s="15">
        <f t="shared" si="158"/>
        <v>0.93268608414239484</v>
      </c>
      <c r="AH292" s="16"/>
      <c r="AI292" s="16"/>
      <c r="AJ292" s="16">
        <v>1545</v>
      </c>
      <c r="AK292" s="16">
        <f t="shared" si="174"/>
        <v>104</v>
      </c>
      <c r="AL292" s="16">
        <v>1441</v>
      </c>
      <c r="AM292" s="16">
        <v>738</v>
      </c>
      <c r="AN292" s="16">
        <f t="shared" si="175"/>
        <v>703</v>
      </c>
      <c r="AO292" s="16"/>
      <c r="AP292" s="16"/>
      <c r="AQ292" s="78">
        <v>2016</v>
      </c>
      <c r="AR292" s="79" t="s">
        <v>46</v>
      </c>
      <c r="AS292" s="15">
        <f t="shared" si="159"/>
        <v>0.65806451612903227</v>
      </c>
      <c r="AT292" s="15">
        <f t="shared" si="160"/>
        <v>0.72084805653710249</v>
      </c>
      <c r="AU292" s="15">
        <f t="shared" si="161"/>
        <v>0.91290322580645167</v>
      </c>
      <c r="AV292" s="15"/>
      <c r="AW292" s="15"/>
      <c r="AX292" s="16">
        <v>310</v>
      </c>
      <c r="AY292" s="16">
        <f t="shared" si="176"/>
        <v>27</v>
      </c>
      <c r="AZ292" s="16">
        <v>283</v>
      </c>
      <c r="BA292" s="16">
        <v>204</v>
      </c>
      <c r="BB292" s="16">
        <f t="shared" si="177"/>
        <v>79</v>
      </c>
      <c r="BC292" s="16"/>
      <c r="BD292" s="16"/>
      <c r="BE292" s="78"/>
      <c r="BF292" s="79"/>
      <c r="BG292" s="15"/>
      <c r="BH292" s="15"/>
      <c r="BI292" s="15"/>
      <c r="BS292" s="78"/>
      <c r="BT292" s="79"/>
      <c r="BU292" s="15"/>
      <c r="BV292" s="15"/>
      <c r="BW292" s="15"/>
      <c r="CA292" s="45"/>
      <c r="CD292" s="45"/>
      <c r="CG292" s="78"/>
      <c r="CH292" s="79"/>
      <c r="CI292" s="15"/>
      <c r="CJ292" s="15"/>
      <c r="CK292" s="15"/>
      <c r="CO292" s="45"/>
      <c r="CR292" s="45"/>
    </row>
    <row r="293" spans="1:96" s="18" customFormat="1" ht="15" customHeight="1">
      <c r="A293" s="80">
        <v>2016</v>
      </c>
      <c r="B293" s="81" t="s">
        <v>47</v>
      </c>
      <c r="C293" s="15">
        <f t="shared" si="150"/>
        <v>0.71111551416683183</v>
      </c>
      <c r="D293" s="15">
        <f t="shared" si="151"/>
        <v>0.7641047477113051</v>
      </c>
      <c r="E293" s="15">
        <f t="shared" si="152"/>
        <v>0.93065187239944525</v>
      </c>
      <c r="F293" s="57"/>
      <c r="G293" s="34"/>
      <c r="H293" s="57">
        <f>+V293+AJ293+AX293+BL293+BS_GC_MP_Vill[[#This Row],[Trenes Programados]]</f>
        <v>5047</v>
      </c>
      <c r="I293" s="16">
        <f t="shared" si="170"/>
        <v>350</v>
      </c>
      <c r="J293" s="57">
        <f>+X293+AL293+AZ293+BN293+BS_GC_MP_Vill[[#This Row],[Trenes Corridos]]</f>
        <v>4697</v>
      </c>
      <c r="K293" s="57">
        <f>+Y293+AM293+BA293+BO293+BS_GC_MP_Vill[[#This Row],[Trenes Puntuales]]</f>
        <v>3589</v>
      </c>
      <c r="L293" s="16">
        <f t="shared" si="171"/>
        <v>1108</v>
      </c>
      <c r="M293" s="16"/>
      <c r="N293" s="16"/>
      <c r="O293" s="80">
        <v>2016</v>
      </c>
      <c r="P293" s="81" t="s">
        <v>47</v>
      </c>
      <c r="Q293" s="15">
        <f t="shared" si="153"/>
        <v>0.78667091836734693</v>
      </c>
      <c r="R293" s="15">
        <f t="shared" si="154"/>
        <v>0.8509830976198689</v>
      </c>
      <c r="S293" s="15">
        <f t="shared" si="155"/>
        <v>0.92442602040816324</v>
      </c>
      <c r="T293" s="16"/>
      <c r="U293" s="16"/>
      <c r="V293" s="16">
        <v>3136</v>
      </c>
      <c r="W293" s="16">
        <f t="shared" si="172"/>
        <v>237</v>
      </c>
      <c r="X293" s="16">
        <v>2899</v>
      </c>
      <c r="Y293" s="16">
        <v>2467</v>
      </c>
      <c r="Z293" s="16">
        <f t="shared" si="173"/>
        <v>432</v>
      </c>
      <c r="AA293" s="16"/>
      <c r="AB293" s="16"/>
      <c r="AC293" s="80">
        <v>2016</v>
      </c>
      <c r="AD293" s="81" t="s">
        <v>47</v>
      </c>
      <c r="AE293" s="15">
        <f t="shared" si="156"/>
        <v>0.5676526117054751</v>
      </c>
      <c r="AF293" s="15">
        <f t="shared" si="157"/>
        <v>0.60133333333333339</v>
      </c>
      <c r="AG293" s="15">
        <f t="shared" si="158"/>
        <v>0.94398993077407178</v>
      </c>
      <c r="AH293" s="16"/>
      <c r="AI293" s="16"/>
      <c r="AJ293" s="16">
        <v>1589</v>
      </c>
      <c r="AK293" s="16">
        <f t="shared" si="174"/>
        <v>89</v>
      </c>
      <c r="AL293" s="16">
        <v>1500</v>
      </c>
      <c r="AM293" s="16">
        <v>902</v>
      </c>
      <c r="AN293" s="16">
        <f t="shared" si="175"/>
        <v>598</v>
      </c>
      <c r="AO293" s="16"/>
      <c r="AP293" s="16"/>
      <c r="AQ293" s="80">
        <v>2016</v>
      </c>
      <c r="AR293" s="81" t="s">
        <v>47</v>
      </c>
      <c r="AS293" s="15">
        <f t="shared" si="159"/>
        <v>0.68322981366459623</v>
      </c>
      <c r="AT293" s="15">
        <f t="shared" si="160"/>
        <v>0.73825503355704702</v>
      </c>
      <c r="AU293" s="15">
        <f t="shared" si="161"/>
        <v>0.92546583850931674</v>
      </c>
      <c r="AV293" s="15"/>
      <c r="AW293" s="15"/>
      <c r="AX293" s="16">
        <v>322</v>
      </c>
      <c r="AY293" s="16">
        <f t="shared" si="176"/>
        <v>24</v>
      </c>
      <c r="AZ293" s="16">
        <v>298</v>
      </c>
      <c r="BA293" s="16">
        <v>220</v>
      </c>
      <c r="BB293" s="16">
        <f t="shared" si="177"/>
        <v>78</v>
      </c>
      <c r="BC293" s="16"/>
      <c r="BD293" s="16"/>
      <c r="BE293" s="80"/>
      <c r="BF293" s="81"/>
      <c r="BG293" s="15"/>
      <c r="BH293" s="15"/>
      <c r="BI293" s="15"/>
      <c r="BS293" s="80"/>
      <c r="BT293" s="81"/>
      <c r="BU293" s="15"/>
      <c r="BV293" s="15"/>
      <c r="BW293" s="15"/>
      <c r="CA293" s="45"/>
      <c r="CD293" s="45"/>
      <c r="CG293" s="80"/>
      <c r="CH293" s="81"/>
      <c r="CI293" s="15"/>
      <c r="CJ293" s="15"/>
      <c r="CK293" s="15"/>
      <c r="CO293" s="45"/>
      <c r="CR293" s="45"/>
    </row>
    <row r="294" spans="1:96" s="18" customFormat="1" ht="15" customHeight="1">
      <c r="A294" s="78">
        <v>2017</v>
      </c>
      <c r="B294" s="79" t="s">
        <v>36</v>
      </c>
      <c r="C294" s="15">
        <f t="shared" si="150"/>
        <v>0.731237721021611</v>
      </c>
      <c r="D294" s="15">
        <f t="shared" si="151"/>
        <v>0.76837324525185802</v>
      </c>
      <c r="E294" s="15">
        <f t="shared" si="152"/>
        <v>0.95166994106090375</v>
      </c>
      <c r="F294" s="57"/>
      <c r="G294" s="34"/>
      <c r="H294" s="57">
        <f>+V294+AJ294+AX294+BL294+BS_GC_MP_Vill[[#This Row],[Trenes Programados]]</f>
        <v>5090</v>
      </c>
      <c r="I294" s="16">
        <f t="shared" ref="I294:I357" si="178">H294-J294</f>
        <v>246</v>
      </c>
      <c r="J294" s="57">
        <f>+X294+AL294+AZ294+BN294+BS_GC_MP_Vill[[#This Row],[Trenes Corridos]]</f>
        <v>4844</v>
      </c>
      <c r="K294" s="57">
        <f>+Y294+AM294+BA294+BO294+BS_GC_MP_Vill[[#This Row],[Trenes Puntuales]]</f>
        <v>3722</v>
      </c>
      <c r="L294" s="16">
        <f t="shared" ref="L294:L357" si="179">J294-K294</f>
        <v>1122</v>
      </c>
      <c r="M294" s="16"/>
      <c r="N294" s="16"/>
      <c r="O294" s="78">
        <v>2017</v>
      </c>
      <c r="P294" s="79" t="s">
        <v>36</v>
      </c>
      <c r="Q294" s="15">
        <f t="shared" si="153"/>
        <v>0.83448928121059274</v>
      </c>
      <c r="R294" s="15">
        <f t="shared" si="154"/>
        <v>0.86588158325155384</v>
      </c>
      <c r="S294" s="15">
        <f t="shared" si="155"/>
        <v>0.96374527112232033</v>
      </c>
      <c r="T294" s="16"/>
      <c r="U294" s="16"/>
      <c r="V294" s="16">
        <v>3172</v>
      </c>
      <c r="W294" s="16">
        <f t="shared" ref="W294:W305" si="180">V294-X294</f>
        <v>115</v>
      </c>
      <c r="X294" s="16">
        <v>3057</v>
      </c>
      <c r="Y294" s="16">
        <v>2647</v>
      </c>
      <c r="Z294" s="16">
        <f t="shared" ref="Z294:Z305" si="181">X294-Y294</f>
        <v>410</v>
      </c>
      <c r="AA294" s="16"/>
      <c r="AB294" s="16"/>
      <c r="AC294" s="78">
        <v>2017</v>
      </c>
      <c r="AD294" s="79" t="s">
        <v>36</v>
      </c>
      <c r="AE294" s="15">
        <f t="shared" si="156"/>
        <v>0.5262828535669587</v>
      </c>
      <c r="AF294" s="15">
        <f t="shared" si="157"/>
        <v>0.55732273028495694</v>
      </c>
      <c r="AG294" s="15">
        <f t="shared" si="158"/>
        <v>0.94430538172715894</v>
      </c>
      <c r="AH294" s="16"/>
      <c r="AI294" s="16"/>
      <c r="AJ294" s="16">
        <v>1598</v>
      </c>
      <c r="AK294" s="16">
        <f t="shared" ref="AK294:AK305" si="182">AJ294-AL294</f>
        <v>89</v>
      </c>
      <c r="AL294" s="16">
        <v>1509</v>
      </c>
      <c r="AM294" s="16">
        <v>841</v>
      </c>
      <c r="AN294" s="16">
        <f t="shared" ref="AN294:AN305" si="183">AL294-AM294</f>
        <v>668</v>
      </c>
      <c r="AO294" s="16"/>
      <c r="AP294" s="16"/>
      <c r="AQ294" s="78">
        <v>2017</v>
      </c>
      <c r="AR294" s="79" t="s">
        <v>36</v>
      </c>
      <c r="AS294" s="15">
        <f t="shared" si="159"/>
        <v>0.73124999999999996</v>
      </c>
      <c r="AT294" s="15">
        <f t="shared" si="160"/>
        <v>0.84172661870503596</v>
      </c>
      <c r="AU294" s="15">
        <f t="shared" si="161"/>
        <v>0.86875000000000002</v>
      </c>
      <c r="AV294" s="15"/>
      <c r="AW294" s="15"/>
      <c r="AX294" s="16">
        <v>320</v>
      </c>
      <c r="AY294" s="16">
        <f t="shared" ref="AY294:AY301" si="184">AX294-AZ294</f>
        <v>42</v>
      </c>
      <c r="AZ294" s="16">
        <v>278</v>
      </c>
      <c r="BA294" s="16">
        <v>234</v>
      </c>
      <c r="BB294" s="16">
        <f t="shared" ref="BB294:BB301" si="185">AZ294-BA294</f>
        <v>44</v>
      </c>
      <c r="BC294" s="16"/>
      <c r="BD294" s="16"/>
      <c r="BE294" s="78"/>
      <c r="BF294" s="79"/>
      <c r="BG294" s="15"/>
      <c r="BH294" s="15"/>
      <c r="BI294" s="15"/>
      <c r="BS294" s="78"/>
      <c r="BT294" s="79"/>
      <c r="BU294" s="15"/>
      <c r="BV294" s="15"/>
      <c r="BW294" s="15"/>
      <c r="CA294" s="45"/>
      <c r="CD294" s="45"/>
      <c r="CG294" s="78"/>
      <c r="CH294" s="79"/>
      <c r="CI294" s="15"/>
      <c r="CJ294" s="15"/>
      <c r="CK294" s="15"/>
      <c r="CO294" s="45"/>
      <c r="CR294" s="45"/>
    </row>
    <row r="295" spans="1:96" s="18" customFormat="1" ht="15" customHeight="1">
      <c r="A295" s="80">
        <v>2017</v>
      </c>
      <c r="B295" s="81" t="s">
        <v>37</v>
      </c>
      <c r="C295" s="15">
        <f t="shared" si="150"/>
        <v>0.73975319524019389</v>
      </c>
      <c r="D295" s="15">
        <f t="shared" si="151"/>
        <v>0.78033472803347281</v>
      </c>
      <c r="E295" s="15">
        <f t="shared" si="152"/>
        <v>0.94799471132657553</v>
      </c>
      <c r="F295" s="57"/>
      <c r="G295" s="34"/>
      <c r="H295" s="57">
        <f>+V295+AJ295+AX295+BL295+BS_GC_MP_Vill[[#This Row],[Trenes Programados]]</f>
        <v>4538</v>
      </c>
      <c r="I295" s="16">
        <f t="shared" si="178"/>
        <v>236</v>
      </c>
      <c r="J295" s="57">
        <f>+X295+AL295+AZ295+BN295+BS_GC_MP_Vill[[#This Row],[Trenes Corridos]]</f>
        <v>4302</v>
      </c>
      <c r="K295" s="57">
        <f>+Y295+AM295+BA295+BO295+BS_GC_MP_Vill[[#This Row],[Trenes Puntuales]]</f>
        <v>3357</v>
      </c>
      <c r="L295" s="16">
        <f t="shared" si="179"/>
        <v>945</v>
      </c>
      <c r="M295" s="16"/>
      <c r="N295" s="16"/>
      <c r="O295" s="80">
        <v>2017</v>
      </c>
      <c r="P295" s="81" t="s">
        <v>37</v>
      </c>
      <c r="Q295" s="15">
        <f t="shared" si="153"/>
        <v>0.86186079545454541</v>
      </c>
      <c r="R295" s="15">
        <f t="shared" si="154"/>
        <v>0.89988876529477202</v>
      </c>
      <c r="S295" s="15">
        <f t="shared" si="155"/>
        <v>0.95774147727272729</v>
      </c>
      <c r="T295" s="16"/>
      <c r="U295" s="16"/>
      <c r="V295" s="16">
        <v>2816</v>
      </c>
      <c r="W295" s="16">
        <f t="shared" si="180"/>
        <v>119</v>
      </c>
      <c r="X295" s="16">
        <v>2697</v>
      </c>
      <c r="Y295" s="16">
        <v>2427</v>
      </c>
      <c r="Z295" s="16">
        <f t="shared" si="181"/>
        <v>270</v>
      </c>
      <c r="AA295" s="16"/>
      <c r="AB295" s="16"/>
      <c r="AC295" s="80">
        <v>2017</v>
      </c>
      <c r="AD295" s="81" t="s">
        <v>37</v>
      </c>
      <c r="AE295" s="15">
        <f t="shared" si="156"/>
        <v>0.52657342657342654</v>
      </c>
      <c r="AF295" s="15">
        <f t="shared" si="157"/>
        <v>0.55164835164835169</v>
      </c>
      <c r="AG295" s="15">
        <f t="shared" si="158"/>
        <v>0.95454545454545459</v>
      </c>
      <c r="AH295" s="16"/>
      <c r="AI295" s="16"/>
      <c r="AJ295" s="16">
        <v>1430</v>
      </c>
      <c r="AK295" s="16">
        <f t="shared" si="182"/>
        <v>65</v>
      </c>
      <c r="AL295" s="16">
        <v>1365</v>
      </c>
      <c r="AM295" s="16">
        <v>753</v>
      </c>
      <c r="AN295" s="16">
        <f t="shared" si="183"/>
        <v>612</v>
      </c>
      <c r="AO295" s="16"/>
      <c r="AP295" s="16"/>
      <c r="AQ295" s="80">
        <v>2017</v>
      </c>
      <c r="AR295" s="81" t="s">
        <v>37</v>
      </c>
      <c r="AS295" s="15">
        <f t="shared" si="159"/>
        <v>0.60616438356164382</v>
      </c>
      <c r="AT295" s="15">
        <f t="shared" si="160"/>
        <v>0.73750000000000004</v>
      </c>
      <c r="AU295" s="15">
        <f t="shared" si="161"/>
        <v>0.82191780821917804</v>
      </c>
      <c r="AV295" s="15"/>
      <c r="AW295" s="15"/>
      <c r="AX295" s="16">
        <v>292</v>
      </c>
      <c r="AY295" s="16">
        <f t="shared" si="184"/>
        <v>52</v>
      </c>
      <c r="AZ295" s="16">
        <v>240</v>
      </c>
      <c r="BA295" s="16">
        <v>177</v>
      </c>
      <c r="BB295" s="16">
        <f t="shared" si="185"/>
        <v>63</v>
      </c>
      <c r="BC295" s="16"/>
      <c r="BD295" s="16"/>
      <c r="BE295" s="80"/>
      <c r="BF295" s="81"/>
      <c r="BG295" s="15"/>
      <c r="BH295" s="15"/>
      <c r="BI295" s="15"/>
      <c r="BS295" s="80"/>
      <c r="BT295" s="81"/>
      <c r="BU295" s="15"/>
      <c r="BV295" s="15"/>
      <c r="BW295" s="15"/>
      <c r="CA295" s="45"/>
      <c r="CD295" s="45"/>
      <c r="CG295" s="80"/>
      <c r="CH295" s="81"/>
      <c r="CI295" s="15"/>
      <c r="CJ295" s="15"/>
      <c r="CK295" s="15"/>
      <c r="CO295" s="45"/>
      <c r="CR295" s="45"/>
    </row>
    <row r="296" spans="1:96" s="18" customFormat="1" ht="15" customHeight="1">
      <c r="A296" s="78">
        <v>2017</v>
      </c>
      <c r="B296" s="79" t="s">
        <v>38</v>
      </c>
      <c r="C296" s="15">
        <f t="shared" si="150"/>
        <v>0.79135559921414533</v>
      </c>
      <c r="D296" s="15">
        <f t="shared" si="151"/>
        <v>0.82591757227803975</v>
      </c>
      <c r="E296" s="15">
        <f t="shared" si="152"/>
        <v>0.9581532416502947</v>
      </c>
      <c r="F296" s="57"/>
      <c r="G296" s="34"/>
      <c r="H296" s="57">
        <f>+V296+AJ296+AX296+BL296+BS_GC_MP_Vill[[#This Row],[Trenes Programados]]</f>
        <v>5090</v>
      </c>
      <c r="I296" s="16">
        <f t="shared" si="178"/>
        <v>213</v>
      </c>
      <c r="J296" s="57">
        <f>+X296+AL296+AZ296+BN296+BS_GC_MP_Vill[[#This Row],[Trenes Corridos]]</f>
        <v>4877</v>
      </c>
      <c r="K296" s="57">
        <f>+Y296+AM296+BA296+BO296+BS_GC_MP_Vill[[#This Row],[Trenes Puntuales]]</f>
        <v>4028</v>
      </c>
      <c r="L296" s="16">
        <f t="shared" si="179"/>
        <v>849</v>
      </c>
      <c r="M296" s="16"/>
      <c r="N296" s="16"/>
      <c r="O296" s="78">
        <v>2017</v>
      </c>
      <c r="P296" s="79" t="s">
        <v>38</v>
      </c>
      <c r="Q296" s="15">
        <f t="shared" si="153"/>
        <v>0.87610340479192939</v>
      </c>
      <c r="R296" s="15">
        <f t="shared" si="154"/>
        <v>0.91144637586093802</v>
      </c>
      <c r="S296" s="15">
        <f t="shared" si="155"/>
        <v>0.96122320302648168</v>
      </c>
      <c r="T296" s="16"/>
      <c r="U296" s="16"/>
      <c r="V296" s="16">
        <v>3172</v>
      </c>
      <c r="W296" s="16">
        <f t="shared" si="180"/>
        <v>123</v>
      </c>
      <c r="X296" s="16">
        <v>3049</v>
      </c>
      <c r="Y296" s="16">
        <v>2779</v>
      </c>
      <c r="Z296" s="16">
        <f t="shared" si="181"/>
        <v>270</v>
      </c>
      <c r="AA296" s="16"/>
      <c r="AB296" s="16"/>
      <c r="AC296" s="78">
        <v>2017</v>
      </c>
      <c r="AD296" s="79" t="s">
        <v>38</v>
      </c>
      <c r="AE296" s="15">
        <f t="shared" si="156"/>
        <v>0.62640801001251567</v>
      </c>
      <c r="AF296" s="15">
        <f t="shared" si="157"/>
        <v>0.65639344262295085</v>
      </c>
      <c r="AG296" s="15">
        <f t="shared" si="158"/>
        <v>0.95431789737171469</v>
      </c>
      <c r="AH296" s="16"/>
      <c r="AI296" s="16"/>
      <c r="AJ296" s="16">
        <v>1598</v>
      </c>
      <c r="AK296" s="16">
        <f t="shared" si="182"/>
        <v>73</v>
      </c>
      <c r="AL296" s="16">
        <v>1525</v>
      </c>
      <c r="AM296" s="16">
        <v>1001</v>
      </c>
      <c r="AN296" s="16">
        <f t="shared" si="183"/>
        <v>524</v>
      </c>
      <c r="AO296" s="16"/>
      <c r="AP296" s="16"/>
      <c r="AQ296" s="78">
        <v>2017</v>
      </c>
      <c r="AR296" s="79" t="s">
        <v>38</v>
      </c>
      <c r="AS296" s="15">
        <f t="shared" si="159"/>
        <v>0.77500000000000002</v>
      </c>
      <c r="AT296" s="15">
        <f t="shared" si="160"/>
        <v>0.81848184818481851</v>
      </c>
      <c r="AU296" s="15">
        <f t="shared" si="161"/>
        <v>0.94687500000000002</v>
      </c>
      <c r="AV296" s="15"/>
      <c r="AW296" s="15"/>
      <c r="AX296" s="16">
        <v>320</v>
      </c>
      <c r="AY296" s="16">
        <f t="shared" si="184"/>
        <v>17</v>
      </c>
      <c r="AZ296" s="16">
        <v>303</v>
      </c>
      <c r="BA296" s="16">
        <v>248</v>
      </c>
      <c r="BB296" s="16">
        <f t="shared" si="185"/>
        <v>55</v>
      </c>
      <c r="BC296" s="16"/>
      <c r="BD296" s="16"/>
      <c r="BE296" s="78"/>
      <c r="BF296" s="79"/>
      <c r="BG296" s="15"/>
      <c r="BH296" s="15"/>
      <c r="BI296" s="15"/>
      <c r="BS296" s="78"/>
      <c r="BT296" s="79"/>
      <c r="BU296" s="15"/>
      <c r="BV296" s="15"/>
      <c r="BW296" s="15"/>
      <c r="CA296" s="45"/>
      <c r="CD296" s="45"/>
      <c r="CG296" s="78"/>
      <c r="CH296" s="79"/>
      <c r="CI296" s="15"/>
      <c r="CJ296" s="15"/>
      <c r="CK296" s="15"/>
      <c r="CO296" s="45"/>
      <c r="CR296" s="45"/>
    </row>
    <row r="297" spans="1:96" s="18" customFormat="1" ht="15" customHeight="1">
      <c r="A297" s="80">
        <v>2017</v>
      </c>
      <c r="B297" s="81" t="s">
        <v>39</v>
      </c>
      <c r="C297" s="15">
        <f t="shared" si="150"/>
        <v>0.82374376678174144</v>
      </c>
      <c r="D297" s="15">
        <f t="shared" si="151"/>
        <v>0.89107883817427391</v>
      </c>
      <c r="E297" s="15">
        <f t="shared" si="152"/>
        <v>0.92443421557345606</v>
      </c>
      <c r="F297" s="57"/>
      <c r="G297" s="34"/>
      <c r="H297" s="57">
        <f>+V297+AJ297+AX297+BL297+BS_GC_MP_Vill[[#This Row],[Trenes Programados]]</f>
        <v>5214</v>
      </c>
      <c r="I297" s="16">
        <f t="shared" si="178"/>
        <v>394</v>
      </c>
      <c r="J297" s="57">
        <f>+X297+AL297+AZ297+BN297+BS_GC_MP_Vill[[#This Row],[Trenes Corridos]]</f>
        <v>4820</v>
      </c>
      <c r="K297" s="57">
        <f>+Y297+AM297+BA297+BO297+BS_GC_MP_Vill[[#This Row],[Trenes Puntuales]]</f>
        <v>4295</v>
      </c>
      <c r="L297" s="16">
        <f t="shared" si="179"/>
        <v>525</v>
      </c>
      <c r="M297" s="16"/>
      <c r="N297" s="16"/>
      <c r="O297" s="80">
        <v>2017</v>
      </c>
      <c r="P297" s="81" t="s">
        <v>39</v>
      </c>
      <c r="Q297" s="15">
        <f t="shared" si="153"/>
        <v>0.8715796019900498</v>
      </c>
      <c r="R297" s="15">
        <f t="shared" si="154"/>
        <v>0.93339993339993343</v>
      </c>
      <c r="S297" s="15">
        <f t="shared" si="155"/>
        <v>0.93376865671641796</v>
      </c>
      <c r="T297" s="16"/>
      <c r="U297" s="16"/>
      <c r="V297" s="16">
        <v>3216</v>
      </c>
      <c r="W297" s="16">
        <f t="shared" si="180"/>
        <v>213</v>
      </c>
      <c r="X297" s="16">
        <v>3003</v>
      </c>
      <c r="Y297" s="16">
        <v>2803</v>
      </c>
      <c r="Z297" s="16">
        <f t="shared" si="181"/>
        <v>200</v>
      </c>
      <c r="AA297" s="16"/>
      <c r="AB297" s="16"/>
      <c r="AC297" s="80">
        <v>2017</v>
      </c>
      <c r="AD297" s="81" t="s">
        <v>39</v>
      </c>
      <c r="AE297" s="15">
        <f t="shared" si="156"/>
        <v>0.74614472123368925</v>
      </c>
      <c r="AF297" s="15">
        <f t="shared" si="157"/>
        <v>0.81056701030927836</v>
      </c>
      <c r="AG297" s="15">
        <f t="shared" si="158"/>
        <v>0.9205219454329775</v>
      </c>
      <c r="AH297" s="16"/>
      <c r="AI297" s="16"/>
      <c r="AJ297" s="16">
        <v>1686</v>
      </c>
      <c r="AK297" s="16">
        <f t="shared" si="182"/>
        <v>134</v>
      </c>
      <c r="AL297" s="16">
        <v>1552</v>
      </c>
      <c r="AM297" s="16">
        <v>1258</v>
      </c>
      <c r="AN297" s="16">
        <f t="shared" si="183"/>
        <v>294</v>
      </c>
      <c r="AO297" s="16"/>
      <c r="AP297" s="16"/>
      <c r="AQ297" s="80">
        <v>2017</v>
      </c>
      <c r="AR297" s="81" t="s">
        <v>39</v>
      </c>
      <c r="AS297" s="15">
        <f t="shared" si="159"/>
        <v>0.75</v>
      </c>
      <c r="AT297" s="15">
        <f t="shared" si="160"/>
        <v>0.88301886792452833</v>
      </c>
      <c r="AU297" s="15">
        <f t="shared" si="161"/>
        <v>0.84935897435897434</v>
      </c>
      <c r="AV297" s="15"/>
      <c r="AW297" s="15"/>
      <c r="AX297" s="16">
        <v>312</v>
      </c>
      <c r="AY297" s="16">
        <f t="shared" si="184"/>
        <v>47</v>
      </c>
      <c r="AZ297" s="16">
        <v>265</v>
      </c>
      <c r="BA297" s="16">
        <v>234</v>
      </c>
      <c r="BB297" s="16">
        <f t="shared" si="185"/>
        <v>31</v>
      </c>
      <c r="BC297" s="16"/>
      <c r="BD297" s="16"/>
      <c r="BE297" s="80"/>
      <c r="BF297" s="81"/>
      <c r="BG297" s="15"/>
      <c r="BH297" s="15"/>
      <c r="BI297" s="15"/>
      <c r="BS297" s="80"/>
      <c r="BT297" s="81"/>
      <c r="BU297" s="15"/>
      <c r="BV297" s="15"/>
      <c r="BW297" s="15"/>
      <c r="CA297" s="45"/>
      <c r="CD297" s="45"/>
      <c r="CG297" s="80"/>
      <c r="CH297" s="81"/>
      <c r="CI297" s="15"/>
      <c r="CJ297" s="15"/>
      <c r="CK297" s="15"/>
      <c r="CO297" s="45"/>
      <c r="CR297" s="45"/>
    </row>
    <row r="298" spans="1:96" s="18" customFormat="1" ht="15" customHeight="1">
      <c r="A298" s="78">
        <v>2017</v>
      </c>
      <c r="B298" s="79" t="s">
        <v>40</v>
      </c>
      <c r="C298" s="15">
        <f t="shared" si="150"/>
        <v>0.86282858200666424</v>
      </c>
      <c r="D298" s="15">
        <f t="shared" si="151"/>
        <v>0.91141963238169732</v>
      </c>
      <c r="E298" s="15">
        <f t="shared" si="152"/>
        <v>0.94668641243983709</v>
      </c>
      <c r="F298" s="57"/>
      <c r="G298" s="34"/>
      <c r="H298" s="57">
        <f>+V298+AJ298+AX298+BL298+BS_GC_MP_Vill[[#This Row],[Trenes Programados]]</f>
        <v>5402</v>
      </c>
      <c r="I298" s="16">
        <f t="shared" si="178"/>
        <v>288</v>
      </c>
      <c r="J298" s="57">
        <f>+X298+AL298+AZ298+BN298+BS_GC_MP_Vill[[#This Row],[Trenes Corridos]]</f>
        <v>5114</v>
      </c>
      <c r="K298" s="57">
        <f>+Y298+AM298+BA298+BO298+BS_GC_MP_Vill[[#This Row],[Trenes Puntuales]]</f>
        <v>4661</v>
      </c>
      <c r="L298" s="16">
        <f t="shared" si="179"/>
        <v>453</v>
      </c>
      <c r="M298" s="16"/>
      <c r="N298" s="16"/>
      <c r="O298" s="78">
        <v>2017</v>
      </c>
      <c r="P298" s="79" t="s">
        <v>40</v>
      </c>
      <c r="Q298" s="15">
        <f t="shared" si="153"/>
        <v>0.88882229547497749</v>
      </c>
      <c r="R298" s="15">
        <f t="shared" si="154"/>
        <v>0.93299779804970118</v>
      </c>
      <c r="S298" s="15">
        <f t="shared" si="155"/>
        <v>0.95265208270902013</v>
      </c>
      <c r="T298" s="16"/>
      <c r="U298" s="16"/>
      <c r="V298" s="16">
        <v>3337</v>
      </c>
      <c r="W298" s="16">
        <f t="shared" si="180"/>
        <v>158</v>
      </c>
      <c r="X298" s="16">
        <v>3179</v>
      </c>
      <c r="Y298" s="16">
        <v>2966</v>
      </c>
      <c r="Z298" s="16">
        <f t="shared" si="181"/>
        <v>213</v>
      </c>
      <c r="AA298" s="16"/>
      <c r="AB298" s="16"/>
      <c r="AC298" s="78">
        <v>2017</v>
      </c>
      <c r="AD298" s="79" t="s">
        <v>40</v>
      </c>
      <c r="AE298" s="15">
        <f t="shared" si="156"/>
        <v>0.82329317269076308</v>
      </c>
      <c r="AF298" s="15">
        <f t="shared" si="157"/>
        <v>0.87181044957472664</v>
      </c>
      <c r="AG298" s="15">
        <f t="shared" si="158"/>
        <v>0.94434882386689611</v>
      </c>
      <c r="AH298" s="16"/>
      <c r="AI298" s="16"/>
      <c r="AJ298" s="16">
        <v>1743</v>
      </c>
      <c r="AK298" s="16">
        <f t="shared" si="182"/>
        <v>97</v>
      </c>
      <c r="AL298" s="16">
        <v>1646</v>
      </c>
      <c r="AM298" s="16">
        <v>1435</v>
      </c>
      <c r="AN298" s="16">
        <f t="shared" si="183"/>
        <v>211</v>
      </c>
      <c r="AO298" s="16"/>
      <c r="AP298" s="16"/>
      <c r="AQ298" s="78">
        <v>2017</v>
      </c>
      <c r="AR298" s="79" t="s">
        <v>40</v>
      </c>
      <c r="AS298" s="15">
        <f t="shared" si="159"/>
        <v>0.80745341614906829</v>
      </c>
      <c r="AT298" s="15">
        <f t="shared" si="160"/>
        <v>0.89965397923875434</v>
      </c>
      <c r="AU298" s="15">
        <f t="shared" si="161"/>
        <v>0.89751552795031053</v>
      </c>
      <c r="AV298" s="15"/>
      <c r="AW298" s="15"/>
      <c r="AX298" s="16">
        <v>322</v>
      </c>
      <c r="AY298" s="16">
        <f t="shared" si="184"/>
        <v>33</v>
      </c>
      <c r="AZ298" s="16">
        <v>289</v>
      </c>
      <c r="BA298" s="16">
        <v>260</v>
      </c>
      <c r="BB298" s="16">
        <f t="shared" si="185"/>
        <v>29</v>
      </c>
      <c r="BC298" s="16"/>
      <c r="BD298" s="16"/>
      <c r="BE298" s="78"/>
      <c r="BF298" s="79"/>
      <c r="BG298" s="15"/>
      <c r="BH298" s="15"/>
      <c r="BI298" s="15"/>
      <c r="BS298" s="78"/>
      <c r="BT298" s="79"/>
      <c r="BU298" s="15"/>
      <c r="BV298" s="15"/>
      <c r="BW298" s="15"/>
      <c r="CA298" s="45"/>
      <c r="CD298" s="45"/>
      <c r="CG298" s="78"/>
      <c r="CH298" s="79"/>
      <c r="CI298" s="15"/>
      <c r="CJ298" s="15"/>
      <c r="CK298" s="15"/>
      <c r="CO298" s="45"/>
      <c r="CR298" s="45"/>
    </row>
    <row r="299" spans="1:96" s="18" customFormat="1" ht="15" customHeight="1">
      <c r="A299" s="80">
        <v>2017</v>
      </c>
      <c r="B299" s="81" t="s">
        <v>41</v>
      </c>
      <c r="C299" s="15">
        <f t="shared" si="150"/>
        <v>0.8835918054757802</v>
      </c>
      <c r="D299" s="15">
        <f t="shared" si="151"/>
        <v>0.92969379532634977</v>
      </c>
      <c r="E299" s="15">
        <f t="shared" si="152"/>
        <v>0.9504116408194524</v>
      </c>
      <c r="F299" s="57"/>
      <c r="G299" s="34"/>
      <c r="H299" s="57">
        <f>+V299+AJ299+AX299+BL299+BS_GC_MP_Vill[[#This Row],[Trenes Programados]]</f>
        <v>5223</v>
      </c>
      <c r="I299" s="16">
        <f t="shared" si="178"/>
        <v>259</v>
      </c>
      <c r="J299" s="57">
        <f>+X299+AL299+AZ299+BN299+BS_GC_MP_Vill[[#This Row],[Trenes Corridos]]</f>
        <v>4964</v>
      </c>
      <c r="K299" s="57">
        <f>+Y299+AM299+BA299+BO299+BS_GC_MP_Vill[[#This Row],[Trenes Puntuales]]</f>
        <v>4615</v>
      </c>
      <c r="L299" s="16">
        <f t="shared" si="179"/>
        <v>349</v>
      </c>
      <c r="M299" s="16"/>
      <c r="N299" s="16"/>
      <c r="O299" s="80">
        <v>2017</v>
      </c>
      <c r="P299" s="81" t="s">
        <v>41</v>
      </c>
      <c r="Q299" s="15">
        <f t="shared" si="153"/>
        <v>0.8998449612403101</v>
      </c>
      <c r="R299" s="15">
        <f t="shared" si="154"/>
        <v>0.94836601307189539</v>
      </c>
      <c r="S299" s="15">
        <f t="shared" si="155"/>
        <v>0.94883720930232562</v>
      </c>
      <c r="T299" s="16"/>
      <c r="U299" s="16"/>
      <c r="V299" s="16">
        <v>3225</v>
      </c>
      <c r="W299" s="16">
        <f t="shared" si="180"/>
        <v>165</v>
      </c>
      <c r="X299" s="16">
        <v>3060</v>
      </c>
      <c r="Y299" s="16">
        <v>2902</v>
      </c>
      <c r="Z299" s="16">
        <f t="shared" si="181"/>
        <v>158</v>
      </c>
      <c r="AA299" s="16"/>
      <c r="AB299" s="16"/>
      <c r="AC299" s="80">
        <v>2017</v>
      </c>
      <c r="AD299" s="81" t="s">
        <v>41</v>
      </c>
      <c r="AE299" s="15">
        <f t="shared" si="156"/>
        <v>0.85943060498220636</v>
      </c>
      <c r="AF299" s="15">
        <f t="shared" si="157"/>
        <v>0.89555006180469721</v>
      </c>
      <c r="AG299" s="15">
        <f t="shared" si="158"/>
        <v>0.95966785290628709</v>
      </c>
      <c r="AH299" s="16"/>
      <c r="AI299" s="16"/>
      <c r="AJ299" s="16">
        <v>1686</v>
      </c>
      <c r="AK299" s="16">
        <f t="shared" si="182"/>
        <v>68</v>
      </c>
      <c r="AL299" s="16">
        <v>1618</v>
      </c>
      <c r="AM299" s="16">
        <v>1449</v>
      </c>
      <c r="AN299" s="16">
        <f t="shared" si="183"/>
        <v>169</v>
      </c>
      <c r="AO299" s="16"/>
      <c r="AP299" s="16"/>
      <c r="AQ299" s="80">
        <v>2017</v>
      </c>
      <c r="AR299" s="81" t="s">
        <v>41</v>
      </c>
      <c r="AS299" s="15">
        <f t="shared" si="159"/>
        <v>0.84615384615384615</v>
      </c>
      <c r="AT299" s="15">
        <f t="shared" si="160"/>
        <v>0.92307692307692313</v>
      </c>
      <c r="AU299" s="15">
        <f t="shared" si="161"/>
        <v>0.91666666666666663</v>
      </c>
      <c r="AV299" s="15"/>
      <c r="AW299" s="15"/>
      <c r="AX299" s="16">
        <v>312</v>
      </c>
      <c r="AY299" s="16">
        <f t="shared" si="184"/>
        <v>26</v>
      </c>
      <c r="AZ299" s="16">
        <v>286</v>
      </c>
      <c r="BA299" s="16">
        <v>264</v>
      </c>
      <c r="BB299" s="16">
        <f t="shared" si="185"/>
        <v>22</v>
      </c>
      <c r="BC299" s="16"/>
      <c r="BD299" s="16"/>
      <c r="BE299" s="80"/>
      <c r="BF299" s="81"/>
      <c r="BG299" s="15"/>
      <c r="BH299" s="15"/>
      <c r="BI299" s="15"/>
      <c r="BS299" s="80"/>
      <c r="BT299" s="81"/>
      <c r="BU299" s="15"/>
      <c r="BV299" s="15"/>
      <c r="BW299" s="15"/>
      <c r="CA299" s="45"/>
      <c r="CD299" s="45"/>
      <c r="CG299" s="80"/>
      <c r="CH299" s="81"/>
      <c r="CI299" s="15"/>
      <c r="CJ299" s="15"/>
      <c r="CK299" s="15"/>
      <c r="CO299" s="45"/>
      <c r="CR299" s="45"/>
    </row>
    <row r="300" spans="1:96" s="18" customFormat="1" ht="15" customHeight="1">
      <c r="A300" s="78">
        <v>2017</v>
      </c>
      <c r="B300" s="79" t="s">
        <v>42</v>
      </c>
      <c r="C300" s="15">
        <f t="shared" si="150"/>
        <v>0.86389553062350566</v>
      </c>
      <c r="D300" s="15">
        <f t="shared" si="151"/>
        <v>0.90728220977400043</v>
      </c>
      <c r="E300" s="15">
        <f t="shared" si="152"/>
        <v>0.95217951075961005</v>
      </c>
      <c r="F300" s="57"/>
      <c r="G300" s="34"/>
      <c r="H300" s="57">
        <f>+V300+AJ300+AX300+BL300+BS_GC_MP_Vill[[#This Row],[Trenes Programados]]</f>
        <v>5437</v>
      </c>
      <c r="I300" s="16">
        <f t="shared" si="178"/>
        <v>260</v>
      </c>
      <c r="J300" s="57">
        <f>+X300+AL300+AZ300+BN300+BS_GC_MP_Vill[[#This Row],[Trenes Corridos]]</f>
        <v>5177</v>
      </c>
      <c r="K300" s="57">
        <f>+Y300+AM300+BA300+BO300+BS_GC_MP_Vill[[#This Row],[Trenes Puntuales]]</f>
        <v>4697</v>
      </c>
      <c r="L300" s="16">
        <f t="shared" si="179"/>
        <v>480</v>
      </c>
      <c r="M300" s="16"/>
      <c r="N300" s="16"/>
      <c r="O300" s="78">
        <v>2017</v>
      </c>
      <c r="P300" s="79" t="s">
        <v>42</v>
      </c>
      <c r="Q300" s="15">
        <f t="shared" si="153"/>
        <v>0.89347181008902077</v>
      </c>
      <c r="R300" s="15">
        <f t="shared" si="154"/>
        <v>0.92617656105813595</v>
      </c>
      <c r="S300" s="15">
        <f t="shared" si="155"/>
        <v>0.96468842729970328</v>
      </c>
      <c r="T300" s="16"/>
      <c r="U300" s="16"/>
      <c r="V300" s="16">
        <v>3370</v>
      </c>
      <c r="W300" s="16">
        <f t="shared" si="180"/>
        <v>119</v>
      </c>
      <c r="X300" s="16">
        <v>3251</v>
      </c>
      <c r="Y300" s="16">
        <v>3011</v>
      </c>
      <c r="Z300" s="16">
        <f t="shared" si="181"/>
        <v>240</v>
      </c>
      <c r="AA300" s="16"/>
      <c r="AB300" s="16"/>
      <c r="AC300" s="78">
        <v>2017</v>
      </c>
      <c r="AD300" s="79" t="s">
        <v>42</v>
      </c>
      <c r="AE300" s="15">
        <f t="shared" si="156"/>
        <v>0.84087006296508304</v>
      </c>
      <c r="AF300" s="15">
        <f t="shared" si="157"/>
        <v>0.87753882915173242</v>
      </c>
      <c r="AG300" s="15">
        <f t="shared" si="158"/>
        <v>0.95821408128219809</v>
      </c>
      <c r="AH300" s="16"/>
      <c r="AI300" s="16"/>
      <c r="AJ300" s="16">
        <v>1747</v>
      </c>
      <c r="AK300" s="16">
        <f t="shared" si="182"/>
        <v>73</v>
      </c>
      <c r="AL300" s="16">
        <v>1674</v>
      </c>
      <c r="AM300" s="16">
        <v>1469</v>
      </c>
      <c r="AN300" s="16">
        <f t="shared" si="183"/>
        <v>205</v>
      </c>
      <c r="AO300" s="16"/>
      <c r="AP300" s="16"/>
      <c r="AQ300" s="78">
        <v>2017</v>
      </c>
      <c r="AR300" s="79" t="s">
        <v>42</v>
      </c>
      <c r="AS300" s="15">
        <f t="shared" si="159"/>
        <v>0.67812499999999998</v>
      </c>
      <c r="AT300" s="15">
        <f t="shared" si="160"/>
        <v>0.86111111111111116</v>
      </c>
      <c r="AU300" s="15">
        <f t="shared" si="161"/>
        <v>0.78749999999999998</v>
      </c>
      <c r="AV300" s="15"/>
      <c r="AW300" s="15"/>
      <c r="AX300" s="16">
        <v>320</v>
      </c>
      <c r="AY300" s="16">
        <f t="shared" si="184"/>
        <v>68</v>
      </c>
      <c r="AZ300" s="16">
        <v>252</v>
      </c>
      <c r="BA300" s="16">
        <v>217</v>
      </c>
      <c r="BB300" s="16">
        <f t="shared" si="185"/>
        <v>35</v>
      </c>
      <c r="BC300" s="16"/>
      <c r="BD300" s="16"/>
      <c r="BE300" s="78"/>
      <c r="BF300" s="79"/>
      <c r="BG300" s="15"/>
      <c r="BH300" s="15"/>
      <c r="BI300" s="15"/>
      <c r="BS300" s="78"/>
      <c r="BT300" s="79"/>
      <c r="BU300" s="15"/>
      <c r="BV300" s="15"/>
      <c r="BW300" s="15"/>
      <c r="CA300" s="45"/>
      <c r="CD300" s="45"/>
      <c r="CG300" s="78"/>
      <c r="CH300" s="79"/>
      <c r="CI300" s="15"/>
      <c r="CJ300" s="15"/>
      <c r="CK300" s="15"/>
      <c r="CO300" s="45"/>
      <c r="CR300" s="45"/>
    </row>
    <row r="301" spans="1:96" s="18" customFormat="1" ht="15" customHeight="1">
      <c r="A301" s="80">
        <v>2017</v>
      </c>
      <c r="B301" s="81" t="s">
        <v>43</v>
      </c>
      <c r="C301" s="15">
        <f t="shared" si="150"/>
        <v>0.85404411764705879</v>
      </c>
      <c r="D301" s="15">
        <f t="shared" si="151"/>
        <v>0.93499698128396058</v>
      </c>
      <c r="E301" s="15">
        <f t="shared" si="152"/>
        <v>0.91341911764705885</v>
      </c>
      <c r="F301" s="57"/>
      <c r="G301" s="34"/>
      <c r="H301" s="57">
        <f>+V301+AJ301+AX301+BL301+BS_GC_MP_Vill[[#This Row],[Trenes Programados]]</f>
        <v>5440</v>
      </c>
      <c r="I301" s="16">
        <f t="shared" si="178"/>
        <v>471</v>
      </c>
      <c r="J301" s="57">
        <f>+X301+AL301+AZ301+BN301+BS_GC_MP_Vill[[#This Row],[Trenes Corridos]]</f>
        <v>4969</v>
      </c>
      <c r="K301" s="57">
        <f>+Y301+AM301+BA301+BO301+BS_GC_MP_Vill[[#This Row],[Trenes Puntuales]]</f>
        <v>4646</v>
      </c>
      <c r="L301" s="16">
        <f t="shared" si="179"/>
        <v>323</v>
      </c>
      <c r="M301" s="16"/>
      <c r="N301" s="16"/>
      <c r="O301" s="80">
        <v>2017</v>
      </c>
      <c r="P301" s="81" t="s">
        <v>43</v>
      </c>
      <c r="Q301" s="15">
        <f t="shared" si="153"/>
        <v>0.92677142010080049</v>
      </c>
      <c r="R301" s="15">
        <f t="shared" si="154"/>
        <v>0.95217788607980502</v>
      </c>
      <c r="S301" s="15">
        <f t="shared" si="155"/>
        <v>0.9733175214942188</v>
      </c>
      <c r="T301" s="16"/>
      <c r="U301" s="16"/>
      <c r="V301" s="16">
        <v>3373</v>
      </c>
      <c r="W301" s="16">
        <f t="shared" si="180"/>
        <v>90</v>
      </c>
      <c r="X301" s="16">
        <v>3283</v>
      </c>
      <c r="Y301" s="16">
        <v>3126</v>
      </c>
      <c r="Z301" s="16">
        <f t="shared" si="181"/>
        <v>157</v>
      </c>
      <c r="AA301" s="16"/>
      <c r="AB301" s="16"/>
      <c r="AC301" s="80">
        <v>2017</v>
      </c>
      <c r="AD301" s="81" t="s">
        <v>43</v>
      </c>
      <c r="AE301" s="15">
        <f t="shared" si="156"/>
        <v>0.86204922724670863</v>
      </c>
      <c r="AF301" s="15">
        <f t="shared" si="157"/>
        <v>0.90071770334928225</v>
      </c>
      <c r="AG301" s="15">
        <f t="shared" si="158"/>
        <v>0.95706926159129935</v>
      </c>
      <c r="AH301" s="16"/>
      <c r="AI301" s="16"/>
      <c r="AJ301" s="16">
        <v>1747</v>
      </c>
      <c r="AK301" s="16">
        <f t="shared" si="182"/>
        <v>75</v>
      </c>
      <c r="AL301" s="16">
        <v>1672</v>
      </c>
      <c r="AM301" s="16">
        <v>1506</v>
      </c>
      <c r="AN301" s="16">
        <f t="shared" si="183"/>
        <v>166</v>
      </c>
      <c r="AO301" s="16"/>
      <c r="AP301" s="16"/>
      <c r="AQ301" s="80">
        <v>2017</v>
      </c>
      <c r="AR301" s="81" t="s">
        <v>43</v>
      </c>
      <c r="AS301" s="15">
        <f t="shared" si="159"/>
        <v>4.3749999999999997E-2</v>
      </c>
      <c r="AT301" s="15">
        <f t="shared" si="160"/>
        <v>1</v>
      </c>
      <c r="AU301" s="15">
        <f t="shared" si="161"/>
        <v>4.3749999999999997E-2</v>
      </c>
      <c r="AV301" s="15"/>
      <c r="AW301" s="15"/>
      <c r="AX301" s="16">
        <v>320</v>
      </c>
      <c r="AY301" s="16">
        <f t="shared" si="184"/>
        <v>306</v>
      </c>
      <c r="AZ301" s="16">
        <v>14</v>
      </c>
      <c r="BA301" s="16">
        <v>14</v>
      </c>
      <c r="BB301" s="16">
        <f t="shared" si="185"/>
        <v>0</v>
      </c>
      <c r="BC301" s="19" t="s">
        <v>28</v>
      </c>
      <c r="BD301" s="16"/>
      <c r="BE301" s="80"/>
      <c r="BF301" s="81"/>
      <c r="BG301" s="15"/>
      <c r="BH301" s="15"/>
      <c r="BI301" s="15"/>
      <c r="BS301" s="80"/>
      <c r="BT301" s="81"/>
      <c r="BU301" s="15"/>
      <c r="BV301" s="15"/>
      <c r="BW301" s="15"/>
      <c r="CA301" s="45"/>
      <c r="CD301" s="45"/>
      <c r="CG301" s="80"/>
      <c r="CH301" s="81"/>
      <c r="CI301" s="15"/>
      <c r="CJ301" s="15"/>
      <c r="CK301" s="15"/>
      <c r="CO301" s="45"/>
      <c r="CR301" s="45"/>
    </row>
    <row r="302" spans="1:96" s="18" customFormat="1" ht="15" customHeight="1">
      <c r="A302" s="78">
        <v>2017</v>
      </c>
      <c r="B302" s="79" t="s">
        <v>44</v>
      </c>
      <c r="C302" s="15">
        <f t="shared" si="150"/>
        <v>0.93400200601805417</v>
      </c>
      <c r="D302" s="15">
        <f t="shared" si="151"/>
        <v>0.95390288875230489</v>
      </c>
      <c r="E302" s="15">
        <f t="shared" si="152"/>
        <v>0.97913741223671014</v>
      </c>
      <c r="F302" s="57"/>
      <c r="G302" s="34"/>
      <c r="H302" s="57">
        <f>+V302+AJ302+AX302+BL302+BS_GC_MP_Vill[[#This Row],[Trenes Programados]]</f>
        <v>4985</v>
      </c>
      <c r="I302" s="16">
        <f t="shared" si="178"/>
        <v>104</v>
      </c>
      <c r="J302" s="57">
        <f>+X302+AL302+AZ302+BN302+BS_GC_MP_Vill[[#This Row],[Trenes Corridos]]</f>
        <v>4881</v>
      </c>
      <c r="K302" s="57">
        <f>+Y302+AM302+BA302+BO302+BS_GC_MP_Vill[[#This Row],[Trenes Puntuales]]</f>
        <v>4656</v>
      </c>
      <c r="L302" s="16">
        <f t="shared" si="179"/>
        <v>225</v>
      </c>
      <c r="M302" s="16"/>
      <c r="N302" s="16"/>
      <c r="O302" s="78">
        <v>2017</v>
      </c>
      <c r="P302" s="79" t="s">
        <v>44</v>
      </c>
      <c r="Q302" s="15">
        <f t="shared" si="153"/>
        <v>0.95138255849285935</v>
      </c>
      <c r="R302" s="15">
        <f t="shared" si="154"/>
        <v>0.97145516599441517</v>
      </c>
      <c r="S302" s="15">
        <f t="shared" si="155"/>
        <v>0.97933758735946519</v>
      </c>
      <c r="T302" s="16"/>
      <c r="U302" s="16"/>
      <c r="V302" s="16">
        <v>3291</v>
      </c>
      <c r="W302" s="16">
        <f t="shared" si="180"/>
        <v>68</v>
      </c>
      <c r="X302" s="16">
        <v>3223</v>
      </c>
      <c r="Y302" s="16">
        <v>3131</v>
      </c>
      <c r="Z302" s="16">
        <f t="shared" si="181"/>
        <v>92</v>
      </c>
      <c r="AA302" s="16"/>
      <c r="AB302" s="16"/>
      <c r="AC302" s="78">
        <v>2017</v>
      </c>
      <c r="AD302" s="79" t="s">
        <v>44</v>
      </c>
      <c r="AE302" s="15">
        <f t="shared" si="156"/>
        <v>0.90023612750885473</v>
      </c>
      <c r="AF302" s="15">
        <f t="shared" si="157"/>
        <v>0.91978287092882993</v>
      </c>
      <c r="AG302" s="15">
        <f t="shared" si="158"/>
        <v>0.97874852420306968</v>
      </c>
      <c r="AH302" s="16"/>
      <c r="AI302" s="16"/>
      <c r="AJ302" s="16">
        <v>1694</v>
      </c>
      <c r="AK302" s="16">
        <f t="shared" si="182"/>
        <v>36</v>
      </c>
      <c r="AL302" s="16">
        <v>1658</v>
      </c>
      <c r="AM302" s="16">
        <v>1525</v>
      </c>
      <c r="AN302" s="16">
        <f t="shared" si="183"/>
        <v>133</v>
      </c>
      <c r="AO302" s="16"/>
      <c r="AP302" s="16"/>
      <c r="AQ302" s="78">
        <v>2017</v>
      </c>
      <c r="AR302" s="79" t="s">
        <v>44</v>
      </c>
      <c r="AS302" s="15"/>
      <c r="AT302" s="15"/>
      <c r="AU302" s="15"/>
      <c r="AV302" s="15"/>
      <c r="AW302" s="15"/>
      <c r="AX302" s="16"/>
      <c r="AY302" s="16"/>
      <c r="AZ302" s="16"/>
      <c r="BA302" s="16"/>
      <c r="BB302" s="16"/>
      <c r="BC302" s="16"/>
      <c r="BD302" s="16"/>
      <c r="BE302" s="78"/>
      <c r="BF302" s="79"/>
      <c r="BG302" s="15"/>
      <c r="BH302" s="15"/>
      <c r="BI302" s="15"/>
      <c r="BS302" s="78"/>
      <c r="BT302" s="79"/>
      <c r="BU302" s="15"/>
      <c r="BV302" s="15"/>
      <c r="BW302" s="15"/>
      <c r="CA302" s="45"/>
      <c r="CD302" s="45"/>
      <c r="CG302" s="78"/>
      <c r="CH302" s="79"/>
      <c r="CI302" s="15"/>
      <c r="CJ302" s="15"/>
      <c r="CK302" s="15"/>
      <c r="CO302" s="45"/>
      <c r="CR302" s="45"/>
    </row>
    <row r="303" spans="1:96" s="18" customFormat="1" ht="15" customHeight="1">
      <c r="A303" s="80">
        <v>2017</v>
      </c>
      <c r="B303" s="81" t="s">
        <v>45</v>
      </c>
      <c r="C303" s="15">
        <f t="shared" si="150"/>
        <v>0.92677165354330704</v>
      </c>
      <c r="D303" s="15">
        <f t="shared" si="151"/>
        <v>0.95168789165150591</v>
      </c>
      <c r="E303" s="15">
        <f t="shared" si="152"/>
        <v>0.97381889763779528</v>
      </c>
      <c r="F303" s="57"/>
      <c r="G303" s="34"/>
      <c r="H303" s="57">
        <f>+V303+AJ303+AX303+BL303+BS_GC_MP_Vill[[#This Row],[Trenes Programados]]</f>
        <v>5080</v>
      </c>
      <c r="I303" s="16">
        <f t="shared" si="178"/>
        <v>133</v>
      </c>
      <c r="J303" s="57">
        <f>+X303+AL303+AZ303+BN303+BS_GC_MP_Vill[[#This Row],[Trenes Corridos]]</f>
        <v>4947</v>
      </c>
      <c r="K303" s="57">
        <f>+Y303+AM303+BA303+BO303+BS_GC_MP_Vill[[#This Row],[Trenes Puntuales]]</f>
        <v>4708</v>
      </c>
      <c r="L303" s="16">
        <f t="shared" si="179"/>
        <v>239</v>
      </c>
      <c r="M303" s="16"/>
      <c r="N303" s="16"/>
      <c r="O303" s="80">
        <v>2017</v>
      </c>
      <c r="P303" s="81" t="s">
        <v>45</v>
      </c>
      <c r="Q303" s="15">
        <f t="shared" si="153"/>
        <v>0.94396164219358702</v>
      </c>
      <c r="R303" s="15">
        <f t="shared" si="154"/>
        <v>0.96507352941176472</v>
      </c>
      <c r="S303" s="15">
        <f t="shared" si="155"/>
        <v>0.97812406353011683</v>
      </c>
      <c r="T303" s="16"/>
      <c r="U303" s="16"/>
      <c r="V303" s="16">
        <v>3337</v>
      </c>
      <c r="W303" s="16">
        <f t="shared" si="180"/>
        <v>73</v>
      </c>
      <c r="X303" s="16">
        <v>3264</v>
      </c>
      <c r="Y303" s="16">
        <v>3150</v>
      </c>
      <c r="Z303" s="16">
        <f t="shared" si="181"/>
        <v>114</v>
      </c>
      <c r="AA303" s="16"/>
      <c r="AB303" s="16"/>
      <c r="AC303" s="80">
        <v>2017</v>
      </c>
      <c r="AD303" s="81" t="s">
        <v>45</v>
      </c>
      <c r="AE303" s="15">
        <f t="shared" si="156"/>
        <v>0.89386115892139983</v>
      </c>
      <c r="AF303" s="15">
        <f t="shared" si="157"/>
        <v>0.9257278669043375</v>
      </c>
      <c r="AG303" s="15">
        <f t="shared" si="158"/>
        <v>0.96557659208261615</v>
      </c>
      <c r="AH303" s="16"/>
      <c r="AI303" s="16"/>
      <c r="AJ303" s="16">
        <v>1743</v>
      </c>
      <c r="AK303" s="16">
        <f t="shared" si="182"/>
        <v>60</v>
      </c>
      <c r="AL303" s="16">
        <v>1683</v>
      </c>
      <c r="AM303" s="16">
        <v>1558</v>
      </c>
      <c r="AN303" s="16">
        <f t="shared" si="183"/>
        <v>125</v>
      </c>
      <c r="AO303" s="16"/>
      <c r="AP303" s="16"/>
      <c r="AQ303" s="80">
        <v>2017</v>
      </c>
      <c r="AR303" s="81" t="s">
        <v>45</v>
      </c>
      <c r="AS303" s="15"/>
      <c r="AT303" s="15"/>
      <c r="AU303" s="15"/>
      <c r="AV303" s="15"/>
      <c r="AW303" s="15"/>
      <c r="AX303" s="16"/>
      <c r="AY303" s="16"/>
      <c r="AZ303" s="16"/>
      <c r="BA303" s="16"/>
      <c r="BB303" s="16"/>
      <c r="BC303" s="16"/>
      <c r="BD303" s="16"/>
      <c r="BE303" s="80"/>
      <c r="BF303" s="81"/>
      <c r="BG303" s="15"/>
      <c r="BH303" s="15"/>
      <c r="BI303" s="15"/>
      <c r="BS303" s="80"/>
      <c r="BT303" s="81"/>
      <c r="BU303" s="15"/>
      <c r="BV303" s="15"/>
      <c r="BW303" s="15"/>
      <c r="CA303" s="45"/>
      <c r="CD303" s="45"/>
      <c r="CG303" s="80"/>
      <c r="CH303" s="81"/>
      <c r="CI303" s="15"/>
      <c r="CJ303" s="15"/>
      <c r="CK303" s="15"/>
      <c r="CO303" s="45"/>
      <c r="CR303" s="45"/>
    </row>
    <row r="304" spans="1:96" s="18" customFormat="1" ht="15" customHeight="1">
      <c r="A304" s="78">
        <v>2017</v>
      </c>
      <c r="B304" s="79" t="s">
        <v>46</v>
      </c>
      <c r="C304" s="15">
        <f t="shared" si="150"/>
        <v>0.93977364591754242</v>
      </c>
      <c r="D304" s="15">
        <f t="shared" si="151"/>
        <v>0.96114096734187682</v>
      </c>
      <c r="E304" s="15">
        <f t="shared" si="152"/>
        <v>0.9777687954729184</v>
      </c>
      <c r="F304" s="57"/>
      <c r="G304" s="34"/>
      <c r="H304" s="57">
        <f>+V304+AJ304+AX304+BL304+BS_GC_MP_Vill[[#This Row],[Trenes Programados]]</f>
        <v>4948</v>
      </c>
      <c r="I304" s="16">
        <f t="shared" si="178"/>
        <v>110</v>
      </c>
      <c r="J304" s="57">
        <f>+X304+AL304+AZ304+BN304+BS_GC_MP_Vill[[#This Row],[Trenes Corridos]]</f>
        <v>4838</v>
      </c>
      <c r="K304" s="57">
        <f>+Y304+AM304+BA304+BO304+BS_GC_MP_Vill[[#This Row],[Trenes Puntuales]]</f>
        <v>4650</v>
      </c>
      <c r="L304" s="16">
        <f t="shared" si="179"/>
        <v>188</v>
      </c>
      <c r="M304" s="16"/>
      <c r="N304" s="16"/>
      <c r="O304" s="78">
        <v>2017</v>
      </c>
      <c r="P304" s="79" t="s">
        <v>46</v>
      </c>
      <c r="Q304" s="15">
        <f t="shared" si="153"/>
        <v>0.94567219152854509</v>
      </c>
      <c r="R304" s="15">
        <f t="shared" si="154"/>
        <v>0.96825895663104966</v>
      </c>
      <c r="S304" s="15">
        <f t="shared" si="155"/>
        <v>0.97667280540208712</v>
      </c>
      <c r="T304" s="16"/>
      <c r="U304" s="16"/>
      <c r="V304" s="16">
        <v>3258</v>
      </c>
      <c r="W304" s="16">
        <f t="shared" si="180"/>
        <v>76</v>
      </c>
      <c r="X304" s="16">
        <v>3182</v>
      </c>
      <c r="Y304" s="16">
        <v>3081</v>
      </c>
      <c r="Z304" s="16">
        <f t="shared" si="181"/>
        <v>101</v>
      </c>
      <c r="AA304" s="16"/>
      <c r="AB304" s="16"/>
      <c r="AC304" s="78">
        <v>2017</v>
      </c>
      <c r="AD304" s="79" t="s">
        <v>46</v>
      </c>
      <c r="AE304" s="15">
        <f t="shared" si="156"/>
        <v>0.92840236686390532</v>
      </c>
      <c r="AF304" s="15">
        <f t="shared" si="157"/>
        <v>0.94746376811594202</v>
      </c>
      <c r="AG304" s="15">
        <f t="shared" si="158"/>
        <v>0.97988165680473371</v>
      </c>
      <c r="AH304" s="16"/>
      <c r="AI304" s="16"/>
      <c r="AJ304" s="16">
        <v>1690</v>
      </c>
      <c r="AK304" s="16">
        <f t="shared" si="182"/>
        <v>34</v>
      </c>
      <c r="AL304" s="16">
        <v>1656</v>
      </c>
      <c r="AM304" s="16">
        <v>1569</v>
      </c>
      <c r="AN304" s="16">
        <f t="shared" si="183"/>
        <v>87</v>
      </c>
      <c r="AO304" s="16"/>
      <c r="AP304" s="16"/>
      <c r="AQ304" s="78">
        <v>2017</v>
      </c>
      <c r="AR304" s="79" t="s">
        <v>46</v>
      </c>
      <c r="AS304" s="15"/>
      <c r="AT304" s="15"/>
      <c r="AU304" s="15"/>
      <c r="AV304" s="15"/>
      <c r="AW304" s="15"/>
      <c r="AX304" s="16"/>
      <c r="AY304" s="16"/>
      <c r="AZ304" s="16"/>
      <c r="BA304" s="16"/>
      <c r="BB304" s="16"/>
      <c r="BC304" s="16"/>
      <c r="BD304" s="16"/>
      <c r="BE304" s="78"/>
      <c r="BF304" s="79"/>
      <c r="BG304" s="15"/>
      <c r="BH304" s="15"/>
      <c r="BI304" s="15"/>
      <c r="BS304" s="78"/>
      <c r="BT304" s="79"/>
      <c r="BU304" s="15"/>
      <c r="BV304" s="15"/>
      <c r="BW304" s="15"/>
      <c r="CA304" s="45"/>
      <c r="CD304" s="45"/>
      <c r="CG304" s="78"/>
      <c r="CH304" s="79"/>
      <c r="CI304" s="15"/>
      <c r="CJ304" s="15"/>
      <c r="CK304" s="15"/>
      <c r="CO304" s="45"/>
      <c r="CR304" s="45"/>
    </row>
    <row r="305" spans="1:96" s="18" customFormat="1" ht="15" customHeight="1">
      <c r="A305" s="80">
        <v>2017</v>
      </c>
      <c r="B305" s="81" t="s">
        <v>47</v>
      </c>
      <c r="C305" s="15">
        <f t="shared" si="150"/>
        <v>0.88008735358348222</v>
      </c>
      <c r="D305" s="15">
        <f t="shared" si="151"/>
        <v>0.94019088016967123</v>
      </c>
      <c r="E305" s="15">
        <f t="shared" si="152"/>
        <v>0.9360730593607306</v>
      </c>
      <c r="F305" s="57"/>
      <c r="G305" s="34"/>
      <c r="H305" s="57">
        <f>+V305+AJ305+AX305+BL305+BS_GC_MP_Vill[[#This Row],[Trenes Programados]]</f>
        <v>5037</v>
      </c>
      <c r="I305" s="16">
        <f t="shared" si="178"/>
        <v>322</v>
      </c>
      <c r="J305" s="57">
        <f>+X305+AL305+AZ305+BN305+BS_GC_MP_Vill[[#This Row],[Trenes Corridos]]</f>
        <v>4715</v>
      </c>
      <c r="K305" s="57">
        <f>+Y305+AM305+BA305+BO305+BS_GC_MP_Vill[[#This Row],[Trenes Puntuales]]</f>
        <v>4433</v>
      </c>
      <c r="L305" s="16">
        <f t="shared" si="179"/>
        <v>282</v>
      </c>
      <c r="M305" s="16"/>
      <c r="N305" s="16"/>
      <c r="O305" s="80">
        <v>2017</v>
      </c>
      <c r="P305" s="81" t="s">
        <v>47</v>
      </c>
      <c r="Q305" s="15">
        <f t="shared" si="153"/>
        <v>0.8841722255912674</v>
      </c>
      <c r="R305" s="15">
        <f t="shared" si="154"/>
        <v>0.95045632333767927</v>
      </c>
      <c r="S305" s="15">
        <f t="shared" si="155"/>
        <v>0.93026076409945424</v>
      </c>
      <c r="T305" s="16"/>
      <c r="U305" s="16"/>
      <c r="V305" s="16">
        <v>3298</v>
      </c>
      <c r="W305" s="16">
        <f t="shared" si="180"/>
        <v>230</v>
      </c>
      <c r="X305" s="16">
        <v>3068</v>
      </c>
      <c r="Y305" s="16">
        <v>2916</v>
      </c>
      <c r="Z305" s="16">
        <f t="shared" si="181"/>
        <v>152</v>
      </c>
      <c r="AA305" s="16"/>
      <c r="AB305" s="16"/>
      <c r="AC305" s="80">
        <v>2017</v>
      </c>
      <c r="AD305" s="81" t="s">
        <v>47</v>
      </c>
      <c r="AE305" s="15">
        <f t="shared" si="156"/>
        <v>0.87234042553191493</v>
      </c>
      <c r="AF305" s="15">
        <f t="shared" si="157"/>
        <v>0.92106860959319981</v>
      </c>
      <c r="AG305" s="15">
        <f t="shared" si="158"/>
        <v>0.94709603220241523</v>
      </c>
      <c r="AH305" s="16"/>
      <c r="AI305" s="16"/>
      <c r="AJ305" s="16">
        <v>1739</v>
      </c>
      <c r="AK305" s="16">
        <f t="shared" si="182"/>
        <v>92</v>
      </c>
      <c r="AL305" s="16">
        <v>1647</v>
      </c>
      <c r="AM305" s="16">
        <v>1517</v>
      </c>
      <c r="AN305" s="16">
        <f t="shared" si="183"/>
        <v>130</v>
      </c>
      <c r="AO305" s="16"/>
      <c r="AP305" s="16"/>
      <c r="AQ305" s="80">
        <v>2017</v>
      </c>
      <c r="AR305" s="81" t="s">
        <v>47</v>
      </c>
      <c r="AS305" s="15"/>
      <c r="AT305" s="15"/>
      <c r="AU305" s="15"/>
      <c r="AV305" s="15"/>
      <c r="AW305" s="15"/>
      <c r="AX305" s="16"/>
      <c r="AY305" s="16"/>
      <c r="AZ305" s="16"/>
      <c r="BA305" s="16"/>
      <c r="BB305" s="16"/>
      <c r="BC305" s="16"/>
      <c r="BD305" s="16"/>
      <c r="BE305" s="80"/>
      <c r="BF305" s="81"/>
      <c r="BG305" s="15"/>
      <c r="BH305" s="15"/>
      <c r="BI305" s="15"/>
      <c r="BS305" s="80"/>
      <c r="BT305" s="81"/>
      <c r="BU305" s="15"/>
      <c r="BV305" s="15"/>
      <c r="BW305" s="15"/>
      <c r="CA305" s="45"/>
      <c r="CD305" s="45"/>
      <c r="CG305" s="80"/>
      <c r="CH305" s="81"/>
      <c r="CI305" s="15"/>
      <c r="CJ305" s="15"/>
      <c r="CK305" s="15"/>
      <c r="CO305" s="45"/>
      <c r="CR305" s="45"/>
    </row>
    <row r="306" spans="1:96" s="18" customFormat="1" ht="15" customHeight="1">
      <c r="A306" s="78">
        <v>2018</v>
      </c>
      <c r="B306" s="79" t="s">
        <v>36</v>
      </c>
      <c r="C306" s="15">
        <f t="shared" si="150"/>
        <v>0.93515625000000002</v>
      </c>
      <c r="D306" s="15">
        <f t="shared" si="151"/>
        <v>0.95454545454545459</v>
      </c>
      <c r="E306" s="15">
        <f t="shared" si="152"/>
        <v>0.97968750000000004</v>
      </c>
      <c r="F306" s="57"/>
      <c r="G306" s="34"/>
      <c r="H306" s="57">
        <f>+V306+AJ306+AX306+BL306+BS_GC_MP_Vill[[#This Row],[Trenes Programados]]</f>
        <v>5120</v>
      </c>
      <c r="I306" s="16">
        <f t="shared" si="178"/>
        <v>104</v>
      </c>
      <c r="J306" s="57">
        <f>+X306+AL306+AZ306+BN306+BS_GC_MP_Vill[[#This Row],[Trenes Corridos]]</f>
        <v>5016</v>
      </c>
      <c r="K306" s="57">
        <f>+Y306+AM306+BA306+BO306+BS_GC_MP_Vill[[#This Row],[Trenes Puntuales]]</f>
        <v>4788</v>
      </c>
      <c r="L306" s="16">
        <f t="shared" si="179"/>
        <v>228</v>
      </c>
      <c r="M306" s="16"/>
      <c r="N306" s="16"/>
      <c r="O306" s="78">
        <v>2018</v>
      </c>
      <c r="P306" s="79" t="s">
        <v>36</v>
      </c>
      <c r="Q306" s="15">
        <f t="shared" si="153"/>
        <v>0.94485621108805218</v>
      </c>
      <c r="R306" s="15">
        <f t="shared" si="154"/>
        <v>0.9683986630203586</v>
      </c>
      <c r="S306" s="15">
        <f t="shared" si="155"/>
        <v>0.97568929736139931</v>
      </c>
      <c r="T306" s="16"/>
      <c r="U306" s="16"/>
      <c r="V306" s="16">
        <v>3373</v>
      </c>
      <c r="W306" s="16">
        <f t="shared" ref="W306:W317" si="186">V306-X306</f>
        <v>82</v>
      </c>
      <c r="X306" s="16">
        <v>3291</v>
      </c>
      <c r="Y306" s="16">
        <v>3187</v>
      </c>
      <c r="Z306" s="16">
        <f t="shared" ref="Z306:Z317" si="187">X306-Y306</f>
        <v>104</v>
      </c>
      <c r="AA306" s="16"/>
      <c r="AB306" s="16"/>
      <c r="AC306" s="78">
        <v>2018</v>
      </c>
      <c r="AD306" s="79" t="s">
        <v>36</v>
      </c>
      <c r="AE306" s="15">
        <f t="shared" si="156"/>
        <v>0.91642816256439608</v>
      </c>
      <c r="AF306" s="15">
        <f t="shared" si="157"/>
        <v>0.92811594202898551</v>
      </c>
      <c r="AG306" s="15">
        <f t="shared" si="158"/>
        <v>0.98740698340011446</v>
      </c>
      <c r="AH306" s="16"/>
      <c r="AI306" s="16"/>
      <c r="AJ306" s="16">
        <v>1747</v>
      </c>
      <c r="AK306" s="16">
        <f t="shared" ref="AK306:AK317" si="188">AJ306-AL306</f>
        <v>22</v>
      </c>
      <c r="AL306" s="16">
        <v>1725</v>
      </c>
      <c r="AM306" s="16">
        <v>1601</v>
      </c>
      <c r="AN306" s="16">
        <f t="shared" ref="AN306:AN317" si="189">AL306-AM306</f>
        <v>124</v>
      </c>
      <c r="AO306" s="16"/>
      <c r="AP306" s="16"/>
      <c r="AQ306" s="78">
        <v>2018</v>
      </c>
      <c r="AR306" s="79" t="s">
        <v>36</v>
      </c>
      <c r="AS306" s="15"/>
      <c r="AT306" s="15"/>
      <c r="AU306" s="15"/>
      <c r="AV306" s="15"/>
      <c r="AW306" s="15"/>
      <c r="AX306" s="16"/>
      <c r="AY306" s="16"/>
      <c r="AZ306" s="16"/>
      <c r="BA306" s="16"/>
      <c r="BB306" s="16"/>
      <c r="BC306" s="16"/>
      <c r="BD306" s="16"/>
      <c r="BE306" s="78"/>
      <c r="BF306" s="79"/>
      <c r="BG306" s="15"/>
      <c r="BH306" s="15"/>
      <c r="BI306" s="15"/>
      <c r="BJ306" s="16"/>
      <c r="BK306" s="16"/>
      <c r="BL306" s="16"/>
      <c r="BM306" s="16"/>
      <c r="BN306" s="16"/>
      <c r="BO306" s="16"/>
      <c r="BP306" s="16"/>
      <c r="BS306" s="78"/>
      <c r="BT306" s="79"/>
      <c r="BU306" s="15"/>
      <c r="BV306" s="15"/>
      <c r="BW306" s="15"/>
      <c r="BX306" s="16"/>
      <c r="BY306" s="16"/>
      <c r="BZ306" s="16"/>
      <c r="CA306" s="16"/>
      <c r="CB306" s="16"/>
      <c r="CC306" s="16"/>
      <c r="CD306" s="16"/>
      <c r="CG306" s="78"/>
      <c r="CH306" s="79"/>
      <c r="CI306" s="15"/>
      <c r="CJ306" s="15"/>
      <c r="CK306" s="15"/>
      <c r="CL306" s="16"/>
      <c r="CM306" s="16"/>
      <c r="CN306" s="16"/>
      <c r="CO306" s="16"/>
      <c r="CP306" s="16"/>
      <c r="CQ306" s="16"/>
      <c r="CR306" s="16"/>
    </row>
    <row r="307" spans="1:96" s="18" customFormat="1" ht="15" customHeight="1">
      <c r="A307" s="80">
        <v>2018</v>
      </c>
      <c r="B307" s="81" t="s">
        <v>37</v>
      </c>
      <c r="C307" s="15">
        <f t="shared" si="150"/>
        <v>0.91038562664329536</v>
      </c>
      <c r="D307" s="15">
        <f t="shared" si="151"/>
        <v>0.94993141289437588</v>
      </c>
      <c r="E307" s="15">
        <f t="shared" si="152"/>
        <v>0.95836985100788785</v>
      </c>
      <c r="F307" s="57"/>
      <c r="G307" s="34"/>
      <c r="H307" s="57">
        <f>+V307+AJ307+AX307+BL307+BS_GC_MP_Vill[[#This Row],[Trenes Programados]]</f>
        <v>4564</v>
      </c>
      <c r="I307" s="16">
        <f t="shared" si="178"/>
        <v>190</v>
      </c>
      <c r="J307" s="57">
        <f>+X307+AL307+AZ307+BN307+BS_GC_MP_Vill[[#This Row],[Trenes Corridos]]</f>
        <v>4374</v>
      </c>
      <c r="K307" s="57">
        <f>+Y307+AM307+BA307+BO307+BS_GC_MP_Vill[[#This Row],[Trenes Puntuales]]</f>
        <v>4155</v>
      </c>
      <c r="L307" s="16">
        <f t="shared" si="179"/>
        <v>219</v>
      </c>
      <c r="M307" s="16"/>
      <c r="N307" s="16"/>
      <c r="O307" s="80">
        <v>2018</v>
      </c>
      <c r="P307" s="81" t="s">
        <v>37</v>
      </c>
      <c r="Q307" s="15">
        <f t="shared" si="153"/>
        <v>0.93983957219251335</v>
      </c>
      <c r="R307" s="15">
        <f t="shared" si="154"/>
        <v>0.96665520797524918</v>
      </c>
      <c r="S307" s="15">
        <f t="shared" si="155"/>
        <v>0.97225935828877008</v>
      </c>
      <c r="T307" s="16"/>
      <c r="U307" s="16"/>
      <c r="V307" s="16">
        <v>2992</v>
      </c>
      <c r="W307" s="16">
        <f t="shared" si="186"/>
        <v>83</v>
      </c>
      <c r="X307" s="16">
        <v>2909</v>
      </c>
      <c r="Y307" s="16">
        <v>2812</v>
      </c>
      <c r="Z307" s="16">
        <f t="shared" si="187"/>
        <v>97</v>
      </c>
      <c r="AA307" s="16"/>
      <c r="AB307" s="16"/>
      <c r="AC307" s="80">
        <v>2018</v>
      </c>
      <c r="AD307" s="81" t="s">
        <v>37</v>
      </c>
      <c r="AE307" s="15">
        <f t="shared" si="156"/>
        <v>0.85432569974554706</v>
      </c>
      <c r="AF307" s="15">
        <f t="shared" si="157"/>
        <v>0.91672354948805457</v>
      </c>
      <c r="AG307" s="15">
        <f t="shared" si="158"/>
        <v>0.93193384223918574</v>
      </c>
      <c r="AH307" s="16"/>
      <c r="AI307" s="16"/>
      <c r="AJ307" s="16">
        <v>1572</v>
      </c>
      <c r="AK307" s="16">
        <f t="shared" si="188"/>
        <v>107</v>
      </c>
      <c r="AL307" s="16">
        <v>1465</v>
      </c>
      <c r="AM307" s="16">
        <v>1343</v>
      </c>
      <c r="AN307" s="16">
        <f t="shared" si="189"/>
        <v>122</v>
      </c>
      <c r="AO307" s="16"/>
      <c r="AP307" s="16"/>
      <c r="AQ307" s="80">
        <v>2018</v>
      </c>
      <c r="AR307" s="81" t="s">
        <v>37</v>
      </c>
      <c r="AS307" s="15"/>
      <c r="AT307" s="15"/>
      <c r="AU307" s="15"/>
      <c r="AV307" s="15"/>
      <c r="AW307" s="15"/>
      <c r="AX307" s="16"/>
      <c r="AY307" s="16"/>
      <c r="AZ307" s="16"/>
      <c r="BA307" s="16"/>
      <c r="BB307" s="16"/>
      <c r="BC307" s="16"/>
      <c r="BD307" s="16"/>
      <c r="BE307" s="80"/>
      <c r="BF307" s="81"/>
      <c r="BG307" s="15"/>
      <c r="BH307" s="15"/>
      <c r="BI307" s="15"/>
      <c r="BJ307" s="16"/>
      <c r="BK307" s="16"/>
      <c r="BL307" s="16"/>
      <c r="BM307" s="16"/>
      <c r="BN307" s="16"/>
      <c r="BO307" s="16"/>
      <c r="BP307" s="16"/>
      <c r="BS307" s="80"/>
      <c r="BT307" s="81"/>
      <c r="BU307" s="15"/>
      <c r="BV307" s="15"/>
      <c r="BW307" s="15"/>
      <c r="BX307" s="16"/>
      <c r="BY307" s="16"/>
      <c r="BZ307" s="16"/>
      <c r="CA307" s="16"/>
      <c r="CB307" s="16"/>
      <c r="CC307" s="16"/>
      <c r="CD307" s="16"/>
      <c r="CG307" s="80"/>
      <c r="CH307" s="81"/>
      <c r="CI307" s="15"/>
      <c r="CJ307" s="15"/>
      <c r="CK307" s="15"/>
      <c r="CL307" s="16"/>
      <c r="CM307" s="16"/>
      <c r="CN307" s="16"/>
      <c r="CO307" s="16"/>
      <c r="CP307" s="16"/>
      <c r="CQ307" s="16"/>
      <c r="CR307" s="16"/>
    </row>
    <row r="308" spans="1:96" s="18" customFormat="1" ht="15" customHeight="1">
      <c r="A308" s="78">
        <v>2018</v>
      </c>
      <c r="B308" s="79" t="s">
        <v>38</v>
      </c>
      <c r="C308" s="15">
        <f t="shared" si="150"/>
        <v>0.85975970061059681</v>
      </c>
      <c r="D308" s="15">
        <f t="shared" si="151"/>
        <v>0.83142857142857141</v>
      </c>
      <c r="E308" s="15">
        <f t="shared" si="152"/>
        <v>1.0340752412842229</v>
      </c>
      <c r="F308" s="57"/>
      <c r="G308" s="34"/>
      <c r="H308" s="57">
        <f>+V308+AJ308+AX308+BL308+BS_GC_MP_Vill[[#This Row],[Trenes Programados]]</f>
        <v>5077</v>
      </c>
      <c r="I308" s="16">
        <f t="shared" si="178"/>
        <v>-173</v>
      </c>
      <c r="J308" s="57">
        <f>+X308+AL308+AZ308+BN308+BS_GC_MP_Vill[[#This Row],[Trenes Corridos]]</f>
        <v>5250</v>
      </c>
      <c r="K308" s="57">
        <f>+Y308+AM308+BA308+BO308+BS_GC_MP_Vill[[#This Row],[Trenes Puntuales]]</f>
        <v>4365</v>
      </c>
      <c r="L308" s="16">
        <f t="shared" si="179"/>
        <v>885</v>
      </c>
      <c r="M308" s="16"/>
      <c r="N308" s="16"/>
      <c r="O308" s="78">
        <v>2018</v>
      </c>
      <c r="P308" s="79" t="s">
        <v>38</v>
      </c>
      <c r="Q308" s="15">
        <f t="shared" si="153"/>
        <v>0.90101979604079185</v>
      </c>
      <c r="R308" s="15">
        <f t="shared" si="154"/>
        <v>0.93611717045808662</v>
      </c>
      <c r="S308" s="15">
        <f t="shared" si="155"/>
        <v>0.96250749850029993</v>
      </c>
      <c r="T308" s="16"/>
      <c r="U308" s="16"/>
      <c r="V308" s="16">
        <v>3334</v>
      </c>
      <c r="W308" s="16">
        <f t="shared" si="186"/>
        <v>125</v>
      </c>
      <c r="X308" s="16">
        <v>3209</v>
      </c>
      <c r="Y308" s="16">
        <v>3004</v>
      </c>
      <c r="Z308" s="16">
        <f t="shared" si="187"/>
        <v>205</v>
      </c>
      <c r="AA308" s="16"/>
      <c r="AB308" s="16"/>
      <c r="AC308" s="78">
        <v>2018</v>
      </c>
      <c r="AD308" s="79" t="s">
        <v>38</v>
      </c>
      <c r="AE308" s="15">
        <f t="shared" si="156"/>
        <v>0.78083763625932301</v>
      </c>
      <c r="AF308" s="15">
        <f t="shared" si="157"/>
        <v>0.84956304619225964</v>
      </c>
      <c r="AG308" s="15">
        <f t="shared" si="158"/>
        <v>0.91910499139414803</v>
      </c>
      <c r="AH308" s="16"/>
      <c r="AI308" s="16"/>
      <c r="AJ308" s="16">
        <v>1743</v>
      </c>
      <c r="AK308" s="16">
        <f t="shared" si="188"/>
        <v>141</v>
      </c>
      <c r="AL308" s="16">
        <v>1602</v>
      </c>
      <c r="AM308" s="16">
        <v>1361</v>
      </c>
      <c r="AN308" s="16">
        <f t="shared" si="189"/>
        <v>241</v>
      </c>
      <c r="AO308" s="16"/>
      <c r="AP308" s="16"/>
      <c r="AQ308" s="78">
        <v>2018</v>
      </c>
      <c r="AR308" s="79" t="s">
        <v>38</v>
      </c>
      <c r="AS308" s="15"/>
      <c r="AT308" s="15"/>
      <c r="AU308" s="15"/>
      <c r="AV308" s="15"/>
      <c r="AW308" s="15"/>
      <c r="AX308" s="16"/>
      <c r="AY308" s="16"/>
      <c r="AZ308" s="16"/>
      <c r="BA308" s="16"/>
      <c r="BB308" s="16"/>
      <c r="BC308" s="16"/>
      <c r="BD308" s="16"/>
      <c r="BE308" s="78">
        <v>2018</v>
      </c>
      <c r="BF308" s="79" t="s">
        <v>38</v>
      </c>
      <c r="BG308" s="15"/>
      <c r="BH308" s="15"/>
      <c r="BI308" s="15"/>
      <c r="BJ308" s="16"/>
      <c r="BK308" s="16"/>
      <c r="BL308" s="16"/>
      <c r="BM308" s="16"/>
      <c r="BN308" s="16">
        <v>439</v>
      </c>
      <c r="BO308" s="16"/>
      <c r="BP308" s="16"/>
      <c r="BQ308" s="18" t="s">
        <v>77</v>
      </c>
      <c r="BS308" s="78">
        <v>2018</v>
      </c>
      <c r="BT308" s="79" t="s">
        <v>38</v>
      </c>
      <c r="BU308" s="15"/>
      <c r="BV308" s="15"/>
      <c r="BW308" s="15"/>
      <c r="BX308" s="16"/>
      <c r="BY308" s="16"/>
      <c r="BZ308" s="16"/>
      <c r="CA308" s="16"/>
      <c r="CB308" s="16"/>
      <c r="CC308" s="16"/>
      <c r="CD308" s="16"/>
      <c r="CG308" s="78"/>
      <c r="CH308" s="79"/>
      <c r="CI308" s="15"/>
      <c r="CJ308" s="15"/>
      <c r="CK308" s="15"/>
      <c r="CL308" s="16"/>
      <c r="CM308" s="16"/>
      <c r="CN308" s="16"/>
      <c r="CO308" s="16"/>
      <c r="CP308" s="16"/>
      <c r="CQ308" s="16"/>
      <c r="CR308" s="16"/>
    </row>
    <row r="309" spans="1:96" s="18" customFormat="1" ht="15" customHeight="1">
      <c r="A309" s="80">
        <v>2018</v>
      </c>
      <c r="B309" s="81" t="s">
        <v>39</v>
      </c>
      <c r="C309" s="15">
        <f t="shared" si="150"/>
        <v>0.89282040732359602</v>
      </c>
      <c r="D309" s="15">
        <f t="shared" si="151"/>
        <v>0.74969770253929868</v>
      </c>
      <c r="E309" s="15">
        <f t="shared" si="152"/>
        <v>1.1909072207364739</v>
      </c>
      <c r="F309" s="57"/>
      <c r="G309" s="34"/>
      <c r="H309" s="57">
        <f>+V309+AJ309+AX309+BL309+BS_GC_MP_Vill[[#This Row],[Trenes Programados]]</f>
        <v>4861</v>
      </c>
      <c r="I309" s="16">
        <f t="shared" si="178"/>
        <v>-928</v>
      </c>
      <c r="J309" s="57">
        <f>+X309+AL309+AZ309+BN309+BS_GC_MP_Vill[[#This Row],[Trenes Corridos]]</f>
        <v>5789</v>
      </c>
      <c r="K309" s="57">
        <f>+Y309+AM309+BA309+BO309+BS_GC_MP_Vill[[#This Row],[Trenes Puntuales]]</f>
        <v>4340</v>
      </c>
      <c r="L309" s="16">
        <f t="shared" si="179"/>
        <v>1449</v>
      </c>
      <c r="M309" s="16"/>
      <c r="N309" s="16"/>
      <c r="O309" s="80">
        <v>2018</v>
      </c>
      <c r="P309" s="81" t="s">
        <v>39</v>
      </c>
      <c r="Q309" s="15">
        <f t="shared" si="153"/>
        <v>0.92334275840402136</v>
      </c>
      <c r="R309" s="15">
        <f t="shared" si="154"/>
        <v>0.94714792136641957</v>
      </c>
      <c r="S309" s="15">
        <f t="shared" si="155"/>
        <v>0.97486647816525296</v>
      </c>
      <c r="T309" s="16"/>
      <c r="U309" s="16"/>
      <c r="V309" s="16">
        <v>3183</v>
      </c>
      <c r="W309" s="16">
        <f t="shared" si="186"/>
        <v>80</v>
      </c>
      <c r="X309" s="16">
        <v>3103</v>
      </c>
      <c r="Y309" s="16">
        <v>2939</v>
      </c>
      <c r="Z309" s="16">
        <f t="shared" si="187"/>
        <v>164</v>
      </c>
      <c r="AA309" s="16"/>
      <c r="AB309" s="16"/>
      <c r="AC309" s="80">
        <v>2018</v>
      </c>
      <c r="AD309" s="81" t="s">
        <v>39</v>
      </c>
      <c r="AE309" s="15">
        <f t="shared" si="156"/>
        <v>0.83492252681764001</v>
      </c>
      <c r="AF309" s="15">
        <f t="shared" si="157"/>
        <v>0.8669554455445545</v>
      </c>
      <c r="AG309" s="15">
        <f t="shared" si="158"/>
        <v>0.96305125148986892</v>
      </c>
      <c r="AH309" s="16"/>
      <c r="AI309" s="16"/>
      <c r="AJ309" s="16">
        <v>1678</v>
      </c>
      <c r="AK309" s="16">
        <f t="shared" si="188"/>
        <v>62</v>
      </c>
      <c r="AL309" s="16">
        <v>1616</v>
      </c>
      <c r="AM309" s="16">
        <v>1401</v>
      </c>
      <c r="AN309" s="16">
        <f t="shared" si="189"/>
        <v>215</v>
      </c>
      <c r="AO309" s="16"/>
      <c r="AP309" s="16"/>
      <c r="AQ309" s="80">
        <v>2018</v>
      </c>
      <c r="AR309" s="81" t="s">
        <v>39</v>
      </c>
      <c r="AS309" s="15"/>
      <c r="AT309" s="15"/>
      <c r="AU309" s="15"/>
      <c r="AV309" s="15"/>
      <c r="AW309" s="15"/>
      <c r="AX309" s="16"/>
      <c r="AY309" s="16"/>
      <c r="AZ309" s="16"/>
      <c r="BA309" s="16"/>
      <c r="BB309" s="16"/>
      <c r="BC309" s="16"/>
      <c r="BD309" s="16"/>
      <c r="BE309" s="80">
        <v>2018</v>
      </c>
      <c r="BF309" s="81" t="s">
        <v>39</v>
      </c>
      <c r="BG309" s="15"/>
      <c r="BH309" s="15"/>
      <c r="BI309" s="15"/>
      <c r="BJ309" s="16"/>
      <c r="BK309" s="16"/>
      <c r="BL309" s="16"/>
      <c r="BM309" s="16"/>
      <c r="BN309" s="16">
        <v>1070</v>
      </c>
      <c r="BO309" s="16"/>
      <c r="BP309" s="16"/>
      <c r="BS309" s="80">
        <v>2018</v>
      </c>
      <c r="BT309" s="81" t="s">
        <v>39</v>
      </c>
      <c r="BU309" s="15"/>
      <c r="BV309" s="15"/>
      <c r="BW309" s="15"/>
      <c r="BX309" s="16"/>
      <c r="BY309" s="16"/>
      <c r="BZ309" s="16"/>
      <c r="CA309" s="16"/>
      <c r="CB309" s="16"/>
      <c r="CC309" s="16"/>
      <c r="CD309" s="16"/>
      <c r="CG309" s="80"/>
      <c r="CH309" s="81"/>
      <c r="CI309" s="15"/>
      <c r="CJ309" s="15"/>
      <c r="CK309" s="15"/>
      <c r="CL309" s="16"/>
      <c r="CM309" s="16"/>
      <c r="CN309" s="16"/>
      <c r="CO309" s="16"/>
      <c r="CP309" s="16"/>
      <c r="CQ309" s="16"/>
      <c r="CR309" s="16"/>
    </row>
    <row r="310" spans="1:96" s="18" customFormat="1" ht="15" customHeight="1">
      <c r="A310" s="78">
        <v>2018</v>
      </c>
      <c r="B310" s="79" t="s">
        <v>40</v>
      </c>
      <c r="C310" s="15">
        <f t="shared" si="150"/>
        <v>0.72136503902704663</v>
      </c>
      <c r="D310" s="15">
        <f t="shared" si="151"/>
        <v>0.65168907838635615</v>
      </c>
      <c r="E310" s="15">
        <f t="shared" si="152"/>
        <v>1.1069159557088402</v>
      </c>
      <c r="F310" s="57"/>
      <c r="G310" s="34"/>
      <c r="H310" s="57">
        <f>+V310+AJ310+AX310+BL310+BS_GC_MP_Vill[[#This Row],[Trenes Programados]]</f>
        <v>5509</v>
      </c>
      <c r="I310" s="16">
        <f t="shared" si="178"/>
        <v>-589</v>
      </c>
      <c r="J310" s="57">
        <f>+X310+AL310+AZ310+BN310+BS_GC_MP_Vill[[#This Row],[Trenes Corridos]]</f>
        <v>6098</v>
      </c>
      <c r="K310" s="57">
        <f>+Y310+AM310+BA310+BO310+BS_GC_MP_Vill[[#This Row],[Trenes Puntuales]]</f>
        <v>3974</v>
      </c>
      <c r="L310" s="16">
        <f t="shared" si="179"/>
        <v>2124</v>
      </c>
      <c r="M310" s="16"/>
      <c r="N310" s="16"/>
      <c r="O310" s="78">
        <v>2018</v>
      </c>
      <c r="P310" s="79" t="s">
        <v>40</v>
      </c>
      <c r="Q310" s="15">
        <f t="shared" si="153"/>
        <v>0.75727636849132174</v>
      </c>
      <c r="R310" s="15">
        <f t="shared" si="154"/>
        <v>0.82083936324167872</v>
      </c>
      <c r="S310" s="15">
        <f t="shared" si="155"/>
        <v>0.92256341789052065</v>
      </c>
      <c r="T310" s="16"/>
      <c r="U310" s="16"/>
      <c r="V310" s="16">
        <v>3745</v>
      </c>
      <c r="W310" s="16">
        <f t="shared" si="186"/>
        <v>290</v>
      </c>
      <c r="X310" s="16">
        <v>3455</v>
      </c>
      <c r="Y310" s="16">
        <v>2836</v>
      </c>
      <c r="Z310" s="16">
        <f t="shared" si="187"/>
        <v>619</v>
      </c>
      <c r="AA310" s="16"/>
      <c r="AB310" s="16"/>
      <c r="AC310" s="78">
        <v>2018</v>
      </c>
      <c r="AD310" s="79" t="s">
        <v>40</v>
      </c>
      <c r="AE310" s="15">
        <f t="shared" si="156"/>
        <v>0.64512471655328796</v>
      </c>
      <c r="AF310" s="15">
        <f t="shared" si="157"/>
        <v>0.73042362002567396</v>
      </c>
      <c r="AG310" s="15">
        <f t="shared" si="158"/>
        <v>0.8832199546485261</v>
      </c>
      <c r="AH310" s="16"/>
      <c r="AI310" s="16"/>
      <c r="AJ310" s="16">
        <v>1764</v>
      </c>
      <c r="AK310" s="16">
        <f t="shared" si="188"/>
        <v>206</v>
      </c>
      <c r="AL310" s="16">
        <v>1558</v>
      </c>
      <c r="AM310" s="16">
        <v>1138</v>
      </c>
      <c r="AN310" s="16">
        <f t="shared" si="189"/>
        <v>420</v>
      </c>
      <c r="AO310" s="16"/>
      <c r="AP310" s="16"/>
      <c r="AQ310" s="78">
        <v>2018</v>
      </c>
      <c r="AR310" s="79" t="s">
        <v>40</v>
      </c>
      <c r="AS310" s="15"/>
      <c r="AT310" s="15"/>
      <c r="AU310" s="15"/>
      <c r="AV310" s="15"/>
      <c r="AW310" s="15"/>
      <c r="AX310" s="16"/>
      <c r="AY310" s="16"/>
      <c r="AZ310" s="16"/>
      <c r="BA310" s="16"/>
      <c r="BB310" s="16"/>
      <c r="BC310" s="16"/>
      <c r="BD310" s="16"/>
      <c r="BE310" s="78">
        <v>2018</v>
      </c>
      <c r="BF310" s="79" t="s">
        <v>40</v>
      </c>
      <c r="BG310" s="15"/>
      <c r="BH310" s="15"/>
      <c r="BI310" s="15"/>
      <c r="BJ310" s="16"/>
      <c r="BK310" s="16"/>
      <c r="BL310" s="16"/>
      <c r="BM310" s="16"/>
      <c r="BN310" s="16">
        <v>1085</v>
      </c>
      <c r="BO310" s="16"/>
      <c r="BP310" s="16"/>
      <c r="BS310" s="78">
        <v>2018</v>
      </c>
      <c r="BT310" s="79" t="s">
        <v>40</v>
      </c>
      <c r="BU310" s="15"/>
      <c r="BV310" s="15"/>
      <c r="BW310" s="15"/>
      <c r="BX310" s="16"/>
      <c r="BY310" s="16"/>
      <c r="BZ310" s="16"/>
      <c r="CA310" s="16"/>
      <c r="CB310" s="16"/>
      <c r="CC310" s="16"/>
      <c r="CD310" s="16"/>
      <c r="CG310" s="78"/>
      <c r="CH310" s="79"/>
      <c r="CI310" s="15"/>
      <c r="CJ310" s="15"/>
      <c r="CK310" s="15"/>
      <c r="CL310" s="16"/>
      <c r="CM310" s="16"/>
      <c r="CN310" s="16"/>
      <c r="CO310" s="16"/>
      <c r="CP310" s="16"/>
      <c r="CQ310" s="16"/>
      <c r="CR310" s="16"/>
    </row>
    <row r="311" spans="1:96" s="18" customFormat="1" ht="15" customHeight="1">
      <c r="A311" s="80">
        <v>2018</v>
      </c>
      <c r="B311" s="81" t="s">
        <v>41</v>
      </c>
      <c r="C311" s="15">
        <f t="shared" si="150"/>
        <v>0.70202578268876614</v>
      </c>
      <c r="D311" s="15">
        <f t="shared" si="151"/>
        <v>0.66399581954363351</v>
      </c>
      <c r="E311" s="15">
        <f t="shared" si="152"/>
        <v>1.0572744014732964</v>
      </c>
      <c r="F311" s="57"/>
      <c r="G311" s="34"/>
      <c r="H311" s="57">
        <f>+V311+AJ311+AX311+BL311+BS_GC_MP_Vill[[#This Row],[Trenes Programados]]</f>
        <v>5430</v>
      </c>
      <c r="I311" s="16">
        <f t="shared" si="178"/>
        <v>-311</v>
      </c>
      <c r="J311" s="57">
        <f>+X311+AL311+AZ311+BN311+BS_GC_MP_Vill[[#This Row],[Trenes Corridos]]</f>
        <v>5741</v>
      </c>
      <c r="K311" s="57">
        <f>+Y311+AM311+BA311+BO311+BS_GC_MP_Vill[[#This Row],[Trenes Puntuales]]</f>
        <v>3812</v>
      </c>
      <c r="L311" s="16">
        <f t="shared" si="179"/>
        <v>1929</v>
      </c>
      <c r="M311" s="16"/>
      <c r="N311" s="16"/>
      <c r="O311" s="80">
        <v>2018</v>
      </c>
      <c r="P311" s="81" t="s">
        <v>41</v>
      </c>
      <c r="Q311" s="15">
        <f t="shared" si="153"/>
        <v>0.7445491251682369</v>
      </c>
      <c r="R311" s="15">
        <f t="shared" si="154"/>
        <v>0.82863990413421207</v>
      </c>
      <c r="S311" s="15">
        <f t="shared" si="155"/>
        <v>0.89851951547779274</v>
      </c>
      <c r="T311" s="16"/>
      <c r="U311" s="16"/>
      <c r="V311" s="16">
        <v>3715</v>
      </c>
      <c r="W311" s="16">
        <f t="shared" si="186"/>
        <v>377</v>
      </c>
      <c r="X311" s="16">
        <v>3338</v>
      </c>
      <c r="Y311" s="16">
        <v>2766</v>
      </c>
      <c r="Z311" s="16">
        <f t="shared" si="187"/>
        <v>572</v>
      </c>
      <c r="AA311" s="16"/>
      <c r="AB311" s="16"/>
      <c r="AC311" s="80">
        <v>2018</v>
      </c>
      <c r="AD311" s="81" t="s">
        <v>41</v>
      </c>
      <c r="AE311" s="15">
        <f t="shared" si="156"/>
        <v>0.60991253644314869</v>
      </c>
      <c r="AF311" s="15">
        <f t="shared" si="157"/>
        <v>0.71939477303988997</v>
      </c>
      <c r="AG311" s="15">
        <f t="shared" si="158"/>
        <v>0.84781341107871722</v>
      </c>
      <c r="AH311" s="16"/>
      <c r="AI311" s="16"/>
      <c r="AJ311" s="16">
        <v>1715</v>
      </c>
      <c r="AK311" s="16">
        <f t="shared" si="188"/>
        <v>261</v>
      </c>
      <c r="AL311" s="16">
        <v>1454</v>
      </c>
      <c r="AM311" s="16">
        <v>1046</v>
      </c>
      <c r="AN311" s="16">
        <f t="shared" si="189"/>
        <v>408</v>
      </c>
      <c r="AO311" s="16"/>
      <c r="AP311" s="16"/>
      <c r="AQ311" s="80">
        <v>2018</v>
      </c>
      <c r="AR311" s="81" t="s">
        <v>41</v>
      </c>
      <c r="AS311" s="15"/>
      <c r="AT311" s="15"/>
      <c r="AU311" s="15"/>
      <c r="AV311" s="15"/>
      <c r="AW311" s="15"/>
      <c r="AX311" s="16"/>
      <c r="AY311" s="16"/>
      <c r="AZ311" s="16"/>
      <c r="BA311" s="16"/>
      <c r="BB311" s="16"/>
      <c r="BC311" s="16"/>
      <c r="BD311" s="16"/>
      <c r="BE311" s="80">
        <v>2018</v>
      </c>
      <c r="BF311" s="81" t="s">
        <v>41</v>
      </c>
      <c r="BG311" s="15"/>
      <c r="BH311" s="15"/>
      <c r="BI311" s="15"/>
      <c r="BJ311" s="16"/>
      <c r="BK311" s="16"/>
      <c r="BL311" s="16"/>
      <c r="BM311" s="16"/>
      <c r="BN311" s="16">
        <v>949</v>
      </c>
      <c r="BO311" s="16"/>
      <c r="BP311" s="16"/>
      <c r="BS311" s="80">
        <v>2018</v>
      </c>
      <c r="BT311" s="81" t="s">
        <v>41</v>
      </c>
      <c r="BU311" s="15"/>
      <c r="BV311" s="15"/>
      <c r="BW311" s="15"/>
      <c r="BX311" s="16"/>
      <c r="BY311" s="16"/>
      <c r="BZ311" s="16"/>
      <c r="CA311" s="16"/>
      <c r="CB311" s="16"/>
      <c r="CC311" s="16"/>
      <c r="CD311" s="16"/>
      <c r="CG311" s="80"/>
      <c r="CH311" s="81"/>
      <c r="CI311" s="15"/>
      <c r="CJ311" s="15"/>
      <c r="CK311" s="15"/>
      <c r="CL311" s="16"/>
      <c r="CM311" s="16"/>
      <c r="CN311" s="16"/>
      <c r="CO311" s="16"/>
      <c r="CP311" s="16"/>
      <c r="CQ311" s="16"/>
      <c r="CR311" s="16"/>
    </row>
    <row r="312" spans="1:96" s="18" customFormat="1" ht="15" customHeight="1">
      <c r="A312" s="78">
        <v>2018</v>
      </c>
      <c r="B312" s="79" t="s">
        <v>42</v>
      </c>
      <c r="C312" s="15">
        <f t="shared" si="150"/>
        <v>0.75992844364937384</v>
      </c>
      <c r="D312" s="15">
        <f t="shared" si="151"/>
        <v>0.68295819935691315</v>
      </c>
      <c r="E312" s="15">
        <f t="shared" si="152"/>
        <v>1.1127012522361359</v>
      </c>
      <c r="F312" s="57"/>
      <c r="G312" s="34"/>
      <c r="H312" s="57">
        <f>+V312+AJ312+AX312+BL312+BS_GC_MP_Vill[[#This Row],[Trenes Programados]]</f>
        <v>5590</v>
      </c>
      <c r="I312" s="16">
        <f t="shared" si="178"/>
        <v>-630</v>
      </c>
      <c r="J312" s="57">
        <f>+X312+AL312+AZ312+BN312+BS_GC_MP_Vill[[#This Row],[Trenes Corridos]]</f>
        <v>6220</v>
      </c>
      <c r="K312" s="57">
        <f>+Y312+AM312+BA312+BO312+BS_GC_MP_Vill[[#This Row],[Trenes Puntuales]]</f>
        <v>4248</v>
      </c>
      <c r="L312" s="16">
        <f t="shared" si="179"/>
        <v>1972</v>
      </c>
      <c r="M312" s="16"/>
      <c r="N312" s="16"/>
      <c r="O312" s="78">
        <v>2018</v>
      </c>
      <c r="P312" s="79" t="s">
        <v>42</v>
      </c>
      <c r="Q312" s="15">
        <f t="shared" si="153"/>
        <v>0.78728414442700156</v>
      </c>
      <c r="R312" s="15">
        <f t="shared" si="154"/>
        <v>0.84522471910112362</v>
      </c>
      <c r="S312" s="15">
        <f t="shared" si="155"/>
        <v>0.93144950287807426</v>
      </c>
      <c r="T312" s="16"/>
      <c r="U312" s="16"/>
      <c r="V312" s="16">
        <v>3822</v>
      </c>
      <c r="W312" s="16">
        <f t="shared" si="186"/>
        <v>262</v>
      </c>
      <c r="X312" s="16">
        <v>3560</v>
      </c>
      <c r="Y312" s="16">
        <v>3009</v>
      </c>
      <c r="Z312" s="16">
        <f t="shared" si="187"/>
        <v>551</v>
      </c>
      <c r="AA312" s="16"/>
      <c r="AB312" s="16"/>
      <c r="AC312" s="78">
        <v>2018</v>
      </c>
      <c r="AD312" s="79" t="s">
        <v>42</v>
      </c>
      <c r="AE312" s="15">
        <f t="shared" si="156"/>
        <v>0.70079185520361986</v>
      </c>
      <c r="AF312" s="15">
        <f t="shared" si="157"/>
        <v>0.7634011090573013</v>
      </c>
      <c r="AG312" s="15">
        <f t="shared" si="158"/>
        <v>0.91798642533936647</v>
      </c>
      <c r="AH312" s="16"/>
      <c r="AI312" s="16"/>
      <c r="AJ312" s="16">
        <v>1768</v>
      </c>
      <c r="AK312" s="16">
        <f t="shared" si="188"/>
        <v>145</v>
      </c>
      <c r="AL312" s="16">
        <v>1623</v>
      </c>
      <c r="AM312" s="16">
        <v>1239</v>
      </c>
      <c r="AN312" s="16">
        <f t="shared" si="189"/>
        <v>384</v>
      </c>
      <c r="AO312" s="16"/>
      <c r="AP312" s="16"/>
      <c r="AQ312" s="78">
        <v>2018</v>
      </c>
      <c r="AR312" s="79" t="s">
        <v>42</v>
      </c>
      <c r="AS312" s="15"/>
      <c r="AT312" s="15"/>
      <c r="AU312" s="15"/>
      <c r="AV312" s="15"/>
      <c r="AW312" s="15"/>
      <c r="AX312" s="16"/>
      <c r="AY312" s="16"/>
      <c r="AZ312" s="16"/>
      <c r="BA312" s="16"/>
      <c r="BB312" s="16"/>
      <c r="BC312" s="16"/>
      <c r="BD312" s="16"/>
      <c r="BE312" s="78">
        <v>2018</v>
      </c>
      <c r="BF312" s="79" t="s">
        <v>42</v>
      </c>
      <c r="BG312" s="15"/>
      <c r="BH312" s="15"/>
      <c r="BI312" s="15"/>
      <c r="BJ312" s="16"/>
      <c r="BK312" s="16"/>
      <c r="BL312" s="16"/>
      <c r="BM312" s="16"/>
      <c r="BN312" s="16">
        <v>1037</v>
      </c>
      <c r="BO312" s="16"/>
      <c r="BP312" s="16"/>
      <c r="BS312" s="78">
        <v>2018</v>
      </c>
      <c r="BT312" s="79" t="s">
        <v>42</v>
      </c>
      <c r="BU312" s="15"/>
      <c r="BV312" s="15"/>
      <c r="BW312" s="15"/>
      <c r="BX312" s="16"/>
      <c r="BY312" s="16"/>
      <c r="BZ312" s="16"/>
      <c r="CA312" s="16"/>
      <c r="CB312" s="16"/>
      <c r="CC312" s="16"/>
      <c r="CD312" s="16"/>
      <c r="CG312" s="78"/>
      <c r="CH312" s="79"/>
      <c r="CI312" s="15"/>
      <c r="CJ312" s="15"/>
      <c r="CK312" s="15"/>
      <c r="CL312" s="16"/>
      <c r="CM312" s="16"/>
      <c r="CN312" s="16"/>
      <c r="CO312" s="16"/>
      <c r="CP312" s="16"/>
      <c r="CQ312" s="16"/>
      <c r="CR312" s="16"/>
    </row>
    <row r="313" spans="1:96" s="18" customFormat="1" ht="15" customHeight="1">
      <c r="A313" s="80">
        <v>2018</v>
      </c>
      <c r="B313" s="81" t="s">
        <v>43</v>
      </c>
      <c r="C313" s="15">
        <f t="shared" si="150"/>
        <v>0.71679999999999999</v>
      </c>
      <c r="D313" s="15">
        <f t="shared" si="151"/>
        <v>0.65871589609540926</v>
      </c>
      <c r="E313" s="15">
        <f t="shared" si="152"/>
        <v>1.0881777777777777</v>
      </c>
      <c r="F313" s="57"/>
      <c r="G313" s="34"/>
      <c r="H313" s="57">
        <f>+V313+AJ313+AX313+BL313+BS_GC_MP_Vill[[#This Row],[Trenes Programados]]</f>
        <v>5625</v>
      </c>
      <c r="I313" s="16">
        <f t="shared" si="178"/>
        <v>-496</v>
      </c>
      <c r="J313" s="57">
        <f>+X313+AL313+AZ313+BN313+BS_GC_MP_Vill[[#This Row],[Trenes Corridos]]</f>
        <v>6121</v>
      </c>
      <c r="K313" s="57">
        <f>+Y313+AM313+BA313+BO313+BS_GC_MP_Vill[[#This Row],[Trenes Puntuales]]</f>
        <v>4032</v>
      </c>
      <c r="L313" s="16">
        <f t="shared" si="179"/>
        <v>2089</v>
      </c>
      <c r="M313" s="16"/>
      <c r="N313" s="16"/>
      <c r="O313" s="80">
        <v>2018</v>
      </c>
      <c r="P313" s="81" t="s">
        <v>43</v>
      </c>
      <c r="Q313" s="15">
        <f t="shared" si="153"/>
        <v>0.73650051921079962</v>
      </c>
      <c r="R313" s="15">
        <f t="shared" si="154"/>
        <v>0.82735491396908722</v>
      </c>
      <c r="S313" s="15">
        <f t="shared" si="155"/>
        <v>0.89018691588785048</v>
      </c>
      <c r="T313" s="16"/>
      <c r="U313" s="16"/>
      <c r="V313" s="16">
        <v>3852</v>
      </c>
      <c r="W313" s="16">
        <f t="shared" si="186"/>
        <v>423</v>
      </c>
      <c r="X313" s="16">
        <v>3429</v>
      </c>
      <c r="Y313" s="16">
        <v>2837</v>
      </c>
      <c r="Z313" s="16">
        <f t="shared" si="187"/>
        <v>592</v>
      </c>
      <c r="AA313" s="16"/>
      <c r="AB313" s="16"/>
      <c r="AC313" s="80">
        <v>2018</v>
      </c>
      <c r="AD313" s="81" t="s">
        <v>43</v>
      </c>
      <c r="AE313" s="15">
        <f t="shared" si="156"/>
        <v>0.67399887196841513</v>
      </c>
      <c r="AF313" s="15">
        <f t="shared" si="157"/>
        <v>0.76017811704834604</v>
      </c>
      <c r="AG313" s="15">
        <f t="shared" si="158"/>
        <v>0.88663282571912017</v>
      </c>
      <c r="AH313" s="16"/>
      <c r="AI313" s="16"/>
      <c r="AJ313" s="16">
        <v>1773</v>
      </c>
      <c r="AK313" s="16">
        <f t="shared" si="188"/>
        <v>201</v>
      </c>
      <c r="AL313" s="16">
        <v>1572</v>
      </c>
      <c r="AM313" s="16">
        <v>1195</v>
      </c>
      <c r="AN313" s="16">
        <f t="shared" si="189"/>
        <v>377</v>
      </c>
      <c r="AO313" s="16"/>
      <c r="AP313" s="16"/>
      <c r="AQ313" s="80">
        <v>2018</v>
      </c>
      <c r="AR313" s="81" t="s">
        <v>43</v>
      </c>
      <c r="AS313" s="15"/>
      <c r="AT313" s="15"/>
      <c r="AU313" s="15"/>
      <c r="AV313" s="15"/>
      <c r="AW313" s="15"/>
      <c r="AX313" s="16"/>
      <c r="AY313" s="16"/>
      <c r="AZ313" s="16"/>
      <c r="BA313" s="16"/>
      <c r="BB313" s="16"/>
      <c r="BC313" s="16"/>
      <c r="BD313" s="16"/>
      <c r="BE313" s="80">
        <v>2018</v>
      </c>
      <c r="BF313" s="81" t="s">
        <v>43</v>
      </c>
      <c r="BG313" s="15"/>
      <c r="BH313" s="15"/>
      <c r="BI313" s="15"/>
      <c r="BJ313" s="16"/>
      <c r="BK313" s="16"/>
      <c r="BL313" s="16"/>
      <c r="BM313" s="16"/>
      <c r="BN313" s="16">
        <v>1120</v>
      </c>
      <c r="BO313" s="16"/>
      <c r="BP313" s="16"/>
      <c r="BS313" s="80">
        <v>2018</v>
      </c>
      <c r="BT313" s="81" t="s">
        <v>43</v>
      </c>
      <c r="BU313" s="15"/>
      <c r="BV313" s="15"/>
      <c r="BW313" s="15"/>
      <c r="BX313" s="16"/>
      <c r="BY313" s="16"/>
      <c r="BZ313" s="16"/>
      <c r="CA313" s="16"/>
      <c r="CB313" s="16"/>
      <c r="CC313" s="16"/>
      <c r="CD313" s="16"/>
      <c r="CG313" s="80"/>
      <c r="CH313" s="81"/>
      <c r="CI313" s="15"/>
      <c r="CJ313" s="15"/>
      <c r="CK313" s="15"/>
      <c r="CL313" s="16"/>
      <c r="CM313" s="16"/>
      <c r="CN313" s="16"/>
      <c r="CO313" s="16"/>
      <c r="CP313" s="16"/>
      <c r="CQ313" s="16"/>
      <c r="CR313" s="16"/>
    </row>
    <row r="314" spans="1:96" s="18" customFormat="1" ht="15" customHeight="1">
      <c r="A314" s="78">
        <v>2018</v>
      </c>
      <c r="B314" s="79" t="s">
        <v>44</v>
      </c>
      <c r="C314" s="15">
        <f t="shared" si="150"/>
        <v>0.66464088397790055</v>
      </c>
      <c r="D314" s="15">
        <f t="shared" si="151"/>
        <v>0.63215974776668415</v>
      </c>
      <c r="E314" s="15">
        <f t="shared" si="152"/>
        <v>1.0513812154696132</v>
      </c>
      <c r="F314" s="57"/>
      <c r="G314" s="34"/>
      <c r="H314" s="57">
        <f>+V314+AJ314+AX314+BL314+BS_GC_MP_Vill[[#This Row],[Trenes Programados]]</f>
        <v>5430</v>
      </c>
      <c r="I314" s="16">
        <f t="shared" si="178"/>
        <v>-279</v>
      </c>
      <c r="J314" s="57">
        <f>+X314+AL314+AZ314+BN314+BS_GC_MP_Vill[[#This Row],[Trenes Corridos]]</f>
        <v>5709</v>
      </c>
      <c r="K314" s="57">
        <f>+Y314+AM314+BA314+BO314+BS_GC_MP_Vill[[#This Row],[Trenes Puntuales]]</f>
        <v>3609</v>
      </c>
      <c r="L314" s="16">
        <f t="shared" si="179"/>
        <v>2100</v>
      </c>
      <c r="M314" s="16"/>
      <c r="N314" s="16"/>
      <c r="O314" s="78">
        <v>2018</v>
      </c>
      <c r="P314" s="79" t="s">
        <v>44</v>
      </c>
      <c r="Q314" s="15">
        <f t="shared" si="153"/>
        <v>0.69017496635262454</v>
      </c>
      <c r="R314" s="15">
        <f t="shared" si="154"/>
        <v>0.80175109443402126</v>
      </c>
      <c r="S314" s="15">
        <f t="shared" si="155"/>
        <v>0.86083445491251687</v>
      </c>
      <c r="T314" s="16"/>
      <c r="U314" s="16"/>
      <c r="V314" s="16">
        <v>3715</v>
      </c>
      <c r="W314" s="16">
        <f t="shared" si="186"/>
        <v>517</v>
      </c>
      <c r="X314" s="16">
        <v>3198</v>
      </c>
      <c r="Y314" s="16">
        <v>2564</v>
      </c>
      <c r="Z314" s="16">
        <f t="shared" si="187"/>
        <v>634</v>
      </c>
      <c r="AA314" s="16"/>
      <c r="AB314" s="16"/>
      <c r="AC314" s="78">
        <v>2018</v>
      </c>
      <c r="AD314" s="79" t="s">
        <v>44</v>
      </c>
      <c r="AE314" s="15">
        <f t="shared" si="156"/>
        <v>0.60932944606413997</v>
      </c>
      <c r="AF314" s="15">
        <f t="shared" si="157"/>
        <v>0.69899665551839463</v>
      </c>
      <c r="AG314" s="15">
        <f t="shared" si="158"/>
        <v>0.8717201166180758</v>
      </c>
      <c r="AH314" s="16"/>
      <c r="AI314" s="16"/>
      <c r="AJ314" s="16">
        <v>1715</v>
      </c>
      <c r="AK314" s="16">
        <f t="shared" si="188"/>
        <v>220</v>
      </c>
      <c r="AL314" s="16">
        <v>1495</v>
      </c>
      <c r="AM314" s="16">
        <v>1045</v>
      </c>
      <c r="AN314" s="16">
        <f t="shared" si="189"/>
        <v>450</v>
      </c>
      <c r="AO314" s="16"/>
      <c r="AP314" s="16"/>
      <c r="AQ314" s="78">
        <v>2018</v>
      </c>
      <c r="AR314" s="79" t="s">
        <v>44</v>
      </c>
      <c r="AS314" s="15"/>
      <c r="AT314" s="15"/>
      <c r="AU314" s="15"/>
      <c r="AV314" s="15"/>
      <c r="AW314" s="15"/>
      <c r="AX314" s="16"/>
      <c r="AY314" s="16"/>
      <c r="AZ314" s="16"/>
      <c r="BA314" s="16"/>
      <c r="BB314" s="16"/>
      <c r="BC314" s="16"/>
      <c r="BD314" s="16"/>
      <c r="BE314" s="78">
        <v>2018</v>
      </c>
      <c r="BF314" s="79" t="s">
        <v>44</v>
      </c>
      <c r="BG314" s="15"/>
      <c r="BH314" s="15"/>
      <c r="BI314" s="15"/>
      <c r="BJ314" s="16"/>
      <c r="BK314" s="16"/>
      <c r="BL314" s="16"/>
      <c r="BM314" s="16"/>
      <c r="BN314" s="16">
        <v>1016</v>
      </c>
      <c r="BO314" s="16"/>
      <c r="BP314" s="16"/>
      <c r="BS314" s="78">
        <v>2018</v>
      </c>
      <c r="BT314" s="79" t="s">
        <v>44</v>
      </c>
      <c r="BU314" s="15"/>
      <c r="BV314" s="15"/>
      <c r="BW314" s="15"/>
      <c r="BX314" s="16"/>
      <c r="BY314" s="16"/>
      <c r="BZ314" s="16"/>
      <c r="CA314" s="16"/>
      <c r="CB314" s="16"/>
      <c r="CC314" s="16"/>
      <c r="CD314" s="16"/>
      <c r="CG314" s="78"/>
      <c r="CH314" s="79"/>
      <c r="CI314" s="15"/>
      <c r="CJ314" s="15"/>
      <c r="CK314" s="15"/>
      <c r="CL314" s="16"/>
      <c r="CM314" s="16"/>
      <c r="CN314" s="16"/>
      <c r="CO314" s="16"/>
      <c r="CP314" s="16"/>
      <c r="CQ314" s="16"/>
      <c r="CR314" s="16"/>
    </row>
    <row r="315" spans="1:96" s="18" customFormat="1" ht="15" customHeight="1">
      <c r="A315" s="80">
        <v>2018</v>
      </c>
      <c r="B315" s="81" t="s">
        <v>45</v>
      </c>
      <c r="C315" s="15">
        <f t="shared" si="150"/>
        <v>0.6186666666666667</v>
      </c>
      <c r="D315" s="15">
        <f t="shared" si="151"/>
        <v>0.71856287425149701</v>
      </c>
      <c r="E315" s="15">
        <f t="shared" si="152"/>
        <v>0.86097777777777773</v>
      </c>
      <c r="F315" s="57"/>
      <c r="G315" s="34"/>
      <c r="H315" s="57">
        <f>+V315+AJ315+AX315+BL315+BS_GC_MP_Vill[[#This Row],[Trenes Programados]]</f>
        <v>5625</v>
      </c>
      <c r="I315" s="16">
        <f t="shared" si="178"/>
        <v>782</v>
      </c>
      <c r="J315" s="57">
        <f>+X315+AL315+AZ315+BN315+BS_GC_MP_Vill[[#This Row],[Trenes Corridos]]</f>
        <v>4843</v>
      </c>
      <c r="K315" s="57">
        <f>+Y315+AM315+BA315+BO315+BS_GC_MP_Vill[[#This Row],[Trenes Puntuales]]</f>
        <v>3480</v>
      </c>
      <c r="L315" s="16">
        <f t="shared" si="179"/>
        <v>1363</v>
      </c>
      <c r="M315" s="16"/>
      <c r="N315" s="16"/>
      <c r="O315" s="80">
        <v>2018</v>
      </c>
      <c r="P315" s="81" t="s">
        <v>45</v>
      </c>
      <c r="Q315" s="15">
        <f t="shared" si="153"/>
        <v>0.65134994807891999</v>
      </c>
      <c r="R315" s="15">
        <f t="shared" si="154"/>
        <v>0.75300120048019203</v>
      </c>
      <c r="S315" s="15">
        <f t="shared" si="155"/>
        <v>0.86500519210799587</v>
      </c>
      <c r="T315" s="16"/>
      <c r="U315" s="16"/>
      <c r="V315" s="16">
        <v>3852</v>
      </c>
      <c r="W315" s="16">
        <f t="shared" si="186"/>
        <v>520</v>
      </c>
      <c r="X315" s="16">
        <v>3332</v>
      </c>
      <c r="Y315" s="16">
        <v>2509</v>
      </c>
      <c r="Z315" s="16">
        <f t="shared" si="187"/>
        <v>823</v>
      </c>
      <c r="AA315" s="16"/>
      <c r="AB315" s="16"/>
      <c r="AC315" s="80">
        <v>2018</v>
      </c>
      <c r="AD315" s="81" t="s">
        <v>45</v>
      </c>
      <c r="AE315" s="15">
        <f t="shared" si="156"/>
        <v>0.54765933446136494</v>
      </c>
      <c r="AF315" s="15">
        <f t="shared" si="157"/>
        <v>0.65299260255548086</v>
      </c>
      <c r="AG315" s="15">
        <f t="shared" si="158"/>
        <v>0.8386914833615341</v>
      </c>
      <c r="AH315" s="16"/>
      <c r="AI315" s="16"/>
      <c r="AJ315" s="16">
        <v>1773</v>
      </c>
      <c r="AK315" s="16">
        <f t="shared" si="188"/>
        <v>286</v>
      </c>
      <c r="AL315" s="16">
        <v>1487</v>
      </c>
      <c r="AM315" s="16">
        <v>971</v>
      </c>
      <c r="AN315" s="16">
        <f t="shared" si="189"/>
        <v>516</v>
      </c>
      <c r="AO315" s="16"/>
      <c r="AP315" s="16"/>
      <c r="AQ315" s="80">
        <v>2018</v>
      </c>
      <c r="AR315" s="81" t="s">
        <v>45</v>
      </c>
      <c r="AS315" s="15"/>
      <c r="AT315" s="15"/>
      <c r="AU315" s="15"/>
      <c r="AV315" s="15"/>
      <c r="AW315" s="15"/>
      <c r="AX315" s="16"/>
      <c r="AY315" s="16"/>
      <c r="AZ315" s="16"/>
      <c r="BA315" s="16"/>
      <c r="BB315" s="16"/>
      <c r="BC315" s="16"/>
      <c r="BD315" s="16"/>
      <c r="BE315" s="80">
        <v>2018</v>
      </c>
      <c r="BF315" s="81" t="s">
        <v>45</v>
      </c>
      <c r="BG315" s="15"/>
      <c r="BH315" s="15"/>
      <c r="BI315" s="15"/>
      <c r="BJ315" s="16"/>
      <c r="BK315" s="16"/>
      <c r="BL315" s="16"/>
      <c r="BM315" s="16"/>
      <c r="BN315" s="16">
        <v>24</v>
      </c>
      <c r="BO315" s="16"/>
      <c r="BP315" s="16"/>
      <c r="BS315" s="80">
        <v>2018</v>
      </c>
      <c r="BT315" s="81" t="s">
        <v>45</v>
      </c>
      <c r="BU315" s="15"/>
      <c r="BV315" s="15"/>
      <c r="BW315" s="15"/>
      <c r="BX315" s="16"/>
      <c r="BY315" s="16"/>
      <c r="BZ315" s="16"/>
      <c r="CA315" s="16"/>
      <c r="CB315" s="16"/>
      <c r="CC315" s="16"/>
      <c r="CD315" s="16"/>
      <c r="CG315" s="80"/>
      <c r="CH315" s="81"/>
      <c r="CI315" s="15"/>
      <c r="CJ315" s="15"/>
      <c r="CK315" s="15"/>
      <c r="CL315" s="16"/>
      <c r="CM315" s="16"/>
      <c r="CN315" s="16"/>
      <c r="CO315" s="16"/>
      <c r="CP315" s="16"/>
      <c r="CQ315" s="16"/>
      <c r="CR315" s="16"/>
    </row>
    <row r="316" spans="1:96" s="18" customFormat="1" ht="15" customHeight="1">
      <c r="A316" s="78">
        <v>2018</v>
      </c>
      <c r="B316" s="79" t="s">
        <v>46</v>
      </c>
      <c r="C316" s="15">
        <f t="shared" si="150"/>
        <v>0.54828030163693209</v>
      </c>
      <c r="D316" s="15">
        <f t="shared" si="151"/>
        <v>0.60442011354420111</v>
      </c>
      <c r="E316" s="15">
        <f t="shared" si="152"/>
        <v>0.90711789589847347</v>
      </c>
      <c r="F316" s="57"/>
      <c r="G316" s="34"/>
      <c r="H316" s="57">
        <f>+V316+AJ316+AX316+BL316+BS_GC_MP_Vill[[#This Row],[Trenes Programados]]</f>
        <v>5437</v>
      </c>
      <c r="I316" s="16">
        <f t="shared" si="178"/>
        <v>505</v>
      </c>
      <c r="J316" s="57">
        <f>+X316+AL316+AZ316+BN316+BS_GC_MP_Vill[[#This Row],[Trenes Corridos]]</f>
        <v>4932</v>
      </c>
      <c r="K316" s="57">
        <f>+Y316+AM316+BA316+BO316+BS_GC_MP_Vill[[#This Row],[Trenes Puntuales]]</f>
        <v>2981</v>
      </c>
      <c r="L316" s="16">
        <f t="shared" si="179"/>
        <v>1951</v>
      </c>
      <c r="M316" s="16"/>
      <c r="N316" s="16"/>
      <c r="O316" s="78">
        <v>2018</v>
      </c>
      <c r="P316" s="79" t="s">
        <v>46</v>
      </c>
      <c r="Q316" s="15">
        <f t="shared" si="153"/>
        <v>0.57227297152068779</v>
      </c>
      <c r="R316" s="15">
        <f t="shared" si="154"/>
        <v>0.70135001646361539</v>
      </c>
      <c r="S316" s="15">
        <f t="shared" si="155"/>
        <v>0.81595916174099947</v>
      </c>
      <c r="T316" s="16"/>
      <c r="U316" s="16"/>
      <c r="V316" s="16">
        <v>3722</v>
      </c>
      <c r="W316" s="16">
        <f t="shared" si="186"/>
        <v>685</v>
      </c>
      <c r="X316" s="16">
        <v>3037</v>
      </c>
      <c r="Y316" s="16">
        <v>2130</v>
      </c>
      <c r="Z316" s="16">
        <f t="shared" si="187"/>
        <v>907</v>
      </c>
      <c r="AA316" s="16"/>
      <c r="AB316" s="16"/>
      <c r="AC316" s="78">
        <v>2018</v>
      </c>
      <c r="AD316" s="79" t="s">
        <v>46</v>
      </c>
      <c r="AE316" s="15">
        <f t="shared" si="156"/>
        <v>0.49620991253644314</v>
      </c>
      <c r="AF316" s="15">
        <f t="shared" si="157"/>
        <v>0.60014104372355426</v>
      </c>
      <c r="AG316" s="15">
        <f t="shared" si="158"/>
        <v>0.82682215743440235</v>
      </c>
      <c r="AH316" s="16"/>
      <c r="AI316" s="16"/>
      <c r="AJ316" s="16">
        <v>1715</v>
      </c>
      <c r="AK316" s="16">
        <f t="shared" si="188"/>
        <v>297</v>
      </c>
      <c r="AL316" s="16">
        <v>1418</v>
      </c>
      <c r="AM316" s="16">
        <v>851</v>
      </c>
      <c r="AN316" s="16">
        <f t="shared" si="189"/>
        <v>567</v>
      </c>
      <c r="AO316" s="16"/>
      <c r="AP316" s="16"/>
      <c r="AQ316" s="78">
        <v>2018</v>
      </c>
      <c r="AR316" s="79" t="s">
        <v>46</v>
      </c>
      <c r="AS316" s="15"/>
      <c r="AT316" s="15"/>
      <c r="AU316" s="15"/>
      <c r="AV316" s="15"/>
      <c r="AW316" s="15"/>
      <c r="AX316" s="16"/>
      <c r="AY316" s="16"/>
      <c r="AZ316" s="16"/>
      <c r="BA316" s="16"/>
      <c r="BB316" s="16"/>
      <c r="BC316" s="16"/>
      <c r="BD316" s="16"/>
      <c r="BE316" s="78">
        <v>2018</v>
      </c>
      <c r="BF316" s="79" t="s">
        <v>46</v>
      </c>
      <c r="BG316" s="15"/>
      <c r="BH316" s="15"/>
      <c r="BI316" s="15"/>
      <c r="BJ316" s="16"/>
      <c r="BK316" s="16"/>
      <c r="BL316" s="16"/>
      <c r="BM316" s="16"/>
      <c r="BN316" s="16">
        <v>477</v>
      </c>
      <c r="BO316" s="16"/>
      <c r="BP316" s="16"/>
      <c r="BS316" s="78">
        <v>2018</v>
      </c>
      <c r="BT316" s="79" t="s">
        <v>46</v>
      </c>
      <c r="BU316" s="15"/>
      <c r="BV316" s="15"/>
      <c r="BW316" s="15"/>
      <c r="BX316" s="16"/>
      <c r="BY316" s="16"/>
      <c r="BZ316" s="16"/>
      <c r="CA316" s="16"/>
      <c r="CB316" s="16"/>
      <c r="CC316" s="16"/>
      <c r="CD316" s="16"/>
      <c r="CG316" s="78"/>
      <c r="CH316" s="79"/>
      <c r="CI316" s="15"/>
      <c r="CJ316" s="15"/>
      <c r="CK316" s="15"/>
      <c r="CL316" s="16"/>
      <c r="CM316" s="16"/>
      <c r="CN316" s="16"/>
      <c r="CO316" s="16"/>
      <c r="CP316" s="16"/>
      <c r="CQ316" s="16"/>
      <c r="CR316" s="16"/>
    </row>
    <row r="317" spans="1:96" s="18" customFormat="1" ht="15" customHeight="1">
      <c r="A317" s="80">
        <v>2018</v>
      </c>
      <c r="B317" s="81" t="s">
        <v>47</v>
      </c>
      <c r="C317" s="15">
        <f t="shared" si="150"/>
        <v>0.58202490525175965</v>
      </c>
      <c r="D317" s="15">
        <f t="shared" si="151"/>
        <v>0.58775287042099511</v>
      </c>
      <c r="E317" s="15">
        <f t="shared" si="152"/>
        <v>0.99025446670276118</v>
      </c>
      <c r="F317" s="57"/>
      <c r="G317" s="34"/>
      <c r="H317" s="57">
        <f>+V317+AJ317+AX317+BL317+BS_GC_MP_Vill[[#This Row],[Trenes Programados]]</f>
        <v>5541</v>
      </c>
      <c r="I317" s="16">
        <f t="shared" si="178"/>
        <v>54</v>
      </c>
      <c r="J317" s="57">
        <f>+X317+AL317+AZ317+BN317+BS_GC_MP_Vill[[#This Row],[Trenes Corridos]]</f>
        <v>5487</v>
      </c>
      <c r="K317" s="57">
        <f>+Y317+AM317+BA317+BO317+BS_GC_MP_Vill[[#This Row],[Trenes Puntuales]]</f>
        <v>3225</v>
      </c>
      <c r="L317" s="16">
        <f t="shared" si="179"/>
        <v>2262</v>
      </c>
      <c r="M317" s="16"/>
      <c r="N317" s="16"/>
      <c r="O317" s="80">
        <v>2018</v>
      </c>
      <c r="P317" s="81" t="s">
        <v>47</v>
      </c>
      <c r="Q317" s="15">
        <f t="shared" si="153"/>
        <v>0.61646373742721017</v>
      </c>
      <c r="R317" s="15">
        <f t="shared" si="154"/>
        <v>0.72645040548970685</v>
      </c>
      <c r="S317" s="15">
        <f t="shared" si="155"/>
        <v>0.84859714134462683</v>
      </c>
      <c r="T317" s="16"/>
      <c r="U317" s="16"/>
      <c r="V317" s="16">
        <v>3778</v>
      </c>
      <c r="W317" s="16">
        <f t="shared" si="186"/>
        <v>572</v>
      </c>
      <c r="X317" s="16">
        <v>3206</v>
      </c>
      <c r="Y317" s="16">
        <v>2329</v>
      </c>
      <c r="Z317" s="16">
        <f t="shared" si="187"/>
        <v>877</v>
      </c>
      <c r="AA317" s="16"/>
      <c r="AB317" s="16"/>
      <c r="AC317" s="80">
        <v>2018</v>
      </c>
      <c r="AD317" s="81" t="s">
        <v>47</v>
      </c>
      <c r="AE317" s="15">
        <f t="shared" si="156"/>
        <v>0.5082246171298922</v>
      </c>
      <c r="AF317" s="15">
        <f t="shared" si="157"/>
        <v>0.59973226238286481</v>
      </c>
      <c r="AG317" s="15">
        <f t="shared" si="158"/>
        <v>0.84741917186613724</v>
      </c>
      <c r="AH317" s="16"/>
      <c r="AI317" s="16"/>
      <c r="AJ317" s="16">
        <v>1763</v>
      </c>
      <c r="AK317" s="16">
        <f t="shared" si="188"/>
        <v>269</v>
      </c>
      <c r="AL317" s="16">
        <v>1494</v>
      </c>
      <c r="AM317" s="16">
        <v>896</v>
      </c>
      <c r="AN317" s="16">
        <f t="shared" si="189"/>
        <v>598</v>
      </c>
      <c r="AO317" s="16"/>
      <c r="AP317" s="16"/>
      <c r="AQ317" s="80">
        <v>2018</v>
      </c>
      <c r="AR317" s="81" t="s">
        <v>47</v>
      </c>
      <c r="AS317" s="15"/>
      <c r="AT317" s="15"/>
      <c r="AU317" s="15"/>
      <c r="AV317" s="15"/>
      <c r="AW317" s="15"/>
      <c r="AX317" s="16"/>
      <c r="AY317" s="16"/>
      <c r="AZ317" s="16"/>
      <c r="BA317" s="16"/>
      <c r="BB317" s="16"/>
      <c r="BC317" s="16"/>
      <c r="BD317" s="16"/>
      <c r="BE317" s="80">
        <v>2018</v>
      </c>
      <c r="BF317" s="81" t="s">
        <v>47</v>
      </c>
      <c r="BG317" s="15"/>
      <c r="BH317" s="15"/>
      <c r="BI317" s="15"/>
      <c r="BJ317" s="16"/>
      <c r="BK317" s="16"/>
      <c r="BL317" s="16"/>
      <c r="BM317" s="16"/>
      <c r="BN317" s="16">
        <v>787</v>
      </c>
      <c r="BO317" s="16"/>
      <c r="BP317" s="16"/>
      <c r="BS317" s="80">
        <v>2018</v>
      </c>
      <c r="BT317" s="81" t="s">
        <v>47</v>
      </c>
      <c r="BU317" s="15"/>
      <c r="BV317" s="15"/>
      <c r="BW317" s="15"/>
      <c r="BX317" s="16"/>
      <c r="BY317" s="16"/>
      <c r="BZ317" s="16"/>
      <c r="CA317" s="16"/>
      <c r="CB317" s="16"/>
      <c r="CC317" s="16"/>
      <c r="CD317" s="16"/>
      <c r="CG317" s="80"/>
      <c r="CH317" s="81"/>
      <c r="CI317" s="15"/>
      <c r="CJ317" s="15"/>
      <c r="CK317" s="15"/>
      <c r="CL317" s="16"/>
      <c r="CM317" s="16"/>
      <c r="CN317" s="16"/>
      <c r="CO317" s="16"/>
      <c r="CP317" s="16"/>
      <c r="CQ317" s="16"/>
      <c r="CR317" s="16"/>
    </row>
    <row r="318" spans="1:96" s="18" customFormat="1" ht="15" customHeight="1">
      <c r="A318" s="78">
        <v>2019</v>
      </c>
      <c r="B318" s="79" t="s">
        <v>36</v>
      </c>
      <c r="C318" s="15">
        <f t="shared" si="150"/>
        <v>0.7301333333333333</v>
      </c>
      <c r="D318" s="15">
        <f t="shared" si="151"/>
        <v>0.68851634534786255</v>
      </c>
      <c r="E318" s="15">
        <f t="shared" si="152"/>
        <v>1.0604444444444445</v>
      </c>
      <c r="F318" s="57"/>
      <c r="G318" s="34"/>
      <c r="H318" s="57">
        <f>+V318+AJ318+AX318+BL318+BS_GC_MP_Vill[[#This Row],[Trenes Programados]]</f>
        <v>5625</v>
      </c>
      <c r="I318" s="16">
        <f t="shared" si="178"/>
        <v>-340</v>
      </c>
      <c r="J318" s="57">
        <f>+X318+AL318+AZ318+BN318+BS_GC_MP_Vill[[#This Row],[Trenes Corridos]]</f>
        <v>5965</v>
      </c>
      <c r="K318" s="57">
        <f>+Y318+AM318+BA318+BO318+BS_GC_MP_Vill[[#This Row],[Trenes Puntuales]]</f>
        <v>4107</v>
      </c>
      <c r="L318" s="16">
        <f t="shared" si="179"/>
        <v>1858</v>
      </c>
      <c r="M318" s="16"/>
      <c r="N318" s="16"/>
      <c r="O318" s="78">
        <v>2019</v>
      </c>
      <c r="P318" s="79" t="s">
        <v>36</v>
      </c>
      <c r="Q318" s="15">
        <f t="shared" si="153"/>
        <v>0.75571131879543096</v>
      </c>
      <c r="R318" s="15">
        <f t="shared" si="154"/>
        <v>0.82816500711237551</v>
      </c>
      <c r="S318" s="15">
        <f t="shared" si="155"/>
        <v>0.91251298026998962</v>
      </c>
      <c r="T318" s="16"/>
      <c r="U318" s="16"/>
      <c r="V318" s="16">
        <v>3852</v>
      </c>
      <c r="W318" s="16">
        <f t="shared" ref="W318:W333" si="190">V318-X318</f>
        <v>337</v>
      </c>
      <c r="X318" s="16">
        <v>3515</v>
      </c>
      <c r="Y318" s="16">
        <v>2911</v>
      </c>
      <c r="Z318" s="16">
        <f t="shared" ref="Z318:Z333" si="191">X318-Y318</f>
        <v>604</v>
      </c>
      <c r="AA318" s="16"/>
      <c r="AB318" s="16"/>
      <c r="AC318" s="78">
        <v>2019</v>
      </c>
      <c r="AD318" s="79" t="s">
        <v>36</v>
      </c>
      <c r="AE318" s="15">
        <f t="shared" si="156"/>
        <v>0.67456288776085727</v>
      </c>
      <c r="AF318" s="15">
        <f t="shared" si="157"/>
        <v>0.73015873015873012</v>
      </c>
      <c r="AG318" s="15">
        <f t="shared" si="158"/>
        <v>0.92385786802030456</v>
      </c>
      <c r="AH318" s="16"/>
      <c r="AI318" s="16"/>
      <c r="AJ318" s="16">
        <v>1773</v>
      </c>
      <c r="AK318" s="16">
        <f t="shared" ref="AK318:AK333" si="192">AJ318-AL318</f>
        <v>135</v>
      </c>
      <c r="AL318" s="16">
        <v>1638</v>
      </c>
      <c r="AM318" s="16">
        <v>1196</v>
      </c>
      <c r="AN318" s="16">
        <f t="shared" ref="AN318:AN333" si="193">AL318-AM318</f>
        <v>442</v>
      </c>
      <c r="AO318" s="16"/>
      <c r="AP318" s="16"/>
      <c r="AQ318" s="78">
        <v>2019</v>
      </c>
      <c r="AR318" s="79" t="s">
        <v>36</v>
      </c>
      <c r="AS318" s="15"/>
      <c r="AT318" s="15"/>
      <c r="AU318" s="15"/>
      <c r="AV318" s="15"/>
      <c r="AW318" s="15"/>
      <c r="AX318" s="16"/>
      <c r="AY318" s="16"/>
      <c r="AZ318" s="16"/>
      <c r="BA318" s="16"/>
      <c r="BB318" s="16"/>
      <c r="BC318" s="16"/>
      <c r="BD318" s="16"/>
      <c r="BE318" s="78">
        <v>2019</v>
      </c>
      <c r="BF318" s="79" t="s">
        <v>36</v>
      </c>
      <c r="BG318" s="15"/>
      <c r="BH318" s="15"/>
      <c r="BI318" s="15"/>
      <c r="BJ318" s="16"/>
      <c r="BK318" s="16"/>
      <c r="BL318" s="16"/>
      <c r="BM318" s="16"/>
      <c r="BN318" s="16">
        <v>812</v>
      </c>
      <c r="BO318" s="16"/>
      <c r="BP318" s="16"/>
      <c r="BS318" s="78">
        <v>2019</v>
      </c>
      <c r="BT318" s="79" t="s">
        <v>36</v>
      </c>
      <c r="BU318" s="15"/>
      <c r="BV318" s="15"/>
      <c r="BW318" s="15"/>
      <c r="BX318" s="16"/>
      <c r="BY318" s="16"/>
      <c r="BZ318" s="16"/>
      <c r="CA318" s="16"/>
      <c r="CB318" s="16"/>
      <c r="CC318" s="16"/>
      <c r="CD318" s="16"/>
      <c r="CG318" s="78"/>
      <c r="CH318" s="79"/>
      <c r="CI318" s="15"/>
      <c r="CJ318" s="15"/>
      <c r="CK318" s="15"/>
      <c r="CL318" s="16"/>
      <c r="CM318" s="16"/>
      <c r="CN318" s="16"/>
      <c r="CO318" s="16"/>
      <c r="CP318" s="16"/>
      <c r="CQ318" s="16"/>
      <c r="CR318" s="16"/>
    </row>
    <row r="319" spans="1:96" s="18" customFormat="1" ht="15" customHeight="1">
      <c r="A319" s="80">
        <v>2019</v>
      </c>
      <c r="B319" s="81" t="s">
        <v>37</v>
      </c>
      <c r="C319" s="15">
        <f t="shared" si="150"/>
        <v>0.7140894819466248</v>
      </c>
      <c r="D319" s="15">
        <f t="shared" si="151"/>
        <v>0.69459820576445885</v>
      </c>
      <c r="E319" s="15">
        <f t="shared" si="152"/>
        <v>1.028061224489796</v>
      </c>
      <c r="F319" s="57"/>
      <c r="G319" s="34"/>
      <c r="H319" s="57">
        <f>+V319+AJ319+AX319+BL319+BS_GC_MP_Vill[[#This Row],[Trenes Programados]]</f>
        <v>5096</v>
      </c>
      <c r="I319" s="16">
        <f t="shared" si="178"/>
        <v>-143</v>
      </c>
      <c r="J319" s="57">
        <f>+X319+AL319+AZ319+BN319+BS_GC_MP_Vill[[#This Row],[Trenes Corridos]]</f>
        <v>5239</v>
      </c>
      <c r="K319" s="57">
        <f>+Y319+AM319+BA319+BO319+BS_GC_MP_Vill[[#This Row],[Trenes Puntuales]]</f>
        <v>3639</v>
      </c>
      <c r="L319" s="16">
        <f t="shared" si="179"/>
        <v>1600</v>
      </c>
      <c r="M319" s="16"/>
      <c r="N319" s="16"/>
      <c r="O319" s="80">
        <v>2019</v>
      </c>
      <c r="P319" s="81" t="s">
        <v>37</v>
      </c>
      <c r="Q319" s="15">
        <f t="shared" si="153"/>
        <v>0.73367697594501713</v>
      </c>
      <c r="R319" s="15">
        <f t="shared" si="154"/>
        <v>0.83479960899315742</v>
      </c>
      <c r="S319" s="15">
        <f t="shared" si="155"/>
        <v>0.87886597938144329</v>
      </c>
      <c r="T319" s="16"/>
      <c r="U319" s="16"/>
      <c r="V319" s="16">
        <v>3492</v>
      </c>
      <c r="W319" s="16">
        <f t="shared" si="190"/>
        <v>423</v>
      </c>
      <c r="X319" s="16">
        <v>3069</v>
      </c>
      <c r="Y319" s="16">
        <v>2562</v>
      </c>
      <c r="Z319" s="16">
        <f t="shared" si="191"/>
        <v>507</v>
      </c>
      <c r="AA319" s="16"/>
      <c r="AB319" s="16"/>
      <c r="AC319" s="80">
        <v>2019</v>
      </c>
      <c r="AD319" s="81" t="s">
        <v>37</v>
      </c>
      <c r="AE319" s="15">
        <f t="shared" si="156"/>
        <v>0.6714463840399002</v>
      </c>
      <c r="AF319" s="15">
        <f t="shared" si="157"/>
        <v>0.78100072516316166</v>
      </c>
      <c r="AG319" s="15">
        <f t="shared" si="158"/>
        <v>0.85972568578553621</v>
      </c>
      <c r="AH319" s="16"/>
      <c r="AI319" s="16"/>
      <c r="AJ319" s="16">
        <v>1604</v>
      </c>
      <c r="AK319" s="16">
        <f t="shared" si="192"/>
        <v>225</v>
      </c>
      <c r="AL319" s="16">
        <v>1379</v>
      </c>
      <c r="AM319" s="16">
        <v>1077</v>
      </c>
      <c r="AN319" s="16">
        <f t="shared" si="193"/>
        <v>302</v>
      </c>
      <c r="AO319" s="16"/>
      <c r="AP319" s="16"/>
      <c r="AQ319" s="80"/>
      <c r="AR319" s="81"/>
      <c r="AS319" s="15"/>
      <c r="AT319" s="15"/>
      <c r="AU319" s="15"/>
      <c r="AV319" s="15"/>
      <c r="AW319" s="15"/>
      <c r="AX319" s="16"/>
      <c r="AY319" s="16"/>
      <c r="AZ319" s="16"/>
      <c r="BA319" s="16"/>
      <c r="BB319" s="16"/>
      <c r="BC319" s="16"/>
      <c r="BD319" s="16"/>
      <c r="BE319" s="80">
        <v>2019</v>
      </c>
      <c r="BF319" s="81" t="s">
        <v>37</v>
      </c>
      <c r="BG319" s="15"/>
      <c r="BH319" s="15"/>
      <c r="BI319" s="15"/>
      <c r="BJ319" s="16"/>
      <c r="BK319" s="16"/>
      <c r="BL319" s="16"/>
      <c r="BM319" s="16"/>
      <c r="BN319" s="16">
        <v>791</v>
      </c>
      <c r="BO319" s="16"/>
      <c r="BP319" s="16"/>
      <c r="BS319" s="80">
        <v>2019</v>
      </c>
      <c r="BT319" s="81" t="s">
        <v>37</v>
      </c>
      <c r="BU319" s="15"/>
      <c r="BV319" s="15"/>
      <c r="BW319" s="15"/>
      <c r="BX319" s="16"/>
      <c r="BY319" s="16"/>
      <c r="BZ319" s="16"/>
      <c r="CA319" s="16"/>
      <c r="CB319" s="16"/>
      <c r="CC319" s="16"/>
      <c r="CD319" s="16"/>
      <c r="CG319" s="80"/>
      <c r="CH319" s="81"/>
      <c r="CI319" s="15"/>
      <c r="CJ319" s="15"/>
      <c r="CK319" s="15"/>
      <c r="CL319" s="16"/>
      <c r="CM319" s="16"/>
      <c r="CN319" s="16"/>
      <c r="CO319" s="16"/>
      <c r="CP319" s="16"/>
      <c r="CQ319" s="16"/>
      <c r="CR319" s="16"/>
    </row>
    <row r="320" spans="1:96" s="18" customFormat="1" ht="15" customHeight="1">
      <c r="A320" s="78">
        <v>2019</v>
      </c>
      <c r="B320" s="79" t="s">
        <v>38</v>
      </c>
      <c r="C320" s="15">
        <f t="shared" si="150"/>
        <v>0.72985553772070622</v>
      </c>
      <c r="D320" s="15">
        <f t="shared" si="151"/>
        <v>0.80095120662321651</v>
      </c>
      <c r="E320" s="15">
        <f t="shared" si="152"/>
        <v>0.91123595505617982</v>
      </c>
      <c r="F320" s="57"/>
      <c r="G320" s="34"/>
      <c r="H320" s="57">
        <f>+V320+AJ320+AX320+BL320+BS_GC_MP_Vill[[#This Row],[Trenes Programados]]</f>
        <v>6230</v>
      </c>
      <c r="I320" s="16">
        <f t="shared" si="178"/>
        <v>553</v>
      </c>
      <c r="J320" s="57">
        <f>+X320+AL320+AZ320+BN320+BS_GC_MP_Vill[[#This Row],[Trenes Corridos]]</f>
        <v>5677</v>
      </c>
      <c r="K320" s="57">
        <f>+Y320+AM320+BA320+BO320+BS_GC_MP_Vill[[#This Row],[Trenes Puntuales]]</f>
        <v>4547</v>
      </c>
      <c r="L320" s="16">
        <f t="shared" si="179"/>
        <v>1130</v>
      </c>
      <c r="M320" s="16"/>
      <c r="N320" s="16"/>
      <c r="O320" s="78">
        <v>2019</v>
      </c>
      <c r="P320" s="79" t="s">
        <v>38</v>
      </c>
      <c r="Q320" s="15">
        <f t="shared" si="153"/>
        <v>0.71040594625500286</v>
      </c>
      <c r="R320" s="15">
        <f t="shared" si="154"/>
        <v>0.78341740226986134</v>
      </c>
      <c r="S320" s="15">
        <f t="shared" si="155"/>
        <v>0.90680388793596345</v>
      </c>
      <c r="T320" s="16"/>
      <c r="U320" s="16"/>
      <c r="V320" s="16">
        <v>3498</v>
      </c>
      <c r="W320" s="16">
        <f t="shared" si="190"/>
        <v>326</v>
      </c>
      <c r="X320" s="16">
        <v>3172</v>
      </c>
      <c r="Y320" s="16">
        <v>2485</v>
      </c>
      <c r="Z320" s="16">
        <f t="shared" si="191"/>
        <v>687</v>
      </c>
      <c r="AA320" s="16"/>
      <c r="AB320" s="16"/>
      <c r="AC320" s="78">
        <v>2019</v>
      </c>
      <c r="AD320" s="79" t="s">
        <v>38</v>
      </c>
      <c r="AE320" s="15">
        <f t="shared" si="156"/>
        <v>0.64823815309842037</v>
      </c>
      <c r="AF320" s="15">
        <f t="shared" si="157"/>
        <v>0.73535492763611299</v>
      </c>
      <c r="AG320" s="15">
        <f t="shared" si="158"/>
        <v>0.88153098420413123</v>
      </c>
      <c r="AH320" s="16"/>
      <c r="AI320" s="16"/>
      <c r="AJ320" s="16">
        <v>1646</v>
      </c>
      <c r="AK320" s="16">
        <f t="shared" si="192"/>
        <v>195</v>
      </c>
      <c r="AL320" s="16">
        <v>1451</v>
      </c>
      <c r="AM320" s="16">
        <v>1067</v>
      </c>
      <c r="AN320" s="16">
        <f t="shared" si="193"/>
        <v>384</v>
      </c>
      <c r="AO320" s="16"/>
      <c r="AP320" s="16"/>
      <c r="AQ320" s="78"/>
      <c r="AR320" s="79"/>
      <c r="AS320" s="15"/>
      <c r="AT320" s="15"/>
      <c r="AU320" s="15"/>
      <c r="AV320" s="15"/>
      <c r="AW320" s="15"/>
      <c r="AX320" s="16"/>
      <c r="AY320" s="16"/>
      <c r="AZ320" s="16"/>
      <c r="BA320" s="16"/>
      <c r="BB320" s="16"/>
      <c r="BC320" s="16"/>
      <c r="BD320" s="16"/>
      <c r="BE320" s="78">
        <v>2019</v>
      </c>
      <c r="BF320" s="79" t="s">
        <v>38</v>
      </c>
      <c r="BG320" s="15">
        <f t="shared" ref="BG320:BG326" si="194">BO320/BL320</f>
        <v>0.91620626151012896</v>
      </c>
      <c r="BH320" s="15">
        <f t="shared" ref="BH320:BH326" si="195">BO320/BN320</f>
        <v>0.94402277039848193</v>
      </c>
      <c r="BI320" s="15">
        <f t="shared" ref="BI320:BI326" si="196">BN320/BL320</f>
        <v>0.97053406998158376</v>
      </c>
      <c r="BJ320" s="16"/>
      <c r="BK320" s="16"/>
      <c r="BL320" s="16">
        <v>1086</v>
      </c>
      <c r="BM320" s="16">
        <f t="shared" ref="BM320:BM332" si="197">BL320-BN320</f>
        <v>32</v>
      </c>
      <c r="BN320" s="16">
        <v>1054</v>
      </c>
      <c r="BO320" s="16">
        <v>995</v>
      </c>
      <c r="BP320" s="16">
        <f t="shared" ref="BP320:BP332" si="198">BN320-BO320</f>
        <v>59</v>
      </c>
      <c r="BQ320" s="18" t="s">
        <v>76</v>
      </c>
      <c r="BS320" s="78">
        <v>2019</v>
      </c>
      <c r="BT320" s="79" t="s">
        <v>38</v>
      </c>
      <c r="BU320" s="15"/>
      <c r="BV320" s="15"/>
      <c r="BW320" s="15"/>
      <c r="BX320" s="16"/>
      <c r="BY320" s="16"/>
      <c r="BZ320" s="16"/>
      <c r="CA320" s="16"/>
      <c r="CB320" s="16"/>
      <c r="CC320" s="16"/>
      <c r="CD320" s="16"/>
      <c r="CG320" s="78"/>
      <c r="CH320" s="79"/>
      <c r="CI320" s="15"/>
      <c r="CJ320" s="15"/>
      <c r="CK320" s="15"/>
      <c r="CL320" s="16"/>
      <c r="CM320" s="16"/>
      <c r="CN320" s="16"/>
      <c r="CO320" s="16"/>
      <c r="CP320" s="16"/>
      <c r="CQ320" s="16"/>
      <c r="CR320" s="16"/>
    </row>
    <row r="321" spans="1:96" s="18" customFormat="1" ht="15" customHeight="1">
      <c r="A321" s="80">
        <v>2019</v>
      </c>
      <c r="B321" s="81" t="s">
        <v>39</v>
      </c>
      <c r="C321" s="15">
        <f t="shared" si="150"/>
        <v>0.88731466227347611</v>
      </c>
      <c r="D321" s="15">
        <f t="shared" si="151"/>
        <v>0.92622527944969901</v>
      </c>
      <c r="E321" s="15">
        <f t="shared" si="152"/>
        <v>0.95799011532125211</v>
      </c>
      <c r="F321" s="57"/>
      <c r="G321" s="34"/>
      <c r="H321" s="57">
        <f>+V321+AJ321+AX321+BL321+BS_GC_MP_Vill[[#This Row],[Trenes Programados]]</f>
        <v>6070</v>
      </c>
      <c r="I321" s="16">
        <f t="shared" si="178"/>
        <v>255</v>
      </c>
      <c r="J321" s="57">
        <f>+X321+AL321+AZ321+BN321+BS_GC_MP_Vill[[#This Row],[Trenes Corridos]]</f>
        <v>5815</v>
      </c>
      <c r="K321" s="57">
        <f>+Y321+AM321+BA321+BO321+BS_GC_MP_Vill[[#This Row],[Trenes Puntuales]]</f>
        <v>5386</v>
      </c>
      <c r="L321" s="16">
        <f t="shared" si="179"/>
        <v>429</v>
      </c>
      <c r="M321" s="16"/>
      <c r="N321" s="16"/>
      <c r="O321" s="80">
        <v>2019</v>
      </c>
      <c r="P321" s="81" t="s">
        <v>39</v>
      </c>
      <c r="Q321" s="15">
        <f t="shared" si="153"/>
        <v>0.88145539906103287</v>
      </c>
      <c r="R321" s="15">
        <f t="shared" si="154"/>
        <v>0.92402337742233154</v>
      </c>
      <c r="S321" s="15">
        <f t="shared" si="155"/>
        <v>0.95393192488262912</v>
      </c>
      <c r="T321" s="16"/>
      <c r="U321" s="16"/>
      <c r="V321" s="16">
        <v>3408</v>
      </c>
      <c r="W321" s="16">
        <f t="shared" si="190"/>
        <v>157</v>
      </c>
      <c r="X321" s="16">
        <v>3251</v>
      </c>
      <c r="Y321" s="16">
        <v>3004</v>
      </c>
      <c r="Z321" s="16">
        <f t="shared" si="191"/>
        <v>247</v>
      </c>
      <c r="AA321" s="16"/>
      <c r="AB321" s="16"/>
      <c r="AC321" s="80">
        <v>2019</v>
      </c>
      <c r="AD321" s="81" t="s">
        <v>39</v>
      </c>
      <c r="AE321" s="15">
        <f t="shared" si="156"/>
        <v>0.84711779448621549</v>
      </c>
      <c r="AF321" s="15">
        <f t="shared" si="157"/>
        <v>0.89477167438782268</v>
      </c>
      <c r="AG321" s="15">
        <f t="shared" si="158"/>
        <v>0.94674185463659144</v>
      </c>
      <c r="AH321" s="16"/>
      <c r="AI321" s="16"/>
      <c r="AJ321" s="16">
        <v>1596</v>
      </c>
      <c r="AK321" s="16">
        <f t="shared" si="192"/>
        <v>85</v>
      </c>
      <c r="AL321" s="16">
        <v>1511</v>
      </c>
      <c r="AM321" s="16">
        <v>1352</v>
      </c>
      <c r="AN321" s="16">
        <f t="shared" si="193"/>
        <v>159</v>
      </c>
      <c r="AO321" s="16"/>
      <c r="AP321" s="16"/>
      <c r="AQ321" s="80"/>
      <c r="AR321" s="81"/>
      <c r="AS321" s="15"/>
      <c r="AT321" s="15"/>
      <c r="AU321" s="15"/>
      <c r="AV321" s="15"/>
      <c r="AW321" s="15"/>
      <c r="AX321" s="16"/>
      <c r="AY321" s="16"/>
      <c r="AZ321" s="16"/>
      <c r="BA321" s="16"/>
      <c r="BB321" s="16"/>
      <c r="BC321" s="16"/>
      <c r="BD321" s="16"/>
      <c r="BE321" s="80">
        <v>2019</v>
      </c>
      <c r="BF321" s="81" t="s">
        <v>39</v>
      </c>
      <c r="BG321" s="15">
        <f t="shared" si="194"/>
        <v>0.9662288930581614</v>
      </c>
      <c r="BH321" s="15">
        <f t="shared" si="195"/>
        <v>0.97815764482431145</v>
      </c>
      <c r="BI321" s="15">
        <f t="shared" si="196"/>
        <v>0.98780487804878048</v>
      </c>
      <c r="BJ321" s="16"/>
      <c r="BK321" s="16"/>
      <c r="BL321" s="16">
        <v>1066</v>
      </c>
      <c r="BM321" s="16">
        <f t="shared" si="197"/>
        <v>13</v>
      </c>
      <c r="BN321" s="16">
        <v>1053</v>
      </c>
      <c r="BO321" s="16">
        <v>1030</v>
      </c>
      <c r="BP321" s="16">
        <f t="shared" si="198"/>
        <v>23</v>
      </c>
      <c r="BS321" s="80">
        <v>2019</v>
      </c>
      <c r="BT321" s="81" t="s">
        <v>39</v>
      </c>
      <c r="BU321" s="15"/>
      <c r="BV321" s="15"/>
      <c r="BW321" s="15"/>
      <c r="BX321" s="16"/>
      <c r="BY321" s="16"/>
      <c r="BZ321" s="16"/>
      <c r="CA321" s="16"/>
      <c r="CB321" s="16"/>
      <c r="CC321" s="16"/>
      <c r="CD321" s="16"/>
      <c r="CG321" s="80"/>
      <c r="CH321" s="81"/>
      <c r="CI321" s="15"/>
      <c r="CJ321" s="15"/>
      <c r="CK321" s="15"/>
      <c r="CL321" s="16"/>
      <c r="CM321" s="16"/>
      <c r="CN321" s="16"/>
      <c r="CO321" s="16"/>
      <c r="CP321" s="16"/>
      <c r="CQ321" s="16"/>
      <c r="CR321" s="16"/>
    </row>
    <row r="322" spans="1:96" s="18" customFormat="1" ht="15" customHeight="1">
      <c r="A322" s="78">
        <v>2019</v>
      </c>
      <c r="B322" s="79" t="s">
        <v>40</v>
      </c>
      <c r="C322" s="15">
        <f t="shared" si="150"/>
        <v>0.83784208870714061</v>
      </c>
      <c r="D322" s="15">
        <f t="shared" si="151"/>
        <v>0.90687776642832818</v>
      </c>
      <c r="E322" s="15">
        <f t="shared" si="152"/>
        <v>0.92387543252595161</v>
      </c>
      <c r="F322" s="57"/>
      <c r="G322" s="34"/>
      <c r="H322" s="57">
        <f>+V322+AJ322+AX322+BL322+BS_GC_MP_Vill[[#This Row],[Trenes Programados]]</f>
        <v>6358</v>
      </c>
      <c r="I322" s="16">
        <f t="shared" si="178"/>
        <v>484</v>
      </c>
      <c r="J322" s="57">
        <f>+X322+AL322+AZ322+BN322+BS_GC_MP_Vill[[#This Row],[Trenes Corridos]]</f>
        <v>5874</v>
      </c>
      <c r="K322" s="57">
        <f>+Y322+AM322+BA322+BO322+BS_GC_MP_Vill[[#This Row],[Trenes Puntuales]]</f>
        <v>5327</v>
      </c>
      <c r="L322" s="16">
        <f t="shared" si="179"/>
        <v>547</v>
      </c>
      <c r="M322" s="16"/>
      <c r="N322" s="16"/>
      <c r="O322" s="78">
        <v>2019</v>
      </c>
      <c r="P322" s="79" t="s">
        <v>40</v>
      </c>
      <c r="Q322" s="15">
        <f t="shared" si="153"/>
        <v>0.84552616769836808</v>
      </c>
      <c r="R322" s="15">
        <f t="shared" si="154"/>
        <v>0.91532135242156565</v>
      </c>
      <c r="S322" s="15">
        <f t="shared" si="155"/>
        <v>0.92374788970174448</v>
      </c>
      <c r="T322" s="16"/>
      <c r="U322" s="16"/>
      <c r="V322" s="16">
        <v>3554</v>
      </c>
      <c r="W322" s="16">
        <f t="shared" si="190"/>
        <v>271</v>
      </c>
      <c r="X322" s="16">
        <v>3283</v>
      </c>
      <c r="Y322" s="16">
        <v>3005</v>
      </c>
      <c r="Z322" s="16">
        <f t="shared" si="191"/>
        <v>278</v>
      </c>
      <c r="AA322" s="16"/>
      <c r="AB322" s="16"/>
      <c r="AC322" s="78">
        <v>2019</v>
      </c>
      <c r="AD322" s="79" t="s">
        <v>40</v>
      </c>
      <c r="AE322" s="15">
        <f t="shared" si="156"/>
        <v>0.78121212121212125</v>
      </c>
      <c r="AF322" s="15">
        <f t="shared" si="157"/>
        <v>0.85194976867151351</v>
      </c>
      <c r="AG322" s="15">
        <f t="shared" si="158"/>
        <v>0.91696969696969699</v>
      </c>
      <c r="AH322" s="16"/>
      <c r="AI322" s="16"/>
      <c r="AJ322" s="16">
        <v>1650</v>
      </c>
      <c r="AK322" s="16">
        <f t="shared" si="192"/>
        <v>137</v>
      </c>
      <c r="AL322" s="16">
        <v>1513</v>
      </c>
      <c r="AM322" s="16">
        <v>1289</v>
      </c>
      <c r="AN322" s="16">
        <f t="shared" si="193"/>
        <v>224</v>
      </c>
      <c r="AO322" s="16"/>
      <c r="AP322" s="16"/>
      <c r="AQ322" s="78"/>
      <c r="AR322" s="79"/>
      <c r="AS322" s="15"/>
      <c r="AT322" s="15"/>
      <c r="AU322" s="15"/>
      <c r="AV322" s="15"/>
      <c r="AW322" s="15"/>
      <c r="AX322" s="16"/>
      <c r="AY322" s="16"/>
      <c r="AZ322" s="16"/>
      <c r="BA322" s="16"/>
      <c r="BB322" s="16"/>
      <c r="BC322" s="16"/>
      <c r="BD322" s="16"/>
      <c r="BE322" s="78">
        <v>2019</v>
      </c>
      <c r="BF322" s="79" t="s">
        <v>40</v>
      </c>
      <c r="BG322" s="15">
        <f t="shared" si="194"/>
        <v>0.8951473136915078</v>
      </c>
      <c r="BH322" s="15">
        <f t="shared" si="195"/>
        <v>0.95825602968460111</v>
      </c>
      <c r="BI322" s="15">
        <f t="shared" si="196"/>
        <v>0.9341421143847487</v>
      </c>
      <c r="BJ322" s="16"/>
      <c r="BK322" s="16"/>
      <c r="BL322" s="16">
        <v>1154</v>
      </c>
      <c r="BM322" s="16">
        <f t="shared" si="197"/>
        <v>76</v>
      </c>
      <c r="BN322" s="16">
        <v>1078</v>
      </c>
      <c r="BO322" s="16">
        <v>1033</v>
      </c>
      <c r="BP322" s="16">
        <f t="shared" si="198"/>
        <v>45</v>
      </c>
      <c r="BS322" s="78">
        <v>2019</v>
      </c>
      <c r="BT322" s="79" t="s">
        <v>40</v>
      </c>
      <c r="BU322" s="15"/>
      <c r="BV322" s="15"/>
      <c r="BW322" s="15"/>
      <c r="BX322" s="16"/>
      <c r="BY322" s="16"/>
      <c r="BZ322" s="16"/>
      <c r="CA322" s="16"/>
      <c r="CB322" s="16"/>
      <c r="CC322" s="16"/>
      <c r="CD322" s="16"/>
      <c r="CG322" s="78"/>
      <c r="CH322" s="79"/>
      <c r="CI322" s="15"/>
      <c r="CJ322" s="15"/>
      <c r="CK322" s="15"/>
      <c r="CL322" s="16"/>
      <c r="CM322" s="16"/>
      <c r="CN322" s="16"/>
      <c r="CO322" s="16"/>
      <c r="CP322" s="16"/>
      <c r="CQ322" s="16"/>
      <c r="CR322" s="16"/>
    </row>
    <row r="323" spans="1:96" s="18" customFormat="1" ht="15" customHeight="1">
      <c r="A323" s="80">
        <v>2019</v>
      </c>
      <c r="B323" s="81" t="s">
        <v>41</v>
      </c>
      <c r="C323" s="15">
        <f t="shared" si="150"/>
        <v>0.8667221297836939</v>
      </c>
      <c r="D323" s="15">
        <f t="shared" si="151"/>
        <v>0.93451740222461432</v>
      </c>
      <c r="E323" s="15">
        <f t="shared" si="152"/>
        <v>0.92745424292845258</v>
      </c>
      <c r="F323" s="57"/>
      <c r="G323" s="34"/>
      <c r="H323" s="57">
        <f>+V323+AJ323+AX323+BL323+BS_GC_MP_Vill[[#This Row],[Trenes Programados]]</f>
        <v>6010</v>
      </c>
      <c r="I323" s="16">
        <f t="shared" si="178"/>
        <v>436</v>
      </c>
      <c r="J323" s="57">
        <f>+X323+AL323+AZ323+BN323+BS_GC_MP_Vill[[#This Row],[Trenes Corridos]]</f>
        <v>5574</v>
      </c>
      <c r="K323" s="57">
        <f>+Y323+AM323+BA323+BO323+BS_GC_MP_Vill[[#This Row],[Trenes Puntuales]]</f>
        <v>5209</v>
      </c>
      <c r="L323" s="16">
        <f t="shared" si="179"/>
        <v>365</v>
      </c>
      <c r="M323" s="16"/>
      <c r="N323" s="16"/>
      <c r="O323" s="80">
        <v>2019</v>
      </c>
      <c r="P323" s="81" t="s">
        <v>41</v>
      </c>
      <c r="Q323" s="15">
        <f t="shared" si="153"/>
        <v>0.86611374407582942</v>
      </c>
      <c r="R323" s="15">
        <f t="shared" si="154"/>
        <v>0.93958868894601544</v>
      </c>
      <c r="S323" s="15">
        <f t="shared" si="155"/>
        <v>0.9218009478672986</v>
      </c>
      <c r="T323" s="16"/>
      <c r="U323" s="16"/>
      <c r="V323" s="16">
        <v>3376</v>
      </c>
      <c r="W323" s="16">
        <f t="shared" si="190"/>
        <v>264</v>
      </c>
      <c r="X323" s="16">
        <v>3112</v>
      </c>
      <c r="Y323" s="16">
        <v>2924</v>
      </c>
      <c r="Z323" s="16">
        <f t="shared" si="191"/>
        <v>188</v>
      </c>
      <c r="AA323" s="16"/>
      <c r="AB323" s="16"/>
      <c r="AC323" s="80">
        <v>2019</v>
      </c>
      <c r="AD323" s="81" t="s">
        <v>41</v>
      </c>
      <c r="AE323" s="15">
        <f t="shared" si="156"/>
        <v>0.80904522613065322</v>
      </c>
      <c r="AF323" s="15">
        <f t="shared" si="157"/>
        <v>0.89011748445058747</v>
      </c>
      <c r="AG323" s="15">
        <f t="shared" si="158"/>
        <v>0.9089195979899497</v>
      </c>
      <c r="AH323" s="16"/>
      <c r="AI323" s="16"/>
      <c r="AJ323" s="16">
        <v>1592</v>
      </c>
      <c r="AK323" s="16">
        <f t="shared" si="192"/>
        <v>145</v>
      </c>
      <c r="AL323" s="16">
        <v>1447</v>
      </c>
      <c r="AM323" s="16">
        <v>1288</v>
      </c>
      <c r="AN323" s="16">
        <f t="shared" si="193"/>
        <v>159</v>
      </c>
      <c r="AO323" s="16"/>
      <c r="AP323" s="16"/>
      <c r="AQ323" s="80"/>
      <c r="AR323" s="81"/>
      <c r="AS323" s="15"/>
      <c r="AT323" s="15"/>
      <c r="AU323" s="15"/>
      <c r="AV323" s="15"/>
      <c r="AW323" s="15"/>
      <c r="AX323" s="16"/>
      <c r="AY323" s="16"/>
      <c r="AZ323" s="16"/>
      <c r="BA323" s="16"/>
      <c r="BB323" s="16"/>
      <c r="BC323" s="16"/>
      <c r="BD323" s="16"/>
      <c r="BE323" s="80">
        <v>2019</v>
      </c>
      <c r="BF323" s="81" t="s">
        <v>41</v>
      </c>
      <c r="BG323" s="15">
        <f t="shared" si="194"/>
        <v>0.95681381957773515</v>
      </c>
      <c r="BH323" s="15">
        <f t="shared" si="195"/>
        <v>0.98226600985221679</v>
      </c>
      <c r="BI323" s="15">
        <f t="shared" si="196"/>
        <v>0.97408829174664102</v>
      </c>
      <c r="BJ323" s="16"/>
      <c r="BK323" s="16"/>
      <c r="BL323" s="16">
        <v>1042</v>
      </c>
      <c r="BM323" s="16">
        <f t="shared" si="197"/>
        <v>27</v>
      </c>
      <c r="BN323" s="16">
        <v>1015</v>
      </c>
      <c r="BO323" s="16">
        <v>997</v>
      </c>
      <c r="BP323" s="16">
        <f t="shared" si="198"/>
        <v>18</v>
      </c>
      <c r="BS323" s="80">
        <v>2019</v>
      </c>
      <c r="BT323" s="81" t="s">
        <v>41</v>
      </c>
      <c r="BU323" s="15"/>
      <c r="BV323" s="15"/>
      <c r="BW323" s="15"/>
      <c r="BX323" s="16"/>
      <c r="BY323" s="16"/>
      <c r="BZ323" s="16"/>
      <c r="CA323" s="16"/>
      <c r="CB323" s="16"/>
      <c r="CC323" s="16"/>
      <c r="CD323" s="16"/>
      <c r="CG323" s="80"/>
      <c r="CH323" s="81"/>
      <c r="CI323" s="15"/>
      <c r="CJ323" s="15"/>
      <c r="CK323" s="15"/>
      <c r="CL323" s="16"/>
      <c r="CM323" s="16"/>
      <c r="CN323" s="16"/>
      <c r="CO323" s="16"/>
      <c r="CP323" s="16"/>
      <c r="CQ323" s="16"/>
      <c r="CR323" s="16"/>
    </row>
    <row r="324" spans="1:96" s="18" customFormat="1" ht="15" customHeight="1">
      <c r="A324" s="78">
        <v>2019</v>
      </c>
      <c r="B324" s="79" t="s">
        <v>42</v>
      </c>
      <c r="C324" s="15">
        <f t="shared" si="150"/>
        <v>0.84188976377952751</v>
      </c>
      <c r="D324" s="15">
        <f t="shared" si="151"/>
        <v>0.90121375590020225</v>
      </c>
      <c r="E324" s="15">
        <f t="shared" si="152"/>
        <v>0.93417322834645666</v>
      </c>
      <c r="F324" s="57">
        <f>+T324+AH324+AV324+BJ324+BX324</f>
        <v>220</v>
      </c>
      <c r="G324"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4.6281186783546868</v>
      </c>
      <c r="H324" s="57">
        <f>+V324+AJ324+AX324+BL324+BS_GC_MP_Vill[[#This Row],[Trenes Programados]]</f>
        <v>6350</v>
      </c>
      <c r="I324" s="16">
        <f t="shared" si="178"/>
        <v>418</v>
      </c>
      <c r="J324" s="57">
        <f>+X324+AL324+AZ324+BN324+BS_GC_MP_Vill[[#This Row],[Trenes Corridos]]</f>
        <v>5932</v>
      </c>
      <c r="K324" s="57">
        <f>+Y324+AM324+BA324+BO324+BS_GC_MP_Vill[[#This Row],[Trenes Puntuales]]</f>
        <v>5346</v>
      </c>
      <c r="L324" s="16">
        <f t="shared" si="179"/>
        <v>586</v>
      </c>
      <c r="M324" s="16"/>
      <c r="N324" s="16"/>
      <c r="O324" s="78">
        <v>2019</v>
      </c>
      <c r="P324" s="79" t="s">
        <v>42</v>
      </c>
      <c r="Q324" s="15">
        <f t="shared" si="153"/>
        <v>0.83829309376754635</v>
      </c>
      <c r="R324" s="15">
        <f t="shared" si="154"/>
        <v>0.89939759036144573</v>
      </c>
      <c r="S324" s="15">
        <f t="shared" si="155"/>
        <v>0.93206064008983713</v>
      </c>
      <c r="T324" s="16">
        <v>122</v>
      </c>
      <c r="U324" s="16">
        <v>5</v>
      </c>
      <c r="V324" s="16">
        <v>3562</v>
      </c>
      <c r="W324" s="16">
        <f t="shared" si="190"/>
        <v>242</v>
      </c>
      <c r="X324" s="16">
        <v>3320</v>
      </c>
      <c r="Y324" s="16">
        <v>2986</v>
      </c>
      <c r="Z324" s="16">
        <f t="shared" si="191"/>
        <v>334</v>
      </c>
      <c r="AA324" s="16"/>
      <c r="AB324" s="16"/>
      <c r="AC324" s="78">
        <v>2019</v>
      </c>
      <c r="AD324" s="79" t="s">
        <v>42</v>
      </c>
      <c r="AE324" s="15">
        <f t="shared" si="156"/>
        <v>0.77992744860943164</v>
      </c>
      <c r="AF324" s="15">
        <f t="shared" si="157"/>
        <v>0.85487077534791256</v>
      </c>
      <c r="AG324" s="15">
        <f t="shared" si="158"/>
        <v>0.9123337363966143</v>
      </c>
      <c r="AH324" s="16">
        <v>54</v>
      </c>
      <c r="AI324" s="16">
        <v>5</v>
      </c>
      <c r="AJ324" s="16">
        <v>1654</v>
      </c>
      <c r="AK324" s="16">
        <f t="shared" si="192"/>
        <v>145</v>
      </c>
      <c r="AL324" s="16">
        <v>1509</v>
      </c>
      <c r="AM324" s="16">
        <v>1290</v>
      </c>
      <c r="AN324" s="16">
        <f t="shared" si="193"/>
        <v>219</v>
      </c>
      <c r="AO324" s="16"/>
      <c r="AP324" s="16"/>
      <c r="AQ324" s="78"/>
      <c r="AR324" s="79"/>
      <c r="AS324" s="15"/>
      <c r="AT324" s="15"/>
      <c r="AU324" s="15"/>
      <c r="AV324" s="15"/>
      <c r="AW324" s="15"/>
      <c r="AX324" s="16"/>
      <c r="AY324" s="16"/>
      <c r="AZ324" s="16"/>
      <c r="BA324" s="16"/>
      <c r="BB324" s="16"/>
      <c r="BC324" s="16"/>
      <c r="BD324" s="16"/>
      <c r="BE324" s="78">
        <v>2019</v>
      </c>
      <c r="BF324" s="79" t="s">
        <v>42</v>
      </c>
      <c r="BG324" s="15">
        <f t="shared" si="194"/>
        <v>0.9435626102292769</v>
      </c>
      <c r="BH324" s="15">
        <f t="shared" si="195"/>
        <v>0.97008159564823204</v>
      </c>
      <c r="BI324" s="15">
        <f t="shared" si="196"/>
        <v>0.97266313932980597</v>
      </c>
      <c r="BJ324" s="16">
        <v>44</v>
      </c>
      <c r="BK324" s="16">
        <v>3</v>
      </c>
      <c r="BL324" s="16">
        <v>1134</v>
      </c>
      <c r="BM324" s="16">
        <f t="shared" si="197"/>
        <v>31</v>
      </c>
      <c r="BN324" s="16">
        <v>1103</v>
      </c>
      <c r="BO324" s="16">
        <v>1070</v>
      </c>
      <c r="BP324" s="16">
        <f t="shared" si="198"/>
        <v>33</v>
      </c>
      <c r="BS324" s="78">
        <v>2019</v>
      </c>
      <c r="BT324" s="79" t="s">
        <v>42</v>
      </c>
      <c r="BU324" s="15"/>
      <c r="BV324" s="15"/>
      <c r="BW324" s="15"/>
      <c r="BX324" s="16"/>
      <c r="BY324" s="16"/>
      <c r="BZ324" s="16"/>
      <c r="CA324" s="16"/>
      <c r="CB324" s="16"/>
      <c r="CC324" s="16"/>
      <c r="CD324" s="16"/>
      <c r="CG324" s="78"/>
      <c r="CH324" s="79"/>
      <c r="CI324" s="15"/>
      <c r="CJ324" s="15"/>
      <c r="CK324" s="15"/>
      <c r="CL324" s="16"/>
      <c r="CM324" s="16"/>
      <c r="CN324" s="16"/>
      <c r="CO324" s="16"/>
      <c r="CP324" s="16"/>
      <c r="CQ324" s="16"/>
      <c r="CR324" s="16"/>
    </row>
    <row r="325" spans="1:96" s="18" customFormat="1" ht="15" customHeight="1">
      <c r="A325" s="80">
        <v>2019</v>
      </c>
      <c r="B325" s="81" t="s">
        <v>43</v>
      </c>
      <c r="C325" s="15">
        <f t="shared" si="150"/>
        <v>0.88944881889763783</v>
      </c>
      <c r="D325" s="15">
        <f t="shared" si="151"/>
        <v>0.93078444297956497</v>
      </c>
      <c r="E325" s="15">
        <f t="shared" si="152"/>
        <v>0.95559055118110237</v>
      </c>
      <c r="F325" s="57">
        <f>+T325+AH325+AV325+BJ325+BX325</f>
        <v>220</v>
      </c>
      <c r="G325"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4.6321687541199736</v>
      </c>
      <c r="H325" s="57">
        <f>+V325+AJ325+AX325+BL325+BS_GC_MP_Vill[[#This Row],[Trenes Programados]]</f>
        <v>6350</v>
      </c>
      <c r="I325" s="16">
        <f t="shared" si="178"/>
        <v>282</v>
      </c>
      <c r="J325" s="57">
        <f>+X325+AL325+AZ325+BN325+BS_GC_MP_Vill[[#This Row],[Trenes Corridos]]</f>
        <v>6068</v>
      </c>
      <c r="K325" s="57">
        <f>+Y325+AM325+BA325+BO325+BS_GC_MP_Vill[[#This Row],[Trenes Puntuales]]</f>
        <v>5648</v>
      </c>
      <c r="L325" s="16">
        <f t="shared" si="179"/>
        <v>420</v>
      </c>
      <c r="M325" s="16"/>
      <c r="N325" s="16"/>
      <c r="O325" s="80">
        <v>2019</v>
      </c>
      <c r="P325" s="81" t="s">
        <v>43</v>
      </c>
      <c r="Q325" s="15">
        <f t="shared" si="153"/>
        <v>0.88826501965188098</v>
      </c>
      <c r="R325" s="15">
        <f t="shared" si="154"/>
        <v>0.93141006770680013</v>
      </c>
      <c r="S325" s="15">
        <f t="shared" si="155"/>
        <v>0.95367770915216166</v>
      </c>
      <c r="T325" s="16">
        <v>122</v>
      </c>
      <c r="U325" s="16">
        <v>5</v>
      </c>
      <c r="V325" s="16">
        <v>3562</v>
      </c>
      <c r="W325" s="16">
        <f t="shared" si="190"/>
        <v>165</v>
      </c>
      <c r="X325" s="16">
        <v>3397</v>
      </c>
      <c r="Y325" s="16">
        <v>3164</v>
      </c>
      <c r="Z325" s="16">
        <f t="shared" si="191"/>
        <v>233</v>
      </c>
      <c r="AA325" s="16"/>
      <c r="AB325" s="16"/>
      <c r="AC325" s="80">
        <v>2019</v>
      </c>
      <c r="AD325" s="81" t="s">
        <v>43</v>
      </c>
      <c r="AE325" s="15">
        <f t="shared" si="156"/>
        <v>0.83675937122128174</v>
      </c>
      <c r="AF325" s="15">
        <f t="shared" si="157"/>
        <v>0.89003215434083605</v>
      </c>
      <c r="AG325" s="15">
        <f t="shared" si="158"/>
        <v>0.94014510278113661</v>
      </c>
      <c r="AH325" s="16">
        <v>54</v>
      </c>
      <c r="AI325" s="16">
        <v>5</v>
      </c>
      <c r="AJ325" s="16">
        <v>1654</v>
      </c>
      <c r="AK325" s="16">
        <f t="shared" si="192"/>
        <v>99</v>
      </c>
      <c r="AL325" s="16">
        <v>1555</v>
      </c>
      <c r="AM325" s="16">
        <v>1384</v>
      </c>
      <c r="AN325" s="16">
        <f t="shared" si="193"/>
        <v>171</v>
      </c>
      <c r="AO325" s="16"/>
      <c r="AP325" s="16"/>
      <c r="AQ325" s="80"/>
      <c r="AR325" s="81"/>
      <c r="AS325" s="15"/>
      <c r="AT325" s="15"/>
      <c r="AU325" s="15"/>
      <c r="AV325" s="15"/>
      <c r="AW325" s="15"/>
      <c r="AX325" s="16"/>
      <c r="AY325" s="16"/>
      <c r="AZ325" s="16"/>
      <c r="BA325" s="16"/>
      <c r="BB325" s="16"/>
      <c r="BC325" s="16"/>
      <c r="BD325" s="16"/>
      <c r="BE325" s="80">
        <v>2019</v>
      </c>
      <c r="BF325" s="81" t="s">
        <v>43</v>
      </c>
      <c r="BG325" s="15">
        <f t="shared" si="194"/>
        <v>0.9700176366843033</v>
      </c>
      <c r="BH325" s="15">
        <f t="shared" si="195"/>
        <v>0.98566308243727596</v>
      </c>
      <c r="BI325" s="15">
        <f t="shared" si="196"/>
        <v>0.98412698412698407</v>
      </c>
      <c r="BJ325" s="16">
        <v>44</v>
      </c>
      <c r="BK325" s="16">
        <v>3</v>
      </c>
      <c r="BL325" s="16">
        <v>1134</v>
      </c>
      <c r="BM325" s="16">
        <f t="shared" si="197"/>
        <v>18</v>
      </c>
      <c r="BN325" s="16">
        <v>1116</v>
      </c>
      <c r="BO325" s="16">
        <v>1100</v>
      </c>
      <c r="BP325" s="16">
        <f t="shared" si="198"/>
        <v>16</v>
      </c>
      <c r="BS325" s="80">
        <v>2019</v>
      </c>
      <c r="BT325" s="81" t="s">
        <v>43</v>
      </c>
      <c r="BU325" s="15"/>
      <c r="BV325" s="15"/>
      <c r="BW325" s="15"/>
      <c r="BX325" s="16"/>
      <c r="BY325" s="16"/>
      <c r="BZ325" s="16"/>
      <c r="CA325" s="16"/>
      <c r="CB325" s="16"/>
      <c r="CC325" s="16"/>
      <c r="CD325" s="16"/>
      <c r="CG325" s="80"/>
      <c r="CH325" s="81"/>
      <c r="CI325" s="15"/>
      <c r="CJ325" s="15"/>
      <c r="CK325" s="15"/>
      <c r="CL325" s="16"/>
      <c r="CM325" s="16"/>
      <c r="CN325" s="16"/>
      <c r="CO325" s="16"/>
      <c r="CP325" s="16"/>
      <c r="CQ325" s="16"/>
      <c r="CR325" s="16"/>
    </row>
    <row r="326" spans="1:96" s="18" customFormat="1" ht="15" customHeight="1">
      <c r="A326" s="78">
        <v>2019</v>
      </c>
      <c r="B326" s="79" t="s">
        <v>44</v>
      </c>
      <c r="C326" s="15">
        <f t="shared" si="150"/>
        <v>0.92439974042829332</v>
      </c>
      <c r="D326" s="15">
        <f t="shared" si="151"/>
        <v>0.94150693985459355</v>
      </c>
      <c r="E326" s="15">
        <f t="shared" si="152"/>
        <v>0.981829980532122</v>
      </c>
      <c r="F326" s="57">
        <f t="shared" ref="F326:F368" si="199">+T326+AH326+AV326+BJ326+BX326</f>
        <v>220</v>
      </c>
      <c r="G326"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4.6374752148050229</v>
      </c>
      <c r="H326" s="57">
        <f>+V326+AJ326+AX326+BL326+BS_GC_MP_Vill[[#This Row],[Trenes Programados]]</f>
        <v>6164</v>
      </c>
      <c r="I326" s="16">
        <f t="shared" si="178"/>
        <v>112</v>
      </c>
      <c r="J326" s="57">
        <f>+X326+AL326+AZ326+BN326+BS_GC_MP_Vill[[#This Row],[Trenes Corridos]]</f>
        <v>6052</v>
      </c>
      <c r="K326" s="57">
        <f>+Y326+AM326+BA326+BO326+BS_GC_MP_Vill[[#This Row],[Trenes Puntuales]]</f>
        <v>5698</v>
      </c>
      <c r="L326" s="16">
        <f t="shared" si="179"/>
        <v>354</v>
      </c>
      <c r="M326" s="16"/>
      <c r="N326" s="16"/>
      <c r="O326" s="78">
        <v>2019</v>
      </c>
      <c r="P326" s="79" t="s">
        <v>44</v>
      </c>
      <c r="Q326" s="15">
        <f t="shared" si="153"/>
        <v>0.921784472769409</v>
      </c>
      <c r="R326" s="15">
        <f t="shared" si="154"/>
        <v>0.93781314470969646</v>
      </c>
      <c r="S326" s="15">
        <f t="shared" si="155"/>
        <v>0.98290845886442646</v>
      </c>
      <c r="T326" s="16">
        <v>122</v>
      </c>
      <c r="U326" s="16">
        <v>5</v>
      </c>
      <c r="V326" s="16">
        <v>3452</v>
      </c>
      <c r="W326" s="16">
        <f t="shared" si="190"/>
        <v>59</v>
      </c>
      <c r="X326" s="16">
        <v>3393</v>
      </c>
      <c r="Y326" s="16">
        <v>3182</v>
      </c>
      <c r="Z326" s="16">
        <f t="shared" si="191"/>
        <v>211</v>
      </c>
      <c r="AA326" s="16"/>
      <c r="AB326" s="16"/>
      <c r="AC326" s="78">
        <v>2019</v>
      </c>
      <c r="AD326" s="79" t="s">
        <v>44</v>
      </c>
      <c r="AE326" s="15">
        <f t="shared" si="156"/>
        <v>0.89437500000000003</v>
      </c>
      <c r="AF326" s="15">
        <f t="shared" si="157"/>
        <v>0.91613316261203581</v>
      </c>
      <c r="AG326" s="15">
        <f t="shared" si="158"/>
        <v>0.97624999999999995</v>
      </c>
      <c r="AH326" s="16">
        <v>54</v>
      </c>
      <c r="AI326" s="16">
        <v>5</v>
      </c>
      <c r="AJ326" s="16">
        <v>1600</v>
      </c>
      <c r="AK326" s="16">
        <f t="shared" si="192"/>
        <v>38</v>
      </c>
      <c r="AL326" s="16">
        <v>1562</v>
      </c>
      <c r="AM326" s="16">
        <v>1431</v>
      </c>
      <c r="AN326" s="16">
        <f t="shared" si="193"/>
        <v>131</v>
      </c>
      <c r="AO326" s="16"/>
      <c r="AP326" s="16"/>
      <c r="AQ326" s="78"/>
      <c r="AR326" s="79"/>
      <c r="AS326" s="15"/>
      <c r="AT326" s="15"/>
      <c r="AU326" s="15"/>
      <c r="AV326" s="15"/>
      <c r="AW326" s="15"/>
      <c r="AX326" s="16"/>
      <c r="AY326" s="16"/>
      <c r="AZ326" s="16"/>
      <c r="BA326" s="16"/>
      <c r="BB326" s="16"/>
      <c r="BC326" s="16"/>
      <c r="BD326" s="16"/>
      <c r="BE326" s="78">
        <v>2019</v>
      </c>
      <c r="BF326" s="79" t="s">
        <v>44</v>
      </c>
      <c r="BG326" s="15">
        <f t="shared" si="194"/>
        <v>0.97571942446043169</v>
      </c>
      <c r="BH326" s="15">
        <f t="shared" si="195"/>
        <v>0.9890610756608933</v>
      </c>
      <c r="BI326" s="15">
        <f t="shared" si="196"/>
        <v>0.98651079136690645</v>
      </c>
      <c r="BJ326" s="16">
        <v>44</v>
      </c>
      <c r="BK326" s="16">
        <v>3</v>
      </c>
      <c r="BL326" s="16">
        <v>1112</v>
      </c>
      <c r="BM326" s="16">
        <f t="shared" si="197"/>
        <v>15</v>
      </c>
      <c r="BN326" s="16">
        <v>1097</v>
      </c>
      <c r="BO326" s="16">
        <v>1085</v>
      </c>
      <c r="BP326" s="16">
        <f t="shared" si="198"/>
        <v>12</v>
      </c>
      <c r="BS326" s="78">
        <v>2019</v>
      </c>
      <c r="BT326" s="79" t="s">
        <v>44</v>
      </c>
      <c r="BU326" s="15"/>
      <c r="BV326" s="15"/>
      <c r="BW326" s="15"/>
      <c r="BX326" s="16"/>
      <c r="BY326" s="16"/>
      <c r="BZ326" s="16"/>
      <c r="CA326" s="16"/>
      <c r="CB326" s="16"/>
      <c r="CC326" s="16"/>
      <c r="CD326" s="16"/>
      <c r="CG326" s="78"/>
      <c r="CH326" s="79"/>
      <c r="CI326" s="15"/>
      <c r="CJ326" s="15"/>
      <c r="CK326" s="15"/>
      <c r="CL326" s="16"/>
      <c r="CM326" s="16"/>
      <c r="CN326" s="16"/>
      <c r="CO326" s="16"/>
      <c r="CP326" s="16"/>
      <c r="CQ326" s="16"/>
      <c r="CR326" s="16"/>
    </row>
    <row r="327" spans="1:96" s="18" customFormat="1" ht="15" customHeight="1">
      <c r="A327" s="80">
        <v>2019</v>
      </c>
      <c r="B327" s="81" t="s">
        <v>45</v>
      </c>
      <c r="C327" s="15">
        <f t="shared" ref="C327:C333" si="200">K327/H327</f>
        <v>0.91306390977443608</v>
      </c>
      <c r="D327" s="15">
        <f t="shared" ref="D327:D333" si="201">K327/J327</f>
        <v>0.93910101498308363</v>
      </c>
      <c r="E327" s="15">
        <f t="shared" ref="E327:E333" si="202">J327/H327</f>
        <v>0.97227443609022557</v>
      </c>
      <c r="F327" s="57">
        <f t="shared" si="199"/>
        <v>220</v>
      </c>
      <c r="G327"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4.6307394876752053</v>
      </c>
      <c r="H327" s="57">
        <f>+V327+AJ327+AX327+BL327+BS_GC_MP_Vill[[#This Row],[Trenes Programados]]</f>
        <v>6384</v>
      </c>
      <c r="I327" s="16">
        <f t="shared" si="178"/>
        <v>177</v>
      </c>
      <c r="J327" s="57">
        <f>+X327+AL327+AZ327+BN327+BS_GC_MP_Vill[[#This Row],[Trenes Corridos]]</f>
        <v>6207</v>
      </c>
      <c r="K327" s="57">
        <f>+Y327+AM327+BA327+BO327+BS_GC_MP_Vill[[#This Row],[Trenes Puntuales]]</f>
        <v>5829</v>
      </c>
      <c r="L327" s="16">
        <f t="shared" si="179"/>
        <v>378</v>
      </c>
      <c r="M327" s="16"/>
      <c r="N327" s="16"/>
      <c r="O327" s="80">
        <v>2019</v>
      </c>
      <c r="P327" s="81" t="s">
        <v>45</v>
      </c>
      <c r="Q327" s="15">
        <f t="shared" ref="Q327:Q333" si="203">Y327/V327</f>
        <v>0.90151091214325685</v>
      </c>
      <c r="R327" s="15">
        <f t="shared" ref="R327:R333" si="204">Y327/X327</f>
        <v>0.93364242248623586</v>
      </c>
      <c r="S327" s="15">
        <f t="shared" ref="S327:S333" si="205">X327/V327</f>
        <v>0.9655847789591494</v>
      </c>
      <c r="T327" s="16">
        <v>122</v>
      </c>
      <c r="U327" s="16">
        <v>5</v>
      </c>
      <c r="V327" s="16">
        <v>3574</v>
      </c>
      <c r="W327" s="16">
        <f t="shared" si="190"/>
        <v>123</v>
      </c>
      <c r="X327" s="16">
        <v>3451</v>
      </c>
      <c r="Y327" s="16">
        <v>3222</v>
      </c>
      <c r="Z327" s="16">
        <f t="shared" si="191"/>
        <v>229</v>
      </c>
      <c r="AA327" s="16"/>
      <c r="AB327" s="16"/>
      <c r="AC327" s="80">
        <v>2019</v>
      </c>
      <c r="AD327" s="81" t="s">
        <v>45</v>
      </c>
      <c r="AE327" s="15">
        <f t="shared" ref="AE327:AE333" si="206">AM327/AJ327</f>
        <v>0.89177750906892383</v>
      </c>
      <c r="AF327" s="15">
        <f t="shared" ref="AF327:AF333" si="207">AM327/AL327</f>
        <v>0.91614906832298137</v>
      </c>
      <c r="AG327" s="15">
        <f t="shared" ref="AG327:AG333" si="208">AL327/AJ327</f>
        <v>0.97339782345828296</v>
      </c>
      <c r="AH327" s="16">
        <v>54</v>
      </c>
      <c r="AI327" s="16">
        <v>5</v>
      </c>
      <c r="AJ327" s="16">
        <v>1654</v>
      </c>
      <c r="AK327" s="16">
        <f t="shared" si="192"/>
        <v>44</v>
      </c>
      <c r="AL327" s="16">
        <v>1610</v>
      </c>
      <c r="AM327" s="16">
        <v>1475</v>
      </c>
      <c r="AN327" s="16">
        <f t="shared" si="193"/>
        <v>135</v>
      </c>
      <c r="AO327" s="16"/>
      <c r="AP327" s="16"/>
      <c r="AQ327" s="80"/>
      <c r="AR327" s="81"/>
      <c r="AS327" s="15"/>
      <c r="AT327" s="15"/>
      <c r="AU327" s="15"/>
      <c r="AV327" s="15"/>
      <c r="AW327" s="15"/>
      <c r="AX327" s="16"/>
      <c r="AY327" s="16"/>
      <c r="AZ327" s="16"/>
      <c r="BA327" s="16"/>
      <c r="BB327" s="16"/>
      <c r="BC327" s="16"/>
      <c r="BD327" s="16"/>
      <c r="BE327" s="80">
        <v>2019</v>
      </c>
      <c r="BF327" s="81" t="s">
        <v>45</v>
      </c>
      <c r="BG327" s="15">
        <f t="shared" ref="BG327:BG332" si="209">BO327/BL327</f>
        <v>0.97923875432525953</v>
      </c>
      <c r="BH327" s="15">
        <f t="shared" ref="BH327:BH332" si="210">BO327/BN327</f>
        <v>0.98778359511343805</v>
      </c>
      <c r="BI327" s="15">
        <f t="shared" ref="BI327:BI332" si="211">BN327/BL327</f>
        <v>0.99134948096885811</v>
      </c>
      <c r="BJ327" s="16">
        <v>44</v>
      </c>
      <c r="BK327" s="16">
        <v>3</v>
      </c>
      <c r="BL327" s="16">
        <v>1156</v>
      </c>
      <c r="BM327" s="16">
        <f t="shared" si="197"/>
        <v>10</v>
      </c>
      <c r="BN327" s="16">
        <v>1146</v>
      </c>
      <c r="BO327" s="16">
        <v>1132</v>
      </c>
      <c r="BP327" s="16">
        <f t="shared" si="198"/>
        <v>14</v>
      </c>
      <c r="BS327" s="80">
        <v>2019</v>
      </c>
      <c r="BT327" s="81" t="s">
        <v>45</v>
      </c>
      <c r="BU327" s="15"/>
      <c r="BV327" s="15"/>
      <c r="BW327" s="15"/>
      <c r="BX327" s="16"/>
      <c r="BY327" s="16"/>
      <c r="BZ327" s="16"/>
      <c r="CA327" s="16"/>
      <c r="CB327" s="16"/>
      <c r="CC327" s="16"/>
      <c r="CD327" s="16"/>
      <c r="CG327" s="80"/>
      <c r="CH327" s="81"/>
      <c r="CI327" s="15"/>
      <c r="CJ327" s="15"/>
      <c r="CK327" s="15"/>
      <c r="CL327" s="16"/>
      <c r="CM327" s="16"/>
      <c r="CN327" s="16"/>
      <c r="CO327" s="16"/>
      <c r="CP327" s="16"/>
      <c r="CQ327" s="16"/>
      <c r="CR327" s="16"/>
    </row>
    <row r="328" spans="1:96" s="18" customFormat="1" ht="15" customHeight="1">
      <c r="A328" s="78">
        <v>2019</v>
      </c>
      <c r="B328" s="79" t="s">
        <v>46</v>
      </c>
      <c r="C328" s="15">
        <f t="shared" si="200"/>
        <v>0.83898858075040783</v>
      </c>
      <c r="D328" s="15">
        <f t="shared" si="201"/>
        <v>0.86787040161997975</v>
      </c>
      <c r="E328" s="15">
        <f t="shared" si="202"/>
        <v>0.96672104404567705</v>
      </c>
      <c r="F328" s="57">
        <f t="shared" si="199"/>
        <v>220</v>
      </c>
      <c r="G328"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4.64326695916301</v>
      </c>
      <c r="H328" s="57">
        <f>+V328+AJ328+AX328+BL328+BS_GC_MP_Vill[[#This Row],[Trenes Programados]]</f>
        <v>6130</v>
      </c>
      <c r="I328" s="16">
        <f t="shared" si="178"/>
        <v>204</v>
      </c>
      <c r="J328" s="57">
        <f>+X328+AL328+AZ328+BN328+BS_GC_MP_Vill[[#This Row],[Trenes Corridos]]</f>
        <v>5926</v>
      </c>
      <c r="K328" s="57">
        <f>+Y328+AM328+BA328+BO328+BS_GC_MP_Vill[[#This Row],[Trenes Puntuales]]</f>
        <v>5143</v>
      </c>
      <c r="L328" s="16">
        <f t="shared" si="179"/>
        <v>783</v>
      </c>
      <c r="M328" s="16"/>
      <c r="N328" s="16"/>
      <c r="O328" s="78">
        <v>2019</v>
      </c>
      <c r="P328" s="79" t="s">
        <v>46</v>
      </c>
      <c r="Q328" s="15">
        <f t="shared" si="203"/>
        <v>0.82761627906976742</v>
      </c>
      <c r="R328" s="15">
        <f t="shared" si="204"/>
        <v>0.85908267954133977</v>
      </c>
      <c r="S328" s="15">
        <f t="shared" si="205"/>
        <v>0.96337209302325577</v>
      </c>
      <c r="T328" s="16">
        <v>122</v>
      </c>
      <c r="U328" s="16">
        <v>5</v>
      </c>
      <c r="V328" s="16">
        <v>3440</v>
      </c>
      <c r="W328" s="16">
        <f t="shared" si="190"/>
        <v>126</v>
      </c>
      <c r="X328" s="16">
        <v>3314</v>
      </c>
      <c r="Y328" s="16">
        <v>2847</v>
      </c>
      <c r="Z328" s="16">
        <f t="shared" si="191"/>
        <v>467</v>
      </c>
      <c r="AA328" s="16"/>
      <c r="AB328" s="16"/>
      <c r="AC328" s="78">
        <v>2019</v>
      </c>
      <c r="AD328" s="79" t="s">
        <v>46</v>
      </c>
      <c r="AE328" s="15">
        <f t="shared" si="206"/>
        <v>0.78749999999999998</v>
      </c>
      <c r="AF328" s="15">
        <f t="shared" si="207"/>
        <v>0.81028938906752412</v>
      </c>
      <c r="AG328" s="15">
        <f t="shared" si="208"/>
        <v>0.97187500000000004</v>
      </c>
      <c r="AH328" s="16">
        <v>54</v>
      </c>
      <c r="AI328" s="16">
        <v>5</v>
      </c>
      <c r="AJ328" s="16">
        <v>1600</v>
      </c>
      <c r="AK328" s="16">
        <f t="shared" si="192"/>
        <v>45</v>
      </c>
      <c r="AL328" s="16">
        <v>1555</v>
      </c>
      <c r="AM328" s="16">
        <v>1260</v>
      </c>
      <c r="AN328" s="16">
        <f t="shared" si="193"/>
        <v>295</v>
      </c>
      <c r="AO328" s="16"/>
      <c r="AP328" s="16"/>
      <c r="AQ328" s="78"/>
      <c r="AR328" s="79"/>
      <c r="AS328" s="15"/>
      <c r="AT328" s="15"/>
      <c r="AU328" s="15"/>
      <c r="AV328" s="15"/>
      <c r="AW328" s="15"/>
      <c r="AX328" s="16"/>
      <c r="AY328" s="16"/>
      <c r="AZ328" s="16"/>
      <c r="BA328" s="16"/>
      <c r="BB328" s="16"/>
      <c r="BC328" s="16"/>
      <c r="BD328" s="16"/>
      <c r="BE328" s="78">
        <v>2019</v>
      </c>
      <c r="BF328" s="79" t="s">
        <v>46</v>
      </c>
      <c r="BG328" s="15">
        <f t="shared" si="209"/>
        <v>0.95045871559633033</v>
      </c>
      <c r="BH328" s="15">
        <f t="shared" si="210"/>
        <v>0.98013245033112584</v>
      </c>
      <c r="BI328" s="15">
        <f t="shared" si="211"/>
        <v>0.96972477064220186</v>
      </c>
      <c r="BJ328" s="16">
        <v>44</v>
      </c>
      <c r="BK328" s="16">
        <v>3</v>
      </c>
      <c r="BL328" s="16">
        <v>1090</v>
      </c>
      <c r="BM328" s="16">
        <f t="shared" si="197"/>
        <v>33</v>
      </c>
      <c r="BN328" s="16">
        <v>1057</v>
      </c>
      <c r="BO328" s="16">
        <v>1036</v>
      </c>
      <c r="BP328" s="16">
        <f t="shared" si="198"/>
        <v>21</v>
      </c>
      <c r="BS328" s="78">
        <v>2019</v>
      </c>
      <c r="BT328" s="79" t="s">
        <v>46</v>
      </c>
      <c r="BU328" s="15"/>
      <c r="BV328" s="15"/>
      <c r="BW328" s="15"/>
      <c r="BX328" s="16"/>
      <c r="BY328" s="16"/>
      <c r="BZ328" s="16"/>
      <c r="CA328" s="16"/>
      <c r="CB328" s="16"/>
      <c r="CC328" s="16"/>
      <c r="CD328" s="16"/>
      <c r="CG328" s="78"/>
      <c r="CH328" s="79"/>
      <c r="CI328" s="15"/>
      <c r="CJ328" s="15"/>
      <c r="CK328" s="15"/>
      <c r="CL328" s="16"/>
      <c r="CM328" s="16"/>
      <c r="CN328" s="16"/>
      <c r="CO328" s="16"/>
      <c r="CP328" s="16"/>
      <c r="CQ328" s="16"/>
      <c r="CR328" s="16"/>
    </row>
    <row r="329" spans="1:96" s="18" customFormat="1" ht="15" customHeight="1">
      <c r="A329" s="80">
        <v>2019</v>
      </c>
      <c r="B329" s="81" t="s">
        <v>47</v>
      </c>
      <c r="C329" s="15">
        <f t="shared" si="200"/>
        <v>0.88203324808184147</v>
      </c>
      <c r="D329" s="15">
        <f t="shared" si="201"/>
        <v>0.89461738002594038</v>
      </c>
      <c r="E329" s="15">
        <f t="shared" si="202"/>
        <v>0.98593350383631717</v>
      </c>
      <c r="F329" s="57">
        <f t="shared" si="199"/>
        <v>220</v>
      </c>
      <c r="G329"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4.6540207522697798</v>
      </c>
      <c r="H329" s="57">
        <f>+V329+AJ329+AX329+BL329+BS_GC_MP_Vill[[#This Row],[Trenes Programados]]</f>
        <v>6256</v>
      </c>
      <c r="I329" s="16">
        <f t="shared" si="178"/>
        <v>88</v>
      </c>
      <c r="J329" s="57">
        <f>+X329+AL329+AZ329+BN329+BS_GC_MP_Vill[[#This Row],[Trenes Corridos]]</f>
        <v>6168</v>
      </c>
      <c r="K329" s="57">
        <f>+Y329+AM329+BA329+BO329+BS_GC_MP_Vill[[#This Row],[Trenes Puntuales]]</f>
        <v>5518</v>
      </c>
      <c r="L329" s="16">
        <f t="shared" si="179"/>
        <v>650</v>
      </c>
      <c r="M329" s="16"/>
      <c r="N329" s="16"/>
      <c r="O329" s="80">
        <v>2019</v>
      </c>
      <c r="P329" s="81" t="s">
        <v>47</v>
      </c>
      <c r="Q329" s="15">
        <f t="shared" si="203"/>
        <v>0.87720295622512789</v>
      </c>
      <c r="R329" s="15">
        <f t="shared" si="204"/>
        <v>0.88780207134637512</v>
      </c>
      <c r="S329" s="15">
        <f t="shared" si="205"/>
        <v>0.98806139852188746</v>
      </c>
      <c r="T329" s="16">
        <v>122</v>
      </c>
      <c r="U329" s="16">
        <v>5</v>
      </c>
      <c r="V329" s="16">
        <v>3518</v>
      </c>
      <c r="W329" s="16">
        <f t="shared" si="190"/>
        <v>42</v>
      </c>
      <c r="X329" s="16">
        <v>3476</v>
      </c>
      <c r="Y329" s="16">
        <v>3086</v>
      </c>
      <c r="Z329" s="16">
        <f t="shared" si="191"/>
        <v>390</v>
      </c>
      <c r="AA329" s="16"/>
      <c r="AB329" s="16"/>
      <c r="AC329" s="80">
        <v>2019</v>
      </c>
      <c r="AD329" s="81" t="s">
        <v>47</v>
      </c>
      <c r="AE329" s="15">
        <f t="shared" si="206"/>
        <v>0.8418181818181818</v>
      </c>
      <c r="AF329" s="15">
        <f t="shared" si="207"/>
        <v>0.85476923076923073</v>
      </c>
      <c r="AG329" s="15">
        <f t="shared" si="208"/>
        <v>0.98484848484848486</v>
      </c>
      <c r="AH329" s="16">
        <v>54</v>
      </c>
      <c r="AI329" s="16">
        <v>5</v>
      </c>
      <c r="AJ329" s="16">
        <v>1650</v>
      </c>
      <c r="AK329" s="16">
        <f t="shared" si="192"/>
        <v>25</v>
      </c>
      <c r="AL329" s="16">
        <v>1625</v>
      </c>
      <c r="AM329" s="16">
        <v>1389</v>
      </c>
      <c r="AN329" s="16">
        <f t="shared" si="193"/>
        <v>236</v>
      </c>
      <c r="AO329" s="16"/>
      <c r="AP329" s="16"/>
      <c r="AQ329" s="80"/>
      <c r="AR329" s="81"/>
      <c r="AS329" s="15"/>
      <c r="AT329" s="15"/>
      <c r="AU329" s="15"/>
      <c r="AV329" s="15"/>
      <c r="AW329" s="15"/>
      <c r="AX329" s="16"/>
      <c r="AY329" s="16"/>
      <c r="AZ329" s="16"/>
      <c r="BA329" s="16"/>
      <c r="BB329" s="16"/>
      <c r="BC329" s="16"/>
      <c r="BD329" s="16"/>
      <c r="BE329" s="80">
        <v>2019</v>
      </c>
      <c r="BF329" s="81" t="s">
        <v>47</v>
      </c>
      <c r="BG329" s="15">
        <f t="shared" si="209"/>
        <v>0.95863970588235292</v>
      </c>
      <c r="BH329" s="15">
        <f t="shared" si="210"/>
        <v>0.9775070290534208</v>
      </c>
      <c r="BI329" s="15">
        <f t="shared" si="211"/>
        <v>0.98069852941176472</v>
      </c>
      <c r="BJ329" s="16">
        <v>44</v>
      </c>
      <c r="BK329" s="16">
        <v>3</v>
      </c>
      <c r="BL329" s="16">
        <v>1088</v>
      </c>
      <c r="BM329" s="16">
        <f t="shared" si="197"/>
        <v>21</v>
      </c>
      <c r="BN329" s="16">
        <v>1067</v>
      </c>
      <c r="BO329" s="16">
        <v>1043</v>
      </c>
      <c r="BP329" s="16">
        <f t="shared" si="198"/>
        <v>24</v>
      </c>
      <c r="BS329" s="80">
        <v>2019</v>
      </c>
      <c r="BT329" s="81" t="s">
        <v>47</v>
      </c>
      <c r="BU329" s="15"/>
      <c r="BV329" s="15"/>
      <c r="BW329" s="15"/>
      <c r="BX329" s="16"/>
      <c r="BY329" s="16"/>
      <c r="BZ329" s="16"/>
      <c r="CA329" s="16"/>
      <c r="CB329" s="16"/>
      <c r="CC329" s="16"/>
      <c r="CD329" s="16"/>
      <c r="CG329" s="80"/>
      <c r="CH329" s="81"/>
      <c r="CI329" s="15"/>
      <c r="CJ329" s="15"/>
      <c r="CK329" s="15"/>
      <c r="CL329" s="16"/>
      <c r="CM329" s="16"/>
      <c r="CN329" s="16"/>
      <c r="CO329" s="16"/>
      <c r="CP329" s="16"/>
      <c r="CQ329" s="16"/>
      <c r="CR329" s="16"/>
    </row>
    <row r="330" spans="1:96" s="18" customFormat="1" ht="15" customHeight="1">
      <c r="A330" s="78">
        <v>2020</v>
      </c>
      <c r="B330" s="79" t="s">
        <v>36</v>
      </c>
      <c r="C330" s="15">
        <f t="shared" si="200"/>
        <v>0.89458020050125309</v>
      </c>
      <c r="D330" s="15">
        <f t="shared" si="201"/>
        <v>0.90910538045208533</v>
      </c>
      <c r="E330" s="15">
        <f t="shared" si="202"/>
        <v>0.98402255639097747</v>
      </c>
      <c r="F330" s="57">
        <f t="shared" si="199"/>
        <v>220</v>
      </c>
      <c r="G330"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4.6341929321872017</v>
      </c>
      <c r="H330" s="57">
        <f>+V330+AJ330+AX330+BL330+BS_GC_MP_Vill[[#This Row],[Trenes Programados]]</f>
        <v>6384</v>
      </c>
      <c r="I330" s="16">
        <f t="shared" si="178"/>
        <v>102</v>
      </c>
      <c r="J330" s="57">
        <f>+X330+AL330+AZ330+BN330+BS_GC_MP_Vill[[#This Row],[Trenes Corridos]]</f>
        <v>6282</v>
      </c>
      <c r="K330" s="57">
        <f>+Y330+AM330+BA330+BO330+BS_GC_MP_Vill[[#This Row],[Trenes Puntuales]]</f>
        <v>5711</v>
      </c>
      <c r="L330" s="16">
        <f t="shared" si="179"/>
        <v>571</v>
      </c>
      <c r="M330" s="16"/>
      <c r="N330" s="16"/>
      <c r="O330" s="78">
        <v>2020</v>
      </c>
      <c r="P330" s="79" t="s">
        <v>36</v>
      </c>
      <c r="Q330" s="15">
        <f t="shared" si="203"/>
        <v>0.88052602126468937</v>
      </c>
      <c r="R330" s="15">
        <f t="shared" si="204"/>
        <v>0.89581554227156279</v>
      </c>
      <c r="S330" s="15">
        <f t="shared" si="205"/>
        <v>0.98293228875209848</v>
      </c>
      <c r="T330" s="16">
        <v>122</v>
      </c>
      <c r="U330" s="16">
        <v>5</v>
      </c>
      <c r="V330" s="16">
        <v>3574</v>
      </c>
      <c r="W330" s="16">
        <f t="shared" si="190"/>
        <v>61</v>
      </c>
      <c r="X330" s="16">
        <v>3513</v>
      </c>
      <c r="Y330" s="16">
        <v>3147</v>
      </c>
      <c r="Z330" s="16">
        <f t="shared" si="191"/>
        <v>366</v>
      </c>
      <c r="AA330" s="16"/>
      <c r="AB330" s="16"/>
      <c r="AC330" s="78">
        <v>2020</v>
      </c>
      <c r="AD330" s="79" t="s">
        <v>36</v>
      </c>
      <c r="AE330" s="15">
        <f t="shared" si="206"/>
        <v>0.8669891172914147</v>
      </c>
      <c r="AF330" s="15">
        <f t="shared" si="207"/>
        <v>0.88518518518518519</v>
      </c>
      <c r="AG330" s="15">
        <f t="shared" si="208"/>
        <v>0.97944377267230953</v>
      </c>
      <c r="AH330" s="16">
        <v>54</v>
      </c>
      <c r="AI330" s="16">
        <v>5</v>
      </c>
      <c r="AJ330" s="16">
        <v>1654</v>
      </c>
      <c r="AK330" s="16">
        <f t="shared" si="192"/>
        <v>34</v>
      </c>
      <c r="AL330" s="16">
        <v>1620</v>
      </c>
      <c r="AM330" s="16">
        <v>1434</v>
      </c>
      <c r="AN330" s="16">
        <f t="shared" si="193"/>
        <v>186</v>
      </c>
      <c r="AO330" s="16"/>
      <c r="AP330" s="16"/>
      <c r="AQ330" s="78"/>
      <c r="AR330" s="79"/>
      <c r="AS330" s="15"/>
      <c r="AT330" s="15"/>
      <c r="AU330" s="15"/>
      <c r="AV330" s="15"/>
      <c r="AW330" s="15"/>
      <c r="AX330" s="16"/>
      <c r="AY330" s="16"/>
      <c r="AZ330" s="16"/>
      <c r="BA330" s="16"/>
      <c r="BB330" s="16"/>
      <c r="BC330" s="16"/>
      <c r="BD330" s="16"/>
      <c r="BE330" s="78">
        <v>2020</v>
      </c>
      <c r="BF330" s="79" t="s">
        <v>36</v>
      </c>
      <c r="BG330" s="15">
        <f t="shared" si="209"/>
        <v>0.97750865051903113</v>
      </c>
      <c r="BH330" s="15">
        <f t="shared" si="210"/>
        <v>0.98346388163620535</v>
      </c>
      <c r="BI330" s="15">
        <f t="shared" si="211"/>
        <v>0.99394463667820065</v>
      </c>
      <c r="BJ330" s="16">
        <v>44</v>
      </c>
      <c r="BK330" s="16">
        <v>3</v>
      </c>
      <c r="BL330" s="16">
        <v>1156</v>
      </c>
      <c r="BM330" s="16">
        <f t="shared" si="197"/>
        <v>7</v>
      </c>
      <c r="BN330" s="16">
        <v>1149</v>
      </c>
      <c r="BO330" s="16">
        <v>1130</v>
      </c>
      <c r="BP330" s="16">
        <f t="shared" si="198"/>
        <v>19</v>
      </c>
      <c r="BS330" s="78">
        <v>2020</v>
      </c>
      <c r="BT330" s="79" t="s">
        <v>36</v>
      </c>
      <c r="BU330" s="15"/>
      <c r="BV330" s="15"/>
      <c r="BW330" s="15"/>
      <c r="BX330" s="16"/>
      <c r="BY330" s="16"/>
      <c r="BZ330" s="16"/>
      <c r="CA330" s="16"/>
      <c r="CB330" s="16"/>
      <c r="CC330" s="16"/>
      <c r="CD330" s="16"/>
      <c r="CG330" s="78"/>
      <c r="CH330" s="79"/>
      <c r="CI330" s="15"/>
      <c r="CJ330" s="15"/>
      <c r="CK330" s="15"/>
      <c r="CL330" s="16"/>
      <c r="CM330" s="16"/>
      <c r="CN330" s="16"/>
      <c r="CO330" s="16"/>
      <c r="CP330" s="16"/>
      <c r="CQ330" s="16"/>
      <c r="CR330" s="16"/>
    </row>
    <row r="331" spans="1:96" s="18" customFormat="1" ht="15" customHeight="1">
      <c r="A331" s="80">
        <v>2020</v>
      </c>
      <c r="B331" s="81" t="s">
        <v>37</v>
      </c>
      <c r="C331" s="15">
        <f t="shared" si="200"/>
        <v>0.85059829059829062</v>
      </c>
      <c r="D331" s="15">
        <f t="shared" si="201"/>
        <v>0.87977369165487973</v>
      </c>
      <c r="E331" s="15">
        <f t="shared" si="202"/>
        <v>0.96683760683760689</v>
      </c>
      <c r="F331" s="57">
        <f t="shared" si="199"/>
        <v>220</v>
      </c>
      <c r="G331"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4.6782178217821784</v>
      </c>
      <c r="H331" s="57">
        <f>+V331+AJ331+AX331+BL331+BS_GC_MP_Vill[[#This Row],[Trenes Programados]]</f>
        <v>5850</v>
      </c>
      <c r="I331" s="16">
        <f t="shared" si="178"/>
        <v>194</v>
      </c>
      <c r="J331" s="57">
        <f>+X331+AL331+AZ331+BN331+BS_GC_MP_Vill[[#This Row],[Trenes Corridos]]</f>
        <v>5656</v>
      </c>
      <c r="K331" s="57">
        <f>+Y331+AM331+BA331+BO331+BS_GC_MP_Vill[[#This Row],[Trenes Puntuales]]</f>
        <v>4976</v>
      </c>
      <c r="L331" s="16">
        <f t="shared" si="179"/>
        <v>680</v>
      </c>
      <c r="M331" s="16"/>
      <c r="N331" s="16"/>
      <c r="O331" s="80">
        <v>2020</v>
      </c>
      <c r="P331" s="81" t="s">
        <v>37</v>
      </c>
      <c r="Q331" s="15">
        <f t="shared" si="203"/>
        <v>0.85179549604382232</v>
      </c>
      <c r="R331" s="15">
        <f t="shared" si="204"/>
        <v>0.86549165120593696</v>
      </c>
      <c r="S331" s="15">
        <f t="shared" si="205"/>
        <v>0.98417528910529517</v>
      </c>
      <c r="T331" s="16">
        <v>122</v>
      </c>
      <c r="U331" s="16">
        <v>5</v>
      </c>
      <c r="V331" s="16">
        <v>3286</v>
      </c>
      <c r="W331" s="16">
        <f t="shared" si="190"/>
        <v>52</v>
      </c>
      <c r="X331" s="16">
        <v>3234</v>
      </c>
      <c r="Y331" s="16">
        <v>2799</v>
      </c>
      <c r="Z331" s="16">
        <f t="shared" si="191"/>
        <v>435</v>
      </c>
      <c r="AA331" s="16"/>
      <c r="AB331" s="16"/>
      <c r="AC331" s="80">
        <v>2020</v>
      </c>
      <c r="AD331" s="81" t="s">
        <v>37</v>
      </c>
      <c r="AE331" s="15">
        <f t="shared" si="206"/>
        <v>0.83657587548638135</v>
      </c>
      <c r="AF331" s="15">
        <f t="shared" si="207"/>
        <v>0.85317460317460314</v>
      </c>
      <c r="AG331" s="15">
        <f t="shared" si="208"/>
        <v>0.98054474708171202</v>
      </c>
      <c r="AH331" s="16">
        <v>54</v>
      </c>
      <c r="AI331" s="16">
        <v>5</v>
      </c>
      <c r="AJ331" s="16">
        <v>1542</v>
      </c>
      <c r="AK331" s="16">
        <f t="shared" si="192"/>
        <v>30</v>
      </c>
      <c r="AL331" s="16">
        <v>1512</v>
      </c>
      <c r="AM331" s="16">
        <v>1290</v>
      </c>
      <c r="AN331" s="16">
        <f t="shared" si="193"/>
        <v>222</v>
      </c>
      <c r="AO331" s="16"/>
      <c r="AP331" s="16"/>
      <c r="AQ331" s="80"/>
      <c r="AR331" s="81"/>
      <c r="AS331" s="15"/>
      <c r="AT331" s="15"/>
      <c r="AU331" s="15"/>
      <c r="AV331" s="15"/>
      <c r="AW331" s="15"/>
      <c r="AX331" s="16"/>
      <c r="AY331" s="16"/>
      <c r="AZ331" s="16"/>
      <c r="BA331" s="16"/>
      <c r="BB331" s="16"/>
      <c r="BC331" s="16"/>
      <c r="BD331" s="16"/>
      <c r="BE331" s="80">
        <v>2020</v>
      </c>
      <c r="BF331" s="81" t="s">
        <v>37</v>
      </c>
      <c r="BG331" s="15">
        <f t="shared" si="209"/>
        <v>0.8679060665362035</v>
      </c>
      <c r="BH331" s="15">
        <f t="shared" si="210"/>
        <v>0.9747252747252747</v>
      </c>
      <c r="BI331" s="15">
        <f t="shared" si="211"/>
        <v>0.8904109589041096</v>
      </c>
      <c r="BJ331" s="16">
        <v>44</v>
      </c>
      <c r="BK331" s="16">
        <v>3</v>
      </c>
      <c r="BL331" s="16">
        <v>1022</v>
      </c>
      <c r="BM331" s="16">
        <f t="shared" si="197"/>
        <v>112</v>
      </c>
      <c r="BN331" s="16">
        <v>910</v>
      </c>
      <c r="BO331" s="16">
        <v>887</v>
      </c>
      <c r="BP331" s="16">
        <f t="shared" si="198"/>
        <v>23</v>
      </c>
      <c r="BS331" s="80">
        <v>2020</v>
      </c>
      <c r="BT331" s="81" t="s">
        <v>37</v>
      </c>
      <c r="BU331" s="15"/>
      <c r="BV331" s="15"/>
      <c r="BW331" s="15"/>
      <c r="BX331" s="16"/>
      <c r="BY331" s="16"/>
      <c r="BZ331" s="16"/>
      <c r="CA331" s="16"/>
      <c r="CB331" s="16"/>
      <c r="CC331" s="16"/>
      <c r="CD331" s="16"/>
      <c r="CG331" s="80"/>
      <c r="CH331" s="81"/>
      <c r="CI331" s="15"/>
      <c r="CJ331" s="15"/>
      <c r="CK331" s="15"/>
      <c r="CL331" s="16"/>
      <c r="CM331" s="16"/>
      <c r="CN331" s="16"/>
      <c r="CO331" s="16"/>
      <c r="CP331" s="16"/>
      <c r="CQ331" s="16"/>
      <c r="CR331" s="16"/>
    </row>
    <row r="332" spans="1:96" s="18" customFormat="1" ht="15" customHeight="1">
      <c r="A332" s="84">
        <v>2020</v>
      </c>
      <c r="B332" s="85" t="s">
        <v>38</v>
      </c>
      <c r="C332" s="15">
        <f t="shared" si="200"/>
        <v>0.76304200542005418</v>
      </c>
      <c r="D332" s="15">
        <f t="shared" si="201"/>
        <v>0.87255471625024206</v>
      </c>
      <c r="E332" s="15">
        <f t="shared" si="202"/>
        <v>0.87449186991869921</v>
      </c>
      <c r="F332" s="57">
        <f t="shared" si="199"/>
        <v>220</v>
      </c>
      <c r="G332"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4.7830718574472204</v>
      </c>
      <c r="H332" s="57">
        <f>+V332+AJ332+AX332+BL332+BS_GC_MP_Vill[[#This Row],[Trenes Programados]]</f>
        <v>5904</v>
      </c>
      <c r="I332" s="16">
        <f t="shared" si="178"/>
        <v>741</v>
      </c>
      <c r="J332" s="57">
        <f>+X332+AL332+AZ332+BN332+BS_GC_MP_Vill[[#This Row],[Trenes Corridos]]</f>
        <v>5163</v>
      </c>
      <c r="K332" s="57">
        <f>+Y332+AM332+BA332+BO332+BS_GC_MP_Vill[[#This Row],[Trenes Puntuales]]</f>
        <v>4505</v>
      </c>
      <c r="L332" s="16">
        <f t="shared" si="179"/>
        <v>658</v>
      </c>
      <c r="M332" s="16"/>
      <c r="N332" s="16"/>
      <c r="O332" s="84">
        <v>2020</v>
      </c>
      <c r="P332" s="85" t="s">
        <v>38</v>
      </c>
      <c r="Q332" s="15">
        <f t="shared" si="203"/>
        <v>0.80289330922242319</v>
      </c>
      <c r="R332" s="15">
        <f t="shared" si="204"/>
        <v>0.87891784889475422</v>
      </c>
      <c r="S332" s="15">
        <f t="shared" si="205"/>
        <v>0.9135021097046413</v>
      </c>
      <c r="T332" s="16">
        <v>122</v>
      </c>
      <c r="U332" s="16">
        <v>5</v>
      </c>
      <c r="V332" s="16">
        <v>3318</v>
      </c>
      <c r="W332" s="16">
        <f t="shared" si="190"/>
        <v>287</v>
      </c>
      <c r="X332" s="16">
        <v>3031</v>
      </c>
      <c r="Y332" s="16">
        <v>2664</v>
      </c>
      <c r="Z332" s="16">
        <f t="shared" si="191"/>
        <v>367</v>
      </c>
      <c r="AA332" s="19" t="s">
        <v>83</v>
      </c>
      <c r="AB332" s="16"/>
      <c r="AC332" s="84">
        <v>2020</v>
      </c>
      <c r="AD332" s="85" t="s">
        <v>38</v>
      </c>
      <c r="AE332" s="15">
        <f t="shared" si="206"/>
        <v>0.80271270036991371</v>
      </c>
      <c r="AF332" s="15">
        <f t="shared" si="207"/>
        <v>0.8282442748091603</v>
      </c>
      <c r="AG332" s="15">
        <f t="shared" si="208"/>
        <v>0.96917385943279899</v>
      </c>
      <c r="AH332" s="16">
        <v>54</v>
      </c>
      <c r="AI332" s="16">
        <v>5</v>
      </c>
      <c r="AJ332" s="16">
        <v>1622</v>
      </c>
      <c r="AK332" s="16">
        <f t="shared" si="192"/>
        <v>50</v>
      </c>
      <c r="AL332" s="16">
        <v>1572</v>
      </c>
      <c r="AM332" s="16">
        <v>1302</v>
      </c>
      <c r="AN332" s="16">
        <f t="shared" si="193"/>
        <v>270</v>
      </c>
      <c r="AO332" s="16"/>
      <c r="AP332" s="16"/>
      <c r="AQ332" s="84"/>
      <c r="AR332" s="85"/>
      <c r="AS332" s="15"/>
      <c r="AT332" s="15"/>
      <c r="AU332" s="15"/>
      <c r="AV332" s="15"/>
      <c r="AW332" s="15"/>
      <c r="AX332" s="16"/>
      <c r="AY332" s="16"/>
      <c r="AZ332" s="16"/>
      <c r="BA332" s="16"/>
      <c r="BB332" s="16"/>
      <c r="BC332" s="16"/>
      <c r="BD332" s="16"/>
      <c r="BE332" s="84">
        <v>2020</v>
      </c>
      <c r="BF332" s="85" t="s">
        <v>38</v>
      </c>
      <c r="BG332" s="15">
        <f t="shared" si="209"/>
        <v>0.5591286307053942</v>
      </c>
      <c r="BH332" s="15">
        <f t="shared" si="210"/>
        <v>0.96250000000000002</v>
      </c>
      <c r="BI332" s="15">
        <f t="shared" si="211"/>
        <v>0.58091286307053946</v>
      </c>
      <c r="BJ332" s="16">
        <v>44</v>
      </c>
      <c r="BK332" s="16">
        <v>3</v>
      </c>
      <c r="BL332" s="16">
        <v>964</v>
      </c>
      <c r="BM332" s="16">
        <f t="shared" si="197"/>
        <v>404</v>
      </c>
      <c r="BN332" s="16">
        <v>560</v>
      </c>
      <c r="BO332" s="16">
        <v>539</v>
      </c>
      <c r="BP332" s="16">
        <f t="shared" si="198"/>
        <v>21</v>
      </c>
      <c r="BQ332" s="18" t="s">
        <v>108</v>
      </c>
      <c r="BS332" s="84">
        <v>2020</v>
      </c>
      <c r="BT332" s="85" t="s">
        <v>38</v>
      </c>
      <c r="BU332" s="15"/>
      <c r="BV332" s="15"/>
      <c r="BW332" s="15"/>
      <c r="BX332" s="16"/>
      <c r="BY332" s="16"/>
      <c r="BZ332" s="16"/>
      <c r="CA332" s="16"/>
      <c r="CB332" s="16"/>
      <c r="CC332" s="16"/>
      <c r="CD332" s="16"/>
      <c r="CG332" s="84"/>
      <c r="CH332" s="85"/>
      <c r="CI332" s="15"/>
      <c r="CJ332" s="15"/>
      <c r="CK332" s="15"/>
      <c r="CL332" s="16"/>
      <c r="CM332" s="16"/>
      <c r="CN332" s="16"/>
      <c r="CO332" s="16"/>
      <c r="CP332" s="16"/>
      <c r="CQ332" s="16"/>
      <c r="CR332" s="16"/>
    </row>
    <row r="333" spans="1:96" s="18" customFormat="1" ht="15" customHeight="1">
      <c r="A333" s="86">
        <v>2020</v>
      </c>
      <c r="B333" s="87" t="s">
        <v>39</v>
      </c>
      <c r="C333" s="15">
        <f t="shared" si="200"/>
        <v>0.85108130303859841</v>
      </c>
      <c r="D333" s="15">
        <f t="shared" si="201"/>
        <v>0.89855491329479764</v>
      </c>
      <c r="E333" s="15">
        <f t="shared" si="202"/>
        <v>0.94716671229126748</v>
      </c>
      <c r="F333" s="57">
        <f t="shared" si="199"/>
        <v>176</v>
      </c>
      <c r="G333"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3" s="57">
        <f>+V333+AJ333+AX333+BL333+BS_GC_MP_Vill[[#This Row],[Trenes Programados]]</f>
        <v>3653</v>
      </c>
      <c r="I333" s="16">
        <f t="shared" si="178"/>
        <v>193</v>
      </c>
      <c r="J333" s="57">
        <f>+X333+AL333+AZ333+BN333+BS_GC_MP_Vill[[#This Row],[Trenes Corridos]]</f>
        <v>3460</v>
      </c>
      <c r="K333" s="57">
        <f>+Y333+AM333+BA333+BO333+BS_GC_MP_Vill[[#This Row],[Trenes Puntuales]]</f>
        <v>3109</v>
      </c>
      <c r="L333" s="16">
        <f t="shared" si="179"/>
        <v>351</v>
      </c>
      <c r="M333" s="19"/>
      <c r="N333" s="16"/>
      <c r="O333" s="86">
        <v>2020</v>
      </c>
      <c r="P333" s="87" t="s">
        <v>39</v>
      </c>
      <c r="Q333" s="15">
        <f t="shared" si="203"/>
        <v>0.83052351375332745</v>
      </c>
      <c r="R333" s="15">
        <f t="shared" si="204"/>
        <v>0.88385269121813026</v>
      </c>
      <c r="S333" s="15">
        <f t="shared" si="205"/>
        <v>0.93966282165039927</v>
      </c>
      <c r="T333" s="16">
        <v>122</v>
      </c>
      <c r="U333" s="16">
        <v>5</v>
      </c>
      <c r="V333" s="16">
        <v>2254</v>
      </c>
      <c r="W333" s="16">
        <f t="shared" si="190"/>
        <v>136</v>
      </c>
      <c r="X333" s="16">
        <v>2118</v>
      </c>
      <c r="Y333" s="16">
        <v>1872</v>
      </c>
      <c r="Z333" s="16">
        <f t="shared" si="191"/>
        <v>246</v>
      </c>
      <c r="AA333" s="19" t="s">
        <v>83</v>
      </c>
      <c r="AB333" s="16"/>
      <c r="AC333" s="86">
        <v>2020</v>
      </c>
      <c r="AD333" s="87" t="s">
        <v>39</v>
      </c>
      <c r="AE333" s="15">
        <f t="shared" si="206"/>
        <v>0.88420300214438885</v>
      </c>
      <c r="AF333" s="15">
        <f t="shared" si="207"/>
        <v>0.92175856929955291</v>
      </c>
      <c r="AG333" s="15">
        <f t="shared" si="208"/>
        <v>0.95925661186561828</v>
      </c>
      <c r="AH333" s="16">
        <v>54</v>
      </c>
      <c r="AI333" s="16">
        <v>5</v>
      </c>
      <c r="AJ333" s="16">
        <v>1399</v>
      </c>
      <c r="AK333" s="16">
        <f t="shared" si="192"/>
        <v>57</v>
      </c>
      <c r="AL333" s="16">
        <v>1342</v>
      </c>
      <c r="AM333" s="16">
        <v>1237</v>
      </c>
      <c r="AN333" s="16">
        <f t="shared" si="193"/>
        <v>105</v>
      </c>
      <c r="AO333" s="16"/>
      <c r="AP333" s="16"/>
      <c r="AQ333" s="84"/>
      <c r="AR333" s="85"/>
      <c r="AS333" s="15"/>
      <c r="AT333" s="15"/>
      <c r="AU333" s="15"/>
      <c r="AV333" s="15"/>
      <c r="AW333" s="15"/>
      <c r="AX333" s="16"/>
      <c r="AY333" s="16"/>
      <c r="AZ333" s="16"/>
      <c r="BA333" s="16"/>
      <c r="BB333" s="16"/>
      <c r="BC333" s="16"/>
      <c r="BD333" s="16"/>
      <c r="BE333" s="86">
        <v>2020</v>
      </c>
      <c r="BF333" s="87" t="s">
        <v>39</v>
      </c>
      <c r="BG333" s="15"/>
      <c r="BH333" s="15"/>
      <c r="BI333" s="15"/>
      <c r="BJ333" s="16"/>
      <c r="BK333" s="16"/>
      <c r="BL333" s="16"/>
      <c r="BM333" s="16"/>
      <c r="BN333" s="16"/>
      <c r="BO333" s="16"/>
      <c r="BP333" s="16"/>
      <c r="BQ333" s="18" t="s">
        <v>108</v>
      </c>
      <c r="BS333" s="86">
        <v>2020</v>
      </c>
      <c r="BT333" s="87" t="s">
        <v>39</v>
      </c>
      <c r="BU333" s="15"/>
      <c r="BV333" s="15"/>
      <c r="BW333" s="15"/>
      <c r="BX333" s="16"/>
      <c r="BY333" s="16"/>
      <c r="BZ333" s="16"/>
      <c r="CA333" s="16"/>
      <c r="CB333" s="16"/>
      <c r="CC333" s="16"/>
      <c r="CD333" s="16"/>
      <c r="CG333" s="86"/>
      <c r="CH333" s="87"/>
      <c r="CI333" s="15"/>
      <c r="CJ333" s="15"/>
      <c r="CK333" s="15"/>
      <c r="CL333" s="16"/>
      <c r="CM333" s="16"/>
      <c r="CN333" s="16"/>
      <c r="CO333" s="16"/>
      <c r="CP333" s="16"/>
      <c r="CQ333" s="16"/>
      <c r="CR333" s="16"/>
    </row>
    <row r="334" spans="1:96" s="18" customFormat="1" ht="15" customHeight="1">
      <c r="A334" s="84">
        <v>2020</v>
      </c>
      <c r="B334" s="85" t="s">
        <v>40</v>
      </c>
      <c r="C334" s="15">
        <f t="shared" ref="C334:C352" si="212">K334/H334</f>
        <v>0.89030883919062831</v>
      </c>
      <c r="D334" s="15">
        <f t="shared" ref="D334:D352" si="213">K334/J334</f>
        <v>0.90574214517876495</v>
      </c>
      <c r="E334" s="15">
        <f t="shared" ref="E334:E352" si="214">J334/H334</f>
        <v>0.98296059637912669</v>
      </c>
      <c r="F334" s="57">
        <f t="shared" si="199"/>
        <v>176</v>
      </c>
      <c r="G334"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4" s="57">
        <f>+V334+AJ334+AX334+BL334+BS_GC_MP_Vill[[#This Row],[Trenes Programados]]</f>
        <v>3756</v>
      </c>
      <c r="I334" s="16">
        <f t="shared" si="178"/>
        <v>64</v>
      </c>
      <c r="J334" s="57">
        <f>+X334+AL334+AZ334+BN334+BS_GC_MP_Vill[[#This Row],[Trenes Corridos]]</f>
        <v>3692</v>
      </c>
      <c r="K334" s="57">
        <f>+Y334+AM334+BA334+BO334+BS_GC_MP_Vill[[#This Row],[Trenes Puntuales]]</f>
        <v>3344</v>
      </c>
      <c r="L334" s="16">
        <f t="shared" si="179"/>
        <v>348</v>
      </c>
      <c r="M334" s="19"/>
      <c r="O334" s="84">
        <v>2020</v>
      </c>
      <c r="P334" s="85" t="s">
        <v>40</v>
      </c>
      <c r="Q334" s="15">
        <f t="shared" ref="Q334:Q339" si="215">Y334/V334</f>
        <v>0.87661525635681536</v>
      </c>
      <c r="R334" s="15">
        <f t="shared" ref="R334:R339" si="216">Y334/X334</f>
        <v>0.89718430034129693</v>
      </c>
      <c r="S334" s="15">
        <f t="shared" ref="S334:S339" si="217">X334/V334</f>
        <v>0.97707378074197582</v>
      </c>
      <c r="T334" s="16">
        <v>122</v>
      </c>
      <c r="U334" s="16">
        <v>5</v>
      </c>
      <c r="V334" s="16">
        <v>2399</v>
      </c>
      <c r="W334" s="16">
        <f t="shared" ref="W334:W341" si="218">V334-X334</f>
        <v>55</v>
      </c>
      <c r="X334" s="16">
        <v>2344</v>
      </c>
      <c r="Y334" s="16">
        <v>2103</v>
      </c>
      <c r="Z334" s="16">
        <f t="shared" ref="Z334:Z339" si="219">X334-Y334</f>
        <v>241</v>
      </c>
      <c r="AA334" s="19" t="s">
        <v>83</v>
      </c>
      <c r="AC334" s="84">
        <v>2020</v>
      </c>
      <c r="AD334" s="85" t="s">
        <v>40</v>
      </c>
      <c r="AE334" s="15">
        <f t="shared" ref="AE334:AE339" si="220">AM334/AJ334</f>
        <v>0.9145173176123802</v>
      </c>
      <c r="AF334" s="15">
        <f t="shared" ref="AF334:AF339" si="221">AM334/AL334</f>
        <v>0.92062314540059342</v>
      </c>
      <c r="AG334" s="15">
        <f t="shared" ref="AG334:AG339" si="222">AL334/AJ334</f>
        <v>0.99336772291820197</v>
      </c>
      <c r="AH334" s="16">
        <v>54</v>
      </c>
      <c r="AI334" s="16">
        <v>5</v>
      </c>
      <c r="AJ334" s="16">
        <v>1357</v>
      </c>
      <c r="AK334" s="16">
        <f t="shared" ref="AK334:AK339" si="223">AJ334-AL334</f>
        <v>9</v>
      </c>
      <c r="AL334" s="16">
        <v>1348</v>
      </c>
      <c r="AM334" s="16">
        <v>1241</v>
      </c>
      <c r="AN334" s="16">
        <f t="shared" ref="AN334:AN339" si="224">AL334-AM334</f>
        <v>107</v>
      </c>
      <c r="AO334" s="16"/>
      <c r="AQ334" s="84"/>
      <c r="AR334" s="85"/>
      <c r="AS334" s="15"/>
      <c r="AT334" s="15"/>
      <c r="AU334" s="15"/>
      <c r="AV334" s="15"/>
      <c r="AW334" s="15"/>
      <c r="AX334" s="16"/>
      <c r="AY334" s="16"/>
      <c r="AZ334" s="16"/>
      <c r="BA334" s="16"/>
      <c r="BB334" s="16"/>
      <c r="BC334" s="16"/>
      <c r="BE334" s="84">
        <v>2020</v>
      </c>
      <c r="BF334" s="85" t="s">
        <v>40</v>
      </c>
      <c r="BG334" s="15"/>
      <c r="BH334" s="15"/>
      <c r="BI334" s="15"/>
      <c r="BJ334" s="16"/>
      <c r="BK334" s="16"/>
      <c r="BL334" s="16"/>
      <c r="BM334" s="16"/>
      <c r="BN334" s="16"/>
      <c r="BO334" s="16"/>
      <c r="BP334" s="16"/>
      <c r="BQ334" s="18" t="s">
        <v>108</v>
      </c>
      <c r="BS334" s="84">
        <v>2020</v>
      </c>
      <c r="BT334" s="85" t="s">
        <v>40</v>
      </c>
      <c r="BU334" s="15"/>
      <c r="BV334" s="15"/>
      <c r="BW334" s="15"/>
      <c r="BX334" s="16"/>
      <c r="BY334" s="16"/>
      <c r="BZ334" s="16"/>
      <c r="CA334" s="16"/>
      <c r="CB334" s="16"/>
      <c r="CC334" s="16"/>
      <c r="CD334" s="16"/>
      <c r="CG334" s="84"/>
      <c r="CH334" s="85"/>
      <c r="CI334" s="15"/>
      <c r="CJ334" s="15"/>
      <c r="CK334" s="15"/>
      <c r="CL334" s="16"/>
      <c r="CM334" s="16"/>
      <c r="CN334" s="16"/>
      <c r="CO334" s="16"/>
      <c r="CP334" s="16"/>
      <c r="CQ334" s="16"/>
      <c r="CR334" s="16"/>
    </row>
    <row r="335" spans="1:96" s="18" customFormat="1" ht="15" customHeight="1">
      <c r="A335" s="84">
        <v>2020</v>
      </c>
      <c r="B335" s="85" t="s">
        <v>41</v>
      </c>
      <c r="C335" s="15">
        <f t="shared" si="212"/>
        <v>0.9188811188811189</v>
      </c>
      <c r="D335" s="15">
        <f t="shared" si="213"/>
        <v>0.93834801237800525</v>
      </c>
      <c r="E335" s="15">
        <f t="shared" si="214"/>
        <v>0.97925407925407926</v>
      </c>
      <c r="F335" s="57">
        <f t="shared" si="199"/>
        <v>176</v>
      </c>
      <c r="G335"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5" s="57">
        <f>+V335+AJ335+AX335+BL335+BS_GC_MP_Vill[[#This Row],[Trenes Programados]]</f>
        <v>4290</v>
      </c>
      <c r="I335" s="16">
        <f t="shared" si="178"/>
        <v>89</v>
      </c>
      <c r="J335" s="57">
        <f>+X335+AL335+AZ335+BN335+BS_GC_MP_Vill[[#This Row],[Trenes Corridos]]</f>
        <v>4201</v>
      </c>
      <c r="K335" s="57">
        <f>+Y335+AM335+BA335+BO335+BS_GC_MP_Vill[[#This Row],[Trenes Puntuales]]</f>
        <v>3942</v>
      </c>
      <c r="L335" s="16">
        <f t="shared" si="179"/>
        <v>259</v>
      </c>
      <c r="M335" s="16"/>
      <c r="O335" s="84">
        <v>2020</v>
      </c>
      <c r="P335" s="85" t="s">
        <v>41</v>
      </c>
      <c r="Q335" s="15">
        <f t="shared" si="215"/>
        <v>0.91142443962400577</v>
      </c>
      <c r="R335" s="15">
        <f t="shared" si="216"/>
        <v>0.93197781885397413</v>
      </c>
      <c r="S335" s="15">
        <f t="shared" si="217"/>
        <v>0.97794649313087489</v>
      </c>
      <c r="T335" s="16">
        <v>122</v>
      </c>
      <c r="U335" s="16">
        <v>5</v>
      </c>
      <c r="V335" s="16">
        <v>2766</v>
      </c>
      <c r="W335" s="16">
        <f t="shared" si="218"/>
        <v>61</v>
      </c>
      <c r="X335" s="16">
        <v>2705</v>
      </c>
      <c r="Y335" s="16">
        <v>2521</v>
      </c>
      <c r="Z335" s="16">
        <f t="shared" si="219"/>
        <v>184</v>
      </c>
      <c r="AA335" s="19" t="s">
        <v>83</v>
      </c>
      <c r="AC335" s="84">
        <v>2020</v>
      </c>
      <c r="AD335" s="85" t="s">
        <v>41</v>
      </c>
      <c r="AE335" s="15">
        <f t="shared" si="220"/>
        <v>0.9324146981627297</v>
      </c>
      <c r="AF335" s="15">
        <f t="shared" si="221"/>
        <v>0.94986631016042777</v>
      </c>
      <c r="AG335" s="15">
        <f t="shared" si="222"/>
        <v>0.98162729658792647</v>
      </c>
      <c r="AH335" s="16">
        <v>54</v>
      </c>
      <c r="AI335" s="16">
        <v>5</v>
      </c>
      <c r="AJ335" s="16">
        <v>1524</v>
      </c>
      <c r="AK335" s="16">
        <f t="shared" si="223"/>
        <v>28</v>
      </c>
      <c r="AL335" s="16">
        <v>1496</v>
      </c>
      <c r="AM335" s="16">
        <v>1421</v>
      </c>
      <c r="AN335" s="16">
        <f t="shared" si="224"/>
        <v>75</v>
      </c>
      <c r="AO335" s="16"/>
      <c r="AQ335" s="84"/>
      <c r="AR335" s="85"/>
      <c r="AS335" s="15"/>
      <c r="AT335" s="15"/>
      <c r="AU335" s="15"/>
      <c r="AV335" s="15"/>
      <c r="AW335" s="15"/>
      <c r="AX335" s="16"/>
      <c r="AY335" s="16"/>
      <c r="AZ335" s="16"/>
      <c r="BA335" s="16"/>
      <c r="BB335" s="16"/>
      <c r="BC335" s="16"/>
      <c r="BE335" s="84">
        <v>2020</v>
      </c>
      <c r="BF335" s="85" t="s">
        <v>41</v>
      </c>
      <c r="BG335" s="15"/>
      <c r="BH335" s="15"/>
      <c r="BI335" s="15"/>
      <c r="BJ335" s="16"/>
      <c r="BK335" s="16"/>
      <c r="BL335" s="16"/>
      <c r="BM335" s="16"/>
      <c r="BN335" s="16"/>
      <c r="BO335" s="16"/>
      <c r="BP335" s="16"/>
      <c r="BQ335" s="18" t="s">
        <v>108</v>
      </c>
      <c r="BS335" s="84">
        <v>2020</v>
      </c>
      <c r="BT335" s="85" t="s">
        <v>41</v>
      </c>
      <c r="BU335" s="15"/>
      <c r="BV335" s="15"/>
      <c r="BW335" s="15"/>
      <c r="BX335" s="16"/>
      <c r="BY335" s="16"/>
      <c r="BZ335" s="16"/>
      <c r="CA335" s="16"/>
      <c r="CB335" s="16"/>
      <c r="CC335" s="16"/>
      <c r="CD335" s="16"/>
      <c r="CG335" s="84"/>
      <c r="CH335" s="85"/>
      <c r="CI335" s="15"/>
      <c r="CJ335" s="15"/>
      <c r="CK335" s="15"/>
      <c r="CL335" s="16"/>
      <c r="CM335" s="16"/>
      <c r="CN335" s="16"/>
      <c r="CO335" s="16"/>
      <c r="CP335" s="16"/>
      <c r="CQ335" s="16"/>
      <c r="CR335" s="16"/>
    </row>
    <row r="336" spans="1:96" s="18" customFormat="1" ht="15" customHeight="1">
      <c r="A336" s="18">
        <v>2020</v>
      </c>
      <c r="B336" s="18" t="s">
        <v>42</v>
      </c>
      <c r="C336" s="15">
        <f t="shared" si="212"/>
        <v>0.94810469314079426</v>
      </c>
      <c r="D336" s="15">
        <f t="shared" si="213"/>
        <v>0.96775679410409954</v>
      </c>
      <c r="E336" s="15">
        <f t="shared" si="214"/>
        <v>0.97969314079422387</v>
      </c>
      <c r="F336" s="57">
        <f t="shared" si="199"/>
        <v>176</v>
      </c>
      <c r="G336"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6" s="57">
        <f>+V336+AJ336+AX336+BL336+BS_GC_MP_Vill[[#This Row],[Trenes Programados]]</f>
        <v>4432</v>
      </c>
      <c r="I336" s="16">
        <f t="shared" si="178"/>
        <v>90</v>
      </c>
      <c r="J336" s="57">
        <f>+X336+AL336+AZ336+BN336+BS_GC_MP_Vill[[#This Row],[Trenes Corridos]]</f>
        <v>4342</v>
      </c>
      <c r="K336" s="57">
        <f>+Y336+AM336+BA336+BO336+BS_GC_MP_Vill[[#This Row],[Trenes Puntuales]]</f>
        <v>4202</v>
      </c>
      <c r="L336" s="16">
        <f t="shared" si="179"/>
        <v>140</v>
      </c>
      <c r="M336" s="16"/>
      <c r="O336" s="18">
        <v>2020</v>
      </c>
      <c r="P336" s="18" t="s">
        <v>42</v>
      </c>
      <c r="Q336" s="15">
        <f t="shared" si="215"/>
        <v>0.94679733986699333</v>
      </c>
      <c r="R336" s="15">
        <f t="shared" si="216"/>
        <v>0.96918667144392689</v>
      </c>
      <c r="S336" s="15">
        <f t="shared" si="217"/>
        <v>0.9768988449422471</v>
      </c>
      <c r="T336" s="16">
        <v>122</v>
      </c>
      <c r="U336" s="16">
        <v>5</v>
      </c>
      <c r="V336" s="16">
        <v>2857</v>
      </c>
      <c r="W336" s="16">
        <f t="shared" si="218"/>
        <v>66</v>
      </c>
      <c r="X336" s="16">
        <v>2791</v>
      </c>
      <c r="Y336" s="16">
        <v>2705</v>
      </c>
      <c r="Z336" s="16">
        <f t="shared" si="219"/>
        <v>86</v>
      </c>
      <c r="AA336" s="19" t="s">
        <v>83</v>
      </c>
      <c r="AC336" s="18">
        <v>2020</v>
      </c>
      <c r="AD336" s="18" t="s">
        <v>42</v>
      </c>
      <c r="AE336" s="15">
        <f t="shared" si="220"/>
        <v>0.95047619047619047</v>
      </c>
      <c r="AF336" s="15">
        <f t="shared" si="221"/>
        <v>0.96518375241779497</v>
      </c>
      <c r="AG336" s="15">
        <f t="shared" si="222"/>
        <v>0.98476190476190473</v>
      </c>
      <c r="AH336" s="16">
        <v>54</v>
      </c>
      <c r="AI336" s="16">
        <v>5</v>
      </c>
      <c r="AJ336" s="16">
        <v>1575</v>
      </c>
      <c r="AK336" s="16">
        <f t="shared" si="223"/>
        <v>24</v>
      </c>
      <c r="AL336" s="16">
        <v>1551</v>
      </c>
      <c r="AM336" s="16">
        <v>1497</v>
      </c>
      <c r="AN336" s="16">
        <f t="shared" si="224"/>
        <v>54</v>
      </c>
      <c r="AO336" s="16"/>
      <c r="AQ336" s="84"/>
      <c r="AR336" s="85"/>
      <c r="AS336" s="15"/>
      <c r="AT336" s="15"/>
      <c r="AU336" s="15"/>
      <c r="AV336" s="15"/>
      <c r="AW336" s="15"/>
      <c r="AX336" s="16"/>
      <c r="AY336" s="16"/>
      <c r="AZ336" s="16"/>
      <c r="BA336" s="16"/>
      <c r="BB336" s="16"/>
      <c r="BC336" s="16"/>
      <c r="BE336" s="18">
        <v>2020</v>
      </c>
      <c r="BF336" s="18" t="s">
        <v>42</v>
      </c>
      <c r="BG336" s="15"/>
      <c r="BH336" s="15"/>
      <c r="BI336" s="15"/>
      <c r="BJ336" s="16"/>
      <c r="BK336" s="16"/>
      <c r="BL336" s="16"/>
      <c r="BM336" s="16"/>
      <c r="BN336" s="16"/>
      <c r="BO336" s="16"/>
      <c r="BP336" s="16"/>
      <c r="BQ336" s="18" t="s">
        <v>108</v>
      </c>
      <c r="BS336" s="18">
        <v>2020</v>
      </c>
      <c r="BT336" s="18" t="s">
        <v>42</v>
      </c>
      <c r="BU336" s="15"/>
      <c r="BV336" s="15"/>
      <c r="BW336" s="15"/>
      <c r="BX336" s="16"/>
      <c r="BY336" s="16"/>
      <c r="BZ336" s="16"/>
      <c r="CA336" s="16"/>
      <c r="CB336" s="16"/>
      <c r="CC336" s="16"/>
      <c r="CD336" s="16"/>
      <c r="CI336" s="15"/>
      <c r="CJ336" s="15"/>
      <c r="CK336" s="15"/>
      <c r="CL336" s="16"/>
      <c r="CM336" s="16"/>
      <c r="CN336" s="16"/>
      <c r="CO336" s="16"/>
      <c r="CP336" s="16"/>
      <c r="CQ336" s="16"/>
      <c r="CR336" s="16"/>
    </row>
    <row r="337" spans="1:96" s="18" customFormat="1" ht="15" customHeight="1">
      <c r="A337" s="18">
        <v>2020</v>
      </c>
      <c r="B337" s="18" t="s">
        <v>43</v>
      </c>
      <c r="C337" s="15">
        <f t="shared" si="212"/>
        <v>0.93947606142728091</v>
      </c>
      <c r="D337" s="15">
        <f t="shared" si="213"/>
        <v>0.97060195986934206</v>
      </c>
      <c r="E337" s="15">
        <f t="shared" si="214"/>
        <v>0.96793134598012642</v>
      </c>
      <c r="F337" s="57">
        <f t="shared" si="199"/>
        <v>176</v>
      </c>
      <c r="G337"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7" s="57">
        <f>+V337+AJ337+AX337+BL337+BS_GC_MP_Vill[[#This Row],[Trenes Programados]]</f>
        <v>4428</v>
      </c>
      <c r="I337" s="16">
        <f t="shared" si="178"/>
        <v>142</v>
      </c>
      <c r="J337" s="57">
        <f>+X337+AL337+AZ337+BN337+BS_GC_MP_Vill[[#This Row],[Trenes Corridos]]</f>
        <v>4286</v>
      </c>
      <c r="K337" s="57">
        <f>+Y337+AM337+BA337+BO337+BS_GC_MP_Vill[[#This Row],[Trenes Puntuales]]</f>
        <v>4160</v>
      </c>
      <c r="L337" s="16">
        <f t="shared" si="179"/>
        <v>126</v>
      </c>
      <c r="M337" s="16"/>
      <c r="O337" s="18">
        <v>2020</v>
      </c>
      <c r="P337" s="18" t="s">
        <v>43</v>
      </c>
      <c r="Q337" s="15">
        <f t="shared" si="215"/>
        <v>0.9225376796354714</v>
      </c>
      <c r="R337" s="15">
        <f t="shared" si="216"/>
        <v>0.96234003656307132</v>
      </c>
      <c r="S337" s="15">
        <f t="shared" si="217"/>
        <v>0.95864002804065895</v>
      </c>
      <c r="T337" s="16">
        <v>122</v>
      </c>
      <c r="U337" s="16">
        <v>5</v>
      </c>
      <c r="V337" s="16">
        <v>2853</v>
      </c>
      <c r="W337" s="16">
        <f t="shared" si="218"/>
        <v>118</v>
      </c>
      <c r="X337" s="16">
        <v>2735</v>
      </c>
      <c r="Y337" s="16">
        <v>2632</v>
      </c>
      <c r="Z337" s="16">
        <f t="shared" si="219"/>
        <v>103</v>
      </c>
      <c r="AA337" s="19" t="s">
        <v>83</v>
      </c>
      <c r="AC337" s="18">
        <v>2020</v>
      </c>
      <c r="AD337" s="18" t="s">
        <v>43</v>
      </c>
      <c r="AE337" s="15">
        <f t="shared" si="220"/>
        <v>0.97015873015873011</v>
      </c>
      <c r="AF337" s="15">
        <f t="shared" si="221"/>
        <v>0.98517085751128308</v>
      </c>
      <c r="AG337" s="15">
        <f t="shared" si="222"/>
        <v>0.98476190476190473</v>
      </c>
      <c r="AH337" s="16">
        <v>54</v>
      </c>
      <c r="AI337" s="16">
        <v>5</v>
      </c>
      <c r="AJ337" s="16">
        <v>1575</v>
      </c>
      <c r="AK337" s="16">
        <f t="shared" si="223"/>
        <v>24</v>
      </c>
      <c r="AL337" s="16">
        <v>1551</v>
      </c>
      <c r="AM337" s="16">
        <v>1528</v>
      </c>
      <c r="AN337" s="16">
        <f t="shared" si="224"/>
        <v>23</v>
      </c>
      <c r="AO337" s="16"/>
      <c r="AQ337" s="84"/>
      <c r="AR337" s="85"/>
      <c r="AS337" s="15"/>
      <c r="AT337" s="15"/>
      <c r="AU337" s="15"/>
      <c r="AV337" s="15"/>
      <c r="AW337" s="15"/>
      <c r="AX337" s="16"/>
      <c r="AY337" s="16"/>
      <c r="AZ337" s="16"/>
      <c r="BA337" s="16"/>
      <c r="BB337" s="16"/>
      <c r="BC337" s="16"/>
      <c r="BE337" s="18">
        <v>2020</v>
      </c>
      <c r="BF337" s="18" t="s">
        <v>43</v>
      </c>
      <c r="BG337" s="15"/>
      <c r="BH337" s="15"/>
      <c r="BI337" s="15"/>
      <c r="BJ337" s="16"/>
      <c r="BK337" s="16"/>
      <c r="BL337" s="16"/>
      <c r="BM337" s="16"/>
      <c r="BN337" s="16"/>
      <c r="BO337" s="16"/>
      <c r="BP337" s="16"/>
      <c r="BQ337" s="18" t="s">
        <v>108</v>
      </c>
      <c r="BS337" s="18">
        <v>2020</v>
      </c>
      <c r="BT337" s="18" t="s">
        <v>43</v>
      </c>
      <c r="BU337" s="15"/>
      <c r="BV337" s="15"/>
      <c r="BW337" s="15"/>
      <c r="BX337" s="16"/>
      <c r="BY337" s="16"/>
      <c r="BZ337" s="16"/>
      <c r="CA337" s="16"/>
      <c r="CB337" s="16"/>
      <c r="CC337" s="16"/>
      <c r="CD337" s="16"/>
      <c r="CI337" s="15"/>
      <c r="CJ337" s="15"/>
      <c r="CK337" s="15"/>
      <c r="CL337" s="16"/>
      <c r="CM337" s="16"/>
      <c r="CN337" s="16"/>
      <c r="CO337" s="16"/>
      <c r="CP337" s="16"/>
      <c r="CQ337" s="16"/>
      <c r="CR337" s="16"/>
    </row>
    <row r="338" spans="1:96" s="18" customFormat="1" ht="15" customHeight="1">
      <c r="A338" s="18">
        <v>2020</v>
      </c>
      <c r="B338" s="18" t="s">
        <v>44</v>
      </c>
      <c r="C338" s="15">
        <f t="shared" si="212"/>
        <v>0.91396103896103897</v>
      </c>
      <c r="D338" s="15">
        <f t="shared" si="213"/>
        <v>0.9581813761244834</v>
      </c>
      <c r="E338" s="15">
        <f t="shared" si="214"/>
        <v>0.95384972170686455</v>
      </c>
      <c r="F338" s="57">
        <f t="shared" si="199"/>
        <v>176</v>
      </c>
      <c r="G338"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8" s="57">
        <f>+V338+AJ338+AX338+BL338+BS_GC_MP_Vill[[#This Row],[Trenes Programados]]</f>
        <v>4312</v>
      </c>
      <c r="I338" s="16">
        <f t="shared" si="178"/>
        <v>199</v>
      </c>
      <c r="J338" s="57">
        <f>+X338+AL338+AZ338+BN338+BS_GC_MP_Vill[[#This Row],[Trenes Corridos]]</f>
        <v>4113</v>
      </c>
      <c r="K338" s="57">
        <f>+Y338+AM338+BA338+BO338+BS_GC_MP_Vill[[#This Row],[Trenes Puntuales]]</f>
        <v>3941</v>
      </c>
      <c r="L338" s="16">
        <f t="shared" si="179"/>
        <v>172</v>
      </c>
      <c r="M338" s="16"/>
      <c r="O338" s="18">
        <v>2020</v>
      </c>
      <c r="P338" s="18" t="s">
        <v>44</v>
      </c>
      <c r="Q338" s="15">
        <f t="shared" si="215"/>
        <v>0.90524048815506097</v>
      </c>
      <c r="R338" s="15">
        <f t="shared" si="216"/>
        <v>0.95893536121673006</v>
      </c>
      <c r="S338" s="15">
        <f t="shared" si="217"/>
        <v>0.94400574300071782</v>
      </c>
      <c r="T338" s="16">
        <v>122</v>
      </c>
      <c r="U338" s="16">
        <v>5</v>
      </c>
      <c r="V338" s="16">
        <v>2786</v>
      </c>
      <c r="W338" s="16">
        <f t="shared" si="218"/>
        <v>156</v>
      </c>
      <c r="X338" s="16">
        <v>2630</v>
      </c>
      <c r="Y338" s="16">
        <v>2522</v>
      </c>
      <c r="Z338" s="16">
        <f t="shared" si="219"/>
        <v>108</v>
      </c>
      <c r="AA338" s="19" t="s">
        <v>83</v>
      </c>
      <c r="AC338" s="18">
        <v>2020</v>
      </c>
      <c r="AD338" s="18" t="s">
        <v>44</v>
      </c>
      <c r="AE338" s="15">
        <f t="shared" si="220"/>
        <v>0.92988204456094359</v>
      </c>
      <c r="AF338" s="15">
        <f t="shared" si="221"/>
        <v>0.95684423465947399</v>
      </c>
      <c r="AG338" s="15">
        <f t="shared" si="222"/>
        <v>0.97182175622542599</v>
      </c>
      <c r="AH338" s="16">
        <v>54</v>
      </c>
      <c r="AI338" s="16">
        <v>5</v>
      </c>
      <c r="AJ338" s="16">
        <v>1526</v>
      </c>
      <c r="AK338" s="16">
        <f t="shared" si="223"/>
        <v>43</v>
      </c>
      <c r="AL338" s="16">
        <v>1483</v>
      </c>
      <c r="AM338" s="16">
        <v>1419</v>
      </c>
      <c r="AN338" s="16">
        <f t="shared" si="224"/>
        <v>64</v>
      </c>
      <c r="AO338" s="16"/>
      <c r="AQ338" s="84"/>
      <c r="AR338" s="85"/>
      <c r="AS338" s="15"/>
      <c r="AT338" s="15"/>
      <c r="AU338" s="15"/>
      <c r="AV338" s="15"/>
      <c r="AW338" s="15"/>
      <c r="AX338" s="16"/>
      <c r="AY338" s="16"/>
      <c r="AZ338" s="16"/>
      <c r="BA338" s="16"/>
      <c r="BB338" s="16"/>
      <c r="BC338" s="16"/>
      <c r="BE338" s="18">
        <v>2020</v>
      </c>
      <c r="BF338" s="18" t="s">
        <v>44</v>
      </c>
      <c r="BG338" s="15"/>
      <c r="BH338" s="15"/>
      <c r="BI338" s="15"/>
      <c r="BJ338" s="16"/>
      <c r="BK338" s="16"/>
      <c r="BL338" s="16"/>
      <c r="BM338" s="16"/>
      <c r="BN338" s="16"/>
      <c r="BO338" s="16"/>
      <c r="BP338" s="16"/>
      <c r="BQ338" s="18" t="s">
        <v>108</v>
      </c>
      <c r="BS338" s="18">
        <v>2020</v>
      </c>
      <c r="BT338" s="18" t="s">
        <v>44</v>
      </c>
      <c r="BU338" s="15"/>
      <c r="BV338" s="15"/>
      <c r="BW338" s="15"/>
      <c r="BX338" s="16"/>
      <c r="BY338" s="16"/>
      <c r="BZ338" s="16"/>
      <c r="CA338" s="16"/>
      <c r="CB338" s="16"/>
      <c r="CC338" s="16"/>
      <c r="CD338" s="16"/>
      <c r="CI338" s="15"/>
      <c r="CJ338" s="15"/>
      <c r="CK338" s="15"/>
      <c r="CL338" s="16"/>
      <c r="CM338" s="16"/>
      <c r="CN338" s="16"/>
      <c r="CO338" s="16"/>
      <c r="CP338" s="16"/>
      <c r="CQ338" s="16"/>
      <c r="CR338" s="16"/>
    </row>
    <row r="339" spans="1:96" s="18" customFormat="1" ht="15" customHeight="1">
      <c r="A339" s="18">
        <v>2020</v>
      </c>
      <c r="B339" s="18" t="s">
        <v>45</v>
      </c>
      <c r="C339" s="15">
        <f t="shared" si="212"/>
        <v>0.94483224498986718</v>
      </c>
      <c r="D339" s="15">
        <f t="shared" si="213"/>
        <v>0.9670430974879004</v>
      </c>
      <c r="E339" s="15">
        <f t="shared" si="214"/>
        <v>0.97703219995496515</v>
      </c>
      <c r="F339" s="57">
        <f t="shared" si="199"/>
        <v>176</v>
      </c>
      <c r="G339"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9" s="57">
        <f>+V339+AJ339+AX339+BL339+BS_GC_MP_Vill[[#This Row],[Trenes Programados]]</f>
        <v>4441</v>
      </c>
      <c r="I339" s="16">
        <f t="shared" si="178"/>
        <v>102</v>
      </c>
      <c r="J339" s="57">
        <f>+X339+AL339+AZ339+BN339+BS_GC_MP_Vill[[#This Row],[Trenes Corridos]]</f>
        <v>4339</v>
      </c>
      <c r="K339" s="57">
        <f>+Y339+AM339+BA339+BO339+BS_GC_MP_Vill[[#This Row],[Trenes Puntuales]]</f>
        <v>4196</v>
      </c>
      <c r="L339" s="16">
        <f t="shared" si="179"/>
        <v>143</v>
      </c>
      <c r="M339" s="16"/>
      <c r="O339" s="18">
        <v>2020</v>
      </c>
      <c r="P339" s="18" t="s">
        <v>45</v>
      </c>
      <c r="Q339" s="15">
        <f t="shared" si="215"/>
        <v>0.94136125654450264</v>
      </c>
      <c r="R339" s="15">
        <f t="shared" si="216"/>
        <v>0.96909809558030902</v>
      </c>
      <c r="S339" s="15">
        <f t="shared" si="217"/>
        <v>0.97137870855148345</v>
      </c>
      <c r="T339" s="16">
        <v>122</v>
      </c>
      <c r="U339" s="16">
        <v>5</v>
      </c>
      <c r="V339" s="16">
        <v>2865</v>
      </c>
      <c r="W339" s="16">
        <f t="shared" si="218"/>
        <v>82</v>
      </c>
      <c r="X339" s="16">
        <v>2783</v>
      </c>
      <c r="Y339" s="16">
        <v>2697</v>
      </c>
      <c r="Z339" s="16">
        <f t="shared" si="219"/>
        <v>86</v>
      </c>
      <c r="AA339" s="19" t="s">
        <v>83</v>
      </c>
      <c r="AC339" s="18">
        <v>2020</v>
      </c>
      <c r="AD339" s="18" t="s">
        <v>45</v>
      </c>
      <c r="AE339" s="15">
        <f t="shared" si="220"/>
        <v>0.95114213197969544</v>
      </c>
      <c r="AF339" s="15">
        <f t="shared" si="221"/>
        <v>0.96336760925449871</v>
      </c>
      <c r="AG339" s="15">
        <f t="shared" si="222"/>
        <v>0.98730964467005078</v>
      </c>
      <c r="AH339" s="16">
        <v>54</v>
      </c>
      <c r="AI339" s="16">
        <v>5</v>
      </c>
      <c r="AJ339" s="16">
        <v>1576</v>
      </c>
      <c r="AK339" s="16">
        <f t="shared" si="223"/>
        <v>20</v>
      </c>
      <c r="AL339" s="16">
        <v>1556</v>
      </c>
      <c r="AM339" s="16">
        <v>1499</v>
      </c>
      <c r="AN339" s="16">
        <f t="shared" si="224"/>
        <v>57</v>
      </c>
      <c r="AO339" s="16"/>
      <c r="AQ339" s="84"/>
      <c r="AR339" s="85"/>
      <c r="AS339" s="15"/>
      <c r="AT339" s="15"/>
      <c r="AU339" s="15"/>
      <c r="AV339" s="15"/>
      <c r="AW339" s="15"/>
      <c r="AX339" s="16"/>
      <c r="AY339" s="16"/>
      <c r="AZ339" s="16"/>
      <c r="BA339" s="16"/>
      <c r="BB339" s="16"/>
      <c r="BC339" s="16"/>
      <c r="BE339" s="18">
        <v>2020</v>
      </c>
      <c r="BF339" s="18" t="s">
        <v>45</v>
      </c>
      <c r="BG339" s="15"/>
      <c r="BH339" s="15"/>
      <c r="BI339" s="15"/>
      <c r="BJ339" s="16"/>
      <c r="BK339" s="16"/>
      <c r="BL339" s="16"/>
      <c r="BM339" s="16"/>
      <c r="BN339" s="16"/>
      <c r="BO339" s="16"/>
      <c r="BP339" s="16"/>
      <c r="BQ339" s="18" t="s">
        <v>108</v>
      </c>
      <c r="BS339" s="18">
        <v>2020</v>
      </c>
      <c r="BT339" s="18" t="s">
        <v>45</v>
      </c>
      <c r="BU339" s="15"/>
      <c r="BV339" s="15"/>
      <c r="BW339" s="15"/>
      <c r="BX339" s="16"/>
      <c r="BY339" s="16"/>
      <c r="BZ339" s="16"/>
      <c r="CA339" s="16"/>
      <c r="CB339" s="16"/>
      <c r="CC339" s="16"/>
      <c r="CD339" s="16"/>
      <c r="CI339" s="15"/>
      <c r="CJ339" s="15"/>
      <c r="CK339" s="15"/>
      <c r="CL339" s="16"/>
      <c r="CM339" s="16"/>
      <c r="CN339" s="16"/>
      <c r="CO339" s="16"/>
      <c r="CP339" s="16"/>
      <c r="CQ339" s="16"/>
      <c r="CR339" s="16"/>
    </row>
    <row r="340" spans="1:96" s="18" customFormat="1" ht="15" customHeight="1">
      <c r="A340" s="84">
        <v>2020</v>
      </c>
      <c r="B340" s="85" t="s">
        <v>46</v>
      </c>
      <c r="C340" s="15">
        <f t="shared" si="212"/>
        <v>0.91893780573025852</v>
      </c>
      <c r="D340" s="15">
        <f t="shared" si="213"/>
        <v>0.95428156748911463</v>
      </c>
      <c r="E340" s="15">
        <f t="shared" si="214"/>
        <v>0.96296296296296291</v>
      </c>
      <c r="F340" s="57">
        <f t="shared" si="199"/>
        <v>176</v>
      </c>
      <c r="G340"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0" s="57">
        <f>+V340+AJ340+AX340+BL340+BS_GC_MP_Vill[[#This Row],[Trenes Programados]]</f>
        <v>4293</v>
      </c>
      <c r="I340" s="16">
        <f t="shared" si="178"/>
        <v>159</v>
      </c>
      <c r="J340" s="57">
        <f>+X340+AL340+AZ340+BN340+BS_GC_MP_Vill[[#This Row],[Trenes Corridos]]</f>
        <v>4134</v>
      </c>
      <c r="K340" s="57">
        <f>+Y340+AM340+BA340+BO340+BS_GC_MP_Vill[[#This Row],[Trenes Puntuales]]</f>
        <v>3945</v>
      </c>
      <c r="L340" s="16">
        <f t="shared" si="179"/>
        <v>189</v>
      </c>
      <c r="M340" s="16"/>
      <c r="O340" s="18">
        <v>2020</v>
      </c>
      <c r="P340" s="18" t="s">
        <v>46</v>
      </c>
      <c r="Q340" s="15">
        <f t="shared" ref="Q340:Q345" si="225">Y340/V340</f>
        <v>0.91865509761388287</v>
      </c>
      <c r="R340" s="15">
        <f t="shared" ref="R340:R345" si="226">Y340/X340</f>
        <v>0.9538288288288288</v>
      </c>
      <c r="S340" s="15">
        <f t="shared" ref="S340:S345" si="227">X340/V340</f>
        <v>0.96312364425162689</v>
      </c>
      <c r="T340" s="16">
        <v>122</v>
      </c>
      <c r="U340" s="16">
        <v>5</v>
      </c>
      <c r="V340" s="16">
        <v>2766</v>
      </c>
      <c r="W340" s="16">
        <f t="shared" si="218"/>
        <v>102</v>
      </c>
      <c r="X340" s="16">
        <v>2664</v>
      </c>
      <c r="Y340" s="16">
        <v>2541</v>
      </c>
      <c r="Z340" s="16">
        <f t="shared" ref="Z340:Z345" si="228">X340-Y340</f>
        <v>123</v>
      </c>
      <c r="AA340" s="19" t="s">
        <v>83</v>
      </c>
      <c r="AC340" s="18">
        <v>2020</v>
      </c>
      <c r="AD340" s="18" t="s">
        <v>46</v>
      </c>
      <c r="AE340" s="15">
        <f t="shared" ref="AE340:AE345" si="229">AM340/AJ340</f>
        <v>0.91944990176817287</v>
      </c>
      <c r="AF340" s="15">
        <f t="shared" ref="AF340:AF345" si="230">AM340/AL340</f>
        <v>0.95510204081632655</v>
      </c>
      <c r="AG340" s="15">
        <f t="shared" ref="AG340:AG345" si="231">AL340/AJ340</f>
        <v>0.96267190569744598</v>
      </c>
      <c r="AH340" s="16">
        <v>54</v>
      </c>
      <c r="AI340" s="16">
        <v>5</v>
      </c>
      <c r="AJ340" s="16">
        <v>1527</v>
      </c>
      <c r="AK340" s="16">
        <f t="shared" ref="AK340:AK345" si="232">AJ340-AL340</f>
        <v>57</v>
      </c>
      <c r="AL340" s="16">
        <v>1470</v>
      </c>
      <c r="AM340" s="16">
        <v>1404</v>
      </c>
      <c r="AN340" s="16">
        <f t="shared" ref="AN340:AN345" si="233">AL340-AM340</f>
        <v>66</v>
      </c>
      <c r="AO340" s="16"/>
      <c r="AQ340" s="84"/>
      <c r="AR340" s="85"/>
      <c r="AS340" s="15"/>
      <c r="AT340" s="15"/>
      <c r="AU340" s="15"/>
      <c r="AV340" s="15"/>
      <c r="AW340" s="15"/>
      <c r="AX340" s="16"/>
      <c r="AY340" s="16"/>
      <c r="AZ340" s="16"/>
      <c r="BA340" s="16"/>
      <c r="BB340" s="16"/>
      <c r="BC340" s="16"/>
      <c r="BE340" s="18">
        <v>2020</v>
      </c>
      <c r="BF340" s="18" t="s">
        <v>46</v>
      </c>
      <c r="BG340" s="15"/>
      <c r="BH340" s="15"/>
      <c r="BI340" s="15"/>
      <c r="BJ340" s="16"/>
      <c r="BK340" s="16"/>
      <c r="BL340" s="16"/>
      <c r="BM340" s="16"/>
      <c r="BN340" s="16"/>
      <c r="BO340" s="16"/>
      <c r="BP340" s="16"/>
      <c r="BQ340" s="18" t="s">
        <v>108</v>
      </c>
      <c r="BS340" s="18">
        <v>2020</v>
      </c>
      <c r="BT340" s="18" t="s">
        <v>46</v>
      </c>
      <c r="BU340" s="15"/>
      <c r="BV340" s="15"/>
      <c r="BW340" s="15"/>
      <c r="BX340" s="16"/>
      <c r="BY340" s="16"/>
      <c r="BZ340" s="16"/>
      <c r="CA340" s="16"/>
      <c r="CB340" s="16"/>
      <c r="CC340" s="16"/>
      <c r="CD340" s="16"/>
      <c r="CI340" s="15"/>
      <c r="CJ340" s="15"/>
      <c r="CK340" s="15"/>
      <c r="CL340" s="16"/>
      <c r="CM340" s="16"/>
      <c r="CN340" s="16"/>
      <c r="CO340" s="16"/>
      <c r="CP340" s="16"/>
      <c r="CQ340" s="16"/>
      <c r="CR340" s="16"/>
    </row>
    <row r="341" spans="1:96" s="18" customFormat="1" ht="15" customHeight="1">
      <c r="A341" s="18">
        <v>2020</v>
      </c>
      <c r="B341" s="18" t="s">
        <v>47</v>
      </c>
      <c r="C341" s="15">
        <f t="shared" si="212"/>
        <v>0.84923146473779387</v>
      </c>
      <c r="D341" s="15">
        <f t="shared" si="213"/>
        <v>0.9324894514767933</v>
      </c>
      <c r="E341" s="15">
        <f t="shared" si="214"/>
        <v>0.9107142857142857</v>
      </c>
      <c r="F341" s="57">
        <f t="shared" si="199"/>
        <v>176</v>
      </c>
      <c r="G341"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1" s="57">
        <f>+V341+AJ341+AX341+BL341+BS_GC_MP_Vill[[#This Row],[Trenes Programados]]</f>
        <v>4424</v>
      </c>
      <c r="I341" s="16">
        <f t="shared" si="178"/>
        <v>395</v>
      </c>
      <c r="J341" s="57">
        <f>+X341+AL341+AZ341+BN341+BS_GC_MP_Vill[[#This Row],[Trenes Corridos]]</f>
        <v>4029</v>
      </c>
      <c r="K341" s="57">
        <f>+Y341+AM341+BA341+BO341+BS_GC_MP_Vill[[#This Row],[Trenes Puntuales]]</f>
        <v>3757</v>
      </c>
      <c r="L341" s="16">
        <f t="shared" si="179"/>
        <v>272</v>
      </c>
      <c r="M341" s="16"/>
      <c r="O341" s="18">
        <v>2020</v>
      </c>
      <c r="P341" s="18" t="s">
        <v>47</v>
      </c>
      <c r="Q341" s="15">
        <f t="shared" si="225"/>
        <v>0.83725834797891041</v>
      </c>
      <c r="R341" s="15">
        <f t="shared" si="226"/>
        <v>0.92720903075126504</v>
      </c>
      <c r="S341" s="15">
        <f t="shared" si="227"/>
        <v>0.90298769771528997</v>
      </c>
      <c r="T341" s="16">
        <v>122</v>
      </c>
      <c r="U341" s="16">
        <v>5</v>
      </c>
      <c r="V341" s="16">
        <v>2845</v>
      </c>
      <c r="W341" s="16">
        <f t="shared" si="218"/>
        <v>276</v>
      </c>
      <c r="X341" s="16">
        <v>2569</v>
      </c>
      <c r="Y341" s="16">
        <v>2382</v>
      </c>
      <c r="Z341" s="16">
        <f t="shared" si="228"/>
        <v>187</v>
      </c>
      <c r="AA341" s="16"/>
      <c r="AC341" s="18">
        <v>2020</v>
      </c>
      <c r="AD341" s="18" t="s">
        <v>47</v>
      </c>
      <c r="AE341" s="15">
        <f t="shared" si="229"/>
        <v>0.87080430652311591</v>
      </c>
      <c r="AF341" s="15">
        <f t="shared" si="230"/>
        <v>0.94178082191780821</v>
      </c>
      <c r="AG341" s="15">
        <f t="shared" si="231"/>
        <v>0.92463584547181765</v>
      </c>
      <c r="AH341" s="16">
        <v>54</v>
      </c>
      <c r="AI341" s="16">
        <v>5</v>
      </c>
      <c r="AJ341" s="16">
        <v>1579</v>
      </c>
      <c r="AK341" s="16">
        <f t="shared" si="232"/>
        <v>119</v>
      </c>
      <c r="AL341" s="16">
        <v>1460</v>
      </c>
      <c r="AM341" s="16">
        <v>1375</v>
      </c>
      <c r="AN341" s="16">
        <f t="shared" si="233"/>
        <v>85</v>
      </c>
      <c r="AO341" s="16"/>
      <c r="AQ341" s="84"/>
      <c r="AR341" s="85"/>
      <c r="AS341" s="15"/>
      <c r="AT341" s="15"/>
      <c r="AU341" s="15"/>
      <c r="AV341" s="15"/>
      <c r="AW341" s="15"/>
      <c r="AX341" s="16"/>
      <c r="AY341" s="16"/>
      <c r="AZ341" s="16"/>
      <c r="BA341" s="16"/>
      <c r="BB341" s="16"/>
      <c r="BC341" s="16"/>
      <c r="BE341" s="18">
        <v>2020</v>
      </c>
      <c r="BF341" s="18" t="s">
        <v>47</v>
      </c>
      <c r="BG341" s="15"/>
      <c r="BH341" s="15"/>
      <c r="BI341" s="15"/>
      <c r="BJ341" s="16"/>
      <c r="BK341" s="16"/>
      <c r="BL341" s="16"/>
      <c r="BM341" s="16"/>
      <c r="BN341" s="16"/>
      <c r="BO341" s="16"/>
      <c r="BP341" s="16"/>
      <c r="BQ341" s="18" t="s">
        <v>108</v>
      </c>
      <c r="BS341" s="18">
        <v>2020</v>
      </c>
      <c r="BT341" s="18" t="s">
        <v>47</v>
      </c>
      <c r="BU341" s="15"/>
      <c r="BV341" s="15"/>
      <c r="BW341" s="15"/>
      <c r="BX341" s="16"/>
      <c r="BY341" s="16"/>
      <c r="BZ341" s="16"/>
      <c r="CA341" s="16"/>
      <c r="CB341" s="16"/>
      <c r="CC341" s="16"/>
      <c r="CD341" s="16"/>
      <c r="CI341" s="15"/>
      <c r="CJ341" s="15"/>
      <c r="CK341" s="15"/>
      <c r="CL341" s="16"/>
      <c r="CM341" s="16"/>
      <c r="CN341" s="16"/>
      <c r="CO341" s="16"/>
      <c r="CP341" s="16"/>
      <c r="CQ341" s="16"/>
      <c r="CR341" s="16"/>
    </row>
    <row r="342" spans="1:96" s="18" customFormat="1" ht="15" customHeight="1">
      <c r="A342" s="84">
        <v>2021</v>
      </c>
      <c r="B342" s="85" t="s">
        <v>36</v>
      </c>
      <c r="C342" s="15">
        <f t="shared" si="212"/>
        <v>0.85998193315266491</v>
      </c>
      <c r="D342" s="15">
        <f t="shared" si="213"/>
        <v>0.90108849976336958</v>
      </c>
      <c r="E342" s="15">
        <f t="shared" si="214"/>
        <v>0.95438121047877145</v>
      </c>
      <c r="F342" s="57">
        <f t="shared" si="199"/>
        <v>146</v>
      </c>
      <c r="G342"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2" s="57">
        <f>+V342+AJ342+AX342+BL342+BS_GC_MP_Vill[[#This Row],[Trenes Programados]]</f>
        <v>4428</v>
      </c>
      <c r="I342" s="16">
        <f t="shared" si="178"/>
        <v>202</v>
      </c>
      <c r="J342" s="57">
        <f>+X342+AL342+AZ342+BN342+BS_GC_MP_Vill[[#This Row],[Trenes Corridos]]</f>
        <v>4226</v>
      </c>
      <c r="K342" s="57">
        <f>+Y342+AM342+BA342+BO342+BS_GC_MP_Vill[[#This Row],[Trenes Puntuales]]</f>
        <v>3808</v>
      </c>
      <c r="L342" s="16">
        <f t="shared" si="179"/>
        <v>418</v>
      </c>
      <c r="M342" s="16"/>
      <c r="O342" s="84">
        <v>2021</v>
      </c>
      <c r="P342" s="85" t="s">
        <v>36</v>
      </c>
      <c r="Q342" s="15">
        <f t="shared" si="225"/>
        <v>0.86926042762004907</v>
      </c>
      <c r="R342" s="15">
        <f t="shared" si="226"/>
        <v>0.91310751104565535</v>
      </c>
      <c r="S342" s="15">
        <f t="shared" si="227"/>
        <v>0.95198037153873116</v>
      </c>
      <c r="T342" s="16">
        <v>95</v>
      </c>
      <c r="U342" s="16">
        <v>5</v>
      </c>
      <c r="V342" s="16">
        <v>2853</v>
      </c>
      <c r="W342" s="16">
        <f t="shared" ref="W342:W349" si="234">V342-X342</f>
        <v>137</v>
      </c>
      <c r="X342" s="16">
        <v>2716</v>
      </c>
      <c r="Y342" s="16">
        <v>2480</v>
      </c>
      <c r="Z342" s="16">
        <f t="shared" si="228"/>
        <v>236</v>
      </c>
      <c r="AA342" s="16"/>
      <c r="AC342" s="84">
        <v>2021</v>
      </c>
      <c r="AD342" s="85" t="s">
        <v>36</v>
      </c>
      <c r="AE342" s="15">
        <f t="shared" si="229"/>
        <v>0.84317460317460313</v>
      </c>
      <c r="AF342" s="15">
        <f t="shared" si="230"/>
        <v>0.87947019867549669</v>
      </c>
      <c r="AG342" s="15">
        <f t="shared" si="231"/>
        <v>0.95873015873015877</v>
      </c>
      <c r="AH342" s="16">
        <v>51</v>
      </c>
      <c r="AI342" s="16">
        <v>5</v>
      </c>
      <c r="AJ342" s="16">
        <v>1575</v>
      </c>
      <c r="AK342" s="16">
        <f t="shared" si="232"/>
        <v>65</v>
      </c>
      <c r="AL342" s="16">
        <v>1510</v>
      </c>
      <c r="AM342" s="16">
        <v>1328</v>
      </c>
      <c r="AN342" s="16">
        <f t="shared" si="233"/>
        <v>182</v>
      </c>
      <c r="AO342" s="16"/>
      <c r="AS342" s="15"/>
      <c r="AT342" s="15"/>
      <c r="AU342" s="15"/>
      <c r="AV342" s="15"/>
      <c r="AW342" s="15"/>
      <c r="AX342" s="16"/>
      <c r="AY342" s="16"/>
      <c r="AZ342" s="16"/>
      <c r="BA342" s="16"/>
      <c r="BB342" s="16"/>
      <c r="BC342" s="16"/>
      <c r="BE342" s="84">
        <v>2021</v>
      </c>
      <c r="BF342" s="85" t="s">
        <v>36</v>
      </c>
      <c r="BG342" s="15"/>
      <c r="BH342" s="15"/>
      <c r="BI342" s="15"/>
      <c r="BJ342" s="16"/>
      <c r="BK342" s="16"/>
      <c r="BL342" s="16"/>
      <c r="BM342" s="16"/>
      <c r="BN342" s="16"/>
      <c r="BO342" s="16"/>
      <c r="BP342" s="16"/>
      <c r="BQ342" s="18" t="s">
        <v>108</v>
      </c>
      <c r="BS342" s="84">
        <v>2021</v>
      </c>
      <c r="BT342" s="85" t="s">
        <v>36</v>
      </c>
      <c r="BU342" s="15"/>
      <c r="BV342" s="15"/>
      <c r="BW342" s="15"/>
      <c r="BX342" s="16"/>
      <c r="BY342" s="16"/>
      <c r="BZ342" s="16"/>
      <c r="CA342" s="16"/>
      <c r="CB342" s="16"/>
      <c r="CC342" s="16"/>
      <c r="CD342" s="16"/>
      <c r="CG342" s="84"/>
      <c r="CH342" s="85"/>
      <c r="CI342" s="15"/>
      <c r="CJ342" s="15"/>
      <c r="CK342" s="15"/>
      <c r="CL342" s="16"/>
      <c r="CM342" s="16"/>
      <c r="CN342" s="16"/>
      <c r="CO342" s="16"/>
      <c r="CP342" s="16"/>
      <c r="CQ342" s="16"/>
      <c r="CR342" s="16"/>
    </row>
    <row r="343" spans="1:96" s="18" customFormat="1" ht="15" customHeight="1">
      <c r="A343" s="18">
        <v>2021</v>
      </c>
      <c r="B343" s="18" t="s">
        <v>37</v>
      </c>
      <c r="C343" s="15">
        <f t="shared" si="212"/>
        <v>0.8222333500250375</v>
      </c>
      <c r="D343" s="15">
        <f t="shared" si="213"/>
        <v>0.90021929824561409</v>
      </c>
      <c r="E343" s="15">
        <f t="shared" si="214"/>
        <v>0.91337005508262392</v>
      </c>
      <c r="F343" s="57">
        <f t="shared" si="199"/>
        <v>146</v>
      </c>
      <c r="G343"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3" s="57">
        <f>+V343+AJ343+AX343+BL343+BS_GC_MP_Vill[[#This Row],[Trenes Programados]]</f>
        <v>3994</v>
      </c>
      <c r="I343" s="16">
        <f t="shared" si="178"/>
        <v>346</v>
      </c>
      <c r="J343" s="57">
        <f>+X343+AL343+AZ343+BN343+BS_GC_MP_Vill[[#This Row],[Trenes Corridos]]</f>
        <v>3648</v>
      </c>
      <c r="K343" s="57">
        <f>+Y343+AM343+BA343+BO343+BS_GC_MP_Vill[[#This Row],[Trenes Puntuales]]</f>
        <v>3284</v>
      </c>
      <c r="L343" s="16">
        <f t="shared" si="179"/>
        <v>364</v>
      </c>
      <c r="M343" s="16"/>
      <c r="O343" s="18">
        <v>2021</v>
      </c>
      <c r="P343" s="18" t="s">
        <v>37</v>
      </c>
      <c r="Q343" s="15">
        <f t="shared" si="225"/>
        <v>0.82426127527216175</v>
      </c>
      <c r="R343" s="15">
        <f t="shared" si="226"/>
        <v>0.90443686006825941</v>
      </c>
      <c r="S343" s="15">
        <f t="shared" si="227"/>
        <v>0.91135303265940903</v>
      </c>
      <c r="T343" s="16">
        <v>95</v>
      </c>
      <c r="U343" s="16">
        <v>5</v>
      </c>
      <c r="V343" s="16">
        <v>2572</v>
      </c>
      <c r="W343" s="16">
        <f t="shared" si="234"/>
        <v>228</v>
      </c>
      <c r="X343" s="16">
        <v>2344</v>
      </c>
      <c r="Y343" s="16">
        <v>2120</v>
      </c>
      <c r="Z343" s="16">
        <f t="shared" si="228"/>
        <v>224</v>
      </c>
      <c r="AA343" s="16"/>
      <c r="AC343" s="18">
        <v>2021</v>
      </c>
      <c r="AD343" s="18" t="s">
        <v>37</v>
      </c>
      <c r="AE343" s="15">
        <f t="shared" si="229"/>
        <v>0.81856540084388185</v>
      </c>
      <c r="AF343" s="15">
        <f t="shared" si="230"/>
        <v>0.8926380368098159</v>
      </c>
      <c r="AG343" s="15">
        <f t="shared" si="231"/>
        <v>0.91701828410689168</v>
      </c>
      <c r="AH343" s="16">
        <v>51</v>
      </c>
      <c r="AI343" s="16">
        <v>5</v>
      </c>
      <c r="AJ343" s="16">
        <v>1422</v>
      </c>
      <c r="AK343" s="16">
        <f t="shared" si="232"/>
        <v>118</v>
      </c>
      <c r="AL343" s="16">
        <v>1304</v>
      </c>
      <c r="AM343" s="16">
        <v>1164</v>
      </c>
      <c r="AN343" s="16">
        <f t="shared" si="233"/>
        <v>140</v>
      </c>
      <c r="AO343" s="16"/>
      <c r="AS343" s="15"/>
      <c r="AT343" s="15"/>
      <c r="AU343" s="15"/>
      <c r="AV343" s="15"/>
      <c r="AW343" s="15"/>
      <c r="AX343" s="16"/>
      <c r="AY343" s="16"/>
      <c r="AZ343" s="16"/>
      <c r="BA343" s="16"/>
      <c r="BB343" s="16"/>
      <c r="BC343" s="16"/>
      <c r="BE343" s="18">
        <v>2021</v>
      </c>
      <c r="BF343" s="18" t="s">
        <v>37</v>
      </c>
      <c r="BG343" s="15"/>
      <c r="BH343" s="15"/>
      <c r="BI343" s="15"/>
      <c r="BJ343" s="16"/>
      <c r="BK343" s="16"/>
      <c r="BL343" s="16"/>
      <c r="BM343" s="16"/>
      <c r="BN343" s="16"/>
      <c r="BO343" s="16"/>
      <c r="BP343" s="16"/>
      <c r="BQ343" s="18" t="s">
        <v>108</v>
      </c>
      <c r="BS343" s="18">
        <v>2021</v>
      </c>
      <c r="BT343" s="18" t="s">
        <v>37</v>
      </c>
      <c r="BU343" s="15"/>
      <c r="BV343" s="15"/>
      <c r="BW343" s="15"/>
      <c r="BX343" s="16"/>
      <c r="BY343" s="16"/>
      <c r="BZ343" s="16"/>
      <c r="CA343" s="16"/>
      <c r="CB343" s="16"/>
      <c r="CC343" s="16"/>
      <c r="CD343" s="16"/>
      <c r="CI343" s="15"/>
      <c r="CJ343" s="15"/>
      <c r="CK343" s="15"/>
      <c r="CL343" s="16"/>
      <c r="CM343" s="16"/>
      <c r="CN343" s="16"/>
      <c r="CO343" s="16"/>
      <c r="CP343" s="16"/>
      <c r="CQ343" s="16"/>
      <c r="CR343" s="16"/>
    </row>
    <row r="344" spans="1:96" s="18" customFormat="1" ht="15" customHeight="1">
      <c r="A344" s="84">
        <v>2021</v>
      </c>
      <c r="B344" s="85" t="s">
        <v>38</v>
      </c>
      <c r="C344" s="15">
        <f t="shared" si="212"/>
        <v>0.88526434195725534</v>
      </c>
      <c r="D344" s="15">
        <f t="shared" si="213"/>
        <v>0.92176153665963922</v>
      </c>
      <c r="E344" s="15">
        <f t="shared" si="214"/>
        <v>0.96040494938132737</v>
      </c>
      <c r="F344" s="57">
        <f t="shared" si="199"/>
        <v>146</v>
      </c>
      <c r="G344"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4" s="57">
        <f>+V344+AJ344+AX344+BL344+BS_GC_MP_Vill[[#This Row],[Trenes Programados]]</f>
        <v>4445</v>
      </c>
      <c r="I344" s="16">
        <f t="shared" si="178"/>
        <v>176</v>
      </c>
      <c r="J344" s="57">
        <f>+X344+AL344+AZ344+BN344+BS_GC_MP_Vill[[#This Row],[Trenes Corridos]]</f>
        <v>4269</v>
      </c>
      <c r="K344" s="57">
        <f>+Y344+AM344+BA344+BO344+BS_GC_MP_Vill[[#This Row],[Trenes Puntuales]]</f>
        <v>3935</v>
      </c>
      <c r="L344" s="16">
        <f t="shared" si="179"/>
        <v>334</v>
      </c>
      <c r="M344" s="16"/>
      <c r="O344" s="84">
        <v>2021</v>
      </c>
      <c r="P344" s="85" t="s">
        <v>38</v>
      </c>
      <c r="Q344" s="15">
        <f t="shared" si="225"/>
        <v>0.89055420006971076</v>
      </c>
      <c r="R344" s="15">
        <f t="shared" si="226"/>
        <v>0.92942888323026551</v>
      </c>
      <c r="S344" s="15">
        <f t="shared" si="227"/>
        <v>0.95817357964447547</v>
      </c>
      <c r="T344" s="16">
        <v>95</v>
      </c>
      <c r="U344" s="16">
        <v>5</v>
      </c>
      <c r="V344" s="16">
        <v>2869</v>
      </c>
      <c r="W344" s="16">
        <f t="shared" si="234"/>
        <v>120</v>
      </c>
      <c r="X344" s="16">
        <v>2749</v>
      </c>
      <c r="Y344" s="16">
        <v>2555</v>
      </c>
      <c r="Z344" s="16">
        <f t="shared" si="228"/>
        <v>194</v>
      </c>
      <c r="AA344" s="16"/>
      <c r="AC344" s="84">
        <v>2021</v>
      </c>
      <c r="AD344" s="85" t="s">
        <v>38</v>
      </c>
      <c r="AE344" s="15">
        <f t="shared" si="229"/>
        <v>0.87563451776649748</v>
      </c>
      <c r="AF344" s="15">
        <f t="shared" si="230"/>
        <v>0.90789473684210531</v>
      </c>
      <c r="AG344" s="15">
        <f t="shared" si="231"/>
        <v>0.96446700507614214</v>
      </c>
      <c r="AH344" s="16">
        <v>51</v>
      </c>
      <c r="AI344" s="16">
        <v>5</v>
      </c>
      <c r="AJ344" s="16">
        <v>1576</v>
      </c>
      <c r="AK344" s="16">
        <f t="shared" si="232"/>
        <v>56</v>
      </c>
      <c r="AL344" s="16">
        <v>1520</v>
      </c>
      <c r="AM344" s="16">
        <v>1380</v>
      </c>
      <c r="AN344" s="16">
        <f t="shared" si="233"/>
        <v>140</v>
      </c>
      <c r="AO344" s="16"/>
      <c r="AQ344" s="84"/>
      <c r="AR344" s="85"/>
      <c r="AS344" s="15"/>
      <c r="AT344" s="15"/>
      <c r="AU344" s="15"/>
      <c r="AV344" s="15"/>
      <c r="AW344" s="15"/>
      <c r="AX344" s="16"/>
      <c r="AY344" s="16"/>
      <c r="AZ344" s="16"/>
      <c r="BA344" s="16"/>
      <c r="BB344" s="16"/>
      <c r="BC344" s="16"/>
      <c r="BE344" s="84">
        <v>2021</v>
      </c>
      <c r="BF344" s="85" t="s">
        <v>38</v>
      </c>
      <c r="BG344" s="15"/>
      <c r="BH344" s="15"/>
      <c r="BI344" s="15"/>
      <c r="BJ344" s="16"/>
      <c r="BK344" s="16"/>
      <c r="BL344" s="16"/>
      <c r="BM344" s="16"/>
      <c r="BN344" s="16"/>
      <c r="BO344" s="16"/>
      <c r="BP344" s="16"/>
      <c r="BQ344" s="18" t="s">
        <v>108</v>
      </c>
      <c r="BS344" s="84">
        <v>2021</v>
      </c>
      <c r="BT344" s="85" t="s">
        <v>38</v>
      </c>
      <c r="BU344" s="15"/>
      <c r="BV344" s="15"/>
      <c r="BW344" s="15"/>
      <c r="BX344" s="16"/>
      <c r="BY344" s="16"/>
      <c r="BZ344" s="16"/>
      <c r="CA344" s="16"/>
      <c r="CB344" s="16"/>
      <c r="CC344" s="16"/>
      <c r="CD344" s="16"/>
      <c r="CG344" s="84"/>
      <c r="CH344" s="85"/>
      <c r="CI344" s="15"/>
      <c r="CJ344" s="15"/>
      <c r="CK344" s="15"/>
      <c r="CL344" s="16"/>
      <c r="CM344" s="16"/>
      <c r="CN344" s="16"/>
      <c r="CO344" s="16"/>
      <c r="CP344" s="16"/>
      <c r="CQ344" s="16"/>
      <c r="CR344" s="16"/>
    </row>
    <row r="345" spans="1:96" s="18" customFormat="1" ht="15" customHeight="1">
      <c r="A345" s="18">
        <v>2021</v>
      </c>
      <c r="B345" s="18" t="s">
        <v>39</v>
      </c>
      <c r="C345" s="15">
        <f t="shared" si="212"/>
        <v>0.77206053550640275</v>
      </c>
      <c r="D345" s="15">
        <f t="shared" si="213"/>
        <v>0.83003754693366705</v>
      </c>
      <c r="E345" s="15">
        <f t="shared" si="214"/>
        <v>0.93015133876600697</v>
      </c>
      <c r="F345" s="57">
        <f t="shared" si="199"/>
        <v>146</v>
      </c>
      <c r="G345"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5" s="57">
        <f>+V345+AJ345+AX345+BL345+BS_GC_MP_Vill[[#This Row],[Trenes Programados]]</f>
        <v>4295</v>
      </c>
      <c r="I345" s="16">
        <f t="shared" si="178"/>
        <v>300</v>
      </c>
      <c r="J345" s="57">
        <f>+X345+AL345+AZ345+BN345+BS_GC_MP_Vill[[#This Row],[Trenes Corridos]]</f>
        <v>3995</v>
      </c>
      <c r="K345" s="57">
        <f>+Y345+AM345+BA345+BO345+BS_GC_MP_Vill[[#This Row],[Trenes Puntuales]]</f>
        <v>3316</v>
      </c>
      <c r="L345" s="16">
        <f t="shared" si="179"/>
        <v>679</v>
      </c>
      <c r="M345" s="16"/>
      <c r="O345" s="18">
        <v>2021</v>
      </c>
      <c r="P345" s="18" t="s">
        <v>39</v>
      </c>
      <c r="Q345" s="15">
        <f t="shared" si="225"/>
        <v>0.74657039711191331</v>
      </c>
      <c r="R345" s="15">
        <f t="shared" si="226"/>
        <v>0.80592361652377242</v>
      </c>
      <c r="S345" s="15">
        <f t="shared" si="227"/>
        <v>0.92635379061371836</v>
      </c>
      <c r="T345" s="16">
        <v>95</v>
      </c>
      <c r="U345" s="16">
        <v>5</v>
      </c>
      <c r="V345" s="16">
        <v>2770</v>
      </c>
      <c r="W345" s="16">
        <f t="shared" si="234"/>
        <v>204</v>
      </c>
      <c r="X345" s="16">
        <v>2566</v>
      </c>
      <c r="Y345" s="16">
        <v>2068</v>
      </c>
      <c r="Z345" s="16">
        <f t="shared" si="228"/>
        <v>498</v>
      </c>
      <c r="AA345" s="16"/>
      <c r="AC345" s="18">
        <v>2021</v>
      </c>
      <c r="AD345" s="18" t="s">
        <v>39</v>
      </c>
      <c r="AE345" s="15">
        <f t="shared" si="229"/>
        <v>0.81836065573770489</v>
      </c>
      <c r="AF345" s="15">
        <f t="shared" si="230"/>
        <v>0.87333799860041983</v>
      </c>
      <c r="AG345" s="15">
        <f t="shared" si="231"/>
        <v>0.93704918032786888</v>
      </c>
      <c r="AH345" s="16">
        <v>51</v>
      </c>
      <c r="AI345" s="16">
        <v>5</v>
      </c>
      <c r="AJ345" s="16">
        <v>1525</v>
      </c>
      <c r="AK345" s="16">
        <f t="shared" si="232"/>
        <v>96</v>
      </c>
      <c r="AL345" s="16">
        <v>1429</v>
      </c>
      <c r="AM345" s="16">
        <v>1248</v>
      </c>
      <c r="AN345" s="16">
        <f t="shared" si="233"/>
        <v>181</v>
      </c>
      <c r="AO345" s="16"/>
      <c r="AS345" s="15"/>
      <c r="AT345" s="15"/>
      <c r="AU345" s="15"/>
      <c r="AV345" s="15"/>
      <c r="AW345" s="15"/>
      <c r="AX345" s="16"/>
      <c r="AY345" s="16"/>
      <c r="AZ345" s="16"/>
      <c r="BA345" s="16"/>
      <c r="BB345" s="16"/>
      <c r="BC345" s="16"/>
      <c r="BE345" s="18">
        <v>2021</v>
      </c>
      <c r="BF345" s="18" t="s">
        <v>39</v>
      </c>
      <c r="BG345" s="15"/>
      <c r="BH345" s="15"/>
      <c r="BI345" s="15"/>
      <c r="BJ345" s="16"/>
      <c r="BK345" s="16"/>
      <c r="BL345" s="16"/>
      <c r="BM345" s="16"/>
      <c r="BN345" s="16"/>
      <c r="BO345" s="16"/>
      <c r="BP345" s="16"/>
      <c r="BQ345" s="18" t="s">
        <v>108</v>
      </c>
      <c r="BS345" s="18">
        <v>2021</v>
      </c>
      <c r="BT345" s="18" t="s">
        <v>39</v>
      </c>
      <c r="BU345" s="15"/>
      <c r="BV345" s="15"/>
      <c r="BW345" s="15"/>
      <c r="BX345" s="16"/>
      <c r="BY345" s="16"/>
      <c r="BZ345" s="16"/>
      <c r="CA345" s="16"/>
      <c r="CB345" s="16"/>
      <c r="CC345" s="16"/>
      <c r="CD345" s="16"/>
      <c r="CI345" s="15"/>
      <c r="CJ345" s="15"/>
      <c r="CK345" s="15"/>
      <c r="CL345" s="16"/>
      <c r="CM345" s="16"/>
      <c r="CN345" s="16"/>
      <c r="CO345" s="16"/>
      <c r="CP345" s="16"/>
      <c r="CQ345" s="16"/>
      <c r="CR345" s="16"/>
    </row>
    <row r="346" spans="1:96" s="18" customFormat="1" ht="15" customHeight="1">
      <c r="A346" s="84">
        <v>2021</v>
      </c>
      <c r="B346" s="85" t="s">
        <v>40</v>
      </c>
      <c r="C346" s="15">
        <f t="shared" si="212"/>
        <v>0.80186109850204268</v>
      </c>
      <c r="D346" s="15">
        <f t="shared" si="213"/>
        <v>0.84279580152671751</v>
      </c>
      <c r="E346" s="15">
        <f t="shared" si="214"/>
        <v>0.95142986836132548</v>
      </c>
      <c r="F346" s="57">
        <f t="shared" si="199"/>
        <v>146</v>
      </c>
      <c r="G346"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6" s="57">
        <f>+V346+AJ346+AX346+BL346+BS_GC_MP_Vill[[#This Row],[Trenes Programados]]</f>
        <v>4406</v>
      </c>
      <c r="I346" s="16">
        <f t="shared" si="178"/>
        <v>214</v>
      </c>
      <c r="J346" s="57">
        <f>+X346+AL346+AZ346+BN346+BS_GC_MP_Vill[[#This Row],[Trenes Corridos]]</f>
        <v>4192</v>
      </c>
      <c r="K346" s="57">
        <f>+Y346+AM346+BA346+BO346+BS_GC_MP_Vill[[#This Row],[Trenes Puntuales]]</f>
        <v>3533</v>
      </c>
      <c r="L346" s="16">
        <f t="shared" si="179"/>
        <v>659</v>
      </c>
      <c r="M346" s="16"/>
      <c r="O346" s="84">
        <v>2021</v>
      </c>
      <c r="P346" s="85" t="s">
        <v>40</v>
      </c>
      <c r="Q346" s="15">
        <f t="shared" ref="Q346:Q352" si="235">Y346/V346</f>
        <v>0.79915284151076593</v>
      </c>
      <c r="R346" s="15">
        <f t="shared" ref="R346:R352" si="236">Y346/X346</f>
        <v>0.83914010378057824</v>
      </c>
      <c r="S346" s="15">
        <f t="shared" ref="S346:S352" si="237">X346/V346</f>
        <v>0.95234733498058599</v>
      </c>
      <c r="T346" s="16">
        <v>95</v>
      </c>
      <c r="U346" s="16">
        <v>5</v>
      </c>
      <c r="V346" s="16">
        <v>2833</v>
      </c>
      <c r="W346" s="16">
        <f t="shared" si="234"/>
        <v>135</v>
      </c>
      <c r="X346" s="16">
        <v>2698</v>
      </c>
      <c r="Y346" s="16">
        <v>2264</v>
      </c>
      <c r="Z346" s="16">
        <f t="shared" ref="Z346:Z352" si="238">X346-Y346</f>
        <v>434</v>
      </c>
      <c r="AA346" s="16"/>
      <c r="AC346" s="84">
        <v>2021</v>
      </c>
      <c r="AD346" s="85" t="s">
        <v>40</v>
      </c>
      <c r="AE346" s="15">
        <f t="shared" ref="AE346:AE352" si="239">AM346/AJ346</f>
        <v>0.80673871582962497</v>
      </c>
      <c r="AF346" s="15">
        <f t="shared" ref="AF346:AF352" si="240">AM346/AL346</f>
        <v>0.8493975903614458</v>
      </c>
      <c r="AG346" s="15">
        <f t="shared" ref="AG346:AG352" si="241">AL346/AJ346</f>
        <v>0.94977749523204069</v>
      </c>
      <c r="AH346" s="16">
        <v>51</v>
      </c>
      <c r="AI346" s="16">
        <v>5</v>
      </c>
      <c r="AJ346" s="16">
        <v>1573</v>
      </c>
      <c r="AK346" s="16">
        <f>AJ346-AL346</f>
        <v>79</v>
      </c>
      <c r="AL346" s="16">
        <v>1494</v>
      </c>
      <c r="AM346" s="16">
        <v>1269</v>
      </c>
      <c r="AN346" s="16">
        <f t="shared" ref="AN346:AN352" si="242">AL346-AM346</f>
        <v>225</v>
      </c>
      <c r="AO346" s="16"/>
      <c r="AS346" s="15"/>
      <c r="AT346" s="15"/>
      <c r="AU346" s="15"/>
      <c r="AV346" s="15"/>
      <c r="AW346" s="15"/>
      <c r="AX346" s="16"/>
      <c r="AY346" s="16"/>
      <c r="AZ346" s="16"/>
      <c r="BA346" s="16"/>
      <c r="BB346" s="16"/>
      <c r="BC346" s="16"/>
      <c r="BE346" s="84">
        <v>2021</v>
      </c>
      <c r="BF346" s="85" t="s">
        <v>40</v>
      </c>
      <c r="BG346" s="15"/>
      <c r="BH346" s="15"/>
      <c r="BI346" s="15"/>
      <c r="BJ346" s="16"/>
      <c r="BK346" s="16"/>
      <c r="BL346" s="16"/>
      <c r="BM346" s="16"/>
      <c r="BN346" s="16"/>
      <c r="BO346" s="16"/>
      <c r="BP346" s="16"/>
      <c r="BQ346" s="18" t="s">
        <v>108</v>
      </c>
      <c r="BS346" s="84">
        <v>2021</v>
      </c>
      <c r="BT346" s="85" t="s">
        <v>40</v>
      </c>
      <c r="BU346" s="15"/>
      <c r="BV346" s="15"/>
      <c r="BW346" s="15"/>
      <c r="BX346" s="16"/>
      <c r="BY346" s="16"/>
      <c r="BZ346" s="16"/>
      <c r="CA346" s="16"/>
      <c r="CB346" s="16"/>
      <c r="CC346" s="16"/>
      <c r="CD346" s="16"/>
      <c r="CG346" s="84"/>
      <c r="CH346" s="85"/>
      <c r="CI346" s="15"/>
      <c r="CJ346" s="15"/>
      <c r="CK346" s="15"/>
      <c r="CL346" s="16"/>
      <c r="CM346" s="16"/>
      <c r="CN346" s="16"/>
      <c r="CO346" s="16"/>
      <c r="CP346" s="16"/>
      <c r="CQ346" s="16"/>
      <c r="CR346" s="16"/>
    </row>
    <row r="347" spans="1:96" s="18" customFormat="1" ht="15" customHeight="1">
      <c r="A347" s="18">
        <v>2021</v>
      </c>
      <c r="B347" s="18" t="s">
        <v>41</v>
      </c>
      <c r="C347" s="15">
        <f t="shared" si="212"/>
        <v>0.7741335194231217</v>
      </c>
      <c r="D347" s="15">
        <f t="shared" si="213"/>
        <v>0.85706927633273244</v>
      </c>
      <c r="E347" s="15">
        <f t="shared" si="214"/>
        <v>0.90323331007210983</v>
      </c>
      <c r="F347" s="57">
        <f t="shared" si="199"/>
        <v>146</v>
      </c>
      <c r="G347"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7" s="57">
        <f>+V347+AJ347+AX347+BL347+BS_GC_MP_Vill[[#This Row],[Trenes Programados]]</f>
        <v>4299</v>
      </c>
      <c r="I347" s="16">
        <f t="shared" si="178"/>
        <v>416</v>
      </c>
      <c r="J347" s="57">
        <f>+X347+AL347+AZ347+BN347+BS_GC_MP_Vill[[#This Row],[Trenes Corridos]]</f>
        <v>3883</v>
      </c>
      <c r="K347" s="57">
        <f>+Y347+AM347+BA347+BO347+BS_GC_MP_Vill[[#This Row],[Trenes Puntuales]]</f>
        <v>3328</v>
      </c>
      <c r="L347" s="16">
        <f t="shared" si="179"/>
        <v>555</v>
      </c>
      <c r="M347" s="16"/>
      <c r="O347" s="18">
        <v>2021</v>
      </c>
      <c r="P347" s="18" t="s">
        <v>41</v>
      </c>
      <c r="Q347" s="15">
        <f t="shared" si="235"/>
        <v>0.77829848594087958</v>
      </c>
      <c r="R347" s="15">
        <f t="shared" si="236"/>
        <v>0.85437277404036405</v>
      </c>
      <c r="S347" s="15">
        <f t="shared" si="237"/>
        <v>0.91095890410958902</v>
      </c>
      <c r="T347" s="16">
        <v>95</v>
      </c>
      <c r="U347" s="16">
        <v>5</v>
      </c>
      <c r="V347" s="16">
        <v>2774</v>
      </c>
      <c r="W347" s="16">
        <f t="shared" si="234"/>
        <v>247</v>
      </c>
      <c r="X347" s="16">
        <v>2527</v>
      </c>
      <c r="Y347" s="16">
        <v>2159</v>
      </c>
      <c r="Z347" s="16">
        <f t="shared" si="238"/>
        <v>368</v>
      </c>
      <c r="AA347" s="16"/>
      <c r="AC347" s="18">
        <v>2021</v>
      </c>
      <c r="AD347" s="18" t="s">
        <v>41</v>
      </c>
      <c r="AE347" s="15">
        <f t="shared" si="239"/>
        <v>0.76655737704918037</v>
      </c>
      <c r="AF347" s="15">
        <f t="shared" si="240"/>
        <v>0.86209439528023601</v>
      </c>
      <c r="AG347" s="15">
        <f t="shared" si="241"/>
        <v>0.88918032786885248</v>
      </c>
      <c r="AH347" s="16">
        <v>51</v>
      </c>
      <c r="AI347" s="16">
        <v>5</v>
      </c>
      <c r="AJ347" s="16">
        <v>1525</v>
      </c>
      <c r="AK347" s="16">
        <f>AJ347-AL347</f>
        <v>169</v>
      </c>
      <c r="AL347" s="16">
        <v>1356</v>
      </c>
      <c r="AM347" s="16">
        <v>1169</v>
      </c>
      <c r="AN347" s="16">
        <f t="shared" si="242"/>
        <v>187</v>
      </c>
      <c r="AO347" s="16"/>
      <c r="AS347" s="15"/>
      <c r="AT347" s="15"/>
      <c r="AU347" s="15"/>
      <c r="AV347" s="15"/>
      <c r="AW347" s="15"/>
      <c r="AX347" s="16"/>
      <c r="AY347" s="16"/>
      <c r="AZ347" s="16"/>
      <c r="BA347" s="16"/>
      <c r="BB347" s="16"/>
      <c r="BC347" s="16"/>
      <c r="BE347" s="18">
        <v>2021</v>
      </c>
      <c r="BF347" s="18" t="s">
        <v>41</v>
      </c>
      <c r="BG347" s="15"/>
      <c r="BH347" s="15"/>
      <c r="BI347" s="15"/>
      <c r="BJ347" s="16"/>
      <c r="BK347" s="16"/>
      <c r="BL347" s="16"/>
      <c r="BM347" s="16"/>
      <c r="BN347" s="16"/>
      <c r="BO347" s="16"/>
      <c r="BP347" s="16"/>
      <c r="BQ347" s="18" t="s">
        <v>108</v>
      </c>
      <c r="BS347" s="18">
        <v>2021</v>
      </c>
      <c r="BT347" s="18" t="s">
        <v>41</v>
      </c>
      <c r="BU347" s="15"/>
      <c r="BV347" s="15"/>
      <c r="BW347" s="15"/>
      <c r="BX347" s="16"/>
      <c r="BY347" s="16"/>
      <c r="BZ347" s="16"/>
      <c r="CA347" s="16"/>
      <c r="CB347" s="16"/>
      <c r="CC347" s="16"/>
      <c r="CD347" s="16"/>
      <c r="CI347" s="15"/>
      <c r="CJ347" s="15"/>
      <c r="CK347" s="15"/>
      <c r="CL347" s="16"/>
      <c r="CM347" s="16"/>
      <c r="CN347" s="16"/>
      <c r="CO347" s="16"/>
      <c r="CP347" s="16"/>
      <c r="CQ347" s="16"/>
      <c r="CR347" s="16"/>
    </row>
    <row r="348" spans="1:96" s="18" customFormat="1" ht="15" customHeight="1">
      <c r="A348" s="18">
        <v>2021</v>
      </c>
      <c r="B348" s="18" t="s">
        <v>42</v>
      </c>
      <c r="C348" s="15">
        <f t="shared" si="212"/>
        <v>0.84035127223598294</v>
      </c>
      <c r="D348" s="15">
        <f t="shared" si="213"/>
        <v>0.89754689754689754</v>
      </c>
      <c r="E348" s="15">
        <f t="shared" si="214"/>
        <v>0.93627561360054046</v>
      </c>
      <c r="F348" s="57">
        <f t="shared" si="199"/>
        <v>146</v>
      </c>
      <c r="G348"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5.2861952861952863</v>
      </c>
      <c r="H348" s="57">
        <f>+V348+AJ348+AX348+BL348+BS_GC_MP_Vill[[#This Row],[Trenes Programados]]</f>
        <v>4441</v>
      </c>
      <c r="I348" s="16">
        <f t="shared" si="178"/>
        <v>283</v>
      </c>
      <c r="J348" s="57">
        <f>+X348+AL348+AZ348+BN348+BS_GC_MP_Vill[[#This Row],[Trenes Corridos]]</f>
        <v>4158</v>
      </c>
      <c r="K348" s="57">
        <f>+Y348+AM348+BA348+BO348+BS_GC_MP_Vill[[#This Row],[Trenes Puntuales]]</f>
        <v>3732</v>
      </c>
      <c r="L348" s="16">
        <f t="shared" si="179"/>
        <v>426</v>
      </c>
      <c r="M348" s="16"/>
      <c r="O348" s="18">
        <v>2021</v>
      </c>
      <c r="P348" s="18" t="s">
        <v>42</v>
      </c>
      <c r="Q348" s="15">
        <f t="shared" si="235"/>
        <v>0.83106457242582898</v>
      </c>
      <c r="R348" s="15">
        <f t="shared" si="236"/>
        <v>0.89042632759910245</v>
      </c>
      <c r="S348" s="15">
        <f t="shared" si="237"/>
        <v>0.93333333333333335</v>
      </c>
      <c r="T348" s="16">
        <v>95</v>
      </c>
      <c r="U348" s="16">
        <v>6</v>
      </c>
      <c r="V348" s="16">
        <v>2865</v>
      </c>
      <c r="W348" s="16">
        <f t="shared" si="234"/>
        <v>191</v>
      </c>
      <c r="X348" s="16">
        <v>2674</v>
      </c>
      <c r="Y348" s="16">
        <v>2381</v>
      </c>
      <c r="Z348" s="16">
        <f t="shared" si="238"/>
        <v>293</v>
      </c>
      <c r="AA348" s="18" t="s">
        <v>103</v>
      </c>
      <c r="AC348" s="18">
        <v>2021</v>
      </c>
      <c r="AD348" s="18" t="s">
        <v>42</v>
      </c>
      <c r="AE348" s="15">
        <f t="shared" si="239"/>
        <v>0.85723350253807107</v>
      </c>
      <c r="AF348" s="15">
        <f t="shared" si="240"/>
        <v>0.910377358490566</v>
      </c>
      <c r="AG348" s="15">
        <f t="shared" si="241"/>
        <v>0.94162436548223349</v>
      </c>
      <c r="AH348" s="16">
        <v>51</v>
      </c>
      <c r="AI348" s="16">
        <v>4</v>
      </c>
      <c r="AJ348" s="16">
        <v>1576</v>
      </c>
      <c r="AK348" s="16">
        <f>AJ348-AL348</f>
        <v>92</v>
      </c>
      <c r="AL348" s="16">
        <v>1484</v>
      </c>
      <c r="AM348" s="16">
        <v>1351</v>
      </c>
      <c r="AN348" s="16">
        <f t="shared" si="242"/>
        <v>133</v>
      </c>
      <c r="AO348" s="16"/>
      <c r="AS348" s="15"/>
      <c r="AT348" s="15"/>
      <c r="AU348" s="15"/>
      <c r="AV348" s="15"/>
      <c r="AW348" s="15"/>
      <c r="AX348" s="16"/>
      <c r="AY348" s="16"/>
      <c r="AZ348" s="16"/>
      <c r="BA348" s="16"/>
      <c r="BB348" s="16"/>
      <c r="BC348" s="16"/>
      <c r="BE348" s="84">
        <v>2021</v>
      </c>
      <c r="BF348" s="85" t="s">
        <v>42</v>
      </c>
      <c r="BG348" s="15"/>
      <c r="BH348" s="15"/>
      <c r="BI348" s="15"/>
      <c r="BJ348" s="16"/>
      <c r="BK348" s="16"/>
      <c r="BL348" s="16"/>
      <c r="BM348" s="16"/>
      <c r="BN348" s="16"/>
      <c r="BO348" s="16"/>
      <c r="BP348" s="16"/>
      <c r="BQ348" s="18" t="s">
        <v>108</v>
      </c>
      <c r="BS348" s="84">
        <v>2021</v>
      </c>
      <c r="BT348" s="85" t="s">
        <v>42</v>
      </c>
      <c r="BU348" s="15"/>
      <c r="BV348" s="15"/>
      <c r="BW348" s="15"/>
      <c r="BX348" s="16"/>
      <c r="BY348" s="16"/>
      <c r="BZ348" s="16"/>
      <c r="CA348" s="16"/>
      <c r="CB348" s="16"/>
      <c r="CC348" s="16"/>
      <c r="CD348" s="16"/>
      <c r="CG348" s="84"/>
      <c r="CH348" s="85"/>
      <c r="CI348" s="15"/>
      <c r="CJ348" s="15"/>
      <c r="CK348" s="15"/>
      <c r="CL348" s="16"/>
      <c r="CM348" s="16"/>
      <c r="CN348" s="16"/>
      <c r="CO348" s="16"/>
      <c r="CP348" s="16"/>
      <c r="CQ348" s="16"/>
      <c r="CR348" s="16"/>
    </row>
    <row r="349" spans="1:96" s="18" customFormat="1" ht="15" customHeight="1">
      <c r="A349" s="18">
        <v>2021</v>
      </c>
      <c r="B349" s="18" t="s">
        <v>43</v>
      </c>
      <c r="C349" s="15">
        <f t="shared" si="212"/>
        <v>0.8267148014440433</v>
      </c>
      <c r="D349" s="15">
        <f t="shared" si="213"/>
        <v>0.86578449905482047</v>
      </c>
      <c r="E349" s="15">
        <f t="shared" si="214"/>
        <v>0.95487364620938631</v>
      </c>
      <c r="F349" s="57">
        <f t="shared" si="199"/>
        <v>146</v>
      </c>
      <c r="G349"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5.2868620037807181</v>
      </c>
      <c r="H349" s="57">
        <f>+V349+AJ349+AX349+BL349+BS_GC_MP_Vill[[#This Row],[Trenes Programados]]</f>
        <v>4432</v>
      </c>
      <c r="I349" s="16">
        <f t="shared" si="178"/>
        <v>200</v>
      </c>
      <c r="J349" s="57">
        <f>+X349+AL349+AZ349+BN349+BS_GC_MP_Vill[[#This Row],[Trenes Corridos]]</f>
        <v>4232</v>
      </c>
      <c r="K349" s="57">
        <f>+Y349+AM349+BA349+BO349+BS_GC_MP_Vill[[#This Row],[Trenes Puntuales]]</f>
        <v>3664</v>
      </c>
      <c r="L349" s="16">
        <f t="shared" si="179"/>
        <v>568</v>
      </c>
      <c r="M349" s="16"/>
      <c r="O349" s="84">
        <v>2021</v>
      </c>
      <c r="P349" s="85" t="s">
        <v>43</v>
      </c>
      <c r="Q349" s="15">
        <f t="shared" si="235"/>
        <v>0.82009100455022754</v>
      </c>
      <c r="R349" s="15">
        <f t="shared" si="236"/>
        <v>0.86044803525523317</v>
      </c>
      <c r="S349" s="15">
        <f t="shared" si="237"/>
        <v>0.95309765488274412</v>
      </c>
      <c r="T349" s="16">
        <v>95</v>
      </c>
      <c r="U349" s="16">
        <v>6</v>
      </c>
      <c r="V349" s="16">
        <v>2857</v>
      </c>
      <c r="W349" s="16">
        <f t="shared" si="234"/>
        <v>134</v>
      </c>
      <c r="X349" s="16">
        <v>2723</v>
      </c>
      <c r="Y349" s="16">
        <v>2343</v>
      </c>
      <c r="Z349" s="16">
        <f t="shared" si="238"/>
        <v>380</v>
      </c>
      <c r="AA349" s="18" t="s">
        <v>104</v>
      </c>
      <c r="AC349" s="18">
        <v>2021</v>
      </c>
      <c r="AD349" s="18" t="s">
        <v>43</v>
      </c>
      <c r="AE349" s="15">
        <f t="shared" si="239"/>
        <v>0.83873015873015877</v>
      </c>
      <c r="AF349" s="15">
        <f t="shared" si="240"/>
        <v>0.87541418157720341</v>
      </c>
      <c r="AG349" s="15">
        <f t="shared" si="241"/>
        <v>0.95809523809523811</v>
      </c>
      <c r="AH349" s="16">
        <v>51</v>
      </c>
      <c r="AI349" s="16">
        <v>4</v>
      </c>
      <c r="AJ349" s="16">
        <v>1575</v>
      </c>
      <c r="AK349" s="16">
        <f>AJ349-AL349</f>
        <v>66</v>
      </c>
      <c r="AL349" s="16">
        <v>1509</v>
      </c>
      <c r="AM349" s="16">
        <v>1321</v>
      </c>
      <c r="AN349" s="16">
        <f t="shared" si="242"/>
        <v>188</v>
      </c>
      <c r="AO349" s="16"/>
      <c r="AS349" s="15"/>
      <c r="AT349" s="15"/>
      <c r="AU349" s="15"/>
      <c r="AV349" s="15"/>
      <c r="AW349" s="15"/>
      <c r="AX349" s="16"/>
      <c r="AY349" s="16"/>
      <c r="AZ349" s="16"/>
      <c r="BA349" s="16"/>
      <c r="BB349" s="16"/>
      <c r="BC349" s="16"/>
      <c r="BE349" s="18">
        <v>2021</v>
      </c>
      <c r="BF349" s="18" t="s">
        <v>43</v>
      </c>
      <c r="BG349" s="15"/>
      <c r="BH349" s="15"/>
      <c r="BI349" s="15"/>
      <c r="BJ349" s="16"/>
      <c r="BK349" s="16"/>
      <c r="BL349" s="16"/>
      <c r="BM349" s="16"/>
      <c r="BN349" s="16"/>
      <c r="BO349" s="16"/>
      <c r="BP349" s="16"/>
      <c r="BQ349" s="18" t="s">
        <v>108</v>
      </c>
      <c r="BS349" s="18">
        <v>2021</v>
      </c>
      <c r="BT349" s="18" t="s">
        <v>43</v>
      </c>
      <c r="BU349" s="15"/>
      <c r="BV349" s="15"/>
      <c r="BW349" s="15"/>
      <c r="BX349" s="16"/>
      <c r="BY349" s="16"/>
      <c r="BZ349" s="16"/>
      <c r="CA349" s="16"/>
      <c r="CB349" s="16"/>
      <c r="CC349" s="16"/>
      <c r="CD349" s="16"/>
      <c r="CI349" s="15"/>
      <c r="CJ349" s="15"/>
      <c r="CK349" s="15"/>
      <c r="CL349" s="16"/>
      <c r="CM349" s="16"/>
      <c r="CN349" s="16"/>
      <c r="CO349" s="16"/>
      <c r="CP349" s="16"/>
      <c r="CQ349" s="16"/>
      <c r="CR349" s="16"/>
    </row>
    <row r="350" spans="1:96" s="18" customFormat="1" ht="15" customHeight="1">
      <c r="A350" s="18">
        <v>2021</v>
      </c>
      <c r="B350" s="18" t="s">
        <v>44</v>
      </c>
      <c r="C350" s="15">
        <f t="shared" si="212"/>
        <v>0.91396103896103897</v>
      </c>
      <c r="D350" s="15">
        <f t="shared" si="213"/>
        <v>0.93278106508875736</v>
      </c>
      <c r="E350" s="15">
        <f t="shared" si="214"/>
        <v>0.97982374768089053</v>
      </c>
      <c r="F350" s="57">
        <f t="shared" si="199"/>
        <v>146</v>
      </c>
      <c r="G350"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5.2894674556213017</v>
      </c>
      <c r="H350" s="57">
        <f>+V350+AJ350+AX350+BL350+BS_GC_MP_Vill[[#This Row],[Trenes Programados]]</f>
        <v>4312</v>
      </c>
      <c r="I350" s="16">
        <f t="shared" si="178"/>
        <v>87</v>
      </c>
      <c r="J350" s="57">
        <f>+X350+AL350+AZ350+BN350+BS_GC_MP_Vill[[#This Row],[Trenes Corridos]]</f>
        <v>4225</v>
      </c>
      <c r="K350" s="57">
        <f>+Y350+AM350+BA350+BO350+BS_GC_MP_Vill[[#This Row],[Trenes Puntuales]]</f>
        <v>3941</v>
      </c>
      <c r="L350" s="16">
        <f t="shared" si="179"/>
        <v>284</v>
      </c>
      <c r="M350" s="16"/>
      <c r="O350" s="18">
        <v>2021</v>
      </c>
      <c r="P350" s="18" t="s">
        <v>44</v>
      </c>
      <c r="Q350" s="15">
        <f t="shared" si="235"/>
        <v>0.90667623833452982</v>
      </c>
      <c r="R350" s="15">
        <f t="shared" si="236"/>
        <v>0.92731277533039647</v>
      </c>
      <c r="S350" s="15">
        <f t="shared" si="237"/>
        <v>0.97774587221823406</v>
      </c>
      <c r="T350" s="16">
        <v>95</v>
      </c>
      <c r="U350" s="16">
        <v>6</v>
      </c>
      <c r="V350" s="16">
        <v>2786</v>
      </c>
      <c r="W350" s="16">
        <f t="shared" ref="W350:W365" si="243">V350-X350</f>
        <v>62</v>
      </c>
      <c r="X350" s="16">
        <v>2724</v>
      </c>
      <c r="Y350" s="16">
        <v>2526</v>
      </c>
      <c r="Z350" s="16">
        <f t="shared" si="238"/>
        <v>198</v>
      </c>
      <c r="AA350" s="16"/>
      <c r="AC350" s="18">
        <v>2021</v>
      </c>
      <c r="AD350" s="18" t="s">
        <v>44</v>
      </c>
      <c r="AE350" s="15">
        <f t="shared" si="239"/>
        <v>0.92726081258191351</v>
      </c>
      <c r="AF350" s="15">
        <f t="shared" si="240"/>
        <v>0.94270486342438375</v>
      </c>
      <c r="AG350" s="15">
        <f t="shared" si="241"/>
        <v>0.98361730013106163</v>
      </c>
      <c r="AH350" s="16">
        <v>51</v>
      </c>
      <c r="AI350" s="16">
        <v>4</v>
      </c>
      <c r="AJ350" s="16">
        <v>1526</v>
      </c>
      <c r="AK350" s="16">
        <f t="shared" ref="AK350:AK356" si="244">AJ350-AL350</f>
        <v>25</v>
      </c>
      <c r="AL350" s="16">
        <v>1501</v>
      </c>
      <c r="AM350" s="16">
        <v>1415</v>
      </c>
      <c r="AN350" s="16">
        <f t="shared" si="242"/>
        <v>86</v>
      </c>
      <c r="AO350" s="16"/>
      <c r="AS350" s="15"/>
      <c r="AT350" s="15"/>
      <c r="AU350" s="15"/>
      <c r="AV350" s="15"/>
      <c r="AW350" s="15"/>
      <c r="AX350" s="16"/>
      <c r="AY350" s="16"/>
      <c r="AZ350" s="16"/>
      <c r="BA350" s="16"/>
      <c r="BB350" s="16"/>
      <c r="BC350" s="16"/>
      <c r="BE350" s="18">
        <v>2021</v>
      </c>
      <c r="BF350" s="18" t="s">
        <v>44</v>
      </c>
      <c r="BG350" s="15"/>
      <c r="BH350" s="15"/>
      <c r="BI350" s="15"/>
      <c r="BJ350" s="16"/>
      <c r="BK350" s="16"/>
      <c r="BL350" s="16"/>
      <c r="BM350" s="16"/>
      <c r="BN350" s="16"/>
      <c r="BO350" s="16"/>
      <c r="BP350" s="16"/>
      <c r="BQ350" s="18" t="s">
        <v>108</v>
      </c>
      <c r="BS350" s="18">
        <v>2021</v>
      </c>
      <c r="BT350" s="18" t="s">
        <v>44</v>
      </c>
      <c r="BU350" s="15"/>
      <c r="BV350" s="15"/>
      <c r="BW350" s="15"/>
      <c r="BX350" s="16"/>
      <c r="BY350" s="16"/>
      <c r="BZ350" s="16"/>
      <c r="CA350" s="16"/>
      <c r="CB350" s="16"/>
      <c r="CC350" s="16"/>
      <c r="CD350" s="16"/>
      <c r="CI350" s="15"/>
      <c r="CJ350" s="15"/>
      <c r="CK350" s="15"/>
      <c r="CL350" s="16"/>
      <c r="CM350" s="16"/>
      <c r="CN350" s="16"/>
      <c r="CO350" s="16"/>
      <c r="CP350" s="16"/>
      <c r="CQ350" s="16"/>
      <c r="CR350" s="16"/>
    </row>
    <row r="351" spans="1:96" s="18" customFormat="1" ht="15" customHeight="1">
      <c r="A351" s="84">
        <v>2021</v>
      </c>
      <c r="B351" s="85" t="s">
        <v>45</v>
      </c>
      <c r="C351" s="15">
        <f t="shared" si="212"/>
        <v>0.8124575311438279</v>
      </c>
      <c r="D351" s="15">
        <f t="shared" si="213"/>
        <v>0.8554734080610541</v>
      </c>
      <c r="E351" s="15">
        <f t="shared" si="214"/>
        <v>0.94971687429218576</v>
      </c>
      <c r="F351" s="57">
        <f t="shared" si="199"/>
        <v>146</v>
      </c>
      <c r="G351"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5.2883377056999761</v>
      </c>
      <c r="H351" s="57">
        <f>+V351+AJ351+AX351+BL351+BS_GC_MP_Vill[[#This Row],[Trenes Programados]]</f>
        <v>4415</v>
      </c>
      <c r="I351" s="16">
        <f t="shared" si="178"/>
        <v>222</v>
      </c>
      <c r="J351" s="57">
        <f>+X351+AL351+AZ351+BN351+BS_GC_MP_Vill[[#This Row],[Trenes Corridos]]</f>
        <v>4193</v>
      </c>
      <c r="K351" s="57">
        <f>+Y351+AM351+BA351+BO351+BS_GC_MP_Vill[[#This Row],[Trenes Puntuales]]</f>
        <v>3587</v>
      </c>
      <c r="L351" s="16">
        <f t="shared" si="179"/>
        <v>606</v>
      </c>
      <c r="M351" s="16"/>
      <c r="O351" s="84">
        <v>2021</v>
      </c>
      <c r="P351" s="85" t="s">
        <v>45</v>
      </c>
      <c r="Q351" s="15">
        <f t="shared" si="235"/>
        <v>0.80077437521999295</v>
      </c>
      <c r="R351" s="15">
        <f t="shared" si="236"/>
        <v>0.8422806368011847</v>
      </c>
      <c r="S351" s="15">
        <f t="shared" si="237"/>
        <v>0.95072157690953885</v>
      </c>
      <c r="T351" s="16">
        <v>95</v>
      </c>
      <c r="U351" s="16">
        <v>6</v>
      </c>
      <c r="V351" s="16">
        <v>2841</v>
      </c>
      <c r="W351" s="16">
        <f t="shared" si="243"/>
        <v>140</v>
      </c>
      <c r="X351" s="16">
        <v>2701</v>
      </c>
      <c r="Y351" s="16">
        <v>2275</v>
      </c>
      <c r="Z351" s="16">
        <f t="shared" si="238"/>
        <v>426</v>
      </c>
      <c r="AA351" s="16"/>
      <c r="AC351" s="84">
        <v>2021</v>
      </c>
      <c r="AD351" s="85" t="s">
        <v>45</v>
      </c>
      <c r="AE351" s="15">
        <f t="shared" si="239"/>
        <v>0.83354510800508264</v>
      </c>
      <c r="AF351" s="15">
        <f t="shared" si="240"/>
        <v>0.87935656836461129</v>
      </c>
      <c r="AG351" s="15">
        <f t="shared" si="241"/>
        <v>0.94790343074968231</v>
      </c>
      <c r="AH351" s="16">
        <v>51</v>
      </c>
      <c r="AI351" s="16">
        <v>4</v>
      </c>
      <c r="AJ351" s="16">
        <v>1574</v>
      </c>
      <c r="AK351" s="16">
        <f t="shared" si="244"/>
        <v>82</v>
      </c>
      <c r="AL351" s="16">
        <v>1492</v>
      </c>
      <c r="AM351" s="16">
        <v>1312</v>
      </c>
      <c r="AN351" s="16">
        <f t="shared" si="242"/>
        <v>180</v>
      </c>
      <c r="AO351" s="16"/>
      <c r="AS351" s="15"/>
      <c r="AT351" s="15"/>
      <c r="AU351" s="15"/>
      <c r="AV351" s="15"/>
      <c r="AW351" s="15"/>
      <c r="AX351" s="16"/>
      <c r="AY351" s="16"/>
      <c r="AZ351" s="16"/>
      <c r="BA351" s="16"/>
      <c r="BB351" s="16"/>
      <c r="BC351" s="16"/>
      <c r="BE351" s="84">
        <v>2021</v>
      </c>
      <c r="BF351" s="85" t="s">
        <v>45</v>
      </c>
      <c r="BG351" s="15"/>
      <c r="BH351" s="15"/>
      <c r="BI351" s="15"/>
      <c r="BJ351" s="16"/>
      <c r="BK351" s="16"/>
      <c r="BL351" s="16"/>
      <c r="BM351" s="16"/>
      <c r="BN351" s="16"/>
      <c r="BO351" s="16"/>
      <c r="BP351" s="16"/>
      <c r="BQ351" s="18" t="s">
        <v>108</v>
      </c>
      <c r="BS351" s="84">
        <v>2021</v>
      </c>
      <c r="BT351" s="85" t="s">
        <v>45</v>
      </c>
      <c r="BU351" s="15"/>
      <c r="BV351" s="15"/>
      <c r="BW351" s="15"/>
      <c r="BX351" s="16"/>
      <c r="BY351" s="16"/>
      <c r="BZ351" s="16"/>
      <c r="CA351" s="16"/>
      <c r="CB351" s="16"/>
      <c r="CC351" s="16"/>
      <c r="CD351" s="16"/>
      <c r="CG351" s="84"/>
      <c r="CH351" s="85"/>
      <c r="CI351" s="15"/>
      <c r="CJ351" s="15"/>
      <c r="CK351" s="15"/>
      <c r="CL351" s="16"/>
      <c r="CM351" s="16"/>
      <c r="CN351" s="16"/>
      <c r="CO351" s="16"/>
      <c r="CP351" s="16"/>
      <c r="CQ351" s="16"/>
      <c r="CR351" s="16"/>
    </row>
    <row r="352" spans="1:96" s="18" customFormat="1" ht="15" customHeight="1">
      <c r="A352" s="18">
        <v>2021</v>
      </c>
      <c r="B352" s="18" t="s">
        <v>46</v>
      </c>
      <c r="C352" s="15">
        <f t="shared" si="212"/>
        <v>0.79743589743589749</v>
      </c>
      <c r="D352" s="15">
        <f t="shared" si="213"/>
        <v>0.82533172496984319</v>
      </c>
      <c r="E352" s="15">
        <f t="shared" si="214"/>
        <v>0.96620046620046618</v>
      </c>
      <c r="F352" s="57">
        <f t="shared" si="199"/>
        <v>146</v>
      </c>
      <c r="G352"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5.2863691194209892</v>
      </c>
      <c r="H352" s="57">
        <f>+V352+AJ352+AX352+BL352+BS_GC_MP_Vill[[#This Row],[Trenes Programados]]</f>
        <v>4290</v>
      </c>
      <c r="I352" s="16">
        <f t="shared" si="178"/>
        <v>145</v>
      </c>
      <c r="J352" s="57">
        <f>+X352+AL352+AZ352+BN352+BS_GC_MP_Vill[[#This Row],[Trenes Corridos]]</f>
        <v>4145</v>
      </c>
      <c r="K352" s="57">
        <f>+Y352+AM352+BA352+BO352+BS_GC_MP_Vill[[#This Row],[Trenes Puntuales]]</f>
        <v>3421</v>
      </c>
      <c r="L352" s="16">
        <f t="shared" si="179"/>
        <v>724</v>
      </c>
      <c r="M352" s="16"/>
      <c r="O352" s="18">
        <v>2021</v>
      </c>
      <c r="P352" s="18" t="s">
        <v>46</v>
      </c>
      <c r="Q352" s="15">
        <f t="shared" si="235"/>
        <v>0.76789587852494579</v>
      </c>
      <c r="R352" s="15">
        <f t="shared" si="236"/>
        <v>0.79669917479369845</v>
      </c>
      <c r="S352" s="15">
        <f t="shared" si="237"/>
        <v>0.96384671005061462</v>
      </c>
      <c r="T352" s="16">
        <v>95</v>
      </c>
      <c r="U352" s="16">
        <v>6</v>
      </c>
      <c r="V352" s="16">
        <v>2766</v>
      </c>
      <c r="W352" s="16">
        <f t="shared" si="243"/>
        <v>100</v>
      </c>
      <c r="X352" s="16">
        <v>2666</v>
      </c>
      <c r="Y352" s="16">
        <v>2124</v>
      </c>
      <c r="Z352" s="16">
        <f t="shared" si="238"/>
        <v>542</v>
      </c>
      <c r="AA352" s="16"/>
      <c r="AC352" s="18">
        <v>2021</v>
      </c>
      <c r="AD352" s="18" t="s">
        <v>46</v>
      </c>
      <c r="AE352" s="15">
        <f t="shared" si="239"/>
        <v>0.85104986876640421</v>
      </c>
      <c r="AF352" s="15">
        <f t="shared" si="240"/>
        <v>0.87694388100067611</v>
      </c>
      <c r="AG352" s="15">
        <f t="shared" si="241"/>
        <v>0.97047244094488194</v>
      </c>
      <c r="AH352" s="16">
        <v>51</v>
      </c>
      <c r="AI352" s="16">
        <v>4</v>
      </c>
      <c r="AJ352" s="16">
        <v>1524</v>
      </c>
      <c r="AK352" s="16">
        <f t="shared" si="244"/>
        <v>45</v>
      </c>
      <c r="AL352" s="16">
        <v>1479</v>
      </c>
      <c r="AM352" s="16">
        <v>1297</v>
      </c>
      <c r="AN352" s="16">
        <f t="shared" si="242"/>
        <v>182</v>
      </c>
      <c r="AO352" s="16"/>
      <c r="AS352" s="15"/>
      <c r="AT352" s="15"/>
      <c r="AU352" s="15"/>
      <c r="AV352" s="15"/>
      <c r="AW352" s="15"/>
      <c r="AX352" s="16"/>
      <c r="AY352" s="16"/>
      <c r="AZ352" s="16"/>
      <c r="BA352" s="16"/>
      <c r="BB352" s="16"/>
      <c r="BC352" s="16"/>
      <c r="BE352" s="18">
        <v>2021</v>
      </c>
      <c r="BF352" s="18" t="s">
        <v>46</v>
      </c>
      <c r="BG352" s="15"/>
      <c r="BH352" s="15"/>
      <c r="BI352" s="15"/>
      <c r="BJ352" s="16"/>
      <c r="BK352" s="16"/>
      <c r="BL352" s="16"/>
      <c r="BM352" s="16"/>
      <c r="BN352" s="16"/>
      <c r="BO352" s="16"/>
      <c r="BP352" s="16"/>
      <c r="BQ352" s="18" t="s">
        <v>108</v>
      </c>
      <c r="BS352" s="18">
        <v>2021</v>
      </c>
      <c r="BT352" s="18" t="s">
        <v>46</v>
      </c>
      <c r="BU352" s="15"/>
      <c r="BV352" s="15"/>
      <c r="BW352" s="15"/>
      <c r="BX352" s="16"/>
      <c r="BY352" s="16"/>
      <c r="BZ352" s="16"/>
      <c r="CA352" s="16"/>
      <c r="CB352" s="16"/>
      <c r="CC352" s="16"/>
      <c r="CD352" s="16"/>
      <c r="CI352" s="15"/>
      <c r="CJ352" s="15"/>
      <c r="CK352" s="15"/>
      <c r="CL352" s="16"/>
      <c r="CM352" s="16"/>
      <c r="CN352" s="16"/>
      <c r="CO352" s="16"/>
      <c r="CP352" s="16"/>
      <c r="CQ352" s="16"/>
      <c r="CR352" s="16"/>
    </row>
    <row r="353" spans="1:96" s="18" customFormat="1" ht="15" customHeight="1">
      <c r="A353" s="84">
        <v>2021</v>
      </c>
      <c r="B353" s="85" t="s">
        <v>47</v>
      </c>
      <c r="C353" s="15">
        <f t="shared" ref="C353:C359" si="245">K353/H353</f>
        <v>0.83062330623306235</v>
      </c>
      <c r="D353" s="15">
        <f t="shared" ref="D353:D359" si="246">K353/J353</f>
        <v>0.88541165142031775</v>
      </c>
      <c r="E353" s="15">
        <f t="shared" ref="E353:E359" si="247">J353/H353</f>
        <v>0.93812104787714545</v>
      </c>
      <c r="F353" s="57">
        <f t="shared" si="199"/>
        <v>146</v>
      </c>
      <c r="G353"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5.2888781896966783</v>
      </c>
      <c r="H353" s="57">
        <f>+V353+AJ353+AX353+BL353+BS_GC_MP_Vill[[#This Row],[Trenes Programados]]</f>
        <v>4428</v>
      </c>
      <c r="I353" s="16">
        <f t="shared" si="178"/>
        <v>274</v>
      </c>
      <c r="J353" s="57">
        <f>+X353+AL353+AZ353+BN353+BS_GC_MP_Vill[[#This Row],[Trenes Corridos]]</f>
        <v>4154</v>
      </c>
      <c r="K353" s="57">
        <f>+Y353+AM353+BA353+BO353+BS_GC_MP_Vill[[#This Row],[Trenes Puntuales]]</f>
        <v>3678</v>
      </c>
      <c r="L353" s="16">
        <f t="shared" si="179"/>
        <v>476</v>
      </c>
      <c r="M353" s="16"/>
      <c r="O353" s="18">
        <v>2021</v>
      </c>
      <c r="P353" s="18" t="s">
        <v>47</v>
      </c>
      <c r="Q353" s="15">
        <f t="shared" ref="Q353:Q359" si="248">Y353/V353</f>
        <v>0.81668419207851384</v>
      </c>
      <c r="R353" s="15">
        <f t="shared" ref="R353:R359" si="249">Y353/X353</f>
        <v>0.8703772880089653</v>
      </c>
      <c r="S353" s="15">
        <f t="shared" ref="S353:S359" si="250">X353/V353</f>
        <v>0.93831055029793198</v>
      </c>
      <c r="T353" s="16">
        <v>95</v>
      </c>
      <c r="U353" s="16">
        <v>6</v>
      </c>
      <c r="V353" s="16">
        <v>2853</v>
      </c>
      <c r="W353" s="16">
        <f t="shared" si="243"/>
        <v>176</v>
      </c>
      <c r="X353" s="16">
        <v>2677</v>
      </c>
      <c r="Y353" s="16">
        <v>2330</v>
      </c>
      <c r="Z353" s="16">
        <f t="shared" ref="Z353:Z359" si="251">X353-Y353</f>
        <v>347</v>
      </c>
      <c r="AA353" s="16"/>
      <c r="AC353" s="84">
        <v>2021</v>
      </c>
      <c r="AD353" s="85" t="s">
        <v>47</v>
      </c>
      <c r="AE353" s="15">
        <f t="shared" ref="AE353:AE359" si="252">AM353/AJ353</f>
        <v>0.8558730158730159</v>
      </c>
      <c r="AF353" s="15">
        <f t="shared" ref="AF353:AF359" si="253">AM353/AL353</f>
        <v>0.91266079891672314</v>
      </c>
      <c r="AG353" s="15">
        <f t="shared" ref="AG353:AG359" si="254">AL353/AJ353</f>
        <v>0.93777777777777782</v>
      </c>
      <c r="AH353" s="16">
        <v>51</v>
      </c>
      <c r="AI353" s="16">
        <v>4</v>
      </c>
      <c r="AJ353" s="16">
        <v>1575</v>
      </c>
      <c r="AK353" s="16">
        <f t="shared" si="244"/>
        <v>98</v>
      </c>
      <c r="AL353" s="16">
        <v>1477</v>
      </c>
      <c r="AM353" s="16">
        <v>1348</v>
      </c>
      <c r="AN353" s="16">
        <f t="shared" ref="AN353:AN359" si="255">AL353-AM353</f>
        <v>129</v>
      </c>
      <c r="AO353" s="16"/>
      <c r="AS353" s="15"/>
      <c r="AT353" s="15"/>
      <c r="AU353" s="15"/>
      <c r="AV353" s="15"/>
      <c r="AW353" s="15"/>
      <c r="AX353" s="16"/>
      <c r="AY353" s="16"/>
      <c r="AZ353" s="16"/>
      <c r="BA353" s="16"/>
      <c r="BB353" s="16"/>
      <c r="BC353" s="16"/>
      <c r="BE353" s="18">
        <v>2021</v>
      </c>
      <c r="BF353" s="18" t="s">
        <v>47</v>
      </c>
      <c r="BG353" s="15"/>
      <c r="BH353" s="15"/>
      <c r="BI353" s="15"/>
      <c r="BJ353" s="16"/>
      <c r="BK353" s="16"/>
      <c r="BL353" s="16"/>
      <c r="BM353" s="16"/>
      <c r="BN353" s="16"/>
      <c r="BO353" s="16"/>
      <c r="BP353" s="16"/>
      <c r="BQ353" s="18" t="s">
        <v>108</v>
      </c>
      <c r="BS353" s="18">
        <v>2021</v>
      </c>
      <c r="BT353" s="18" t="s">
        <v>47</v>
      </c>
      <c r="BU353" s="15"/>
      <c r="BV353" s="15"/>
      <c r="BW353" s="15"/>
      <c r="BX353" s="16"/>
      <c r="BY353" s="16"/>
      <c r="BZ353" s="16"/>
      <c r="CA353" s="16"/>
      <c r="CB353" s="16"/>
      <c r="CC353" s="16"/>
      <c r="CD353" s="16"/>
      <c r="CI353" s="15"/>
      <c r="CJ353" s="15"/>
      <c r="CK353" s="15"/>
      <c r="CL353" s="16"/>
      <c r="CM353" s="16"/>
      <c r="CN353" s="16"/>
      <c r="CO353" s="16"/>
      <c r="CP353" s="16"/>
      <c r="CQ353" s="16"/>
      <c r="CR353" s="16"/>
    </row>
    <row r="354" spans="1:96" s="18" customFormat="1" ht="15" customHeight="1">
      <c r="A354" s="18">
        <v>2022</v>
      </c>
      <c r="B354" s="18" t="s">
        <v>36</v>
      </c>
      <c r="C354" s="15">
        <f t="shared" si="245"/>
        <v>0.81633574007220222</v>
      </c>
      <c r="D354" s="15">
        <f t="shared" si="246"/>
        <v>0.86307251908396942</v>
      </c>
      <c r="E354" s="15">
        <f t="shared" si="247"/>
        <v>0.94584837545126355</v>
      </c>
      <c r="F354" s="58">
        <f t="shared" si="199"/>
        <v>146</v>
      </c>
      <c r="G354"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5.2833969465648858</v>
      </c>
      <c r="H354" s="57">
        <f>+V354+AJ354+AX354+BL354+BS_GC_MP_Vill[[#This Row],[Trenes Programados]]</f>
        <v>4432</v>
      </c>
      <c r="I354" s="16">
        <f t="shared" si="178"/>
        <v>240</v>
      </c>
      <c r="J354" s="57">
        <f>+X354+AL354+AZ354+BN354+BS_GC_MP_Vill[[#This Row],[Trenes Corridos]]</f>
        <v>4192</v>
      </c>
      <c r="K354" s="57">
        <f>+Y354+AM354+BA354+BO354+BS_GC_MP_Vill[[#This Row],[Trenes Puntuales]]</f>
        <v>3618</v>
      </c>
      <c r="L354" s="16">
        <f t="shared" si="179"/>
        <v>574</v>
      </c>
      <c r="M354" s="16"/>
      <c r="O354" s="18">
        <v>2022</v>
      </c>
      <c r="P354" s="18" t="s">
        <v>36</v>
      </c>
      <c r="Q354" s="15">
        <f t="shared" si="248"/>
        <v>0.8165908295414771</v>
      </c>
      <c r="R354" s="15">
        <f t="shared" si="249"/>
        <v>0.8672862453531599</v>
      </c>
      <c r="S354" s="15">
        <f t="shared" si="250"/>
        <v>0.94154707735386767</v>
      </c>
      <c r="T354" s="26">
        <v>95</v>
      </c>
      <c r="U354" s="26">
        <v>6</v>
      </c>
      <c r="V354" s="16">
        <v>2857</v>
      </c>
      <c r="W354" s="16">
        <f t="shared" si="243"/>
        <v>167</v>
      </c>
      <c r="X354" s="16">
        <v>2690</v>
      </c>
      <c r="Y354" s="16">
        <v>2333</v>
      </c>
      <c r="Z354" s="16">
        <f t="shared" si="251"/>
        <v>357</v>
      </c>
      <c r="AA354" s="16"/>
      <c r="AC354" s="18">
        <v>2022</v>
      </c>
      <c r="AD354" s="18" t="s">
        <v>36</v>
      </c>
      <c r="AE354" s="15">
        <f t="shared" si="252"/>
        <v>0.81587301587301586</v>
      </c>
      <c r="AF354" s="15">
        <f t="shared" si="253"/>
        <v>0.85552596537949399</v>
      </c>
      <c r="AG354" s="15">
        <f t="shared" si="254"/>
        <v>0.95365079365079364</v>
      </c>
      <c r="AH354" s="26">
        <v>51</v>
      </c>
      <c r="AI354" s="26">
        <v>4</v>
      </c>
      <c r="AJ354" s="16">
        <v>1575</v>
      </c>
      <c r="AK354" s="16">
        <f t="shared" si="244"/>
        <v>73</v>
      </c>
      <c r="AL354" s="16">
        <v>1502</v>
      </c>
      <c r="AM354" s="16">
        <v>1285</v>
      </c>
      <c r="AN354" s="16">
        <f t="shared" si="255"/>
        <v>217</v>
      </c>
      <c r="AO354" s="16"/>
      <c r="AS354" s="15"/>
      <c r="AT354" s="15"/>
      <c r="AU354" s="15"/>
      <c r="AV354" s="15"/>
      <c r="AW354" s="15"/>
      <c r="AX354" s="16"/>
      <c r="AY354" s="16"/>
      <c r="AZ354" s="16"/>
      <c r="BA354" s="16"/>
      <c r="BB354" s="16"/>
      <c r="BC354" s="16"/>
      <c r="BE354" s="18">
        <v>2022</v>
      </c>
      <c r="BF354" s="18" t="s">
        <v>36</v>
      </c>
      <c r="BG354" s="15"/>
      <c r="BH354" s="15"/>
      <c r="BI354" s="15"/>
      <c r="BJ354" s="26"/>
      <c r="BK354" s="26"/>
      <c r="BL354" s="16"/>
      <c r="BM354" s="16"/>
      <c r="BN354" s="16"/>
      <c r="BO354" s="16"/>
      <c r="BP354" s="16"/>
      <c r="BQ354" s="18" t="s">
        <v>108</v>
      </c>
      <c r="BS354" s="18">
        <v>2022</v>
      </c>
      <c r="BT354" s="18" t="s">
        <v>36</v>
      </c>
      <c r="BU354" s="15"/>
      <c r="BV354" s="15"/>
      <c r="BW354" s="15"/>
      <c r="BX354" s="26"/>
      <c r="BY354" s="26"/>
      <c r="BZ354" s="16"/>
      <c r="CA354" s="16"/>
      <c r="CB354" s="16"/>
      <c r="CC354" s="16"/>
      <c r="CD354" s="16"/>
      <c r="CI354" s="15"/>
      <c r="CJ354" s="15"/>
      <c r="CK354" s="15"/>
      <c r="CL354" s="26"/>
      <c r="CM354" s="26"/>
      <c r="CN354" s="16"/>
      <c r="CO354" s="16"/>
      <c r="CP354" s="16"/>
      <c r="CQ354" s="16"/>
      <c r="CR354" s="16"/>
    </row>
    <row r="355" spans="1:96" s="18" customFormat="1" ht="15" customHeight="1">
      <c r="A355" s="18">
        <v>2022</v>
      </c>
      <c r="B355" s="18" t="s">
        <v>37</v>
      </c>
      <c r="C355" s="15">
        <f t="shared" si="245"/>
        <v>0.86523583728475173</v>
      </c>
      <c r="D355" s="15">
        <f t="shared" si="246"/>
        <v>0.88897435897435895</v>
      </c>
      <c r="E355" s="15">
        <f t="shared" si="247"/>
        <v>0.97329673072123779</v>
      </c>
      <c r="F355" s="58">
        <f t="shared" si="199"/>
        <v>146</v>
      </c>
      <c r="G355"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5.2882051282051279</v>
      </c>
      <c r="H355" s="57">
        <f>+V355+AJ355+AX355+BL355+BS_GC_MP_Vill[[#This Row],[Trenes Programados]]</f>
        <v>4007</v>
      </c>
      <c r="I355" s="16">
        <f t="shared" si="178"/>
        <v>107</v>
      </c>
      <c r="J355" s="57">
        <f>+X355+AL355+AZ355+BN355+BS_GC_MP_Vill[[#This Row],[Trenes Corridos]]</f>
        <v>3900</v>
      </c>
      <c r="K355" s="57">
        <f>+Y355+AM355+BA355+BO355+BS_GC_MP_Vill[[#This Row],[Trenes Puntuales]]</f>
        <v>3467</v>
      </c>
      <c r="L355" s="16">
        <f t="shared" si="179"/>
        <v>433</v>
      </c>
      <c r="M355" s="16"/>
      <c r="O355" s="18">
        <v>2022</v>
      </c>
      <c r="P355" s="18" t="s">
        <v>37</v>
      </c>
      <c r="Q355" s="15">
        <f t="shared" si="248"/>
        <v>0.84791021671826627</v>
      </c>
      <c r="R355" s="15">
        <f t="shared" si="249"/>
        <v>0.8722133757961783</v>
      </c>
      <c r="S355" s="15">
        <f t="shared" si="250"/>
        <v>0.97213622291021673</v>
      </c>
      <c r="T355" s="26">
        <v>95</v>
      </c>
      <c r="U355" s="26">
        <v>6</v>
      </c>
      <c r="V355" s="16">
        <v>2584</v>
      </c>
      <c r="W355" s="16">
        <f t="shared" si="243"/>
        <v>72</v>
      </c>
      <c r="X355" s="16">
        <v>2512</v>
      </c>
      <c r="Y355" s="16">
        <v>2191</v>
      </c>
      <c r="Z355" s="16">
        <f t="shared" si="251"/>
        <v>321</v>
      </c>
      <c r="AA355" s="16"/>
      <c r="AC355" s="18">
        <v>2022</v>
      </c>
      <c r="AD355" s="18" t="s">
        <v>37</v>
      </c>
      <c r="AE355" s="15">
        <f t="shared" si="252"/>
        <v>0.89669711876317637</v>
      </c>
      <c r="AF355" s="15">
        <f t="shared" si="253"/>
        <v>0.9193083573487032</v>
      </c>
      <c r="AG355" s="15">
        <f t="shared" si="254"/>
        <v>0.97540407589599443</v>
      </c>
      <c r="AH355" s="26">
        <v>51</v>
      </c>
      <c r="AI355" s="26">
        <v>4</v>
      </c>
      <c r="AJ355" s="16">
        <v>1423</v>
      </c>
      <c r="AK355" s="16">
        <f t="shared" si="244"/>
        <v>35</v>
      </c>
      <c r="AL355" s="16">
        <v>1388</v>
      </c>
      <c r="AM355" s="16">
        <v>1276</v>
      </c>
      <c r="AN355" s="16">
        <f t="shared" si="255"/>
        <v>112</v>
      </c>
      <c r="AO355" s="16"/>
      <c r="AS355" s="15"/>
      <c r="AT355" s="15"/>
      <c r="AU355" s="15"/>
      <c r="AV355" s="15"/>
      <c r="AW355" s="15"/>
      <c r="AX355" s="16"/>
      <c r="AY355" s="16"/>
      <c r="AZ355" s="16"/>
      <c r="BA355" s="16"/>
      <c r="BB355" s="16"/>
      <c r="BC355" s="16"/>
      <c r="BE355" s="18">
        <v>2022</v>
      </c>
      <c r="BF355" s="18" t="s">
        <v>37</v>
      </c>
      <c r="BG355" s="15"/>
      <c r="BH355" s="15"/>
      <c r="BI355" s="15"/>
      <c r="BJ355" s="26"/>
      <c r="BK355" s="26"/>
      <c r="BL355" s="16"/>
      <c r="BM355" s="16"/>
      <c r="BN355" s="16"/>
      <c r="BO355" s="16"/>
      <c r="BP355" s="16"/>
      <c r="BQ355" s="18" t="s">
        <v>108</v>
      </c>
      <c r="BS355" s="18">
        <v>2022</v>
      </c>
      <c r="BT355" s="18" t="s">
        <v>37</v>
      </c>
      <c r="BU355" s="15"/>
      <c r="BV355" s="15"/>
      <c r="BW355" s="15"/>
      <c r="BX355" s="26"/>
      <c r="BY355" s="26"/>
      <c r="BZ355" s="16"/>
      <c r="CA355" s="16"/>
      <c r="CB355" s="16"/>
      <c r="CC355" s="16"/>
      <c r="CD355" s="16"/>
      <c r="CI355" s="15"/>
      <c r="CJ355" s="15"/>
      <c r="CK355" s="15"/>
      <c r="CL355" s="26"/>
      <c r="CM355" s="26"/>
      <c r="CN355" s="16"/>
      <c r="CO355" s="16"/>
      <c r="CP355" s="16"/>
      <c r="CQ355" s="16"/>
      <c r="CR355" s="16"/>
    </row>
    <row r="356" spans="1:96" s="18" customFormat="1" ht="15" customHeight="1">
      <c r="A356" s="18">
        <v>2022</v>
      </c>
      <c r="B356" s="18" t="s">
        <v>38</v>
      </c>
      <c r="C356" s="15">
        <f t="shared" si="245"/>
        <v>0.80550541516245489</v>
      </c>
      <c r="D356" s="15">
        <f t="shared" si="246"/>
        <v>0.83586981971435259</v>
      </c>
      <c r="E356" s="15">
        <f t="shared" si="247"/>
        <v>0.963673285198556</v>
      </c>
      <c r="F356" s="58">
        <f t="shared" si="199"/>
        <v>146</v>
      </c>
      <c r="G356"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5.2830718801217511</v>
      </c>
      <c r="H356" s="57">
        <f>+V356+AJ356+AX356+BL356+BS_GC_MP_Vill[[#This Row],[Trenes Programados]]</f>
        <v>4432</v>
      </c>
      <c r="I356" s="16">
        <f t="shared" si="178"/>
        <v>161</v>
      </c>
      <c r="J356" s="57">
        <f>+X356+AL356+AZ356+BN356+BS_GC_MP_Vill[[#This Row],[Trenes Corridos]]</f>
        <v>4271</v>
      </c>
      <c r="K356" s="57">
        <f>+Y356+AM356+BA356+BO356+BS_GC_MP_Vill[[#This Row],[Trenes Puntuales]]</f>
        <v>3570</v>
      </c>
      <c r="L356" s="16">
        <f t="shared" si="179"/>
        <v>701</v>
      </c>
      <c r="M356" s="16"/>
      <c r="O356" s="18">
        <v>2022</v>
      </c>
      <c r="P356" s="18" t="s">
        <v>38</v>
      </c>
      <c r="Q356" s="15">
        <f t="shared" si="248"/>
        <v>0.76268813440672034</v>
      </c>
      <c r="R356" s="15">
        <f t="shared" si="249"/>
        <v>0.79525547445255473</v>
      </c>
      <c r="S356" s="15">
        <f t="shared" si="250"/>
        <v>0.95904795239761986</v>
      </c>
      <c r="T356" s="26">
        <v>95</v>
      </c>
      <c r="U356" s="26">
        <v>6</v>
      </c>
      <c r="V356" s="16">
        <v>2857</v>
      </c>
      <c r="W356" s="16">
        <f t="shared" si="243"/>
        <v>117</v>
      </c>
      <c r="X356" s="16">
        <v>2740</v>
      </c>
      <c r="Y356" s="16">
        <v>2179</v>
      </c>
      <c r="Z356" s="16">
        <f t="shared" si="251"/>
        <v>561</v>
      </c>
      <c r="AA356" s="16"/>
      <c r="AC356" s="18">
        <v>2022</v>
      </c>
      <c r="AD356" s="18" t="s">
        <v>38</v>
      </c>
      <c r="AE356" s="15">
        <f t="shared" si="252"/>
        <v>0.88317460317460317</v>
      </c>
      <c r="AF356" s="15">
        <f t="shared" si="253"/>
        <v>0.90855649902024815</v>
      </c>
      <c r="AG356" s="15">
        <f t="shared" si="254"/>
        <v>0.97206349206349207</v>
      </c>
      <c r="AH356" s="26">
        <v>51</v>
      </c>
      <c r="AI356" s="26">
        <v>4</v>
      </c>
      <c r="AJ356" s="16">
        <v>1575</v>
      </c>
      <c r="AK356" s="16">
        <f t="shared" si="244"/>
        <v>44</v>
      </c>
      <c r="AL356" s="16">
        <v>1531</v>
      </c>
      <c r="AM356" s="16">
        <v>1391</v>
      </c>
      <c r="AN356" s="16">
        <f t="shared" si="255"/>
        <v>140</v>
      </c>
      <c r="AO356" s="16"/>
      <c r="AS356" s="15"/>
      <c r="AT356" s="15"/>
      <c r="AU356" s="15"/>
      <c r="AV356" s="15"/>
      <c r="AW356" s="15"/>
      <c r="AX356" s="16"/>
      <c r="AY356" s="16"/>
      <c r="AZ356" s="16"/>
      <c r="BA356" s="16"/>
      <c r="BB356" s="16"/>
      <c r="BC356" s="16"/>
      <c r="BE356" s="18">
        <v>2022</v>
      </c>
      <c r="BF356" s="18" t="s">
        <v>38</v>
      </c>
      <c r="BG356" s="15"/>
      <c r="BH356" s="15"/>
      <c r="BI356" s="15"/>
      <c r="BJ356" s="26"/>
      <c r="BK356" s="26"/>
      <c r="BL356" s="16"/>
      <c r="BM356" s="16"/>
      <c r="BN356" s="16"/>
      <c r="BO356" s="16"/>
      <c r="BP356" s="16"/>
      <c r="BQ356" s="18" t="s">
        <v>108</v>
      </c>
      <c r="BS356" s="18">
        <v>2022</v>
      </c>
      <c r="BT356" s="18" t="s">
        <v>38</v>
      </c>
      <c r="BU356" s="15"/>
      <c r="BV356" s="15"/>
      <c r="BW356" s="15"/>
      <c r="BX356" s="26"/>
      <c r="BY356" s="26"/>
      <c r="BZ356" s="16"/>
      <c r="CA356" s="16"/>
      <c r="CB356" s="16"/>
      <c r="CC356" s="16"/>
      <c r="CD356" s="16"/>
      <c r="CI356" s="15"/>
      <c r="CJ356" s="15"/>
      <c r="CK356" s="15"/>
      <c r="CL356" s="26"/>
      <c r="CM356" s="26"/>
      <c r="CN356" s="16"/>
      <c r="CO356" s="16"/>
      <c r="CP356" s="16"/>
      <c r="CQ356" s="16"/>
      <c r="CR356" s="16"/>
    </row>
    <row r="357" spans="1:96" s="18" customFormat="1" ht="15" customHeight="1">
      <c r="A357" s="18">
        <v>2022</v>
      </c>
      <c r="B357" s="18" t="s">
        <v>39</v>
      </c>
      <c r="C357" s="15">
        <f t="shared" si="245"/>
        <v>0.79738856371004052</v>
      </c>
      <c r="D357" s="15">
        <f t="shared" si="246"/>
        <v>0.85825054519021082</v>
      </c>
      <c r="E357" s="15">
        <f t="shared" si="247"/>
        <v>0.92908599729851415</v>
      </c>
      <c r="F357" s="58">
        <f t="shared" si="199"/>
        <v>146</v>
      </c>
      <c r="G357"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5.1296341167918582</v>
      </c>
      <c r="H357" s="57">
        <f>+V357+AJ357+AX357+BL357+BS_GC_MP_Vill[[#This Row],[Trenes Programados]]</f>
        <v>4442</v>
      </c>
      <c r="I357" s="16">
        <f t="shared" si="178"/>
        <v>315</v>
      </c>
      <c r="J357" s="57">
        <f>+X357+AL357+AZ357+BN357+BS_GC_MP_Vill[[#This Row],[Trenes Corridos]]</f>
        <v>4127</v>
      </c>
      <c r="K357" s="57">
        <f>+Y357+AM357+BA357+BO357+BS_GC_MP_Vill[[#This Row],[Trenes Puntuales]]</f>
        <v>3542</v>
      </c>
      <c r="L357" s="16">
        <f t="shared" si="179"/>
        <v>585</v>
      </c>
      <c r="M357" s="16"/>
      <c r="O357" s="18">
        <v>2022</v>
      </c>
      <c r="P357" s="18" t="s">
        <v>39</v>
      </c>
      <c r="Q357" s="15">
        <f t="shared" si="248"/>
        <v>0.74728063814358225</v>
      </c>
      <c r="R357" s="15">
        <f t="shared" si="249"/>
        <v>0.82737856282617428</v>
      </c>
      <c r="S357" s="15">
        <f t="shared" si="250"/>
        <v>0.90319071791153005</v>
      </c>
      <c r="T357" s="26">
        <v>95</v>
      </c>
      <c r="U357" s="26">
        <v>6</v>
      </c>
      <c r="V357" s="16">
        <v>2758</v>
      </c>
      <c r="W357" s="16">
        <f t="shared" si="243"/>
        <v>267</v>
      </c>
      <c r="X357" s="16">
        <v>2491</v>
      </c>
      <c r="Y357" s="16">
        <v>2061</v>
      </c>
      <c r="Z357" s="16">
        <f t="shared" si="251"/>
        <v>430</v>
      </c>
      <c r="AA357" s="16"/>
      <c r="AC357" s="18">
        <v>2022</v>
      </c>
      <c r="AD357" s="18" t="s">
        <v>39</v>
      </c>
      <c r="AE357" s="15">
        <f t="shared" si="252"/>
        <v>0.86679790026246717</v>
      </c>
      <c r="AF357" s="15">
        <f t="shared" si="253"/>
        <v>0.8949864498644986</v>
      </c>
      <c r="AG357" s="15">
        <f t="shared" si="254"/>
        <v>0.96850393700787396</v>
      </c>
      <c r="AH357" s="26">
        <v>51</v>
      </c>
      <c r="AI357" s="26">
        <v>4</v>
      </c>
      <c r="AJ357" s="16">
        <v>1524</v>
      </c>
      <c r="AK357" s="16">
        <f t="shared" ref="AK357:AK365" si="256">AJ357-AL357</f>
        <v>48</v>
      </c>
      <c r="AL357" s="16">
        <v>1476</v>
      </c>
      <c r="AM357" s="16">
        <v>1321</v>
      </c>
      <c r="AN357" s="16">
        <f t="shared" si="255"/>
        <v>155</v>
      </c>
      <c r="AO357" s="16"/>
      <c r="AS357" s="15"/>
      <c r="AT357" s="15"/>
      <c r="AU357" s="15"/>
      <c r="AV357" s="15"/>
      <c r="AW357" s="15"/>
      <c r="AX357" s="16"/>
      <c r="AY357" s="16"/>
      <c r="AZ357" s="16"/>
      <c r="BA357" s="16"/>
      <c r="BB357" s="16"/>
      <c r="BC357" s="16"/>
      <c r="BE357" s="18">
        <v>2022</v>
      </c>
      <c r="BF357" s="18" t="s">
        <v>39</v>
      </c>
      <c r="BG357" s="15"/>
      <c r="BH357" s="15"/>
      <c r="BI357" s="15"/>
      <c r="BJ357" s="26"/>
      <c r="BK357" s="26"/>
      <c r="BL357" s="16"/>
      <c r="BM357" s="16"/>
      <c r="BN357" s="16"/>
      <c r="BO357" s="16"/>
      <c r="BP357" s="16"/>
      <c r="BQ357" s="18" t="s">
        <v>108</v>
      </c>
      <c r="BS357" s="18">
        <v>2022</v>
      </c>
      <c r="BT357" s="18" t="s">
        <v>39</v>
      </c>
      <c r="BU357" s="15">
        <f t="shared" ref="BU357:BU362" si="257">CC357/BZ357</f>
        <v>1</v>
      </c>
      <c r="BV357" s="15">
        <f t="shared" ref="BV357:BV362" si="258">CC357/CB357</f>
        <v>1</v>
      </c>
      <c r="BW357" s="15">
        <f t="shared" ref="BW357:BW362" si="259">CB357/BZ357</f>
        <v>1</v>
      </c>
      <c r="BX357" s="26"/>
      <c r="BY357" s="26">
        <v>2</v>
      </c>
      <c r="BZ357" s="16">
        <v>160</v>
      </c>
      <c r="CA357" s="16">
        <f t="shared" ref="CA357:CA366" si="260">BZ357-CB357</f>
        <v>0</v>
      </c>
      <c r="CB357" s="16">
        <v>160</v>
      </c>
      <c r="CC357" s="16">
        <v>160</v>
      </c>
      <c r="CD357" s="16">
        <f t="shared" ref="CD357:CD362" si="261">CB357-CC357</f>
        <v>0</v>
      </c>
      <c r="CI357" s="15"/>
      <c r="CJ357" s="15"/>
      <c r="CK357" s="15"/>
      <c r="CL357" s="26"/>
      <c r="CM357" s="26"/>
      <c r="CN357" s="16"/>
      <c r="CO357" s="16"/>
      <c r="CP357" s="16"/>
      <c r="CQ357" s="16"/>
      <c r="CR357" s="16"/>
    </row>
    <row r="358" spans="1:96" s="18" customFormat="1" ht="15" customHeight="1">
      <c r="A358" s="18">
        <v>2022</v>
      </c>
      <c r="B358" s="18" t="s">
        <v>40</v>
      </c>
      <c r="C358" s="15">
        <f t="shared" si="245"/>
        <v>0.64027865737808742</v>
      </c>
      <c r="D358" s="15">
        <f t="shared" si="246"/>
        <v>0.69532324621733155</v>
      </c>
      <c r="E358" s="15">
        <f t="shared" si="247"/>
        <v>0.92083597213426216</v>
      </c>
      <c r="F358" s="58">
        <f t="shared" si="199"/>
        <v>146</v>
      </c>
      <c r="G358"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5.0563961485557085</v>
      </c>
      <c r="H358" s="57">
        <f>+V358+AJ358+AX358+BL358+BS_GC_MP_Vill[[#This Row],[Trenes Programados]]</f>
        <v>4737</v>
      </c>
      <c r="I358" s="16">
        <f t="shared" ref="I358:I363" si="262">H358-J358</f>
        <v>375</v>
      </c>
      <c r="J358" s="57">
        <f>+X358+AL358+AZ358+BN358+BS_GC_MP_Vill[[#This Row],[Trenes Corridos]]</f>
        <v>4362</v>
      </c>
      <c r="K358" s="57">
        <f>+Y358+AM358+BA358+BO358+BS_GC_MP_Vill[[#This Row],[Trenes Puntuales]]</f>
        <v>3033</v>
      </c>
      <c r="L358" s="16">
        <f t="shared" ref="L358:L363" si="263">J358-K358</f>
        <v>1329</v>
      </c>
      <c r="M358" s="16"/>
      <c r="O358" s="18">
        <v>2022</v>
      </c>
      <c r="P358" s="18" t="s">
        <v>40</v>
      </c>
      <c r="Q358" s="15">
        <f t="shared" si="248"/>
        <v>0.61629479377958085</v>
      </c>
      <c r="R358" s="15">
        <f t="shared" si="249"/>
        <v>0.67393715341959337</v>
      </c>
      <c r="S358" s="15">
        <f t="shared" si="250"/>
        <v>0.9144692359702502</v>
      </c>
      <c r="T358" s="26">
        <v>95</v>
      </c>
      <c r="U358" s="26">
        <v>6</v>
      </c>
      <c r="V358" s="16">
        <v>2958</v>
      </c>
      <c r="W358" s="16">
        <f t="shared" si="243"/>
        <v>253</v>
      </c>
      <c r="X358" s="16">
        <v>2705</v>
      </c>
      <c r="Y358" s="16">
        <v>1823</v>
      </c>
      <c r="Z358" s="16">
        <f t="shared" si="251"/>
        <v>882</v>
      </c>
      <c r="AA358" s="16"/>
      <c r="AC358" s="18">
        <v>2022</v>
      </c>
      <c r="AD358" s="18" t="s">
        <v>40</v>
      </c>
      <c r="AE358" s="15">
        <f t="shared" si="252"/>
        <v>0.62909090909090915</v>
      </c>
      <c r="AF358" s="15">
        <f t="shared" si="253"/>
        <v>0.68869426751592355</v>
      </c>
      <c r="AG358" s="15">
        <f t="shared" si="254"/>
        <v>0.91345454545454541</v>
      </c>
      <c r="AH358" s="26">
        <v>51</v>
      </c>
      <c r="AI358" s="26">
        <v>4</v>
      </c>
      <c r="AJ358" s="16">
        <v>1375</v>
      </c>
      <c r="AK358" s="16">
        <f t="shared" si="256"/>
        <v>119</v>
      </c>
      <c r="AL358" s="16">
        <v>1256</v>
      </c>
      <c r="AM358" s="16">
        <v>865</v>
      </c>
      <c r="AN358" s="16">
        <f t="shared" si="255"/>
        <v>391</v>
      </c>
      <c r="AO358" s="16"/>
      <c r="AS358" s="15"/>
      <c r="AT358" s="15"/>
      <c r="AU358" s="15"/>
      <c r="AV358" s="15"/>
      <c r="AW358" s="15"/>
      <c r="AX358" s="16"/>
      <c r="AY358" s="16"/>
      <c r="AZ358" s="16"/>
      <c r="BA358" s="16"/>
      <c r="BB358" s="16"/>
      <c r="BC358" s="16"/>
      <c r="BE358" s="18">
        <v>2022</v>
      </c>
      <c r="BF358" s="18" t="s">
        <v>40</v>
      </c>
      <c r="BG358" s="15"/>
      <c r="BH358" s="15"/>
      <c r="BI358" s="15"/>
      <c r="BJ358" s="26"/>
      <c r="BK358" s="26"/>
      <c r="BL358" s="16"/>
      <c r="BM358" s="16"/>
      <c r="BN358" s="16"/>
      <c r="BO358" s="16"/>
      <c r="BP358" s="16"/>
      <c r="BQ358" s="18" t="s">
        <v>108</v>
      </c>
      <c r="BS358" s="18">
        <v>2022</v>
      </c>
      <c r="BT358" s="18" t="s">
        <v>40</v>
      </c>
      <c r="BU358" s="15">
        <f t="shared" si="257"/>
        <v>0.85396039603960394</v>
      </c>
      <c r="BV358" s="15">
        <f t="shared" si="258"/>
        <v>0.86034912718204493</v>
      </c>
      <c r="BW358" s="15">
        <f t="shared" si="259"/>
        <v>0.99257425742574257</v>
      </c>
      <c r="BX358" s="26"/>
      <c r="BY358" s="26">
        <v>2</v>
      </c>
      <c r="BZ358" s="16">
        <v>404</v>
      </c>
      <c r="CA358" s="16">
        <f t="shared" si="260"/>
        <v>3</v>
      </c>
      <c r="CB358" s="16">
        <v>401</v>
      </c>
      <c r="CC358" s="16">
        <v>345</v>
      </c>
      <c r="CD358" s="16">
        <f t="shared" si="261"/>
        <v>56</v>
      </c>
      <c r="CE358" s="18" t="s">
        <v>109</v>
      </c>
      <c r="CI358" s="15"/>
      <c r="CJ358" s="15"/>
      <c r="CK358" s="15"/>
      <c r="CL358" s="26"/>
      <c r="CM358" s="26"/>
      <c r="CN358" s="16"/>
      <c r="CO358" s="16"/>
      <c r="CP358" s="16"/>
      <c r="CQ358" s="16"/>
      <c r="CR358" s="16"/>
    </row>
    <row r="359" spans="1:96" s="18" customFormat="1" ht="15" customHeight="1">
      <c r="A359" s="18">
        <v>2022</v>
      </c>
      <c r="B359" s="18" t="s">
        <v>41</v>
      </c>
      <c r="C359" s="15">
        <f t="shared" si="245"/>
        <v>0.50721255833686885</v>
      </c>
      <c r="D359" s="15">
        <f t="shared" si="246"/>
        <v>0.53015521064301552</v>
      </c>
      <c r="E359" s="15">
        <f t="shared" si="247"/>
        <v>0.95672464997878659</v>
      </c>
      <c r="F359" s="58">
        <f t="shared" si="199"/>
        <v>146</v>
      </c>
      <c r="G359"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5.0013303769401327</v>
      </c>
      <c r="H359" s="57">
        <f>+V359+AJ359+AX359+BL359+BS_GC_MP_Vill[[#This Row],[Trenes Programados]]</f>
        <v>4714</v>
      </c>
      <c r="I359" s="16">
        <f t="shared" si="262"/>
        <v>204</v>
      </c>
      <c r="J359" s="57">
        <f>+X359+AL359+AZ359+BN359+BS_GC_MP_Vill[[#This Row],[Trenes Corridos]]</f>
        <v>4510</v>
      </c>
      <c r="K359" s="57">
        <f>+Y359+AM359+BA359+BO359+BS_GC_MP_Vill[[#This Row],[Trenes Puntuales]]</f>
        <v>2391</v>
      </c>
      <c r="L359" s="16">
        <f t="shared" si="263"/>
        <v>2119</v>
      </c>
      <c r="M359" s="16"/>
      <c r="O359" s="18">
        <v>2022</v>
      </c>
      <c r="P359" s="18" t="s">
        <v>41</v>
      </c>
      <c r="Q359" s="15">
        <f t="shared" si="248"/>
        <v>0.449419002050581</v>
      </c>
      <c r="R359" s="15">
        <f t="shared" si="249"/>
        <v>0.47234195402298851</v>
      </c>
      <c r="S359" s="15">
        <f t="shared" si="250"/>
        <v>0.95146958304853047</v>
      </c>
      <c r="T359" s="26">
        <v>95</v>
      </c>
      <c r="U359" s="26">
        <v>6</v>
      </c>
      <c r="V359" s="16">
        <v>2926</v>
      </c>
      <c r="W359" s="16">
        <f t="shared" si="243"/>
        <v>142</v>
      </c>
      <c r="X359" s="16">
        <v>2784</v>
      </c>
      <c r="Y359" s="16">
        <v>1315</v>
      </c>
      <c r="Z359" s="16">
        <f t="shared" si="251"/>
        <v>1469</v>
      </c>
      <c r="AA359" s="16"/>
      <c r="AC359" s="18">
        <v>2022</v>
      </c>
      <c r="AD359" s="18" t="s">
        <v>41</v>
      </c>
      <c r="AE359" s="15">
        <f t="shared" si="252"/>
        <v>0.47460317460317458</v>
      </c>
      <c r="AF359" s="15">
        <f t="shared" si="253"/>
        <v>0.49833333333333335</v>
      </c>
      <c r="AG359" s="15">
        <f t="shared" si="254"/>
        <v>0.95238095238095233</v>
      </c>
      <c r="AH359" s="26">
        <v>51</v>
      </c>
      <c r="AI359" s="26">
        <v>4</v>
      </c>
      <c r="AJ359" s="16">
        <v>1260</v>
      </c>
      <c r="AK359" s="16">
        <f t="shared" si="256"/>
        <v>60</v>
      </c>
      <c r="AL359" s="16">
        <v>1200</v>
      </c>
      <c r="AM359" s="16">
        <v>598</v>
      </c>
      <c r="AN359" s="16">
        <f t="shared" si="255"/>
        <v>602</v>
      </c>
      <c r="AO359" s="16"/>
      <c r="AS359" s="15"/>
      <c r="AT359" s="15"/>
      <c r="AU359" s="15"/>
      <c r="AV359" s="15"/>
      <c r="AW359" s="15"/>
      <c r="AX359" s="16"/>
      <c r="AY359" s="16"/>
      <c r="AZ359" s="16"/>
      <c r="BA359" s="16"/>
      <c r="BB359" s="16"/>
      <c r="BC359" s="16"/>
      <c r="BE359" s="18">
        <v>2022</v>
      </c>
      <c r="BF359" s="18" t="s">
        <v>41</v>
      </c>
      <c r="BG359" s="15"/>
      <c r="BH359" s="15"/>
      <c r="BI359" s="15"/>
      <c r="BJ359" s="26"/>
      <c r="BK359" s="26"/>
      <c r="BL359" s="16"/>
      <c r="BM359" s="16"/>
      <c r="BN359" s="16"/>
      <c r="BO359" s="16"/>
      <c r="BP359" s="16"/>
      <c r="BQ359" s="18" t="s">
        <v>108</v>
      </c>
      <c r="BS359" s="18">
        <v>2022</v>
      </c>
      <c r="BT359" s="18" t="s">
        <v>41</v>
      </c>
      <c r="BU359" s="15">
        <f t="shared" si="257"/>
        <v>0.90530303030303028</v>
      </c>
      <c r="BV359" s="15">
        <f t="shared" si="258"/>
        <v>0.90874524714828897</v>
      </c>
      <c r="BW359" s="15">
        <f t="shared" si="259"/>
        <v>0.99621212121212122</v>
      </c>
      <c r="BX359" s="26"/>
      <c r="BY359" s="26">
        <v>2</v>
      </c>
      <c r="BZ359" s="16">
        <v>528</v>
      </c>
      <c r="CA359" s="16">
        <f t="shared" si="260"/>
        <v>2</v>
      </c>
      <c r="CB359" s="16">
        <v>526</v>
      </c>
      <c r="CC359" s="16">
        <v>478</v>
      </c>
      <c r="CD359" s="16">
        <f t="shared" si="261"/>
        <v>48</v>
      </c>
      <c r="CI359" s="15"/>
      <c r="CJ359" s="15"/>
      <c r="CK359" s="15"/>
      <c r="CL359" s="26"/>
      <c r="CM359" s="26"/>
      <c r="CN359" s="16"/>
      <c r="CO359" s="16"/>
      <c r="CP359" s="16"/>
      <c r="CQ359" s="16"/>
      <c r="CR359" s="16"/>
    </row>
    <row r="360" spans="1:96" s="18" customFormat="1" ht="15" customHeight="1">
      <c r="A360" s="18">
        <v>2022</v>
      </c>
      <c r="B360" s="21" t="s">
        <v>42</v>
      </c>
      <c r="C360" s="15">
        <f t="shared" ref="C360:C365" si="264">K360/H360</f>
        <v>0.82961750869298423</v>
      </c>
      <c r="D360" s="15">
        <f t="shared" ref="D360:D365" si="265">K360/J360</f>
        <v>0.84079601990049746</v>
      </c>
      <c r="E360" s="15">
        <f t="shared" ref="E360:E365" si="266">J360/H360</f>
        <v>0.98670484761709965</v>
      </c>
      <c r="F360" s="58">
        <f t="shared" si="199"/>
        <v>146</v>
      </c>
      <c r="G360"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5.2985074626865671</v>
      </c>
      <c r="H360" s="57">
        <f>+V360+AJ360+AX360+BL360+BS_GC_MP_Vill[[#This Row],[Trenes Programados]]</f>
        <v>4889</v>
      </c>
      <c r="I360" s="16">
        <f t="shared" si="262"/>
        <v>65</v>
      </c>
      <c r="J360" s="57">
        <f>+X360+AL360+AZ360+BN360+BS_GC_MP_Vill[[#This Row],[Trenes Corridos]]</f>
        <v>4824</v>
      </c>
      <c r="K360" s="57">
        <f>+Y360+AM360+BA360+BO360+BS_GC_MP_Vill[[#This Row],[Trenes Puntuales]]</f>
        <v>4056</v>
      </c>
      <c r="L360" s="16">
        <f t="shared" si="263"/>
        <v>768</v>
      </c>
      <c r="M360" s="16"/>
      <c r="O360" s="18">
        <v>2022</v>
      </c>
      <c r="P360" s="21" t="s">
        <v>42</v>
      </c>
      <c r="Q360" s="15">
        <f t="shared" ref="Q360:Q365" si="267">Y360/V360</f>
        <v>0.86557587423804938</v>
      </c>
      <c r="R360" s="15">
        <f t="shared" ref="R360:R365" si="268">Y360/X360</f>
        <v>0.87825520833333337</v>
      </c>
      <c r="S360" s="15">
        <f t="shared" ref="S360:S365" si="269">X360/V360</f>
        <v>0.98556304138594808</v>
      </c>
      <c r="T360" s="26">
        <v>95</v>
      </c>
      <c r="U360" s="26">
        <v>6</v>
      </c>
      <c r="V360" s="16">
        <v>3117</v>
      </c>
      <c r="W360" s="16">
        <f t="shared" si="243"/>
        <v>45</v>
      </c>
      <c r="X360" s="16">
        <v>3072</v>
      </c>
      <c r="Y360" s="16">
        <v>2698</v>
      </c>
      <c r="Z360" s="16">
        <f t="shared" ref="Z360:Z365" si="270">X360-Y360</f>
        <v>374</v>
      </c>
      <c r="AA360" s="16"/>
      <c r="AC360" s="18">
        <v>2022</v>
      </c>
      <c r="AD360" s="21" t="s">
        <v>42</v>
      </c>
      <c r="AE360" s="15">
        <f t="shared" ref="AE360:AE365" si="271">AM360/AJ360</f>
        <v>0.69983686786296906</v>
      </c>
      <c r="AF360" s="15">
        <f t="shared" ref="AF360:AF365" si="272">AM360/AL360</f>
        <v>0.71026490066225167</v>
      </c>
      <c r="AG360" s="15">
        <f t="shared" ref="AG360:AG365" si="273">AL360/AJ360</f>
        <v>0.9853181076672104</v>
      </c>
      <c r="AH360" s="26">
        <v>51</v>
      </c>
      <c r="AI360" s="26">
        <v>5</v>
      </c>
      <c r="AJ360" s="16">
        <v>1226</v>
      </c>
      <c r="AK360" s="16">
        <f t="shared" si="256"/>
        <v>18</v>
      </c>
      <c r="AL360" s="16">
        <v>1208</v>
      </c>
      <c r="AM360" s="16">
        <v>858</v>
      </c>
      <c r="AN360" s="16">
        <f t="shared" ref="AN360:AN365" si="274">AL360-AM360</f>
        <v>350</v>
      </c>
      <c r="AO360" s="16"/>
      <c r="AS360" s="15"/>
      <c r="AT360" s="15"/>
      <c r="AU360" s="15"/>
      <c r="AV360" s="15"/>
      <c r="AW360" s="15"/>
      <c r="AX360" s="16"/>
      <c r="AY360" s="16"/>
      <c r="AZ360" s="16"/>
      <c r="BA360" s="16"/>
      <c r="BB360" s="16"/>
      <c r="BC360" s="16"/>
      <c r="BE360" s="18">
        <v>2022</v>
      </c>
      <c r="BF360" s="21" t="s">
        <v>42</v>
      </c>
      <c r="BG360" s="15"/>
      <c r="BH360" s="15"/>
      <c r="BI360" s="15"/>
      <c r="BJ360" s="26"/>
      <c r="BK360" s="26"/>
      <c r="BL360" s="16"/>
      <c r="BM360" s="16"/>
      <c r="BN360" s="16"/>
      <c r="BO360" s="16"/>
      <c r="BP360" s="16"/>
      <c r="BQ360" s="18" t="s">
        <v>108</v>
      </c>
      <c r="BS360" s="18">
        <v>2022</v>
      </c>
      <c r="BT360" s="21" t="s">
        <v>42</v>
      </c>
      <c r="BU360" s="15">
        <f t="shared" si="257"/>
        <v>0.91575091575091572</v>
      </c>
      <c r="BV360" s="15">
        <f t="shared" si="258"/>
        <v>0.91911764705882348</v>
      </c>
      <c r="BW360" s="15">
        <f t="shared" si="259"/>
        <v>0.99633699633699635</v>
      </c>
      <c r="BX360" s="26"/>
      <c r="BY360" s="26">
        <v>2</v>
      </c>
      <c r="BZ360" s="16">
        <v>546</v>
      </c>
      <c r="CA360" s="16">
        <f t="shared" si="260"/>
        <v>2</v>
      </c>
      <c r="CB360" s="16">
        <v>544</v>
      </c>
      <c r="CC360" s="16">
        <v>500</v>
      </c>
      <c r="CD360" s="16">
        <f t="shared" si="261"/>
        <v>44</v>
      </c>
      <c r="CH360" s="21"/>
      <c r="CI360" s="15"/>
      <c r="CJ360" s="15"/>
      <c r="CK360" s="15"/>
      <c r="CL360" s="26"/>
      <c r="CM360" s="26"/>
      <c r="CN360" s="16"/>
      <c r="CO360" s="16"/>
      <c r="CP360" s="16"/>
      <c r="CQ360" s="16"/>
      <c r="CR360" s="16"/>
    </row>
    <row r="361" spans="1:96" s="18" customFormat="1" ht="15" customHeight="1">
      <c r="A361" s="18">
        <v>2022</v>
      </c>
      <c r="B361" s="21" t="s">
        <v>43</v>
      </c>
      <c r="C361" s="15">
        <f t="shared" si="264"/>
        <v>0.88715242541100059</v>
      </c>
      <c r="D361" s="15">
        <f t="shared" si="265"/>
        <v>0.90703465449263332</v>
      </c>
      <c r="E361" s="15">
        <f t="shared" si="266"/>
        <v>0.97807996752587778</v>
      </c>
      <c r="F361" s="58">
        <f t="shared" si="199"/>
        <v>146</v>
      </c>
      <c r="G361"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5.2975721103963478</v>
      </c>
      <c r="H361" s="57">
        <f>+V361+AJ361+AX361+BL361+BS_GC_MP_Vill[[#This Row],[Trenes Programados]]</f>
        <v>4927</v>
      </c>
      <c r="I361" s="16">
        <f t="shared" si="262"/>
        <v>108</v>
      </c>
      <c r="J361" s="57">
        <f>+X361+AL361+AZ361+BN361+BS_GC_MP_Vill[[#This Row],[Trenes Corridos]]</f>
        <v>4819</v>
      </c>
      <c r="K361" s="57">
        <f>+Y361+AM361+BA361+BO361+BS_GC_MP_Vill[[#This Row],[Trenes Puntuales]]</f>
        <v>4371</v>
      </c>
      <c r="L361" s="16">
        <f t="shared" si="263"/>
        <v>448</v>
      </c>
      <c r="M361" s="16"/>
      <c r="O361" s="18">
        <v>2022</v>
      </c>
      <c r="P361" s="21" t="s">
        <v>43</v>
      </c>
      <c r="Q361" s="15">
        <f t="shared" si="267"/>
        <v>0.90609137055837563</v>
      </c>
      <c r="R361" s="15">
        <f t="shared" si="268"/>
        <v>0.9278752436647173</v>
      </c>
      <c r="S361" s="15">
        <f t="shared" si="269"/>
        <v>0.97652284263959388</v>
      </c>
      <c r="T361" s="26">
        <v>95</v>
      </c>
      <c r="U361" s="26">
        <v>6</v>
      </c>
      <c r="V361" s="16">
        <v>3152</v>
      </c>
      <c r="W361" s="16">
        <f t="shared" si="243"/>
        <v>74</v>
      </c>
      <c r="X361" s="16">
        <v>3078</v>
      </c>
      <c r="Y361" s="16">
        <v>2856</v>
      </c>
      <c r="Z361" s="16">
        <f t="shared" si="270"/>
        <v>222</v>
      </c>
      <c r="AA361" s="16"/>
      <c r="AC361" s="18">
        <v>2022</v>
      </c>
      <c r="AD361" s="21" t="s">
        <v>43</v>
      </c>
      <c r="AE361" s="15">
        <f t="shared" si="271"/>
        <v>0.81336593317033412</v>
      </c>
      <c r="AF361" s="15">
        <f t="shared" si="272"/>
        <v>0.83654652137468566</v>
      </c>
      <c r="AG361" s="15">
        <f t="shared" si="273"/>
        <v>0.97229013854930724</v>
      </c>
      <c r="AH361" s="26">
        <v>51</v>
      </c>
      <c r="AI361" s="26">
        <v>5</v>
      </c>
      <c r="AJ361" s="16">
        <v>1227</v>
      </c>
      <c r="AK361" s="16">
        <f t="shared" si="256"/>
        <v>34</v>
      </c>
      <c r="AL361" s="16">
        <v>1193</v>
      </c>
      <c r="AM361" s="16">
        <v>998</v>
      </c>
      <c r="AN361" s="16">
        <f t="shared" si="274"/>
        <v>195</v>
      </c>
      <c r="AO361" s="16"/>
      <c r="AS361" s="15"/>
      <c r="AT361" s="15"/>
      <c r="AU361" s="15"/>
      <c r="AV361" s="15"/>
      <c r="AW361" s="15"/>
      <c r="AX361" s="16"/>
      <c r="AY361" s="16"/>
      <c r="AZ361" s="16"/>
      <c r="BA361" s="16"/>
      <c r="BB361" s="16"/>
      <c r="BC361" s="16"/>
      <c r="BE361" s="18">
        <v>2022</v>
      </c>
      <c r="BF361" s="21" t="s">
        <v>43</v>
      </c>
      <c r="BG361" s="15"/>
      <c r="BH361" s="15"/>
      <c r="BI361" s="15"/>
      <c r="BJ361" s="26"/>
      <c r="BK361" s="26"/>
      <c r="BL361" s="16"/>
      <c r="BM361" s="16"/>
      <c r="BN361" s="16"/>
      <c r="BO361" s="16"/>
      <c r="BP361" s="16"/>
      <c r="BQ361" s="18" t="s">
        <v>108</v>
      </c>
      <c r="BS361" s="18">
        <v>2022</v>
      </c>
      <c r="BT361" s="21" t="s">
        <v>43</v>
      </c>
      <c r="BU361" s="15">
        <f t="shared" si="257"/>
        <v>0.94343065693430661</v>
      </c>
      <c r="BV361" s="15">
        <f t="shared" si="258"/>
        <v>0.94343065693430661</v>
      </c>
      <c r="BW361" s="15">
        <f t="shared" si="259"/>
        <v>1</v>
      </c>
      <c r="BX361" s="26"/>
      <c r="BY361" s="26">
        <v>2</v>
      </c>
      <c r="BZ361" s="16">
        <v>548</v>
      </c>
      <c r="CA361" s="16">
        <f t="shared" si="260"/>
        <v>0</v>
      </c>
      <c r="CB361" s="16">
        <v>548</v>
      </c>
      <c r="CC361" s="16">
        <v>517</v>
      </c>
      <c r="CD361" s="16">
        <f t="shared" si="261"/>
        <v>31</v>
      </c>
      <c r="CH361" s="21"/>
      <c r="CI361" s="15"/>
      <c r="CJ361" s="15"/>
      <c r="CK361" s="15"/>
      <c r="CL361" s="26"/>
      <c r="CM361" s="26"/>
      <c r="CN361" s="16"/>
      <c r="CO361" s="16"/>
      <c r="CP361" s="16"/>
      <c r="CQ361" s="16"/>
      <c r="CR361" s="16"/>
    </row>
    <row r="362" spans="1:96" s="18" customFormat="1" ht="15" customHeight="1">
      <c r="A362" s="18">
        <v>2022</v>
      </c>
      <c r="B362" s="18" t="s">
        <v>44</v>
      </c>
      <c r="C362" s="15">
        <f t="shared" si="264"/>
        <v>0.88534500729622678</v>
      </c>
      <c r="D362" s="15">
        <f t="shared" si="265"/>
        <v>0.91215635738831613</v>
      </c>
      <c r="E362" s="15">
        <f t="shared" si="266"/>
        <v>0.97060662914321449</v>
      </c>
      <c r="F362" s="58">
        <f t="shared" si="199"/>
        <v>146</v>
      </c>
      <c r="G362"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5.2961769759450172</v>
      </c>
      <c r="H362" s="57">
        <f>+V362+AJ362+AX362+BL362+BS_GC_MP_Vill[[#This Row],[Trenes Programados]]</f>
        <v>4797</v>
      </c>
      <c r="I362" s="16">
        <f t="shared" si="262"/>
        <v>141</v>
      </c>
      <c r="J362" s="57">
        <f>+X362+AL362+AZ362+BN362+BS_GC_MP_Vill[[#This Row],[Trenes Corridos]]</f>
        <v>4656</v>
      </c>
      <c r="K362" s="57">
        <f>+Y362+AM362+BA362+BO362+BS_GC_MP_Vill[[#This Row],[Trenes Puntuales]]</f>
        <v>4247</v>
      </c>
      <c r="L362" s="16">
        <f t="shared" si="263"/>
        <v>409</v>
      </c>
      <c r="M362" s="16"/>
      <c r="O362" s="18">
        <v>2022</v>
      </c>
      <c r="P362" s="18" t="s">
        <v>44</v>
      </c>
      <c r="Q362" s="15">
        <f t="shared" si="267"/>
        <v>0.89762755931101723</v>
      </c>
      <c r="R362" s="15">
        <f t="shared" si="268"/>
        <v>0.93595391392748217</v>
      </c>
      <c r="S362" s="15">
        <f t="shared" si="269"/>
        <v>0.95905102372440687</v>
      </c>
      <c r="T362" s="26">
        <v>95</v>
      </c>
      <c r="U362" s="26">
        <v>6</v>
      </c>
      <c r="V362" s="16">
        <v>3077</v>
      </c>
      <c r="W362" s="16">
        <f t="shared" si="243"/>
        <v>126</v>
      </c>
      <c r="X362" s="16">
        <v>2951</v>
      </c>
      <c r="Y362" s="16">
        <v>2762</v>
      </c>
      <c r="Z362" s="16">
        <f t="shared" si="270"/>
        <v>189</v>
      </c>
      <c r="AA362" s="16"/>
      <c r="AC362" s="18">
        <v>2022</v>
      </c>
      <c r="AD362" s="18" t="s">
        <v>44</v>
      </c>
      <c r="AE362" s="15">
        <f t="shared" si="271"/>
        <v>0.82912457912457915</v>
      </c>
      <c r="AF362" s="15">
        <f t="shared" si="272"/>
        <v>0.83403895004233697</v>
      </c>
      <c r="AG362" s="15">
        <f t="shared" si="273"/>
        <v>0.99410774410774416</v>
      </c>
      <c r="AH362" s="26">
        <v>51</v>
      </c>
      <c r="AI362" s="26">
        <v>5</v>
      </c>
      <c r="AJ362" s="16">
        <v>1188</v>
      </c>
      <c r="AK362" s="16">
        <f t="shared" si="256"/>
        <v>7</v>
      </c>
      <c r="AL362" s="16">
        <v>1181</v>
      </c>
      <c r="AM362" s="16">
        <v>985</v>
      </c>
      <c r="AN362" s="16">
        <f t="shared" si="274"/>
        <v>196</v>
      </c>
      <c r="AO362" s="16"/>
      <c r="AS362" s="15"/>
      <c r="AT362" s="15"/>
      <c r="AU362" s="15"/>
      <c r="AV362" s="15"/>
      <c r="AW362" s="15"/>
      <c r="AX362" s="16"/>
      <c r="AY362" s="16"/>
      <c r="AZ362" s="16"/>
      <c r="BA362" s="16"/>
      <c r="BB362" s="16"/>
      <c r="BC362" s="16"/>
      <c r="BE362" s="18">
        <v>2022</v>
      </c>
      <c r="BF362" s="18" t="s">
        <v>44</v>
      </c>
      <c r="BG362" s="15"/>
      <c r="BH362" s="15"/>
      <c r="BI362" s="15"/>
      <c r="BJ362" s="26"/>
      <c r="BK362" s="26"/>
      <c r="BL362" s="16"/>
      <c r="BM362" s="16"/>
      <c r="BN362" s="16"/>
      <c r="BO362" s="16"/>
      <c r="BP362" s="16"/>
      <c r="BQ362" s="18" t="s">
        <v>108</v>
      </c>
      <c r="BS362" s="18">
        <v>2022</v>
      </c>
      <c r="BT362" s="18" t="s">
        <v>44</v>
      </c>
      <c r="BU362" s="15">
        <f t="shared" si="257"/>
        <v>0.93984962406015038</v>
      </c>
      <c r="BV362" s="15">
        <f t="shared" si="258"/>
        <v>0.95419847328244278</v>
      </c>
      <c r="BW362" s="15">
        <f t="shared" si="259"/>
        <v>0.98496240601503759</v>
      </c>
      <c r="BX362" s="26"/>
      <c r="BY362" s="26">
        <v>2</v>
      </c>
      <c r="BZ362" s="16">
        <v>532</v>
      </c>
      <c r="CA362" s="16">
        <f t="shared" si="260"/>
        <v>8</v>
      </c>
      <c r="CB362" s="16">
        <v>524</v>
      </c>
      <c r="CC362" s="16">
        <v>500</v>
      </c>
      <c r="CD362" s="16">
        <f t="shared" si="261"/>
        <v>24</v>
      </c>
      <c r="CI362" s="15"/>
      <c r="CJ362" s="15"/>
      <c r="CK362" s="15"/>
      <c r="CL362" s="26"/>
      <c r="CM362" s="26"/>
      <c r="CN362" s="16"/>
      <c r="CO362" s="16"/>
      <c r="CP362" s="16"/>
      <c r="CQ362" s="16"/>
      <c r="CR362" s="16"/>
    </row>
    <row r="363" spans="1:96" s="18" customFormat="1" ht="15" customHeight="1">
      <c r="A363" s="18">
        <v>2022</v>
      </c>
      <c r="B363" s="18" t="s">
        <v>45</v>
      </c>
      <c r="C363" s="15">
        <f t="shared" si="264"/>
        <v>0.85856079404466501</v>
      </c>
      <c r="D363" s="15">
        <f t="shared" si="265"/>
        <v>0.87410526315789472</v>
      </c>
      <c r="E363" s="15">
        <f t="shared" si="266"/>
        <v>0.98221670802315963</v>
      </c>
      <c r="F363" s="58">
        <f t="shared" si="199"/>
        <v>146</v>
      </c>
      <c r="G363"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5.2892631578947364</v>
      </c>
      <c r="H363" s="57">
        <f>+V363+AJ363+AX363+BL363+BS_GC_MP_Vill[[#This Row],[Trenes Programados]]</f>
        <v>4836</v>
      </c>
      <c r="I363" s="16">
        <f t="shared" si="262"/>
        <v>86</v>
      </c>
      <c r="J363" s="57">
        <f>+X363+AL363+AZ363+BN363+BS_GC_MP_Vill[[#This Row],[Trenes Corridos]]</f>
        <v>4750</v>
      </c>
      <c r="K363" s="57">
        <f>+Y363+AM363+BA363+BO363+BS_GC_MP_Vill[[#This Row],[Trenes Puntuales]]</f>
        <v>4152</v>
      </c>
      <c r="L363" s="16">
        <f t="shared" si="263"/>
        <v>598</v>
      </c>
      <c r="M363" s="16"/>
      <c r="O363" s="18">
        <v>2022</v>
      </c>
      <c r="P363" s="18" t="s">
        <v>45</v>
      </c>
      <c r="Q363" s="15">
        <f t="shared" si="267"/>
        <v>0.90355164548712941</v>
      </c>
      <c r="R363" s="15">
        <f t="shared" si="268"/>
        <v>0.9224883566200931</v>
      </c>
      <c r="S363" s="15">
        <f t="shared" si="269"/>
        <v>0.97947214076246336</v>
      </c>
      <c r="T363" s="26">
        <v>95</v>
      </c>
      <c r="U363" s="26">
        <v>6</v>
      </c>
      <c r="V363" s="16">
        <v>3069</v>
      </c>
      <c r="W363" s="16">
        <f t="shared" si="243"/>
        <v>63</v>
      </c>
      <c r="X363" s="16">
        <v>3006</v>
      </c>
      <c r="Y363" s="16">
        <v>2773</v>
      </c>
      <c r="Z363" s="16">
        <f t="shared" si="270"/>
        <v>233</v>
      </c>
      <c r="AA363" s="16"/>
      <c r="AC363" s="18">
        <v>2022</v>
      </c>
      <c r="AD363" s="18" t="s">
        <v>45</v>
      </c>
      <c r="AE363" s="15">
        <f t="shared" si="271"/>
        <v>0.70645952575633686</v>
      </c>
      <c r="AF363" s="15">
        <f t="shared" si="272"/>
        <v>0.72</v>
      </c>
      <c r="AG363" s="15">
        <f t="shared" si="273"/>
        <v>0.98119378577269012</v>
      </c>
      <c r="AH363" s="26">
        <v>51</v>
      </c>
      <c r="AI363" s="26">
        <v>5</v>
      </c>
      <c r="AJ363" s="16">
        <v>1223</v>
      </c>
      <c r="AK363" s="16">
        <f t="shared" si="256"/>
        <v>23</v>
      </c>
      <c r="AL363" s="16">
        <v>1200</v>
      </c>
      <c r="AM363" s="16">
        <v>864</v>
      </c>
      <c r="AN363" s="16">
        <f t="shared" si="274"/>
        <v>336</v>
      </c>
      <c r="AO363" s="16"/>
      <c r="AS363" s="15"/>
      <c r="AT363" s="15"/>
      <c r="AU363" s="15"/>
      <c r="AV363" s="15"/>
      <c r="AW363" s="15"/>
      <c r="AX363" s="16"/>
      <c r="AY363" s="16"/>
      <c r="AZ363" s="16"/>
      <c r="BA363" s="16"/>
      <c r="BB363" s="16"/>
      <c r="BC363" s="16"/>
      <c r="BE363" s="18">
        <v>2022</v>
      </c>
      <c r="BF363" s="18" t="s">
        <v>45</v>
      </c>
      <c r="BG363" s="15"/>
      <c r="BH363" s="15"/>
      <c r="BI363" s="15"/>
      <c r="BJ363" s="26"/>
      <c r="BK363" s="26"/>
      <c r="BL363" s="16"/>
      <c r="BM363" s="16"/>
      <c r="BN363" s="16"/>
      <c r="BO363" s="16"/>
      <c r="BP363" s="16"/>
      <c r="BQ363" s="18" t="s">
        <v>108</v>
      </c>
      <c r="BS363" s="18">
        <v>2022</v>
      </c>
      <c r="BT363" s="18" t="s">
        <v>45</v>
      </c>
      <c r="BU363" s="15">
        <f t="shared" ref="BU363:BU368" si="275">CC363/BZ363</f>
        <v>0.9466911764705882</v>
      </c>
      <c r="BV363" s="15">
        <f t="shared" ref="BV363:BV368" si="276">CC363/CB363</f>
        <v>0.9466911764705882</v>
      </c>
      <c r="BW363" s="15">
        <f t="shared" ref="BW363:BW368" si="277">CB363/BZ363</f>
        <v>1</v>
      </c>
      <c r="BX363" s="26"/>
      <c r="BY363" s="26">
        <v>2</v>
      </c>
      <c r="BZ363" s="16">
        <v>544</v>
      </c>
      <c r="CA363" s="16">
        <f t="shared" si="260"/>
        <v>0</v>
      </c>
      <c r="CB363" s="16">
        <v>544</v>
      </c>
      <c r="CC363" s="16">
        <v>515</v>
      </c>
      <c r="CD363" s="16">
        <f>CB363-CC363</f>
        <v>29</v>
      </c>
      <c r="CI363" s="15"/>
      <c r="CJ363" s="15"/>
      <c r="CK363" s="15"/>
      <c r="CL363" s="26"/>
      <c r="CM363" s="26"/>
      <c r="CN363" s="16"/>
      <c r="CO363" s="16"/>
      <c r="CP363" s="16"/>
      <c r="CQ363" s="16"/>
      <c r="CR363" s="16"/>
    </row>
    <row r="364" spans="1:96" s="18" customFormat="1" ht="15" customHeight="1">
      <c r="A364" s="18">
        <v>2022</v>
      </c>
      <c r="B364" s="18" t="s">
        <v>46</v>
      </c>
      <c r="C364" s="15">
        <f t="shared" si="264"/>
        <v>0.70025456088247773</v>
      </c>
      <c r="D364" s="15">
        <f t="shared" si="265"/>
        <v>0.76007368178678336</v>
      </c>
      <c r="E364" s="15">
        <f t="shared" si="266"/>
        <v>0.92129826050063646</v>
      </c>
      <c r="F364" s="58">
        <f t="shared" si="199"/>
        <v>146</v>
      </c>
      <c r="G364"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5.2779184895233708</v>
      </c>
      <c r="H364" s="57">
        <f>+V364+AJ364+AX364+BL364+BS_GC_MP_Vill[[#This Row],[Trenes Programados]]</f>
        <v>4714</v>
      </c>
      <c r="I364" s="16">
        <f t="shared" ref="I364:I369" si="278">H364-J364</f>
        <v>371</v>
      </c>
      <c r="J364" s="57">
        <f>+X364+AL364+AZ364+BN364+BS_GC_MP_Vill[[#This Row],[Trenes Corridos]]</f>
        <v>4343</v>
      </c>
      <c r="K364" s="57">
        <f>+Y364+AM364+BA364+BO364+BS_GC_MP_Vill[[#This Row],[Trenes Puntuales]]</f>
        <v>3301</v>
      </c>
      <c r="L364" s="16">
        <f t="shared" ref="L364:L369" si="279">J364-K364</f>
        <v>1042</v>
      </c>
      <c r="M364" s="16"/>
      <c r="O364" s="18">
        <v>2022</v>
      </c>
      <c r="P364" s="18" t="s">
        <v>46</v>
      </c>
      <c r="Q364" s="15">
        <f t="shared" si="267"/>
        <v>0.80734856007944389</v>
      </c>
      <c r="R364" s="15">
        <f t="shared" si="268"/>
        <v>0.86275203395825961</v>
      </c>
      <c r="S364" s="15">
        <f t="shared" si="269"/>
        <v>0.93578285335981459</v>
      </c>
      <c r="T364" s="26">
        <v>95</v>
      </c>
      <c r="U364" s="26">
        <v>6</v>
      </c>
      <c r="V364" s="16">
        <v>3021</v>
      </c>
      <c r="W364" s="16">
        <f t="shared" si="243"/>
        <v>194</v>
      </c>
      <c r="X364" s="16">
        <v>2827</v>
      </c>
      <c r="Y364" s="16">
        <v>2439</v>
      </c>
      <c r="Z364" s="16">
        <f t="shared" si="270"/>
        <v>388</v>
      </c>
      <c r="AA364" s="16"/>
      <c r="AC364" s="18">
        <v>2022</v>
      </c>
      <c r="AD364" s="18" t="s">
        <v>46</v>
      </c>
      <c r="AE364" s="15">
        <f t="shared" si="271"/>
        <v>0.36347673397717295</v>
      </c>
      <c r="AF364" s="15">
        <f t="shared" si="272"/>
        <v>0.42418032786885246</v>
      </c>
      <c r="AG364" s="15">
        <f t="shared" si="273"/>
        <v>0.85689201053555752</v>
      </c>
      <c r="AH364" s="26">
        <v>51</v>
      </c>
      <c r="AI364" s="26">
        <v>5</v>
      </c>
      <c r="AJ364" s="16">
        <v>1139</v>
      </c>
      <c r="AK364" s="16">
        <f t="shared" si="256"/>
        <v>163</v>
      </c>
      <c r="AL364" s="16">
        <v>976</v>
      </c>
      <c r="AM364" s="16">
        <v>414</v>
      </c>
      <c r="AN364" s="16">
        <f t="shared" si="274"/>
        <v>562</v>
      </c>
      <c r="AO364" s="16"/>
      <c r="AS364" s="15"/>
      <c r="AT364" s="15"/>
      <c r="AU364" s="15"/>
      <c r="AV364" s="15"/>
      <c r="AW364" s="15"/>
      <c r="AX364" s="16"/>
      <c r="AY364" s="16"/>
      <c r="AZ364" s="16"/>
      <c r="BA364" s="16"/>
      <c r="BB364" s="16"/>
      <c r="BC364" s="16"/>
      <c r="BE364" s="18">
        <v>2022</v>
      </c>
      <c r="BF364" s="18" t="s">
        <v>46</v>
      </c>
      <c r="BG364" s="15"/>
      <c r="BH364" s="15"/>
      <c r="BI364" s="15"/>
      <c r="BJ364" s="26"/>
      <c r="BK364" s="26"/>
      <c r="BL364" s="16"/>
      <c r="BM364" s="16"/>
      <c r="BN364" s="16"/>
      <c r="BO364" s="16"/>
      <c r="BP364" s="16"/>
      <c r="BQ364" s="18" t="s">
        <v>108</v>
      </c>
      <c r="BS364" s="18">
        <v>2022</v>
      </c>
      <c r="BT364" s="18" t="s">
        <v>46</v>
      </c>
      <c r="BU364" s="15">
        <f t="shared" si="275"/>
        <v>0.80866425992779778</v>
      </c>
      <c r="BV364" s="15">
        <f t="shared" si="276"/>
        <v>0.82962962962962961</v>
      </c>
      <c r="BW364" s="15">
        <f t="shared" si="277"/>
        <v>0.97472924187725629</v>
      </c>
      <c r="BX364" s="26"/>
      <c r="BY364" s="26">
        <v>2</v>
      </c>
      <c r="BZ364" s="16">
        <v>554</v>
      </c>
      <c r="CA364" s="16">
        <f t="shared" si="260"/>
        <v>14</v>
      </c>
      <c r="CB364" s="16">
        <v>540</v>
      </c>
      <c r="CC364" s="16">
        <v>448</v>
      </c>
      <c r="CD364" s="16">
        <f>CB364-CC364</f>
        <v>92</v>
      </c>
      <c r="CI364" s="15"/>
      <c r="CJ364" s="15"/>
      <c r="CK364" s="15"/>
      <c r="CL364" s="26"/>
      <c r="CM364" s="26"/>
      <c r="CN364" s="16"/>
      <c r="CO364" s="16"/>
      <c r="CP364" s="16"/>
      <c r="CQ364" s="16"/>
      <c r="CR364" s="16"/>
    </row>
    <row r="365" spans="1:96" s="18" customFormat="1" ht="15" customHeight="1">
      <c r="A365" s="18">
        <v>2022</v>
      </c>
      <c r="B365" s="18" t="s">
        <v>47</v>
      </c>
      <c r="C365" s="15">
        <f t="shared" si="264"/>
        <v>0.80489901160292221</v>
      </c>
      <c r="D365" s="15">
        <f t="shared" si="265"/>
        <v>0.83225949788935794</v>
      </c>
      <c r="E365" s="15">
        <f t="shared" si="266"/>
        <v>0.96712505371723245</v>
      </c>
      <c r="F365" s="58">
        <f t="shared" si="199"/>
        <v>146</v>
      </c>
      <c r="G365"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5.2617196178626973</v>
      </c>
      <c r="H365" s="57">
        <f>+V365+AJ365+AX365+BL365+BS_GC_MP_Vill[[#This Row],[Trenes Programados]]</f>
        <v>4654</v>
      </c>
      <c r="I365" s="16">
        <f t="shared" si="278"/>
        <v>153</v>
      </c>
      <c r="J365" s="57">
        <f>+X365+AL365+AZ365+BN365+BS_GC_MP_Vill[[#This Row],[Trenes Corridos]]</f>
        <v>4501</v>
      </c>
      <c r="K365" s="57">
        <f>+Y365+AM365+BA365+BO365+BS_GC_MP_Vill[[#This Row],[Trenes Puntuales]]</f>
        <v>3746</v>
      </c>
      <c r="L365" s="16">
        <f t="shared" si="279"/>
        <v>755</v>
      </c>
      <c r="M365" s="16"/>
      <c r="O365" s="18">
        <v>2022</v>
      </c>
      <c r="P365" s="18" t="s">
        <v>47</v>
      </c>
      <c r="Q365" s="15">
        <f t="shared" si="267"/>
        <v>0.85068762278978394</v>
      </c>
      <c r="R365" s="15">
        <f t="shared" si="268"/>
        <v>0.89033584647018504</v>
      </c>
      <c r="S365" s="15">
        <f t="shared" si="269"/>
        <v>0.95546823837590045</v>
      </c>
      <c r="T365" s="26">
        <v>95</v>
      </c>
      <c r="U365" s="26">
        <v>6</v>
      </c>
      <c r="V365" s="16">
        <v>3054</v>
      </c>
      <c r="W365" s="16">
        <f t="shared" si="243"/>
        <v>136</v>
      </c>
      <c r="X365" s="16">
        <v>2918</v>
      </c>
      <c r="Y365" s="16">
        <v>2598</v>
      </c>
      <c r="Z365" s="16">
        <f t="shared" si="270"/>
        <v>320</v>
      </c>
      <c r="AA365" s="16"/>
      <c r="AC365" s="18">
        <v>2022</v>
      </c>
      <c r="AD365" s="18" t="s">
        <v>47</v>
      </c>
      <c r="AE365" s="15">
        <f t="shared" si="271"/>
        <v>0.71104536489151871</v>
      </c>
      <c r="AF365" s="15">
        <f t="shared" si="272"/>
        <v>0.71884346959122636</v>
      </c>
      <c r="AG365" s="15">
        <f t="shared" si="273"/>
        <v>0.98915187376725833</v>
      </c>
      <c r="AH365" s="26">
        <v>51</v>
      </c>
      <c r="AI365" s="26">
        <v>5</v>
      </c>
      <c r="AJ365" s="16">
        <v>1014</v>
      </c>
      <c r="AK365" s="16">
        <f t="shared" si="256"/>
        <v>11</v>
      </c>
      <c r="AL365" s="16">
        <v>1003</v>
      </c>
      <c r="AM365" s="16">
        <v>721</v>
      </c>
      <c r="AN365" s="16">
        <f t="shared" si="274"/>
        <v>282</v>
      </c>
      <c r="AO365" s="16"/>
      <c r="AS365" s="15"/>
      <c r="AT365" s="15"/>
      <c r="AU365" s="15"/>
      <c r="AV365" s="15"/>
      <c r="AW365" s="15"/>
      <c r="AX365" s="16"/>
      <c r="AY365" s="16"/>
      <c r="AZ365" s="16"/>
      <c r="BA365" s="16"/>
      <c r="BB365" s="16"/>
      <c r="BC365" s="16"/>
      <c r="BE365" s="18">
        <v>2022</v>
      </c>
      <c r="BF365" s="18" t="s">
        <v>47</v>
      </c>
      <c r="BG365" s="15"/>
      <c r="BH365" s="15"/>
      <c r="BI365" s="15"/>
      <c r="BJ365" s="26"/>
      <c r="BK365" s="26"/>
      <c r="BL365" s="16"/>
      <c r="BM365" s="16"/>
      <c r="BN365" s="16"/>
      <c r="BO365" s="16"/>
      <c r="BP365" s="16"/>
      <c r="BQ365" s="18" t="s">
        <v>108</v>
      </c>
      <c r="BS365" s="18">
        <v>2022</v>
      </c>
      <c r="BT365" s="18" t="s">
        <v>47</v>
      </c>
      <c r="BU365" s="15">
        <f t="shared" si="275"/>
        <v>0.72866894197952214</v>
      </c>
      <c r="BV365" s="15">
        <f t="shared" si="276"/>
        <v>0.73620689655172411</v>
      </c>
      <c r="BW365" s="15">
        <f t="shared" si="277"/>
        <v>0.98976109215017061</v>
      </c>
      <c r="BX365" s="26"/>
      <c r="BY365" s="26">
        <v>2</v>
      </c>
      <c r="BZ365" s="16">
        <v>586</v>
      </c>
      <c r="CA365" s="16">
        <f t="shared" si="260"/>
        <v>6</v>
      </c>
      <c r="CB365" s="16">
        <v>580</v>
      </c>
      <c r="CC365" s="16">
        <v>427</v>
      </c>
      <c r="CD365" s="16">
        <f>CB365-CC365</f>
        <v>153</v>
      </c>
      <c r="CE365" s="18" t="s">
        <v>114</v>
      </c>
      <c r="CI365" s="15"/>
      <c r="CJ365" s="15"/>
      <c r="CK365" s="15"/>
      <c r="CL365" s="26"/>
      <c r="CM365" s="26"/>
      <c r="CN365" s="16"/>
      <c r="CO365" s="16"/>
      <c r="CP365" s="16"/>
      <c r="CQ365" s="16"/>
      <c r="CR365" s="16"/>
    </row>
    <row r="366" spans="1:96" s="18" customFormat="1" ht="15" customHeight="1">
      <c r="A366" s="18">
        <v>2023</v>
      </c>
      <c r="B366" s="21" t="s">
        <v>36</v>
      </c>
      <c r="C366" s="15">
        <f t="shared" ref="C366:C371" si="280">K366/H366</f>
        <v>0.77669491525423728</v>
      </c>
      <c r="D366" s="15">
        <f t="shared" ref="D366:D371" si="281">K366/J366</f>
        <v>0.79643710623506414</v>
      </c>
      <c r="E366" s="15">
        <f t="shared" ref="E366:E371" si="282">J366/H366</f>
        <v>0.97521186440677965</v>
      </c>
      <c r="F366" s="58">
        <f t="shared" si="199"/>
        <v>154</v>
      </c>
      <c r="G366"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5.2724310232457094</v>
      </c>
      <c r="H366" s="57">
        <f>+V366+AJ366+AX366+BL366+BS_GC_MP_Vill[[#This Row],[Trenes Programados]]</f>
        <v>4720</v>
      </c>
      <c r="I366" s="16">
        <f t="shared" si="278"/>
        <v>117</v>
      </c>
      <c r="J366" s="57">
        <f>+X366+AL366+AZ366+BN366+BS_GC_MP_Vill[[#This Row],[Trenes Corridos]]</f>
        <v>4603</v>
      </c>
      <c r="K366" s="57">
        <f>+Y366+AM366+BA366+BO366+BS_GC_MP_Vill[[#This Row],[Trenes Puntuales]]</f>
        <v>3666</v>
      </c>
      <c r="L366" s="16">
        <f t="shared" si="279"/>
        <v>937</v>
      </c>
      <c r="M366" s="16"/>
      <c r="O366" s="18">
        <v>2023</v>
      </c>
      <c r="P366" s="21" t="s">
        <v>36</v>
      </c>
      <c r="Q366" s="15">
        <f t="shared" ref="Q366:Q371" si="283">Y366/V366</f>
        <v>0.84565916398713825</v>
      </c>
      <c r="R366" s="15">
        <f t="shared" ref="R366:R371" si="284">Y366/X366</f>
        <v>0.8688470432771721</v>
      </c>
      <c r="S366" s="15">
        <f t="shared" ref="S366:S371" si="285">X366/V366</f>
        <v>0.97331189710610932</v>
      </c>
      <c r="T366" s="26">
        <v>95</v>
      </c>
      <c r="U366" s="26">
        <v>6</v>
      </c>
      <c r="V366" s="16">
        <v>3110</v>
      </c>
      <c r="W366" s="16">
        <f t="shared" ref="W366:W371" si="286">V366-X366</f>
        <v>83</v>
      </c>
      <c r="X366" s="16">
        <v>3027</v>
      </c>
      <c r="Y366" s="16">
        <v>2630</v>
      </c>
      <c r="Z366" s="16">
        <f t="shared" ref="Z366:Z371" si="287">X366-Y366</f>
        <v>397</v>
      </c>
      <c r="AA366" s="16"/>
      <c r="AC366" s="18">
        <v>2023</v>
      </c>
      <c r="AD366" s="21" t="s">
        <v>36</v>
      </c>
      <c r="AE366" s="15">
        <f t="shared" ref="AE366:AE371" si="288">AM366/AJ366</f>
        <v>0.61689587426326131</v>
      </c>
      <c r="AF366" s="15">
        <f t="shared" ref="AF366:AF371" si="289">AM366/AL366</f>
        <v>0.63756345177664975</v>
      </c>
      <c r="AG366" s="15">
        <f t="shared" ref="AG366:AG371" si="290">AL366/AJ366</f>
        <v>0.96758349705304514</v>
      </c>
      <c r="AH366" s="26">
        <v>51</v>
      </c>
      <c r="AI366" s="26">
        <v>5</v>
      </c>
      <c r="AJ366" s="16">
        <v>1018</v>
      </c>
      <c r="AK366" s="16">
        <f t="shared" ref="AK366:AK371" si="291">AJ366-AL366</f>
        <v>33</v>
      </c>
      <c r="AL366" s="16">
        <v>985</v>
      </c>
      <c r="AM366" s="16">
        <v>628</v>
      </c>
      <c r="AN366" s="16">
        <f t="shared" ref="AN366:AN371" si="292">AL366-AM366</f>
        <v>357</v>
      </c>
      <c r="AO366" s="16"/>
      <c r="AS366" s="15"/>
      <c r="AT366" s="15"/>
      <c r="AU366" s="15"/>
      <c r="AV366" s="15"/>
      <c r="AW366" s="15"/>
      <c r="AX366" s="16"/>
      <c r="AY366" s="16"/>
      <c r="AZ366" s="16"/>
      <c r="BA366" s="16"/>
      <c r="BB366" s="16"/>
      <c r="BC366" s="16"/>
      <c r="BE366" s="18">
        <v>2023</v>
      </c>
      <c r="BF366" s="21" t="s">
        <v>36</v>
      </c>
      <c r="BG366" s="15"/>
      <c r="BH366" s="15"/>
      <c r="BI366" s="15"/>
      <c r="BJ366" s="26"/>
      <c r="BK366" s="26"/>
      <c r="BL366" s="16"/>
      <c r="BM366" s="16"/>
      <c r="BN366" s="16"/>
      <c r="BO366" s="16"/>
      <c r="BP366" s="16"/>
      <c r="BQ366" s="18" t="s">
        <v>108</v>
      </c>
      <c r="BS366" s="18">
        <v>2023</v>
      </c>
      <c r="BT366" s="21" t="s">
        <v>36</v>
      </c>
      <c r="BU366" s="15">
        <f t="shared" si="275"/>
        <v>0.68918918918918914</v>
      </c>
      <c r="BV366" s="15">
        <f t="shared" si="276"/>
        <v>0.69035532994923854</v>
      </c>
      <c r="BW366" s="15">
        <f t="shared" si="277"/>
        <v>0.99831081081081086</v>
      </c>
      <c r="BX366" s="26">
        <v>8</v>
      </c>
      <c r="BY366" s="26">
        <v>2</v>
      </c>
      <c r="BZ366" s="16">
        <v>592</v>
      </c>
      <c r="CA366" s="16">
        <f t="shared" si="260"/>
        <v>1</v>
      </c>
      <c r="CB366" s="16">
        <v>591</v>
      </c>
      <c r="CC366" s="16">
        <v>408</v>
      </c>
      <c r="CD366" s="16">
        <v>408</v>
      </c>
      <c r="CH366" s="21"/>
      <c r="CI366" s="15"/>
      <c r="CJ366" s="15"/>
      <c r="CK366" s="15"/>
      <c r="CL366" s="26"/>
      <c r="CM366" s="26"/>
      <c r="CN366" s="16"/>
      <c r="CO366" s="16"/>
      <c r="CP366" s="16"/>
      <c r="CQ366" s="16"/>
      <c r="CR366" s="16"/>
    </row>
    <row r="367" spans="1:96" s="18" customFormat="1" ht="15" customHeight="1">
      <c r="A367" s="18">
        <v>2023</v>
      </c>
      <c r="B367" s="21" t="s">
        <v>37</v>
      </c>
      <c r="C367" s="15">
        <f t="shared" si="280"/>
        <v>0.77679000480538207</v>
      </c>
      <c r="D367" s="15">
        <f t="shared" si="281"/>
        <v>0.80623441396508733</v>
      </c>
      <c r="E367" s="15">
        <f t="shared" si="282"/>
        <v>0.96347909658817876</v>
      </c>
      <c r="F367" s="58">
        <f t="shared" si="199"/>
        <v>154</v>
      </c>
      <c r="G367"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5.2985037406483793</v>
      </c>
      <c r="H367" s="57">
        <f>+V367+AJ367+AX367+BL367+BS_GC_MP_Vill[[#This Row],[Trenes Programados]]</f>
        <v>4162</v>
      </c>
      <c r="I367" s="16">
        <f t="shared" si="278"/>
        <v>152</v>
      </c>
      <c r="J367" s="57">
        <f>+X367+AL367+AZ367+BN367+BS_GC_MP_Vill[[#This Row],[Trenes Corridos]]</f>
        <v>4010</v>
      </c>
      <c r="K367" s="57">
        <f>+Y367+AM367+BA367+BO367+BS_GC_MP_Vill[[#This Row],[Trenes Puntuales]]</f>
        <v>3233</v>
      </c>
      <c r="L367" s="16">
        <f t="shared" si="279"/>
        <v>777</v>
      </c>
      <c r="M367" s="16"/>
      <c r="O367" s="18">
        <v>2023</v>
      </c>
      <c r="P367" s="21" t="s">
        <v>37</v>
      </c>
      <c r="Q367" s="15">
        <f t="shared" si="283"/>
        <v>0.86555232558139539</v>
      </c>
      <c r="R367" s="15">
        <f t="shared" si="284"/>
        <v>0.89717514124293785</v>
      </c>
      <c r="S367" s="15">
        <f t="shared" si="285"/>
        <v>0.96475290697674421</v>
      </c>
      <c r="T367" s="26">
        <v>95</v>
      </c>
      <c r="U367" s="26">
        <v>6</v>
      </c>
      <c r="V367" s="16">
        <v>2752</v>
      </c>
      <c r="W367" s="16">
        <f t="shared" si="286"/>
        <v>97</v>
      </c>
      <c r="X367" s="16">
        <v>2655</v>
      </c>
      <c r="Y367" s="16">
        <v>2382</v>
      </c>
      <c r="Z367" s="16">
        <f t="shared" si="287"/>
        <v>273</v>
      </c>
      <c r="AA367" s="16"/>
      <c r="AC367" s="18">
        <v>2023</v>
      </c>
      <c r="AD367" s="21" t="s">
        <v>37</v>
      </c>
      <c r="AE367" s="15">
        <f t="shared" si="288"/>
        <v>0.49346405228758172</v>
      </c>
      <c r="AF367" s="15">
        <f t="shared" si="289"/>
        <v>0.52128883774453394</v>
      </c>
      <c r="AG367" s="15">
        <f t="shared" si="290"/>
        <v>0.94662309368191722</v>
      </c>
      <c r="AH367" s="26">
        <v>51</v>
      </c>
      <c r="AI367" s="26">
        <v>5</v>
      </c>
      <c r="AJ367" s="16">
        <v>918</v>
      </c>
      <c r="AK367" s="16">
        <f t="shared" si="291"/>
        <v>49</v>
      </c>
      <c r="AL367" s="16">
        <v>869</v>
      </c>
      <c r="AM367" s="16">
        <v>453</v>
      </c>
      <c r="AN367" s="16">
        <f t="shared" si="292"/>
        <v>416</v>
      </c>
      <c r="AO367" s="16"/>
      <c r="AS367" s="15"/>
      <c r="AT367" s="15"/>
      <c r="AU367" s="15"/>
      <c r="AV367" s="15"/>
      <c r="AW367" s="15"/>
      <c r="AX367" s="16"/>
      <c r="AY367" s="16"/>
      <c r="AZ367" s="16"/>
      <c r="BA367" s="16"/>
      <c r="BB367" s="16"/>
      <c r="BC367" s="16"/>
      <c r="BE367" s="18">
        <v>2023</v>
      </c>
      <c r="BF367" s="21" t="s">
        <v>37</v>
      </c>
      <c r="BG367" s="15"/>
      <c r="BH367" s="15"/>
      <c r="BI367" s="15"/>
      <c r="BJ367" s="26"/>
      <c r="BK367" s="26"/>
      <c r="BL367" s="16"/>
      <c r="BM367" s="16"/>
      <c r="BN367" s="16"/>
      <c r="BO367" s="16"/>
      <c r="BP367" s="16"/>
      <c r="BQ367" s="18" t="s">
        <v>108</v>
      </c>
      <c r="BS367" s="18">
        <v>2023</v>
      </c>
      <c r="BT367" s="21" t="s">
        <v>37</v>
      </c>
      <c r="BU367" s="15">
        <f t="shared" si="275"/>
        <v>0.80894308943089432</v>
      </c>
      <c r="BV367" s="15">
        <f t="shared" si="276"/>
        <v>0.81893004115226342</v>
      </c>
      <c r="BW367" s="15">
        <f t="shared" si="277"/>
        <v>0.98780487804878048</v>
      </c>
      <c r="BX367" s="26">
        <v>8</v>
      </c>
      <c r="BY367" s="26">
        <v>2</v>
      </c>
      <c r="BZ367" s="16">
        <v>492</v>
      </c>
      <c r="CA367" s="16">
        <f t="shared" ref="CA367:CA386" si="293">BZ367-CB367</f>
        <v>6</v>
      </c>
      <c r="CB367" s="16">
        <v>486</v>
      </c>
      <c r="CC367" s="16">
        <v>398</v>
      </c>
      <c r="CD367" s="16">
        <f t="shared" ref="CD367:CD372" si="294">CB367-CC367</f>
        <v>88</v>
      </c>
      <c r="CH367" s="21"/>
      <c r="CI367" s="15"/>
      <c r="CJ367" s="15"/>
      <c r="CK367" s="15"/>
      <c r="CL367" s="26"/>
      <c r="CM367" s="26"/>
      <c r="CN367" s="16"/>
      <c r="CO367" s="16"/>
      <c r="CP367" s="16"/>
      <c r="CQ367" s="16"/>
      <c r="CR367" s="16"/>
    </row>
    <row r="368" spans="1:96" s="18" customFormat="1" ht="15" customHeight="1">
      <c r="A368" s="18">
        <v>2023</v>
      </c>
      <c r="B368" s="18" t="s">
        <v>38</v>
      </c>
      <c r="C368" s="15">
        <f t="shared" si="280"/>
        <v>0.72385026737967917</v>
      </c>
      <c r="D368" s="15">
        <f t="shared" si="281"/>
        <v>0.74243089074155333</v>
      </c>
      <c r="E368" s="15">
        <f t="shared" si="282"/>
        <v>0.97497326203208556</v>
      </c>
      <c r="F368" s="58">
        <f t="shared" si="199"/>
        <v>154</v>
      </c>
      <c r="G368"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5.3073716542343137</v>
      </c>
      <c r="H368" s="57">
        <f>+V368+AJ368+AX368+BL368+BS_GC_MP_Vill[[#This Row],[Trenes Programados]]</f>
        <v>4675</v>
      </c>
      <c r="I368" s="16">
        <f t="shared" si="278"/>
        <v>117</v>
      </c>
      <c r="J368" s="57">
        <f>+X368+AL368+AZ368+BN368+BS_GC_MP_Vill[[#This Row],[Trenes Corridos]]</f>
        <v>4558</v>
      </c>
      <c r="K368" s="57">
        <f>+Y368+AM368+BA368+BO368+BS_GC_MP_Vill[[#This Row],[Trenes Puntuales]]</f>
        <v>3384</v>
      </c>
      <c r="L368" s="16">
        <f t="shared" si="279"/>
        <v>1174</v>
      </c>
      <c r="M368" s="16"/>
      <c r="O368" s="18">
        <v>2023</v>
      </c>
      <c r="P368" s="18" t="s">
        <v>38</v>
      </c>
      <c r="Q368" s="15">
        <f t="shared" si="283"/>
        <v>0.82438082984882599</v>
      </c>
      <c r="R368" s="15">
        <f t="shared" si="284"/>
        <v>0.84839457133399532</v>
      </c>
      <c r="S368" s="15">
        <f t="shared" si="285"/>
        <v>0.97169507880347383</v>
      </c>
      <c r="T368" s="26">
        <v>95</v>
      </c>
      <c r="U368" s="26">
        <v>6</v>
      </c>
      <c r="V368" s="16">
        <v>3109</v>
      </c>
      <c r="W368" s="16">
        <f t="shared" si="286"/>
        <v>88</v>
      </c>
      <c r="X368" s="16">
        <v>3021</v>
      </c>
      <c r="Y368" s="16">
        <v>2563</v>
      </c>
      <c r="Z368" s="16">
        <f t="shared" si="287"/>
        <v>458</v>
      </c>
      <c r="AA368" s="16"/>
      <c r="AC368" s="18">
        <v>2023</v>
      </c>
      <c r="AD368" s="18" t="s">
        <v>38</v>
      </c>
      <c r="AE368" s="15">
        <f t="shared" si="288"/>
        <v>0.39390962671905699</v>
      </c>
      <c r="AF368" s="15">
        <f t="shared" si="289"/>
        <v>0.40220661985957873</v>
      </c>
      <c r="AG368" s="15">
        <f t="shared" si="290"/>
        <v>0.97937131630648333</v>
      </c>
      <c r="AH368" s="26">
        <v>51</v>
      </c>
      <c r="AI368" s="26">
        <v>5</v>
      </c>
      <c r="AJ368" s="16">
        <v>1018</v>
      </c>
      <c r="AK368" s="16">
        <f t="shared" si="291"/>
        <v>21</v>
      </c>
      <c r="AL368" s="16">
        <v>997</v>
      </c>
      <c r="AM368" s="16">
        <v>401</v>
      </c>
      <c r="AN368" s="16">
        <f t="shared" si="292"/>
        <v>596</v>
      </c>
      <c r="AO368" s="16"/>
      <c r="AS368" s="15"/>
      <c r="AT368" s="15"/>
      <c r="AU368" s="15"/>
      <c r="AV368" s="15"/>
      <c r="AW368" s="15"/>
      <c r="AX368" s="16"/>
      <c r="AY368" s="16"/>
      <c r="AZ368" s="16"/>
      <c r="BA368" s="16"/>
      <c r="BB368" s="16"/>
      <c r="BC368" s="16"/>
      <c r="BE368" s="18">
        <v>2023</v>
      </c>
      <c r="BF368" s="18" t="s">
        <v>38</v>
      </c>
      <c r="BG368" s="15"/>
      <c r="BH368" s="15"/>
      <c r="BI368" s="15"/>
      <c r="BJ368" s="26"/>
      <c r="BK368" s="26"/>
      <c r="BL368" s="16"/>
      <c r="BM368" s="16"/>
      <c r="BN368" s="16"/>
      <c r="BO368" s="16"/>
      <c r="BP368" s="16"/>
      <c r="BQ368" s="18" t="s">
        <v>108</v>
      </c>
      <c r="BS368" s="18">
        <v>2023</v>
      </c>
      <c r="BT368" s="18" t="s">
        <v>38</v>
      </c>
      <c r="BU368" s="15">
        <f t="shared" si="275"/>
        <v>0.76642335766423353</v>
      </c>
      <c r="BV368" s="15">
        <f t="shared" si="276"/>
        <v>0.77777777777777779</v>
      </c>
      <c r="BW368" s="15">
        <f t="shared" si="277"/>
        <v>0.98540145985401462</v>
      </c>
      <c r="BX368" s="26">
        <v>8</v>
      </c>
      <c r="BY368" s="26">
        <v>2</v>
      </c>
      <c r="BZ368" s="16">
        <v>548</v>
      </c>
      <c r="CA368" s="16">
        <f t="shared" si="293"/>
        <v>8</v>
      </c>
      <c r="CB368" s="16">
        <v>540</v>
      </c>
      <c r="CC368" s="16">
        <v>420</v>
      </c>
      <c r="CD368" s="16">
        <f t="shared" si="294"/>
        <v>120</v>
      </c>
      <c r="CI368" s="15"/>
      <c r="CJ368" s="15"/>
      <c r="CK368" s="15"/>
      <c r="CL368" s="26"/>
      <c r="CM368" s="26"/>
      <c r="CN368" s="16"/>
      <c r="CO368" s="16"/>
      <c r="CP368" s="16"/>
      <c r="CQ368" s="16"/>
      <c r="CR368" s="16"/>
    </row>
    <row r="369" spans="1:97" s="18" customFormat="1" ht="15" customHeight="1">
      <c r="A369" s="18">
        <v>2023</v>
      </c>
      <c r="B369" s="18" t="s">
        <v>39</v>
      </c>
      <c r="C369" s="15">
        <f t="shared" si="280"/>
        <v>0.81174089068825916</v>
      </c>
      <c r="D369" s="15">
        <f t="shared" si="281"/>
        <v>0.82756248566842472</v>
      </c>
      <c r="E369" s="15">
        <f t="shared" si="282"/>
        <v>0.98088169140800718</v>
      </c>
      <c r="F369" s="58">
        <f t="shared" ref="F369:F374" si="295">+T369+AH369+AV369+BJ369+BX369</f>
        <v>154</v>
      </c>
      <c r="G369" s="34">
        <f>+(BS_GC_20J[[#This Row],[Coches por Tren Día Hábil]]*BS_GC_20J[[#This Row],[Trenes Corridos]]+BS_BA_Mnos[[#This Row],[Coches por Tren Día Hábil]]*BS_BA_Mnos[[#This Row],[Trenes Corridos]]+BS_GC_MP_Vill[[#This Row],[Coches por Tren Día Hábil]]*BS_GC_MP_Vill[[#This Row],[Trenes Corridos]])/BS[[#This Row],[Trenes Corridos]]</f>
        <v>5.3010777344645721</v>
      </c>
      <c r="H369" s="57">
        <f>+V369+AJ369+AX369+BL369+BS_GC_MP_Vill[[#This Row],[Trenes Programados]]</f>
        <v>4446</v>
      </c>
      <c r="I369" s="16">
        <f t="shared" si="278"/>
        <v>85</v>
      </c>
      <c r="J369" s="57">
        <f>+X369+AL369+AZ369+BN369+BS_GC_MP_Vill[[#This Row],[Trenes Corridos]]</f>
        <v>4361</v>
      </c>
      <c r="K369" s="57">
        <f>+Y369+AM369+BA369+BO369+BS_GC_MP_Vill[[#This Row],[Trenes Puntuales]]</f>
        <v>3609</v>
      </c>
      <c r="L369" s="16">
        <f t="shared" si="279"/>
        <v>752</v>
      </c>
      <c r="M369" s="16"/>
      <c r="O369" s="18">
        <v>2023</v>
      </c>
      <c r="P369" s="18" t="s">
        <v>39</v>
      </c>
      <c r="Q369" s="15">
        <f t="shared" si="283"/>
        <v>0.87627811860940696</v>
      </c>
      <c r="R369" s="15">
        <f t="shared" si="284"/>
        <v>0.89116117850953203</v>
      </c>
      <c r="S369" s="15">
        <f t="shared" si="285"/>
        <v>0.98329925017041586</v>
      </c>
      <c r="T369" s="26">
        <v>95</v>
      </c>
      <c r="U369" s="26">
        <v>6</v>
      </c>
      <c r="V369" s="16">
        <v>2934</v>
      </c>
      <c r="W369" s="16">
        <f t="shared" si="286"/>
        <v>49</v>
      </c>
      <c r="X369" s="16">
        <v>2885</v>
      </c>
      <c r="Y369" s="16">
        <v>2571</v>
      </c>
      <c r="Z369" s="16">
        <f t="shared" si="287"/>
        <v>314</v>
      </c>
      <c r="AA369" s="16"/>
      <c r="AC369" s="18">
        <v>2023</v>
      </c>
      <c r="AD369" s="18" t="s">
        <v>39</v>
      </c>
      <c r="AE369" s="15">
        <f t="shared" si="288"/>
        <v>0.61890243902439024</v>
      </c>
      <c r="AF369" s="15">
        <f t="shared" si="289"/>
        <v>0.63970588235294112</v>
      </c>
      <c r="AG369" s="15">
        <f t="shared" si="290"/>
        <v>0.96747967479674801</v>
      </c>
      <c r="AH369" s="26">
        <v>51</v>
      </c>
      <c r="AI369" s="26">
        <v>5</v>
      </c>
      <c r="AJ369" s="16">
        <v>984</v>
      </c>
      <c r="AK369" s="16">
        <f t="shared" si="291"/>
        <v>32</v>
      </c>
      <c r="AL369" s="16">
        <v>952</v>
      </c>
      <c r="AM369" s="16">
        <v>609</v>
      </c>
      <c r="AN369" s="16">
        <f t="shared" si="292"/>
        <v>343</v>
      </c>
      <c r="AO369" s="16"/>
      <c r="AS369" s="15"/>
      <c r="AT369" s="15"/>
      <c r="AU369" s="15"/>
      <c r="AV369" s="15"/>
      <c r="AW369" s="15"/>
      <c r="AX369" s="16"/>
      <c r="AY369" s="16"/>
      <c r="AZ369" s="16"/>
      <c r="BA369" s="16"/>
      <c r="BB369" s="16"/>
      <c r="BC369" s="16"/>
      <c r="BE369" s="18">
        <v>2023</v>
      </c>
      <c r="BF369" s="18" t="s">
        <v>39</v>
      </c>
      <c r="BG369" s="15"/>
      <c r="BH369" s="15"/>
      <c r="BI369" s="15"/>
      <c r="BJ369" s="26"/>
      <c r="BK369" s="26"/>
      <c r="BL369" s="16"/>
      <c r="BM369" s="16"/>
      <c r="BN369" s="16"/>
      <c r="BO369" s="16"/>
      <c r="BP369" s="16"/>
      <c r="BQ369" s="18" t="s">
        <v>108</v>
      </c>
      <c r="BS369" s="18">
        <v>2023</v>
      </c>
      <c r="BT369" s="18" t="s">
        <v>39</v>
      </c>
      <c r="BU369" s="15">
        <f t="shared" ref="BU369:BU374" si="296">CC369/BZ369</f>
        <v>0.8125</v>
      </c>
      <c r="BV369" s="15">
        <f t="shared" ref="BV369:BV374" si="297">CC369/CB369</f>
        <v>0.81870229007633588</v>
      </c>
      <c r="BW369" s="15">
        <f t="shared" ref="BW369:BW374" si="298">CB369/BZ369</f>
        <v>0.99242424242424243</v>
      </c>
      <c r="BX369" s="26">
        <v>8</v>
      </c>
      <c r="BY369" s="26">
        <v>2</v>
      </c>
      <c r="BZ369" s="16">
        <v>528</v>
      </c>
      <c r="CA369" s="16">
        <f t="shared" si="293"/>
        <v>4</v>
      </c>
      <c r="CB369" s="16">
        <v>524</v>
      </c>
      <c r="CC369" s="16">
        <v>429</v>
      </c>
      <c r="CD369" s="16">
        <f t="shared" si="294"/>
        <v>95</v>
      </c>
      <c r="CI369" s="15"/>
      <c r="CJ369" s="15"/>
      <c r="CK369" s="15"/>
      <c r="CL369" s="26"/>
      <c r="CM369" s="26"/>
      <c r="CN369" s="16"/>
      <c r="CO369" s="16"/>
      <c r="CP369" s="16"/>
      <c r="CQ369" s="16"/>
      <c r="CR369" s="16"/>
    </row>
    <row r="370" spans="1:97" s="18" customFormat="1" ht="15" customHeight="1">
      <c r="A370" s="18">
        <v>2023</v>
      </c>
      <c r="B370" s="18" t="s">
        <v>40</v>
      </c>
      <c r="C370" s="15">
        <f t="shared" si="280"/>
        <v>0.83250700582021986</v>
      </c>
      <c r="D370" s="15">
        <f t="shared" si="281"/>
        <v>0.85518157661647476</v>
      </c>
      <c r="E370" s="15">
        <f t="shared" si="282"/>
        <v>0.97348566501401168</v>
      </c>
      <c r="F370" s="58">
        <f t="shared" si="295"/>
        <v>154</v>
      </c>
      <c r="G370" s="34">
        <f>+(BS_GC_20J[[#This Row],[Coches por Tren Día Hábil]]*BS_GC_20J[[#This Row],[Trenes Corridos]]+BS_BA_Mnos[[#This Row],[Coches por Tren Día Hábil]]*BS_BA_Mnos[[#This Row],[Trenes Corridos]]+BS_GC_MP_Vill[[#This Row],[Coches por Tren Día Hábil]]*BS_GC_MP_Vill[[#This Row],[Trenes Corridos]])/BS[[#This Row],[Trenes Corridos]]</f>
        <v>5.3051372896368472</v>
      </c>
      <c r="H370" s="57">
        <f>+V370+AJ370+AX370+BL370+BS_GC_MP_Vill[[#This Row],[Trenes Programados]]</f>
        <v>4639</v>
      </c>
      <c r="I370" s="16">
        <f t="shared" ref="I370" si="299">H370-J370</f>
        <v>123</v>
      </c>
      <c r="J370" s="57">
        <f>+X370+AL370+AZ370+BN370+BS_GC_MP_Vill[[#This Row],[Trenes Corridos]]</f>
        <v>4516</v>
      </c>
      <c r="K370" s="57">
        <f>+Y370+AM370+BA370+BO370+BS_GC_MP_Vill[[#This Row],[Trenes Puntuales]]</f>
        <v>3862</v>
      </c>
      <c r="L370" s="16">
        <f t="shared" ref="L370" si="300">J370-K370</f>
        <v>654</v>
      </c>
      <c r="M370" s="16"/>
      <c r="O370" s="18">
        <v>2023</v>
      </c>
      <c r="P370" s="18" t="s">
        <v>40</v>
      </c>
      <c r="Q370" s="15">
        <f t="shared" si="283"/>
        <v>0.87646293888166449</v>
      </c>
      <c r="R370" s="15">
        <f t="shared" si="284"/>
        <v>0.90288010716677825</v>
      </c>
      <c r="S370" s="15">
        <f t="shared" si="285"/>
        <v>0.97074122236671001</v>
      </c>
      <c r="T370" s="26">
        <v>95</v>
      </c>
      <c r="U370" s="26">
        <v>6</v>
      </c>
      <c r="V370" s="16">
        <v>3076</v>
      </c>
      <c r="W370" s="16">
        <f t="shared" si="286"/>
        <v>90</v>
      </c>
      <c r="X370" s="16">
        <v>2986</v>
      </c>
      <c r="Y370" s="16">
        <v>2696</v>
      </c>
      <c r="Z370" s="16">
        <f t="shared" si="287"/>
        <v>290</v>
      </c>
      <c r="AA370" s="16"/>
      <c r="AC370" s="18">
        <v>2023</v>
      </c>
      <c r="AD370" s="18" t="s">
        <v>40</v>
      </c>
      <c r="AE370" s="15">
        <f t="shared" si="288"/>
        <v>0.76794493608652903</v>
      </c>
      <c r="AF370" s="15">
        <f t="shared" si="289"/>
        <v>0.7857142857142857</v>
      </c>
      <c r="AG370" s="15">
        <f t="shared" si="290"/>
        <v>0.9773844641101278</v>
      </c>
      <c r="AH370" s="26">
        <v>51</v>
      </c>
      <c r="AI370" s="26">
        <v>5</v>
      </c>
      <c r="AJ370" s="16">
        <v>1017</v>
      </c>
      <c r="AK370" s="16">
        <f t="shared" si="291"/>
        <v>23</v>
      </c>
      <c r="AL370" s="16">
        <v>994</v>
      </c>
      <c r="AM370" s="16">
        <v>781</v>
      </c>
      <c r="AN370" s="16">
        <f t="shared" si="292"/>
        <v>213</v>
      </c>
      <c r="AO370" s="16"/>
      <c r="AS370" s="15"/>
      <c r="AT370" s="15"/>
      <c r="AU370" s="15"/>
      <c r="AV370" s="15"/>
      <c r="AW370" s="15"/>
      <c r="AX370" s="16"/>
      <c r="AY370" s="16"/>
      <c r="AZ370" s="16"/>
      <c r="BA370" s="16"/>
      <c r="BB370" s="16"/>
      <c r="BC370" s="16"/>
      <c r="BE370" s="18">
        <v>2023</v>
      </c>
      <c r="BF370" s="18" t="s">
        <v>40</v>
      </c>
      <c r="BG370" s="15"/>
      <c r="BH370" s="15"/>
      <c r="BI370" s="15"/>
      <c r="BJ370" s="26"/>
      <c r="BK370" s="26"/>
      <c r="BL370" s="16"/>
      <c r="BM370" s="16"/>
      <c r="BN370" s="16"/>
      <c r="BO370" s="16"/>
      <c r="BP370" s="16"/>
      <c r="BQ370" s="18" t="s">
        <v>108</v>
      </c>
      <c r="BS370" s="18">
        <v>2023</v>
      </c>
      <c r="BT370" s="18" t="s">
        <v>40</v>
      </c>
      <c r="BU370" s="15">
        <f t="shared" si="296"/>
        <v>0.70512820512820518</v>
      </c>
      <c r="BV370" s="15">
        <f t="shared" si="297"/>
        <v>0.71828358208955223</v>
      </c>
      <c r="BW370" s="15">
        <f t="shared" si="298"/>
        <v>0.98168498168498164</v>
      </c>
      <c r="BX370" s="26">
        <v>8</v>
      </c>
      <c r="BY370" s="26">
        <v>2</v>
      </c>
      <c r="BZ370" s="16">
        <v>546</v>
      </c>
      <c r="CA370" s="16">
        <f t="shared" si="293"/>
        <v>10</v>
      </c>
      <c r="CB370" s="16">
        <v>536</v>
      </c>
      <c r="CC370" s="16">
        <v>385</v>
      </c>
      <c r="CD370" s="16">
        <f t="shared" si="294"/>
        <v>151</v>
      </c>
      <c r="CI370" s="15"/>
      <c r="CJ370" s="15"/>
      <c r="CK370" s="15"/>
      <c r="CL370" s="26"/>
      <c r="CM370" s="26"/>
      <c r="CN370" s="16"/>
      <c r="CO370" s="16"/>
      <c r="CP370" s="16"/>
      <c r="CQ370" s="16"/>
      <c r="CR370" s="16"/>
      <c r="CS370" s="18" t="s">
        <v>166</v>
      </c>
    </row>
    <row r="371" spans="1:97" s="18" customFormat="1" ht="15" customHeight="1">
      <c r="A371" s="18">
        <v>2023</v>
      </c>
      <c r="B371" s="18" t="s">
        <v>41</v>
      </c>
      <c r="C371" s="15">
        <f t="shared" si="280"/>
        <v>0.74164610899304773</v>
      </c>
      <c r="D371" s="15">
        <f t="shared" si="281"/>
        <v>0.79114832535885171</v>
      </c>
      <c r="E371" s="15">
        <f t="shared" si="282"/>
        <v>0.93742991702175371</v>
      </c>
      <c r="F371" s="58">
        <f t="shared" si="295"/>
        <v>154</v>
      </c>
      <c r="G371" s="34">
        <f>+(BS_GC_20J[[#This Row],[Coches por Tren Día Hábil]]*BS_GC_20J[[#This Row],[Trenes Corridos]]+BS_BA_Mnos[[#This Row],[Coches por Tren Día Hábil]]*BS_BA_Mnos[[#This Row],[Trenes Corridos]]+BS_GC_MP_Vill[[#This Row],[Coches por Tren Día Hábil]]*BS_GC_MP_Vill[[#This Row],[Trenes Corridos]])/BS[[#This Row],[Trenes Corridos]]</f>
        <v>5.3093301435406701</v>
      </c>
      <c r="H371" s="57">
        <f>+V371+AJ371+AX371+BL371+BS_GC_MP_Vill[[#This Row],[Trenes Programados]]</f>
        <v>4459</v>
      </c>
      <c r="I371" s="16">
        <f t="shared" ref="I371" si="301">H371-J371</f>
        <v>279</v>
      </c>
      <c r="J371" s="57">
        <f>+X371+AL371+AZ371+BN371+BS_GC_MP_Vill[[#This Row],[Trenes Corridos]]</f>
        <v>4180</v>
      </c>
      <c r="K371" s="57">
        <f>+Y371+AM371+BA371+BO371+BS_GC_MP_Vill[[#This Row],[Trenes Puntuales]]</f>
        <v>3307</v>
      </c>
      <c r="L371" s="16">
        <f t="shared" ref="L371" si="302">J371-K371</f>
        <v>873</v>
      </c>
      <c r="M371" s="16"/>
      <c r="O371" s="18">
        <v>2023</v>
      </c>
      <c r="P371" s="18" t="s">
        <v>41</v>
      </c>
      <c r="Q371" s="15">
        <f t="shared" si="283"/>
        <v>0.79423728813559324</v>
      </c>
      <c r="R371" s="15">
        <f t="shared" si="284"/>
        <v>0.84432432432432436</v>
      </c>
      <c r="S371" s="15">
        <f t="shared" si="285"/>
        <v>0.94067796610169496</v>
      </c>
      <c r="T371" s="26">
        <v>95</v>
      </c>
      <c r="U371" s="26">
        <v>6</v>
      </c>
      <c r="V371" s="16">
        <v>2950</v>
      </c>
      <c r="W371" s="16">
        <f t="shared" si="286"/>
        <v>175</v>
      </c>
      <c r="X371" s="16">
        <v>2775</v>
      </c>
      <c r="Y371" s="16">
        <v>2343</v>
      </c>
      <c r="Z371" s="16">
        <f t="shared" si="287"/>
        <v>432</v>
      </c>
      <c r="AA371" s="16"/>
      <c r="AC371" s="18">
        <v>2023</v>
      </c>
      <c r="AD371" s="18" t="s">
        <v>41</v>
      </c>
      <c r="AE371" s="15">
        <f t="shared" si="288"/>
        <v>0.65412004069175989</v>
      </c>
      <c r="AF371" s="15">
        <f t="shared" si="289"/>
        <v>0.70581778265642148</v>
      </c>
      <c r="AG371" s="15">
        <f t="shared" si="290"/>
        <v>0.92675483214649035</v>
      </c>
      <c r="AH371" s="26">
        <v>51</v>
      </c>
      <c r="AI371" s="26">
        <v>5</v>
      </c>
      <c r="AJ371" s="16">
        <v>983</v>
      </c>
      <c r="AK371" s="16">
        <f t="shared" si="291"/>
        <v>72</v>
      </c>
      <c r="AL371" s="16">
        <v>911</v>
      </c>
      <c r="AM371" s="16">
        <v>643</v>
      </c>
      <c r="AN371" s="16">
        <f t="shared" si="292"/>
        <v>268</v>
      </c>
      <c r="AO371" s="16"/>
      <c r="AS371" s="15"/>
      <c r="AT371" s="15"/>
      <c r="AU371" s="15"/>
      <c r="AV371" s="15"/>
      <c r="AW371" s="15"/>
      <c r="AX371" s="16"/>
      <c r="AY371" s="16"/>
      <c r="AZ371" s="16"/>
      <c r="BA371" s="16"/>
      <c r="BB371" s="16"/>
      <c r="BC371" s="16"/>
      <c r="BE371" s="18">
        <v>2023</v>
      </c>
      <c r="BF371" s="18" t="s">
        <v>41</v>
      </c>
      <c r="BG371" s="15"/>
      <c r="BH371" s="15"/>
      <c r="BI371" s="15"/>
      <c r="BJ371" s="26"/>
      <c r="BK371" s="26"/>
      <c r="BL371" s="16"/>
      <c r="BM371" s="16"/>
      <c r="BN371" s="16"/>
      <c r="BO371" s="16"/>
      <c r="BP371" s="16"/>
      <c r="BQ371" s="18" t="s">
        <v>108</v>
      </c>
      <c r="BS371" s="18">
        <v>2023</v>
      </c>
      <c r="BT371" s="18" t="s">
        <v>41</v>
      </c>
      <c r="BU371" s="15">
        <f t="shared" si="296"/>
        <v>0.61026615969581754</v>
      </c>
      <c r="BV371" s="15">
        <f t="shared" si="297"/>
        <v>0.6497975708502024</v>
      </c>
      <c r="BW371" s="15">
        <f t="shared" si="298"/>
        <v>0.93916349809885935</v>
      </c>
      <c r="BX371" s="26">
        <v>8</v>
      </c>
      <c r="BY371" s="26">
        <v>2</v>
      </c>
      <c r="BZ371" s="16">
        <v>526</v>
      </c>
      <c r="CA371" s="16">
        <f t="shared" si="293"/>
        <v>32</v>
      </c>
      <c r="CB371" s="16">
        <v>494</v>
      </c>
      <c r="CC371" s="16">
        <v>321</v>
      </c>
      <c r="CD371" s="16">
        <f t="shared" si="294"/>
        <v>173</v>
      </c>
      <c r="CI371" s="15"/>
      <c r="CJ371" s="15"/>
      <c r="CK371" s="15"/>
      <c r="CL371" s="26"/>
      <c r="CM371" s="26"/>
      <c r="CN371" s="16"/>
      <c r="CO371" s="16"/>
      <c r="CP371" s="16"/>
      <c r="CQ371" s="16"/>
      <c r="CR371" s="16"/>
    </row>
    <row r="372" spans="1:97" s="18" customFormat="1" ht="15" customHeight="1">
      <c r="A372" s="18">
        <v>2023</v>
      </c>
      <c r="B372" s="18" t="s">
        <v>42</v>
      </c>
      <c r="C372" s="15">
        <f t="shared" ref="C372" si="303">K372/H372</f>
        <v>0.77359367735936768</v>
      </c>
      <c r="D372" s="15">
        <f t="shared" ref="D372" si="304">K372/J372</f>
        <v>0.81668711656441717</v>
      </c>
      <c r="E372" s="15">
        <f t="shared" ref="E372" si="305">J372/H372</f>
        <v>0.94723384472338445</v>
      </c>
      <c r="F372" s="58">
        <f t="shared" si="295"/>
        <v>154</v>
      </c>
      <c r="G372" s="34">
        <f>+(BS_GC_20J[[#This Row],[Coches por Tren Día Hábil]]*BS_GC_20J[[#This Row],[Trenes Corridos]]+BS_BA_Mnos[[#This Row],[Coches por Tren Día Hábil]]*BS_BA_Mnos[[#This Row],[Trenes Corridos]]+BS_GC_MP_Vill[[#This Row],[Coches por Tren Día Hábil]]*BS_GC_MP_Vill[[#This Row],[Trenes Corridos]])/BS[[#This Row],[Trenes Corridos]]</f>
        <v>5.3163190184049078</v>
      </c>
      <c r="H372" s="57">
        <f>+V372+AJ372+AX372+BL372+BS_GC_MP_Vill[[#This Row],[Trenes Programados]]</f>
        <v>4302</v>
      </c>
      <c r="I372" s="16">
        <f t="shared" ref="I372" si="306">H372-J372</f>
        <v>227</v>
      </c>
      <c r="J372" s="57">
        <f>+X372+AL372+AZ372+BN372+BS_GC_MP_Vill[[#This Row],[Trenes Corridos]]</f>
        <v>4075</v>
      </c>
      <c r="K372" s="57">
        <f>+Y372+AM372+BA372+BO372+BS_GC_MP_Vill[[#This Row],[Trenes Puntuales]]</f>
        <v>3328</v>
      </c>
      <c r="L372" s="16">
        <f t="shared" ref="L372" si="307">J372-K372</f>
        <v>747</v>
      </c>
      <c r="M372" s="150" t="s">
        <v>153</v>
      </c>
      <c r="O372" s="18">
        <v>2023</v>
      </c>
      <c r="P372" s="18" t="s">
        <v>42</v>
      </c>
      <c r="Q372" s="15">
        <f t="shared" ref="Q372:Q377" si="308">Y372/V372</f>
        <v>0.81761695906432752</v>
      </c>
      <c r="R372" s="15">
        <f t="shared" ref="R372:R377" si="309">Y372/X372</f>
        <v>0.84574669187145557</v>
      </c>
      <c r="S372" s="15">
        <f t="shared" ref="S372:S377" si="310">X372/V372</f>
        <v>0.9667397660818714</v>
      </c>
      <c r="T372" s="26">
        <v>95</v>
      </c>
      <c r="U372" s="26">
        <v>6</v>
      </c>
      <c r="V372" s="16">
        <v>2736</v>
      </c>
      <c r="W372" s="16">
        <f t="shared" ref="W372:W386" si="311">V372-X372</f>
        <v>91</v>
      </c>
      <c r="X372" s="16">
        <v>2645</v>
      </c>
      <c r="Y372" s="16">
        <v>2237</v>
      </c>
      <c r="Z372" s="16">
        <f t="shared" ref="Z372:Z377" si="312">X372-Y372</f>
        <v>408</v>
      </c>
      <c r="AA372" s="16"/>
      <c r="AC372" s="18">
        <v>2023</v>
      </c>
      <c r="AD372" s="18" t="s">
        <v>42</v>
      </c>
      <c r="AE372" s="15">
        <f t="shared" ref="AE372:AE377" si="313">AM372/AJ372</f>
        <v>0.72593320235756387</v>
      </c>
      <c r="AF372" s="15">
        <f t="shared" ref="AF372:AF377" si="314">AM372/AL372</f>
        <v>0.7556237218813906</v>
      </c>
      <c r="AG372" s="15">
        <f t="shared" ref="AG372:AG377" si="315">AL372/AJ372</f>
        <v>0.96070726915520632</v>
      </c>
      <c r="AH372" s="26">
        <v>51</v>
      </c>
      <c r="AI372" s="26">
        <v>5</v>
      </c>
      <c r="AJ372" s="16">
        <v>1018</v>
      </c>
      <c r="AK372" s="16">
        <f t="shared" ref="AK372:AK386" si="316">AJ372-AL372</f>
        <v>40</v>
      </c>
      <c r="AL372" s="16">
        <v>978</v>
      </c>
      <c r="AM372" s="16">
        <v>739</v>
      </c>
      <c r="AN372" s="16">
        <f t="shared" ref="AN372:AN377" si="317">AL372-AM372</f>
        <v>239</v>
      </c>
      <c r="AO372" s="16"/>
      <c r="AS372" s="15"/>
      <c r="AT372" s="15"/>
      <c r="AU372" s="15"/>
      <c r="AV372" s="15"/>
      <c r="AW372" s="15"/>
      <c r="AX372" s="16"/>
      <c r="AY372" s="16"/>
      <c r="AZ372" s="16"/>
      <c r="BA372" s="16"/>
      <c r="BB372" s="16"/>
      <c r="BC372" s="16"/>
      <c r="BE372" s="18">
        <v>2023</v>
      </c>
      <c r="BF372" s="18" t="s">
        <v>42</v>
      </c>
      <c r="BG372" s="15"/>
      <c r="BH372" s="15"/>
      <c r="BI372" s="15"/>
      <c r="BJ372" s="26"/>
      <c r="BK372" s="26"/>
      <c r="BL372" s="16"/>
      <c r="BM372" s="16"/>
      <c r="BN372" s="16"/>
      <c r="BO372" s="16"/>
      <c r="BP372" s="16"/>
      <c r="BQ372" s="18" t="s">
        <v>108</v>
      </c>
      <c r="BS372" s="18">
        <v>2023</v>
      </c>
      <c r="BT372" s="18" t="s">
        <v>42</v>
      </c>
      <c r="BU372" s="15">
        <f t="shared" si="296"/>
        <v>0.64233576642335766</v>
      </c>
      <c r="BV372" s="15">
        <f t="shared" si="297"/>
        <v>0.77876106194690264</v>
      </c>
      <c r="BW372" s="15">
        <f t="shared" si="298"/>
        <v>0.82481751824817517</v>
      </c>
      <c r="BX372" s="26">
        <v>8</v>
      </c>
      <c r="BY372" s="26">
        <v>2</v>
      </c>
      <c r="BZ372" s="16">
        <v>548</v>
      </c>
      <c r="CA372" s="16">
        <f t="shared" si="293"/>
        <v>96</v>
      </c>
      <c r="CB372" s="16">
        <v>452</v>
      </c>
      <c r="CC372" s="16">
        <v>352</v>
      </c>
      <c r="CD372" s="16">
        <f t="shared" si="294"/>
        <v>100</v>
      </c>
      <c r="CG372" s="18">
        <v>2023</v>
      </c>
      <c r="CH372" s="18" t="s">
        <v>42</v>
      </c>
      <c r="CI372" s="15">
        <f t="shared" ref="CI372:CI377" si="318">CQ372/CN372</f>
        <v>0.75</v>
      </c>
      <c r="CJ372" s="15">
        <f t="shared" ref="CJ372:CJ377" si="319">CQ372/CP372</f>
        <v>0.88235294117647056</v>
      </c>
      <c r="CK372" s="15">
        <f t="shared" ref="CK372:CK377" si="320">CP372/CN372</f>
        <v>0.85</v>
      </c>
      <c r="CL372" s="26">
        <v>1</v>
      </c>
      <c r="CM372" s="26" t="s">
        <v>154</v>
      </c>
      <c r="CN372" s="16">
        <v>20</v>
      </c>
      <c r="CO372" s="16">
        <f>+BS_TJOFRE_MER[[#This Row],[Trenes Programados]]-BS_TJOFRE_MER[[#This Row],[Trenes Corridos]]</f>
        <v>3</v>
      </c>
      <c r="CP372" s="16">
        <v>17</v>
      </c>
      <c r="CQ372" s="16">
        <v>15</v>
      </c>
      <c r="CR372" s="16">
        <f t="shared" ref="CR372" si="321">CP372-CQ372</f>
        <v>2</v>
      </c>
      <c r="CS372" s="18" t="s">
        <v>156</v>
      </c>
    </row>
    <row r="373" spans="1:97" s="18" customFormat="1" ht="15" customHeight="1">
      <c r="A373" s="18">
        <v>2023</v>
      </c>
      <c r="B373" s="18" t="s">
        <v>43</v>
      </c>
      <c r="C373" s="15">
        <f t="shared" ref="C373" si="322">K373/H373</f>
        <v>0.38844405972733176</v>
      </c>
      <c r="D373" s="15">
        <f t="shared" ref="D373" si="323">K373/J373</f>
        <v>0.40084859312192944</v>
      </c>
      <c r="E373" s="15">
        <f t="shared" ref="E373" si="324">J373/H373</f>
        <v>0.96905431724734903</v>
      </c>
      <c r="F373" s="58">
        <f t="shared" si="295"/>
        <v>154</v>
      </c>
      <c r="G373" s="34">
        <f>+(BS_GC_20J[[#This Row],[Coches por Tren Día Hábil]]*BS_GC_20J[[#This Row],[Trenes Corridos]]+BS_BA_Mnos[[#This Row],[Coches por Tren Día Hábil]]*BS_BA_Mnos[[#This Row],[Trenes Corridos]]+BS_GC_MP_Vill[[#This Row],[Coches por Tren Día Hábil]]*BS_GC_MP_Vill[[#This Row],[Trenes Corridos]])/BS[[#This Row],[Trenes Corridos]]</f>
        <v>5.311076373380974</v>
      </c>
      <c r="H373" s="57">
        <f>+V373+AJ373+AX373+BL373+BS_GC_MP_Vill[[#This Row],[Trenes Programados]]</f>
        <v>4621</v>
      </c>
      <c r="I373" s="16">
        <f t="shared" ref="I373" si="325">H373-J373</f>
        <v>143</v>
      </c>
      <c r="J373" s="57">
        <f>+X373+AL373+AZ373+BN373+BS_GC_MP_Vill[[#This Row],[Trenes Corridos]]</f>
        <v>4478</v>
      </c>
      <c r="K373" s="57">
        <f>+Y373+AM373+BA373+BO373+BS_GC_MP_Vill[[#This Row],[Trenes Puntuales]]</f>
        <v>1795</v>
      </c>
      <c r="L373" s="16">
        <f t="shared" ref="L373" si="326">J373-K373</f>
        <v>2683</v>
      </c>
      <c r="M373" s="16"/>
      <c r="O373" s="18">
        <v>2023</v>
      </c>
      <c r="P373" s="18" t="s">
        <v>43</v>
      </c>
      <c r="Q373" s="15">
        <f t="shared" si="308"/>
        <v>0.17165406116409077</v>
      </c>
      <c r="R373" s="15">
        <f t="shared" si="309"/>
        <v>0.17858364693807732</v>
      </c>
      <c r="S373" s="15">
        <f t="shared" si="310"/>
        <v>0.96119697467938181</v>
      </c>
      <c r="T373" s="26">
        <v>95</v>
      </c>
      <c r="U373" s="26">
        <v>6</v>
      </c>
      <c r="V373" s="16">
        <v>3041</v>
      </c>
      <c r="W373" s="16">
        <f t="shared" si="311"/>
        <v>118</v>
      </c>
      <c r="X373" s="16">
        <v>2923</v>
      </c>
      <c r="Y373" s="16">
        <v>522</v>
      </c>
      <c r="Z373" s="16">
        <f t="shared" si="312"/>
        <v>2401</v>
      </c>
      <c r="AA373" s="16"/>
      <c r="AC373" s="18">
        <v>2023</v>
      </c>
      <c r="AD373" s="18" t="s">
        <v>43</v>
      </c>
      <c r="AE373" s="15">
        <f t="shared" si="313"/>
        <v>0.76074766355140189</v>
      </c>
      <c r="AF373" s="15">
        <f t="shared" si="314"/>
        <v>0.77894736842105261</v>
      </c>
      <c r="AG373" s="15">
        <f t="shared" si="315"/>
        <v>0.97663551401869164</v>
      </c>
      <c r="AH373" s="26">
        <v>51</v>
      </c>
      <c r="AI373" s="26">
        <v>5</v>
      </c>
      <c r="AJ373" s="16">
        <v>1070</v>
      </c>
      <c r="AK373" s="16">
        <f t="shared" si="316"/>
        <v>25</v>
      </c>
      <c r="AL373" s="16">
        <v>1045</v>
      </c>
      <c r="AM373" s="16">
        <v>814</v>
      </c>
      <c r="AN373" s="16">
        <f t="shared" si="317"/>
        <v>231</v>
      </c>
      <c r="AO373" s="16"/>
      <c r="AS373" s="15"/>
      <c r="AT373" s="15"/>
      <c r="AU373" s="15"/>
      <c r="AV373" s="15"/>
      <c r="AW373" s="15"/>
      <c r="AX373" s="16"/>
      <c r="AY373" s="16"/>
      <c r="AZ373" s="16"/>
      <c r="BA373" s="16"/>
      <c r="BB373" s="16"/>
      <c r="BC373" s="16"/>
      <c r="BE373" s="18">
        <v>2023</v>
      </c>
      <c r="BF373" s="18" t="s">
        <v>43</v>
      </c>
      <c r="BG373" s="15"/>
      <c r="BH373" s="15"/>
      <c r="BI373" s="15"/>
      <c r="BJ373" s="26"/>
      <c r="BK373" s="26"/>
      <c r="BL373" s="16"/>
      <c r="BM373" s="16"/>
      <c r="BN373" s="16"/>
      <c r="BO373" s="16"/>
      <c r="BP373" s="16"/>
      <c r="BQ373" s="18" t="s">
        <v>108</v>
      </c>
      <c r="BS373" s="18">
        <v>2023</v>
      </c>
      <c r="BT373" s="18" t="s">
        <v>43</v>
      </c>
      <c r="BU373" s="15">
        <f t="shared" si="296"/>
        <v>0.9</v>
      </c>
      <c r="BV373" s="15">
        <f t="shared" si="297"/>
        <v>0.9</v>
      </c>
      <c r="BW373" s="15">
        <f t="shared" si="298"/>
        <v>1</v>
      </c>
      <c r="BX373" s="26">
        <v>8</v>
      </c>
      <c r="BY373" s="26">
        <v>2</v>
      </c>
      <c r="BZ373" s="16">
        <v>510</v>
      </c>
      <c r="CA373" s="16">
        <f t="shared" si="293"/>
        <v>0</v>
      </c>
      <c r="CB373" s="16">
        <v>510</v>
      </c>
      <c r="CC373" s="16">
        <v>459</v>
      </c>
      <c r="CD373" s="16">
        <f t="shared" ref="CD373:CD378" si="327">CB373-CC373</f>
        <v>51</v>
      </c>
      <c r="CG373" s="18">
        <v>2023</v>
      </c>
      <c r="CH373" s="18" t="s">
        <v>43</v>
      </c>
      <c r="CI373" s="15">
        <f t="shared" si="318"/>
        <v>0.5</v>
      </c>
      <c r="CJ373" s="15">
        <f t="shared" si="319"/>
        <v>1</v>
      </c>
      <c r="CK373" s="15">
        <f t="shared" si="320"/>
        <v>0.5</v>
      </c>
      <c r="CL373" s="26">
        <v>1</v>
      </c>
      <c r="CM373" s="26" t="s">
        <v>154</v>
      </c>
      <c r="CN373" s="16">
        <v>8</v>
      </c>
      <c r="CO373" s="16">
        <f>+BS_TJOFRE_MER[[#This Row],[Trenes Programados]]-BS_TJOFRE_MER[[#This Row],[Trenes Corridos]]</f>
        <v>4</v>
      </c>
      <c r="CP373" s="16">
        <v>4</v>
      </c>
      <c r="CQ373" s="16">
        <v>4</v>
      </c>
      <c r="CR373" s="16">
        <f t="shared" ref="CR373:CR378" si="328">CP373-CQ373</f>
        <v>0</v>
      </c>
    </row>
    <row r="374" spans="1:97" s="18" customFormat="1" ht="15" customHeight="1">
      <c r="A374" s="167">
        <v>2023</v>
      </c>
      <c r="B374" s="167" t="s">
        <v>44</v>
      </c>
      <c r="C374" s="15">
        <f t="shared" ref="C374" si="329">K374/H374</f>
        <v>0.91468381564844592</v>
      </c>
      <c r="D374" s="15">
        <f t="shared" ref="D374" si="330">K374/J374</f>
        <v>0.93186285215112474</v>
      </c>
      <c r="E374" s="15">
        <f t="shared" ref="E374" si="331">J374/H374</f>
        <v>0.9815648445873526</v>
      </c>
      <c r="F374" s="58">
        <f t="shared" si="295"/>
        <v>154</v>
      </c>
      <c r="G374" s="34">
        <f>+(BS_GC_20J[[#This Row],[Coches por Tren Día Hábil]]*BS_GC_20J[[#This Row],[Trenes Corridos]]+BS_BA_Mnos[[#This Row],[Coches por Tren Día Hábil]]*BS_BA_Mnos[[#This Row],[Trenes Corridos]]+BS_GC_MP_Vill[[#This Row],[Coches por Tren Día Hábil]]*BS_GC_MP_Vill[[#This Row],[Trenes Corridos]])/BS[[#This Row],[Trenes Corridos]]</f>
        <v>5.3671107228652541</v>
      </c>
      <c r="H374" s="57">
        <f>+V374+AJ374+AX374+BL374+BS_GC_MP_Vill[[#This Row],[Trenes Programados]]</f>
        <v>4665</v>
      </c>
      <c r="I374" s="16">
        <f t="shared" ref="I374" si="332">H374-J374</f>
        <v>86</v>
      </c>
      <c r="J374" s="57">
        <f>+X374+AL374+AZ374+BN374+BS_GC_MP_Vill[[#This Row],[Trenes Corridos]]</f>
        <v>4579</v>
      </c>
      <c r="K374" s="57">
        <f>+Y374+AM374+BA374+BO374+BS_GC_MP_Vill[[#This Row],[Trenes Puntuales]]</f>
        <v>4267</v>
      </c>
      <c r="L374" s="16">
        <f t="shared" ref="L374" si="333">J374-K374</f>
        <v>312</v>
      </c>
      <c r="M374" s="168"/>
      <c r="O374" s="167">
        <v>2023</v>
      </c>
      <c r="P374" s="167" t="s">
        <v>44</v>
      </c>
      <c r="Q374" s="169">
        <f t="shared" si="308"/>
        <v>0.92265899648449989</v>
      </c>
      <c r="R374" s="169">
        <f t="shared" si="309"/>
        <v>0.93947282785551578</v>
      </c>
      <c r="S374" s="169">
        <f t="shared" si="310"/>
        <v>0.98210290827740487</v>
      </c>
      <c r="T374" s="171">
        <v>95</v>
      </c>
      <c r="U374" s="171">
        <v>6</v>
      </c>
      <c r="V374" s="168">
        <v>3129</v>
      </c>
      <c r="W374" s="16">
        <f t="shared" si="311"/>
        <v>56</v>
      </c>
      <c r="X374" s="168">
        <v>3073</v>
      </c>
      <c r="Y374" s="168">
        <v>2887</v>
      </c>
      <c r="Z374" s="168">
        <f t="shared" si="312"/>
        <v>186</v>
      </c>
      <c r="AA374" s="168"/>
      <c r="AC374" s="167">
        <v>2023</v>
      </c>
      <c r="AD374" s="167" t="s">
        <v>44</v>
      </c>
      <c r="AE374" s="169">
        <f t="shared" si="313"/>
        <v>0.8675373134328358</v>
      </c>
      <c r="AF374" s="169">
        <f t="shared" si="314"/>
        <v>0.8925143953934741</v>
      </c>
      <c r="AG374" s="169">
        <f t="shared" si="315"/>
        <v>0.97201492537313428</v>
      </c>
      <c r="AH374" s="171">
        <v>51</v>
      </c>
      <c r="AI374" s="171">
        <v>5</v>
      </c>
      <c r="AJ374" s="168">
        <v>1072</v>
      </c>
      <c r="AK374" s="16">
        <f t="shared" si="316"/>
        <v>30</v>
      </c>
      <c r="AL374" s="168">
        <v>1042</v>
      </c>
      <c r="AM374" s="168">
        <v>930</v>
      </c>
      <c r="AN374" s="168">
        <f t="shared" si="317"/>
        <v>112</v>
      </c>
      <c r="AO374" s="168"/>
      <c r="AQ374" s="167"/>
      <c r="AR374" s="167"/>
      <c r="AS374" s="169"/>
      <c r="AT374" s="169"/>
      <c r="AU374" s="169"/>
      <c r="AV374" s="169"/>
      <c r="AW374" s="169"/>
      <c r="AX374" s="168"/>
      <c r="AY374" s="168"/>
      <c r="AZ374" s="168"/>
      <c r="BA374" s="168"/>
      <c r="BB374" s="168"/>
      <c r="BC374" s="168"/>
      <c r="BE374" s="167">
        <v>2023</v>
      </c>
      <c r="BF374" s="167" t="s">
        <v>44</v>
      </c>
      <c r="BG374" s="169"/>
      <c r="BH374" s="169"/>
      <c r="BI374" s="169"/>
      <c r="BJ374" s="171"/>
      <c r="BK374" s="171"/>
      <c r="BL374" s="168"/>
      <c r="BM374" s="168"/>
      <c r="BN374" s="168"/>
      <c r="BO374" s="168"/>
      <c r="BP374" s="168"/>
      <c r="BQ374" s="18" t="s">
        <v>108</v>
      </c>
      <c r="BS374" s="167">
        <v>2023</v>
      </c>
      <c r="BT374" s="167" t="s">
        <v>44</v>
      </c>
      <c r="BU374" s="169">
        <f t="shared" si="296"/>
        <v>0.96982758620689657</v>
      </c>
      <c r="BV374" s="169">
        <f t="shared" si="297"/>
        <v>0.96982758620689657</v>
      </c>
      <c r="BW374" s="169">
        <f t="shared" si="298"/>
        <v>1</v>
      </c>
      <c r="BX374" s="171">
        <v>8</v>
      </c>
      <c r="BY374" s="171">
        <v>2</v>
      </c>
      <c r="BZ374" s="168">
        <v>464</v>
      </c>
      <c r="CA374" s="16">
        <f t="shared" si="293"/>
        <v>0</v>
      </c>
      <c r="CB374" s="168">
        <v>464</v>
      </c>
      <c r="CC374" s="168">
        <v>450</v>
      </c>
      <c r="CD374" s="168">
        <f t="shared" si="327"/>
        <v>14</v>
      </c>
      <c r="CE374" s="167"/>
      <c r="CG374" s="167">
        <v>2023</v>
      </c>
      <c r="CH374" s="167" t="s">
        <v>44</v>
      </c>
      <c r="CI374" s="169">
        <f t="shared" si="318"/>
        <v>1</v>
      </c>
      <c r="CJ374" s="169">
        <f t="shared" si="319"/>
        <v>1</v>
      </c>
      <c r="CK374" s="169">
        <f t="shared" si="320"/>
        <v>1</v>
      </c>
      <c r="CL374" s="171">
        <v>1</v>
      </c>
      <c r="CM374" s="171" t="s">
        <v>154</v>
      </c>
      <c r="CN374" s="168">
        <v>4</v>
      </c>
      <c r="CO374" s="16">
        <f>+BS_TJOFRE_MER[[#This Row],[Trenes Programados]]-BS_TJOFRE_MER[[#This Row],[Trenes Corridos]]</f>
        <v>0</v>
      </c>
      <c r="CP374" s="168">
        <v>4</v>
      </c>
      <c r="CQ374" s="168">
        <v>4</v>
      </c>
      <c r="CR374" s="168">
        <f t="shared" si="328"/>
        <v>0</v>
      </c>
      <c r="CS374" s="18" t="s">
        <v>167</v>
      </c>
    </row>
    <row r="375" spans="1:97" s="18" customFormat="1" ht="15" customHeight="1">
      <c r="A375" s="18">
        <v>2023</v>
      </c>
      <c r="B375" s="18" t="s">
        <v>45</v>
      </c>
      <c r="C375" s="15">
        <f t="shared" ref="C375" si="334">K375/H375</f>
        <v>0.90605296343001263</v>
      </c>
      <c r="D375" s="15">
        <f t="shared" ref="D375" si="335">K375/J375</f>
        <v>0.92809472551130245</v>
      </c>
      <c r="E375" s="15">
        <f t="shared" ref="E375" si="336">J375/H375</f>
        <v>0.97625052543085333</v>
      </c>
      <c r="F375" s="58">
        <f t="shared" ref="F375" si="337">+T375+AH375+AV375+BJ375+BX375</f>
        <v>154</v>
      </c>
      <c r="G375" s="34">
        <f>+(BS_GC_20J[[#This Row],[Coches por Tren Día Hábil]]*BS_GC_20J[[#This Row],[Trenes Corridos]]+BS_BA_Mnos[[#This Row],[Coches por Tren Día Hábil]]*BS_BA_Mnos[[#This Row],[Trenes Corridos]]+BS_GC_MP_Vill[[#This Row],[Coches por Tren Día Hábil]]*BS_GC_MP_Vill[[#This Row],[Trenes Corridos]])/BS[[#This Row],[Trenes Corridos]]</f>
        <v>5.3532831001076424</v>
      </c>
      <c r="H375" s="57">
        <f>+V375+AJ375+AX375+BL375+BS_GC_MP_Vill[[#This Row],[Trenes Programados]]</f>
        <v>4758</v>
      </c>
      <c r="I375" s="16">
        <f t="shared" ref="I375" si="338">H375-J375</f>
        <v>113</v>
      </c>
      <c r="J375" s="57">
        <f>+X375+AL375+AZ375+BN375+BS_GC_MP_Vill[[#This Row],[Trenes Corridos]]</f>
        <v>4645</v>
      </c>
      <c r="K375" s="57">
        <f>+Y375+AM375+BA375+BO375+BS_GC_MP_Vill[[#This Row],[Trenes Puntuales]]</f>
        <v>4311</v>
      </c>
      <c r="L375" s="16">
        <f t="shared" ref="L375" si="339">J375-K375</f>
        <v>334</v>
      </c>
      <c r="M375" s="16"/>
      <c r="O375" s="18">
        <v>2023</v>
      </c>
      <c r="P375" s="18" t="s">
        <v>45</v>
      </c>
      <c r="Q375" s="15">
        <f t="shared" si="308"/>
        <v>0.91150442477876104</v>
      </c>
      <c r="R375" s="15">
        <f t="shared" si="309"/>
        <v>0.9378861788617886</v>
      </c>
      <c r="S375" s="15">
        <f t="shared" si="310"/>
        <v>0.9718710493046776</v>
      </c>
      <c r="T375" s="26">
        <v>95</v>
      </c>
      <c r="U375" s="26">
        <v>6</v>
      </c>
      <c r="V375" s="16">
        <v>3164</v>
      </c>
      <c r="W375" s="16">
        <f t="shared" si="311"/>
        <v>89</v>
      </c>
      <c r="X375" s="16">
        <v>3075</v>
      </c>
      <c r="Y375" s="16">
        <v>2884</v>
      </c>
      <c r="Z375" s="16">
        <f t="shared" si="312"/>
        <v>191</v>
      </c>
      <c r="AA375" s="16"/>
      <c r="AC375" s="18">
        <v>2023</v>
      </c>
      <c r="AD375" s="18" t="s">
        <v>45</v>
      </c>
      <c r="AE375" s="15">
        <f t="shared" si="313"/>
        <v>0.88858695652173914</v>
      </c>
      <c r="AF375" s="15">
        <f t="shared" si="314"/>
        <v>0.89835164835164838</v>
      </c>
      <c r="AG375" s="15">
        <f t="shared" si="315"/>
        <v>0.98913043478260865</v>
      </c>
      <c r="AH375" s="26">
        <v>51</v>
      </c>
      <c r="AI375" s="26">
        <v>5</v>
      </c>
      <c r="AJ375" s="16">
        <v>1104</v>
      </c>
      <c r="AK375" s="16">
        <f t="shared" si="316"/>
        <v>12</v>
      </c>
      <c r="AL375" s="16">
        <v>1092</v>
      </c>
      <c r="AM375" s="16">
        <v>981</v>
      </c>
      <c r="AN375" s="16">
        <f t="shared" si="317"/>
        <v>111</v>
      </c>
      <c r="AO375" s="16"/>
      <c r="AS375" s="15"/>
      <c r="AT375" s="15"/>
      <c r="AU375" s="15"/>
      <c r="AV375" s="15"/>
      <c r="AW375" s="15"/>
      <c r="AX375" s="16"/>
      <c r="AY375" s="16"/>
      <c r="AZ375" s="16"/>
      <c r="BA375" s="16"/>
      <c r="BB375" s="16"/>
      <c r="BC375" s="16"/>
      <c r="BE375" s="18">
        <v>2023</v>
      </c>
      <c r="BF375" s="18" t="s">
        <v>45</v>
      </c>
      <c r="BG375" s="15"/>
      <c r="BH375" s="15"/>
      <c r="BI375" s="15"/>
      <c r="BJ375" s="26"/>
      <c r="BK375" s="26"/>
      <c r="BL375" s="16"/>
      <c r="BM375" s="16"/>
      <c r="BN375" s="16"/>
      <c r="BO375" s="16"/>
      <c r="BP375" s="16"/>
      <c r="BQ375" s="18" t="s">
        <v>108</v>
      </c>
      <c r="BS375" s="18">
        <v>2023</v>
      </c>
      <c r="BT375" s="18" t="s">
        <v>45</v>
      </c>
      <c r="BU375" s="15">
        <f t="shared" ref="BU375:BU380" si="340">CC375/BZ375</f>
        <v>0.91020408163265309</v>
      </c>
      <c r="BV375" s="15">
        <f t="shared" ref="BV375:BV380" si="341">CC375/CB375</f>
        <v>0.93305439330543938</v>
      </c>
      <c r="BW375" s="15">
        <f t="shared" ref="BW375:BW380" si="342">CB375/BZ375</f>
        <v>0.97551020408163269</v>
      </c>
      <c r="BX375" s="26">
        <v>8</v>
      </c>
      <c r="BY375" s="171">
        <v>2</v>
      </c>
      <c r="BZ375" s="16">
        <v>490</v>
      </c>
      <c r="CA375" s="16">
        <f t="shared" si="293"/>
        <v>12</v>
      </c>
      <c r="CB375" s="16">
        <v>478</v>
      </c>
      <c r="CC375" s="16">
        <v>446</v>
      </c>
      <c r="CD375" s="16">
        <f t="shared" si="327"/>
        <v>32</v>
      </c>
      <c r="CE375" s="18" t="s">
        <v>162</v>
      </c>
      <c r="CG375" s="18">
        <v>2023</v>
      </c>
      <c r="CH375" s="18" t="s">
        <v>45</v>
      </c>
      <c r="CI375" s="15">
        <f t="shared" si="318"/>
        <v>0.72727272727272729</v>
      </c>
      <c r="CJ375" s="15">
        <f t="shared" si="319"/>
        <v>0.72727272727272729</v>
      </c>
      <c r="CK375" s="15">
        <f t="shared" si="320"/>
        <v>1</v>
      </c>
      <c r="CL375" s="26">
        <v>1</v>
      </c>
      <c r="CM375" s="26" t="s">
        <v>154</v>
      </c>
      <c r="CN375" s="16">
        <v>22</v>
      </c>
      <c r="CO375" s="16">
        <f>+BS_TJOFRE_MER[[#This Row],[Trenes Programados]]-BS_TJOFRE_MER[[#This Row],[Trenes Corridos]]</f>
        <v>0</v>
      </c>
      <c r="CP375" s="16">
        <v>22</v>
      </c>
      <c r="CQ375" s="16">
        <v>16</v>
      </c>
      <c r="CR375" s="16">
        <f t="shared" si="328"/>
        <v>6</v>
      </c>
    </row>
    <row r="376" spans="1:97" s="18" customFormat="1" ht="15" customHeight="1">
      <c r="A376" s="18">
        <v>2023</v>
      </c>
      <c r="B376" s="18" t="s">
        <v>46</v>
      </c>
      <c r="C376" s="15">
        <f t="shared" ref="C376" si="343">K376/H376</f>
        <v>0.887534744494334</v>
      </c>
      <c r="D376" s="15">
        <f t="shared" ref="D376" si="344">K376/J376</f>
        <v>0.90970852509314049</v>
      </c>
      <c r="E376" s="15">
        <f t="shared" ref="E376" si="345">J376/H376</f>
        <v>0.97562540089801153</v>
      </c>
      <c r="F376" s="58">
        <f t="shared" ref="F376" si="346">+T376+AH376+AV376+BJ376+BX376</f>
        <v>154</v>
      </c>
      <c r="G376" s="34">
        <f>+(BS_GC_20J[[#This Row],[Coches por Tren Día Hábil]]*BS_GC_20J[[#This Row],[Trenes Corridos]]+BS_BA_Mnos[[#This Row],[Coches por Tren Día Hábil]]*BS_BA_Mnos[[#This Row],[Trenes Corridos]]+BS_GC_MP_Vill[[#This Row],[Coches por Tren Día Hábil]]*BS_GC_MP_Vill[[#This Row],[Trenes Corridos]])/BS[[#This Row],[Trenes Corridos]]</f>
        <v>5.3618233618233617</v>
      </c>
      <c r="H376" s="57">
        <f>+V376+AJ376+AX376+BL376+BS_GC_MP_Vill[[#This Row],[Trenes Programados]]</f>
        <v>4677</v>
      </c>
      <c r="I376" s="16">
        <f t="shared" ref="I376" si="347">H376-J376</f>
        <v>114</v>
      </c>
      <c r="J376" s="57">
        <f>+X376+AL376+AZ376+BN376+BS_GC_MP_Vill[[#This Row],[Trenes Corridos]]</f>
        <v>4563</v>
      </c>
      <c r="K376" s="57">
        <f>+Y376+AM376+BA376+BO376+BS_GC_MP_Vill[[#This Row],[Trenes Puntuales]]</f>
        <v>4151</v>
      </c>
      <c r="L376" s="16">
        <f t="shared" ref="L376" si="348">J376-K376</f>
        <v>412</v>
      </c>
      <c r="M376" s="16"/>
      <c r="O376" s="18">
        <v>2023</v>
      </c>
      <c r="P376" s="18" t="s">
        <v>46</v>
      </c>
      <c r="Q376" s="15">
        <f t="shared" si="308"/>
        <v>0.88622563119207409</v>
      </c>
      <c r="R376" s="15">
        <f t="shared" si="309"/>
        <v>0.90858453473132372</v>
      </c>
      <c r="S376" s="15">
        <f t="shared" si="310"/>
        <v>0.97539149888143173</v>
      </c>
      <c r="T376" s="26">
        <v>95</v>
      </c>
      <c r="U376" s="26">
        <v>6</v>
      </c>
      <c r="V376" s="16">
        <v>3129</v>
      </c>
      <c r="W376" s="16">
        <f t="shared" si="311"/>
        <v>77</v>
      </c>
      <c r="X376" s="16">
        <v>3052</v>
      </c>
      <c r="Y376" s="16">
        <v>2773</v>
      </c>
      <c r="Z376" s="16">
        <f t="shared" si="312"/>
        <v>279</v>
      </c>
      <c r="AA376" s="16"/>
      <c r="AC376" s="18">
        <v>2023</v>
      </c>
      <c r="AD376" s="18" t="s">
        <v>46</v>
      </c>
      <c r="AE376" s="15">
        <f t="shared" si="313"/>
        <v>0.87593283582089554</v>
      </c>
      <c r="AF376" s="15">
        <f t="shared" si="314"/>
        <v>0.89942528735632188</v>
      </c>
      <c r="AG376" s="15">
        <f t="shared" si="315"/>
        <v>0.97388059701492535</v>
      </c>
      <c r="AH376" s="26">
        <v>51</v>
      </c>
      <c r="AI376" s="26">
        <v>5</v>
      </c>
      <c r="AJ376" s="16">
        <v>1072</v>
      </c>
      <c r="AK376" s="16">
        <f t="shared" si="316"/>
        <v>28</v>
      </c>
      <c r="AL376" s="16">
        <v>1044</v>
      </c>
      <c r="AM376" s="16">
        <v>939</v>
      </c>
      <c r="AN376" s="16">
        <f t="shared" si="317"/>
        <v>105</v>
      </c>
      <c r="AO376" s="16"/>
      <c r="AS376" s="15"/>
      <c r="AT376" s="15"/>
      <c r="AU376" s="15"/>
      <c r="AV376" s="15"/>
      <c r="AW376" s="15"/>
      <c r="AX376" s="16"/>
      <c r="AY376" s="16"/>
      <c r="AZ376" s="16"/>
      <c r="BA376" s="16"/>
      <c r="BB376" s="16"/>
      <c r="BC376" s="16"/>
      <c r="BE376" s="18">
        <v>2023</v>
      </c>
      <c r="BF376" s="18" t="s">
        <v>46</v>
      </c>
      <c r="BG376" s="15"/>
      <c r="BH376" s="15"/>
      <c r="BI376" s="15"/>
      <c r="BJ376" s="26"/>
      <c r="BK376" s="26"/>
      <c r="BL376" s="16"/>
      <c r="BM376" s="16"/>
      <c r="BN376" s="16"/>
      <c r="BO376" s="16"/>
      <c r="BP376" s="16"/>
      <c r="BQ376" s="18" t="s">
        <v>108</v>
      </c>
      <c r="BS376" s="18">
        <v>2023</v>
      </c>
      <c r="BT376" s="18" t="s">
        <v>46</v>
      </c>
      <c r="BU376" s="15">
        <f t="shared" si="340"/>
        <v>0.92226890756302526</v>
      </c>
      <c r="BV376" s="15">
        <f t="shared" si="341"/>
        <v>0.94004282655246252</v>
      </c>
      <c r="BW376" s="15">
        <f t="shared" si="342"/>
        <v>0.98109243697478987</v>
      </c>
      <c r="BX376" s="26">
        <v>8</v>
      </c>
      <c r="BY376" s="26">
        <v>2</v>
      </c>
      <c r="BZ376" s="16">
        <v>476</v>
      </c>
      <c r="CA376" s="16">
        <f t="shared" si="293"/>
        <v>9</v>
      </c>
      <c r="CB376" s="16">
        <v>467</v>
      </c>
      <c r="CC376" s="16">
        <v>439</v>
      </c>
      <c r="CD376" s="16">
        <f t="shared" si="327"/>
        <v>28</v>
      </c>
      <c r="CG376" s="18">
        <v>2023</v>
      </c>
      <c r="CH376" s="18" t="s">
        <v>46</v>
      </c>
      <c r="CI376" s="15">
        <f t="shared" si="318"/>
        <v>0.72222222222222221</v>
      </c>
      <c r="CJ376" s="15">
        <f t="shared" si="319"/>
        <v>0.72222222222222221</v>
      </c>
      <c r="CK376" s="15">
        <f t="shared" si="320"/>
        <v>1</v>
      </c>
      <c r="CL376" s="26">
        <v>1</v>
      </c>
      <c r="CM376" s="26" t="s">
        <v>154</v>
      </c>
      <c r="CN376" s="16">
        <v>18</v>
      </c>
      <c r="CO376" s="16">
        <f>+BS_TJOFRE_MER[[#This Row],[Trenes Programados]]-BS_TJOFRE_MER[[#This Row],[Trenes Corridos]]</f>
        <v>0</v>
      </c>
      <c r="CP376" s="16">
        <v>18</v>
      </c>
      <c r="CQ376" s="16">
        <v>13</v>
      </c>
      <c r="CR376" s="16">
        <f t="shared" si="328"/>
        <v>5</v>
      </c>
    </row>
    <row r="377" spans="1:97" s="18" customFormat="1" ht="15" customHeight="1">
      <c r="A377" s="18">
        <v>2023</v>
      </c>
      <c r="B377" s="18" t="s">
        <v>47</v>
      </c>
      <c r="C377" s="15">
        <f t="shared" ref="C377" si="349">K377/H377</f>
        <v>0.89367572156196939</v>
      </c>
      <c r="D377" s="15">
        <f t="shared" ref="D377" si="350">K377/J377</f>
        <v>0.93060773480662984</v>
      </c>
      <c r="E377" s="15">
        <f t="shared" ref="E377" si="351">J377/H377</f>
        <v>0.96031409168081494</v>
      </c>
      <c r="F377" s="58">
        <f t="shared" ref="F377" si="352">+T377+AH377+AV377+BJ377+BX377</f>
        <v>154</v>
      </c>
      <c r="G377" s="34">
        <f>+(BS_GC_20J[[#This Row],[Coches por Tren Día Hábil]]*BS_GC_20J[[#This Row],[Trenes Corridos]]+BS_BA_Mnos[[#This Row],[Coches por Tren Día Hábil]]*BS_BA_Mnos[[#This Row],[Trenes Corridos]]+BS_GC_MP_Vill[[#This Row],[Coches por Tren Día Hábil]]*BS_GC_MP_Vill[[#This Row],[Trenes Corridos]])/BS[[#This Row],[Trenes Corridos]]</f>
        <v>5.3502762430939228</v>
      </c>
      <c r="H377" s="57">
        <f>+V377+AJ377+AX377+BL377+BS_GC_MP_Vill[[#This Row],[Trenes Programados]]</f>
        <v>4712</v>
      </c>
      <c r="I377" s="16">
        <f t="shared" ref="I377" si="353">H377-J377</f>
        <v>187</v>
      </c>
      <c r="J377" s="57">
        <f>+X377+AL377+AZ377+BN377+BS_GC_MP_Vill[[#This Row],[Trenes Corridos]]</f>
        <v>4525</v>
      </c>
      <c r="K377" s="57">
        <f>+Y377+AM377+BA377+BO377+BS_GC_MP_Vill[[#This Row],[Trenes Puntuales]]</f>
        <v>4211</v>
      </c>
      <c r="L377" s="16">
        <f t="shared" ref="L377" si="354">J377-K377</f>
        <v>314</v>
      </c>
      <c r="M377" s="16"/>
      <c r="O377" s="18">
        <v>2023</v>
      </c>
      <c r="P377" s="18" t="s">
        <v>47</v>
      </c>
      <c r="Q377" s="15">
        <f t="shared" si="308"/>
        <v>0.9035874439461884</v>
      </c>
      <c r="R377" s="15">
        <f t="shared" si="309"/>
        <v>0.93814432989690721</v>
      </c>
      <c r="S377" s="15">
        <f t="shared" si="310"/>
        <v>0.96316463805253039</v>
      </c>
      <c r="T377" s="26">
        <v>95</v>
      </c>
      <c r="U377" s="26">
        <v>6</v>
      </c>
      <c r="V377" s="16">
        <v>3122</v>
      </c>
      <c r="W377" s="16">
        <f t="shared" si="311"/>
        <v>115</v>
      </c>
      <c r="X377" s="16">
        <v>3007</v>
      </c>
      <c r="Y377" s="16">
        <v>2821</v>
      </c>
      <c r="Z377" s="16">
        <f t="shared" si="312"/>
        <v>186</v>
      </c>
      <c r="AA377" s="16"/>
      <c r="AC377" s="18">
        <v>2023</v>
      </c>
      <c r="AD377" s="18" t="s">
        <v>47</v>
      </c>
      <c r="AE377" s="15">
        <f t="shared" si="313"/>
        <v>0.85636363636363633</v>
      </c>
      <c r="AF377" s="15">
        <f t="shared" si="314"/>
        <v>0.9022988505747126</v>
      </c>
      <c r="AG377" s="15">
        <f t="shared" si="315"/>
        <v>0.9490909090909091</v>
      </c>
      <c r="AH377" s="26">
        <v>51</v>
      </c>
      <c r="AI377" s="26">
        <v>5</v>
      </c>
      <c r="AJ377" s="16">
        <v>1100</v>
      </c>
      <c r="AK377" s="16">
        <f t="shared" si="316"/>
        <v>56</v>
      </c>
      <c r="AL377" s="16">
        <v>1044</v>
      </c>
      <c r="AM377" s="16">
        <v>942</v>
      </c>
      <c r="AN377" s="16">
        <f t="shared" si="317"/>
        <v>102</v>
      </c>
      <c r="AO377" s="16"/>
      <c r="AS377" s="15"/>
      <c r="AT377" s="15"/>
      <c r="AU377" s="15"/>
      <c r="AV377" s="15"/>
      <c r="AW377" s="15"/>
      <c r="AX377" s="16"/>
      <c r="AY377" s="16"/>
      <c r="AZ377" s="16"/>
      <c r="BA377" s="16"/>
      <c r="BB377" s="16"/>
      <c r="BC377" s="16"/>
      <c r="BE377" s="18">
        <v>2023</v>
      </c>
      <c r="BF377" s="18" t="s">
        <v>47</v>
      </c>
      <c r="BG377" s="15"/>
      <c r="BH377" s="15"/>
      <c r="BI377" s="15"/>
      <c r="BJ377" s="26"/>
      <c r="BK377" s="26"/>
      <c r="BL377" s="16"/>
      <c r="BM377" s="16"/>
      <c r="BN377" s="16"/>
      <c r="BO377" s="16"/>
      <c r="BP377" s="16"/>
      <c r="BS377" s="18">
        <v>2023</v>
      </c>
      <c r="BT377" s="18" t="s">
        <v>47</v>
      </c>
      <c r="BU377" s="15">
        <f t="shared" si="340"/>
        <v>0.91428571428571426</v>
      </c>
      <c r="BV377" s="15">
        <f t="shared" si="341"/>
        <v>0.94514767932489452</v>
      </c>
      <c r="BW377" s="15">
        <f t="shared" si="342"/>
        <v>0.96734693877551026</v>
      </c>
      <c r="BX377" s="26">
        <v>8</v>
      </c>
      <c r="BY377" s="26">
        <v>2</v>
      </c>
      <c r="BZ377" s="16">
        <v>490</v>
      </c>
      <c r="CA377" s="16">
        <f t="shared" si="293"/>
        <v>16</v>
      </c>
      <c r="CB377" s="16">
        <v>474</v>
      </c>
      <c r="CC377" s="16">
        <v>448</v>
      </c>
      <c r="CD377" s="16">
        <f t="shared" si="327"/>
        <v>26</v>
      </c>
      <c r="CG377" s="18">
        <v>2023</v>
      </c>
      <c r="CH377" s="18" t="s">
        <v>47</v>
      </c>
      <c r="CI377" s="15">
        <f t="shared" si="318"/>
        <v>0.44444444444444442</v>
      </c>
      <c r="CJ377" s="15">
        <f t="shared" si="319"/>
        <v>0.66666666666666663</v>
      </c>
      <c r="CK377" s="15">
        <f t="shared" si="320"/>
        <v>0.66666666666666663</v>
      </c>
      <c r="CL377" s="26">
        <v>1</v>
      </c>
      <c r="CM377" s="26" t="s">
        <v>154</v>
      </c>
      <c r="CN377" s="16">
        <v>18</v>
      </c>
      <c r="CO377" s="16">
        <f>+BS_TJOFRE_MER[[#This Row],[Trenes Programados]]-BS_TJOFRE_MER[[#This Row],[Trenes Corridos]]</f>
        <v>6</v>
      </c>
      <c r="CP377" s="16">
        <v>12</v>
      </c>
      <c r="CQ377" s="16">
        <v>8</v>
      </c>
      <c r="CR377" s="16">
        <f t="shared" si="328"/>
        <v>4</v>
      </c>
    </row>
    <row r="378" spans="1:97" s="18" customFormat="1" ht="15" customHeight="1">
      <c r="A378" s="18">
        <v>2024</v>
      </c>
      <c r="B378" s="18" t="s">
        <v>36</v>
      </c>
      <c r="C378" s="15">
        <f t="shared" ref="C378" si="355">K378/H378</f>
        <v>0.84242172921418201</v>
      </c>
      <c r="D378" s="15">
        <f t="shared" ref="D378" si="356">K378/J378</f>
        <v>0.90469828545980846</v>
      </c>
      <c r="E378" s="15">
        <f t="shared" ref="E378" si="357">J378/H378</f>
        <v>0.93116317644619528</v>
      </c>
      <c r="F378" s="58">
        <f t="shared" ref="F378" si="358">+T378+AH378+AV378+BJ378+BX378</f>
        <v>152</v>
      </c>
      <c r="G378" s="34">
        <f>+(BS_GC_20J[[#This Row],[Coches por Tren Día Hábil]]*BS_GC_20J[[#This Row],[Trenes Corridos]]+BS_BA_Mnos[[#This Row],[Coches por Tren Día Hábil]]*BS_BA_Mnos[[#This Row],[Trenes Corridos]]+BS_GC_MP_Vill[[#This Row],[Coches por Tren Día Hábil]]*BS_GC_MP_Vill[[#This Row],[Trenes Corridos]])/BS[[#This Row],[Trenes Corridos]]</f>
        <v>5.3389000222667553</v>
      </c>
      <c r="H378" s="57">
        <f>+V378+AJ378+AX378+BL378+BS_GC_MP_Vill[[#This Row],[Trenes Programados]]</f>
        <v>4823</v>
      </c>
      <c r="I378" s="16">
        <f t="shared" ref="I378" si="359">H378-J378</f>
        <v>332</v>
      </c>
      <c r="J378" s="57">
        <f>+X378+AL378+AZ378+BN378+BS_GC_MP_Vill[[#This Row],[Trenes Corridos]]</f>
        <v>4491</v>
      </c>
      <c r="K378" s="57">
        <f>+Y378+AM378+BA378+BO378+BS_GC_MP_Vill[[#This Row],[Trenes Puntuales]]</f>
        <v>4063</v>
      </c>
      <c r="L378" s="16">
        <f t="shared" ref="L378" si="360">J378-K378</f>
        <v>428</v>
      </c>
      <c r="M378" s="150" t="s">
        <v>180</v>
      </c>
      <c r="O378" s="18">
        <v>2024</v>
      </c>
      <c r="P378" s="18" t="s">
        <v>36</v>
      </c>
      <c r="Q378" s="208">
        <f t="shared" ref="Q378:Q383" si="361">Y378/V378</f>
        <v>0.83617747440273038</v>
      </c>
      <c r="R378" s="208">
        <f t="shared" ref="R378:R383" si="362">Y378/X378</f>
        <v>0.91542119565217395</v>
      </c>
      <c r="S378" s="208">
        <f t="shared" ref="S378:S383" si="363">X378/V378</f>
        <v>0.91343468817871554</v>
      </c>
      <c r="T378" s="209">
        <v>108</v>
      </c>
      <c r="U378" s="209">
        <v>6</v>
      </c>
      <c r="V378" s="16">
        <v>3223</v>
      </c>
      <c r="W378" s="16">
        <f t="shared" si="311"/>
        <v>279</v>
      </c>
      <c r="X378" s="16">
        <v>2944</v>
      </c>
      <c r="Y378" s="16">
        <v>2695</v>
      </c>
      <c r="Z378" s="16">
        <f t="shared" ref="Z378:Z383" si="364">X378-Y378</f>
        <v>249</v>
      </c>
      <c r="AA378" s="150" t="s">
        <v>180</v>
      </c>
      <c r="AC378" s="18">
        <v>2024</v>
      </c>
      <c r="AD378" s="18" t="s">
        <v>36</v>
      </c>
      <c r="AE378" s="208">
        <f t="shared" ref="AE378:AE383" si="365">AM378/AJ378</f>
        <v>0.83363471971066905</v>
      </c>
      <c r="AF378" s="208">
        <f t="shared" ref="AF378:AF383" si="366">AM378/AL378</f>
        <v>0.85927306616961785</v>
      </c>
      <c r="AG378" s="208">
        <f t="shared" ref="AG378:AG383" si="367">AL378/AJ378</f>
        <v>0.97016274864376129</v>
      </c>
      <c r="AH378" s="209">
        <v>36</v>
      </c>
      <c r="AI378" s="209">
        <v>5</v>
      </c>
      <c r="AJ378" s="16">
        <v>1106</v>
      </c>
      <c r="AK378" s="16">
        <f t="shared" si="316"/>
        <v>33</v>
      </c>
      <c r="AL378" s="16">
        <v>1073</v>
      </c>
      <c r="AM378" s="16">
        <v>922</v>
      </c>
      <c r="AN378" s="16">
        <f t="shared" ref="AN378:AN383" si="368">AL378-AM378</f>
        <v>151</v>
      </c>
      <c r="AO378" s="150" t="s">
        <v>180</v>
      </c>
      <c r="AS378" s="208"/>
      <c r="AT378" s="208"/>
      <c r="AU378" s="208"/>
      <c r="AV378" s="208"/>
      <c r="AW378" s="208"/>
      <c r="AX378" s="16"/>
      <c r="AY378" s="16"/>
      <c r="AZ378" s="16"/>
      <c r="BA378" s="16"/>
      <c r="BB378" s="16"/>
      <c r="BC378" s="16"/>
      <c r="BE378" s="18">
        <v>2024</v>
      </c>
      <c r="BF378" s="18" t="s">
        <v>36</v>
      </c>
      <c r="BG378" s="208"/>
      <c r="BH378" s="208"/>
      <c r="BI378" s="208"/>
      <c r="BJ378" s="209"/>
      <c r="BK378" s="209"/>
      <c r="BL378" s="16"/>
      <c r="BM378" s="16"/>
      <c r="BN378" s="16"/>
      <c r="BO378" s="16"/>
      <c r="BP378" s="16"/>
      <c r="BS378" s="18">
        <v>2024</v>
      </c>
      <c r="BT378" s="18" t="s">
        <v>36</v>
      </c>
      <c r="BU378" s="208">
        <f t="shared" si="340"/>
        <v>0.90283400809716596</v>
      </c>
      <c r="BV378" s="208">
        <f t="shared" si="341"/>
        <v>0.94092827004219415</v>
      </c>
      <c r="BW378" s="208">
        <f t="shared" si="342"/>
        <v>0.95951417004048578</v>
      </c>
      <c r="BX378" s="209">
        <v>8</v>
      </c>
      <c r="BY378" s="209">
        <v>2</v>
      </c>
      <c r="BZ378" s="16">
        <v>494</v>
      </c>
      <c r="CA378" s="16">
        <f t="shared" si="293"/>
        <v>20</v>
      </c>
      <c r="CB378" s="16">
        <v>474</v>
      </c>
      <c r="CC378" s="16">
        <v>446</v>
      </c>
      <c r="CD378" s="16">
        <f t="shared" si="327"/>
        <v>28</v>
      </c>
      <c r="CG378" s="18">
        <v>2024</v>
      </c>
      <c r="CH378" s="18" t="s">
        <v>36</v>
      </c>
      <c r="CI378" s="208">
        <f t="shared" ref="CI378:CI383" si="369">CQ378/CN378</f>
        <v>0.41666666666666669</v>
      </c>
      <c r="CJ378" s="208">
        <f t="shared" ref="CJ378:CJ383" si="370">CQ378/CP378</f>
        <v>0.55555555555555558</v>
      </c>
      <c r="CK378" s="208">
        <f t="shared" ref="CK378:CK383" si="371">CP378/CN378</f>
        <v>0.75</v>
      </c>
      <c r="CL378" s="209">
        <v>6</v>
      </c>
      <c r="CM378" s="209" t="s">
        <v>154</v>
      </c>
      <c r="CN378" s="16">
        <v>24</v>
      </c>
      <c r="CO378" s="16">
        <f>+BS_TJOFRE_MER[[#This Row],[Trenes Programados]]-BS_TJOFRE_MER[[#This Row],[Trenes Corridos]]</f>
        <v>6</v>
      </c>
      <c r="CP378" s="16">
        <v>18</v>
      </c>
      <c r="CQ378" s="16">
        <v>10</v>
      </c>
      <c r="CR378" s="16">
        <f t="shared" si="328"/>
        <v>8</v>
      </c>
      <c r="CS378" s="150" t="s">
        <v>180</v>
      </c>
    </row>
    <row r="379" spans="1:97" s="18" customFormat="1" ht="15" customHeight="1">
      <c r="A379" s="18">
        <v>2024</v>
      </c>
      <c r="B379" s="18" t="s">
        <v>37</v>
      </c>
      <c r="C379" s="15">
        <f t="shared" ref="C379" si="372">K379/H379</f>
        <v>0.7899348461019996</v>
      </c>
      <c r="D379" s="15">
        <f t="shared" ref="D379" si="373">K379/J379</f>
        <v>0.88253012048192769</v>
      </c>
      <c r="E379" s="15">
        <f t="shared" ref="E379" si="374">J379/H379</f>
        <v>0.89507975735789713</v>
      </c>
      <c r="F379" s="58">
        <f t="shared" ref="F379" si="375">+T379+AH379+AV379+BJ379+BX379</f>
        <v>152</v>
      </c>
      <c r="G379" s="34">
        <f>+(BS_GC_20J[[#This Row],[Coches por Tren Día Hábil]]*BS_GC_20J[[#This Row],[Trenes Corridos]]+BS_BA_Mnos[[#This Row],[Coches por Tren Día Hábil]]*BS_BA_Mnos[[#This Row],[Trenes Corridos]]+BS_GC_MP_Vill[[#This Row],[Coches por Tren Día Hábil]]*BS_GC_MP_Vill[[#This Row],[Trenes Corridos]])/BS[[#This Row],[Trenes Corridos]]</f>
        <v>5.3162650602409638</v>
      </c>
      <c r="H379" s="57">
        <f>+V379+AJ379+AX379+BL379+BS_GC_MP_Vill[[#This Row],[Trenes Programados]]</f>
        <v>4451</v>
      </c>
      <c r="I379" s="16">
        <f t="shared" ref="I379" si="376">H379-J379</f>
        <v>467</v>
      </c>
      <c r="J379" s="57">
        <f>+X379+AL379+AZ379+BN379+BS_GC_MP_Vill[[#This Row],[Trenes Corridos]]</f>
        <v>3984</v>
      </c>
      <c r="K379" s="57">
        <f>+Y379+AM379+BA379+BO379+BS_GC_MP_Vill[[#This Row],[Trenes Puntuales]]</f>
        <v>3516</v>
      </c>
      <c r="L379" s="16">
        <f t="shared" ref="L379" si="377">J379-K379</f>
        <v>468</v>
      </c>
      <c r="M379" s="217"/>
      <c r="O379" s="18">
        <v>2024</v>
      </c>
      <c r="P379" s="18" t="s">
        <v>37</v>
      </c>
      <c r="Q379" s="208">
        <f t="shared" si="361"/>
        <v>0.77526191280838119</v>
      </c>
      <c r="R379" s="208">
        <f t="shared" si="362"/>
        <v>0.89644392340758106</v>
      </c>
      <c r="S379" s="208">
        <f t="shared" si="363"/>
        <v>0.86481919567421428</v>
      </c>
      <c r="T379" s="209">
        <v>108</v>
      </c>
      <c r="U379" s="209">
        <v>6</v>
      </c>
      <c r="V379" s="217">
        <v>2959</v>
      </c>
      <c r="W379" s="16">
        <f t="shared" si="311"/>
        <v>400</v>
      </c>
      <c r="X379" s="217">
        <v>2559</v>
      </c>
      <c r="Y379" s="217">
        <v>2294</v>
      </c>
      <c r="Z379" s="217">
        <f t="shared" si="364"/>
        <v>265</v>
      </c>
      <c r="AA379" s="217"/>
      <c r="AC379" s="18">
        <v>2024</v>
      </c>
      <c r="AD379" s="18" t="s">
        <v>37</v>
      </c>
      <c r="AE379" s="208">
        <f t="shared" si="365"/>
        <v>0.79651162790697672</v>
      </c>
      <c r="AF379" s="208">
        <f t="shared" si="366"/>
        <v>0.8286290322580645</v>
      </c>
      <c r="AG379" s="208">
        <f t="shared" si="367"/>
        <v>0.96124031007751942</v>
      </c>
      <c r="AH379" s="209">
        <v>36</v>
      </c>
      <c r="AI379" s="209">
        <v>5</v>
      </c>
      <c r="AJ379" s="217">
        <v>1032</v>
      </c>
      <c r="AK379" s="16">
        <f t="shared" si="316"/>
        <v>40</v>
      </c>
      <c r="AL379" s="217">
        <v>992</v>
      </c>
      <c r="AM379" s="217">
        <v>822</v>
      </c>
      <c r="AN379" s="217">
        <f t="shared" si="368"/>
        <v>170</v>
      </c>
      <c r="AO379" s="217"/>
      <c r="AS379" s="208"/>
      <c r="AT379" s="208"/>
      <c r="AU379" s="208"/>
      <c r="AV379" s="208"/>
      <c r="AW379" s="208"/>
      <c r="AX379" s="217"/>
      <c r="AY379" s="217"/>
      <c r="AZ379" s="217"/>
      <c r="BA379" s="217"/>
      <c r="BB379" s="217"/>
      <c r="BC379" s="217"/>
      <c r="BE379" s="18">
        <v>2024</v>
      </c>
      <c r="BF379" s="18" t="s">
        <v>37</v>
      </c>
      <c r="BG379" s="208"/>
      <c r="BH379" s="208"/>
      <c r="BI379" s="208"/>
      <c r="BJ379" s="209"/>
      <c r="BK379" s="209"/>
      <c r="BL379" s="217"/>
      <c r="BM379" s="217"/>
      <c r="BN379" s="217"/>
      <c r="BO379" s="217"/>
      <c r="BP379" s="217"/>
      <c r="BQ379" s="216"/>
      <c r="BS379" s="18">
        <v>2024</v>
      </c>
      <c r="BT379" s="18" t="s">
        <v>37</v>
      </c>
      <c r="BU379" s="218">
        <f t="shared" si="340"/>
        <v>0.86956521739130432</v>
      </c>
      <c r="BV379" s="218">
        <f t="shared" si="341"/>
        <v>0.92378752886836024</v>
      </c>
      <c r="BW379" s="218">
        <f t="shared" si="342"/>
        <v>0.94130434782608696</v>
      </c>
      <c r="BX379" s="209">
        <v>8</v>
      </c>
      <c r="BY379" s="209">
        <v>2</v>
      </c>
      <c r="BZ379" s="217">
        <v>460</v>
      </c>
      <c r="CA379" s="16">
        <f t="shared" si="293"/>
        <v>27</v>
      </c>
      <c r="CB379" s="217">
        <v>433</v>
      </c>
      <c r="CC379" s="217">
        <v>400</v>
      </c>
      <c r="CD379" s="217">
        <f t="shared" ref="CD379:CD384" si="378">CB379-CC379</f>
        <v>33</v>
      </c>
      <c r="CE379" s="216"/>
      <c r="CG379" s="18">
        <v>2024</v>
      </c>
      <c r="CH379" s="18" t="s">
        <v>37</v>
      </c>
      <c r="CI379" s="218">
        <f t="shared" si="369"/>
        <v>0.58333333333333337</v>
      </c>
      <c r="CJ379" s="218">
        <f t="shared" si="370"/>
        <v>0.66666666666666663</v>
      </c>
      <c r="CK379" s="218">
        <f t="shared" si="371"/>
        <v>0.875</v>
      </c>
      <c r="CL379" s="209">
        <v>6</v>
      </c>
      <c r="CM379" s="209" t="s">
        <v>154</v>
      </c>
      <c r="CN379" s="217">
        <v>24</v>
      </c>
      <c r="CO379" s="16">
        <f>+BS_TJOFRE_MER[[#This Row],[Trenes Programados]]-BS_TJOFRE_MER[[#This Row],[Trenes Corridos]]</f>
        <v>3</v>
      </c>
      <c r="CP379" s="217">
        <v>21</v>
      </c>
      <c r="CQ379" s="217">
        <v>14</v>
      </c>
      <c r="CR379" s="217">
        <f>CP379-CQ379</f>
        <v>7</v>
      </c>
      <c r="CS379" s="216"/>
    </row>
    <row r="380" spans="1:97" s="18" customFormat="1" ht="15" customHeight="1">
      <c r="A380" s="18">
        <v>2024</v>
      </c>
      <c r="B380" s="18" t="s">
        <v>38</v>
      </c>
      <c r="C380" s="15">
        <f t="shared" ref="C380" si="379">K380/H380</f>
        <v>0.83287613420552864</v>
      </c>
      <c r="D380" s="15">
        <f t="shared" ref="D380" si="380">K380/J380</f>
        <v>0.88497757847533631</v>
      </c>
      <c r="E380" s="15">
        <f t="shared" ref="E380" si="381">J380/H380</f>
        <v>0.94112682000422032</v>
      </c>
      <c r="F380" s="58">
        <f t="shared" ref="F380" si="382">+T380+AH380+AV380+BJ380+BX380</f>
        <v>152</v>
      </c>
      <c r="G380" s="34">
        <f>+(BS_GC_20J[[#This Row],[Coches por Tren Día Hábil]]*BS_GC_20J[[#This Row],[Trenes Corridos]]+BS_BA_Mnos[[#This Row],[Coches por Tren Día Hábil]]*BS_BA_Mnos[[#This Row],[Trenes Corridos]]+BS_GC_MP_Vill[[#This Row],[Coches por Tren Día Hábil]]*BS_GC_MP_Vill[[#This Row],[Trenes Corridos]])/BS[[#This Row],[Trenes Corridos]]</f>
        <v>5.3213004484304935</v>
      </c>
      <c r="H380" s="57">
        <f>+V380+AJ380+AX380+BL380+BS_GC_MP_Vill[[#This Row],[Trenes Programados]]</f>
        <v>4739</v>
      </c>
      <c r="I380" s="16">
        <f t="shared" ref="I380" si="383">H380-J380</f>
        <v>279</v>
      </c>
      <c r="J380" s="57">
        <f>+X380+AL380+AZ380+BN380+BS_GC_MP_Vill[[#This Row],[Trenes Corridos]]</f>
        <v>4460</v>
      </c>
      <c r="K380" s="57">
        <f>+Y380+AM380+BA380+BO380+BS_GC_MP_Vill[[#This Row],[Trenes Puntuales]]</f>
        <v>3947</v>
      </c>
      <c r="L380" s="16">
        <f t="shared" ref="L380" si="384">J380-K380</f>
        <v>513</v>
      </c>
      <c r="M380" s="217"/>
      <c r="O380" s="18">
        <v>2024</v>
      </c>
      <c r="P380" s="18" t="s">
        <v>38</v>
      </c>
      <c r="Q380" s="208">
        <f t="shared" si="361"/>
        <v>0.81737193763919824</v>
      </c>
      <c r="R380" s="208">
        <f t="shared" si="362"/>
        <v>0.88954293628808867</v>
      </c>
      <c r="S380" s="208">
        <f t="shared" si="363"/>
        <v>0.91886732421253581</v>
      </c>
      <c r="T380" s="209">
        <v>108</v>
      </c>
      <c r="U380" s="209">
        <v>6</v>
      </c>
      <c r="V380" s="217">
        <v>3143</v>
      </c>
      <c r="W380" s="16">
        <f t="shared" si="311"/>
        <v>255</v>
      </c>
      <c r="X380" s="217">
        <v>2888</v>
      </c>
      <c r="Y380" s="217">
        <v>2569</v>
      </c>
      <c r="Z380" s="217">
        <f t="shared" si="364"/>
        <v>319</v>
      </c>
      <c r="AA380" s="217"/>
      <c r="AC380" s="18">
        <v>2024</v>
      </c>
      <c r="AD380" s="18" t="s">
        <v>38</v>
      </c>
      <c r="AE380" s="208">
        <f t="shared" si="365"/>
        <v>0.87228260869565222</v>
      </c>
      <c r="AF380" s="208">
        <f t="shared" si="366"/>
        <v>0.88592456301747935</v>
      </c>
      <c r="AG380" s="208">
        <f t="shared" si="367"/>
        <v>0.98460144927536231</v>
      </c>
      <c r="AH380" s="209">
        <v>36</v>
      </c>
      <c r="AI380" s="209">
        <v>5</v>
      </c>
      <c r="AJ380" s="217">
        <v>1104</v>
      </c>
      <c r="AK380" s="16">
        <f t="shared" si="316"/>
        <v>17</v>
      </c>
      <c r="AL380" s="217">
        <v>1087</v>
      </c>
      <c r="AM380" s="217">
        <v>963</v>
      </c>
      <c r="AN380" s="217">
        <f t="shared" si="368"/>
        <v>124</v>
      </c>
      <c r="AO380" s="217"/>
      <c r="AS380" s="208"/>
      <c r="AT380" s="208"/>
      <c r="AU380" s="208"/>
      <c r="AV380" s="208"/>
      <c r="AW380" s="208"/>
      <c r="AX380" s="217"/>
      <c r="AY380" s="217"/>
      <c r="AZ380" s="217"/>
      <c r="BA380" s="217"/>
      <c r="BB380" s="217"/>
      <c r="BC380" s="217"/>
      <c r="BE380" s="18">
        <v>2024</v>
      </c>
      <c r="BF380" s="18" t="s">
        <v>38</v>
      </c>
      <c r="BG380" s="208"/>
      <c r="BH380" s="208"/>
      <c r="BI380" s="208"/>
      <c r="BJ380" s="209"/>
      <c r="BK380" s="209"/>
      <c r="BL380" s="217"/>
      <c r="BM380" s="217"/>
      <c r="BN380" s="217"/>
      <c r="BO380" s="217"/>
      <c r="BP380" s="217"/>
      <c r="BQ380" s="216"/>
      <c r="BS380" s="18">
        <v>2024</v>
      </c>
      <c r="BT380" s="18" t="s">
        <v>38</v>
      </c>
      <c r="BU380" s="218">
        <f t="shared" si="340"/>
        <v>0.8434959349593496</v>
      </c>
      <c r="BV380" s="218">
        <f t="shared" si="341"/>
        <v>0.85567010309278346</v>
      </c>
      <c r="BW380" s="218">
        <f t="shared" si="342"/>
        <v>0.98577235772357719</v>
      </c>
      <c r="BX380" s="209">
        <v>8</v>
      </c>
      <c r="BY380" s="209">
        <v>2</v>
      </c>
      <c r="BZ380" s="217">
        <v>492</v>
      </c>
      <c r="CA380" s="16">
        <f t="shared" si="293"/>
        <v>7</v>
      </c>
      <c r="CB380" s="217">
        <v>485</v>
      </c>
      <c r="CC380" s="217">
        <v>415</v>
      </c>
      <c r="CD380" s="217">
        <f t="shared" si="378"/>
        <v>70</v>
      </c>
      <c r="CE380" s="216"/>
      <c r="CG380" s="18">
        <v>2024</v>
      </c>
      <c r="CH380" s="18" t="s">
        <v>38</v>
      </c>
      <c r="CI380" s="218">
        <f t="shared" si="369"/>
        <v>0.53333333333333333</v>
      </c>
      <c r="CJ380" s="218">
        <f t="shared" si="370"/>
        <v>0.53333333333333333</v>
      </c>
      <c r="CK380" s="218">
        <f t="shared" si="371"/>
        <v>1</v>
      </c>
      <c r="CL380" s="209">
        <v>6</v>
      </c>
      <c r="CM380" s="209" t="s">
        <v>154</v>
      </c>
      <c r="CN380" s="217">
        <v>30</v>
      </c>
      <c r="CO380" s="16">
        <f>+BS_TJOFRE_MER[[#This Row],[Trenes Programados]]-BS_TJOFRE_MER[[#This Row],[Trenes Corridos]]</f>
        <v>0</v>
      </c>
      <c r="CP380" s="217">
        <v>30</v>
      </c>
      <c r="CQ380" s="217">
        <v>16</v>
      </c>
      <c r="CR380" s="217">
        <f>CP380-CQ380</f>
        <v>14</v>
      </c>
      <c r="CS380" s="216"/>
    </row>
    <row r="381" spans="1:97" s="18" customFormat="1" ht="15" customHeight="1">
      <c r="A381" s="18">
        <v>2024</v>
      </c>
      <c r="B381" s="18" t="s">
        <v>39</v>
      </c>
      <c r="C381" s="15">
        <f t="shared" ref="C381" si="385">K381/H381</f>
        <v>0.83643847487001732</v>
      </c>
      <c r="D381" s="15">
        <f t="shared" ref="D381" si="386">K381/J381</f>
        <v>0.88819875776397517</v>
      </c>
      <c r="E381" s="15">
        <f t="shared" ref="E381" si="387">J381/H381</f>
        <v>0.94172443674176776</v>
      </c>
      <c r="F381" s="58">
        <f t="shared" ref="F381" si="388">+T381+AH381+AV381+BJ381+BX381</f>
        <v>152</v>
      </c>
      <c r="G381" s="34">
        <f>+(BS_GC_20J[[#This Row],[Coches por Tren Día Hábil]]*BS_GC_20J[[#This Row],[Trenes Corridos]]+BS_BA_Mnos[[#This Row],[Coches por Tren Día Hábil]]*BS_BA_Mnos[[#This Row],[Trenes Corridos]]+BS_GC_MP_Vill[[#This Row],[Coches por Tren Día Hábil]]*BS_GC_MP_Vill[[#This Row],[Trenes Corridos]])/BS[[#This Row],[Trenes Corridos]]</f>
        <v>5.3227513227513228</v>
      </c>
      <c r="H381" s="57">
        <f>+V381+AJ381+AX381+BL381+BS_GC_MP_Vill[[#This Row],[Trenes Programados]]</f>
        <v>4616</v>
      </c>
      <c r="I381" s="16">
        <f t="shared" ref="I381" si="389">H381-J381</f>
        <v>269</v>
      </c>
      <c r="J381" s="57">
        <f>+X381+AL381+AZ381+BN381+BS_GC_MP_Vill[[#This Row],[Trenes Corridos]]</f>
        <v>4347</v>
      </c>
      <c r="K381" s="57">
        <f>+Y381+AM381+BA381+BO381+BS_GC_MP_Vill[[#This Row],[Trenes Puntuales]]</f>
        <v>3861</v>
      </c>
      <c r="L381" s="16">
        <f t="shared" ref="L381" si="390">J381-K381</f>
        <v>486</v>
      </c>
      <c r="M381" s="217"/>
      <c r="O381" s="18">
        <v>2024</v>
      </c>
      <c r="P381" s="18" t="s">
        <v>39</v>
      </c>
      <c r="Q381" s="208">
        <f t="shared" si="361"/>
        <v>0.8095703125</v>
      </c>
      <c r="R381" s="208">
        <f t="shared" si="362"/>
        <v>0.88410949164592956</v>
      </c>
      <c r="S381" s="208">
        <f t="shared" si="363"/>
        <v>0.91569010416666663</v>
      </c>
      <c r="T381" s="209">
        <v>108</v>
      </c>
      <c r="U381" s="209">
        <v>6</v>
      </c>
      <c r="V381" s="217">
        <v>3072</v>
      </c>
      <c r="W381" s="16">
        <f t="shared" si="311"/>
        <v>259</v>
      </c>
      <c r="X381" s="217">
        <v>2813</v>
      </c>
      <c r="Y381" s="217">
        <v>2487</v>
      </c>
      <c r="Z381" s="217">
        <f t="shared" si="364"/>
        <v>326</v>
      </c>
      <c r="AA381" s="217"/>
      <c r="AC381" s="18">
        <v>2024</v>
      </c>
      <c r="AD381" s="18" t="s">
        <v>39</v>
      </c>
      <c r="AE381" s="208">
        <f t="shared" si="365"/>
        <v>0.90355805243445697</v>
      </c>
      <c r="AF381" s="208">
        <f t="shared" si="366"/>
        <v>0.90695488721804507</v>
      </c>
      <c r="AG381" s="208">
        <f t="shared" si="367"/>
        <v>0.99625468164794007</v>
      </c>
      <c r="AH381" s="209">
        <v>36</v>
      </c>
      <c r="AI381" s="209">
        <v>5</v>
      </c>
      <c r="AJ381" s="217">
        <v>1068</v>
      </c>
      <c r="AK381" s="16">
        <f t="shared" si="316"/>
        <v>4</v>
      </c>
      <c r="AL381" s="217">
        <v>1064</v>
      </c>
      <c r="AM381" s="217">
        <v>965</v>
      </c>
      <c r="AN381" s="217">
        <f t="shared" si="368"/>
        <v>99</v>
      </c>
      <c r="AO381" s="217"/>
      <c r="AS381" s="208"/>
      <c r="AT381" s="208"/>
      <c r="AU381" s="208"/>
      <c r="AV381" s="208"/>
      <c r="AW381" s="208"/>
      <c r="AX381" s="217"/>
      <c r="AY381" s="217"/>
      <c r="AZ381" s="217"/>
      <c r="BA381" s="217"/>
      <c r="BB381" s="217"/>
      <c r="BC381" s="217"/>
      <c r="BE381" s="18">
        <v>2024</v>
      </c>
      <c r="BF381" s="18" t="s">
        <v>39</v>
      </c>
      <c r="BG381" s="208"/>
      <c r="BH381" s="208"/>
      <c r="BI381" s="208"/>
      <c r="BJ381" s="209"/>
      <c r="BK381" s="209"/>
      <c r="BL381" s="217"/>
      <c r="BM381" s="217"/>
      <c r="BN381" s="217"/>
      <c r="BO381" s="217"/>
      <c r="BP381" s="217"/>
      <c r="BQ381" s="216"/>
      <c r="BS381" s="18">
        <v>2024</v>
      </c>
      <c r="BT381" s="18" t="s">
        <v>39</v>
      </c>
      <c r="BU381" s="218">
        <f t="shared" ref="BU381:BU386" si="391">CC381/BZ381</f>
        <v>0.85924369747899154</v>
      </c>
      <c r="BV381" s="218">
        <f t="shared" ref="BV381:BV386" si="392">CC381/CB381</f>
        <v>0.87021276595744679</v>
      </c>
      <c r="BW381" s="218">
        <f t="shared" ref="BW381:BW386" si="393">CB381/BZ381</f>
        <v>0.98739495798319332</v>
      </c>
      <c r="BX381" s="209">
        <v>8</v>
      </c>
      <c r="BY381" s="209">
        <v>2</v>
      </c>
      <c r="BZ381" s="217">
        <v>476</v>
      </c>
      <c r="CA381" s="16">
        <f t="shared" si="293"/>
        <v>6</v>
      </c>
      <c r="CB381" s="217">
        <v>470</v>
      </c>
      <c r="CC381" s="217">
        <v>409</v>
      </c>
      <c r="CD381" s="217">
        <f t="shared" si="378"/>
        <v>61</v>
      </c>
      <c r="CE381" s="216"/>
      <c r="CG381" s="18">
        <v>2024</v>
      </c>
      <c r="CH381" s="18" t="s">
        <v>39</v>
      </c>
      <c r="CI381" s="218">
        <f t="shared" si="369"/>
        <v>0.625</v>
      </c>
      <c r="CJ381" s="218">
        <f t="shared" si="370"/>
        <v>0.625</v>
      </c>
      <c r="CK381" s="218">
        <f t="shared" si="371"/>
        <v>1</v>
      </c>
      <c r="CL381" s="209">
        <v>6</v>
      </c>
      <c r="CM381" s="209" t="s">
        <v>154</v>
      </c>
      <c r="CN381" s="217">
        <v>24</v>
      </c>
      <c r="CO381" s="16">
        <f>+BS_TJOFRE_MER[[#This Row],[Trenes Programados]]-BS_TJOFRE_MER[[#This Row],[Trenes Corridos]]</f>
        <v>0</v>
      </c>
      <c r="CP381" s="217">
        <v>24</v>
      </c>
      <c r="CQ381" s="217">
        <v>15</v>
      </c>
      <c r="CR381" s="217">
        <f>CP381-CQ381</f>
        <v>9</v>
      </c>
      <c r="CS381" s="216"/>
    </row>
    <row r="382" spans="1:97" s="18" customFormat="1" ht="15" customHeight="1">
      <c r="A382" s="18">
        <v>2024</v>
      </c>
      <c r="B382" s="18" t="s">
        <v>40</v>
      </c>
      <c r="C382" s="15">
        <f t="shared" ref="C382" si="394">K382/H382</f>
        <v>0.77489177489177485</v>
      </c>
      <c r="D382" s="15">
        <f t="shared" ref="D382" si="395">K382/J382</f>
        <v>0.82129920309104076</v>
      </c>
      <c r="E382" s="15">
        <f t="shared" ref="E382" si="396">J382/H382</f>
        <v>0.94349510138983828</v>
      </c>
      <c r="F382" s="58">
        <f t="shared" ref="F382" si="397">+T382+AH382+AV382+BJ382+BX382</f>
        <v>146</v>
      </c>
      <c r="G382" s="34">
        <f>+(BS_GC_20J[[#This Row],[Coches por Tren Día Hábil]]*BS_GC_20J[[#This Row],[Trenes Corridos]]+BS_BA_Mnos[[#This Row],[Coches por Tren Día Hábil]]*BS_BA_Mnos[[#This Row],[Trenes Corridos]]+BS_GC_MP_Vill[[#This Row],[Coches por Tren Día Hábil]]*BS_GC_MP_Vill[[#This Row],[Trenes Corridos]])/BS[[#This Row],[Trenes Corridos]]</f>
        <v>5.2762617725187155</v>
      </c>
      <c r="H382" s="57">
        <f>+V382+AJ382+AX382+BL382+BS_GC_MP_Vill[[#This Row],[Trenes Programados]]</f>
        <v>4389</v>
      </c>
      <c r="I382" s="16">
        <f t="shared" ref="I382" si="398">H382-J382</f>
        <v>248</v>
      </c>
      <c r="J382" s="57">
        <f>+X382+AL382+AZ382+BN382+BS_GC_MP_Vill[[#This Row],[Trenes Corridos]]</f>
        <v>4141</v>
      </c>
      <c r="K382" s="57">
        <f>+Y382+AM382+BA382+BO382+BS_GC_MP_Vill[[#This Row],[Trenes Puntuales]]</f>
        <v>3401</v>
      </c>
      <c r="L382" s="16">
        <f t="shared" ref="L382" si="399">J382-K382</f>
        <v>740</v>
      </c>
      <c r="M382" s="248" t="s">
        <v>184</v>
      </c>
      <c r="O382" s="18">
        <v>2024</v>
      </c>
      <c r="P382" s="18" t="s">
        <v>40</v>
      </c>
      <c r="Q382" s="208">
        <f t="shared" si="361"/>
        <v>0.75746992627085763</v>
      </c>
      <c r="R382" s="208">
        <f t="shared" si="362"/>
        <v>0.81096800997091811</v>
      </c>
      <c r="S382" s="208">
        <f t="shared" si="363"/>
        <v>0.9340318199456733</v>
      </c>
      <c r="T382" s="209">
        <v>86</v>
      </c>
      <c r="U382" s="209">
        <v>6</v>
      </c>
      <c r="V382" s="217">
        <v>2577</v>
      </c>
      <c r="W382" s="16">
        <f t="shared" si="311"/>
        <v>170</v>
      </c>
      <c r="X382" s="217">
        <v>2407</v>
      </c>
      <c r="Y382" s="217">
        <v>1952</v>
      </c>
      <c r="Z382" s="217">
        <f t="shared" si="364"/>
        <v>455</v>
      </c>
      <c r="AA382" s="248" t="s">
        <v>184</v>
      </c>
      <c r="AC382" s="18">
        <v>2024</v>
      </c>
      <c r="AD382" s="18" t="s">
        <v>40</v>
      </c>
      <c r="AE382" s="208">
        <f t="shared" si="365"/>
        <v>0.81122448979591832</v>
      </c>
      <c r="AF382" s="208">
        <f t="shared" si="366"/>
        <v>0.84767707539984771</v>
      </c>
      <c r="AG382" s="208">
        <f t="shared" si="367"/>
        <v>0.95699708454810495</v>
      </c>
      <c r="AH382" s="209">
        <v>46</v>
      </c>
      <c r="AI382" s="209">
        <v>5</v>
      </c>
      <c r="AJ382" s="217">
        <v>1372</v>
      </c>
      <c r="AK382" s="16">
        <f t="shared" si="316"/>
        <v>59</v>
      </c>
      <c r="AL382" s="217">
        <v>1313</v>
      </c>
      <c r="AM382" s="217">
        <v>1113</v>
      </c>
      <c r="AN382" s="217">
        <f t="shared" si="368"/>
        <v>200</v>
      </c>
      <c r="AO382" s="248" t="s">
        <v>184</v>
      </c>
      <c r="AS382" s="208"/>
      <c r="AT382" s="208"/>
      <c r="AU382" s="208"/>
      <c r="AV382" s="208"/>
      <c r="AW382" s="208"/>
      <c r="AX382" s="217"/>
      <c r="AY382" s="217"/>
      <c r="AZ382" s="217"/>
      <c r="BA382" s="217"/>
      <c r="BB382" s="217"/>
      <c r="BC382" s="217"/>
      <c r="BE382" s="18">
        <v>2024</v>
      </c>
      <c r="BF382" s="18" t="s">
        <v>40</v>
      </c>
      <c r="BG382" s="208"/>
      <c r="BH382" s="208"/>
      <c r="BI382" s="208"/>
      <c r="BJ382" s="209"/>
      <c r="BK382" s="209"/>
      <c r="BL382" s="217"/>
      <c r="BM382" s="217"/>
      <c r="BN382" s="217"/>
      <c r="BO382" s="217"/>
      <c r="BP382" s="217"/>
      <c r="BQ382" s="216"/>
      <c r="BS382" s="18">
        <v>2024</v>
      </c>
      <c r="BT382" s="18" t="s">
        <v>40</v>
      </c>
      <c r="BU382" s="218">
        <f t="shared" si="391"/>
        <v>0.76363636363636367</v>
      </c>
      <c r="BV382" s="218">
        <f t="shared" si="392"/>
        <v>0.79809976247030878</v>
      </c>
      <c r="BW382" s="218">
        <f t="shared" si="393"/>
        <v>0.95681818181818179</v>
      </c>
      <c r="BX382" s="209">
        <v>14</v>
      </c>
      <c r="BY382" s="209">
        <v>2</v>
      </c>
      <c r="BZ382" s="217">
        <v>440</v>
      </c>
      <c r="CA382" s="16">
        <f t="shared" si="293"/>
        <v>19</v>
      </c>
      <c r="CB382" s="217">
        <v>421</v>
      </c>
      <c r="CC382" s="217">
        <v>336</v>
      </c>
      <c r="CD382" s="217">
        <f t="shared" si="378"/>
        <v>85</v>
      </c>
      <c r="CE382" s="248" t="s">
        <v>184</v>
      </c>
      <c r="CG382" s="18">
        <v>2024</v>
      </c>
      <c r="CH382" s="18" t="s">
        <v>40</v>
      </c>
      <c r="CI382" s="218">
        <f t="shared" si="369"/>
        <v>7.1428571428571425E-2</v>
      </c>
      <c r="CJ382" s="218">
        <f t="shared" si="370"/>
        <v>0.33333333333333331</v>
      </c>
      <c r="CK382" s="218">
        <f t="shared" si="371"/>
        <v>0.21428571428571427</v>
      </c>
      <c r="CL382" s="209">
        <v>6</v>
      </c>
      <c r="CM382" s="209" t="s">
        <v>154</v>
      </c>
      <c r="CN382" s="217">
        <v>28</v>
      </c>
      <c r="CO382" s="16">
        <f>+BS_TJOFRE_MER[[#This Row],[Trenes Programados]]-BS_TJOFRE_MER[[#This Row],[Trenes Corridos]]</f>
        <v>22</v>
      </c>
      <c r="CP382" s="217">
        <v>6</v>
      </c>
      <c r="CQ382" s="217">
        <v>2</v>
      </c>
      <c r="CR382" s="217">
        <f>CP382-CQ382</f>
        <v>4</v>
      </c>
      <c r="CS382" s="216" t="s">
        <v>173</v>
      </c>
    </row>
    <row r="383" spans="1:97" s="18" customFormat="1" ht="15" customHeight="1">
      <c r="A383" s="18">
        <v>2024</v>
      </c>
      <c r="B383" s="18" t="s">
        <v>41</v>
      </c>
      <c r="C383" s="15">
        <f t="shared" ref="C383" si="400">K383/H383</f>
        <v>0.79475566150178789</v>
      </c>
      <c r="D383" s="15">
        <f t="shared" ref="D383" si="401">K383/J383</f>
        <v>0.82483918852053439</v>
      </c>
      <c r="E383" s="15">
        <f t="shared" ref="E383" si="402">J383/H383</f>
        <v>0.96352800953516093</v>
      </c>
      <c r="F383" s="58">
        <f t="shared" ref="F383" si="403">+T383+AH383+AV383+BJ383+BX383</f>
        <v>146</v>
      </c>
      <c r="G383" s="34">
        <f>+(BS_GC_20J[[#This Row],[Coches por Tren Día Hábil]]*BS_GC_20J[[#This Row],[Trenes Corridos]]+BS_BA_Mnos[[#This Row],[Coches por Tren Día Hábil]]*BS_BA_Mnos[[#This Row],[Trenes Corridos]]+BS_GC_MP_Vill[[#This Row],[Coches por Tren Día Hábil]]*BS_GC_MP_Vill[[#This Row],[Trenes Corridos]])/BS[[#This Row],[Trenes Corridos]]</f>
        <v>5.2568035625927756</v>
      </c>
      <c r="H383" s="57">
        <f>+V383+AJ383+AX383+BL383+BS_GC_MP_Vill[[#This Row],[Trenes Programados]]</f>
        <v>4195</v>
      </c>
      <c r="I383" s="16">
        <f t="shared" ref="I383" si="404">H383-J383</f>
        <v>153</v>
      </c>
      <c r="J383" s="57">
        <f>+X383+AL383+AZ383+BN383+BS_GC_MP_Vill[[#This Row],[Trenes Corridos]]</f>
        <v>4042</v>
      </c>
      <c r="K383" s="57">
        <f>+Y383+AM383+BA383+BO383+BS_GC_MP_Vill[[#This Row],[Trenes Puntuales]]</f>
        <v>3334</v>
      </c>
      <c r="L383" s="16">
        <f t="shared" ref="L383" si="405">J383-K383</f>
        <v>708</v>
      </c>
      <c r="M383" s="217"/>
      <c r="O383" s="18">
        <v>2024</v>
      </c>
      <c r="P383" s="18" t="s">
        <v>41</v>
      </c>
      <c r="Q383" s="208">
        <f t="shared" si="361"/>
        <v>0.76803913575214022</v>
      </c>
      <c r="R383" s="208">
        <f t="shared" si="362"/>
        <v>0.81347150259067358</v>
      </c>
      <c r="S383" s="208">
        <f t="shared" si="363"/>
        <v>0.94415002038320428</v>
      </c>
      <c r="T383" s="209">
        <v>86</v>
      </c>
      <c r="U383" s="209">
        <v>6</v>
      </c>
      <c r="V383" s="217">
        <v>2453</v>
      </c>
      <c r="W383" s="16">
        <f t="shared" si="311"/>
        <v>137</v>
      </c>
      <c r="X383" s="217">
        <v>2316</v>
      </c>
      <c r="Y383" s="217">
        <v>1884</v>
      </c>
      <c r="Z383" s="217">
        <f t="shared" si="364"/>
        <v>432</v>
      </c>
      <c r="AA383" s="217"/>
      <c r="AC383" s="18">
        <v>2024</v>
      </c>
      <c r="AD383" s="18" t="s">
        <v>41</v>
      </c>
      <c r="AE383" s="208">
        <f t="shared" si="365"/>
        <v>0.83614088820826948</v>
      </c>
      <c r="AF383" s="208">
        <f t="shared" si="366"/>
        <v>0.84</v>
      </c>
      <c r="AG383" s="208">
        <f t="shared" si="367"/>
        <v>0.99540581929555894</v>
      </c>
      <c r="AH383" s="209">
        <v>46</v>
      </c>
      <c r="AI383" s="209">
        <v>5</v>
      </c>
      <c r="AJ383" s="217">
        <v>1306</v>
      </c>
      <c r="AK383" s="16">
        <f t="shared" si="316"/>
        <v>6</v>
      </c>
      <c r="AL383" s="217">
        <v>1300</v>
      </c>
      <c r="AM383" s="217">
        <v>1092</v>
      </c>
      <c r="AN383" s="217">
        <f t="shared" si="368"/>
        <v>208</v>
      </c>
      <c r="AO383" s="217"/>
      <c r="AS383" s="208"/>
      <c r="AT383" s="208"/>
      <c r="AU383" s="208"/>
      <c r="AV383" s="208"/>
      <c r="AW383" s="208"/>
      <c r="AX383" s="217"/>
      <c r="AY383" s="217"/>
      <c r="AZ383" s="217"/>
      <c r="BA383" s="217"/>
      <c r="BB383" s="217"/>
      <c r="BC383" s="217"/>
      <c r="BE383" s="18">
        <v>2024</v>
      </c>
      <c r="BF383" s="18" t="s">
        <v>41</v>
      </c>
      <c r="BG383" s="208"/>
      <c r="BH383" s="208"/>
      <c r="BI383" s="208"/>
      <c r="BJ383" s="209"/>
      <c r="BK383" s="209"/>
      <c r="BL383" s="217"/>
      <c r="BM383" s="217"/>
      <c r="BN383" s="217"/>
      <c r="BO383" s="217"/>
      <c r="BP383" s="217"/>
      <c r="BQ383" s="216"/>
      <c r="BS383" s="18">
        <v>2024</v>
      </c>
      <c r="BT383" s="18" t="s">
        <v>41</v>
      </c>
      <c r="BU383" s="218">
        <f t="shared" si="391"/>
        <v>0.82110091743119262</v>
      </c>
      <c r="BV383" s="218">
        <f t="shared" si="392"/>
        <v>0.84037558685446012</v>
      </c>
      <c r="BW383" s="218">
        <f t="shared" si="393"/>
        <v>0.97706422018348627</v>
      </c>
      <c r="BX383" s="209">
        <v>14</v>
      </c>
      <c r="BY383" s="209">
        <v>2</v>
      </c>
      <c r="BZ383" s="217">
        <v>436</v>
      </c>
      <c r="CA383" s="16">
        <f t="shared" si="293"/>
        <v>10</v>
      </c>
      <c r="CB383" s="217">
        <v>426</v>
      </c>
      <c r="CC383" s="217">
        <v>358</v>
      </c>
      <c r="CD383" s="217">
        <f t="shared" si="378"/>
        <v>68</v>
      </c>
      <c r="CE383" s="216"/>
      <c r="CG383" s="18">
        <v>2024</v>
      </c>
      <c r="CH383" s="18" t="s">
        <v>41</v>
      </c>
      <c r="CI383" s="218">
        <f t="shared" si="369"/>
        <v>7.1428571428571425E-2</v>
      </c>
      <c r="CJ383" s="218">
        <f t="shared" si="370"/>
        <v>0.5</v>
      </c>
      <c r="CK383" s="218">
        <f t="shared" si="371"/>
        <v>0.14285714285714285</v>
      </c>
      <c r="CL383" s="209">
        <v>6</v>
      </c>
      <c r="CM383" s="209" t="s">
        <v>154</v>
      </c>
      <c r="CN383" s="217">
        <v>28</v>
      </c>
      <c r="CO383" s="16">
        <f>+BS_TJOFRE_MER[[#This Row],[Trenes Programados]]-BS_TJOFRE_MER[[#This Row],[Trenes Corridos]]</f>
        <v>24</v>
      </c>
      <c r="CP383" s="217">
        <v>4</v>
      </c>
      <c r="CQ383" s="217">
        <v>2</v>
      </c>
      <c r="CR383" s="217">
        <f>CP383-CQ383</f>
        <v>2</v>
      </c>
      <c r="CS383" s="216" t="s">
        <v>173</v>
      </c>
    </row>
    <row r="384" spans="1:97" s="18" customFormat="1" ht="15" customHeight="1">
      <c r="A384" s="18">
        <v>2024</v>
      </c>
      <c r="B384" s="18" t="s">
        <v>42</v>
      </c>
      <c r="C384" s="15">
        <f t="shared" ref="C384" si="406">K384/H384</f>
        <v>0.64053624176323565</v>
      </c>
      <c r="D384" s="15">
        <f t="shared" ref="D384" si="407">K384/J384</f>
        <v>0.81804991294254203</v>
      </c>
      <c r="E384" s="15">
        <f t="shared" ref="E384" si="408">J384/H384</f>
        <v>0.78300386275846401</v>
      </c>
      <c r="F384" s="58">
        <f t="shared" ref="F384" si="409">+T384+AH384+AV384+BJ384+BX384</f>
        <v>146</v>
      </c>
      <c r="G384" s="34">
        <f>+(BS_GC_20J[[#This Row],[Coches por Tren Día Hábil]]*BS_GC_20J[[#This Row],[Trenes Corridos]]+BS_BA_Mnos[[#This Row],[Coches por Tren Día Hábil]]*BS_BA_Mnos[[#This Row],[Trenes Corridos]]+BS_GC_MP_Vill[[#This Row],[Coches por Tren Día Hábil]]*BS_GC_MP_Vill[[#This Row],[Trenes Corridos]])/BS[[#This Row],[Trenes Corridos]]</f>
        <v>5.4056877539175856</v>
      </c>
      <c r="H384" s="57">
        <f>+V384+AJ384+AX384+BL384+BS_GC_MP_Vill[[#This Row],[Trenes Programados]]</f>
        <v>4401</v>
      </c>
      <c r="I384" s="16">
        <f t="shared" ref="I384" si="410">H384-J384</f>
        <v>955</v>
      </c>
      <c r="J384" s="57">
        <f>+X384+AL384+AZ384+BN384+BS_GC_MP_Vill[[#This Row],[Trenes Corridos]]</f>
        <v>3446</v>
      </c>
      <c r="K384" s="57">
        <f>+Y384+AM384+BA384+BO384+BS_GC_MP_Vill[[#This Row],[Trenes Puntuales]]</f>
        <v>2819</v>
      </c>
      <c r="L384" s="16">
        <f t="shared" ref="L384" si="411">J384-K384</f>
        <v>627</v>
      </c>
      <c r="M384" s="217"/>
      <c r="O384" s="18">
        <v>2024</v>
      </c>
      <c r="P384" s="18" t="s">
        <v>42</v>
      </c>
      <c r="Q384" s="208">
        <f>Y384/V384</f>
        <v>0.82925882809468376</v>
      </c>
      <c r="R384" s="208">
        <f>Y384/X384</f>
        <v>0.85105535643170049</v>
      </c>
      <c r="S384" s="208">
        <f>X384/V384</f>
        <v>0.97438882421420259</v>
      </c>
      <c r="T384" s="209">
        <v>86</v>
      </c>
      <c r="U384" s="209">
        <v>6</v>
      </c>
      <c r="V384" s="217">
        <v>2577</v>
      </c>
      <c r="W384" s="16">
        <f t="shared" si="311"/>
        <v>66</v>
      </c>
      <c r="X384" s="217">
        <v>2511</v>
      </c>
      <c r="Y384" s="217">
        <v>2137</v>
      </c>
      <c r="Z384" s="217">
        <f>X384-Y384</f>
        <v>374</v>
      </c>
      <c r="AA384" s="217"/>
      <c r="AC384" s="18">
        <v>2024</v>
      </c>
      <c r="AD384" s="18" t="s">
        <v>42</v>
      </c>
      <c r="AE384" s="208">
        <f>AM384/AJ384</f>
        <v>0.27068214804063861</v>
      </c>
      <c r="AF384" s="208">
        <f>AM384/AL384</f>
        <v>0.66134751773049649</v>
      </c>
      <c r="AG384" s="208">
        <f>AL384/AJ384</f>
        <v>0.409288824383164</v>
      </c>
      <c r="AH384" s="209">
        <v>46</v>
      </c>
      <c r="AI384" s="209">
        <v>5</v>
      </c>
      <c r="AJ384" s="217">
        <v>1378</v>
      </c>
      <c r="AK384" s="16">
        <f t="shared" si="316"/>
        <v>814</v>
      </c>
      <c r="AL384" s="217">
        <v>564</v>
      </c>
      <c r="AM384" s="217">
        <v>373</v>
      </c>
      <c r="AN384" s="217">
        <f>AL384-AM384</f>
        <v>191</v>
      </c>
      <c r="AO384" s="217"/>
      <c r="AS384" s="208"/>
      <c r="AT384" s="208"/>
      <c r="AU384" s="208"/>
      <c r="AV384" s="208"/>
      <c r="AW384" s="208"/>
      <c r="AX384" s="217"/>
      <c r="AY384" s="217"/>
      <c r="AZ384" s="217"/>
      <c r="BA384" s="217"/>
      <c r="BB384" s="217"/>
      <c r="BC384" s="217"/>
      <c r="BE384" s="18">
        <v>2024</v>
      </c>
      <c r="BF384" s="18" t="s">
        <v>42</v>
      </c>
      <c r="BG384" s="208"/>
      <c r="BH384" s="208"/>
      <c r="BI384" s="208"/>
      <c r="BJ384" s="209"/>
      <c r="BK384" s="209"/>
      <c r="BL384" s="217"/>
      <c r="BM384" s="217"/>
      <c r="BN384" s="217"/>
      <c r="BO384" s="217"/>
      <c r="BP384" s="217"/>
      <c r="BQ384" s="216"/>
      <c r="BS384" s="18">
        <v>2024</v>
      </c>
      <c r="BT384" s="18" t="s">
        <v>42</v>
      </c>
      <c r="BU384" s="218">
        <f t="shared" si="391"/>
        <v>0.69282511210762332</v>
      </c>
      <c r="BV384" s="218">
        <f t="shared" si="392"/>
        <v>0.8328840970350404</v>
      </c>
      <c r="BW384" s="218">
        <f t="shared" si="393"/>
        <v>0.83183856502242148</v>
      </c>
      <c r="BX384" s="209">
        <v>14</v>
      </c>
      <c r="BY384" s="209">
        <v>2</v>
      </c>
      <c r="BZ384" s="217">
        <v>446</v>
      </c>
      <c r="CA384" s="16">
        <f t="shared" si="293"/>
        <v>75</v>
      </c>
      <c r="CB384" s="217">
        <v>371</v>
      </c>
      <c r="CC384" s="217">
        <v>309</v>
      </c>
      <c r="CD384" s="217">
        <f t="shared" si="378"/>
        <v>62</v>
      </c>
      <c r="CE384" s="216"/>
      <c r="CG384" s="18">
        <v>2024</v>
      </c>
      <c r="CH384" s="18" t="s">
        <v>42</v>
      </c>
      <c r="CI384" s="218"/>
      <c r="CJ384" s="218"/>
      <c r="CK384" s="218"/>
      <c r="CL384" s="209"/>
      <c r="CM384" s="209"/>
      <c r="CN384" s="217"/>
      <c r="CO384" s="217"/>
      <c r="CP384" s="217"/>
      <c r="CQ384" s="217"/>
      <c r="CR384" s="217"/>
      <c r="CS384" s="216"/>
    </row>
    <row r="385" spans="1:97" s="18" customFormat="1" ht="15" customHeight="1">
      <c r="A385" s="18">
        <v>2024</v>
      </c>
      <c r="B385" s="18" t="s">
        <v>43</v>
      </c>
      <c r="C385" s="15">
        <f t="shared" ref="C385" si="412">K385/H385</f>
        <v>0.77005226084980682</v>
      </c>
      <c r="D385" s="15">
        <f t="shared" ref="D385" si="413">K385/J385</f>
        <v>0.79219261337073399</v>
      </c>
      <c r="E385" s="15">
        <f t="shared" ref="E385" si="414">J385/H385</f>
        <v>0.97205180640763467</v>
      </c>
      <c r="F385" s="58">
        <f t="shared" ref="F385" si="415">+T385+AH385+AV385+BJ385+BX385</f>
        <v>146</v>
      </c>
      <c r="G385" s="34">
        <f>+(BS_GC_20J[[#This Row],[Coches por Tren Día Hábil]]*BS_GC_20J[[#This Row],[Trenes Corridos]]+BS_BA_Mnos[[#This Row],[Coches por Tren Día Hábil]]*BS_BA_Mnos[[#This Row],[Trenes Corridos]]+BS_GC_MP_Vill[[#This Row],[Coches por Tren Día Hábil]]*BS_GC_MP_Vill[[#This Row],[Trenes Corridos]])/BS[[#This Row],[Trenes Corridos]]</f>
        <v>5.2727910238429176</v>
      </c>
      <c r="H385" s="57">
        <f>+V385+AJ385+AX385+BL385+BS_GC_MP_Vill[[#This Row],[Trenes Programados]]</f>
        <v>4401</v>
      </c>
      <c r="I385" s="16">
        <f t="shared" ref="I385" si="416">H385-J385</f>
        <v>123</v>
      </c>
      <c r="J385" s="57">
        <f>+X385+AL385+AZ385+BN385+BS_GC_MP_Vill[[#This Row],[Trenes Corridos]]</f>
        <v>4278</v>
      </c>
      <c r="K385" s="57">
        <f>+Y385+AM385+BA385+BO385+BS_GC_MP_Vill[[#This Row],[Trenes Puntuales]]</f>
        <v>3389</v>
      </c>
      <c r="L385" s="16">
        <f t="shared" ref="L385" si="417">J385-K385</f>
        <v>889</v>
      </c>
      <c r="M385" s="217"/>
      <c r="O385" s="18">
        <v>2024</v>
      </c>
      <c r="P385" s="18" t="s">
        <v>43</v>
      </c>
      <c r="Q385" s="208">
        <f>Y385/V385</f>
        <v>0.77105161039968961</v>
      </c>
      <c r="R385" s="208">
        <f>Y385/X385</f>
        <v>0.80282828282828278</v>
      </c>
      <c r="S385" s="208">
        <f>X385/V385</f>
        <v>0.96041909196740394</v>
      </c>
      <c r="T385" s="209">
        <v>86</v>
      </c>
      <c r="U385" s="209">
        <v>6</v>
      </c>
      <c r="V385" s="217">
        <v>2577</v>
      </c>
      <c r="W385" s="16">
        <f t="shared" si="311"/>
        <v>102</v>
      </c>
      <c r="X385" s="217">
        <v>2475</v>
      </c>
      <c r="Y385" s="217">
        <v>1987</v>
      </c>
      <c r="Z385" s="217">
        <f>X385-Y385</f>
        <v>488</v>
      </c>
      <c r="AA385" s="217"/>
      <c r="AC385" s="18">
        <v>2024</v>
      </c>
      <c r="AD385" s="18" t="s">
        <v>43</v>
      </c>
      <c r="AE385" s="208">
        <f>AM385/AJ385</f>
        <v>0.7445573294629898</v>
      </c>
      <c r="AF385" s="208">
        <f>AM385/AL385</f>
        <v>0.75054864667154353</v>
      </c>
      <c r="AG385" s="208">
        <f>AL385/AJ385</f>
        <v>0.9920174165457184</v>
      </c>
      <c r="AH385" s="209">
        <v>46</v>
      </c>
      <c r="AI385" s="209">
        <v>5</v>
      </c>
      <c r="AJ385" s="217">
        <v>1378</v>
      </c>
      <c r="AK385" s="16">
        <f t="shared" si="316"/>
        <v>11</v>
      </c>
      <c r="AL385" s="217">
        <v>1367</v>
      </c>
      <c r="AM385" s="217">
        <v>1026</v>
      </c>
      <c r="AN385" s="217">
        <f>AL385-AM385</f>
        <v>341</v>
      </c>
      <c r="AO385" s="217"/>
      <c r="AS385" s="208"/>
      <c r="AT385" s="208"/>
      <c r="AU385" s="208"/>
      <c r="AV385" s="208"/>
      <c r="AW385" s="208"/>
      <c r="AX385" s="217"/>
      <c r="AY385" s="217"/>
      <c r="AZ385" s="217"/>
      <c r="BA385" s="217"/>
      <c r="BB385" s="217"/>
      <c r="BC385" s="217"/>
      <c r="BE385" s="18">
        <v>2024</v>
      </c>
      <c r="BF385" s="18" t="s">
        <v>43</v>
      </c>
      <c r="BG385" s="208"/>
      <c r="BH385" s="208"/>
      <c r="BI385" s="208"/>
      <c r="BJ385" s="209"/>
      <c r="BK385" s="209"/>
      <c r="BL385" s="217"/>
      <c r="BM385" s="217"/>
      <c r="BN385" s="217"/>
      <c r="BO385" s="217"/>
      <c r="BP385" s="217"/>
      <c r="BQ385" s="216"/>
      <c r="BS385" s="18">
        <v>2024</v>
      </c>
      <c r="BT385" s="18" t="s">
        <v>43</v>
      </c>
      <c r="BU385" s="218">
        <f t="shared" si="391"/>
        <v>0.84304932735426008</v>
      </c>
      <c r="BV385" s="218">
        <f t="shared" si="392"/>
        <v>0.86238532110091748</v>
      </c>
      <c r="BW385" s="218">
        <f t="shared" si="393"/>
        <v>0.97757847533632292</v>
      </c>
      <c r="BX385" s="209">
        <v>14</v>
      </c>
      <c r="BY385" s="209">
        <v>2</v>
      </c>
      <c r="BZ385" s="217">
        <v>446</v>
      </c>
      <c r="CA385" s="16">
        <f t="shared" si="293"/>
        <v>10</v>
      </c>
      <c r="CB385" s="217">
        <v>436</v>
      </c>
      <c r="CC385" s="217">
        <v>376</v>
      </c>
      <c r="CD385" s="217">
        <f>CB385-CC385</f>
        <v>60</v>
      </c>
      <c r="CE385" s="216"/>
      <c r="CG385" s="18">
        <v>2024</v>
      </c>
      <c r="CH385" s="18" t="s">
        <v>43</v>
      </c>
      <c r="CI385" s="218"/>
      <c r="CJ385" s="218"/>
      <c r="CK385" s="218"/>
      <c r="CL385" s="209"/>
      <c r="CM385" s="209"/>
      <c r="CN385" s="217"/>
      <c r="CO385" s="217"/>
      <c r="CP385" s="217"/>
      <c r="CQ385" s="217"/>
      <c r="CR385" s="217"/>
      <c r="CS385" s="216"/>
    </row>
    <row r="386" spans="1:97" s="18" customFormat="1" ht="15" customHeight="1">
      <c r="A386" s="18">
        <v>2024</v>
      </c>
      <c r="B386" s="18" t="s">
        <v>44</v>
      </c>
      <c r="C386" s="15">
        <f t="shared" ref="C386" si="418">K386/H386</f>
        <v>0.78101503759398494</v>
      </c>
      <c r="D386" s="15">
        <f t="shared" ref="D386" si="419">K386/J386</f>
        <v>0.80425840793612391</v>
      </c>
      <c r="E386" s="15">
        <f t="shared" ref="E386" si="420">J386/H386</f>
        <v>0.97109962406015038</v>
      </c>
      <c r="F386" s="58">
        <f t="shared" ref="F386" si="421">+T386+AH386+AV386+BJ386+BX386</f>
        <v>146</v>
      </c>
      <c r="G386" s="34">
        <f>+(BS_GC_20J[[#This Row],[Coches por Tren Día Hábil]]*BS_GC_20J[[#This Row],[Trenes Corridos]]+BS_BA_Mnos[[#This Row],[Coches por Tren Día Hábil]]*BS_BA_Mnos[[#This Row],[Trenes Corridos]]+BS_GC_MP_Vill[[#This Row],[Coches por Tren Día Hábil]]*BS_GC_MP_Vill[[#This Row],[Trenes Corridos]])/BS[[#This Row],[Trenes Corridos]]</f>
        <v>5.3017178804742322</v>
      </c>
      <c r="H386" s="57">
        <f>+V386+AJ386+AX386+BL386+BS_GC_MP_Vill[[#This Row],[Trenes Programados]]</f>
        <v>4256</v>
      </c>
      <c r="I386" s="16">
        <f t="shared" ref="I386" si="422">H386-J386</f>
        <v>123</v>
      </c>
      <c r="J386" s="57">
        <f>+X386+AL386+AZ386+BN386+BS_GC_MP_Vill[[#This Row],[Trenes Corridos]]</f>
        <v>4133</v>
      </c>
      <c r="K386" s="57">
        <f>+Y386+AM386+BA386+BO386+BS_GC_MP_Vill[[#This Row],[Trenes Puntuales]]</f>
        <v>3324</v>
      </c>
      <c r="L386" s="16">
        <f t="shared" ref="L386" si="423">J386-K386</f>
        <v>809</v>
      </c>
      <c r="M386" s="217"/>
      <c r="O386" s="18">
        <v>2024</v>
      </c>
      <c r="P386" s="18" t="s">
        <v>44</v>
      </c>
      <c r="Q386" s="208">
        <f>Y386/V386</f>
        <v>0.78683259735046163</v>
      </c>
      <c r="R386" s="208">
        <f>Y386/X386</f>
        <v>0.80592105263157898</v>
      </c>
      <c r="S386" s="208">
        <f>X386/V386</f>
        <v>0.97631473303894023</v>
      </c>
      <c r="T386" s="209">
        <v>86</v>
      </c>
      <c r="U386" s="209">
        <v>6</v>
      </c>
      <c r="V386" s="217">
        <v>2491</v>
      </c>
      <c r="W386" s="16">
        <f t="shared" si="311"/>
        <v>59</v>
      </c>
      <c r="X386" s="217">
        <v>2432</v>
      </c>
      <c r="Y386" s="217">
        <v>1960</v>
      </c>
      <c r="Z386" s="217">
        <f>X386-Y386</f>
        <v>472</v>
      </c>
      <c r="AA386" s="217"/>
      <c r="AC386" s="18">
        <v>2024</v>
      </c>
      <c r="AD386" s="18" t="s">
        <v>44</v>
      </c>
      <c r="AE386" s="208">
        <f>AM386/AJ386</f>
        <v>0.77177177177177181</v>
      </c>
      <c r="AF386" s="208">
        <f>AM386/AL386</f>
        <v>0.78713629402756513</v>
      </c>
      <c r="AG386" s="208">
        <f>AL386/AJ386</f>
        <v>0.98048048048048053</v>
      </c>
      <c r="AH386" s="209">
        <v>46</v>
      </c>
      <c r="AI386" s="209">
        <v>5</v>
      </c>
      <c r="AJ386" s="217">
        <v>1332</v>
      </c>
      <c r="AK386" s="16">
        <f t="shared" si="316"/>
        <v>26</v>
      </c>
      <c r="AL386" s="217">
        <v>1306</v>
      </c>
      <c r="AM386" s="217">
        <v>1028</v>
      </c>
      <c r="AN386" s="217">
        <f>AL386-AM386</f>
        <v>278</v>
      </c>
      <c r="AO386" s="217"/>
      <c r="AS386" s="208"/>
      <c r="AT386" s="208"/>
      <c r="AU386" s="208"/>
      <c r="AV386" s="208"/>
      <c r="AW386" s="208"/>
      <c r="AX386" s="217"/>
      <c r="AY386" s="217"/>
      <c r="AZ386" s="217"/>
      <c r="BA386" s="217"/>
      <c r="BB386" s="217"/>
      <c r="BC386" s="217"/>
      <c r="BE386" s="18">
        <v>2024</v>
      </c>
      <c r="BF386" s="18" t="s">
        <v>44</v>
      </c>
      <c r="BG386" s="208"/>
      <c r="BH386" s="208"/>
      <c r="BI386" s="208"/>
      <c r="BJ386" s="209"/>
      <c r="BK386" s="209"/>
      <c r="BL386" s="217"/>
      <c r="BM386" s="217"/>
      <c r="BN386" s="217"/>
      <c r="BO386" s="217"/>
      <c r="BP386" s="217"/>
      <c r="BQ386" s="216"/>
      <c r="BS386" s="18">
        <v>2024</v>
      </c>
      <c r="BT386" s="18" t="s">
        <v>44</v>
      </c>
      <c r="BU386" s="218">
        <f t="shared" si="391"/>
        <v>0.77598152424942268</v>
      </c>
      <c r="BV386" s="218">
        <f t="shared" si="392"/>
        <v>0.85063291139240504</v>
      </c>
      <c r="BW386" s="218">
        <f t="shared" si="393"/>
        <v>0.91224018475750579</v>
      </c>
      <c r="BX386" s="209">
        <v>14</v>
      </c>
      <c r="BY386" s="209">
        <v>2</v>
      </c>
      <c r="BZ386" s="217">
        <v>433</v>
      </c>
      <c r="CA386" s="16">
        <f t="shared" si="293"/>
        <v>38</v>
      </c>
      <c r="CB386" s="217">
        <v>395</v>
      </c>
      <c r="CC386" s="217">
        <v>336</v>
      </c>
      <c r="CD386" s="217">
        <f>CB386-CC386</f>
        <v>59</v>
      </c>
      <c r="CE386" s="216"/>
      <c r="CG386" s="18">
        <v>2024</v>
      </c>
      <c r="CH386" s="18" t="s">
        <v>44</v>
      </c>
      <c r="CI386" s="218"/>
      <c r="CJ386" s="218"/>
      <c r="CK386" s="218"/>
      <c r="CL386" s="209"/>
      <c r="CM386" s="209"/>
      <c r="CN386" s="217"/>
      <c r="CO386" s="217"/>
      <c r="CP386" s="217"/>
      <c r="CQ386" s="217"/>
      <c r="CR386" s="217"/>
      <c r="CS386" s="216"/>
    </row>
    <row r="387" spans="1:97" s="18" customFormat="1" ht="15" customHeight="1">
      <c r="A387" s="2" t="s">
        <v>152</v>
      </c>
      <c r="B387" s="2"/>
      <c r="C387" s="195">
        <f>+BS[[#Totals],[Trenes Puntuales]]/BS[[#Totals],[Trenes Programados]]</f>
        <v>0.83448426594498348</v>
      </c>
      <c r="D387" s="195">
        <f>+BS[[#Totals],[Trenes Puntuales]]/BS[[#Totals],[Trenes Corridos]]</f>
        <v>0.89951806922803301</v>
      </c>
      <c r="E387" s="195">
        <f>+BS[[#Totals],[Trenes Corridos]]/BS[[#Totals],[Trenes Programados]]</f>
        <v>0.92770150427454823</v>
      </c>
      <c r="F387" s="196"/>
      <c r="G387" s="3"/>
      <c r="H387" s="196">
        <f>SUBTOTAL(109,BS[Trenes Programados])</f>
        <v>1866747</v>
      </c>
      <c r="I387" s="197">
        <f>SUBTOTAL(109,BS[Trenes Cancelados])</f>
        <v>134963</v>
      </c>
      <c r="J387" s="196">
        <f>SUBTOTAL(109,BS[Trenes Corridos])</f>
        <v>1731784</v>
      </c>
      <c r="K387" s="196">
        <f>SUBTOTAL(109,BS[Trenes Puntuales])</f>
        <v>1557771</v>
      </c>
      <c r="L387" s="197">
        <f>SUBTOTAL(109,BS[Trenes Atrasados])</f>
        <v>174013</v>
      </c>
      <c r="M387" s="3">
        <f>SUBTOTAL(103,BS[Observaciones])</f>
        <v>4</v>
      </c>
      <c r="O387" s="18" t="s">
        <v>152</v>
      </c>
      <c r="Q387" s="44">
        <f>+BS_GC_20J[[#Totals],[Trenes Puntuales]]/BS_GC_20J[[#Totals],[Trenes Programados]]</f>
        <v>0.83701893839505304</v>
      </c>
      <c r="R387" s="44">
        <f>+BS_GC_20J[[#Totals],[Trenes Puntuales]]/BS_GC_20J[[#Totals],[Trenes Corridos]]</f>
        <v>0.58708201517212066</v>
      </c>
      <c r="S387" s="44">
        <f>+BS_GC_20J[[#Totals],[Trenes Corridos]]/BS_GC_20J[[#Totals],[Trenes Programados]]</f>
        <v>1.4257274397166737</v>
      </c>
      <c r="T387" s="40"/>
      <c r="U387" s="40"/>
      <c r="V387" s="16">
        <f>SUBTOTAL(109,BS_GC_20J[Trenes Programados])</f>
        <v>743252</v>
      </c>
      <c r="W387" s="16">
        <f>SUBTOTAL(109,BS_GC_20J[Trenes Cancelados])</f>
        <v>42778</v>
      </c>
      <c r="X387" s="16">
        <f>SUBTOTAL(109,BS_GC_20J[Trenes Corridos])</f>
        <v>1059674.7710242972</v>
      </c>
      <c r="Y387" s="16">
        <f>SUBTOTAL(109,BS_GC_20J[Trenes Puntuales])</f>
        <v>622116</v>
      </c>
      <c r="Z387" s="16">
        <f>SUBTOTAL(109,BS_GC_20J[Trenes Atrasados])</f>
        <v>78358</v>
      </c>
      <c r="AA387" s="40">
        <f>SUBTOTAL(103,BS_GC_20J[Observaciones])</f>
        <v>14</v>
      </c>
      <c r="AC387" s="18" t="s">
        <v>152</v>
      </c>
      <c r="AE387" s="44">
        <f>+BS_BA_Mnos[[#Totals],[Trenes Puntuales]]/BS_BA_Mnos[[#Totals],[Trenes Programados]]</f>
        <v>0.75905114469610557</v>
      </c>
      <c r="AF387" s="44">
        <f>+BS_BA_Mnos[[#Totals],[Trenes Puntuales]]/BS_BA_Mnos[[#Totals],[Trenes Corridos]]</f>
        <v>0.52333577074793425</v>
      </c>
      <c r="AG387" s="44">
        <f>+BS_BA_Mnos[[#Totals],[Trenes Corridos]]/BS_BA_Mnos[[#Totals],[Trenes Programados]]</f>
        <v>1.4504094448030844</v>
      </c>
      <c r="AH387" s="40"/>
      <c r="AI387" s="40"/>
      <c r="AJ387" s="16">
        <f>SUBTOTAL(109,BS_BA_Mnos[Trenes Programados])</f>
        <v>392768</v>
      </c>
      <c r="AK387" s="16">
        <f>SUBTOTAL(109,BS_BA_Mnos[Trenes Cancelados])</f>
        <v>30892</v>
      </c>
      <c r="AL387" s="16">
        <f>SUBTOTAL(109,BS_BA_Mnos[Trenes Corridos])</f>
        <v>569674.41681641783</v>
      </c>
      <c r="AM387" s="16">
        <f>SUBTOTAL(109,BS_BA_Mnos[Trenes Puntuales])</f>
        <v>298131</v>
      </c>
      <c r="AN387" s="16">
        <f>SUBTOTAL(109,BS_BA_Mnos[Trenes Atrasados])</f>
        <v>63745</v>
      </c>
      <c r="AO387" s="40">
        <f>SUBTOTAL(103,BS_BA_Mnos[Observaciones])</f>
        <v>3</v>
      </c>
      <c r="AQ387" s="18" t="s">
        <v>152</v>
      </c>
      <c r="AS387" s="44">
        <f>+BS_PA_AB[[#Totals],[Trenes Puntuales]]/BS_PA_AB[[#Totals],[Trenes Programados]]</f>
        <v>0.83197906917382791</v>
      </c>
      <c r="AT387" s="44">
        <f>+BS_PA_AB[[#Totals],[Trenes Puntuales]]/BS_PA_AB[[#Totals],[Trenes Corridos]]</f>
        <v>0.60054833956347553</v>
      </c>
      <c r="AU387" s="44">
        <f>+BS_PA_AB[[#Totals],[Trenes Corridos]]/BS_PA_AB[[#Totals],[Trenes Programados]]</f>
        <v>1.3853656972535699</v>
      </c>
      <c r="AV387" s="40"/>
      <c r="AW387" s="40"/>
      <c r="AX387" s="16">
        <f>SUBTOTAL(109,BS_PA_AB[Trenes Programados])</f>
        <v>47012</v>
      </c>
      <c r="AY387" s="16">
        <f>SUBTOTAL(109,BS_PA_AB[Trenes Cancelados])</f>
        <v>4962</v>
      </c>
      <c r="AZ387" s="16">
        <f>SUBTOTAL(109,BS_PA_AB[Trenes Corridos])</f>
        <v>65128.812159284826</v>
      </c>
      <c r="BA387" s="16">
        <f>SUBTOTAL(109,BS_PA_AB[Trenes Puntuales])</f>
        <v>39113</v>
      </c>
      <c r="BB387" s="16">
        <f>SUBTOTAL(109,BS_PA_AB[Trenes Atrasados])</f>
        <v>2937</v>
      </c>
      <c r="BC387" s="40">
        <f>SUBTOTAL(103,BS_PA_AB[Observaciones])</f>
        <v>2</v>
      </c>
      <c r="BE387" s="18" t="s">
        <v>152</v>
      </c>
      <c r="BG387" s="44">
        <f>+BS_Km12_Li[[#Totals],[Trenes Puntuales]]/BS_Km12_Li[[#Totals],[Trenes Programados]]</f>
        <v>0.92065615319628269</v>
      </c>
      <c r="BH387" s="44">
        <f>+BS_Km12_Li[[#Totals],[Trenes Puntuales]]/BS_Km12_Li[[#Totals],[Trenes Corridos]]</f>
        <v>0.56826872935859551</v>
      </c>
      <c r="BI387" s="44">
        <f>+BS_Km12_Li[[#Totals],[Trenes Corridos]]/BS_Km12_Li[[#Totals],[Trenes Programados]]</f>
        <v>1.6201070121092649</v>
      </c>
      <c r="BJ387" s="40"/>
      <c r="BK387" s="40"/>
      <c r="BL387" s="16">
        <f>SUBTOTAL(109,BS_Km12_Li[Trenes Programados])</f>
        <v>14204</v>
      </c>
      <c r="BM387" s="16">
        <f>SUBTOTAL(109,BS_Km12_Li[Trenes Cancelados])</f>
        <v>799</v>
      </c>
      <c r="BN387" s="16">
        <f>SUBTOTAL(109,BS_Km12_Li[Trenes Corridos])</f>
        <v>23012</v>
      </c>
      <c r="BO387" s="16">
        <f>SUBTOTAL(109,BS_Km12_Li[Trenes Puntuales])</f>
        <v>13077</v>
      </c>
      <c r="BP387" s="16">
        <f>SUBTOTAL(109,BS_Km12_Li[Trenes Atrasados])</f>
        <v>328</v>
      </c>
      <c r="BQ387" s="18">
        <f>SUBTOTAL(103,BS_Km12_Li[Observaciones])</f>
        <v>47</v>
      </c>
      <c r="BS387" s="18" t="s">
        <v>152</v>
      </c>
      <c r="BU387" s="44">
        <f>+BS_GC_MP_Vill[[#Totals],[Trenes Puntuales]]/BS_GC_MP_Vill[[#Totals],[Trenes Programados]]</f>
        <v>0.82999660671869702</v>
      </c>
      <c r="BV387" s="44">
        <f>+BS_GC_MP_Vill[[#Totals],[Trenes Puntuales]]/BS_GC_MP_Vill[[#Totals],[Trenes Corridos]]</f>
        <v>0.85560374982510146</v>
      </c>
      <c r="BW387" s="44">
        <f>+BS_GC_MP_Vill[[#Totals],[Trenes Corridos]]/BS_GC_MP_Vill[[#Totals],[Trenes Programados]]</f>
        <v>0.97007125890736345</v>
      </c>
      <c r="BX387" s="40"/>
      <c r="BY387" s="40"/>
      <c r="BZ387" s="16">
        <f>SUBTOTAL(109,BS_GC_MP_Vill[Trenes Programados])</f>
        <v>14735</v>
      </c>
      <c r="CA387" s="16">
        <f>SUBTOTAL(109,BS_GC_MP_Vill[Trenes Cancelados])</f>
        <v>441</v>
      </c>
      <c r="CB387" s="16">
        <f>SUBTOTAL(109,BS_GC_MP_Vill[Trenes Corridos])</f>
        <v>14294</v>
      </c>
      <c r="CC387" s="16">
        <f>SUBTOTAL(109,BS_GC_MP_Vill[Trenes Puntuales])</f>
        <v>12230</v>
      </c>
      <c r="CD387" s="16">
        <f>SUBTOTAL(109,BS_GC_MP_Vill[Trenes Atrasados])</f>
        <v>2289</v>
      </c>
      <c r="CE387" s="18">
        <f>SUBTOTAL(103,BS_GC_MP_Vill[Observaciones])</f>
        <v>4</v>
      </c>
      <c r="CG387" s="18" t="s">
        <v>152</v>
      </c>
      <c r="CI387" s="44">
        <f>+BS_TJOFRE_MER[[#Totals],[Trenes Puntuales]]/BS_TJOFRE_MER[[#Totals],[Trenes Programados]]</f>
        <v>0.47983870967741937</v>
      </c>
      <c r="CJ387" s="44">
        <f>+BS_TJOFRE_MER[[#Totals],[Trenes Puntuales]]/BS_TJOFRE_MER[[#Totals],[Trenes Corridos]]</f>
        <v>0.66111111111111109</v>
      </c>
      <c r="CK387" s="44">
        <f>+BS_TJOFRE_MER[[#Totals],[Trenes Corridos]]/BS_TJOFRE_MER[[#Totals],[Trenes Programados]]</f>
        <v>0.72580645161290325</v>
      </c>
      <c r="CL387" s="40"/>
      <c r="CM387" s="40"/>
      <c r="CN387" s="16">
        <f>SUBTOTAL(109,BS_TJOFRE_MER[Trenes Programados])</f>
        <v>248</v>
      </c>
      <c r="CO387" s="16">
        <f>SUBTOTAL(109,BS_TJOFRE_MER[Trenes Cancelados])</f>
        <v>68</v>
      </c>
      <c r="CP387" s="16">
        <f>SUBTOTAL(109,BS_TJOFRE_MER[Trenes Corridos])</f>
        <v>180</v>
      </c>
      <c r="CQ387" s="16">
        <f>SUBTOTAL(109,BS_TJOFRE_MER[Trenes Puntuales])</f>
        <v>119</v>
      </c>
      <c r="CR387" s="16">
        <f>SUBTOTAL(109,BS_TJOFRE_MER[Trenes Atrasados])</f>
        <v>61</v>
      </c>
      <c r="CS387" s="18">
        <f>SUBTOTAL(103,BS_TJOFRE_MER[Observaciones])</f>
        <v>6</v>
      </c>
    </row>
    <row r="388" spans="1:97" s="18" customFormat="1" ht="15" customHeight="1">
      <c r="A388" s="2"/>
      <c r="B388" s="2"/>
      <c r="C388" s="195"/>
      <c r="D388" s="195"/>
      <c r="E388" s="195"/>
      <c r="F388" s="196"/>
      <c r="G388" s="3"/>
      <c r="H388" s="196"/>
      <c r="I388" s="197"/>
      <c r="J388" s="196"/>
      <c r="K388" s="196"/>
      <c r="L388" s="197"/>
      <c r="M388" s="3"/>
      <c r="Q388" s="44"/>
      <c r="R388" s="44"/>
      <c r="S388" s="44"/>
      <c r="T388" s="40"/>
      <c r="U388" s="40"/>
      <c r="V388" s="16"/>
      <c r="W388" s="16"/>
      <c r="X388" s="16"/>
      <c r="Y388" s="16"/>
      <c r="Z388" s="16"/>
      <c r="AA388" s="40"/>
      <c r="AE388" s="44"/>
      <c r="AF388" s="44"/>
      <c r="AG388" s="44"/>
      <c r="AH388" s="40"/>
      <c r="AI388" s="40"/>
      <c r="AJ388" s="16"/>
      <c r="AK388" s="16"/>
      <c r="AL388" s="16"/>
      <c r="AM388" s="16"/>
      <c r="AN388" s="16"/>
      <c r="AO388" s="40"/>
      <c r="AS388" s="44"/>
      <c r="AT388" s="44"/>
      <c r="AU388" s="44"/>
      <c r="AV388" s="40"/>
      <c r="AW388" s="40"/>
      <c r="AX388" s="16"/>
      <c r="AY388" s="16"/>
      <c r="AZ388" s="16"/>
      <c r="BA388" s="16"/>
      <c r="BB388" s="16"/>
      <c r="BC388" s="40"/>
      <c r="BG388" s="44"/>
      <c r="BH388" s="44"/>
      <c r="BI388" s="44"/>
      <c r="BJ388" s="40"/>
      <c r="BK388" s="40"/>
      <c r="BL388" s="16"/>
      <c r="BM388" s="16"/>
      <c r="BN388" s="16"/>
      <c r="BO388" s="16"/>
      <c r="BP388" s="16"/>
      <c r="BU388" s="44"/>
      <c r="BV388" s="44"/>
      <c r="BW388" s="44"/>
      <c r="BX388" s="40"/>
      <c r="BY388" s="40"/>
      <c r="BZ388" s="16"/>
      <c r="CA388" s="16"/>
      <c r="CB388" s="16"/>
      <c r="CC388" s="16"/>
      <c r="CD388" s="16"/>
      <c r="CI388" s="44"/>
      <c r="CJ388" s="44"/>
      <c r="CK388" s="44"/>
      <c r="CL388" s="40"/>
      <c r="CM388" s="40"/>
      <c r="CN388" s="16"/>
      <c r="CO388" s="16"/>
      <c r="CP388" s="16"/>
      <c r="CQ388" s="16"/>
      <c r="CR388" s="16"/>
    </row>
    <row r="389" spans="1:97" s="18" customFormat="1" ht="15" customHeight="1">
      <c r="A389" s="2"/>
      <c r="B389" s="2"/>
      <c r="C389" s="195"/>
      <c r="D389" s="195"/>
      <c r="E389" s="195"/>
      <c r="F389" s="196"/>
      <c r="G389" s="3"/>
      <c r="H389" s="196"/>
      <c r="I389" s="197"/>
      <c r="J389" s="196"/>
      <c r="K389" s="196"/>
      <c r="L389" s="197"/>
      <c r="M389" s="3"/>
      <c r="Q389" s="44"/>
      <c r="R389" s="44"/>
      <c r="S389" s="44"/>
      <c r="T389" s="40"/>
      <c r="U389" s="40"/>
      <c r="V389" s="16"/>
      <c r="W389" s="16"/>
      <c r="X389" s="16"/>
      <c r="Y389" s="16"/>
      <c r="Z389" s="16"/>
      <c r="AA389" s="40"/>
      <c r="AE389" s="44"/>
      <c r="AF389" s="44"/>
      <c r="AG389" s="44"/>
      <c r="AH389" s="40"/>
      <c r="AI389" s="40"/>
      <c r="AJ389" s="16"/>
      <c r="AK389" s="16"/>
      <c r="AL389" s="16"/>
      <c r="AM389" s="16"/>
      <c r="AN389" s="16"/>
      <c r="AO389" s="40"/>
      <c r="AS389" s="44"/>
      <c r="AT389" s="44"/>
      <c r="AU389" s="44"/>
      <c r="AV389" s="40"/>
      <c r="AW389" s="40"/>
      <c r="AX389" s="16"/>
      <c r="AY389" s="16"/>
      <c r="AZ389" s="16"/>
      <c r="BA389" s="16"/>
      <c r="BB389" s="16"/>
      <c r="BC389" s="40"/>
      <c r="BG389" s="44"/>
      <c r="BH389" s="44"/>
      <c r="BI389" s="44"/>
      <c r="BJ389" s="40"/>
      <c r="BK389" s="40"/>
      <c r="BL389" s="16"/>
      <c r="BM389" s="16"/>
      <c r="BN389" s="16"/>
      <c r="BO389" s="16"/>
      <c r="BP389" s="16"/>
      <c r="BU389" s="44"/>
      <c r="BV389" s="44"/>
      <c r="BW389" s="44"/>
      <c r="BX389" s="40"/>
      <c r="BY389" s="40"/>
      <c r="BZ389" s="16"/>
      <c r="CA389" s="16"/>
      <c r="CB389" s="16"/>
      <c r="CC389" s="16"/>
      <c r="CD389" s="16"/>
      <c r="CI389" s="44"/>
      <c r="CJ389" s="44"/>
      <c r="CK389" s="44"/>
      <c r="CL389" s="40"/>
      <c r="CM389" s="40"/>
      <c r="CN389" s="16"/>
      <c r="CO389" s="16"/>
      <c r="CP389" s="16"/>
      <c r="CQ389" s="16"/>
      <c r="CR389" s="16"/>
    </row>
    <row r="390" spans="1:97" s="18" customFormat="1" ht="15" customHeight="1">
      <c r="A390" s="2"/>
      <c r="B390" s="2"/>
      <c r="C390" s="195"/>
      <c r="D390" s="195"/>
      <c r="E390" s="195"/>
      <c r="F390" s="196"/>
      <c r="G390" s="3"/>
      <c r="H390" s="196"/>
      <c r="I390" s="197"/>
      <c r="J390" s="196"/>
      <c r="K390" s="196"/>
      <c r="L390" s="197"/>
      <c r="M390" s="3"/>
      <c r="Q390" s="44"/>
      <c r="R390" s="44"/>
      <c r="S390" s="44"/>
      <c r="T390" s="40"/>
      <c r="U390" s="40"/>
      <c r="V390" s="16"/>
      <c r="W390" s="16"/>
      <c r="X390" s="16"/>
      <c r="Y390" s="16"/>
      <c r="Z390" s="16"/>
      <c r="AA390" s="40"/>
      <c r="AE390" s="44"/>
      <c r="AF390" s="44"/>
      <c r="AG390" s="44"/>
      <c r="AH390" s="40"/>
      <c r="AI390" s="40"/>
      <c r="AJ390" s="16"/>
      <c r="AK390" s="16"/>
      <c r="AL390" s="16"/>
      <c r="AM390" s="16"/>
      <c r="AN390" s="16"/>
      <c r="AO390" s="40"/>
      <c r="AS390" s="44"/>
      <c r="AT390" s="44"/>
      <c r="AU390" s="44"/>
      <c r="AV390" s="40"/>
      <c r="AW390" s="40"/>
      <c r="AX390" s="16"/>
      <c r="AY390" s="16"/>
      <c r="AZ390" s="16"/>
      <c r="BA390" s="16"/>
      <c r="BB390" s="16"/>
      <c r="BC390" s="40"/>
      <c r="BG390" s="44"/>
      <c r="BH390" s="44"/>
      <c r="BI390" s="44"/>
      <c r="BJ390" s="40"/>
      <c r="BK390" s="40"/>
      <c r="BL390" s="16"/>
      <c r="BM390" s="16"/>
      <c r="BN390" s="16"/>
      <c r="BO390" s="16"/>
      <c r="BP390" s="16"/>
      <c r="BU390" s="44"/>
      <c r="BV390" s="44"/>
      <c r="BW390" s="44"/>
      <c r="BX390" s="40"/>
      <c r="BY390" s="40"/>
      <c r="BZ390" s="16"/>
      <c r="CA390" s="16"/>
      <c r="CB390" s="16"/>
      <c r="CC390" s="16"/>
      <c r="CD390" s="16"/>
      <c r="CI390" s="44"/>
      <c r="CJ390" s="44"/>
      <c r="CK390" s="44"/>
      <c r="CL390" s="40"/>
      <c r="CM390" s="40"/>
      <c r="CN390" s="16"/>
      <c r="CO390" s="16"/>
      <c r="CP390" s="16"/>
      <c r="CQ390" s="16"/>
      <c r="CR390" s="16"/>
    </row>
    <row r="391" spans="1:97" s="18" customFormat="1" ht="15" customHeight="1">
      <c r="A391" s="2"/>
      <c r="B391" s="2"/>
      <c r="C391" s="195"/>
      <c r="D391" s="195"/>
      <c r="E391" s="195"/>
      <c r="F391" s="196"/>
      <c r="G391" s="3"/>
      <c r="H391" s="196"/>
      <c r="I391" s="197"/>
      <c r="J391" s="196"/>
      <c r="K391" s="196"/>
      <c r="L391" s="197"/>
      <c r="M391" s="3"/>
      <c r="Q391" s="44"/>
      <c r="R391" s="44"/>
      <c r="S391" s="44"/>
      <c r="T391" s="40"/>
      <c r="U391" s="40"/>
      <c r="V391" s="16"/>
      <c r="W391" s="16"/>
      <c r="X391" s="16"/>
      <c r="Y391" s="16"/>
      <c r="Z391" s="16"/>
      <c r="AA391" s="40"/>
      <c r="AE391" s="44"/>
      <c r="AF391" s="44"/>
      <c r="AG391" s="44"/>
      <c r="AH391" s="40"/>
      <c r="AI391" s="40"/>
      <c r="AJ391" s="16"/>
      <c r="AK391" s="16"/>
      <c r="AL391" s="16"/>
      <c r="AM391" s="16"/>
      <c r="AN391" s="16"/>
      <c r="AO391" s="40"/>
      <c r="AS391" s="44"/>
      <c r="AT391" s="44"/>
      <c r="AU391" s="44"/>
      <c r="AV391" s="40"/>
      <c r="AW391" s="40"/>
      <c r="AX391" s="16"/>
      <c r="AY391" s="16"/>
      <c r="AZ391" s="16"/>
      <c r="BA391" s="16"/>
      <c r="BB391" s="16"/>
      <c r="BC391" s="40"/>
      <c r="BG391" s="44"/>
      <c r="BH391" s="44"/>
      <c r="BI391" s="44"/>
      <c r="BJ391" s="40"/>
      <c r="BK391" s="40"/>
      <c r="BL391" s="16"/>
      <c r="BM391" s="16"/>
      <c r="BN391" s="16"/>
      <c r="BO391" s="16"/>
      <c r="BP391" s="16"/>
      <c r="BU391" s="44"/>
      <c r="BV391" s="44"/>
      <c r="BW391" s="44"/>
      <c r="BX391" s="40"/>
      <c r="BY391" s="40"/>
      <c r="BZ391" s="16"/>
      <c r="CA391" s="16"/>
      <c r="CB391" s="16"/>
      <c r="CC391" s="16"/>
      <c r="CD391" s="16"/>
      <c r="CI391" s="44"/>
      <c r="CJ391" s="44"/>
      <c r="CK391" s="44"/>
      <c r="CL391" s="40"/>
      <c r="CM391" s="40"/>
      <c r="CN391" s="16"/>
      <c r="CO391" s="16"/>
      <c r="CP391" s="16"/>
      <c r="CQ391" s="16"/>
      <c r="CR391" s="16"/>
    </row>
    <row r="392" spans="1:97" s="18" customFormat="1" ht="15" customHeight="1">
      <c r="A392" s="2"/>
      <c r="B392" s="2"/>
      <c r="C392" s="195"/>
      <c r="D392" s="195"/>
      <c r="E392" s="195"/>
      <c r="F392" s="196"/>
      <c r="G392" s="3"/>
      <c r="H392" s="196"/>
      <c r="I392" s="197"/>
      <c r="J392" s="196"/>
      <c r="K392" s="196"/>
      <c r="L392" s="197"/>
      <c r="M392" s="3"/>
      <c r="Q392" s="44"/>
      <c r="R392" s="44"/>
      <c r="S392" s="44"/>
      <c r="T392" s="40"/>
      <c r="U392" s="40"/>
      <c r="V392" s="16"/>
      <c r="W392" s="16"/>
      <c r="X392" s="16"/>
      <c r="Y392" s="16"/>
      <c r="Z392" s="16"/>
      <c r="AA392" s="40"/>
      <c r="AE392" s="44"/>
      <c r="AF392" s="44"/>
      <c r="AG392" s="44"/>
      <c r="AH392" s="40"/>
      <c r="AI392" s="40"/>
      <c r="AJ392" s="16"/>
      <c r="AK392" s="16"/>
      <c r="AL392" s="16"/>
      <c r="AM392" s="16"/>
      <c r="AN392" s="16"/>
      <c r="AO392" s="40"/>
      <c r="AS392" s="44"/>
      <c r="AT392" s="44"/>
      <c r="AU392" s="44"/>
      <c r="AV392" s="40"/>
      <c r="AW392" s="40"/>
      <c r="AX392" s="16"/>
      <c r="AY392" s="16"/>
      <c r="AZ392" s="16"/>
      <c r="BA392" s="16"/>
      <c r="BB392" s="16"/>
      <c r="BC392" s="40"/>
      <c r="BG392" s="44"/>
      <c r="BH392" s="44"/>
      <c r="BI392" s="44"/>
      <c r="BJ392" s="40"/>
      <c r="BK392" s="40"/>
      <c r="BL392" s="16"/>
      <c r="BM392" s="16"/>
      <c r="BN392" s="16"/>
      <c r="BO392" s="16"/>
      <c r="BP392" s="16"/>
      <c r="BU392" s="44"/>
      <c r="BV392" s="44"/>
      <c r="BW392" s="44"/>
      <c r="BX392" s="40"/>
      <c r="BY392" s="40"/>
      <c r="BZ392" s="16"/>
      <c r="CA392" s="16"/>
      <c r="CB392" s="16"/>
      <c r="CC392" s="16"/>
      <c r="CD392" s="16"/>
      <c r="CI392" s="44"/>
      <c r="CJ392" s="44"/>
      <c r="CK392" s="44"/>
      <c r="CL392" s="40"/>
      <c r="CM392" s="40"/>
      <c r="CN392" s="16"/>
      <c r="CO392" s="16"/>
      <c r="CP392" s="16"/>
      <c r="CQ392" s="16"/>
      <c r="CR392" s="16"/>
    </row>
    <row r="393" spans="1:97" s="18" customFormat="1" ht="15" customHeight="1">
      <c r="A393" s="2"/>
      <c r="B393" s="2"/>
      <c r="C393" s="195"/>
      <c r="D393" s="195"/>
      <c r="E393" s="195"/>
      <c r="F393" s="196"/>
      <c r="G393" s="3"/>
      <c r="H393" s="196"/>
      <c r="I393" s="197"/>
      <c r="J393" s="196"/>
      <c r="K393" s="196"/>
      <c r="L393" s="197"/>
      <c r="M393" s="3"/>
      <c r="Q393" s="44"/>
      <c r="R393" s="44"/>
      <c r="S393" s="44"/>
      <c r="T393" s="40"/>
      <c r="U393" s="40"/>
      <c r="V393" s="16"/>
      <c r="W393" s="16"/>
      <c r="X393" s="16"/>
      <c r="Y393" s="16"/>
      <c r="Z393" s="16"/>
      <c r="AA393" s="40"/>
      <c r="AE393" s="44"/>
      <c r="AF393" s="44"/>
      <c r="AG393" s="44"/>
      <c r="AH393" s="40"/>
      <c r="AI393" s="40"/>
      <c r="AJ393" s="16"/>
      <c r="AK393" s="16"/>
      <c r="AL393" s="16"/>
      <c r="AM393" s="16"/>
      <c r="AN393" s="16"/>
      <c r="AO393" s="40"/>
      <c r="AS393" s="44"/>
      <c r="AT393" s="44"/>
      <c r="AU393" s="44"/>
      <c r="AV393" s="40"/>
      <c r="AW393" s="40"/>
      <c r="AX393" s="16"/>
      <c r="AY393" s="16"/>
      <c r="AZ393" s="16"/>
      <c r="BA393" s="16"/>
      <c r="BB393" s="16"/>
      <c r="BC393" s="40"/>
      <c r="BG393" s="44"/>
      <c r="BH393" s="44"/>
      <c r="BI393" s="44"/>
      <c r="BJ393" s="40"/>
      <c r="BK393" s="40"/>
      <c r="BL393" s="16"/>
      <c r="BM393" s="16"/>
      <c r="BN393" s="16"/>
      <c r="BO393" s="16"/>
      <c r="BP393" s="16"/>
      <c r="BU393" s="44"/>
      <c r="BV393" s="44"/>
      <c r="BW393" s="44"/>
      <c r="BX393" s="40"/>
      <c r="BY393" s="40"/>
      <c r="BZ393" s="16"/>
      <c r="CA393" s="16"/>
      <c r="CB393" s="16"/>
      <c r="CC393" s="16"/>
      <c r="CD393" s="16"/>
      <c r="CI393" s="44"/>
      <c r="CJ393" s="44"/>
      <c r="CK393" s="44"/>
      <c r="CL393" s="40"/>
      <c r="CM393" s="40"/>
      <c r="CN393" s="16"/>
      <c r="CO393" s="16"/>
      <c r="CP393" s="16"/>
      <c r="CQ393" s="16"/>
      <c r="CR393" s="16"/>
    </row>
    <row r="394" spans="1:97" s="74" customFormat="1" ht="45" customHeight="1">
      <c r="A394" s="18"/>
      <c r="B394" s="18"/>
      <c r="C394" s="18"/>
      <c r="D394" s="18"/>
      <c r="E394" s="18"/>
      <c r="F394" s="18"/>
      <c r="G394" s="18"/>
      <c r="H394" s="18"/>
      <c r="I394" s="18"/>
      <c r="J394" s="18"/>
      <c r="K394" s="18"/>
      <c r="L394" s="18"/>
      <c r="M394" s="18"/>
      <c r="O394" s="18"/>
      <c r="P394" s="18"/>
      <c r="Q394" s="18"/>
      <c r="R394" s="18"/>
      <c r="S394" s="18"/>
      <c r="T394" s="18"/>
      <c r="U394" s="18"/>
      <c r="V394" s="18"/>
      <c r="W394" s="18"/>
      <c r="X394" s="18"/>
      <c r="Y394" s="18"/>
      <c r="Z394" s="18"/>
      <c r="AA394" s="18"/>
      <c r="AC394" s="18"/>
      <c r="AD394" s="18"/>
      <c r="AE394" s="18"/>
      <c r="AF394" s="18"/>
      <c r="AG394" s="18"/>
      <c r="AH394" s="18"/>
      <c r="AI394" s="18"/>
      <c r="AJ394" s="18"/>
      <c r="AK394" s="18"/>
      <c r="AL394" s="18"/>
      <c r="AM394" s="18"/>
      <c r="AN394" s="18"/>
      <c r="AO394" s="18"/>
      <c r="AQ394" s="18"/>
      <c r="AR394" s="18"/>
      <c r="AS394" s="18"/>
      <c r="AT394" s="18"/>
      <c r="AU394" s="18"/>
      <c r="AV394" s="18"/>
      <c r="AW394" s="18"/>
      <c r="AX394" s="18"/>
      <c r="AY394" s="18"/>
      <c r="AZ394" s="18"/>
      <c r="BA394" s="18"/>
      <c r="BB394" s="18"/>
      <c r="BC394" s="18"/>
      <c r="BE394" s="18"/>
      <c r="BF394" s="18"/>
      <c r="BG394" s="18"/>
      <c r="BH394" s="18"/>
      <c r="BI394" s="18"/>
      <c r="BJ394" s="18"/>
      <c r="BK394" s="18"/>
      <c r="BL394" s="18"/>
      <c r="BM394" s="18"/>
      <c r="BN394" s="18"/>
      <c r="BO394" s="18"/>
      <c r="BP394" s="18"/>
      <c r="BQ394" s="18"/>
      <c r="BS394" s="18"/>
      <c r="BT394" s="18"/>
      <c r="BU394" s="18"/>
      <c r="BV394" s="18"/>
      <c r="BW394" s="18"/>
      <c r="BX394" s="18"/>
      <c r="BY394" s="18"/>
      <c r="BZ394" s="18"/>
      <c r="CA394" s="18"/>
      <c r="CB394" s="18"/>
      <c r="CC394" s="18"/>
      <c r="CD394" s="18"/>
      <c r="CE394" s="18"/>
    </row>
    <row r="395" spans="1:97" s="18" customFormat="1" ht="38.25">
      <c r="A395" s="187" t="s">
        <v>107</v>
      </c>
      <c r="B395" s="71" t="s">
        <v>116</v>
      </c>
      <c r="C395" s="71" t="s">
        <v>117</v>
      </c>
      <c r="D395" s="71" t="s">
        <v>118</v>
      </c>
      <c r="E395" s="71" t="s">
        <v>120</v>
      </c>
      <c r="F395" s="71" t="s">
        <v>119</v>
      </c>
      <c r="G395" s="74"/>
      <c r="H395" s="74"/>
      <c r="I395" s="74"/>
      <c r="J395" s="74"/>
      <c r="K395" s="74"/>
      <c r="L395" s="74"/>
      <c r="M395" s="74"/>
      <c r="O395" s="74"/>
      <c r="P395" s="74"/>
      <c r="Q395" s="74"/>
      <c r="R395" s="74"/>
      <c r="S395" s="74"/>
      <c r="T395" s="74"/>
      <c r="U395" s="74"/>
      <c r="V395" s="74"/>
      <c r="W395" s="74"/>
      <c r="X395" s="74"/>
      <c r="Y395" s="74"/>
      <c r="Z395" s="74"/>
      <c r="AA395" s="74"/>
      <c r="AC395" s="74"/>
      <c r="AD395" s="74"/>
      <c r="AE395" s="74"/>
      <c r="AF395" s="74"/>
      <c r="AG395" s="74"/>
      <c r="AH395" s="74"/>
      <c r="AI395" s="74"/>
      <c r="AJ395" s="74"/>
      <c r="AK395" s="74"/>
      <c r="AL395" s="74"/>
      <c r="AM395" s="74"/>
      <c r="AN395" s="74"/>
      <c r="AO395" s="74"/>
      <c r="AQ395" s="74"/>
      <c r="AR395" s="74"/>
      <c r="AS395" s="74"/>
      <c r="AT395" s="74"/>
      <c r="AU395" s="74"/>
      <c r="AV395" s="74"/>
      <c r="AW395" s="74"/>
      <c r="AX395" s="74"/>
      <c r="AY395" s="74"/>
      <c r="AZ395" s="74"/>
      <c r="BA395" s="74"/>
      <c r="BB395" s="74"/>
      <c r="BC395" s="74"/>
      <c r="BE395" s="74"/>
      <c r="BF395" s="74"/>
      <c r="BG395" s="74"/>
      <c r="BH395" s="74"/>
      <c r="BI395" s="74"/>
      <c r="BJ395" s="74"/>
      <c r="BK395" s="74"/>
      <c r="BL395" s="74"/>
      <c r="BM395" s="74"/>
      <c r="BN395" s="74"/>
      <c r="BO395" s="74"/>
      <c r="BP395" s="74"/>
      <c r="BQ395" s="74"/>
      <c r="BS395" s="74"/>
      <c r="BT395" s="74"/>
      <c r="BU395" s="74"/>
      <c r="BV395" s="74"/>
      <c r="BW395" s="74"/>
      <c r="BX395" s="74"/>
      <c r="BY395" s="74"/>
      <c r="BZ395" s="74"/>
      <c r="CA395" s="74"/>
      <c r="CB395" s="74"/>
      <c r="CC395" s="74"/>
      <c r="CD395" s="74"/>
      <c r="CE395" s="74"/>
    </row>
    <row r="396" spans="1:97" s="18" customFormat="1" ht="15" customHeight="1">
      <c r="A396" s="188">
        <v>1993</v>
      </c>
      <c r="B396" s="186">
        <v>47528</v>
      </c>
      <c r="C396" s="186">
        <v>19104</v>
      </c>
      <c r="D396" s="186">
        <v>28424</v>
      </c>
      <c r="E396" s="186">
        <v>21955</v>
      </c>
      <c r="F396" s="186">
        <v>6469</v>
      </c>
    </row>
    <row r="397" spans="1:97" s="18" customFormat="1" ht="15" customHeight="1">
      <c r="A397" s="188">
        <v>1994</v>
      </c>
      <c r="B397" s="186">
        <v>36812</v>
      </c>
      <c r="C397" s="186">
        <v>7716</v>
      </c>
      <c r="D397" s="186">
        <v>29096</v>
      </c>
      <c r="E397" s="186">
        <v>25937</v>
      </c>
      <c r="F397" s="186">
        <v>3159</v>
      </c>
    </row>
    <row r="398" spans="1:97" s="18" customFormat="1" ht="15" customHeight="1">
      <c r="A398" s="188">
        <v>1995</v>
      </c>
      <c r="B398" s="186">
        <v>40596</v>
      </c>
      <c r="C398" s="186">
        <v>423</v>
      </c>
      <c r="D398" s="186">
        <v>40173</v>
      </c>
      <c r="E398" s="186">
        <v>39569</v>
      </c>
      <c r="F398" s="186">
        <v>604</v>
      </c>
    </row>
    <row r="399" spans="1:97" s="18" customFormat="1" ht="15" customHeight="1">
      <c r="A399" s="188">
        <v>1996</v>
      </c>
      <c r="B399" s="186">
        <v>49149</v>
      </c>
      <c r="C399" s="186">
        <v>621</v>
      </c>
      <c r="D399" s="186">
        <v>48528</v>
      </c>
      <c r="E399" s="186">
        <v>46697</v>
      </c>
      <c r="F399" s="186">
        <v>1831</v>
      </c>
    </row>
    <row r="400" spans="1:97" s="18" customFormat="1" ht="15" customHeight="1">
      <c r="A400" s="188">
        <v>1997</v>
      </c>
      <c r="B400" s="186">
        <v>51329</v>
      </c>
      <c r="C400" s="186">
        <v>202</v>
      </c>
      <c r="D400" s="186">
        <v>51127</v>
      </c>
      <c r="E400" s="186">
        <v>50851</v>
      </c>
      <c r="F400" s="186">
        <v>276</v>
      </c>
    </row>
    <row r="401" spans="1:6" s="18" customFormat="1" ht="15" customHeight="1">
      <c r="A401" s="188">
        <v>1998</v>
      </c>
      <c r="B401" s="186">
        <v>71076</v>
      </c>
      <c r="C401" s="186">
        <v>573</v>
      </c>
      <c r="D401" s="186">
        <v>70503</v>
      </c>
      <c r="E401" s="186">
        <v>70116</v>
      </c>
      <c r="F401" s="186">
        <v>387</v>
      </c>
    </row>
    <row r="402" spans="1:6" s="18" customFormat="1" ht="15" customHeight="1">
      <c r="A402" s="188">
        <v>1999</v>
      </c>
      <c r="B402" s="186">
        <v>74442</v>
      </c>
      <c r="C402" s="186">
        <v>235</v>
      </c>
      <c r="D402" s="186">
        <v>74207</v>
      </c>
      <c r="E402" s="186">
        <v>73648</v>
      </c>
      <c r="F402" s="186">
        <v>559</v>
      </c>
    </row>
    <row r="403" spans="1:6" s="18" customFormat="1" ht="15" customHeight="1">
      <c r="A403" s="188">
        <v>2000</v>
      </c>
      <c r="B403" s="186">
        <v>78148</v>
      </c>
      <c r="C403" s="186">
        <v>964</v>
      </c>
      <c r="D403" s="186">
        <v>77184</v>
      </c>
      <c r="E403" s="186">
        <v>76318</v>
      </c>
      <c r="F403" s="186">
        <v>866</v>
      </c>
    </row>
    <row r="404" spans="1:6" s="18" customFormat="1" ht="15" customHeight="1">
      <c r="A404" s="188">
        <v>2001</v>
      </c>
      <c r="B404" s="186">
        <v>82777</v>
      </c>
      <c r="C404" s="186">
        <v>4079</v>
      </c>
      <c r="D404" s="186">
        <v>78698</v>
      </c>
      <c r="E404" s="186">
        <v>77094</v>
      </c>
      <c r="F404" s="186">
        <v>1604</v>
      </c>
    </row>
    <row r="405" spans="1:6" s="18" customFormat="1" ht="15" customHeight="1">
      <c r="A405" s="188">
        <v>2002</v>
      </c>
      <c r="B405" s="186">
        <v>78235</v>
      </c>
      <c r="C405" s="186">
        <v>23147</v>
      </c>
      <c r="D405" s="186">
        <v>55088</v>
      </c>
      <c r="E405" s="186">
        <v>54565</v>
      </c>
      <c r="F405" s="186">
        <v>523</v>
      </c>
    </row>
    <row r="406" spans="1:6" s="18" customFormat="1" ht="15" customHeight="1">
      <c r="A406" s="188">
        <v>2003</v>
      </c>
      <c r="B406" s="186">
        <v>66632</v>
      </c>
      <c r="C406" s="186">
        <v>13418</v>
      </c>
      <c r="D406" s="186">
        <v>53214</v>
      </c>
      <c r="E406" s="186">
        <v>51661</v>
      </c>
      <c r="F406" s="186">
        <v>1553</v>
      </c>
    </row>
    <row r="407" spans="1:6" s="18" customFormat="1" ht="15" customHeight="1">
      <c r="A407" s="188">
        <v>2004</v>
      </c>
      <c r="B407" s="186">
        <v>60057</v>
      </c>
      <c r="C407" s="186">
        <v>10000</v>
      </c>
      <c r="D407" s="186">
        <v>50057</v>
      </c>
      <c r="E407" s="186">
        <v>46895</v>
      </c>
      <c r="F407" s="186">
        <v>3162</v>
      </c>
    </row>
    <row r="408" spans="1:6" s="18" customFormat="1" ht="15" customHeight="1">
      <c r="A408" s="188">
        <v>2005</v>
      </c>
      <c r="B408" s="186">
        <v>50270</v>
      </c>
      <c r="C408" s="186">
        <v>2294</v>
      </c>
      <c r="D408" s="186">
        <v>47976</v>
      </c>
      <c r="E408" s="186">
        <v>43561</v>
      </c>
      <c r="F408" s="186">
        <v>4415</v>
      </c>
    </row>
    <row r="409" spans="1:6" s="18" customFormat="1" ht="15" customHeight="1">
      <c r="A409" s="188">
        <v>2006</v>
      </c>
      <c r="B409" s="186">
        <v>50221</v>
      </c>
      <c r="C409" s="186">
        <v>2401</v>
      </c>
      <c r="D409" s="186">
        <v>47820</v>
      </c>
      <c r="E409" s="186">
        <v>43892</v>
      </c>
      <c r="F409" s="186">
        <v>3928</v>
      </c>
    </row>
    <row r="410" spans="1:6" s="18" customFormat="1" ht="15" customHeight="1">
      <c r="A410" s="188">
        <v>2007</v>
      </c>
      <c r="B410" s="186">
        <v>50195</v>
      </c>
      <c r="C410" s="186">
        <v>3746</v>
      </c>
      <c r="D410" s="186">
        <v>46449</v>
      </c>
      <c r="E410" s="186">
        <v>43473</v>
      </c>
      <c r="F410" s="186">
        <v>2976</v>
      </c>
    </row>
    <row r="411" spans="1:6" s="18" customFormat="1" ht="15" customHeight="1">
      <c r="A411" s="188">
        <v>2008</v>
      </c>
      <c r="B411" s="186">
        <v>53659</v>
      </c>
      <c r="C411" s="186">
        <v>1974</v>
      </c>
      <c r="D411" s="186">
        <v>51685</v>
      </c>
      <c r="E411" s="186">
        <v>47995</v>
      </c>
      <c r="F411" s="186">
        <v>3690</v>
      </c>
    </row>
    <row r="412" spans="1:6" s="18" customFormat="1" ht="15" customHeight="1">
      <c r="A412" s="188">
        <v>2009</v>
      </c>
      <c r="B412" s="186">
        <v>56956</v>
      </c>
      <c r="C412" s="186">
        <v>2665</v>
      </c>
      <c r="D412" s="186">
        <v>54291</v>
      </c>
      <c r="E412" s="186">
        <v>45306</v>
      </c>
      <c r="F412" s="186">
        <v>8985</v>
      </c>
    </row>
    <row r="413" spans="1:6" s="18" customFormat="1" ht="15" customHeight="1">
      <c r="A413" s="188">
        <v>2010</v>
      </c>
      <c r="B413" s="186">
        <v>56898</v>
      </c>
      <c r="C413" s="186">
        <v>2214</v>
      </c>
      <c r="D413" s="186">
        <v>54684</v>
      </c>
      <c r="E413" s="186">
        <v>48746</v>
      </c>
      <c r="F413" s="186">
        <v>5938</v>
      </c>
    </row>
    <row r="414" spans="1:6" s="18" customFormat="1" ht="15" customHeight="1">
      <c r="A414" s="188">
        <v>2011</v>
      </c>
      <c r="B414" s="186">
        <v>56881</v>
      </c>
      <c r="C414" s="186">
        <v>1493</v>
      </c>
      <c r="D414" s="186">
        <v>55388</v>
      </c>
      <c r="E414" s="186">
        <v>52531</v>
      </c>
      <c r="F414" s="186">
        <v>2857</v>
      </c>
    </row>
    <row r="415" spans="1:6" s="18" customFormat="1" ht="15" customHeight="1">
      <c r="A415" s="188">
        <v>2012</v>
      </c>
      <c r="B415" s="186">
        <v>59164</v>
      </c>
      <c r="C415" s="186">
        <v>3935</v>
      </c>
      <c r="D415" s="186">
        <v>55229</v>
      </c>
      <c r="E415" s="186">
        <v>50218</v>
      </c>
      <c r="F415" s="186">
        <v>5011</v>
      </c>
    </row>
    <row r="416" spans="1:6" s="18" customFormat="1" ht="15" customHeight="1">
      <c r="A416" s="188">
        <v>2013</v>
      </c>
      <c r="B416" s="186">
        <v>59559</v>
      </c>
      <c r="C416" s="186">
        <v>3181</v>
      </c>
      <c r="D416" s="186">
        <v>56378</v>
      </c>
      <c r="E416" s="186">
        <v>50222</v>
      </c>
      <c r="F416" s="186">
        <v>6156</v>
      </c>
    </row>
    <row r="417" spans="1:6" s="18" customFormat="1" ht="15" customHeight="1">
      <c r="A417" s="188">
        <v>2014</v>
      </c>
      <c r="B417" s="186">
        <v>59541</v>
      </c>
      <c r="C417" s="186">
        <v>5804</v>
      </c>
      <c r="D417" s="186">
        <v>53737</v>
      </c>
      <c r="E417" s="186">
        <v>44551</v>
      </c>
      <c r="F417" s="186">
        <v>9186</v>
      </c>
    </row>
    <row r="418" spans="1:6" s="18" customFormat="1" ht="15" customHeight="1">
      <c r="A418" s="188">
        <v>2015</v>
      </c>
      <c r="B418" s="186">
        <v>59536</v>
      </c>
      <c r="C418" s="186">
        <v>4890</v>
      </c>
      <c r="D418" s="186">
        <v>54646</v>
      </c>
      <c r="E418" s="186">
        <v>42791</v>
      </c>
      <c r="F418" s="186">
        <v>11855</v>
      </c>
    </row>
    <row r="419" spans="1:6" s="18" customFormat="1" ht="15" customHeight="1">
      <c r="A419" s="188">
        <v>2016</v>
      </c>
      <c r="B419" s="186">
        <v>59730</v>
      </c>
      <c r="C419" s="186">
        <v>3740</v>
      </c>
      <c r="D419" s="186">
        <v>55990</v>
      </c>
      <c r="E419" s="186">
        <v>37018</v>
      </c>
      <c r="F419" s="186">
        <v>18972</v>
      </c>
    </row>
    <row r="420" spans="1:6" s="18" customFormat="1" ht="15" customHeight="1">
      <c r="A420" s="188">
        <v>2017</v>
      </c>
      <c r="B420" s="186">
        <v>61484</v>
      </c>
      <c r="C420" s="186">
        <v>3036</v>
      </c>
      <c r="D420" s="186">
        <v>58448</v>
      </c>
      <c r="E420" s="186">
        <v>52468</v>
      </c>
      <c r="F420" s="186">
        <v>5980</v>
      </c>
    </row>
    <row r="421" spans="1:6" s="18" customFormat="1" ht="15" customHeight="1">
      <c r="A421" s="188">
        <v>2018</v>
      </c>
      <c r="B421" s="186">
        <v>63809</v>
      </c>
      <c r="C421" s="186">
        <v>-1771</v>
      </c>
      <c r="D421" s="186">
        <v>65580</v>
      </c>
      <c r="E421" s="186">
        <v>47009</v>
      </c>
      <c r="F421" s="186">
        <v>18571</v>
      </c>
    </row>
    <row r="422" spans="1:6" s="18" customFormat="1" ht="15" customHeight="1">
      <c r="A422" s="188">
        <v>2019</v>
      </c>
      <c r="B422" s="186">
        <v>73023</v>
      </c>
      <c r="C422" s="186">
        <v>2526</v>
      </c>
      <c r="D422" s="186">
        <v>70497</v>
      </c>
      <c r="E422" s="186">
        <v>61397</v>
      </c>
      <c r="F422" s="186">
        <v>9100</v>
      </c>
    </row>
    <row r="423" spans="1:6" s="18" customFormat="1" ht="15" customHeight="1">
      <c r="A423" s="188">
        <v>2020</v>
      </c>
      <c r="B423" s="186">
        <v>56167</v>
      </c>
      <c r="C423" s="186">
        <v>2470</v>
      </c>
      <c r="D423" s="186">
        <v>53697</v>
      </c>
      <c r="E423" s="186">
        <v>49788</v>
      </c>
      <c r="F423" s="186">
        <v>3909</v>
      </c>
    </row>
    <row r="424" spans="1:6" s="18" customFormat="1" ht="15" customHeight="1">
      <c r="A424" s="188">
        <v>2021</v>
      </c>
      <c r="B424" s="186">
        <v>52185</v>
      </c>
      <c r="C424" s="186">
        <v>2865</v>
      </c>
      <c r="D424" s="186">
        <v>49320</v>
      </c>
      <c r="E424" s="186">
        <v>43227</v>
      </c>
      <c r="F424" s="186">
        <v>6093</v>
      </c>
    </row>
    <row r="425" spans="1:6" s="18" customFormat="1" ht="15" customHeight="1">
      <c r="A425" s="188">
        <v>2022</v>
      </c>
      <c r="B425" s="186">
        <v>55581</v>
      </c>
      <c r="C425" s="186">
        <v>2326</v>
      </c>
      <c r="D425" s="186">
        <v>53255</v>
      </c>
      <c r="E425" s="186">
        <v>43494</v>
      </c>
      <c r="F425" s="186">
        <v>9761</v>
      </c>
    </row>
    <row r="426" spans="1:6" s="18" customFormat="1" ht="15" customHeight="1">
      <c r="A426" s="188">
        <v>2023</v>
      </c>
      <c r="B426" s="186">
        <v>54836</v>
      </c>
      <c r="C426" s="186">
        <v>1743</v>
      </c>
      <c r="D426" s="186">
        <v>53093</v>
      </c>
      <c r="E426" s="186">
        <v>43124</v>
      </c>
      <c r="F426" s="186">
        <v>9969</v>
      </c>
    </row>
    <row r="427" spans="1:6" s="18" customFormat="1" ht="15" customHeight="1">
      <c r="A427" s="188">
        <v>2024</v>
      </c>
      <c r="B427" s="186">
        <v>40271</v>
      </c>
      <c r="C427" s="186">
        <v>2949</v>
      </c>
      <c r="D427" s="186">
        <v>37322</v>
      </c>
      <c r="E427" s="186">
        <v>31654</v>
      </c>
      <c r="F427" s="186">
        <v>5668</v>
      </c>
    </row>
    <row r="428" spans="1:6" s="18" customFormat="1" ht="15" customHeight="1"/>
    <row r="429" spans="1:6" s="18" customFormat="1" ht="15" customHeight="1"/>
    <row r="430" spans="1:6" s="18" customFormat="1" ht="15" customHeight="1"/>
    <row r="431" spans="1:6" s="18" customFormat="1" ht="15" customHeight="1"/>
    <row r="432" spans="1:6" s="18" customFormat="1" ht="15" customHeight="1"/>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5" customHeight="1"/>
    <row r="658" s="18" customFormat="1" ht="15" customHeight="1"/>
    <row r="659" s="18" customFormat="1" ht="15" customHeight="1"/>
    <row r="660" s="18" customFormat="1" ht="15" customHeight="1"/>
    <row r="661" s="18" customFormat="1" ht="15" customHeight="1"/>
    <row r="662" s="18" customFormat="1" ht="15" customHeight="1"/>
    <row r="663" s="18" customFormat="1" ht="15" customHeight="1"/>
    <row r="664" s="18" customFormat="1" ht="15" customHeight="1"/>
    <row r="665" s="18" customFormat="1" ht="15" customHeight="1"/>
    <row r="666" s="18" customFormat="1" ht="15" customHeight="1"/>
    <row r="667" s="18" customFormat="1" ht="12.75"/>
    <row r="668" s="18" customFormat="1" ht="12.75"/>
    <row r="669" s="18" customFormat="1" ht="12.75"/>
    <row r="670" s="18" customFormat="1" ht="12.75"/>
    <row r="671" s="18" customFormat="1" ht="12.75"/>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pans="1:83" s="18" customFormat="1" ht="12.75"/>
    <row r="706" spans="1:83" s="18" customFormat="1" ht="12.75"/>
    <row r="707" spans="1:83" s="18" customFormat="1" ht="12.75"/>
    <row r="708" spans="1:83" s="18" customFormat="1" ht="12.75"/>
    <row r="709" spans="1:83" s="18" customFormat="1" ht="12.75"/>
    <row r="710" spans="1:83" s="18" customFormat="1" ht="12.75"/>
    <row r="711" spans="1:83" s="18" customFormat="1" ht="12.75"/>
    <row r="712" spans="1:83" s="18" customFormat="1" ht="12.75"/>
    <row r="713" spans="1:83" s="18" customFormat="1" ht="12.75"/>
    <row r="714" spans="1:83" s="18" customFormat="1" ht="12.75"/>
    <row r="715" spans="1:83" s="18" customFormat="1" ht="12.75"/>
    <row r="716" spans="1:83" s="18" customFormat="1" ht="12.75"/>
    <row r="717" spans="1:83" s="18" customFormat="1" ht="12.75"/>
    <row r="718" spans="1:83" s="18" customFormat="1" ht="12.75"/>
    <row r="719" spans="1:83" s="18" customFormat="1" ht="12.75"/>
    <row r="720" spans="1:83">
      <c r="A720" s="18"/>
      <c r="B720" s="18"/>
      <c r="C720" s="18"/>
      <c r="D720" s="18"/>
      <c r="E720" s="18"/>
      <c r="F720" s="18"/>
      <c r="G720" s="18"/>
      <c r="H720" s="18"/>
      <c r="I720" s="18"/>
      <c r="J720" s="18"/>
      <c r="K720" s="18"/>
      <c r="L720" s="18"/>
      <c r="M720" s="18"/>
      <c r="O720" s="18"/>
      <c r="P720" s="18"/>
      <c r="Q720" s="18"/>
      <c r="R720" s="18"/>
      <c r="S720" s="18"/>
      <c r="T720" s="18"/>
      <c r="U720" s="18"/>
      <c r="V720" s="18"/>
      <c r="W720" s="18"/>
      <c r="X720" s="18"/>
      <c r="Y720" s="18"/>
      <c r="Z720" s="18"/>
      <c r="AA720" s="18"/>
      <c r="AC720" s="18"/>
      <c r="AD720" s="18"/>
      <c r="AE720" s="18"/>
      <c r="AF720" s="18"/>
      <c r="AG720" s="18"/>
      <c r="AH720" s="18"/>
      <c r="AI720" s="18"/>
      <c r="AJ720" s="18"/>
      <c r="AK720" s="18"/>
      <c r="AL720" s="18"/>
      <c r="AM720" s="18"/>
      <c r="AN720" s="18"/>
      <c r="AO720" s="18"/>
      <c r="AQ720" s="18"/>
      <c r="AR720" s="18"/>
      <c r="AS720" s="18"/>
      <c r="AT720" s="18"/>
      <c r="AU720" s="18"/>
      <c r="AV720" s="18"/>
      <c r="AW720" s="18"/>
      <c r="AX720" s="18"/>
      <c r="AY720" s="18"/>
      <c r="AZ720" s="18"/>
      <c r="BA720" s="18"/>
      <c r="BB720" s="18"/>
      <c r="BC720" s="18"/>
      <c r="BE720" s="18"/>
      <c r="BF720" s="18"/>
      <c r="BG720" s="18"/>
      <c r="BH720" s="18"/>
      <c r="BI720" s="18"/>
      <c r="BJ720" s="18"/>
      <c r="BK720" s="18"/>
      <c r="BL720" s="18"/>
      <c r="BM720" s="18"/>
      <c r="BN720" s="18"/>
      <c r="BO720" s="18"/>
      <c r="BP720" s="18"/>
      <c r="BQ720" s="18"/>
      <c r="BS720" s="18"/>
      <c r="BT720" s="18"/>
      <c r="BU720" s="18"/>
      <c r="BV720" s="18"/>
      <c r="BW720" s="18"/>
      <c r="BX720" s="18"/>
      <c r="BY720" s="18"/>
      <c r="BZ720" s="18"/>
      <c r="CA720" s="18"/>
      <c r="CB720" s="18"/>
      <c r="CC720" s="18"/>
      <c r="CD720" s="18"/>
      <c r="CE720" s="18"/>
    </row>
  </sheetData>
  <mergeCells count="6">
    <mergeCell ref="CG3:CS3"/>
    <mergeCell ref="O3:AA3"/>
    <mergeCell ref="AC3:AO3"/>
    <mergeCell ref="AQ3:BC3"/>
    <mergeCell ref="BE3:BQ3"/>
    <mergeCell ref="BS3:CE3"/>
  </mergeCells>
  <phoneticPr fontId="0" type="noConversion"/>
  <printOptions horizontalCentered="1"/>
  <pageMargins left="0.39370078740157483" right="0.39370078740157483" top="1.3779527559055118" bottom="0.39370078740157483" header="0.59055118110236227" footer="0"/>
  <pageSetup paperSize="9" scale="10" orientation="portrait" horizontalDpi="300" verticalDpi="300" r:id="rId2"/>
  <headerFooter alignWithMargins="0">
    <oddHeader>&amp;C&amp;14Cumplimiento del Servicio de Trenes
Línea Belgrano Sur</oddHeader>
  </headerFooter>
  <ignoredErrors>
    <ignoredError sqref="G5:G148 G324:G368 CD366" calculatedColumn="1"/>
    <ignoredError sqref="Q380:S380 Z380:AG380" evalError="1"/>
  </ignoredErrors>
  <tableParts count="7">
    <tablePart r:id="rId3"/>
    <tablePart r:id="rId4"/>
    <tablePart r:id="rId5"/>
    <tablePart r:id="rId6"/>
    <tablePart r:id="rId7"/>
    <tablePart r:id="rId8"/>
    <tablePart r:id="rId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0"/>
  <sheetViews>
    <sheetView showGridLines="0" zoomScale="80" zoomScaleNormal="80" workbookViewId="0">
      <pane ySplit="5" topLeftCell="A372" activePane="bottomLeft" state="frozen"/>
      <selection activeCell="G390" sqref="G390"/>
      <selection pane="bottomLeft" activeCell="D400" sqref="D400"/>
    </sheetView>
  </sheetViews>
  <sheetFormatPr baseColWidth="10" defaultColWidth="10.88671875" defaultRowHeight="12.75"/>
  <cols>
    <col min="1" max="2" width="8.77734375" style="1" customWidth="1"/>
    <col min="3" max="5" width="8.77734375" style="47" customWidth="1"/>
    <col min="6" max="12" width="8.77734375" style="39" customWidth="1"/>
    <col min="13" max="13" width="25.77734375" style="1" customWidth="1"/>
    <col min="14" max="26" width="8.77734375" style="1" customWidth="1"/>
    <col min="27" max="27" width="25.77734375" style="1" customWidth="1"/>
    <col min="28" max="40" width="8.77734375" style="1" customWidth="1"/>
    <col min="41" max="41" width="25.77734375" style="1" customWidth="1"/>
    <col min="42" max="54" width="8.77734375" style="1" customWidth="1"/>
    <col min="55" max="55" width="25.77734375" style="1" customWidth="1"/>
    <col min="56" max="68" width="8.77734375" style="1" customWidth="1"/>
    <col min="69" max="69" width="25.77734375" style="1" customWidth="1"/>
    <col min="70" max="82" width="8.77734375" style="1" customWidth="1"/>
    <col min="83" max="83" width="25.77734375" style="1" customWidth="1"/>
    <col min="84" max="84" width="8.77734375" style="1" customWidth="1"/>
    <col min="85" max="16384" width="10.88671875" style="1"/>
  </cols>
  <sheetData>
    <row r="1" spans="1:13" s="36" customFormat="1" ht="30">
      <c r="A1" s="113" t="s">
        <v>7</v>
      </c>
    </row>
    <row r="2" spans="1:13" s="36" customFormat="1" ht="29.25">
      <c r="A2" s="115" t="s">
        <v>25</v>
      </c>
    </row>
    <row r="3" spans="1:13" s="10" customFormat="1" ht="29.25">
      <c r="A3" s="116" t="s">
        <v>26</v>
      </c>
      <c r="B3" s="9"/>
      <c r="C3" s="9"/>
      <c r="D3" s="9"/>
      <c r="E3" s="9"/>
      <c r="F3" s="9"/>
      <c r="G3" s="9"/>
      <c r="H3" s="9"/>
      <c r="I3" s="9"/>
      <c r="J3" s="9"/>
      <c r="K3" s="9"/>
    </row>
    <row r="4" spans="1:13">
      <c r="B4" s="38"/>
    </row>
    <row r="5" spans="1:13" s="65" customFormat="1" ht="45" customHeight="1" thickBot="1">
      <c r="A5" s="22" t="s">
        <v>32</v>
      </c>
      <c r="B5" s="23" t="s">
        <v>31</v>
      </c>
      <c r="C5" s="23" t="s">
        <v>8</v>
      </c>
      <c r="D5" s="23" t="s">
        <v>10</v>
      </c>
      <c r="E5" s="23" t="s">
        <v>9</v>
      </c>
      <c r="F5" s="23" t="s">
        <v>99</v>
      </c>
      <c r="G5" s="23" t="s">
        <v>98</v>
      </c>
      <c r="H5" s="23" t="s">
        <v>52</v>
      </c>
      <c r="I5" s="23" t="s">
        <v>53</v>
      </c>
      <c r="J5" s="23" t="s">
        <v>27</v>
      </c>
      <c r="K5" s="23" t="s">
        <v>54</v>
      </c>
      <c r="L5" s="23" t="s">
        <v>55</v>
      </c>
      <c r="M5" s="24" t="s">
        <v>34</v>
      </c>
    </row>
    <row r="6" spans="1:13" s="18" customFormat="1" ht="15" customHeight="1" thickTop="1">
      <c r="A6" s="82"/>
      <c r="B6" s="83"/>
      <c r="C6" s="59"/>
      <c r="D6" s="59"/>
      <c r="E6" s="59"/>
      <c r="F6" s="16"/>
      <c r="G6" s="16"/>
      <c r="H6" s="16"/>
      <c r="I6" s="16"/>
      <c r="J6" s="16"/>
      <c r="K6" s="16"/>
      <c r="L6" s="16"/>
    </row>
    <row r="7" spans="1:13" s="18" customFormat="1" ht="15" customHeight="1">
      <c r="A7" s="82"/>
      <c r="B7" s="83"/>
      <c r="C7" s="59"/>
      <c r="D7" s="59"/>
      <c r="E7" s="59"/>
      <c r="F7" s="16"/>
      <c r="G7" s="16"/>
      <c r="H7" s="16"/>
      <c r="I7" s="16"/>
      <c r="J7" s="16"/>
      <c r="K7" s="16"/>
      <c r="L7" s="16"/>
    </row>
    <row r="8" spans="1:13" s="18" customFormat="1" ht="15" customHeight="1">
      <c r="A8" s="82"/>
      <c r="B8" s="83"/>
      <c r="C8" s="59"/>
      <c r="D8" s="59"/>
      <c r="E8" s="59"/>
      <c r="F8" s="16"/>
      <c r="G8" s="16"/>
      <c r="H8" s="16"/>
      <c r="I8" s="16"/>
      <c r="J8" s="16"/>
      <c r="K8" s="16"/>
      <c r="L8" s="16"/>
    </row>
    <row r="9" spans="1:13" s="18" customFormat="1" ht="15" customHeight="1">
      <c r="A9" s="82"/>
      <c r="B9" s="83"/>
      <c r="C9" s="59"/>
      <c r="D9" s="59"/>
      <c r="E9" s="59"/>
      <c r="F9" s="16"/>
      <c r="G9" s="16"/>
      <c r="H9" s="16"/>
      <c r="I9" s="16"/>
      <c r="J9" s="16"/>
      <c r="K9" s="16"/>
      <c r="L9" s="16"/>
    </row>
    <row r="10" spans="1:13" s="18" customFormat="1" ht="15" customHeight="1">
      <c r="A10" s="82"/>
      <c r="B10" s="83"/>
      <c r="C10" s="59"/>
      <c r="D10" s="59"/>
      <c r="E10" s="59"/>
      <c r="F10" s="16"/>
      <c r="G10" s="16"/>
      <c r="H10" s="16"/>
      <c r="I10" s="16"/>
      <c r="J10" s="16"/>
      <c r="K10" s="16"/>
      <c r="L10" s="16"/>
    </row>
    <row r="11" spans="1:13" s="18" customFormat="1" ht="15" customHeight="1">
      <c r="A11" s="82"/>
      <c r="B11" s="83"/>
      <c r="C11" s="59"/>
      <c r="D11" s="59"/>
      <c r="E11" s="59"/>
      <c r="F11" s="16"/>
      <c r="G11" s="16"/>
      <c r="H11" s="16"/>
      <c r="I11" s="16"/>
      <c r="J11" s="16"/>
      <c r="K11" s="16"/>
      <c r="L11" s="16"/>
    </row>
    <row r="12" spans="1:13" s="18" customFormat="1" ht="15" customHeight="1">
      <c r="A12" s="82"/>
      <c r="B12" s="83"/>
      <c r="C12" s="59"/>
      <c r="D12" s="59"/>
      <c r="E12" s="59"/>
      <c r="F12" s="16"/>
      <c r="G12" s="16"/>
      <c r="H12" s="16"/>
      <c r="I12" s="16"/>
      <c r="J12" s="16"/>
      <c r="K12" s="16"/>
      <c r="L12" s="16"/>
    </row>
    <row r="13" spans="1:13" s="18" customFormat="1" ht="15" customHeight="1">
      <c r="A13" s="82"/>
      <c r="B13" s="83"/>
      <c r="C13" s="59"/>
      <c r="D13" s="59"/>
      <c r="E13" s="59"/>
      <c r="F13" s="16"/>
      <c r="G13" s="16"/>
      <c r="H13" s="16"/>
      <c r="I13" s="16"/>
      <c r="J13" s="16"/>
      <c r="K13" s="16"/>
      <c r="L13" s="16"/>
    </row>
    <row r="14" spans="1:13" s="18" customFormat="1" ht="15" customHeight="1">
      <c r="A14" s="82"/>
      <c r="B14" s="83"/>
      <c r="C14" s="59"/>
      <c r="D14" s="59"/>
      <c r="E14" s="59"/>
      <c r="F14" s="16"/>
      <c r="G14" s="16"/>
      <c r="H14" s="16"/>
      <c r="I14" s="16"/>
      <c r="J14" s="16"/>
      <c r="K14" s="16"/>
      <c r="L14" s="16"/>
    </row>
    <row r="15" spans="1:13" s="18" customFormat="1" ht="15" customHeight="1">
      <c r="A15" s="82"/>
      <c r="B15" s="83"/>
      <c r="C15" s="59"/>
      <c r="D15" s="59"/>
      <c r="E15" s="59"/>
      <c r="F15" s="16"/>
      <c r="G15" s="16"/>
      <c r="H15" s="16"/>
      <c r="I15" s="16"/>
      <c r="J15" s="16"/>
      <c r="K15" s="16"/>
      <c r="L15" s="16"/>
    </row>
    <row r="16" spans="1:13" s="18" customFormat="1" ht="15" customHeight="1">
      <c r="A16" s="82"/>
      <c r="B16" s="83"/>
      <c r="C16" s="59"/>
      <c r="D16" s="59"/>
      <c r="E16" s="59"/>
      <c r="F16" s="16"/>
      <c r="G16" s="16"/>
      <c r="H16" s="16"/>
      <c r="I16" s="16"/>
      <c r="J16" s="16"/>
      <c r="K16" s="16"/>
      <c r="L16" s="16"/>
    </row>
    <row r="17" spans="1:13" s="18" customFormat="1" ht="15" customHeight="1">
      <c r="A17" s="82"/>
      <c r="B17" s="83"/>
      <c r="C17" s="59"/>
      <c r="D17" s="59"/>
      <c r="E17" s="59"/>
      <c r="F17" s="16"/>
      <c r="G17" s="16"/>
      <c r="H17" s="16"/>
      <c r="I17" s="16"/>
      <c r="J17" s="16"/>
      <c r="K17" s="16"/>
      <c r="L17" s="16"/>
    </row>
    <row r="18" spans="1:13" s="18" customFormat="1" ht="15" customHeight="1">
      <c r="A18" s="82"/>
      <c r="B18" s="83"/>
      <c r="C18" s="59"/>
      <c r="D18" s="59"/>
      <c r="E18" s="59"/>
      <c r="F18" s="16"/>
      <c r="G18" s="16"/>
      <c r="H18" s="16"/>
      <c r="I18" s="16"/>
      <c r="J18" s="16"/>
      <c r="K18" s="16"/>
      <c r="L18" s="16"/>
    </row>
    <row r="19" spans="1:13" s="18" customFormat="1" ht="15" customHeight="1">
      <c r="A19" s="82"/>
      <c r="B19" s="83"/>
      <c r="C19" s="59"/>
      <c r="D19" s="59"/>
      <c r="E19" s="59"/>
      <c r="F19" s="16"/>
      <c r="G19" s="16"/>
      <c r="H19" s="16"/>
      <c r="I19" s="16"/>
      <c r="J19" s="16"/>
      <c r="K19" s="16"/>
      <c r="L19" s="16"/>
    </row>
    <row r="20" spans="1:13" s="18" customFormat="1" ht="15" customHeight="1">
      <c r="A20" s="82"/>
      <c r="B20" s="83"/>
      <c r="C20" s="59"/>
      <c r="D20" s="59"/>
      <c r="E20" s="59"/>
      <c r="F20" s="16"/>
      <c r="G20" s="16"/>
      <c r="H20" s="16"/>
      <c r="I20" s="16"/>
      <c r="J20" s="16"/>
      <c r="K20" s="16"/>
      <c r="L20" s="16"/>
    </row>
    <row r="21" spans="1:13" s="18" customFormat="1" ht="15" customHeight="1">
      <c r="A21" s="82"/>
      <c r="B21" s="83"/>
      <c r="C21" s="59"/>
      <c r="D21" s="59"/>
      <c r="E21" s="59"/>
      <c r="F21" s="40"/>
      <c r="G21" s="40"/>
      <c r="H21" s="40"/>
      <c r="I21" s="40"/>
      <c r="J21" s="40"/>
      <c r="K21" s="40"/>
      <c r="L21" s="40"/>
    </row>
    <row r="22" spans="1:13" s="18" customFormat="1" ht="15" customHeight="1">
      <c r="A22" s="82"/>
      <c r="B22" s="83"/>
      <c r="C22" s="59"/>
      <c r="D22" s="59"/>
      <c r="E22" s="59"/>
      <c r="F22" s="40"/>
      <c r="G22" s="40"/>
      <c r="H22" s="40"/>
      <c r="I22" s="40"/>
      <c r="J22" s="40"/>
      <c r="K22" s="40"/>
      <c r="L22" s="40"/>
    </row>
    <row r="23" spans="1:13" s="18" customFormat="1" ht="15" customHeight="1">
      <c r="A23" s="82"/>
      <c r="B23" s="83"/>
      <c r="C23" s="59"/>
      <c r="D23" s="59"/>
      <c r="E23" s="59"/>
      <c r="F23" s="40"/>
      <c r="G23" s="40"/>
      <c r="H23" s="40"/>
      <c r="I23" s="40"/>
      <c r="J23" s="40"/>
      <c r="K23" s="40"/>
      <c r="L23" s="40"/>
      <c r="M23" s="40"/>
    </row>
    <row r="24" spans="1:13" s="18" customFormat="1" ht="15" customHeight="1">
      <c r="A24" s="82"/>
      <c r="B24" s="83"/>
      <c r="C24" s="59"/>
      <c r="D24" s="59"/>
      <c r="E24" s="59"/>
      <c r="F24" s="40"/>
      <c r="G24" s="40"/>
      <c r="H24" s="40"/>
      <c r="I24" s="40"/>
      <c r="J24" s="40"/>
      <c r="K24" s="40"/>
      <c r="L24" s="40"/>
      <c r="M24" s="40"/>
    </row>
    <row r="25" spans="1:13" s="18" customFormat="1" ht="15" customHeight="1">
      <c r="A25" s="82"/>
      <c r="B25" s="83"/>
      <c r="C25" s="59"/>
      <c r="D25" s="59"/>
      <c r="E25" s="59"/>
      <c r="F25" s="40"/>
      <c r="G25" s="40"/>
      <c r="H25" s="40"/>
      <c r="I25" s="40"/>
      <c r="J25" s="40"/>
      <c r="K25" s="40"/>
      <c r="L25" s="40"/>
    </row>
    <row r="26" spans="1:13" s="18" customFormat="1" ht="15" customHeight="1">
      <c r="A26" s="82"/>
      <c r="B26" s="83"/>
      <c r="C26" s="59"/>
      <c r="D26" s="59"/>
      <c r="E26" s="59"/>
      <c r="F26" s="16"/>
      <c r="G26" s="16"/>
      <c r="H26" s="16"/>
      <c r="I26" s="16"/>
      <c r="J26" s="16"/>
      <c r="K26" s="16"/>
      <c r="L26" s="16"/>
    </row>
    <row r="27" spans="1:13" s="18" customFormat="1" ht="15" customHeight="1">
      <c r="A27" s="82"/>
      <c r="B27" s="83"/>
      <c r="C27" s="59"/>
      <c r="D27" s="59"/>
      <c r="E27" s="59"/>
      <c r="F27" s="16"/>
      <c r="G27" s="16"/>
      <c r="H27" s="16"/>
      <c r="I27" s="16"/>
      <c r="J27" s="16"/>
      <c r="K27" s="16"/>
      <c r="L27" s="16"/>
    </row>
    <row r="28" spans="1:13" s="18" customFormat="1" ht="15" customHeight="1">
      <c r="A28" s="82"/>
      <c r="B28" s="83"/>
      <c r="C28" s="59"/>
      <c r="D28" s="59"/>
      <c r="E28" s="59"/>
      <c r="F28" s="16"/>
      <c r="G28" s="16"/>
      <c r="H28" s="16"/>
      <c r="I28" s="16"/>
      <c r="J28" s="16"/>
      <c r="K28" s="16"/>
      <c r="L28" s="16"/>
    </row>
    <row r="29" spans="1:13" s="18" customFormat="1" ht="15" customHeight="1">
      <c r="A29" s="82"/>
      <c r="B29" s="83"/>
      <c r="C29" s="59"/>
      <c r="D29" s="59"/>
      <c r="E29" s="59"/>
      <c r="F29" s="16"/>
      <c r="G29" s="16"/>
      <c r="H29" s="16"/>
      <c r="I29" s="16"/>
      <c r="J29" s="16"/>
      <c r="K29" s="16"/>
      <c r="L29" s="16"/>
    </row>
    <row r="30" spans="1:13" s="18" customFormat="1" ht="15" customHeight="1">
      <c r="A30" s="82"/>
      <c r="B30" s="83"/>
      <c r="C30" s="59"/>
      <c r="D30" s="59"/>
      <c r="E30" s="59"/>
      <c r="F30" s="16"/>
      <c r="G30" s="16"/>
      <c r="H30" s="16"/>
      <c r="I30" s="16"/>
      <c r="J30" s="16"/>
      <c r="K30" s="16"/>
      <c r="L30" s="16"/>
    </row>
    <row r="31" spans="1:13" s="18" customFormat="1" ht="15" customHeight="1">
      <c r="A31" s="82"/>
      <c r="B31" s="83"/>
      <c r="C31" s="59"/>
      <c r="D31" s="59"/>
      <c r="E31" s="59"/>
      <c r="F31" s="16"/>
      <c r="G31" s="16"/>
      <c r="H31" s="16"/>
      <c r="I31" s="16"/>
      <c r="J31" s="16"/>
      <c r="K31" s="16"/>
      <c r="L31" s="16"/>
    </row>
    <row r="32" spans="1:13" s="18" customFormat="1" ht="15" customHeight="1">
      <c r="A32" s="82"/>
      <c r="B32" s="83"/>
      <c r="C32" s="59"/>
      <c r="D32" s="59"/>
      <c r="E32" s="59"/>
      <c r="F32" s="16"/>
      <c r="G32" s="16"/>
      <c r="H32" s="16"/>
      <c r="I32" s="16"/>
      <c r="J32" s="16"/>
      <c r="K32" s="16"/>
      <c r="L32" s="16"/>
    </row>
    <row r="33" spans="1:12" s="18" customFormat="1" ht="15" customHeight="1">
      <c r="A33" s="82"/>
      <c r="B33" s="83"/>
      <c r="C33" s="59"/>
      <c r="D33" s="59"/>
      <c r="E33" s="59"/>
      <c r="F33" s="16"/>
      <c r="G33" s="16"/>
      <c r="H33" s="16"/>
      <c r="I33" s="16"/>
      <c r="J33" s="16"/>
      <c r="K33" s="16"/>
      <c r="L33" s="16"/>
    </row>
    <row r="34" spans="1:12" s="18" customFormat="1" ht="15" customHeight="1">
      <c r="A34" s="82"/>
      <c r="B34" s="83"/>
      <c r="C34" s="59"/>
      <c r="D34" s="59"/>
      <c r="E34" s="59"/>
      <c r="F34" s="16"/>
      <c r="G34" s="16"/>
      <c r="H34" s="16"/>
      <c r="I34" s="16"/>
      <c r="J34" s="16"/>
      <c r="K34" s="16"/>
      <c r="L34" s="16"/>
    </row>
    <row r="35" spans="1:12" s="18" customFormat="1" ht="15" customHeight="1">
      <c r="A35" s="82"/>
      <c r="B35" s="83"/>
      <c r="C35" s="59"/>
      <c r="D35" s="59"/>
      <c r="E35" s="59"/>
      <c r="F35" s="16"/>
      <c r="G35" s="16"/>
      <c r="H35" s="16"/>
      <c r="I35" s="16"/>
      <c r="J35" s="16"/>
      <c r="K35" s="16"/>
      <c r="L35" s="16"/>
    </row>
    <row r="36" spans="1:12" s="18" customFormat="1" ht="15" customHeight="1">
      <c r="A36" s="82"/>
      <c r="B36" s="83"/>
      <c r="C36" s="59"/>
      <c r="D36" s="59"/>
      <c r="E36" s="59"/>
      <c r="F36" s="16"/>
      <c r="G36" s="16"/>
      <c r="H36" s="16"/>
      <c r="I36" s="16"/>
      <c r="J36" s="16"/>
      <c r="K36" s="16"/>
      <c r="L36" s="16"/>
    </row>
    <row r="37" spans="1:12" s="18" customFormat="1" ht="15" customHeight="1">
      <c r="A37" s="82"/>
      <c r="B37" s="83"/>
      <c r="C37" s="59"/>
      <c r="D37" s="59"/>
      <c r="E37" s="59"/>
      <c r="F37" s="16"/>
      <c r="G37" s="16"/>
      <c r="H37" s="16"/>
      <c r="I37" s="16"/>
      <c r="J37" s="16"/>
      <c r="K37" s="16"/>
      <c r="L37" s="16"/>
    </row>
    <row r="38" spans="1:12" s="18" customFormat="1" ht="15" customHeight="1">
      <c r="A38" s="82"/>
      <c r="B38" s="83"/>
      <c r="C38" s="59"/>
      <c r="D38" s="59"/>
      <c r="E38" s="59"/>
      <c r="F38" s="16"/>
      <c r="G38" s="16"/>
      <c r="H38" s="16"/>
      <c r="I38" s="16"/>
      <c r="J38" s="16"/>
      <c r="K38" s="16"/>
      <c r="L38" s="16"/>
    </row>
    <row r="39" spans="1:12" s="18" customFormat="1" ht="15" customHeight="1">
      <c r="A39" s="82"/>
      <c r="B39" s="83"/>
      <c r="C39" s="59"/>
      <c r="D39" s="59"/>
      <c r="E39" s="59"/>
      <c r="F39" s="16"/>
      <c r="G39" s="16"/>
      <c r="H39" s="16"/>
      <c r="I39" s="16"/>
      <c r="J39" s="16"/>
      <c r="K39" s="16"/>
      <c r="L39" s="16"/>
    </row>
    <row r="40" spans="1:12" s="18" customFormat="1" ht="15" customHeight="1">
      <c r="A40" s="82"/>
      <c r="B40" s="83"/>
      <c r="C40" s="59"/>
      <c r="D40" s="59"/>
      <c r="E40" s="59"/>
      <c r="F40" s="16"/>
      <c r="G40" s="16"/>
      <c r="H40" s="16"/>
      <c r="I40" s="16"/>
      <c r="J40" s="16"/>
      <c r="K40" s="16"/>
      <c r="L40" s="16"/>
    </row>
    <row r="41" spans="1:12" s="18" customFormat="1" ht="15" customHeight="1">
      <c r="A41" s="82"/>
      <c r="B41" s="83"/>
      <c r="C41" s="59"/>
      <c r="D41" s="59"/>
      <c r="E41" s="59"/>
      <c r="F41" s="16"/>
      <c r="G41" s="16"/>
      <c r="H41" s="16"/>
      <c r="I41" s="16"/>
      <c r="J41" s="16"/>
      <c r="K41" s="16"/>
      <c r="L41" s="16"/>
    </row>
    <row r="42" spans="1:12" s="18" customFormat="1" ht="15" customHeight="1">
      <c r="A42" s="82"/>
      <c r="B42" s="83"/>
      <c r="C42" s="59"/>
      <c r="D42" s="59"/>
      <c r="E42" s="59"/>
      <c r="F42" s="16"/>
      <c r="G42" s="16"/>
      <c r="H42" s="16"/>
      <c r="I42" s="16"/>
      <c r="J42" s="16"/>
      <c r="K42" s="16"/>
      <c r="L42" s="16"/>
    </row>
    <row r="43" spans="1:12" s="18" customFormat="1" ht="15" customHeight="1">
      <c r="A43" s="82"/>
      <c r="B43" s="83"/>
      <c r="C43" s="59"/>
      <c r="D43" s="59"/>
      <c r="E43" s="59"/>
      <c r="F43" s="40"/>
      <c r="G43" s="40"/>
      <c r="H43" s="40"/>
      <c r="I43" s="40"/>
      <c r="J43" s="40"/>
      <c r="K43" s="40"/>
      <c r="L43" s="40"/>
    </row>
    <row r="44" spans="1:12" s="18" customFormat="1" ht="15" customHeight="1">
      <c r="A44" s="82"/>
      <c r="B44" s="83"/>
      <c r="C44" s="59"/>
      <c r="D44" s="59"/>
      <c r="E44" s="59"/>
      <c r="F44" s="40"/>
      <c r="G44" s="40"/>
      <c r="H44" s="40"/>
      <c r="I44" s="40"/>
      <c r="J44" s="40"/>
      <c r="K44" s="40"/>
      <c r="L44" s="40"/>
    </row>
    <row r="45" spans="1:12" s="18" customFormat="1" ht="15" customHeight="1">
      <c r="A45" s="82"/>
      <c r="B45" s="83"/>
      <c r="C45" s="59"/>
      <c r="D45" s="59"/>
      <c r="E45" s="59"/>
      <c r="F45" s="40"/>
      <c r="G45" s="40"/>
      <c r="H45" s="40"/>
      <c r="I45" s="40"/>
      <c r="J45" s="40"/>
      <c r="K45" s="40"/>
      <c r="L45" s="40"/>
    </row>
    <row r="46" spans="1:12" s="18" customFormat="1" ht="15" customHeight="1">
      <c r="A46" s="82"/>
      <c r="B46" s="83"/>
      <c r="C46" s="59"/>
      <c r="D46" s="59"/>
      <c r="E46" s="59"/>
      <c r="F46" s="16"/>
      <c r="G46" s="16"/>
      <c r="H46" s="16"/>
      <c r="I46" s="16"/>
      <c r="J46" s="16"/>
      <c r="K46" s="16"/>
      <c r="L46" s="16"/>
    </row>
    <row r="47" spans="1:12" s="18" customFormat="1" ht="15" customHeight="1">
      <c r="A47" s="82"/>
      <c r="B47" s="83"/>
      <c r="C47" s="59"/>
      <c r="D47" s="59"/>
      <c r="E47" s="59"/>
      <c r="F47" s="16"/>
      <c r="G47" s="16"/>
      <c r="H47" s="16"/>
      <c r="I47" s="16"/>
      <c r="J47" s="16"/>
      <c r="K47" s="16"/>
      <c r="L47" s="16"/>
    </row>
    <row r="48" spans="1:12" s="18" customFormat="1" ht="15" customHeight="1">
      <c r="A48" s="82"/>
      <c r="B48" s="83"/>
      <c r="C48" s="59"/>
      <c r="D48" s="59"/>
      <c r="E48" s="59"/>
      <c r="F48" s="16"/>
      <c r="G48" s="16"/>
      <c r="H48" s="16"/>
      <c r="I48" s="16"/>
      <c r="J48" s="16"/>
      <c r="K48" s="16"/>
      <c r="L48" s="16"/>
    </row>
    <row r="49" spans="1:12" s="18" customFormat="1" ht="15" customHeight="1">
      <c r="A49" s="82"/>
      <c r="B49" s="83"/>
      <c r="C49" s="59"/>
      <c r="D49" s="59"/>
      <c r="E49" s="59"/>
      <c r="F49" s="16"/>
      <c r="G49" s="16"/>
      <c r="H49" s="16"/>
      <c r="I49" s="16"/>
      <c r="J49" s="16"/>
      <c r="K49" s="16"/>
      <c r="L49" s="16"/>
    </row>
    <row r="50" spans="1:12" s="18" customFormat="1" ht="15" customHeight="1">
      <c r="A50" s="82"/>
      <c r="B50" s="83"/>
      <c r="C50" s="59"/>
      <c r="D50" s="59"/>
      <c r="E50" s="59"/>
      <c r="F50" s="16"/>
      <c r="G50" s="16"/>
      <c r="H50" s="16"/>
      <c r="I50" s="16"/>
      <c r="J50" s="16"/>
      <c r="K50" s="16"/>
      <c r="L50" s="16"/>
    </row>
    <row r="51" spans="1:12" s="18" customFormat="1" ht="15" customHeight="1">
      <c r="A51" s="82"/>
      <c r="B51" s="83"/>
      <c r="C51" s="59"/>
      <c r="D51" s="59"/>
      <c r="E51" s="59"/>
      <c r="F51" s="16"/>
      <c r="G51" s="16"/>
      <c r="H51" s="16"/>
      <c r="I51" s="16"/>
      <c r="J51" s="16"/>
      <c r="K51" s="16"/>
      <c r="L51" s="16"/>
    </row>
    <row r="52" spans="1:12" s="18" customFormat="1" ht="15" customHeight="1">
      <c r="A52" s="82"/>
      <c r="B52" s="83"/>
      <c r="C52" s="59"/>
      <c r="D52" s="59"/>
      <c r="E52" s="59"/>
      <c r="F52" s="16"/>
      <c r="G52" s="16"/>
      <c r="H52" s="16"/>
      <c r="I52" s="16"/>
      <c r="J52" s="16"/>
      <c r="K52" s="16"/>
      <c r="L52" s="16"/>
    </row>
    <row r="53" spans="1:12" s="18" customFormat="1" ht="15" customHeight="1">
      <c r="A53" s="82"/>
      <c r="B53" s="83"/>
      <c r="C53" s="59"/>
      <c r="D53" s="59"/>
      <c r="E53" s="59"/>
      <c r="F53" s="16"/>
      <c r="G53" s="16"/>
      <c r="H53" s="16"/>
      <c r="I53" s="16"/>
      <c r="J53" s="16"/>
      <c r="K53" s="16"/>
      <c r="L53" s="16"/>
    </row>
    <row r="54" spans="1:12" s="18" customFormat="1" ht="15" customHeight="1">
      <c r="A54" s="82"/>
      <c r="B54" s="83"/>
      <c r="C54" s="59"/>
      <c r="D54" s="59"/>
      <c r="E54" s="59"/>
      <c r="F54" s="16"/>
      <c r="G54" s="16"/>
      <c r="H54" s="16"/>
      <c r="I54" s="16"/>
      <c r="J54" s="16"/>
      <c r="K54" s="16"/>
      <c r="L54" s="16"/>
    </row>
    <row r="55" spans="1:12" s="18" customFormat="1" ht="15" customHeight="1">
      <c r="A55" s="82"/>
      <c r="B55" s="83"/>
      <c r="C55" s="59"/>
      <c r="D55" s="59"/>
      <c r="E55" s="59"/>
      <c r="F55" s="16"/>
      <c r="G55" s="16"/>
      <c r="H55" s="16"/>
      <c r="I55" s="16"/>
      <c r="J55" s="16"/>
      <c r="K55" s="16"/>
      <c r="L55" s="16"/>
    </row>
    <row r="56" spans="1:12" s="18" customFormat="1" ht="15" customHeight="1">
      <c r="A56" s="82"/>
      <c r="B56" s="83"/>
      <c r="C56" s="59"/>
      <c r="D56" s="59"/>
      <c r="E56" s="59"/>
      <c r="F56" s="16"/>
      <c r="G56" s="16"/>
      <c r="H56" s="16"/>
      <c r="I56" s="16"/>
      <c r="J56" s="16"/>
      <c r="K56" s="16"/>
      <c r="L56" s="16"/>
    </row>
    <row r="57" spans="1:12" s="18" customFormat="1" ht="15" customHeight="1">
      <c r="A57" s="82"/>
      <c r="B57" s="83"/>
      <c r="C57" s="59"/>
      <c r="D57" s="59"/>
      <c r="E57" s="59"/>
      <c r="F57" s="16"/>
      <c r="G57" s="16"/>
      <c r="H57" s="16"/>
      <c r="I57" s="16"/>
      <c r="J57" s="16"/>
      <c r="K57" s="16"/>
      <c r="L57" s="16"/>
    </row>
    <row r="58" spans="1:12" s="18" customFormat="1" ht="15" customHeight="1">
      <c r="A58" s="82"/>
      <c r="B58" s="83"/>
      <c r="C58" s="60"/>
      <c r="D58" s="60"/>
      <c r="E58" s="60"/>
      <c r="F58" s="45"/>
      <c r="G58" s="45"/>
      <c r="H58" s="45"/>
      <c r="I58" s="45"/>
      <c r="J58" s="45"/>
      <c r="K58" s="45"/>
      <c r="L58" s="45"/>
    </row>
    <row r="59" spans="1:12" s="18" customFormat="1" ht="15" customHeight="1">
      <c r="A59" s="82"/>
      <c r="B59" s="83"/>
      <c r="C59" s="59"/>
      <c r="D59" s="59"/>
      <c r="E59" s="59"/>
      <c r="F59" s="16"/>
      <c r="G59" s="16"/>
      <c r="H59" s="16"/>
      <c r="I59" s="16"/>
      <c r="J59" s="16"/>
      <c r="K59" s="16"/>
      <c r="L59" s="16"/>
    </row>
    <row r="60" spans="1:12" s="18" customFormat="1" ht="15" customHeight="1">
      <c r="A60" s="82"/>
      <c r="B60" s="83"/>
      <c r="C60" s="59"/>
      <c r="D60" s="59"/>
      <c r="E60" s="59"/>
      <c r="F60" s="16"/>
      <c r="G60" s="16"/>
      <c r="H60" s="16"/>
      <c r="I60" s="16"/>
      <c r="J60" s="16"/>
      <c r="K60" s="16"/>
      <c r="L60" s="16"/>
    </row>
    <row r="61" spans="1:12" s="18" customFormat="1" ht="15" customHeight="1">
      <c r="A61" s="82"/>
      <c r="B61" s="83"/>
      <c r="C61" s="59"/>
      <c r="D61" s="59"/>
      <c r="E61" s="59"/>
      <c r="F61" s="16"/>
      <c r="G61" s="16"/>
      <c r="H61" s="16"/>
      <c r="I61" s="16"/>
      <c r="J61" s="16"/>
      <c r="K61" s="16"/>
      <c r="L61" s="16"/>
    </row>
    <row r="62" spans="1:12" s="18" customFormat="1" ht="15" customHeight="1">
      <c r="A62" s="82"/>
      <c r="B62" s="83"/>
      <c r="C62" s="59"/>
      <c r="D62" s="59"/>
      <c r="E62" s="59"/>
      <c r="F62" s="16"/>
      <c r="G62" s="16"/>
      <c r="H62" s="16"/>
      <c r="I62" s="16"/>
      <c r="J62" s="16"/>
      <c r="K62" s="16"/>
      <c r="L62" s="16"/>
    </row>
    <row r="63" spans="1:12" s="18" customFormat="1" ht="15" customHeight="1">
      <c r="A63" s="82"/>
      <c r="B63" s="83"/>
      <c r="C63" s="59"/>
      <c r="D63" s="59"/>
      <c r="E63" s="59"/>
      <c r="F63" s="40"/>
      <c r="G63" s="40"/>
      <c r="H63" s="40"/>
      <c r="I63" s="40"/>
      <c r="J63" s="40"/>
      <c r="K63" s="40"/>
      <c r="L63" s="40"/>
    </row>
    <row r="64" spans="1:12" s="18" customFormat="1" ht="15" customHeight="1">
      <c r="A64" s="82"/>
      <c r="B64" s="83"/>
      <c r="C64" s="59"/>
      <c r="D64" s="59"/>
      <c r="E64" s="59"/>
      <c r="F64" s="40"/>
      <c r="G64" s="40"/>
      <c r="H64" s="40"/>
      <c r="I64" s="40"/>
      <c r="J64" s="40"/>
      <c r="K64" s="40"/>
      <c r="L64" s="40"/>
    </row>
    <row r="65" spans="1:12" s="18" customFormat="1" ht="15" customHeight="1">
      <c r="A65" s="82"/>
      <c r="B65" s="83"/>
      <c r="C65" s="59"/>
      <c r="D65" s="59"/>
      <c r="E65" s="59"/>
      <c r="F65" s="40"/>
      <c r="G65" s="40"/>
      <c r="H65" s="40"/>
      <c r="I65" s="40"/>
      <c r="J65" s="40"/>
      <c r="K65" s="40"/>
      <c r="L65" s="40"/>
    </row>
    <row r="66" spans="1:12" s="18" customFormat="1" ht="15" customHeight="1">
      <c r="A66" s="82"/>
      <c r="B66" s="83"/>
      <c r="C66" s="59"/>
      <c r="D66" s="59"/>
      <c r="E66" s="59"/>
      <c r="F66" s="16"/>
      <c r="G66" s="16"/>
      <c r="H66" s="16"/>
      <c r="I66" s="16"/>
      <c r="J66" s="16"/>
      <c r="K66" s="16"/>
      <c r="L66" s="16"/>
    </row>
    <row r="67" spans="1:12" s="18" customFormat="1" ht="15" customHeight="1">
      <c r="A67" s="82"/>
      <c r="B67" s="83"/>
      <c r="C67" s="59"/>
      <c r="D67" s="59"/>
      <c r="E67" s="59"/>
      <c r="F67" s="16"/>
      <c r="G67" s="16"/>
      <c r="H67" s="16"/>
      <c r="I67" s="16"/>
      <c r="J67" s="16"/>
      <c r="K67" s="16"/>
      <c r="L67" s="16"/>
    </row>
    <row r="68" spans="1:12" s="18" customFormat="1" ht="15" customHeight="1">
      <c r="A68" s="82"/>
      <c r="B68" s="83"/>
      <c r="C68" s="59"/>
      <c r="D68" s="59"/>
      <c r="E68" s="59"/>
      <c r="F68" s="16"/>
      <c r="G68" s="16"/>
      <c r="H68" s="16"/>
      <c r="I68" s="16"/>
      <c r="J68" s="16"/>
      <c r="K68" s="16"/>
      <c r="L68" s="16"/>
    </row>
    <row r="69" spans="1:12" s="18" customFormat="1" ht="15" customHeight="1">
      <c r="A69" s="82"/>
      <c r="B69" s="83"/>
      <c r="C69" s="59"/>
      <c r="D69" s="59"/>
      <c r="E69" s="59"/>
      <c r="F69" s="16"/>
      <c r="G69" s="16"/>
      <c r="H69" s="16"/>
      <c r="I69" s="16"/>
      <c r="J69" s="16"/>
      <c r="K69" s="16"/>
      <c r="L69" s="16"/>
    </row>
    <row r="70" spans="1:12" s="18" customFormat="1" ht="15" customHeight="1">
      <c r="A70" s="82"/>
      <c r="B70" s="83"/>
      <c r="C70" s="59"/>
      <c r="D70" s="59"/>
      <c r="E70" s="59"/>
      <c r="F70" s="16"/>
      <c r="G70" s="16"/>
      <c r="H70" s="16"/>
      <c r="I70" s="16"/>
      <c r="J70" s="16"/>
      <c r="K70" s="16"/>
      <c r="L70" s="16"/>
    </row>
    <row r="71" spans="1:12" s="18" customFormat="1" ht="15" customHeight="1">
      <c r="A71" s="82"/>
      <c r="B71" s="83"/>
      <c r="C71" s="59"/>
      <c r="D71" s="59"/>
      <c r="E71" s="59"/>
      <c r="F71" s="16"/>
      <c r="G71" s="16"/>
      <c r="H71" s="16"/>
      <c r="I71" s="16"/>
      <c r="J71" s="16"/>
      <c r="K71" s="16"/>
      <c r="L71" s="16"/>
    </row>
    <row r="72" spans="1:12" s="18" customFormat="1" ht="15" customHeight="1">
      <c r="A72" s="82"/>
      <c r="B72" s="83"/>
      <c r="C72" s="59"/>
      <c r="D72" s="59"/>
      <c r="E72" s="59"/>
      <c r="F72" s="16"/>
      <c r="G72" s="16"/>
      <c r="H72" s="16"/>
      <c r="I72" s="16"/>
      <c r="J72" s="16"/>
      <c r="K72" s="16"/>
      <c r="L72" s="16"/>
    </row>
    <row r="73" spans="1:12" s="18" customFormat="1" ht="15" customHeight="1">
      <c r="A73" s="82"/>
      <c r="B73" s="83"/>
      <c r="C73" s="59"/>
      <c r="D73" s="59"/>
      <c r="E73" s="59"/>
      <c r="F73" s="16"/>
      <c r="G73" s="16"/>
      <c r="H73" s="16"/>
      <c r="I73" s="16"/>
      <c r="J73" s="16"/>
      <c r="K73" s="16"/>
      <c r="L73" s="16"/>
    </row>
    <row r="74" spans="1:12" s="18" customFormat="1" ht="15" customHeight="1">
      <c r="A74" s="82"/>
      <c r="B74" s="83"/>
      <c r="C74" s="59"/>
      <c r="D74" s="59"/>
      <c r="E74" s="59"/>
      <c r="F74" s="16"/>
      <c r="G74" s="16"/>
      <c r="H74" s="16"/>
      <c r="I74" s="16"/>
      <c r="J74" s="16"/>
      <c r="K74" s="16"/>
      <c r="L74" s="16"/>
    </row>
    <row r="75" spans="1:12" s="18" customFormat="1" ht="15" customHeight="1">
      <c r="A75" s="82"/>
      <c r="B75" s="83"/>
      <c r="C75" s="59"/>
      <c r="D75" s="59"/>
      <c r="E75" s="59"/>
      <c r="F75" s="16"/>
      <c r="G75" s="16"/>
      <c r="H75" s="16"/>
      <c r="I75" s="16"/>
      <c r="J75" s="16"/>
      <c r="K75" s="16"/>
      <c r="L75" s="16"/>
    </row>
    <row r="76" spans="1:12" s="18" customFormat="1" ht="15" customHeight="1">
      <c r="A76" s="82"/>
      <c r="B76" s="83"/>
      <c r="C76" s="59"/>
      <c r="D76" s="59"/>
      <c r="E76" s="59"/>
      <c r="F76" s="16"/>
      <c r="G76" s="16"/>
      <c r="H76" s="16"/>
      <c r="I76" s="16"/>
      <c r="J76" s="16"/>
      <c r="K76" s="16"/>
      <c r="L76" s="16"/>
    </row>
    <row r="77" spans="1:12" s="18" customFormat="1" ht="15" customHeight="1">
      <c r="A77" s="82"/>
      <c r="B77" s="83"/>
      <c r="C77" s="59"/>
      <c r="D77" s="59"/>
      <c r="E77" s="59"/>
      <c r="F77" s="16"/>
      <c r="G77" s="16"/>
      <c r="H77" s="16"/>
      <c r="I77" s="16"/>
      <c r="J77" s="16"/>
      <c r="K77" s="16"/>
      <c r="L77" s="16"/>
    </row>
    <row r="78" spans="1:12" s="18" customFormat="1" ht="15" customHeight="1">
      <c r="A78" s="82"/>
      <c r="B78" s="83"/>
      <c r="C78" s="60"/>
      <c r="D78" s="60"/>
      <c r="E78" s="60"/>
      <c r="F78" s="45"/>
      <c r="G78" s="45"/>
      <c r="H78" s="45"/>
      <c r="I78" s="45"/>
      <c r="J78" s="45"/>
      <c r="K78" s="45"/>
      <c r="L78" s="45"/>
    </row>
    <row r="79" spans="1:12" s="18" customFormat="1" ht="15" customHeight="1">
      <c r="A79" s="82"/>
      <c r="B79" s="83"/>
      <c r="C79" s="59"/>
      <c r="D79" s="59"/>
      <c r="E79" s="59"/>
      <c r="F79" s="16"/>
      <c r="G79" s="16"/>
      <c r="H79" s="16"/>
      <c r="I79" s="16"/>
      <c r="J79" s="16"/>
      <c r="K79" s="16"/>
      <c r="L79" s="16"/>
    </row>
    <row r="80" spans="1:12" s="18" customFormat="1" ht="15" customHeight="1">
      <c r="A80" s="82"/>
      <c r="B80" s="83"/>
      <c r="C80" s="59"/>
      <c r="D80" s="59"/>
      <c r="E80" s="59"/>
      <c r="F80" s="16"/>
      <c r="G80" s="16"/>
      <c r="H80" s="16"/>
      <c r="I80" s="16"/>
      <c r="J80" s="16"/>
      <c r="K80" s="16"/>
      <c r="L80" s="16"/>
    </row>
    <row r="81" spans="1:12" s="18" customFormat="1" ht="15" customHeight="1">
      <c r="A81" s="82"/>
      <c r="B81" s="83"/>
      <c r="C81" s="59"/>
      <c r="D81" s="59"/>
      <c r="E81" s="59"/>
      <c r="F81" s="16"/>
      <c r="G81" s="16"/>
      <c r="H81" s="16"/>
      <c r="I81" s="16"/>
      <c r="J81" s="16"/>
      <c r="K81" s="16"/>
      <c r="L81" s="16"/>
    </row>
    <row r="82" spans="1:12" s="18" customFormat="1" ht="15" customHeight="1">
      <c r="A82" s="82"/>
      <c r="B82" s="83"/>
      <c r="C82" s="59"/>
      <c r="D82" s="59"/>
      <c r="E82" s="59"/>
      <c r="F82" s="16"/>
      <c r="G82" s="16"/>
      <c r="H82" s="16"/>
      <c r="I82" s="16"/>
      <c r="J82" s="16"/>
      <c r="K82" s="16"/>
      <c r="L82" s="16"/>
    </row>
    <row r="83" spans="1:12" s="18" customFormat="1" ht="15" customHeight="1">
      <c r="A83" s="82"/>
      <c r="B83" s="83"/>
      <c r="C83" s="59"/>
      <c r="D83" s="59"/>
      <c r="E83" s="59"/>
      <c r="F83" s="40"/>
      <c r="G83" s="40"/>
      <c r="H83" s="40"/>
      <c r="I83" s="40"/>
      <c r="J83" s="40"/>
      <c r="K83" s="40"/>
      <c r="L83" s="40"/>
    </row>
    <row r="84" spans="1:12" s="18" customFormat="1" ht="15" customHeight="1">
      <c r="A84" s="82"/>
      <c r="B84" s="83"/>
      <c r="C84" s="59"/>
      <c r="D84" s="59"/>
      <c r="E84" s="59"/>
      <c r="F84" s="40"/>
      <c r="G84" s="40"/>
      <c r="H84" s="40"/>
      <c r="I84" s="40"/>
      <c r="J84" s="40"/>
      <c r="K84" s="40"/>
      <c r="L84" s="40"/>
    </row>
    <row r="85" spans="1:12" s="18" customFormat="1" ht="15" customHeight="1">
      <c r="A85" s="82"/>
      <c r="B85" s="83"/>
      <c r="C85" s="59"/>
      <c r="D85" s="59"/>
      <c r="E85" s="59"/>
      <c r="F85" s="40"/>
      <c r="G85" s="40"/>
      <c r="H85" s="40"/>
      <c r="I85" s="40"/>
      <c r="J85" s="40"/>
      <c r="K85" s="40"/>
      <c r="L85" s="40"/>
    </row>
    <row r="86" spans="1:12" s="18" customFormat="1" ht="15" customHeight="1">
      <c r="A86" s="82"/>
      <c r="B86" s="83"/>
      <c r="C86" s="59"/>
      <c r="D86" s="59"/>
      <c r="E86" s="59"/>
      <c r="F86" s="16"/>
      <c r="G86" s="16"/>
      <c r="H86" s="16"/>
      <c r="I86" s="16"/>
      <c r="J86" s="16"/>
      <c r="K86" s="16"/>
      <c r="L86" s="16"/>
    </row>
    <row r="87" spans="1:12" s="18" customFormat="1" ht="15" customHeight="1">
      <c r="A87" s="82"/>
      <c r="B87" s="83"/>
      <c r="C87" s="59"/>
      <c r="D87" s="59"/>
      <c r="E87" s="59"/>
      <c r="F87" s="16"/>
      <c r="G87" s="16"/>
      <c r="H87" s="16"/>
      <c r="I87" s="16"/>
      <c r="J87" s="16"/>
      <c r="K87" s="16"/>
      <c r="L87" s="16"/>
    </row>
    <row r="88" spans="1:12" s="18" customFormat="1" ht="15" customHeight="1">
      <c r="A88" s="82"/>
      <c r="B88" s="83"/>
      <c r="C88" s="59"/>
      <c r="D88" s="59"/>
      <c r="E88" s="59"/>
      <c r="F88" s="16"/>
      <c r="G88" s="16"/>
      <c r="H88" s="16"/>
      <c r="I88" s="16"/>
      <c r="J88" s="16"/>
      <c r="K88" s="16"/>
      <c r="L88" s="16"/>
    </row>
    <row r="89" spans="1:12" s="18" customFormat="1" ht="15" customHeight="1">
      <c r="A89" s="82"/>
      <c r="B89" s="83"/>
      <c r="C89" s="59"/>
      <c r="D89" s="59"/>
      <c r="E89" s="59"/>
      <c r="F89" s="16"/>
      <c r="G89" s="16"/>
      <c r="H89" s="16"/>
      <c r="I89" s="16"/>
      <c r="J89" s="16"/>
      <c r="K89" s="16"/>
      <c r="L89" s="16"/>
    </row>
    <row r="90" spans="1:12" s="18" customFormat="1" ht="15" customHeight="1">
      <c r="A90" s="82"/>
      <c r="B90" s="83"/>
      <c r="C90" s="59"/>
      <c r="D90" s="59"/>
      <c r="E90" s="59"/>
      <c r="F90" s="16"/>
      <c r="G90" s="16"/>
      <c r="H90" s="16"/>
      <c r="I90" s="16"/>
      <c r="J90" s="16"/>
      <c r="K90" s="16"/>
      <c r="L90" s="16"/>
    </row>
    <row r="91" spans="1:12" s="18" customFormat="1" ht="15" customHeight="1">
      <c r="A91" s="82"/>
      <c r="B91" s="83"/>
      <c r="C91" s="59"/>
      <c r="D91" s="59"/>
      <c r="E91" s="59"/>
      <c r="F91" s="16"/>
      <c r="G91" s="16"/>
      <c r="H91" s="16"/>
      <c r="I91" s="16"/>
      <c r="J91" s="16"/>
      <c r="K91" s="16"/>
      <c r="L91" s="16"/>
    </row>
    <row r="92" spans="1:12" s="18" customFormat="1" ht="15" customHeight="1">
      <c r="A92" s="82"/>
      <c r="B92" s="83"/>
      <c r="C92" s="59"/>
      <c r="D92" s="59"/>
      <c r="E92" s="59"/>
      <c r="F92" s="16"/>
      <c r="G92" s="16"/>
      <c r="H92" s="16"/>
      <c r="I92" s="16"/>
      <c r="J92" s="16"/>
      <c r="K92" s="16"/>
      <c r="L92" s="16"/>
    </row>
    <row r="93" spans="1:12" s="18" customFormat="1" ht="15" customHeight="1">
      <c r="A93" s="82"/>
      <c r="B93" s="83"/>
      <c r="C93" s="59"/>
      <c r="D93" s="59"/>
      <c r="E93" s="59"/>
      <c r="F93" s="16"/>
      <c r="G93" s="16"/>
      <c r="H93" s="16"/>
      <c r="I93" s="16"/>
      <c r="J93" s="16"/>
      <c r="K93" s="16"/>
      <c r="L93" s="16"/>
    </row>
    <row r="94" spans="1:12" s="18" customFormat="1" ht="15" customHeight="1">
      <c r="A94" s="82"/>
      <c r="B94" s="83"/>
      <c r="C94" s="59"/>
      <c r="D94" s="59"/>
      <c r="E94" s="59"/>
      <c r="F94" s="16"/>
      <c r="G94" s="16"/>
      <c r="H94" s="16"/>
      <c r="I94" s="16"/>
      <c r="J94" s="16"/>
      <c r="K94" s="16"/>
      <c r="L94" s="16"/>
    </row>
    <row r="95" spans="1:12" s="18" customFormat="1" ht="15" customHeight="1">
      <c r="A95" s="82"/>
      <c r="B95" s="83"/>
      <c r="C95" s="59"/>
      <c r="D95" s="59"/>
      <c r="E95" s="59"/>
      <c r="F95" s="16"/>
      <c r="G95" s="16"/>
      <c r="H95" s="16"/>
      <c r="I95" s="16"/>
      <c r="J95" s="16"/>
      <c r="K95" s="16"/>
      <c r="L95" s="16"/>
    </row>
    <row r="96" spans="1:12" s="18" customFormat="1" ht="15" customHeight="1">
      <c r="A96" s="82"/>
      <c r="B96" s="83"/>
      <c r="C96" s="59"/>
      <c r="D96" s="59"/>
      <c r="E96" s="59"/>
      <c r="F96" s="16"/>
      <c r="G96" s="16"/>
      <c r="H96" s="16"/>
      <c r="I96" s="16"/>
      <c r="J96" s="16"/>
      <c r="K96" s="16"/>
      <c r="L96" s="16"/>
    </row>
    <row r="97" spans="1:12" s="18" customFormat="1" ht="15" customHeight="1">
      <c r="A97" s="82"/>
      <c r="B97" s="83"/>
      <c r="C97" s="59"/>
      <c r="D97" s="59"/>
      <c r="E97" s="59"/>
      <c r="F97" s="16"/>
      <c r="G97" s="16"/>
      <c r="H97" s="16"/>
      <c r="I97" s="16"/>
      <c r="J97" s="16"/>
      <c r="K97" s="16"/>
      <c r="L97" s="16"/>
    </row>
    <row r="98" spans="1:12" s="18" customFormat="1" ht="15" customHeight="1">
      <c r="A98" s="82"/>
      <c r="B98" s="83"/>
      <c r="C98" s="60"/>
      <c r="D98" s="60"/>
      <c r="E98" s="60"/>
      <c r="F98" s="45"/>
      <c r="G98" s="45"/>
      <c r="H98" s="45"/>
      <c r="I98" s="45"/>
      <c r="J98" s="45"/>
      <c r="K98" s="45"/>
      <c r="L98" s="45"/>
    </row>
    <row r="99" spans="1:12" s="18" customFormat="1" ht="15" customHeight="1">
      <c r="A99" s="82"/>
      <c r="B99" s="83"/>
      <c r="C99" s="59"/>
      <c r="D99" s="59"/>
      <c r="E99" s="59"/>
      <c r="F99" s="16"/>
      <c r="G99" s="16"/>
      <c r="H99" s="16"/>
      <c r="I99" s="16"/>
      <c r="J99" s="16"/>
      <c r="K99" s="16"/>
      <c r="L99" s="16"/>
    </row>
    <row r="100" spans="1:12" s="18" customFormat="1" ht="15" customHeight="1">
      <c r="A100" s="82"/>
      <c r="B100" s="83"/>
      <c r="C100" s="59"/>
      <c r="D100" s="59"/>
      <c r="E100" s="59"/>
      <c r="F100" s="16"/>
      <c r="G100" s="16"/>
      <c r="H100" s="16"/>
      <c r="I100" s="16"/>
      <c r="J100" s="16"/>
      <c r="K100" s="16"/>
      <c r="L100" s="16"/>
    </row>
    <row r="101" spans="1:12" s="18" customFormat="1" ht="15" customHeight="1">
      <c r="A101" s="82"/>
      <c r="B101" s="83"/>
      <c r="C101" s="59"/>
      <c r="D101" s="59"/>
      <c r="E101" s="59"/>
      <c r="F101" s="16"/>
      <c r="G101" s="16"/>
      <c r="H101" s="16"/>
      <c r="I101" s="16"/>
      <c r="J101" s="16"/>
      <c r="K101" s="16"/>
      <c r="L101" s="16"/>
    </row>
    <row r="102" spans="1:12" s="18" customFormat="1" ht="15" customHeight="1">
      <c r="A102" s="82"/>
      <c r="B102" s="83"/>
      <c r="C102" s="59"/>
      <c r="D102" s="59"/>
      <c r="E102" s="59"/>
      <c r="F102" s="16"/>
      <c r="G102" s="16"/>
      <c r="H102" s="16"/>
      <c r="I102" s="16"/>
      <c r="J102" s="16"/>
      <c r="K102" s="16"/>
      <c r="L102" s="16"/>
    </row>
    <row r="103" spans="1:12" s="18" customFormat="1" ht="15" customHeight="1">
      <c r="A103" s="82"/>
      <c r="B103" s="83"/>
      <c r="C103" s="59"/>
      <c r="D103" s="59"/>
      <c r="E103" s="59"/>
      <c r="F103" s="40"/>
      <c r="G103" s="40"/>
      <c r="H103" s="40"/>
      <c r="I103" s="40"/>
      <c r="J103" s="40"/>
      <c r="K103" s="40"/>
      <c r="L103" s="40"/>
    </row>
    <row r="104" spans="1:12" s="18" customFormat="1" ht="15" customHeight="1">
      <c r="A104" s="82"/>
      <c r="B104" s="83"/>
      <c r="C104" s="59"/>
      <c r="D104" s="59"/>
      <c r="E104" s="59"/>
      <c r="F104" s="40"/>
      <c r="G104" s="40"/>
      <c r="H104" s="40"/>
      <c r="I104" s="40"/>
      <c r="J104" s="40"/>
      <c r="K104" s="40"/>
      <c r="L104" s="40"/>
    </row>
    <row r="105" spans="1:12" s="18" customFormat="1" ht="15" customHeight="1">
      <c r="A105" s="82"/>
      <c r="B105" s="83"/>
      <c r="C105" s="59"/>
      <c r="D105" s="59"/>
      <c r="E105" s="59"/>
      <c r="F105" s="40"/>
      <c r="G105" s="40"/>
      <c r="H105" s="40"/>
      <c r="I105" s="40"/>
      <c r="J105" s="40"/>
      <c r="K105" s="40"/>
      <c r="L105" s="40"/>
    </row>
    <row r="106" spans="1:12" s="18" customFormat="1" ht="15" customHeight="1">
      <c r="A106" s="82"/>
      <c r="B106" s="83"/>
      <c r="C106" s="59"/>
      <c r="D106" s="59"/>
      <c r="E106" s="59"/>
      <c r="F106" s="16"/>
      <c r="G106" s="16"/>
      <c r="H106" s="16"/>
      <c r="I106" s="16"/>
      <c r="J106" s="16"/>
      <c r="K106" s="16"/>
      <c r="L106" s="16"/>
    </row>
    <row r="107" spans="1:12" s="18" customFormat="1" ht="15" customHeight="1">
      <c r="A107" s="82"/>
      <c r="B107" s="83"/>
      <c r="C107" s="59"/>
      <c r="D107" s="59"/>
      <c r="E107" s="59"/>
      <c r="F107" s="16"/>
      <c r="G107" s="16"/>
      <c r="H107" s="16"/>
      <c r="I107" s="16"/>
      <c r="J107" s="16"/>
      <c r="K107" s="16"/>
      <c r="L107" s="16"/>
    </row>
    <row r="108" spans="1:12" s="18" customFormat="1" ht="15" customHeight="1">
      <c r="A108" s="82"/>
      <c r="B108" s="83"/>
      <c r="C108" s="59"/>
      <c r="D108" s="59"/>
      <c r="E108" s="59"/>
      <c r="F108" s="16"/>
      <c r="G108" s="16"/>
      <c r="H108" s="16"/>
      <c r="I108" s="16"/>
      <c r="J108" s="16"/>
      <c r="K108" s="16"/>
      <c r="L108" s="16"/>
    </row>
    <row r="109" spans="1:12" s="18" customFormat="1" ht="15" customHeight="1">
      <c r="A109" s="82"/>
      <c r="B109" s="83"/>
      <c r="C109" s="59"/>
      <c r="D109" s="59"/>
      <c r="E109" s="59"/>
      <c r="F109" s="16"/>
      <c r="G109" s="16"/>
      <c r="H109" s="16"/>
      <c r="I109" s="16"/>
      <c r="J109" s="16"/>
      <c r="K109" s="16"/>
      <c r="L109" s="16"/>
    </row>
    <row r="110" spans="1:12" s="18" customFormat="1" ht="15" customHeight="1">
      <c r="A110" s="82"/>
      <c r="B110" s="83"/>
      <c r="C110" s="59"/>
      <c r="D110" s="59"/>
      <c r="E110" s="59"/>
      <c r="F110" s="16"/>
      <c r="G110" s="16"/>
      <c r="H110" s="16"/>
      <c r="I110" s="16"/>
      <c r="J110" s="16"/>
      <c r="K110" s="16"/>
      <c r="L110" s="16"/>
    </row>
    <row r="111" spans="1:12" s="18" customFormat="1" ht="15" customHeight="1">
      <c r="A111" s="82"/>
      <c r="B111" s="83"/>
      <c r="C111" s="59"/>
      <c r="D111" s="59"/>
      <c r="E111" s="59"/>
      <c r="F111" s="16"/>
      <c r="G111" s="16"/>
      <c r="H111" s="16"/>
      <c r="I111" s="16"/>
      <c r="J111" s="16"/>
      <c r="K111" s="16"/>
      <c r="L111" s="16"/>
    </row>
    <row r="112" spans="1:12" s="18" customFormat="1" ht="15" customHeight="1">
      <c r="A112" s="82"/>
      <c r="B112" s="83"/>
      <c r="C112" s="59"/>
      <c r="D112" s="59"/>
      <c r="E112" s="59"/>
      <c r="F112" s="16"/>
      <c r="G112" s="16"/>
      <c r="H112" s="16"/>
      <c r="I112" s="16"/>
      <c r="J112" s="16"/>
      <c r="K112" s="16"/>
      <c r="L112" s="16"/>
    </row>
    <row r="113" spans="1:12" s="18" customFormat="1" ht="15" customHeight="1">
      <c r="A113" s="82"/>
      <c r="B113" s="83"/>
      <c r="C113" s="59"/>
      <c r="D113" s="59"/>
      <c r="E113" s="59"/>
      <c r="F113" s="16"/>
      <c r="G113" s="16"/>
      <c r="H113" s="16"/>
      <c r="I113" s="16"/>
      <c r="J113" s="16"/>
      <c r="K113" s="16"/>
      <c r="L113" s="16"/>
    </row>
    <row r="114" spans="1:12" s="18" customFormat="1" ht="15" customHeight="1">
      <c r="A114" s="82"/>
      <c r="B114" s="83"/>
      <c r="C114" s="59"/>
      <c r="D114" s="59"/>
      <c r="E114" s="59"/>
      <c r="F114" s="16"/>
      <c r="G114" s="16"/>
      <c r="H114" s="16"/>
      <c r="I114" s="16"/>
      <c r="J114" s="16"/>
      <c r="K114" s="16"/>
      <c r="L114" s="16"/>
    </row>
    <row r="115" spans="1:12" s="18" customFormat="1" ht="15" customHeight="1">
      <c r="A115" s="82"/>
      <c r="B115" s="83"/>
      <c r="C115" s="59"/>
      <c r="D115" s="59"/>
      <c r="E115" s="59"/>
      <c r="F115" s="16"/>
      <c r="G115" s="16"/>
      <c r="H115" s="16"/>
      <c r="I115" s="16"/>
      <c r="J115" s="16"/>
      <c r="K115" s="16"/>
      <c r="L115" s="16"/>
    </row>
    <row r="116" spans="1:12" s="18" customFormat="1" ht="15" customHeight="1">
      <c r="A116" s="82"/>
      <c r="B116" s="83"/>
      <c r="C116" s="59"/>
      <c r="D116" s="59"/>
      <c r="E116" s="59"/>
      <c r="F116" s="16"/>
      <c r="G116" s="16"/>
      <c r="H116" s="16"/>
      <c r="I116" s="16"/>
      <c r="J116" s="16"/>
      <c r="K116" s="16"/>
      <c r="L116" s="16"/>
    </row>
    <row r="117" spans="1:12" s="18" customFormat="1" ht="15" customHeight="1">
      <c r="A117" s="82"/>
      <c r="B117" s="83"/>
      <c r="C117" s="59"/>
      <c r="D117" s="59"/>
      <c r="E117" s="59"/>
      <c r="F117" s="16"/>
      <c r="G117" s="16"/>
      <c r="H117" s="16"/>
      <c r="I117" s="16"/>
      <c r="J117" s="16"/>
      <c r="K117" s="16"/>
      <c r="L117" s="16"/>
    </row>
    <row r="118" spans="1:12" s="18" customFormat="1" ht="15" customHeight="1">
      <c r="A118" s="82"/>
      <c r="B118" s="83"/>
      <c r="C118" s="60"/>
      <c r="D118" s="60"/>
      <c r="E118" s="60"/>
      <c r="F118" s="45"/>
      <c r="G118" s="45"/>
      <c r="H118" s="45"/>
      <c r="I118" s="45"/>
      <c r="J118" s="45"/>
      <c r="K118" s="45"/>
      <c r="L118" s="45"/>
    </row>
    <row r="119" spans="1:12" s="18" customFormat="1" ht="15" customHeight="1">
      <c r="A119" s="82"/>
      <c r="B119" s="83"/>
      <c r="C119" s="59"/>
      <c r="D119" s="59"/>
      <c r="E119" s="59"/>
      <c r="F119" s="16"/>
      <c r="G119" s="16"/>
      <c r="H119" s="16"/>
      <c r="I119" s="16"/>
      <c r="J119" s="16"/>
      <c r="K119" s="16"/>
      <c r="L119" s="16"/>
    </row>
    <row r="120" spans="1:12" s="18" customFormat="1" ht="15" customHeight="1">
      <c r="A120" s="82"/>
      <c r="B120" s="83"/>
      <c r="C120" s="59"/>
      <c r="D120" s="59"/>
      <c r="E120" s="59"/>
      <c r="F120" s="16"/>
      <c r="G120" s="16"/>
      <c r="H120" s="16"/>
      <c r="I120" s="16"/>
      <c r="J120" s="16"/>
      <c r="K120" s="16"/>
      <c r="L120" s="16"/>
    </row>
    <row r="121" spans="1:12" s="18" customFormat="1" ht="15" customHeight="1">
      <c r="A121" s="82"/>
      <c r="B121" s="83"/>
      <c r="C121" s="59"/>
      <c r="D121" s="59"/>
      <c r="E121" s="59"/>
      <c r="F121" s="16"/>
      <c r="G121" s="16"/>
      <c r="H121" s="16"/>
      <c r="I121" s="16"/>
      <c r="J121" s="16"/>
      <c r="K121" s="16"/>
      <c r="L121" s="16"/>
    </row>
    <row r="122" spans="1:12" s="18" customFormat="1" ht="15" customHeight="1">
      <c r="A122" s="82"/>
      <c r="B122" s="83"/>
      <c r="C122" s="59"/>
      <c r="D122" s="59"/>
      <c r="E122" s="59"/>
      <c r="F122" s="16"/>
      <c r="G122" s="16"/>
      <c r="H122" s="16"/>
      <c r="I122" s="16"/>
      <c r="J122" s="16"/>
      <c r="K122" s="16"/>
      <c r="L122" s="16"/>
    </row>
    <row r="123" spans="1:12" s="18" customFormat="1" ht="15" customHeight="1">
      <c r="A123" s="82"/>
      <c r="B123" s="83"/>
      <c r="C123" s="59"/>
      <c r="D123" s="59"/>
      <c r="E123" s="59"/>
      <c r="F123" s="40"/>
      <c r="G123" s="40"/>
      <c r="H123" s="40"/>
      <c r="I123" s="40"/>
      <c r="J123" s="40"/>
      <c r="K123" s="40"/>
      <c r="L123" s="40"/>
    </row>
    <row r="124" spans="1:12" s="18" customFormat="1" ht="15" customHeight="1">
      <c r="A124" s="82"/>
      <c r="B124" s="83"/>
      <c r="C124" s="59"/>
      <c r="D124" s="59"/>
      <c r="E124" s="59"/>
      <c r="F124" s="40"/>
      <c r="G124" s="40"/>
      <c r="H124" s="40"/>
      <c r="I124" s="40"/>
      <c r="J124" s="40"/>
      <c r="K124" s="40"/>
      <c r="L124" s="40"/>
    </row>
    <row r="125" spans="1:12" s="18" customFormat="1" ht="15" customHeight="1">
      <c r="A125" s="82"/>
      <c r="B125" s="83"/>
      <c r="C125" s="59"/>
      <c r="D125" s="59"/>
      <c r="E125" s="59"/>
      <c r="F125" s="40"/>
      <c r="G125" s="40"/>
      <c r="H125" s="40"/>
      <c r="I125" s="40"/>
      <c r="J125" s="40"/>
      <c r="K125" s="40"/>
      <c r="L125" s="40"/>
    </row>
    <row r="126" spans="1:12" s="18" customFormat="1" ht="15" customHeight="1">
      <c r="A126" s="82"/>
      <c r="B126" s="83"/>
      <c r="C126" s="59"/>
      <c r="D126" s="59"/>
      <c r="E126" s="59"/>
      <c r="F126" s="16"/>
      <c r="G126" s="16"/>
      <c r="H126" s="16"/>
      <c r="I126" s="16"/>
      <c r="J126" s="16"/>
      <c r="K126" s="16"/>
      <c r="L126" s="16"/>
    </row>
    <row r="127" spans="1:12" s="18" customFormat="1" ht="15" customHeight="1">
      <c r="A127" s="82"/>
      <c r="B127" s="83"/>
      <c r="C127" s="59"/>
      <c r="D127" s="59"/>
      <c r="E127" s="59"/>
      <c r="F127" s="16"/>
      <c r="G127" s="16"/>
      <c r="H127" s="16"/>
      <c r="I127" s="16"/>
      <c r="J127" s="16"/>
      <c r="K127" s="16"/>
      <c r="L127" s="16"/>
    </row>
    <row r="128" spans="1:12" s="18" customFormat="1" ht="15" customHeight="1">
      <c r="A128" s="82"/>
      <c r="B128" s="83"/>
      <c r="C128" s="59"/>
      <c r="D128" s="59"/>
      <c r="E128" s="59"/>
      <c r="F128" s="16"/>
      <c r="G128" s="16"/>
      <c r="H128" s="16"/>
      <c r="I128" s="16"/>
      <c r="J128" s="16"/>
      <c r="K128" s="16"/>
      <c r="L128" s="16"/>
    </row>
    <row r="129" spans="1:12" s="18" customFormat="1" ht="15" customHeight="1">
      <c r="A129" s="82"/>
      <c r="B129" s="83"/>
      <c r="C129" s="59"/>
      <c r="D129" s="59"/>
      <c r="E129" s="59"/>
      <c r="F129" s="16"/>
      <c r="G129" s="16"/>
      <c r="H129" s="16"/>
      <c r="I129" s="16"/>
      <c r="J129" s="16"/>
      <c r="K129" s="16"/>
      <c r="L129" s="16"/>
    </row>
    <row r="130" spans="1:12" s="18" customFormat="1" ht="15" customHeight="1">
      <c r="A130" s="82"/>
      <c r="B130" s="83"/>
      <c r="C130" s="59"/>
      <c r="D130" s="59"/>
      <c r="E130" s="59"/>
      <c r="F130" s="16"/>
      <c r="G130" s="16"/>
      <c r="H130" s="16"/>
      <c r="I130" s="16"/>
      <c r="J130" s="16"/>
      <c r="K130" s="16"/>
      <c r="L130" s="16"/>
    </row>
    <row r="131" spans="1:12" s="18" customFormat="1" ht="15" customHeight="1">
      <c r="A131" s="82"/>
      <c r="B131" s="83"/>
      <c r="C131" s="59"/>
      <c r="D131" s="59"/>
      <c r="E131" s="59"/>
      <c r="F131" s="16"/>
      <c r="G131" s="16"/>
      <c r="H131" s="16"/>
      <c r="I131" s="16"/>
      <c r="J131" s="16"/>
      <c r="K131" s="16"/>
      <c r="L131" s="16"/>
    </row>
    <row r="132" spans="1:12" s="18" customFormat="1" ht="15" customHeight="1">
      <c r="A132" s="82"/>
      <c r="B132" s="83"/>
      <c r="C132" s="59"/>
      <c r="D132" s="59"/>
      <c r="E132" s="59"/>
      <c r="F132" s="16"/>
      <c r="G132" s="16"/>
      <c r="H132" s="16"/>
      <c r="I132" s="16"/>
      <c r="J132" s="16"/>
      <c r="K132" s="16"/>
      <c r="L132" s="16"/>
    </row>
    <row r="133" spans="1:12" s="18" customFormat="1" ht="15" customHeight="1">
      <c r="A133" s="82"/>
      <c r="B133" s="83"/>
      <c r="C133" s="59"/>
      <c r="D133" s="59"/>
      <c r="E133" s="59"/>
      <c r="F133" s="16"/>
      <c r="G133" s="16"/>
      <c r="H133" s="16"/>
      <c r="I133" s="16"/>
      <c r="J133" s="16"/>
      <c r="K133" s="16"/>
      <c r="L133" s="16"/>
    </row>
    <row r="134" spans="1:12" s="18" customFormat="1" ht="15" customHeight="1">
      <c r="A134" s="82"/>
      <c r="B134" s="83"/>
      <c r="C134" s="59"/>
      <c r="D134" s="59"/>
      <c r="E134" s="59"/>
      <c r="F134" s="16"/>
      <c r="G134" s="16"/>
      <c r="H134" s="16"/>
      <c r="I134" s="16"/>
      <c r="J134" s="16"/>
      <c r="K134" s="16"/>
      <c r="L134" s="16"/>
    </row>
    <row r="135" spans="1:12" s="18" customFormat="1" ht="15" customHeight="1">
      <c r="A135" s="82"/>
      <c r="B135" s="83"/>
      <c r="C135" s="59"/>
      <c r="D135" s="59"/>
      <c r="E135" s="59"/>
      <c r="F135" s="16"/>
      <c r="G135" s="16"/>
      <c r="H135" s="16"/>
      <c r="I135" s="16"/>
      <c r="J135" s="16"/>
      <c r="K135" s="16"/>
      <c r="L135" s="16"/>
    </row>
    <row r="136" spans="1:12" s="18" customFormat="1" ht="15" customHeight="1">
      <c r="A136" s="82"/>
      <c r="B136" s="83"/>
      <c r="C136" s="59"/>
      <c r="D136" s="59"/>
      <c r="E136" s="59"/>
      <c r="F136" s="16"/>
      <c r="G136" s="16"/>
      <c r="H136" s="16"/>
      <c r="I136" s="16"/>
      <c r="J136" s="16"/>
      <c r="K136" s="16"/>
      <c r="L136" s="16"/>
    </row>
    <row r="137" spans="1:12" s="18" customFormat="1" ht="15" customHeight="1">
      <c r="A137" s="82"/>
      <c r="B137" s="83"/>
      <c r="C137" s="59"/>
      <c r="D137" s="59"/>
      <c r="E137" s="59"/>
      <c r="F137" s="16"/>
      <c r="G137" s="16"/>
      <c r="H137" s="16"/>
      <c r="I137" s="16"/>
      <c r="J137" s="16"/>
      <c r="K137" s="16"/>
      <c r="L137" s="16"/>
    </row>
    <row r="138" spans="1:12" s="18" customFormat="1" ht="15" customHeight="1">
      <c r="A138" s="82"/>
      <c r="B138" s="83"/>
      <c r="C138" s="60"/>
      <c r="D138" s="60"/>
      <c r="E138" s="60"/>
      <c r="F138" s="45"/>
      <c r="G138" s="45"/>
      <c r="H138" s="45"/>
      <c r="I138" s="45"/>
      <c r="J138" s="45"/>
      <c r="K138" s="45"/>
      <c r="L138" s="45"/>
    </row>
    <row r="139" spans="1:12" s="18" customFormat="1" ht="15" customHeight="1">
      <c r="A139" s="82"/>
      <c r="B139" s="83"/>
      <c r="C139" s="59"/>
      <c r="D139" s="59"/>
      <c r="E139" s="59"/>
      <c r="F139" s="16"/>
      <c r="G139" s="16"/>
      <c r="H139" s="16"/>
      <c r="I139" s="16"/>
      <c r="J139" s="16"/>
      <c r="K139" s="16"/>
      <c r="L139" s="16"/>
    </row>
    <row r="140" spans="1:12" s="18" customFormat="1" ht="15" customHeight="1">
      <c r="A140" s="82"/>
      <c r="B140" s="83"/>
      <c r="C140" s="59"/>
      <c r="D140" s="59"/>
      <c r="E140" s="59"/>
      <c r="F140" s="16"/>
      <c r="G140" s="16"/>
      <c r="H140" s="16"/>
      <c r="I140" s="16"/>
      <c r="J140" s="16"/>
      <c r="K140" s="16"/>
      <c r="L140" s="16"/>
    </row>
    <row r="141" spans="1:12" s="18" customFormat="1" ht="15" customHeight="1">
      <c r="A141" s="82"/>
      <c r="B141" s="83"/>
      <c r="C141" s="59"/>
      <c r="D141" s="59"/>
      <c r="E141" s="59"/>
      <c r="F141" s="16"/>
      <c r="G141" s="16"/>
      <c r="H141" s="16"/>
      <c r="I141" s="16"/>
      <c r="J141" s="16"/>
      <c r="K141" s="16"/>
      <c r="L141" s="16"/>
    </row>
    <row r="142" spans="1:12" s="18" customFormat="1" ht="15" customHeight="1">
      <c r="A142" s="82"/>
      <c r="B142" s="83"/>
      <c r="C142" s="59"/>
      <c r="D142" s="59"/>
      <c r="E142" s="59"/>
      <c r="F142" s="16"/>
      <c r="G142" s="16"/>
      <c r="H142" s="16"/>
      <c r="I142" s="16"/>
      <c r="J142" s="16"/>
      <c r="K142" s="16"/>
      <c r="L142" s="16"/>
    </row>
    <row r="143" spans="1:12" s="18" customFormat="1" ht="15" customHeight="1">
      <c r="A143" s="82"/>
      <c r="B143" s="83"/>
      <c r="C143" s="59"/>
      <c r="D143" s="59"/>
      <c r="E143" s="59"/>
      <c r="F143" s="40"/>
      <c r="G143" s="40"/>
      <c r="H143" s="40"/>
      <c r="I143" s="40"/>
      <c r="J143" s="40"/>
      <c r="K143" s="40"/>
      <c r="L143" s="40"/>
    </row>
    <row r="144" spans="1:12" s="18" customFormat="1" ht="15" customHeight="1">
      <c r="A144" s="82"/>
      <c r="B144" s="83"/>
      <c r="C144" s="59"/>
      <c r="D144" s="59"/>
      <c r="E144" s="59"/>
      <c r="F144" s="40"/>
      <c r="G144" s="40"/>
      <c r="H144" s="40"/>
      <c r="I144" s="40"/>
      <c r="J144" s="40"/>
      <c r="K144" s="40"/>
      <c r="L144" s="40"/>
    </row>
    <row r="145" spans="1:12" s="18" customFormat="1" ht="15" customHeight="1">
      <c r="A145" s="82"/>
      <c r="B145" s="83"/>
      <c r="C145" s="59"/>
      <c r="D145" s="59"/>
      <c r="E145" s="59"/>
      <c r="F145" s="40"/>
      <c r="G145" s="40"/>
      <c r="H145" s="40"/>
      <c r="I145" s="40"/>
      <c r="J145" s="40"/>
      <c r="K145" s="40"/>
      <c r="L145" s="40"/>
    </row>
    <row r="146" spans="1:12" s="18" customFormat="1" ht="15" customHeight="1">
      <c r="A146" s="82"/>
      <c r="B146" s="83"/>
      <c r="C146" s="59"/>
      <c r="D146" s="59"/>
      <c r="E146" s="59"/>
      <c r="F146" s="16"/>
      <c r="G146" s="16"/>
      <c r="H146" s="16"/>
      <c r="I146" s="16"/>
      <c r="J146" s="16"/>
      <c r="K146" s="16"/>
      <c r="L146" s="16"/>
    </row>
    <row r="147" spans="1:12" s="18" customFormat="1" ht="15" customHeight="1">
      <c r="A147" s="82"/>
      <c r="B147" s="83"/>
      <c r="C147" s="59"/>
      <c r="D147" s="59"/>
      <c r="E147" s="59"/>
      <c r="F147" s="16"/>
      <c r="G147" s="16"/>
      <c r="H147" s="16"/>
      <c r="I147" s="16"/>
      <c r="J147" s="16"/>
      <c r="K147" s="16"/>
      <c r="L147" s="16"/>
    </row>
    <row r="148" spans="1:12" s="18" customFormat="1" ht="15" customHeight="1">
      <c r="A148" s="82"/>
      <c r="B148" s="83"/>
      <c r="C148" s="59"/>
      <c r="D148" s="59"/>
      <c r="E148" s="59"/>
      <c r="F148" s="16"/>
      <c r="G148" s="16"/>
      <c r="H148" s="16"/>
      <c r="I148" s="16"/>
      <c r="J148" s="16"/>
      <c r="K148" s="16"/>
      <c r="L148" s="16"/>
    </row>
    <row r="149" spans="1:12" s="18" customFormat="1" ht="15" customHeight="1">
      <c r="A149" s="82"/>
      <c r="B149" s="83"/>
      <c r="C149" s="59"/>
      <c r="D149" s="59"/>
      <c r="E149" s="59"/>
      <c r="F149" s="16"/>
      <c r="G149" s="16"/>
      <c r="H149" s="16"/>
      <c r="I149" s="16"/>
      <c r="J149" s="16"/>
      <c r="K149" s="16"/>
      <c r="L149" s="16"/>
    </row>
    <row r="150" spans="1:12" s="18" customFormat="1" ht="15" customHeight="1">
      <c r="A150" s="82"/>
      <c r="B150" s="83"/>
      <c r="C150" s="59"/>
      <c r="D150" s="59"/>
      <c r="E150" s="59"/>
      <c r="F150" s="16"/>
      <c r="G150" s="16"/>
      <c r="H150" s="16"/>
      <c r="I150" s="16"/>
      <c r="J150" s="16"/>
      <c r="K150" s="16"/>
      <c r="L150" s="16"/>
    </row>
    <row r="151" spans="1:12" s="18" customFormat="1" ht="15" customHeight="1">
      <c r="A151" s="82"/>
      <c r="B151" s="83"/>
      <c r="C151" s="59"/>
      <c r="D151" s="59"/>
      <c r="E151" s="59"/>
      <c r="F151" s="16"/>
      <c r="G151" s="16"/>
      <c r="H151" s="16"/>
      <c r="I151" s="16"/>
      <c r="J151" s="16"/>
      <c r="K151" s="16"/>
      <c r="L151" s="16"/>
    </row>
    <row r="152" spans="1:12" s="18" customFormat="1" ht="15" customHeight="1">
      <c r="A152" s="82"/>
      <c r="B152" s="83"/>
      <c r="C152" s="59"/>
      <c r="D152" s="59"/>
      <c r="E152" s="59"/>
      <c r="F152" s="16"/>
      <c r="G152" s="16"/>
      <c r="H152" s="16"/>
      <c r="I152" s="16"/>
      <c r="J152" s="16"/>
      <c r="K152" s="16"/>
      <c r="L152" s="16"/>
    </row>
    <row r="153" spans="1:12" s="18" customFormat="1" ht="15" customHeight="1">
      <c r="A153" s="82"/>
      <c r="B153" s="83"/>
      <c r="C153" s="59"/>
      <c r="D153" s="59"/>
      <c r="E153" s="59"/>
      <c r="F153" s="16"/>
      <c r="G153" s="16"/>
      <c r="H153" s="16"/>
      <c r="I153" s="16"/>
      <c r="J153" s="16"/>
      <c r="K153" s="16"/>
      <c r="L153" s="16"/>
    </row>
    <row r="154" spans="1:12" s="18" customFormat="1" ht="15" customHeight="1">
      <c r="A154" s="82"/>
      <c r="B154" s="83"/>
      <c r="C154" s="59"/>
      <c r="D154" s="59"/>
      <c r="E154" s="59"/>
      <c r="F154" s="16"/>
      <c r="G154" s="16"/>
      <c r="H154" s="16"/>
      <c r="I154" s="16"/>
      <c r="J154" s="16"/>
      <c r="K154" s="16"/>
      <c r="L154" s="16"/>
    </row>
    <row r="155" spans="1:12" s="18" customFormat="1" ht="15" customHeight="1">
      <c r="A155" s="82"/>
      <c r="B155" s="83"/>
      <c r="C155" s="59"/>
      <c r="D155" s="59"/>
      <c r="E155" s="59"/>
      <c r="F155" s="16"/>
      <c r="G155" s="16"/>
      <c r="H155" s="16"/>
      <c r="I155" s="16"/>
      <c r="J155" s="16"/>
      <c r="K155" s="16"/>
      <c r="L155" s="16"/>
    </row>
    <row r="156" spans="1:12" s="18" customFormat="1" ht="15" customHeight="1">
      <c r="A156" s="82"/>
      <c r="B156" s="83"/>
      <c r="C156" s="59"/>
      <c r="D156" s="59"/>
      <c r="E156" s="59"/>
      <c r="F156" s="16"/>
      <c r="G156" s="16"/>
      <c r="H156" s="16"/>
      <c r="I156" s="16"/>
      <c r="J156" s="16"/>
      <c r="K156" s="16"/>
      <c r="L156" s="16"/>
    </row>
    <row r="157" spans="1:12" s="18" customFormat="1" ht="15" customHeight="1">
      <c r="A157" s="82"/>
      <c r="B157" s="83"/>
      <c r="C157" s="59"/>
      <c r="D157" s="59"/>
      <c r="E157" s="59"/>
      <c r="F157" s="16"/>
      <c r="G157" s="16"/>
      <c r="H157" s="16"/>
      <c r="I157" s="16"/>
      <c r="J157" s="16"/>
      <c r="K157" s="16"/>
      <c r="L157" s="16"/>
    </row>
    <row r="158" spans="1:12" s="18" customFormat="1" ht="15" customHeight="1">
      <c r="A158" s="82"/>
      <c r="B158" s="83"/>
      <c r="C158" s="60"/>
      <c r="D158" s="60"/>
      <c r="E158" s="60"/>
      <c r="F158" s="45"/>
      <c r="G158" s="45"/>
      <c r="H158" s="45"/>
      <c r="I158" s="45"/>
      <c r="J158" s="45"/>
      <c r="K158" s="45"/>
      <c r="L158" s="45"/>
    </row>
    <row r="159" spans="1:12" s="18" customFormat="1" ht="15" customHeight="1">
      <c r="A159" s="82"/>
      <c r="B159" s="83"/>
      <c r="C159" s="59"/>
      <c r="D159" s="59"/>
      <c r="E159" s="59"/>
      <c r="F159" s="16"/>
      <c r="G159" s="16"/>
      <c r="H159" s="16"/>
      <c r="I159" s="16"/>
      <c r="J159" s="16"/>
      <c r="K159" s="16"/>
      <c r="L159" s="16"/>
    </row>
    <row r="160" spans="1:12" s="18" customFormat="1" ht="15" customHeight="1">
      <c r="A160" s="82"/>
      <c r="B160" s="83"/>
      <c r="C160" s="59"/>
      <c r="D160" s="59"/>
      <c r="E160" s="59"/>
      <c r="F160" s="16"/>
      <c r="G160" s="16"/>
      <c r="H160" s="16"/>
      <c r="I160" s="16"/>
      <c r="J160" s="16"/>
      <c r="K160" s="16"/>
      <c r="L160" s="16"/>
    </row>
    <row r="161" spans="1:12" s="18" customFormat="1" ht="15" customHeight="1">
      <c r="A161" s="82"/>
      <c r="B161" s="83"/>
      <c r="C161" s="59"/>
      <c r="D161" s="59"/>
      <c r="E161" s="59"/>
      <c r="F161" s="16"/>
      <c r="G161" s="16"/>
      <c r="H161" s="16"/>
      <c r="I161" s="16"/>
      <c r="J161" s="16"/>
      <c r="K161" s="16"/>
      <c r="L161" s="16"/>
    </row>
    <row r="162" spans="1:12" s="18" customFormat="1" ht="15" customHeight="1">
      <c r="A162" s="82"/>
      <c r="B162" s="83"/>
      <c r="C162" s="59"/>
      <c r="D162" s="59"/>
      <c r="E162" s="59"/>
      <c r="F162" s="16"/>
      <c r="G162" s="16"/>
      <c r="H162" s="16"/>
      <c r="I162" s="16"/>
      <c r="J162" s="16"/>
      <c r="K162" s="16"/>
      <c r="L162" s="16"/>
    </row>
    <row r="163" spans="1:12" s="18" customFormat="1" ht="15" customHeight="1">
      <c r="A163" s="82"/>
      <c r="B163" s="83"/>
      <c r="C163" s="59"/>
      <c r="D163" s="59"/>
      <c r="E163" s="59"/>
      <c r="F163" s="40"/>
      <c r="G163" s="40"/>
      <c r="H163" s="40"/>
      <c r="I163" s="40"/>
      <c r="J163" s="40"/>
      <c r="K163" s="40"/>
      <c r="L163" s="40"/>
    </row>
    <row r="164" spans="1:12" s="18" customFormat="1" ht="15" customHeight="1">
      <c r="A164" s="82"/>
      <c r="B164" s="83"/>
      <c r="C164" s="59"/>
      <c r="D164" s="59"/>
      <c r="E164" s="59"/>
      <c r="F164" s="40"/>
      <c r="G164" s="40"/>
      <c r="H164" s="40"/>
      <c r="I164" s="40"/>
      <c r="J164" s="40"/>
      <c r="K164" s="40"/>
      <c r="L164" s="40"/>
    </row>
    <row r="165" spans="1:12" s="18" customFormat="1" ht="15" customHeight="1">
      <c r="A165" s="82"/>
      <c r="B165" s="83"/>
      <c r="C165" s="59"/>
      <c r="D165" s="59"/>
      <c r="E165" s="59"/>
      <c r="F165" s="40"/>
      <c r="G165" s="40"/>
      <c r="H165" s="40"/>
      <c r="I165" s="40"/>
      <c r="J165" s="40"/>
      <c r="K165" s="40"/>
      <c r="L165" s="40"/>
    </row>
    <row r="166" spans="1:12" s="18" customFormat="1" ht="15" customHeight="1">
      <c r="A166" s="82"/>
      <c r="B166" s="83"/>
      <c r="C166" s="59"/>
      <c r="D166" s="59"/>
      <c r="E166" s="59"/>
      <c r="F166" s="16"/>
      <c r="G166" s="16"/>
      <c r="H166" s="16"/>
      <c r="I166" s="16"/>
      <c r="J166" s="16"/>
      <c r="K166" s="16"/>
      <c r="L166" s="16"/>
    </row>
    <row r="167" spans="1:12" s="18" customFormat="1" ht="15" customHeight="1">
      <c r="A167" s="82"/>
      <c r="B167" s="83"/>
      <c r="C167" s="41"/>
      <c r="D167" s="41"/>
      <c r="E167" s="41"/>
      <c r="F167" s="16"/>
      <c r="G167" s="16"/>
      <c r="H167" s="16"/>
      <c r="I167" s="16"/>
      <c r="J167" s="16"/>
      <c r="K167" s="16"/>
      <c r="L167" s="16"/>
    </row>
    <row r="168" spans="1:12" s="18" customFormat="1" ht="15" customHeight="1">
      <c r="A168" s="82"/>
      <c r="B168" s="83"/>
      <c r="C168" s="41"/>
      <c r="D168" s="41"/>
      <c r="E168" s="41"/>
      <c r="F168" s="16"/>
      <c r="G168" s="16"/>
      <c r="H168" s="16"/>
      <c r="I168" s="16"/>
      <c r="J168" s="16"/>
      <c r="K168" s="16"/>
      <c r="L168" s="16"/>
    </row>
    <row r="169" spans="1:12" s="18" customFormat="1" ht="15" customHeight="1">
      <c r="A169" s="82"/>
      <c r="B169" s="83"/>
      <c r="C169" s="41"/>
      <c r="D169" s="41"/>
      <c r="E169" s="41"/>
      <c r="F169" s="16"/>
      <c r="G169" s="16"/>
      <c r="H169" s="16"/>
      <c r="I169" s="16"/>
      <c r="J169" s="16"/>
      <c r="K169" s="16"/>
      <c r="L169" s="16"/>
    </row>
    <row r="170" spans="1:12" s="18" customFormat="1" ht="15" customHeight="1">
      <c r="A170" s="82"/>
      <c r="B170" s="83"/>
      <c r="C170" s="59"/>
      <c r="D170" s="59"/>
      <c r="E170" s="59"/>
      <c r="F170" s="16"/>
      <c r="G170" s="16"/>
      <c r="H170" s="16"/>
      <c r="I170" s="16"/>
      <c r="J170" s="16"/>
      <c r="K170" s="16"/>
      <c r="L170" s="16"/>
    </row>
    <row r="171" spans="1:12" s="18" customFormat="1" ht="15" customHeight="1">
      <c r="A171" s="82"/>
      <c r="B171" s="83"/>
      <c r="C171" s="59"/>
      <c r="D171" s="59"/>
      <c r="E171" s="59"/>
      <c r="F171" s="16"/>
      <c r="G171" s="16"/>
      <c r="H171" s="16"/>
      <c r="I171" s="16"/>
      <c r="J171" s="16"/>
      <c r="K171" s="16"/>
      <c r="L171" s="16"/>
    </row>
    <row r="172" spans="1:12" s="18" customFormat="1" ht="15" customHeight="1">
      <c r="A172" s="82"/>
      <c r="B172" s="83"/>
      <c r="C172" s="59"/>
      <c r="D172" s="59"/>
      <c r="E172" s="59"/>
      <c r="F172" s="16"/>
      <c r="G172" s="16"/>
      <c r="H172" s="16"/>
      <c r="I172" s="16"/>
      <c r="J172" s="16"/>
      <c r="K172" s="16"/>
      <c r="L172" s="16"/>
    </row>
    <row r="173" spans="1:12" s="18" customFormat="1" ht="15" customHeight="1">
      <c r="A173" s="82"/>
      <c r="B173" s="83"/>
      <c r="C173" s="59"/>
      <c r="D173" s="59"/>
      <c r="E173" s="59"/>
      <c r="F173" s="16"/>
      <c r="G173" s="16"/>
      <c r="H173" s="16"/>
      <c r="I173" s="16"/>
      <c r="J173" s="16"/>
      <c r="K173" s="16"/>
      <c r="L173" s="16"/>
    </row>
    <row r="174" spans="1:12" s="18" customFormat="1" ht="15" customHeight="1">
      <c r="A174" s="82"/>
      <c r="B174" s="83"/>
      <c r="C174" s="59"/>
      <c r="D174" s="59"/>
      <c r="E174" s="59"/>
      <c r="F174" s="16"/>
      <c r="G174" s="16"/>
      <c r="H174" s="16"/>
      <c r="I174" s="16"/>
      <c r="J174" s="16"/>
      <c r="K174" s="16"/>
      <c r="L174" s="16"/>
    </row>
    <row r="175" spans="1:12" s="18" customFormat="1" ht="15" customHeight="1">
      <c r="A175" s="82"/>
      <c r="B175" s="83"/>
      <c r="C175" s="59"/>
      <c r="D175" s="59"/>
      <c r="E175" s="59"/>
      <c r="F175" s="16"/>
      <c r="G175" s="16"/>
      <c r="H175" s="16"/>
      <c r="I175" s="16"/>
      <c r="J175" s="16"/>
      <c r="K175" s="16"/>
      <c r="L175" s="16"/>
    </row>
    <row r="176" spans="1:12" s="18" customFormat="1" ht="15" customHeight="1">
      <c r="A176" s="82"/>
      <c r="B176" s="83"/>
      <c r="C176" s="59"/>
      <c r="D176" s="59"/>
      <c r="E176" s="59"/>
      <c r="F176" s="16"/>
      <c r="G176" s="16"/>
      <c r="H176" s="16"/>
      <c r="I176" s="16"/>
      <c r="J176" s="16"/>
      <c r="K176" s="16"/>
      <c r="L176" s="16"/>
    </row>
    <row r="177" spans="1:12" s="18" customFormat="1" ht="15" customHeight="1">
      <c r="A177" s="82"/>
      <c r="B177" s="83"/>
      <c r="C177" s="59"/>
      <c r="D177" s="59"/>
      <c r="E177" s="59"/>
      <c r="F177" s="16"/>
      <c r="G177" s="16"/>
      <c r="H177" s="16"/>
      <c r="I177" s="16"/>
      <c r="J177" s="16"/>
      <c r="K177" s="16"/>
      <c r="L177" s="16"/>
    </row>
    <row r="178" spans="1:12" s="18" customFormat="1" ht="15" customHeight="1">
      <c r="A178" s="82"/>
      <c r="B178" s="83"/>
      <c r="C178" s="60"/>
      <c r="D178" s="60"/>
      <c r="E178" s="60"/>
      <c r="F178" s="45"/>
      <c r="G178" s="45"/>
      <c r="H178" s="45"/>
      <c r="I178" s="45"/>
      <c r="J178" s="45"/>
      <c r="K178" s="45"/>
      <c r="L178" s="45"/>
    </row>
    <row r="179" spans="1:12" s="18" customFormat="1" ht="15" customHeight="1">
      <c r="A179" s="82"/>
      <c r="B179" s="83"/>
      <c r="C179" s="59"/>
      <c r="D179" s="59"/>
      <c r="E179" s="59"/>
      <c r="F179" s="16"/>
      <c r="G179" s="16"/>
      <c r="H179" s="16"/>
      <c r="I179" s="16"/>
      <c r="J179" s="16"/>
      <c r="K179" s="16"/>
      <c r="L179" s="16"/>
    </row>
    <row r="180" spans="1:12" s="18" customFormat="1" ht="15" customHeight="1">
      <c r="A180" s="82"/>
      <c r="B180" s="83"/>
      <c r="C180" s="59"/>
      <c r="D180" s="59"/>
      <c r="E180" s="59"/>
      <c r="F180" s="16"/>
      <c r="G180" s="16"/>
      <c r="H180" s="16"/>
      <c r="I180" s="16"/>
      <c r="J180" s="16"/>
      <c r="K180" s="16"/>
      <c r="L180" s="16"/>
    </row>
    <row r="181" spans="1:12" s="18" customFormat="1" ht="15" customHeight="1">
      <c r="A181" s="82"/>
      <c r="B181" s="83"/>
      <c r="C181" s="59"/>
      <c r="D181" s="59"/>
      <c r="E181" s="59"/>
      <c r="F181" s="16"/>
      <c r="G181" s="16"/>
      <c r="H181" s="16"/>
      <c r="I181" s="16"/>
      <c r="J181" s="16"/>
      <c r="K181" s="16"/>
      <c r="L181" s="16"/>
    </row>
    <row r="182" spans="1:12" s="18" customFormat="1" ht="15" customHeight="1">
      <c r="A182" s="82"/>
      <c r="B182" s="83"/>
      <c r="C182" s="59"/>
      <c r="D182" s="59"/>
      <c r="E182" s="59"/>
      <c r="F182" s="40"/>
      <c r="G182" s="40"/>
      <c r="H182" s="40"/>
      <c r="I182" s="40"/>
      <c r="J182" s="40"/>
      <c r="K182" s="40"/>
      <c r="L182" s="40"/>
    </row>
    <row r="183" spans="1:12" s="18" customFormat="1" ht="15" customHeight="1">
      <c r="A183" s="82"/>
      <c r="B183" s="83"/>
      <c r="C183" s="59"/>
      <c r="D183" s="59"/>
      <c r="E183" s="59"/>
      <c r="F183" s="40"/>
      <c r="G183" s="40"/>
      <c r="H183" s="40"/>
      <c r="I183" s="40"/>
      <c r="J183" s="40"/>
      <c r="K183" s="40"/>
      <c r="L183" s="40"/>
    </row>
    <row r="184" spans="1:12" s="18" customFormat="1" ht="15" customHeight="1">
      <c r="A184" s="82"/>
      <c r="B184" s="83"/>
      <c r="C184" s="59"/>
      <c r="D184" s="59"/>
      <c r="E184" s="59"/>
      <c r="F184" s="40"/>
      <c r="G184" s="40"/>
      <c r="H184" s="40"/>
      <c r="I184" s="40"/>
      <c r="J184" s="40"/>
      <c r="K184" s="40"/>
      <c r="L184" s="40"/>
    </row>
    <row r="185" spans="1:12" s="18" customFormat="1" ht="15" customHeight="1">
      <c r="A185" s="82"/>
      <c r="B185" s="83"/>
      <c r="C185" s="59"/>
      <c r="D185" s="59"/>
      <c r="E185" s="59"/>
      <c r="F185" s="40"/>
      <c r="G185" s="40"/>
      <c r="H185" s="40"/>
      <c r="I185" s="40"/>
      <c r="J185" s="40"/>
      <c r="K185" s="40"/>
      <c r="L185" s="40"/>
    </row>
    <row r="186" spans="1:12" s="18" customFormat="1" ht="15" customHeight="1">
      <c r="A186" s="82"/>
      <c r="B186" s="83"/>
      <c r="C186" s="59"/>
      <c r="D186" s="59"/>
      <c r="E186" s="59"/>
      <c r="F186" s="16"/>
      <c r="G186" s="16"/>
      <c r="H186" s="16"/>
      <c r="I186" s="16"/>
      <c r="J186" s="16"/>
      <c r="K186" s="16"/>
      <c r="L186" s="16"/>
    </row>
    <row r="187" spans="1:12" s="18" customFormat="1" ht="15" customHeight="1">
      <c r="A187" s="82"/>
      <c r="B187" s="83"/>
      <c r="C187" s="41"/>
      <c r="D187" s="41"/>
      <c r="E187" s="41"/>
      <c r="F187" s="16"/>
      <c r="G187" s="16"/>
      <c r="H187" s="16"/>
      <c r="I187" s="16"/>
      <c r="J187" s="16"/>
      <c r="K187" s="16"/>
      <c r="L187" s="16"/>
    </row>
    <row r="188" spans="1:12" s="18" customFormat="1" ht="15" customHeight="1">
      <c r="A188" s="82"/>
      <c r="B188" s="83"/>
      <c r="C188" s="41"/>
      <c r="D188" s="41"/>
      <c r="E188" s="41"/>
      <c r="F188" s="16"/>
      <c r="G188" s="16"/>
      <c r="H188" s="16"/>
      <c r="I188" s="16"/>
      <c r="J188" s="16"/>
      <c r="K188" s="16"/>
      <c r="L188" s="16"/>
    </row>
    <row r="189" spans="1:12" s="18" customFormat="1" ht="15" customHeight="1">
      <c r="A189" s="82"/>
      <c r="B189" s="83"/>
      <c r="C189" s="41"/>
      <c r="D189" s="41"/>
      <c r="E189" s="41"/>
      <c r="F189" s="16"/>
      <c r="G189" s="16"/>
      <c r="H189" s="16"/>
      <c r="I189" s="16"/>
      <c r="J189" s="16"/>
      <c r="K189" s="16"/>
      <c r="L189" s="16"/>
    </row>
    <row r="190" spans="1:12" s="18" customFormat="1" ht="15" customHeight="1">
      <c r="A190" s="82"/>
      <c r="B190" s="83"/>
      <c r="C190" s="59"/>
      <c r="D190" s="59"/>
      <c r="E190" s="59"/>
      <c r="F190" s="16"/>
      <c r="G190" s="16"/>
      <c r="H190" s="16"/>
      <c r="I190" s="16"/>
      <c r="J190" s="16"/>
      <c r="K190" s="16"/>
      <c r="L190" s="16"/>
    </row>
    <row r="191" spans="1:12" s="18" customFormat="1" ht="15" customHeight="1">
      <c r="A191" s="82"/>
      <c r="B191" s="83"/>
      <c r="C191" s="59"/>
      <c r="D191" s="59"/>
      <c r="E191" s="59"/>
      <c r="F191" s="16"/>
      <c r="G191" s="16"/>
      <c r="H191" s="16"/>
      <c r="I191" s="16"/>
      <c r="J191" s="16"/>
      <c r="K191" s="16"/>
      <c r="L191" s="16"/>
    </row>
    <row r="192" spans="1:12" s="18" customFormat="1" ht="15" customHeight="1">
      <c r="A192" s="82"/>
      <c r="B192" s="83"/>
      <c r="C192" s="59"/>
      <c r="D192" s="59"/>
      <c r="E192" s="59"/>
      <c r="F192" s="16"/>
      <c r="G192" s="16"/>
      <c r="H192" s="16"/>
      <c r="I192" s="16"/>
      <c r="J192" s="16"/>
      <c r="K192" s="16"/>
      <c r="L192" s="16"/>
    </row>
    <row r="193" spans="1:14" s="18" customFormat="1" ht="15" customHeight="1">
      <c r="A193" s="82"/>
      <c r="B193" s="83"/>
      <c r="C193" s="59"/>
      <c r="D193" s="59"/>
      <c r="E193" s="59"/>
      <c r="F193" s="16"/>
      <c r="G193" s="16"/>
      <c r="H193" s="16"/>
      <c r="I193" s="16"/>
      <c r="J193" s="16"/>
      <c r="K193" s="16"/>
      <c r="L193" s="16"/>
    </row>
    <row r="194" spans="1:14" s="18" customFormat="1" ht="15" customHeight="1">
      <c r="A194" s="82"/>
      <c r="B194" s="83"/>
      <c r="C194" s="59"/>
      <c r="D194" s="59"/>
      <c r="E194" s="59"/>
      <c r="F194" s="16"/>
      <c r="G194" s="16"/>
      <c r="H194" s="16"/>
      <c r="I194" s="16"/>
      <c r="J194" s="16"/>
      <c r="K194" s="16"/>
      <c r="L194" s="16"/>
    </row>
    <row r="195" spans="1:14" s="18" customFormat="1" ht="15" customHeight="1">
      <c r="A195" s="82"/>
      <c r="B195" s="83"/>
      <c r="C195" s="59"/>
      <c r="D195" s="59"/>
      <c r="E195" s="59"/>
      <c r="F195" s="16"/>
      <c r="G195" s="16"/>
      <c r="H195" s="16"/>
      <c r="I195" s="16"/>
      <c r="J195" s="16"/>
      <c r="K195" s="16"/>
      <c r="L195" s="16"/>
    </row>
    <row r="196" spans="1:14" s="18" customFormat="1" ht="15" customHeight="1">
      <c r="A196" s="82"/>
      <c r="B196" s="83"/>
      <c r="C196" s="59"/>
      <c r="D196" s="59"/>
      <c r="E196" s="59"/>
      <c r="F196" s="16"/>
      <c r="G196" s="16"/>
      <c r="H196" s="16"/>
      <c r="I196" s="16"/>
      <c r="J196" s="16"/>
      <c r="K196" s="16"/>
      <c r="L196" s="16"/>
    </row>
    <row r="197" spans="1:14" s="18" customFormat="1" ht="15" customHeight="1">
      <c r="A197" s="82"/>
      <c r="B197" s="83"/>
      <c r="C197" s="59"/>
      <c r="D197" s="59"/>
      <c r="E197" s="59"/>
      <c r="F197" s="16"/>
      <c r="G197" s="16"/>
      <c r="H197" s="16"/>
      <c r="I197" s="16"/>
      <c r="J197" s="16"/>
      <c r="K197" s="16"/>
      <c r="L197" s="16"/>
    </row>
    <row r="198" spans="1:14" s="18" customFormat="1" ht="15" customHeight="1">
      <c r="A198" s="82"/>
      <c r="B198" s="83"/>
      <c r="C198" s="60"/>
      <c r="D198" s="60"/>
      <c r="E198" s="60"/>
      <c r="F198" s="45"/>
      <c r="G198" s="45"/>
      <c r="H198" s="45"/>
      <c r="I198" s="45"/>
      <c r="J198" s="45"/>
      <c r="K198" s="45"/>
      <c r="L198" s="45"/>
    </row>
    <row r="199" spans="1:14" s="18" customFormat="1" ht="15" customHeight="1">
      <c r="A199" s="82"/>
      <c r="B199" s="83"/>
      <c r="C199" s="59"/>
      <c r="D199" s="59"/>
      <c r="E199" s="59"/>
      <c r="F199" s="16"/>
      <c r="G199" s="16"/>
      <c r="H199" s="16"/>
      <c r="I199" s="16"/>
      <c r="J199" s="16"/>
      <c r="K199" s="16"/>
      <c r="L199" s="16"/>
    </row>
    <row r="200" spans="1:14" s="18" customFormat="1" ht="15" customHeight="1">
      <c r="A200" s="82"/>
      <c r="B200" s="83"/>
      <c r="C200" s="59"/>
      <c r="D200" s="59"/>
      <c r="E200" s="59"/>
      <c r="F200" s="16"/>
      <c r="G200" s="16"/>
      <c r="H200" s="16"/>
      <c r="I200" s="16"/>
      <c r="J200" s="16"/>
      <c r="K200" s="16"/>
      <c r="L200" s="16"/>
    </row>
    <row r="201" spans="1:14" s="18" customFormat="1" ht="15" customHeight="1">
      <c r="A201" s="82"/>
      <c r="B201" s="83"/>
      <c r="C201" s="59"/>
      <c r="D201" s="59"/>
      <c r="E201" s="59"/>
      <c r="F201" s="40"/>
      <c r="G201" s="40"/>
      <c r="H201" s="40"/>
      <c r="I201" s="40"/>
      <c r="J201" s="40"/>
      <c r="K201" s="40"/>
      <c r="L201" s="40"/>
    </row>
    <row r="202" spans="1:14" s="18" customFormat="1" ht="15" customHeight="1">
      <c r="A202" s="82"/>
      <c r="B202" s="83"/>
      <c r="C202" s="59"/>
      <c r="D202" s="59"/>
      <c r="E202" s="59"/>
      <c r="F202" s="40"/>
      <c r="G202" s="40"/>
      <c r="H202" s="40"/>
      <c r="I202" s="40"/>
      <c r="J202" s="40"/>
      <c r="K202" s="40"/>
      <c r="L202" s="40"/>
    </row>
    <row r="203" spans="1:14" s="18" customFormat="1" ht="15" customHeight="1">
      <c r="A203" s="82"/>
      <c r="B203" s="83"/>
      <c r="C203" s="59"/>
      <c r="D203" s="59"/>
      <c r="E203" s="59"/>
      <c r="F203" s="40"/>
      <c r="G203" s="40"/>
      <c r="H203" s="40"/>
      <c r="I203" s="40"/>
      <c r="J203" s="40"/>
      <c r="K203" s="40"/>
      <c r="L203" s="40"/>
    </row>
    <row r="204" spans="1:14" s="18" customFormat="1" ht="15" customHeight="1">
      <c r="A204" s="82"/>
      <c r="B204" s="83"/>
      <c r="C204" s="59"/>
      <c r="D204" s="59"/>
      <c r="E204" s="59"/>
      <c r="F204" s="40"/>
      <c r="G204" s="40"/>
      <c r="H204" s="40"/>
      <c r="I204" s="40"/>
      <c r="J204" s="40"/>
      <c r="K204" s="40"/>
      <c r="L204" s="40"/>
    </row>
    <row r="205" spans="1:14" s="18" customFormat="1" ht="15" customHeight="1">
      <c r="A205" s="82"/>
      <c r="B205" s="83"/>
      <c r="C205" s="59"/>
      <c r="D205" s="59"/>
      <c r="E205" s="59"/>
      <c r="F205" s="40"/>
      <c r="G205" s="40"/>
      <c r="H205" s="40"/>
      <c r="I205" s="40"/>
      <c r="J205" s="40"/>
      <c r="K205" s="40"/>
      <c r="L205" s="40"/>
    </row>
    <row r="206" spans="1:14" s="18" customFormat="1" ht="15" customHeight="1">
      <c r="A206" s="82"/>
      <c r="B206" s="83"/>
      <c r="C206" s="59"/>
      <c r="D206" s="59"/>
      <c r="E206" s="59"/>
      <c r="F206" s="16"/>
      <c r="G206" s="16"/>
      <c r="H206" s="16"/>
      <c r="I206" s="16"/>
      <c r="J206" s="16"/>
      <c r="K206" s="16"/>
      <c r="L206" s="16"/>
    </row>
    <row r="207" spans="1:14" s="18" customFormat="1" ht="15" customHeight="1">
      <c r="A207" s="82"/>
      <c r="B207" s="83"/>
      <c r="C207" s="41"/>
      <c r="D207" s="41"/>
      <c r="E207" s="41"/>
      <c r="F207" s="16"/>
      <c r="G207" s="16"/>
      <c r="H207" s="16"/>
      <c r="I207" s="16"/>
      <c r="J207" s="16"/>
      <c r="K207" s="16"/>
      <c r="L207" s="16"/>
    </row>
    <row r="208" spans="1:14" s="18" customFormat="1" ht="15" customHeight="1">
      <c r="A208" s="82"/>
      <c r="B208" s="83"/>
      <c r="C208" s="41"/>
      <c r="D208" s="41"/>
      <c r="E208" s="41"/>
      <c r="F208" s="16"/>
      <c r="G208" s="16"/>
      <c r="H208" s="16"/>
      <c r="I208" s="16"/>
      <c r="J208" s="16"/>
      <c r="K208" s="16"/>
      <c r="L208" s="16"/>
      <c r="N208" s="45"/>
    </row>
    <row r="209" spans="1:12" s="18" customFormat="1" ht="15" customHeight="1">
      <c r="A209" s="82"/>
      <c r="B209" s="83"/>
      <c r="C209" s="41"/>
      <c r="D209" s="41"/>
      <c r="E209" s="41"/>
      <c r="F209" s="16"/>
      <c r="G209" s="16"/>
      <c r="H209" s="16"/>
      <c r="I209" s="16"/>
      <c r="J209" s="16"/>
      <c r="K209" s="16"/>
      <c r="L209" s="16"/>
    </row>
    <row r="210" spans="1:12" s="18" customFormat="1" ht="15" customHeight="1">
      <c r="A210" s="82"/>
      <c r="B210" s="83"/>
      <c r="C210" s="59"/>
      <c r="D210" s="59"/>
      <c r="E210" s="59"/>
      <c r="F210" s="16"/>
      <c r="G210" s="16"/>
      <c r="H210" s="16"/>
      <c r="I210" s="16"/>
      <c r="J210" s="16"/>
      <c r="K210" s="16"/>
      <c r="L210" s="16"/>
    </row>
    <row r="211" spans="1:12" s="18" customFormat="1" ht="15" customHeight="1">
      <c r="A211" s="82"/>
      <c r="B211" s="83"/>
      <c r="C211" s="59"/>
      <c r="D211" s="59"/>
      <c r="E211" s="59"/>
      <c r="F211" s="16"/>
      <c r="G211" s="16"/>
      <c r="H211" s="16"/>
      <c r="I211" s="16"/>
      <c r="J211" s="16"/>
      <c r="K211" s="16"/>
      <c r="L211" s="16"/>
    </row>
    <row r="212" spans="1:12" s="18" customFormat="1" ht="15" customHeight="1">
      <c r="A212" s="82"/>
      <c r="B212" s="83"/>
      <c r="C212" s="59"/>
      <c r="D212" s="59"/>
      <c r="E212" s="59"/>
      <c r="F212" s="16"/>
      <c r="G212" s="16"/>
      <c r="H212" s="16"/>
      <c r="I212" s="16"/>
      <c r="J212" s="16"/>
      <c r="K212" s="16"/>
      <c r="L212" s="16"/>
    </row>
    <row r="213" spans="1:12" s="18" customFormat="1" ht="15" customHeight="1">
      <c r="A213" s="82"/>
      <c r="B213" s="83"/>
      <c r="C213" s="59"/>
      <c r="D213" s="59"/>
      <c r="E213" s="59"/>
      <c r="F213" s="16"/>
      <c r="G213" s="16"/>
      <c r="H213" s="16"/>
      <c r="I213" s="16"/>
      <c r="J213" s="16"/>
      <c r="K213" s="16"/>
      <c r="L213" s="16"/>
    </row>
    <row r="214" spans="1:12" s="18" customFormat="1" ht="15" customHeight="1">
      <c r="A214" s="82"/>
      <c r="B214" s="83"/>
      <c r="C214" s="59"/>
      <c r="D214" s="59"/>
      <c r="E214" s="59"/>
      <c r="F214" s="16"/>
      <c r="G214" s="16"/>
      <c r="H214" s="16"/>
      <c r="I214" s="16"/>
      <c r="J214" s="16"/>
      <c r="K214" s="16"/>
      <c r="L214" s="16"/>
    </row>
    <row r="215" spans="1:12" s="18" customFormat="1" ht="15" customHeight="1">
      <c r="A215" s="82"/>
      <c r="B215" s="83"/>
      <c r="C215" s="59"/>
      <c r="D215" s="59"/>
      <c r="E215" s="59"/>
      <c r="F215" s="16"/>
      <c r="G215" s="16"/>
      <c r="H215" s="16"/>
      <c r="I215" s="16"/>
      <c r="J215" s="16"/>
      <c r="K215" s="16"/>
      <c r="L215" s="16"/>
    </row>
    <row r="216" spans="1:12" s="18" customFormat="1" ht="15" customHeight="1">
      <c r="A216" s="82"/>
      <c r="B216" s="83"/>
      <c r="C216" s="59"/>
      <c r="D216" s="59"/>
      <c r="E216" s="59"/>
      <c r="F216" s="16"/>
      <c r="G216" s="16"/>
      <c r="H216" s="16"/>
      <c r="I216" s="16"/>
      <c r="J216" s="16"/>
      <c r="K216" s="16"/>
      <c r="L216" s="16"/>
    </row>
    <row r="217" spans="1:12" s="18" customFormat="1" ht="15" customHeight="1">
      <c r="A217" s="82"/>
      <c r="B217" s="83"/>
      <c r="C217" s="59"/>
      <c r="D217" s="59"/>
      <c r="E217" s="59"/>
      <c r="F217" s="16"/>
      <c r="G217" s="16"/>
      <c r="H217" s="16"/>
      <c r="I217" s="16"/>
      <c r="J217" s="16"/>
      <c r="K217" s="16"/>
      <c r="L217" s="16"/>
    </row>
    <row r="218" spans="1:12" s="18" customFormat="1" ht="15" customHeight="1">
      <c r="A218" s="82"/>
      <c r="B218" s="83"/>
      <c r="C218" s="60"/>
      <c r="D218" s="60"/>
      <c r="E218" s="60"/>
      <c r="F218" s="45"/>
      <c r="G218" s="45"/>
      <c r="H218" s="45"/>
      <c r="I218" s="45"/>
      <c r="J218" s="45"/>
      <c r="K218" s="45"/>
      <c r="L218" s="45"/>
    </row>
    <row r="219" spans="1:12" s="18" customFormat="1" ht="15" customHeight="1">
      <c r="A219" s="82"/>
      <c r="B219" s="83"/>
      <c r="C219" s="59"/>
      <c r="D219" s="59"/>
      <c r="E219" s="59"/>
      <c r="F219" s="16"/>
      <c r="G219" s="16"/>
      <c r="H219" s="16"/>
      <c r="I219" s="16"/>
      <c r="J219" s="16"/>
      <c r="K219" s="16"/>
      <c r="L219" s="16"/>
    </row>
    <row r="220" spans="1:12" s="18" customFormat="1" ht="15" customHeight="1">
      <c r="A220" s="82"/>
      <c r="B220" s="83"/>
      <c r="C220" s="59"/>
      <c r="D220" s="59"/>
      <c r="E220" s="59"/>
      <c r="F220" s="16"/>
      <c r="G220" s="16"/>
      <c r="H220" s="16"/>
      <c r="I220" s="16"/>
      <c r="J220" s="16"/>
      <c r="K220" s="16"/>
      <c r="L220" s="16"/>
    </row>
    <row r="221" spans="1:12" s="18" customFormat="1" ht="15" customHeight="1">
      <c r="A221" s="82"/>
      <c r="B221" s="83"/>
      <c r="C221" s="59"/>
      <c r="D221" s="59"/>
      <c r="E221" s="59"/>
      <c r="F221" s="40"/>
      <c r="G221" s="40"/>
      <c r="H221" s="40"/>
      <c r="I221" s="40"/>
      <c r="J221" s="40"/>
      <c r="K221" s="40"/>
      <c r="L221" s="40"/>
    </row>
    <row r="222" spans="1:12" s="18" customFormat="1" ht="15" customHeight="1">
      <c r="A222" s="82"/>
      <c r="B222" s="83"/>
      <c r="C222" s="59"/>
      <c r="D222" s="59"/>
      <c r="E222" s="59"/>
      <c r="F222" s="40"/>
      <c r="G222" s="40"/>
      <c r="H222" s="40"/>
      <c r="I222" s="40"/>
      <c r="J222" s="40"/>
      <c r="K222" s="40"/>
      <c r="L222" s="40"/>
    </row>
    <row r="223" spans="1:12" s="18" customFormat="1" ht="15" customHeight="1">
      <c r="A223" s="82"/>
      <c r="B223" s="83"/>
      <c r="C223" s="59"/>
      <c r="D223" s="59"/>
      <c r="E223" s="59"/>
      <c r="F223" s="40"/>
      <c r="G223" s="40"/>
      <c r="H223" s="40"/>
      <c r="I223" s="40"/>
      <c r="J223" s="40"/>
      <c r="K223" s="40"/>
      <c r="L223" s="40"/>
    </row>
    <row r="224" spans="1:12" s="18" customFormat="1" ht="15" customHeight="1">
      <c r="A224" s="82"/>
      <c r="B224" s="83"/>
      <c r="C224" s="59"/>
      <c r="D224" s="59"/>
      <c r="E224" s="59"/>
      <c r="F224" s="40"/>
      <c r="G224" s="40"/>
      <c r="H224" s="40"/>
      <c r="I224" s="40"/>
      <c r="J224" s="40"/>
      <c r="K224" s="40"/>
      <c r="L224" s="40"/>
    </row>
    <row r="225" spans="1:12" s="18" customFormat="1" ht="15" customHeight="1">
      <c r="A225" s="82"/>
      <c r="B225" s="83"/>
      <c r="C225" s="59"/>
      <c r="D225" s="59"/>
      <c r="E225" s="59"/>
      <c r="F225" s="40"/>
      <c r="G225" s="40"/>
      <c r="H225" s="40"/>
      <c r="I225" s="40"/>
      <c r="J225" s="40"/>
      <c r="K225" s="40"/>
      <c r="L225" s="40"/>
    </row>
    <row r="226" spans="1:12" s="18" customFormat="1" ht="15" customHeight="1">
      <c r="A226" s="82"/>
      <c r="B226" s="83"/>
      <c r="C226" s="59"/>
      <c r="D226" s="59"/>
      <c r="E226" s="59"/>
      <c r="F226" s="16"/>
      <c r="G226" s="16"/>
      <c r="H226" s="16"/>
      <c r="I226" s="16"/>
      <c r="J226" s="16"/>
      <c r="K226" s="16"/>
      <c r="L226" s="16"/>
    </row>
    <row r="227" spans="1:12" s="18" customFormat="1" ht="15" customHeight="1">
      <c r="A227" s="82"/>
      <c r="B227" s="83"/>
      <c r="C227" s="41"/>
      <c r="D227" s="41"/>
      <c r="E227" s="41"/>
      <c r="F227" s="16"/>
      <c r="G227" s="16"/>
      <c r="H227" s="16"/>
      <c r="I227" s="16"/>
      <c r="J227" s="16"/>
      <c r="K227" s="16"/>
      <c r="L227" s="16"/>
    </row>
    <row r="228" spans="1:12" s="18" customFormat="1" ht="15" customHeight="1">
      <c r="A228" s="82"/>
      <c r="B228" s="83"/>
      <c r="C228" s="41"/>
      <c r="D228" s="41"/>
      <c r="E228" s="41"/>
      <c r="F228" s="16"/>
      <c r="G228" s="16"/>
      <c r="H228" s="16"/>
      <c r="I228" s="16"/>
      <c r="J228" s="16"/>
      <c r="K228" s="16"/>
      <c r="L228" s="16"/>
    </row>
    <row r="229" spans="1:12" s="18" customFormat="1" ht="15" customHeight="1">
      <c r="A229" s="82"/>
      <c r="B229" s="83"/>
      <c r="C229" s="41"/>
      <c r="D229" s="41"/>
      <c r="E229" s="41"/>
      <c r="F229" s="16"/>
      <c r="G229" s="16"/>
      <c r="H229" s="16"/>
      <c r="I229" s="16"/>
      <c r="J229" s="16"/>
      <c r="K229" s="16"/>
      <c r="L229" s="16"/>
    </row>
    <row r="230" spans="1:12" s="18" customFormat="1" ht="15" customHeight="1">
      <c r="A230" s="82"/>
      <c r="B230" s="83"/>
      <c r="C230" s="41"/>
      <c r="D230" s="41"/>
      <c r="E230" s="41"/>
      <c r="F230" s="16"/>
      <c r="G230" s="16"/>
      <c r="H230" s="16"/>
      <c r="I230" s="16"/>
      <c r="J230" s="16"/>
      <c r="K230" s="16"/>
      <c r="L230" s="16"/>
    </row>
    <row r="231" spans="1:12" s="18" customFormat="1" ht="15" customHeight="1">
      <c r="A231" s="82"/>
      <c r="B231" s="83"/>
      <c r="C231" s="41"/>
      <c r="D231" s="41"/>
      <c r="E231" s="41"/>
      <c r="F231" s="16"/>
      <c r="G231" s="16"/>
      <c r="H231" s="16"/>
      <c r="I231" s="16"/>
      <c r="J231" s="16"/>
      <c r="K231" s="16"/>
      <c r="L231" s="16"/>
    </row>
    <row r="232" spans="1:12" s="18" customFormat="1" ht="15" customHeight="1">
      <c r="A232" s="82"/>
      <c r="B232" s="83"/>
      <c r="C232" s="41"/>
      <c r="D232" s="41"/>
      <c r="E232" s="41"/>
      <c r="F232" s="16"/>
      <c r="G232" s="16"/>
      <c r="H232" s="16"/>
      <c r="I232" s="16"/>
      <c r="J232" s="16"/>
      <c r="K232" s="16"/>
      <c r="L232" s="16"/>
    </row>
    <row r="233" spans="1:12" s="18" customFormat="1" ht="15" customHeight="1">
      <c r="A233" s="82"/>
      <c r="B233" s="83"/>
      <c r="C233" s="41"/>
      <c r="D233" s="41"/>
      <c r="E233" s="41"/>
      <c r="F233" s="16"/>
      <c r="G233" s="16"/>
      <c r="H233" s="16"/>
      <c r="I233" s="16"/>
      <c r="J233" s="16"/>
      <c r="K233" s="16"/>
      <c r="L233" s="16"/>
    </row>
    <row r="234" spans="1:12" s="18" customFormat="1" ht="15" customHeight="1">
      <c r="A234" s="82"/>
      <c r="B234" s="83"/>
      <c r="C234" s="41"/>
      <c r="D234" s="41"/>
      <c r="E234" s="41"/>
      <c r="F234" s="16"/>
      <c r="G234" s="16"/>
      <c r="H234" s="16"/>
      <c r="I234" s="16"/>
      <c r="J234" s="16"/>
      <c r="K234" s="16"/>
      <c r="L234" s="16"/>
    </row>
    <row r="235" spans="1:12" s="18" customFormat="1" ht="15" customHeight="1">
      <c r="A235" s="82"/>
      <c r="B235" s="83"/>
      <c r="C235" s="41"/>
      <c r="D235" s="41"/>
      <c r="E235" s="41"/>
      <c r="F235" s="16"/>
      <c r="G235" s="16"/>
      <c r="H235" s="16"/>
      <c r="I235" s="16"/>
      <c r="J235" s="16"/>
      <c r="K235" s="16"/>
      <c r="L235" s="16"/>
    </row>
    <row r="236" spans="1:12" s="18" customFormat="1" ht="15" customHeight="1">
      <c r="A236" s="82"/>
      <c r="B236" s="83"/>
      <c r="C236" s="41"/>
      <c r="D236" s="41"/>
      <c r="E236" s="41"/>
      <c r="F236" s="16"/>
      <c r="G236" s="16"/>
      <c r="H236" s="16"/>
      <c r="I236" s="16"/>
      <c r="J236" s="16"/>
      <c r="K236" s="16"/>
      <c r="L236" s="16"/>
    </row>
    <row r="237" spans="1:12" s="18" customFormat="1" ht="15" customHeight="1">
      <c r="A237" s="82"/>
      <c r="B237" s="83"/>
      <c r="C237" s="41"/>
      <c r="D237" s="41"/>
      <c r="E237" s="41"/>
      <c r="F237" s="16"/>
      <c r="G237" s="16"/>
      <c r="H237" s="16"/>
      <c r="I237" s="16"/>
      <c r="J237" s="16"/>
      <c r="K237" s="16"/>
      <c r="L237" s="16"/>
    </row>
    <row r="238" spans="1:12" s="18" customFormat="1" ht="15" customHeight="1">
      <c r="A238" s="82"/>
      <c r="B238" s="83"/>
      <c r="C238" s="60"/>
      <c r="D238" s="60"/>
      <c r="E238" s="60"/>
      <c r="F238" s="45"/>
      <c r="G238" s="45"/>
      <c r="H238" s="45"/>
      <c r="I238" s="45"/>
      <c r="J238" s="45"/>
      <c r="K238" s="45"/>
      <c r="L238" s="45"/>
    </row>
    <row r="239" spans="1:12" s="18" customFormat="1" ht="15" customHeight="1">
      <c r="A239" s="82"/>
      <c r="B239" s="83"/>
      <c r="C239" s="59"/>
      <c r="D239" s="59"/>
      <c r="E239" s="59"/>
      <c r="F239" s="16"/>
      <c r="G239" s="16"/>
      <c r="H239" s="16"/>
      <c r="I239" s="16"/>
      <c r="J239" s="16"/>
      <c r="K239" s="16"/>
      <c r="L239" s="16"/>
    </row>
    <row r="240" spans="1:12" s="18" customFormat="1" ht="15" customHeight="1">
      <c r="A240" s="82"/>
      <c r="B240" s="83"/>
      <c r="C240" s="59"/>
      <c r="D240" s="59"/>
      <c r="E240" s="59"/>
      <c r="F240" s="16"/>
      <c r="G240" s="16"/>
      <c r="H240" s="16"/>
      <c r="I240" s="16"/>
      <c r="J240" s="16"/>
      <c r="K240" s="16"/>
      <c r="L240" s="16"/>
    </row>
    <row r="241" spans="1:12" s="18" customFormat="1" ht="15" customHeight="1">
      <c r="A241" s="82"/>
      <c r="B241" s="83"/>
      <c r="C241" s="59"/>
      <c r="D241" s="59"/>
      <c r="E241" s="59"/>
      <c r="F241" s="40"/>
      <c r="G241" s="40"/>
      <c r="H241" s="40"/>
      <c r="I241" s="40"/>
      <c r="J241" s="40"/>
      <c r="K241" s="40"/>
      <c r="L241" s="40"/>
    </row>
    <row r="242" spans="1:12" s="18" customFormat="1" ht="15" customHeight="1">
      <c r="A242" s="82"/>
      <c r="B242" s="83"/>
      <c r="C242" s="59"/>
      <c r="D242" s="59"/>
      <c r="E242" s="59"/>
      <c r="F242" s="40"/>
      <c r="G242" s="40"/>
      <c r="H242" s="40"/>
      <c r="I242" s="40"/>
      <c r="J242" s="40"/>
      <c r="K242" s="40"/>
      <c r="L242" s="40"/>
    </row>
    <row r="243" spans="1:12" s="18" customFormat="1" ht="15" customHeight="1">
      <c r="A243" s="82"/>
      <c r="B243" s="83"/>
      <c r="C243" s="59"/>
      <c r="D243" s="59"/>
      <c r="E243" s="59"/>
      <c r="F243" s="40"/>
      <c r="G243" s="40"/>
      <c r="H243" s="40"/>
      <c r="I243" s="40"/>
      <c r="J243" s="40"/>
      <c r="K243" s="40"/>
      <c r="L243" s="40"/>
    </row>
    <row r="244" spans="1:12" s="18" customFormat="1" ht="15" customHeight="1">
      <c r="A244" s="82"/>
      <c r="B244" s="83"/>
      <c r="C244" s="59"/>
      <c r="D244" s="59"/>
      <c r="E244" s="59"/>
      <c r="F244" s="40"/>
      <c r="G244" s="40"/>
      <c r="H244" s="40"/>
      <c r="I244" s="40"/>
      <c r="J244" s="40"/>
      <c r="K244" s="40"/>
      <c r="L244" s="40"/>
    </row>
    <row r="245" spans="1:12" s="18" customFormat="1" ht="15" customHeight="1">
      <c r="A245" s="82"/>
      <c r="B245" s="83"/>
      <c r="C245" s="59"/>
      <c r="D245" s="59"/>
      <c r="E245" s="59"/>
      <c r="F245" s="40"/>
      <c r="G245" s="40"/>
      <c r="H245" s="40"/>
      <c r="I245" s="40"/>
      <c r="J245" s="40"/>
      <c r="K245" s="40"/>
      <c r="L245" s="40"/>
    </row>
    <row r="246" spans="1:12" s="18" customFormat="1" ht="15" customHeight="1">
      <c r="A246" s="82"/>
      <c r="B246" s="83"/>
      <c r="C246" s="59"/>
      <c r="D246" s="59"/>
      <c r="E246" s="59"/>
      <c r="F246" s="16"/>
      <c r="G246" s="16"/>
      <c r="H246" s="16"/>
      <c r="I246" s="16"/>
      <c r="J246" s="16"/>
      <c r="K246" s="16"/>
      <c r="L246" s="16"/>
    </row>
    <row r="247" spans="1:12" s="18" customFormat="1" ht="15" customHeight="1">
      <c r="A247" s="82"/>
      <c r="B247" s="83"/>
      <c r="C247" s="41"/>
      <c r="D247" s="41"/>
      <c r="E247" s="41"/>
      <c r="F247" s="16"/>
      <c r="G247" s="16"/>
      <c r="H247" s="16"/>
      <c r="I247" s="16"/>
      <c r="J247" s="16"/>
      <c r="K247" s="16"/>
      <c r="L247" s="16"/>
    </row>
    <row r="248" spans="1:12" s="18" customFormat="1" ht="15" customHeight="1">
      <c r="A248" s="82"/>
      <c r="B248" s="83"/>
      <c r="C248" s="41"/>
      <c r="D248" s="41"/>
      <c r="E248" s="41"/>
      <c r="F248" s="16"/>
      <c r="G248" s="16"/>
      <c r="H248" s="16"/>
      <c r="I248" s="16"/>
      <c r="J248" s="16"/>
      <c r="K248" s="16"/>
      <c r="L248" s="16"/>
    </row>
    <row r="249" spans="1:12" s="18" customFormat="1" ht="15" customHeight="1">
      <c r="A249" s="82"/>
      <c r="B249" s="83"/>
      <c r="C249" s="41"/>
      <c r="D249" s="41"/>
      <c r="E249" s="41"/>
      <c r="F249" s="16"/>
      <c r="G249" s="16"/>
      <c r="H249" s="16"/>
      <c r="I249" s="16"/>
      <c r="J249" s="16"/>
      <c r="K249" s="16"/>
      <c r="L249" s="16"/>
    </row>
    <row r="250" spans="1:12" s="18" customFormat="1" ht="15" customHeight="1">
      <c r="A250" s="82"/>
      <c r="B250" s="83"/>
      <c r="C250" s="41"/>
      <c r="D250" s="41"/>
      <c r="E250" s="41"/>
      <c r="F250" s="16"/>
      <c r="G250" s="16"/>
      <c r="H250" s="16"/>
      <c r="I250" s="16"/>
      <c r="J250" s="16"/>
      <c r="K250" s="16"/>
      <c r="L250" s="16"/>
    </row>
    <row r="251" spans="1:12" s="18" customFormat="1" ht="15" customHeight="1">
      <c r="A251" s="82"/>
      <c r="B251" s="83"/>
      <c r="C251" s="41"/>
      <c r="D251" s="41"/>
      <c r="E251" s="41"/>
      <c r="F251" s="16"/>
      <c r="G251" s="16"/>
      <c r="H251" s="16"/>
      <c r="I251" s="16"/>
      <c r="J251" s="16"/>
      <c r="K251" s="16"/>
      <c r="L251" s="16"/>
    </row>
    <row r="252" spans="1:12" s="18" customFormat="1" ht="15" customHeight="1">
      <c r="A252" s="82"/>
      <c r="B252" s="83"/>
      <c r="C252" s="41"/>
      <c r="D252" s="41"/>
      <c r="E252" s="41"/>
      <c r="F252" s="16"/>
      <c r="G252" s="16"/>
      <c r="H252" s="16"/>
      <c r="I252" s="16"/>
      <c r="J252" s="16"/>
      <c r="K252" s="16"/>
      <c r="L252" s="16"/>
    </row>
    <row r="253" spans="1:12" s="18" customFormat="1" ht="15" customHeight="1">
      <c r="A253" s="82"/>
      <c r="B253" s="83"/>
      <c r="C253" s="41"/>
      <c r="D253" s="41"/>
      <c r="E253" s="41"/>
      <c r="F253" s="16"/>
      <c r="G253" s="16"/>
      <c r="H253" s="16"/>
      <c r="I253" s="16"/>
      <c r="J253" s="16"/>
      <c r="K253" s="16"/>
      <c r="L253" s="16"/>
    </row>
    <row r="254" spans="1:12" s="18" customFormat="1" ht="15" customHeight="1">
      <c r="A254" s="82"/>
      <c r="B254" s="83"/>
      <c r="C254" s="41"/>
      <c r="D254" s="41"/>
      <c r="E254" s="41"/>
      <c r="F254" s="16"/>
      <c r="G254" s="16"/>
      <c r="H254" s="16"/>
      <c r="I254" s="16"/>
      <c r="J254" s="16"/>
      <c r="K254" s="16"/>
      <c r="L254" s="16"/>
    </row>
    <row r="255" spans="1:12" s="18" customFormat="1" ht="15" customHeight="1">
      <c r="A255" s="82"/>
      <c r="B255" s="83"/>
      <c r="C255" s="41"/>
      <c r="D255" s="41"/>
      <c r="E255" s="41"/>
      <c r="F255" s="16"/>
      <c r="G255" s="16"/>
      <c r="H255" s="16"/>
      <c r="I255" s="16"/>
      <c r="J255" s="16"/>
      <c r="K255" s="16"/>
      <c r="L255" s="16"/>
    </row>
    <row r="256" spans="1:12" s="18" customFormat="1" ht="15" customHeight="1">
      <c r="A256" s="82"/>
      <c r="B256" s="83"/>
      <c r="C256" s="41"/>
      <c r="D256" s="41"/>
      <c r="E256" s="41"/>
      <c r="F256" s="16"/>
      <c r="G256" s="16"/>
      <c r="H256" s="16"/>
      <c r="I256" s="16"/>
      <c r="J256" s="16"/>
      <c r="K256" s="16"/>
      <c r="L256" s="16"/>
    </row>
    <row r="257" spans="1:12" s="18" customFormat="1" ht="15" customHeight="1">
      <c r="A257" s="82"/>
      <c r="B257" s="83"/>
      <c r="C257" s="41"/>
      <c r="D257" s="41"/>
      <c r="E257" s="41"/>
      <c r="F257" s="16"/>
      <c r="G257" s="16"/>
      <c r="H257" s="16"/>
      <c r="I257" s="16"/>
      <c r="J257" s="16"/>
      <c r="K257" s="16"/>
      <c r="L257" s="16"/>
    </row>
    <row r="258" spans="1:12" s="18" customFormat="1" ht="15" customHeight="1">
      <c r="A258" s="82"/>
      <c r="B258" s="83"/>
      <c r="C258" s="60"/>
      <c r="D258" s="60"/>
      <c r="E258" s="60"/>
      <c r="F258" s="45"/>
      <c r="G258" s="45"/>
      <c r="H258" s="45"/>
      <c r="I258" s="45"/>
      <c r="J258" s="45"/>
      <c r="K258" s="45"/>
      <c r="L258" s="45"/>
    </row>
    <row r="259" spans="1:12" s="18" customFormat="1" ht="15" customHeight="1">
      <c r="A259" s="82"/>
      <c r="B259" s="83"/>
      <c r="C259" s="59"/>
      <c r="D259" s="59"/>
      <c r="E259" s="59"/>
      <c r="F259" s="16"/>
      <c r="G259" s="16"/>
      <c r="H259" s="16"/>
      <c r="I259" s="16"/>
      <c r="J259" s="16"/>
      <c r="K259" s="16"/>
      <c r="L259" s="16"/>
    </row>
    <row r="260" spans="1:12" s="18" customFormat="1" ht="15" customHeight="1">
      <c r="A260" s="82"/>
      <c r="B260" s="83"/>
      <c r="C260" s="59"/>
      <c r="D260" s="59"/>
      <c r="E260" s="59"/>
      <c r="F260" s="16"/>
      <c r="G260" s="16"/>
      <c r="H260" s="16"/>
      <c r="I260" s="16"/>
      <c r="J260" s="16"/>
      <c r="K260" s="16"/>
      <c r="L260" s="16"/>
    </row>
    <row r="261" spans="1:12" s="18" customFormat="1" ht="15" customHeight="1">
      <c r="A261" s="82"/>
      <c r="B261" s="83"/>
      <c r="C261" s="59"/>
      <c r="D261" s="59"/>
      <c r="E261" s="59"/>
      <c r="F261" s="40"/>
      <c r="G261" s="40"/>
      <c r="H261" s="40"/>
      <c r="I261" s="40"/>
      <c r="J261" s="40"/>
      <c r="K261" s="40"/>
      <c r="L261" s="40"/>
    </row>
    <row r="262" spans="1:12" s="18" customFormat="1" ht="15" customHeight="1">
      <c r="A262" s="82"/>
      <c r="B262" s="83"/>
      <c r="C262" s="59"/>
      <c r="D262" s="59"/>
      <c r="E262" s="59"/>
      <c r="F262" s="40"/>
      <c r="G262" s="40"/>
      <c r="H262" s="40"/>
      <c r="I262" s="40"/>
      <c r="J262" s="40"/>
      <c r="K262" s="40"/>
      <c r="L262" s="40"/>
    </row>
    <row r="263" spans="1:12" s="18" customFormat="1" ht="15" customHeight="1">
      <c r="A263" s="82"/>
      <c r="B263" s="83"/>
      <c r="C263" s="59"/>
      <c r="D263" s="59"/>
      <c r="E263" s="59"/>
      <c r="F263" s="40"/>
      <c r="G263" s="40"/>
      <c r="H263" s="40"/>
      <c r="I263" s="40"/>
      <c r="J263" s="40"/>
      <c r="K263" s="40"/>
      <c r="L263" s="40"/>
    </row>
    <row r="264" spans="1:12" s="18" customFormat="1" ht="15" customHeight="1">
      <c r="A264" s="82"/>
      <c r="B264" s="83"/>
      <c r="C264" s="59"/>
      <c r="D264" s="59"/>
      <c r="E264" s="59"/>
      <c r="F264" s="40"/>
      <c r="G264" s="40"/>
      <c r="H264" s="40"/>
      <c r="I264" s="40"/>
      <c r="J264" s="40"/>
      <c r="K264" s="40"/>
      <c r="L264" s="40"/>
    </row>
    <row r="265" spans="1:12" s="18" customFormat="1" ht="15" customHeight="1">
      <c r="A265" s="82"/>
      <c r="B265" s="83"/>
      <c r="C265" s="59"/>
      <c r="D265" s="59"/>
      <c r="E265" s="59"/>
      <c r="F265" s="40"/>
      <c r="G265" s="40"/>
      <c r="H265" s="40"/>
      <c r="I265" s="40"/>
      <c r="J265" s="40"/>
      <c r="K265" s="40"/>
      <c r="L265" s="40"/>
    </row>
    <row r="266" spans="1:12" s="18" customFormat="1" ht="15" customHeight="1">
      <c r="A266" s="82"/>
      <c r="B266" s="83"/>
      <c r="C266" s="59"/>
      <c r="D266" s="59"/>
      <c r="E266" s="59"/>
      <c r="F266" s="16"/>
      <c r="G266" s="16"/>
      <c r="H266" s="16"/>
      <c r="I266" s="16"/>
      <c r="J266" s="16"/>
      <c r="K266" s="16"/>
      <c r="L266" s="16"/>
    </row>
    <row r="267" spans="1:12" s="18" customFormat="1" ht="15" customHeight="1">
      <c r="A267" s="82"/>
      <c r="B267" s="83"/>
      <c r="C267" s="41"/>
      <c r="D267" s="41"/>
      <c r="E267" s="41"/>
      <c r="F267" s="16"/>
      <c r="G267" s="16"/>
      <c r="H267" s="16"/>
      <c r="I267" s="16"/>
      <c r="J267" s="16"/>
      <c r="K267" s="16"/>
      <c r="L267" s="16"/>
    </row>
    <row r="268" spans="1:12" s="18" customFormat="1" ht="15" customHeight="1">
      <c r="A268" s="82"/>
      <c r="B268" s="83"/>
      <c r="C268" s="41"/>
      <c r="D268" s="41"/>
      <c r="E268" s="41"/>
      <c r="F268" s="16"/>
      <c r="G268" s="16"/>
      <c r="H268" s="16"/>
      <c r="I268" s="16"/>
      <c r="J268" s="16"/>
      <c r="K268" s="16"/>
      <c r="L268" s="16"/>
    </row>
    <row r="269" spans="1:12" s="18" customFormat="1" ht="15" customHeight="1">
      <c r="A269" s="82"/>
      <c r="B269" s="83"/>
      <c r="C269" s="41"/>
      <c r="D269" s="41"/>
      <c r="E269" s="41"/>
      <c r="F269" s="16"/>
      <c r="G269" s="16"/>
      <c r="H269" s="16"/>
      <c r="I269" s="16"/>
      <c r="J269" s="16"/>
      <c r="K269" s="16"/>
      <c r="L269" s="16"/>
    </row>
    <row r="270" spans="1:12" s="18" customFormat="1" ht="15" customHeight="1">
      <c r="A270" s="82"/>
      <c r="B270" s="83"/>
      <c r="C270" s="41"/>
      <c r="D270" s="41"/>
      <c r="E270" s="41"/>
      <c r="F270" s="16"/>
      <c r="G270" s="16"/>
      <c r="H270" s="16"/>
      <c r="I270" s="16"/>
      <c r="J270" s="16"/>
      <c r="K270" s="16"/>
      <c r="L270" s="16"/>
    </row>
    <row r="271" spans="1:12" s="18" customFormat="1" ht="15" customHeight="1">
      <c r="A271" s="82"/>
      <c r="B271" s="83"/>
      <c r="C271" s="41"/>
      <c r="D271" s="41"/>
      <c r="E271" s="41"/>
      <c r="F271" s="16"/>
      <c r="G271" s="16"/>
      <c r="H271" s="16"/>
      <c r="I271" s="16"/>
      <c r="J271" s="16"/>
      <c r="K271" s="16"/>
      <c r="L271" s="16"/>
    </row>
    <row r="272" spans="1:12" s="18" customFormat="1" ht="15" customHeight="1">
      <c r="A272" s="82"/>
      <c r="B272" s="83"/>
      <c r="C272" s="41"/>
      <c r="D272" s="41"/>
      <c r="E272" s="41"/>
      <c r="F272" s="16"/>
      <c r="G272" s="16"/>
      <c r="H272" s="16"/>
      <c r="I272" s="16"/>
      <c r="J272" s="16"/>
      <c r="K272" s="16"/>
      <c r="L272" s="16"/>
    </row>
    <row r="273" spans="1:12" s="18" customFormat="1" ht="15" customHeight="1">
      <c r="A273" s="82"/>
      <c r="B273" s="83"/>
      <c r="C273" s="41"/>
      <c r="D273" s="41"/>
      <c r="E273" s="41"/>
      <c r="F273" s="16"/>
      <c r="G273" s="16"/>
      <c r="H273" s="16"/>
      <c r="I273" s="16"/>
      <c r="J273" s="16"/>
      <c r="K273" s="16"/>
      <c r="L273" s="16"/>
    </row>
    <row r="274" spans="1:12" s="18" customFormat="1" ht="15" customHeight="1">
      <c r="A274" s="82">
        <v>2015</v>
      </c>
      <c r="B274" s="83" t="s">
        <v>40</v>
      </c>
      <c r="C274" s="15">
        <f>K274/H274</f>
        <v>0.93894009216589858</v>
      </c>
      <c r="D274" s="15">
        <f>K274/J274</f>
        <v>0.95433255269320838</v>
      </c>
      <c r="E274" s="15">
        <f>J274/H274</f>
        <v>0.9838709677419355</v>
      </c>
      <c r="F274" s="16"/>
      <c r="G274" s="16"/>
      <c r="H274" s="16">
        <v>1736</v>
      </c>
      <c r="I274" s="16">
        <f t="shared" ref="I274:I281" si="0">H274-J274</f>
        <v>28</v>
      </c>
      <c r="J274" s="16">
        <v>1708</v>
      </c>
      <c r="K274" s="16">
        <v>1630</v>
      </c>
      <c r="L274" s="16">
        <f t="shared" ref="L274:L281" si="1">J274-K274</f>
        <v>78</v>
      </c>
    </row>
    <row r="275" spans="1:12" s="18" customFormat="1" ht="15" customHeight="1">
      <c r="A275" s="82">
        <v>2015</v>
      </c>
      <c r="B275" s="83" t="s">
        <v>41</v>
      </c>
      <c r="C275" s="15">
        <f t="shared" ref="C275:C334" si="2">K275/H275</f>
        <v>0.89047619047619042</v>
      </c>
      <c r="D275" s="15">
        <f t="shared" ref="D275:D334" si="3">K275/J275</f>
        <v>0.95774647887323938</v>
      </c>
      <c r="E275" s="15">
        <f t="shared" ref="E275:E334" si="4">J275/H275</f>
        <v>0.92976190476190479</v>
      </c>
      <c r="F275" s="16"/>
      <c r="G275" s="16"/>
      <c r="H275" s="16">
        <v>1680</v>
      </c>
      <c r="I275" s="16">
        <f t="shared" si="0"/>
        <v>118</v>
      </c>
      <c r="J275" s="16">
        <v>1562</v>
      </c>
      <c r="K275" s="16">
        <v>1496</v>
      </c>
      <c r="L275" s="16">
        <f t="shared" si="1"/>
        <v>66</v>
      </c>
    </row>
    <row r="276" spans="1:12" s="18" customFormat="1" ht="15" customHeight="1">
      <c r="A276" s="82">
        <v>2015</v>
      </c>
      <c r="B276" s="83" t="s">
        <v>42</v>
      </c>
      <c r="C276" s="15">
        <f t="shared" si="2"/>
        <v>0.9285714285714286</v>
      </c>
      <c r="D276" s="15">
        <f t="shared" si="3"/>
        <v>0.95610913404507714</v>
      </c>
      <c r="E276" s="15">
        <f t="shared" si="4"/>
        <v>0.97119815668202769</v>
      </c>
      <c r="F276" s="16"/>
      <c r="G276" s="16"/>
      <c r="H276" s="16">
        <v>1736</v>
      </c>
      <c r="I276" s="16">
        <f t="shared" si="0"/>
        <v>50</v>
      </c>
      <c r="J276" s="16">
        <v>1686</v>
      </c>
      <c r="K276" s="16">
        <v>1612</v>
      </c>
      <c r="L276" s="16">
        <f t="shared" si="1"/>
        <v>74</v>
      </c>
    </row>
    <row r="277" spans="1:12" s="18" customFormat="1" ht="15" customHeight="1">
      <c r="A277" s="82">
        <v>2015</v>
      </c>
      <c r="B277" s="83" t="s">
        <v>43</v>
      </c>
      <c r="C277" s="15">
        <f t="shared" si="2"/>
        <v>0.95103686635944695</v>
      </c>
      <c r="D277" s="15">
        <f t="shared" si="3"/>
        <v>0.96044211751018038</v>
      </c>
      <c r="E277" s="15">
        <f t="shared" si="4"/>
        <v>0.99020737327188935</v>
      </c>
      <c r="F277" s="16"/>
      <c r="G277" s="16"/>
      <c r="H277" s="16">
        <v>1736</v>
      </c>
      <c r="I277" s="16">
        <f t="shared" si="0"/>
        <v>17</v>
      </c>
      <c r="J277" s="16">
        <v>1719</v>
      </c>
      <c r="K277" s="16">
        <v>1651</v>
      </c>
      <c r="L277" s="16">
        <f t="shared" si="1"/>
        <v>68</v>
      </c>
    </row>
    <row r="278" spans="1:12" s="18" customFormat="1" ht="15" customHeight="1">
      <c r="A278" s="82">
        <v>2015</v>
      </c>
      <c r="B278" s="83" t="s">
        <v>44</v>
      </c>
      <c r="C278" s="15">
        <f t="shared" si="2"/>
        <v>0.9107142857142857</v>
      </c>
      <c r="D278" s="15">
        <f t="shared" si="3"/>
        <v>0.93865030674846628</v>
      </c>
      <c r="E278" s="15">
        <f t="shared" si="4"/>
        <v>0.97023809523809523</v>
      </c>
      <c r="F278" s="16"/>
      <c r="G278" s="16"/>
      <c r="H278" s="16">
        <v>1680</v>
      </c>
      <c r="I278" s="16">
        <f t="shared" si="0"/>
        <v>50</v>
      </c>
      <c r="J278" s="16">
        <v>1630</v>
      </c>
      <c r="K278" s="16">
        <v>1530</v>
      </c>
      <c r="L278" s="16">
        <f t="shared" si="1"/>
        <v>100</v>
      </c>
    </row>
    <row r="279" spans="1:12" s="18" customFormat="1" ht="15" customHeight="1">
      <c r="A279" s="82">
        <v>2015</v>
      </c>
      <c r="B279" s="83" t="s">
        <v>45</v>
      </c>
      <c r="C279" s="15">
        <f t="shared" si="2"/>
        <v>0.94354838709677424</v>
      </c>
      <c r="D279" s="15">
        <f t="shared" si="3"/>
        <v>0.95565927654609106</v>
      </c>
      <c r="E279" s="15">
        <f t="shared" si="4"/>
        <v>0.98732718894009219</v>
      </c>
      <c r="F279" s="16"/>
      <c r="G279" s="16"/>
      <c r="H279" s="16">
        <v>1736</v>
      </c>
      <c r="I279" s="16">
        <f t="shared" si="0"/>
        <v>22</v>
      </c>
      <c r="J279" s="16">
        <v>1714</v>
      </c>
      <c r="K279" s="16">
        <v>1638</v>
      </c>
      <c r="L279" s="16">
        <f t="shared" si="1"/>
        <v>76</v>
      </c>
    </row>
    <row r="280" spans="1:12" s="18" customFormat="1" ht="15" customHeight="1">
      <c r="A280" s="82">
        <v>2015</v>
      </c>
      <c r="B280" s="83" t="s">
        <v>46</v>
      </c>
      <c r="C280" s="15">
        <f t="shared" si="2"/>
        <v>0.90297619047619049</v>
      </c>
      <c r="D280" s="15">
        <f t="shared" si="3"/>
        <v>0.9323909035033805</v>
      </c>
      <c r="E280" s="15">
        <f t="shared" si="4"/>
        <v>0.96845238095238095</v>
      </c>
      <c r="F280" s="16"/>
      <c r="G280" s="16"/>
      <c r="H280" s="16">
        <v>1680</v>
      </c>
      <c r="I280" s="16">
        <f t="shared" si="0"/>
        <v>53</v>
      </c>
      <c r="J280" s="16">
        <v>1627</v>
      </c>
      <c r="K280" s="16">
        <v>1517</v>
      </c>
      <c r="L280" s="16">
        <f t="shared" si="1"/>
        <v>110</v>
      </c>
    </row>
    <row r="281" spans="1:12" s="18" customFormat="1" ht="15" customHeight="1">
      <c r="A281" s="82">
        <v>2015</v>
      </c>
      <c r="B281" s="83" t="s">
        <v>47</v>
      </c>
      <c r="C281" s="15">
        <f t="shared" si="2"/>
        <v>0.87845622119815669</v>
      </c>
      <c r="D281" s="15">
        <f t="shared" si="3"/>
        <v>0.93386405388854865</v>
      </c>
      <c r="E281" s="15">
        <f t="shared" si="4"/>
        <v>0.94066820276497698</v>
      </c>
      <c r="F281" s="16"/>
      <c r="G281" s="16"/>
      <c r="H281" s="16">
        <v>1736</v>
      </c>
      <c r="I281" s="16">
        <f t="shared" si="0"/>
        <v>103</v>
      </c>
      <c r="J281" s="16">
        <v>1633</v>
      </c>
      <c r="K281" s="16">
        <v>1525</v>
      </c>
      <c r="L281" s="16">
        <f t="shared" si="1"/>
        <v>108</v>
      </c>
    </row>
    <row r="282" spans="1:12" s="18" customFormat="1" ht="15" customHeight="1">
      <c r="A282" s="82">
        <v>2016</v>
      </c>
      <c r="B282" s="83" t="s">
        <v>36</v>
      </c>
      <c r="C282" s="15">
        <f t="shared" si="2"/>
        <v>0.90956221198156684</v>
      </c>
      <c r="D282" s="15">
        <f t="shared" si="3"/>
        <v>0.95871281117182761</v>
      </c>
      <c r="E282" s="15">
        <f t="shared" si="4"/>
        <v>0.94873271889400923</v>
      </c>
      <c r="F282" s="16"/>
      <c r="G282" s="16"/>
      <c r="H282" s="16">
        <v>1736</v>
      </c>
      <c r="I282" s="16">
        <f t="shared" ref="I282:I290" si="5">H282-J282</f>
        <v>89</v>
      </c>
      <c r="J282" s="16">
        <v>1647</v>
      </c>
      <c r="K282" s="16">
        <v>1579</v>
      </c>
      <c r="L282" s="16">
        <f t="shared" ref="L282:L293" si="6">J282-K282</f>
        <v>68</v>
      </c>
    </row>
    <row r="283" spans="1:12" s="18" customFormat="1" ht="15" customHeight="1">
      <c r="A283" s="82">
        <v>2016</v>
      </c>
      <c r="B283" s="83" t="s">
        <v>37</v>
      </c>
      <c r="C283" s="15">
        <f t="shared" si="2"/>
        <v>0.80788177339901479</v>
      </c>
      <c r="D283" s="15">
        <f t="shared" si="3"/>
        <v>0.89556313993174064</v>
      </c>
      <c r="E283" s="15">
        <f t="shared" si="4"/>
        <v>0.90209359605911332</v>
      </c>
      <c r="F283" s="16"/>
      <c r="G283" s="16"/>
      <c r="H283" s="16">
        <v>1624</v>
      </c>
      <c r="I283" s="16">
        <f t="shared" si="5"/>
        <v>159</v>
      </c>
      <c r="J283" s="16">
        <v>1465</v>
      </c>
      <c r="K283" s="16">
        <v>1312</v>
      </c>
      <c r="L283" s="16">
        <f t="shared" si="6"/>
        <v>153</v>
      </c>
    </row>
    <row r="284" spans="1:12" s="18" customFormat="1" ht="15" customHeight="1">
      <c r="A284" s="82">
        <v>2016</v>
      </c>
      <c r="B284" s="83" t="s">
        <v>38</v>
      </c>
      <c r="C284" s="15">
        <f t="shared" si="2"/>
        <v>0.91647465437788023</v>
      </c>
      <c r="D284" s="15">
        <f t="shared" si="3"/>
        <v>0.95785671282360019</v>
      </c>
      <c r="E284" s="15">
        <f t="shared" si="4"/>
        <v>0.95679723502304148</v>
      </c>
      <c r="F284" s="16"/>
      <c r="G284" s="16"/>
      <c r="H284" s="16">
        <v>1736</v>
      </c>
      <c r="I284" s="16">
        <f t="shared" si="5"/>
        <v>75</v>
      </c>
      <c r="J284" s="16">
        <v>1661</v>
      </c>
      <c r="K284" s="16">
        <v>1591</v>
      </c>
      <c r="L284" s="16">
        <f t="shared" si="6"/>
        <v>70</v>
      </c>
    </row>
    <row r="285" spans="1:12" s="18" customFormat="1" ht="15" customHeight="1">
      <c r="A285" s="82">
        <v>2016</v>
      </c>
      <c r="B285" s="83" t="s">
        <v>39</v>
      </c>
      <c r="C285" s="15">
        <f t="shared" si="2"/>
        <v>0.84761904761904761</v>
      </c>
      <c r="D285" s="15">
        <f t="shared" si="3"/>
        <v>0.92889758643183296</v>
      </c>
      <c r="E285" s="15">
        <f t="shared" si="4"/>
        <v>0.91249999999999998</v>
      </c>
      <c r="F285" s="16"/>
      <c r="G285" s="16"/>
      <c r="H285" s="16">
        <v>1680</v>
      </c>
      <c r="I285" s="16">
        <f t="shared" si="5"/>
        <v>147</v>
      </c>
      <c r="J285" s="16">
        <v>1533</v>
      </c>
      <c r="K285" s="16">
        <v>1424</v>
      </c>
      <c r="L285" s="16">
        <f t="shared" si="6"/>
        <v>109</v>
      </c>
    </row>
    <row r="286" spans="1:12" s="18" customFormat="1" ht="15" customHeight="1">
      <c r="A286" s="82">
        <v>2016</v>
      </c>
      <c r="B286" s="83" t="s">
        <v>40</v>
      </c>
      <c r="C286" s="15">
        <f t="shared" si="2"/>
        <v>0.82718894009216593</v>
      </c>
      <c r="D286" s="15">
        <f t="shared" si="3"/>
        <v>0.86558167570825795</v>
      </c>
      <c r="E286" s="15">
        <f t="shared" si="4"/>
        <v>0.95564516129032262</v>
      </c>
      <c r="F286" s="16"/>
      <c r="G286" s="16"/>
      <c r="H286" s="16">
        <v>1736</v>
      </c>
      <c r="I286" s="16">
        <f t="shared" si="5"/>
        <v>77</v>
      </c>
      <c r="J286" s="16">
        <v>1659</v>
      </c>
      <c r="K286" s="16">
        <v>1436</v>
      </c>
      <c r="L286" s="16">
        <f t="shared" si="6"/>
        <v>223</v>
      </c>
    </row>
    <row r="287" spans="1:12" s="18" customFormat="1" ht="15" customHeight="1">
      <c r="A287" s="82">
        <v>2016</v>
      </c>
      <c r="B287" s="83" t="s">
        <v>41</v>
      </c>
      <c r="C287" s="15">
        <f t="shared" si="2"/>
        <v>0.86071428571428577</v>
      </c>
      <c r="D287" s="15">
        <f t="shared" si="3"/>
        <v>0.96015936254980083</v>
      </c>
      <c r="E287" s="15">
        <f t="shared" si="4"/>
        <v>0.89642857142857146</v>
      </c>
      <c r="F287" s="16"/>
      <c r="G287" s="16"/>
      <c r="H287" s="16">
        <v>1680</v>
      </c>
      <c r="I287" s="16">
        <f t="shared" si="5"/>
        <v>174</v>
      </c>
      <c r="J287" s="16">
        <v>1506</v>
      </c>
      <c r="K287" s="16">
        <v>1446</v>
      </c>
      <c r="L287" s="16">
        <f t="shared" si="6"/>
        <v>60</v>
      </c>
    </row>
    <row r="288" spans="1:12" s="18" customFormat="1" ht="15" customHeight="1">
      <c r="A288" s="82">
        <v>2016</v>
      </c>
      <c r="B288" s="83" t="s">
        <v>42</v>
      </c>
      <c r="C288" s="15">
        <f t="shared" si="2"/>
        <v>0.93172268907563027</v>
      </c>
      <c r="D288" s="15">
        <f t="shared" si="3"/>
        <v>0.95120643431635388</v>
      </c>
      <c r="E288" s="15">
        <f t="shared" si="4"/>
        <v>0.97951680672268904</v>
      </c>
      <c r="F288" s="16"/>
      <c r="G288" s="16"/>
      <c r="H288" s="16">
        <v>1904</v>
      </c>
      <c r="I288" s="16">
        <f t="shared" si="5"/>
        <v>39</v>
      </c>
      <c r="J288" s="16">
        <v>1865</v>
      </c>
      <c r="K288" s="16">
        <v>1774</v>
      </c>
      <c r="L288" s="16">
        <f t="shared" si="6"/>
        <v>91</v>
      </c>
    </row>
    <row r="289" spans="1:12" s="18" customFormat="1" ht="15" customHeight="1">
      <c r="A289" s="82">
        <v>2016</v>
      </c>
      <c r="B289" s="83" t="s">
        <v>43</v>
      </c>
      <c r="C289" s="15">
        <f t="shared" si="2"/>
        <v>0.95233050847457623</v>
      </c>
      <c r="D289" s="15">
        <f t="shared" si="3"/>
        <v>0.97241752298539752</v>
      </c>
      <c r="E289" s="15">
        <f t="shared" si="4"/>
        <v>0.97934322033898302</v>
      </c>
      <c r="F289" s="16"/>
      <c r="G289" s="16"/>
      <c r="H289" s="16">
        <v>1888</v>
      </c>
      <c r="I289" s="16">
        <f t="shared" si="5"/>
        <v>39</v>
      </c>
      <c r="J289" s="16">
        <v>1849</v>
      </c>
      <c r="K289" s="16">
        <v>1798</v>
      </c>
      <c r="L289" s="16">
        <f t="shared" si="6"/>
        <v>51</v>
      </c>
    </row>
    <row r="290" spans="1:12" s="18" customFormat="1" ht="15" customHeight="1">
      <c r="A290" s="82">
        <v>2016</v>
      </c>
      <c r="B290" s="83" t="s">
        <v>44</v>
      </c>
      <c r="C290" s="15">
        <f t="shared" si="2"/>
        <v>0.96813186813186813</v>
      </c>
      <c r="D290" s="15">
        <f t="shared" si="3"/>
        <v>0.98052309404563165</v>
      </c>
      <c r="E290" s="15">
        <f t="shared" si="4"/>
        <v>0.98736263736263741</v>
      </c>
      <c r="F290" s="16"/>
      <c r="G290" s="16"/>
      <c r="H290" s="16">
        <v>1820</v>
      </c>
      <c r="I290" s="16">
        <f t="shared" si="5"/>
        <v>23</v>
      </c>
      <c r="J290" s="16">
        <v>1797</v>
      </c>
      <c r="K290" s="16">
        <v>1762</v>
      </c>
      <c r="L290" s="16">
        <f t="shared" si="6"/>
        <v>35</v>
      </c>
    </row>
    <row r="291" spans="1:12" s="18" customFormat="1" ht="15" customHeight="1">
      <c r="A291" s="82">
        <v>2016</v>
      </c>
      <c r="B291" s="83" t="s">
        <v>45</v>
      </c>
      <c r="C291" s="15">
        <f t="shared" si="2"/>
        <v>0.91928721174004191</v>
      </c>
      <c r="D291" s="15">
        <f t="shared" si="3"/>
        <v>0.9798882681564246</v>
      </c>
      <c r="E291" s="15">
        <f t="shared" si="4"/>
        <v>0.93815513626834379</v>
      </c>
      <c r="F291" s="16"/>
      <c r="G291" s="16"/>
      <c r="H291" s="16">
        <v>1908</v>
      </c>
      <c r="I291" s="16">
        <f>H291-J291</f>
        <v>118</v>
      </c>
      <c r="J291" s="16">
        <v>1790</v>
      </c>
      <c r="K291" s="16">
        <v>1754</v>
      </c>
      <c r="L291" s="16">
        <f t="shared" si="6"/>
        <v>36</v>
      </c>
    </row>
    <row r="292" spans="1:12" s="18" customFormat="1" ht="15" customHeight="1">
      <c r="A292" s="82">
        <v>2016</v>
      </c>
      <c r="B292" s="83" t="s">
        <v>46</v>
      </c>
      <c r="C292" s="15">
        <f t="shared" si="2"/>
        <v>0.94207650273224042</v>
      </c>
      <c r="D292" s="15">
        <f t="shared" si="3"/>
        <v>0.98289623717217789</v>
      </c>
      <c r="E292" s="15">
        <f t="shared" si="4"/>
        <v>0.95846994535519126</v>
      </c>
      <c r="F292" s="16"/>
      <c r="G292" s="16"/>
      <c r="H292" s="16">
        <v>1830</v>
      </c>
      <c r="I292" s="16">
        <f>H292-J292</f>
        <v>76</v>
      </c>
      <c r="J292" s="16">
        <v>1754</v>
      </c>
      <c r="K292" s="16">
        <v>1724</v>
      </c>
      <c r="L292" s="16">
        <f t="shared" si="6"/>
        <v>30</v>
      </c>
    </row>
    <row r="293" spans="1:12" s="18" customFormat="1" ht="15" customHeight="1">
      <c r="A293" s="82">
        <v>2016</v>
      </c>
      <c r="B293" s="83" t="s">
        <v>47</v>
      </c>
      <c r="C293" s="15">
        <f t="shared" si="2"/>
        <v>0.9617400419287212</v>
      </c>
      <c r="D293" s="15">
        <f t="shared" si="3"/>
        <v>0.98655913978494625</v>
      </c>
      <c r="E293" s="15">
        <f t="shared" si="4"/>
        <v>0.97484276729559749</v>
      </c>
      <c r="F293" s="16"/>
      <c r="G293" s="16"/>
      <c r="H293" s="16">
        <v>1908</v>
      </c>
      <c r="I293" s="16">
        <f>H293-J293</f>
        <v>48</v>
      </c>
      <c r="J293" s="16">
        <v>1860</v>
      </c>
      <c r="K293" s="16">
        <v>1835</v>
      </c>
      <c r="L293" s="16">
        <f t="shared" si="6"/>
        <v>25</v>
      </c>
    </row>
    <row r="294" spans="1:12" s="18" customFormat="1" ht="15" customHeight="1">
      <c r="A294" s="82">
        <v>2017</v>
      </c>
      <c r="B294" s="83" t="s">
        <v>36</v>
      </c>
      <c r="C294" s="15">
        <f t="shared" si="2"/>
        <v>0.95127118644067798</v>
      </c>
      <c r="D294" s="15">
        <f t="shared" si="3"/>
        <v>0.97396963123644253</v>
      </c>
      <c r="E294" s="15">
        <f t="shared" si="4"/>
        <v>0.97669491525423724</v>
      </c>
      <c r="F294" s="16"/>
      <c r="G294" s="16"/>
      <c r="H294" s="16">
        <v>1888</v>
      </c>
      <c r="I294" s="16">
        <f t="shared" ref="I294:I304" si="7">H294-J294</f>
        <v>44</v>
      </c>
      <c r="J294" s="16">
        <v>1844</v>
      </c>
      <c r="K294" s="16">
        <v>1796</v>
      </c>
      <c r="L294" s="16">
        <f t="shared" ref="L294:L305" si="8">J294-K294</f>
        <v>48</v>
      </c>
    </row>
    <row r="295" spans="1:12" s="18" customFormat="1" ht="15" customHeight="1">
      <c r="A295" s="82">
        <v>2017</v>
      </c>
      <c r="B295" s="83" t="s">
        <v>37</v>
      </c>
      <c r="C295" s="15">
        <f t="shared" si="2"/>
        <v>0.89211136890951281</v>
      </c>
      <c r="D295" s="15">
        <f t="shared" si="3"/>
        <v>0.95706285003111391</v>
      </c>
      <c r="E295" s="15">
        <f t="shared" si="4"/>
        <v>0.93213457076566131</v>
      </c>
      <c r="F295" s="16"/>
      <c r="G295" s="16"/>
      <c r="H295" s="16">
        <v>1724</v>
      </c>
      <c r="I295" s="16">
        <f t="shared" si="7"/>
        <v>117</v>
      </c>
      <c r="J295" s="16">
        <v>1607</v>
      </c>
      <c r="K295" s="16">
        <v>1538</v>
      </c>
      <c r="L295" s="16">
        <f t="shared" si="8"/>
        <v>69</v>
      </c>
    </row>
    <row r="296" spans="1:12" s="18" customFormat="1" ht="15" customHeight="1">
      <c r="A296" s="82">
        <v>2017</v>
      </c>
      <c r="B296" s="83" t="s">
        <v>38</v>
      </c>
      <c r="C296" s="15">
        <f t="shared" si="2"/>
        <v>0.8103813559322034</v>
      </c>
      <c r="D296" s="15">
        <f t="shared" si="3"/>
        <v>0.94561186650185414</v>
      </c>
      <c r="E296" s="15">
        <f t="shared" si="4"/>
        <v>0.85699152542372881</v>
      </c>
      <c r="F296" s="16"/>
      <c r="G296" s="16"/>
      <c r="H296" s="16">
        <v>1888</v>
      </c>
      <c r="I296" s="16">
        <f t="shared" si="7"/>
        <v>270</v>
      </c>
      <c r="J296" s="16">
        <v>1618</v>
      </c>
      <c r="K296" s="16">
        <v>1530</v>
      </c>
      <c r="L296" s="16">
        <f t="shared" si="8"/>
        <v>88</v>
      </c>
    </row>
    <row r="297" spans="1:12" s="18" customFormat="1" ht="15" customHeight="1">
      <c r="A297" s="82">
        <v>2017</v>
      </c>
      <c r="B297" s="83" t="s">
        <v>39</v>
      </c>
      <c r="C297" s="15">
        <f t="shared" si="2"/>
        <v>0.85322580645161294</v>
      </c>
      <c r="D297" s="15">
        <f t="shared" si="3"/>
        <v>0.95086878370281602</v>
      </c>
      <c r="E297" s="15">
        <f t="shared" si="4"/>
        <v>0.89731182795698927</v>
      </c>
      <c r="F297" s="16"/>
      <c r="G297" s="16"/>
      <c r="H297" s="16">
        <v>1860</v>
      </c>
      <c r="I297" s="16">
        <f t="shared" si="7"/>
        <v>191</v>
      </c>
      <c r="J297" s="16">
        <v>1669</v>
      </c>
      <c r="K297" s="16">
        <v>1587</v>
      </c>
      <c r="L297" s="16">
        <f t="shared" si="8"/>
        <v>82</v>
      </c>
    </row>
    <row r="298" spans="1:12" s="18" customFormat="1" ht="15" customHeight="1">
      <c r="A298" s="82">
        <v>2017</v>
      </c>
      <c r="B298" s="83" t="s">
        <v>40</v>
      </c>
      <c r="C298" s="15">
        <f t="shared" si="2"/>
        <v>0.94046364594309795</v>
      </c>
      <c r="D298" s="15">
        <f t="shared" si="3"/>
        <v>0.96330275229357798</v>
      </c>
      <c r="E298" s="15">
        <f t="shared" si="4"/>
        <v>0.97629083245521597</v>
      </c>
      <c r="F298" s="16"/>
      <c r="G298" s="16"/>
      <c r="H298" s="16">
        <v>1898</v>
      </c>
      <c r="I298" s="16">
        <f t="shared" si="7"/>
        <v>45</v>
      </c>
      <c r="J298" s="16">
        <v>1853</v>
      </c>
      <c r="K298" s="16">
        <v>1785</v>
      </c>
      <c r="L298" s="16">
        <f t="shared" si="8"/>
        <v>68</v>
      </c>
    </row>
    <row r="299" spans="1:12" s="18" customFormat="1" ht="15" customHeight="1">
      <c r="A299" s="82">
        <v>2017</v>
      </c>
      <c r="B299" s="83" t="s">
        <v>41</v>
      </c>
      <c r="C299" s="15">
        <f t="shared" si="2"/>
        <v>0.96284153005464479</v>
      </c>
      <c r="D299" s="15">
        <f t="shared" si="3"/>
        <v>0.98106904231625836</v>
      </c>
      <c r="E299" s="15">
        <f t="shared" si="4"/>
        <v>0.98142076502732245</v>
      </c>
      <c r="F299" s="16"/>
      <c r="G299" s="16"/>
      <c r="H299" s="16">
        <v>1830</v>
      </c>
      <c r="I299" s="16">
        <f t="shared" si="7"/>
        <v>34</v>
      </c>
      <c r="J299" s="16">
        <v>1796</v>
      </c>
      <c r="K299" s="16">
        <v>1762</v>
      </c>
      <c r="L299" s="16">
        <f t="shared" si="8"/>
        <v>34</v>
      </c>
    </row>
    <row r="300" spans="1:12" s="18" customFormat="1" ht="15" customHeight="1">
      <c r="A300" s="82">
        <v>2017</v>
      </c>
      <c r="B300" s="83" t="s">
        <v>42</v>
      </c>
      <c r="C300" s="15">
        <f t="shared" si="2"/>
        <v>0.91991570073761852</v>
      </c>
      <c r="D300" s="15">
        <f t="shared" si="3"/>
        <v>0.94225580140313003</v>
      </c>
      <c r="E300" s="15">
        <f t="shared" si="4"/>
        <v>0.97629083245521597</v>
      </c>
      <c r="F300" s="16"/>
      <c r="G300" s="16"/>
      <c r="H300" s="16">
        <v>1898</v>
      </c>
      <c r="I300" s="16">
        <f t="shared" si="7"/>
        <v>45</v>
      </c>
      <c r="J300" s="16">
        <v>1853</v>
      </c>
      <c r="K300" s="16">
        <v>1746</v>
      </c>
      <c r="L300" s="16">
        <f t="shared" si="8"/>
        <v>107</v>
      </c>
    </row>
    <row r="301" spans="1:12" s="18" customFormat="1" ht="15" customHeight="1">
      <c r="A301" s="82">
        <v>2017</v>
      </c>
      <c r="B301" s="83" t="s">
        <v>43</v>
      </c>
      <c r="C301" s="15">
        <f t="shared" si="2"/>
        <v>0.95656779661016944</v>
      </c>
      <c r="D301" s="15">
        <f t="shared" si="3"/>
        <v>0.9688841201716738</v>
      </c>
      <c r="E301" s="15">
        <f t="shared" si="4"/>
        <v>0.98728813559322037</v>
      </c>
      <c r="F301" s="16"/>
      <c r="G301" s="16"/>
      <c r="H301" s="16">
        <v>1888</v>
      </c>
      <c r="I301" s="16">
        <f t="shared" si="7"/>
        <v>24</v>
      </c>
      <c r="J301" s="16">
        <v>1864</v>
      </c>
      <c r="K301" s="16">
        <v>1806</v>
      </c>
      <c r="L301" s="16">
        <f t="shared" si="8"/>
        <v>58</v>
      </c>
    </row>
    <row r="302" spans="1:12" s="18" customFormat="1" ht="15" customHeight="1">
      <c r="A302" s="82">
        <v>2017</v>
      </c>
      <c r="B302" s="83" t="s">
        <v>44</v>
      </c>
      <c r="C302" s="15">
        <f t="shared" si="2"/>
        <v>0.94699453551912571</v>
      </c>
      <c r="D302" s="15">
        <f t="shared" si="3"/>
        <v>0.96761585706309328</v>
      </c>
      <c r="E302" s="15">
        <f t="shared" si="4"/>
        <v>0.97868852459016398</v>
      </c>
      <c r="F302" s="16"/>
      <c r="G302" s="16"/>
      <c r="H302" s="16">
        <v>1830</v>
      </c>
      <c r="I302" s="16">
        <f t="shared" si="7"/>
        <v>39</v>
      </c>
      <c r="J302" s="16">
        <v>1791</v>
      </c>
      <c r="K302" s="16">
        <v>1733</v>
      </c>
      <c r="L302" s="16">
        <f t="shared" si="8"/>
        <v>58</v>
      </c>
    </row>
    <row r="303" spans="1:12" s="18" customFormat="1" ht="15" customHeight="1">
      <c r="A303" s="82">
        <v>2017</v>
      </c>
      <c r="B303" s="83" t="s">
        <v>45</v>
      </c>
      <c r="C303" s="15">
        <f t="shared" si="2"/>
        <v>0.94309799789251847</v>
      </c>
      <c r="D303" s="15">
        <f t="shared" si="3"/>
        <v>0.95314164004259849</v>
      </c>
      <c r="E303" s="15">
        <f t="shared" si="4"/>
        <v>0.98946259220231825</v>
      </c>
      <c r="F303" s="16"/>
      <c r="G303" s="16"/>
      <c r="H303" s="16">
        <v>1898</v>
      </c>
      <c r="I303" s="16">
        <f t="shared" si="7"/>
        <v>20</v>
      </c>
      <c r="J303" s="16">
        <v>1878</v>
      </c>
      <c r="K303" s="16">
        <v>1790</v>
      </c>
      <c r="L303" s="16">
        <f t="shared" si="8"/>
        <v>88</v>
      </c>
    </row>
    <row r="304" spans="1:12" s="18" customFormat="1" ht="15" customHeight="1">
      <c r="A304" s="82">
        <v>2017</v>
      </c>
      <c r="B304" s="83" t="s">
        <v>46</v>
      </c>
      <c r="C304" s="15">
        <f t="shared" si="2"/>
        <v>0.92841530054644805</v>
      </c>
      <c r="D304" s="15">
        <f t="shared" si="3"/>
        <v>0.96424517593643588</v>
      </c>
      <c r="E304" s="15">
        <f t="shared" si="4"/>
        <v>0.96284153005464479</v>
      </c>
      <c r="F304" s="16"/>
      <c r="G304" s="16"/>
      <c r="H304" s="16">
        <v>1830</v>
      </c>
      <c r="I304" s="16">
        <f t="shared" si="7"/>
        <v>68</v>
      </c>
      <c r="J304" s="16">
        <v>1762</v>
      </c>
      <c r="K304" s="16">
        <v>1699</v>
      </c>
      <c r="L304" s="16">
        <f t="shared" si="8"/>
        <v>63</v>
      </c>
    </row>
    <row r="305" spans="1:12" s="18" customFormat="1" ht="15" customHeight="1">
      <c r="A305" s="82">
        <v>2017</v>
      </c>
      <c r="B305" s="83" t="s">
        <v>47</v>
      </c>
      <c r="C305" s="15">
        <f t="shared" si="2"/>
        <v>0.92961418143899899</v>
      </c>
      <c r="D305" s="15">
        <f t="shared" si="3"/>
        <v>0.95296632816675575</v>
      </c>
      <c r="E305" s="15">
        <f t="shared" si="4"/>
        <v>0.97549530761209591</v>
      </c>
      <c r="F305" s="16"/>
      <c r="G305" s="16"/>
      <c r="H305" s="16">
        <v>1918</v>
      </c>
      <c r="I305" s="16">
        <f>H305-J305</f>
        <v>47</v>
      </c>
      <c r="J305" s="16">
        <v>1871</v>
      </c>
      <c r="K305" s="16">
        <v>1783</v>
      </c>
      <c r="L305" s="16">
        <f t="shared" si="8"/>
        <v>88</v>
      </c>
    </row>
    <row r="306" spans="1:12" s="18" customFormat="1" ht="15" customHeight="1">
      <c r="A306" s="82">
        <v>2018</v>
      </c>
      <c r="B306" s="83" t="s">
        <v>36</v>
      </c>
      <c r="C306" s="15">
        <f t="shared" si="2"/>
        <v>0.93644067796610164</v>
      </c>
      <c r="D306" s="15">
        <f t="shared" si="3"/>
        <v>0.94494922501336187</v>
      </c>
      <c r="E306" s="15">
        <f t="shared" si="4"/>
        <v>0.9909957627118644</v>
      </c>
      <c r="F306" s="16"/>
      <c r="G306" s="16"/>
      <c r="H306" s="16">
        <v>1888</v>
      </c>
      <c r="I306" s="16">
        <f t="shared" ref="I306:I317" si="9">H306-J306</f>
        <v>17</v>
      </c>
      <c r="J306" s="16">
        <v>1871</v>
      </c>
      <c r="K306" s="16">
        <v>1768</v>
      </c>
      <c r="L306" s="16">
        <f t="shared" ref="L306:L317" si="10">J306-K306</f>
        <v>103</v>
      </c>
    </row>
    <row r="307" spans="1:12" s="18" customFormat="1" ht="15" customHeight="1">
      <c r="A307" s="82">
        <v>2018</v>
      </c>
      <c r="B307" s="83" t="s">
        <v>37</v>
      </c>
      <c r="C307" s="15">
        <f t="shared" si="2"/>
        <v>0.95069605568445481</v>
      </c>
      <c r="D307" s="15">
        <f t="shared" si="3"/>
        <v>0.96355085243974137</v>
      </c>
      <c r="E307" s="15">
        <f t="shared" si="4"/>
        <v>0.98665893271461713</v>
      </c>
      <c r="F307" s="16"/>
      <c r="G307" s="16"/>
      <c r="H307" s="16">
        <v>1724</v>
      </c>
      <c r="I307" s="16">
        <f t="shared" si="9"/>
        <v>23</v>
      </c>
      <c r="J307" s="16">
        <v>1701</v>
      </c>
      <c r="K307" s="16">
        <v>1639</v>
      </c>
      <c r="L307" s="16">
        <f t="shared" si="10"/>
        <v>62</v>
      </c>
    </row>
    <row r="308" spans="1:12" s="18" customFormat="1" ht="15" customHeight="1">
      <c r="A308" s="82">
        <v>2018</v>
      </c>
      <c r="B308" s="83" t="s">
        <v>38</v>
      </c>
      <c r="C308" s="15">
        <f t="shared" si="2"/>
        <v>0.92662473794549272</v>
      </c>
      <c r="D308" s="15">
        <f t="shared" si="3"/>
        <v>0.94142705005324812</v>
      </c>
      <c r="E308" s="15">
        <f t="shared" si="4"/>
        <v>0.98427672955974843</v>
      </c>
      <c r="F308" s="16"/>
      <c r="G308" s="16"/>
      <c r="H308" s="16">
        <v>1908</v>
      </c>
      <c r="I308" s="16">
        <f t="shared" si="9"/>
        <v>30</v>
      </c>
      <c r="J308" s="16">
        <v>1878</v>
      </c>
      <c r="K308" s="16">
        <v>1768</v>
      </c>
      <c r="L308" s="16">
        <f t="shared" si="10"/>
        <v>110</v>
      </c>
    </row>
    <row r="309" spans="1:12" s="18" customFormat="1" ht="15" customHeight="1">
      <c r="A309" s="82">
        <v>2018</v>
      </c>
      <c r="B309" s="83" t="s">
        <v>39</v>
      </c>
      <c r="C309" s="15">
        <f t="shared" si="2"/>
        <v>0.89783783783783788</v>
      </c>
      <c r="D309" s="15">
        <f t="shared" si="3"/>
        <v>0.91515151515151516</v>
      </c>
      <c r="E309" s="15">
        <f t="shared" si="4"/>
        <v>0.98108108108108105</v>
      </c>
      <c r="F309" s="16"/>
      <c r="G309" s="16"/>
      <c r="H309" s="16">
        <v>1850</v>
      </c>
      <c r="I309" s="16">
        <f t="shared" si="9"/>
        <v>35</v>
      </c>
      <c r="J309" s="16">
        <v>1815</v>
      </c>
      <c r="K309" s="16">
        <v>1661</v>
      </c>
      <c r="L309" s="16">
        <f t="shared" si="10"/>
        <v>154</v>
      </c>
    </row>
    <row r="310" spans="1:12" s="18" customFormat="1" ht="15" customHeight="1">
      <c r="A310" s="82">
        <v>2018</v>
      </c>
      <c r="B310" s="83" t="s">
        <v>40</v>
      </c>
      <c r="C310" s="15">
        <f t="shared" si="2"/>
        <v>0.90779768177028453</v>
      </c>
      <c r="D310" s="15">
        <f t="shared" si="3"/>
        <v>0.91844349680170578</v>
      </c>
      <c r="E310" s="15">
        <f t="shared" si="4"/>
        <v>0.98840885142255008</v>
      </c>
      <c r="F310" s="16"/>
      <c r="G310" s="16"/>
      <c r="H310" s="16">
        <v>1898</v>
      </c>
      <c r="I310" s="16">
        <f t="shared" si="9"/>
        <v>22</v>
      </c>
      <c r="J310" s="16">
        <v>1876</v>
      </c>
      <c r="K310" s="16">
        <v>1723</v>
      </c>
      <c r="L310" s="16">
        <f t="shared" si="10"/>
        <v>153</v>
      </c>
    </row>
    <row r="311" spans="1:12" s="18" customFormat="1" ht="15" customHeight="1">
      <c r="A311" s="82">
        <v>2018</v>
      </c>
      <c r="B311" s="83" t="s">
        <v>41</v>
      </c>
      <c r="C311" s="15">
        <f t="shared" si="2"/>
        <v>0.90815217391304348</v>
      </c>
      <c r="D311" s="15">
        <f t="shared" si="3"/>
        <v>0.93876404494382026</v>
      </c>
      <c r="E311" s="15">
        <f t="shared" si="4"/>
        <v>0.96739130434782605</v>
      </c>
      <c r="F311" s="16"/>
      <c r="G311" s="16"/>
      <c r="H311" s="16">
        <v>1840</v>
      </c>
      <c r="I311" s="16">
        <f t="shared" si="9"/>
        <v>60</v>
      </c>
      <c r="J311" s="16">
        <v>1780</v>
      </c>
      <c r="K311" s="16">
        <v>1671</v>
      </c>
      <c r="L311" s="16">
        <f t="shared" si="10"/>
        <v>109</v>
      </c>
    </row>
    <row r="312" spans="1:12" s="18" customFormat="1" ht="15" customHeight="1">
      <c r="A312" s="82">
        <v>2018</v>
      </c>
      <c r="B312" s="83" t="s">
        <v>42</v>
      </c>
      <c r="C312" s="15">
        <f t="shared" si="2"/>
        <v>0.94625922023182296</v>
      </c>
      <c r="D312" s="15">
        <f t="shared" si="3"/>
        <v>0.95227995758218453</v>
      </c>
      <c r="E312" s="15">
        <f t="shared" si="4"/>
        <v>0.9936775553213909</v>
      </c>
      <c r="F312" s="16"/>
      <c r="G312" s="16"/>
      <c r="H312" s="16">
        <v>1898</v>
      </c>
      <c r="I312" s="16">
        <f t="shared" si="9"/>
        <v>12</v>
      </c>
      <c r="J312" s="16">
        <v>1886</v>
      </c>
      <c r="K312" s="16">
        <v>1796</v>
      </c>
      <c r="L312" s="16">
        <f t="shared" si="10"/>
        <v>90</v>
      </c>
    </row>
    <row r="313" spans="1:12" s="18" customFormat="1" ht="15" customHeight="1">
      <c r="A313" s="82">
        <v>2018</v>
      </c>
      <c r="B313" s="83" t="s">
        <v>43</v>
      </c>
      <c r="C313" s="15">
        <f t="shared" si="2"/>
        <v>0.89141949152542377</v>
      </c>
      <c r="D313" s="15">
        <f t="shared" si="3"/>
        <v>0.91120736329182461</v>
      </c>
      <c r="E313" s="15">
        <f t="shared" si="4"/>
        <v>0.97828389830508478</v>
      </c>
      <c r="F313" s="16"/>
      <c r="G313" s="16"/>
      <c r="H313" s="16">
        <v>1888</v>
      </c>
      <c r="I313" s="16">
        <f t="shared" si="9"/>
        <v>41</v>
      </c>
      <c r="J313" s="16">
        <v>1847</v>
      </c>
      <c r="K313" s="16">
        <v>1683</v>
      </c>
      <c r="L313" s="16">
        <f t="shared" si="10"/>
        <v>164</v>
      </c>
    </row>
    <row r="314" spans="1:12" s="18" customFormat="1" ht="15" customHeight="1">
      <c r="A314" s="82">
        <v>2018</v>
      </c>
      <c r="B314" s="83" t="s">
        <v>44</v>
      </c>
      <c r="C314" s="15">
        <f t="shared" si="2"/>
        <v>0.88749999999999996</v>
      </c>
      <c r="D314" s="15">
        <f t="shared" si="3"/>
        <v>0.92731402612152192</v>
      </c>
      <c r="E314" s="15">
        <f t="shared" si="4"/>
        <v>0.95706521739130435</v>
      </c>
      <c r="F314" s="16"/>
      <c r="G314" s="16"/>
      <c r="H314" s="16">
        <v>1840</v>
      </c>
      <c r="I314" s="16">
        <f t="shared" si="9"/>
        <v>79</v>
      </c>
      <c r="J314" s="16">
        <v>1761</v>
      </c>
      <c r="K314" s="16">
        <v>1633</v>
      </c>
      <c r="L314" s="16">
        <f t="shared" si="10"/>
        <v>128</v>
      </c>
    </row>
    <row r="315" spans="1:12" s="18" customFormat="1" ht="15" customHeight="1">
      <c r="A315" s="82">
        <v>2018</v>
      </c>
      <c r="B315" s="83" t="s">
        <v>45</v>
      </c>
      <c r="C315" s="15">
        <f t="shared" si="2"/>
        <v>0.90360169491525422</v>
      </c>
      <c r="D315" s="15">
        <f t="shared" si="3"/>
        <v>0.91083822744260545</v>
      </c>
      <c r="E315" s="15">
        <f t="shared" si="4"/>
        <v>0.99205508474576276</v>
      </c>
      <c r="F315" s="16"/>
      <c r="G315" s="16"/>
      <c r="H315" s="16">
        <v>1888</v>
      </c>
      <c r="I315" s="16">
        <f t="shared" si="9"/>
        <v>15</v>
      </c>
      <c r="J315" s="16">
        <v>1873</v>
      </c>
      <c r="K315" s="16">
        <v>1706</v>
      </c>
      <c r="L315" s="16">
        <f t="shared" si="10"/>
        <v>167</v>
      </c>
    </row>
    <row r="316" spans="1:12" s="18" customFormat="1" ht="15" customHeight="1">
      <c r="A316" s="82">
        <v>2018</v>
      </c>
      <c r="B316" s="83" t="s">
        <v>46</v>
      </c>
      <c r="C316" s="15">
        <f t="shared" si="2"/>
        <v>0.88524590163934425</v>
      </c>
      <c r="D316" s="15">
        <f t="shared" si="3"/>
        <v>0.93156986774008055</v>
      </c>
      <c r="E316" s="15">
        <f t="shared" si="4"/>
        <v>0.95027322404371584</v>
      </c>
      <c r="F316" s="16"/>
      <c r="G316" s="16"/>
      <c r="H316" s="16">
        <v>1830</v>
      </c>
      <c r="I316" s="16">
        <f t="shared" si="9"/>
        <v>91</v>
      </c>
      <c r="J316" s="16">
        <v>1739</v>
      </c>
      <c r="K316" s="16">
        <v>1620</v>
      </c>
      <c r="L316" s="16">
        <f t="shared" si="10"/>
        <v>119</v>
      </c>
    </row>
    <row r="317" spans="1:12" s="18" customFormat="1" ht="15" customHeight="1">
      <c r="A317" s="82">
        <v>2018</v>
      </c>
      <c r="B317" s="83" t="s">
        <v>47</v>
      </c>
      <c r="C317" s="15">
        <f t="shared" si="2"/>
        <v>0.78786307053941906</v>
      </c>
      <c r="D317" s="15">
        <f t="shared" si="3"/>
        <v>0.89881656804733723</v>
      </c>
      <c r="E317" s="15">
        <f t="shared" si="4"/>
        <v>0.87655601659751037</v>
      </c>
      <c r="F317" s="16"/>
      <c r="G317" s="16"/>
      <c r="H317" s="16">
        <v>1928</v>
      </c>
      <c r="I317" s="16">
        <f t="shared" si="9"/>
        <v>238</v>
      </c>
      <c r="J317" s="16">
        <v>1690</v>
      </c>
      <c r="K317" s="16">
        <v>1519</v>
      </c>
      <c r="L317" s="16">
        <f t="shared" si="10"/>
        <v>171</v>
      </c>
    </row>
    <row r="318" spans="1:12" s="18" customFormat="1" ht="15" customHeight="1">
      <c r="A318" s="82">
        <v>2019</v>
      </c>
      <c r="B318" s="83" t="s">
        <v>36</v>
      </c>
      <c r="C318" s="15">
        <f t="shared" si="2"/>
        <v>0.81885593220338981</v>
      </c>
      <c r="D318" s="15">
        <f t="shared" si="3"/>
        <v>0.84388646288209612</v>
      </c>
      <c r="E318" s="15">
        <f t="shared" si="4"/>
        <v>0.97033898305084743</v>
      </c>
      <c r="F318" s="16"/>
      <c r="G318" s="16"/>
      <c r="H318" s="16">
        <v>1888</v>
      </c>
      <c r="I318" s="16">
        <f t="shared" ref="I318:I329" si="11">H318-J318</f>
        <v>56</v>
      </c>
      <c r="J318" s="16">
        <v>1832</v>
      </c>
      <c r="K318" s="16">
        <v>1546</v>
      </c>
      <c r="L318" s="16">
        <f t="shared" ref="L318:L329" si="12">J318-K318</f>
        <v>286</v>
      </c>
    </row>
    <row r="319" spans="1:12" s="18" customFormat="1" ht="15" customHeight="1">
      <c r="A319" s="82">
        <v>2019</v>
      </c>
      <c r="B319" s="83" t="s">
        <v>37</v>
      </c>
      <c r="C319" s="15">
        <f t="shared" si="2"/>
        <v>0.84330985915492962</v>
      </c>
      <c r="D319" s="15">
        <f t="shared" si="3"/>
        <v>0.86254501800720285</v>
      </c>
      <c r="E319" s="15">
        <f t="shared" si="4"/>
        <v>0.97769953051643188</v>
      </c>
      <c r="F319" s="16"/>
      <c r="G319" s="16"/>
      <c r="H319" s="16">
        <v>1704</v>
      </c>
      <c r="I319" s="16">
        <f t="shared" si="11"/>
        <v>38</v>
      </c>
      <c r="J319" s="16">
        <v>1666</v>
      </c>
      <c r="K319" s="16">
        <v>1437</v>
      </c>
      <c r="L319" s="16">
        <f t="shared" si="12"/>
        <v>229</v>
      </c>
    </row>
    <row r="320" spans="1:12" s="18" customFormat="1" ht="15" customHeight="1">
      <c r="A320" s="82">
        <v>2019</v>
      </c>
      <c r="B320" s="83" t="s">
        <v>38</v>
      </c>
      <c r="C320" s="15">
        <f t="shared" si="2"/>
        <v>0.84567257559958287</v>
      </c>
      <c r="D320" s="15">
        <f t="shared" si="3"/>
        <v>0.8720430107526882</v>
      </c>
      <c r="E320" s="15">
        <f t="shared" si="4"/>
        <v>0.96976016684045885</v>
      </c>
      <c r="F320" s="16"/>
      <c r="G320" s="16"/>
      <c r="H320" s="16">
        <v>1918</v>
      </c>
      <c r="I320" s="16">
        <f t="shared" si="11"/>
        <v>58</v>
      </c>
      <c r="J320" s="16">
        <v>1860</v>
      </c>
      <c r="K320" s="16">
        <v>1622</v>
      </c>
      <c r="L320" s="16">
        <f t="shared" si="12"/>
        <v>238</v>
      </c>
    </row>
    <row r="321" spans="1:12" s="18" customFormat="1" ht="15" customHeight="1">
      <c r="A321" s="82">
        <v>2019</v>
      </c>
      <c r="B321" s="83" t="s">
        <v>39</v>
      </c>
      <c r="C321" s="15">
        <f t="shared" si="2"/>
        <v>0.77945945945945949</v>
      </c>
      <c r="D321" s="15">
        <f t="shared" si="3"/>
        <v>0.79317931793179319</v>
      </c>
      <c r="E321" s="15">
        <f t="shared" si="4"/>
        <v>0.98270270270270266</v>
      </c>
      <c r="F321" s="16"/>
      <c r="G321" s="16"/>
      <c r="H321" s="16">
        <v>1850</v>
      </c>
      <c r="I321" s="16">
        <f t="shared" si="11"/>
        <v>32</v>
      </c>
      <c r="J321" s="16">
        <v>1818</v>
      </c>
      <c r="K321" s="16">
        <v>1442</v>
      </c>
      <c r="L321" s="16">
        <f t="shared" si="12"/>
        <v>376</v>
      </c>
    </row>
    <row r="322" spans="1:12" s="18" customFormat="1" ht="15" customHeight="1">
      <c r="A322" s="82">
        <v>2019</v>
      </c>
      <c r="B322" s="83" t="s">
        <v>40</v>
      </c>
      <c r="C322" s="15">
        <f t="shared" si="2"/>
        <v>0.72563559322033899</v>
      </c>
      <c r="D322" s="15">
        <f t="shared" si="3"/>
        <v>0.78826237054085158</v>
      </c>
      <c r="E322" s="15">
        <f t="shared" si="4"/>
        <v>0.92055084745762716</v>
      </c>
      <c r="F322" s="16"/>
      <c r="G322" s="16"/>
      <c r="H322" s="16">
        <v>1888</v>
      </c>
      <c r="I322" s="16">
        <f t="shared" si="11"/>
        <v>150</v>
      </c>
      <c r="J322" s="16">
        <v>1738</v>
      </c>
      <c r="K322" s="16">
        <v>1370</v>
      </c>
      <c r="L322" s="16">
        <f t="shared" si="12"/>
        <v>368</v>
      </c>
    </row>
    <row r="323" spans="1:12" s="18" customFormat="1" ht="15" customHeight="1">
      <c r="A323" s="82">
        <v>2019</v>
      </c>
      <c r="B323" s="83" t="s">
        <v>41</v>
      </c>
      <c r="C323" s="15">
        <f t="shared" si="2"/>
        <v>0.76989247311827957</v>
      </c>
      <c r="D323" s="15">
        <f t="shared" si="3"/>
        <v>0.82726747544771806</v>
      </c>
      <c r="E323" s="15">
        <f t="shared" si="4"/>
        <v>0.9306451612903226</v>
      </c>
      <c r="F323" s="16"/>
      <c r="G323" s="16"/>
      <c r="H323" s="16">
        <v>1860</v>
      </c>
      <c r="I323" s="16">
        <f t="shared" si="11"/>
        <v>129</v>
      </c>
      <c r="J323" s="16">
        <v>1731</v>
      </c>
      <c r="K323" s="16">
        <v>1432</v>
      </c>
      <c r="L323" s="16">
        <f t="shared" si="12"/>
        <v>299</v>
      </c>
    </row>
    <row r="324" spans="1:12" s="18" customFormat="1" ht="15" customHeight="1">
      <c r="A324" s="82">
        <v>2019</v>
      </c>
      <c r="B324" s="83" t="s">
        <v>42</v>
      </c>
      <c r="C324" s="15">
        <f t="shared" si="2"/>
        <v>0.89778714436248686</v>
      </c>
      <c r="D324" s="15">
        <f t="shared" si="3"/>
        <v>0.91909385113268605</v>
      </c>
      <c r="E324" s="15">
        <f t="shared" si="4"/>
        <v>0.97681770284510006</v>
      </c>
      <c r="F324" s="16">
        <v>60</v>
      </c>
      <c r="G324" s="16">
        <v>2</v>
      </c>
      <c r="H324" s="16">
        <v>1898</v>
      </c>
      <c r="I324" s="16">
        <f t="shared" si="11"/>
        <v>44</v>
      </c>
      <c r="J324" s="16">
        <v>1854</v>
      </c>
      <c r="K324" s="16">
        <v>1704</v>
      </c>
      <c r="L324" s="16">
        <f t="shared" si="12"/>
        <v>150</v>
      </c>
    </row>
    <row r="325" spans="1:12" s="18" customFormat="1" ht="15" customHeight="1">
      <c r="A325" s="82">
        <v>2019</v>
      </c>
      <c r="B325" s="83" t="s">
        <v>43</v>
      </c>
      <c r="C325" s="15">
        <f t="shared" si="2"/>
        <v>0.84193888303477349</v>
      </c>
      <c r="D325" s="15">
        <f t="shared" si="3"/>
        <v>0.85637727759914251</v>
      </c>
      <c r="E325" s="15">
        <f t="shared" si="4"/>
        <v>0.98314014752370915</v>
      </c>
      <c r="F325" s="16">
        <v>60</v>
      </c>
      <c r="G325" s="16">
        <v>2</v>
      </c>
      <c r="H325" s="16">
        <v>1898</v>
      </c>
      <c r="I325" s="16">
        <f t="shared" si="11"/>
        <v>32</v>
      </c>
      <c r="J325" s="16">
        <v>1866</v>
      </c>
      <c r="K325" s="16">
        <v>1598</v>
      </c>
      <c r="L325" s="16">
        <f t="shared" si="12"/>
        <v>268</v>
      </c>
    </row>
    <row r="326" spans="1:12" s="18" customFormat="1" ht="15" customHeight="1">
      <c r="A326" s="82">
        <v>2019</v>
      </c>
      <c r="B326" s="83" t="s">
        <v>44</v>
      </c>
      <c r="C326" s="15">
        <f t="shared" si="2"/>
        <v>0.78032786885245897</v>
      </c>
      <c r="D326" s="15">
        <f t="shared" si="3"/>
        <v>0.94195250659630603</v>
      </c>
      <c r="E326" s="15">
        <f t="shared" si="4"/>
        <v>0.82841530054644807</v>
      </c>
      <c r="F326" s="16">
        <v>60</v>
      </c>
      <c r="G326" s="16">
        <v>2</v>
      </c>
      <c r="H326" s="16">
        <v>1830</v>
      </c>
      <c r="I326" s="16">
        <f t="shared" si="11"/>
        <v>314</v>
      </c>
      <c r="J326" s="16">
        <v>1516</v>
      </c>
      <c r="K326" s="16">
        <v>1428</v>
      </c>
      <c r="L326" s="16">
        <f t="shared" si="12"/>
        <v>88</v>
      </c>
    </row>
    <row r="327" spans="1:12" s="18" customFormat="1" ht="15" customHeight="1">
      <c r="A327" s="82">
        <v>2019</v>
      </c>
      <c r="B327" s="83" t="s">
        <v>45</v>
      </c>
      <c r="C327" s="15">
        <f t="shared" si="2"/>
        <v>0.83845338983050843</v>
      </c>
      <c r="D327" s="15">
        <f t="shared" si="3"/>
        <v>0.89586870401810981</v>
      </c>
      <c r="E327" s="15">
        <f t="shared" si="4"/>
        <v>0.93591101694915257</v>
      </c>
      <c r="F327" s="16">
        <v>60</v>
      </c>
      <c r="G327" s="16">
        <v>2</v>
      </c>
      <c r="H327" s="16">
        <v>1888</v>
      </c>
      <c r="I327" s="16">
        <f t="shared" si="11"/>
        <v>121</v>
      </c>
      <c r="J327" s="16">
        <v>1767</v>
      </c>
      <c r="K327" s="16">
        <v>1583</v>
      </c>
      <c r="L327" s="16">
        <f t="shared" si="12"/>
        <v>184</v>
      </c>
    </row>
    <row r="328" spans="1:12" s="18" customFormat="1" ht="15" customHeight="1">
      <c r="A328" s="82">
        <v>2019</v>
      </c>
      <c r="B328" s="83" t="s">
        <v>46</v>
      </c>
      <c r="C328" s="15">
        <f t="shared" si="2"/>
        <v>0.82934782608695656</v>
      </c>
      <c r="D328" s="15">
        <f t="shared" si="3"/>
        <v>0.88927738927738931</v>
      </c>
      <c r="E328" s="15">
        <f t="shared" si="4"/>
        <v>0.93260869565217386</v>
      </c>
      <c r="F328" s="16">
        <v>60</v>
      </c>
      <c r="G328" s="16">
        <v>2</v>
      </c>
      <c r="H328" s="16">
        <v>1840</v>
      </c>
      <c r="I328" s="16">
        <f t="shared" si="11"/>
        <v>124</v>
      </c>
      <c r="J328" s="16">
        <v>1716</v>
      </c>
      <c r="K328" s="16">
        <v>1526</v>
      </c>
      <c r="L328" s="16">
        <f t="shared" si="12"/>
        <v>190</v>
      </c>
    </row>
    <row r="329" spans="1:12" s="18" customFormat="1" ht="15" customHeight="1">
      <c r="A329" s="82">
        <v>2019</v>
      </c>
      <c r="B329" s="83" t="s">
        <v>47</v>
      </c>
      <c r="C329" s="15">
        <f t="shared" si="2"/>
        <v>0.86740041928721179</v>
      </c>
      <c r="D329" s="15">
        <f t="shared" si="3"/>
        <v>0.92821088053841838</v>
      </c>
      <c r="E329" s="15">
        <f t="shared" si="4"/>
        <v>0.93448637316561844</v>
      </c>
      <c r="F329" s="16">
        <v>60</v>
      </c>
      <c r="G329" s="16">
        <v>2</v>
      </c>
      <c r="H329" s="16">
        <v>1908</v>
      </c>
      <c r="I329" s="16">
        <f t="shared" si="11"/>
        <v>125</v>
      </c>
      <c r="J329" s="16">
        <v>1783</v>
      </c>
      <c r="K329" s="16">
        <v>1655</v>
      </c>
      <c r="L329" s="16">
        <f t="shared" si="12"/>
        <v>128</v>
      </c>
    </row>
    <row r="330" spans="1:12" s="18" customFormat="1" ht="15" customHeight="1">
      <c r="A330" s="82">
        <v>2020</v>
      </c>
      <c r="B330" s="83" t="s">
        <v>36</v>
      </c>
      <c r="C330" s="15">
        <f t="shared" si="2"/>
        <v>0.89194915254237284</v>
      </c>
      <c r="D330" s="15">
        <f t="shared" si="3"/>
        <v>0.93711741791875347</v>
      </c>
      <c r="E330" s="15">
        <f t="shared" si="4"/>
        <v>0.95180084745762716</v>
      </c>
      <c r="F330" s="16">
        <v>60</v>
      </c>
      <c r="G330" s="16">
        <v>2</v>
      </c>
      <c r="H330" s="16">
        <v>1888</v>
      </c>
      <c r="I330" s="16">
        <f>H330-J330</f>
        <v>91</v>
      </c>
      <c r="J330" s="16">
        <v>1797</v>
      </c>
      <c r="K330" s="16">
        <v>1684</v>
      </c>
      <c r="L330" s="16">
        <f>J330-K330</f>
        <v>113</v>
      </c>
    </row>
    <row r="331" spans="1:12" s="18" customFormat="1" ht="15" customHeight="1">
      <c r="A331" s="82">
        <v>2020</v>
      </c>
      <c r="B331" s="83" t="s">
        <v>37</v>
      </c>
      <c r="C331" s="15">
        <f t="shared" si="2"/>
        <v>0.8577008928571429</v>
      </c>
      <c r="D331" s="15">
        <f t="shared" si="3"/>
        <v>0.91433670434265313</v>
      </c>
      <c r="E331" s="15">
        <f t="shared" si="4"/>
        <v>0.9380580357142857</v>
      </c>
      <c r="F331" s="16">
        <v>60</v>
      </c>
      <c r="G331" s="16">
        <v>2</v>
      </c>
      <c r="H331" s="16">
        <v>1792</v>
      </c>
      <c r="I331" s="16">
        <f>H331-J331</f>
        <v>111</v>
      </c>
      <c r="J331" s="16">
        <v>1681</v>
      </c>
      <c r="K331" s="16">
        <v>1537</v>
      </c>
      <c r="L331" s="16">
        <f>J331-K331</f>
        <v>144</v>
      </c>
    </row>
    <row r="332" spans="1:12" s="18" customFormat="1" ht="15" customHeight="1">
      <c r="A332" s="82">
        <v>2020</v>
      </c>
      <c r="B332" s="83" t="s">
        <v>38</v>
      </c>
      <c r="C332" s="15">
        <f t="shared" si="2"/>
        <v>0.69195046439628483</v>
      </c>
      <c r="D332" s="15">
        <f t="shared" si="3"/>
        <v>0.95717344753747324</v>
      </c>
      <c r="E332" s="15">
        <f t="shared" si="4"/>
        <v>0.72291021671826627</v>
      </c>
      <c r="F332" s="16">
        <v>60</v>
      </c>
      <c r="G332" s="16">
        <v>2</v>
      </c>
      <c r="H332" s="16">
        <v>1938</v>
      </c>
      <c r="I332" s="16">
        <f>H332-J332</f>
        <v>537</v>
      </c>
      <c r="J332" s="16">
        <v>1401</v>
      </c>
      <c r="K332" s="16">
        <v>1341</v>
      </c>
      <c r="L332" s="16">
        <f>J332-K332</f>
        <v>60</v>
      </c>
    </row>
    <row r="333" spans="1:12" s="18" customFormat="1" ht="15" customHeight="1">
      <c r="A333" s="82">
        <v>2020</v>
      </c>
      <c r="B333" s="83" t="s">
        <v>39</v>
      </c>
      <c r="C333" s="15">
        <f t="shared" si="2"/>
        <v>0.42826086956521742</v>
      </c>
      <c r="D333" s="15">
        <f t="shared" si="3"/>
        <v>0.96332518337408313</v>
      </c>
      <c r="E333" s="15">
        <f t="shared" si="4"/>
        <v>0.44456521739130433</v>
      </c>
      <c r="F333" s="16">
        <v>60</v>
      </c>
      <c r="G333" s="16">
        <v>2</v>
      </c>
      <c r="H333" s="16">
        <v>1840</v>
      </c>
      <c r="I333" s="16">
        <f>H333-J333</f>
        <v>1022</v>
      </c>
      <c r="J333" s="16">
        <v>818</v>
      </c>
      <c r="K333" s="16">
        <v>788</v>
      </c>
      <c r="L333" s="16">
        <f>J333-K333</f>
        <v>30</v>
      </c>
    </row>
    <row r="334" spans="1:12" s="18" customFormat="1" ht="15" customHeight="1">
      <c r="A334" s="82">
        <v>2020</v>
      </c>
      <c r="B334" s="83" t="s">
        <v>40</v>
      </c>
      <c r="C334" s="15">
        <f t="shared" si="2"/>
        <v>0.41240875912408759</v>
      </c>
      <c r="D334" s="15">
        <f t="shared" si="3"/>
        <v>0.93942992874109266</v>
      </c>
      <c r="E334" s="15">
        <f t="shared" si="4"/>
        <v>0.43899895724713245</v>
      </c>
      <c r="F334" s="16">
        <v>60</v>
      </c>
      <c r="G334" s="16">
        <v>2</v>
      </c>
      <c r="H334" s="16">
        <v>1918</v>
      </c>
      <c r="I334" s="16">
        <f>H334-J334</f>
        <v>1076</v>
      </c>
      <c r="J334" s="16">
        <v>842</v>
      </c>
      <c r="K334" s="16">
        <v>791</v>
      </c>
      <c r="L334" s="16">
        <f>J334-K334</f>
        <v>51</v>
      </c>
    </row>
    <row r="335" spans="1:12" s="18" customFormat="1" ht="15" customHeight="1">
      <c r="A335" s="82">
        <v>2020</v>
      </c>
      <c r="B335" s="83" t="s">
        <v>41</v>
      </c>
      <c r="C335" s="15">
        <f t="shared" ref="C335:C341" si="13">K335/H335</f>
        <v>0.49655647382920109</v>
      </c>
      <c r="D335" s="15">
        <f t="shared" ref="D335:D341" si="14">K335/J335</f>
        <v>0.87926829268292683</v>
      </c>
      <c r="E335" s="15">
        <f t="shared" ref="E335:E341" si="15">J335/H335</f>
        <v>0.56473829201101933</v>
      </c>
      <c r="F335" s="16">
        <v>60</v>
      </c>
      <c r="G335" s="16">
        <v>2</v>
      </c>
      <c r="H335" s="16">
        <v>1452</v>
      </c>
      <c r="I335" s="16">
        <f t="shared" ref="I335:I342" si="16">H335-J335</f>
        <v>632</v>
      </c>
      <c r="J335" s="16">
        <v>820</v>
      </c>
      <c r="K335" s="16">
        <v>721</v>
      </c>
      <c r="L335" s="16">
        <f t="shared" ref="L335:L341" si="17">J335-K335</f>
        <v>99</v>
      </c>
    </row>
    <row r="336" spans="1:12" s="18" customFormat="1" ht="15" customHeight="1">
      <c r="A336" s="82">
        <v>2020</v>
      </c>
      <c r="B336" s="83" t="s">
        <v>42</v>
      </c>
      <c r="C336" s="15">
        <f t="shared" si="13"/>
        <v>0.89268867924528306</v>
      </c>
      <c r="D336" s="15">
        <f t="shared" si="14"/>
        <v>0.89691943127962082</v>
      </c>
      <c r="E336" s="15">
        <f t="shared" si="15"/>
        <v>0.99528301886792447</v>
      </c>
      <c r="F336" s="16">
        <v>60</v>
      </c>
      <c r="G336" s="16">
        <v>2</v>
      </c>
      <c r="H336" s="16">
        <v>848</v>
      </c>
      <c r="I336" s="16">
        <f t="shared" si="16"/>
        <v>4</v>
      </c>
      <c r="J336" s="16">
        <v>844</v>
      </c>
      <c r="K336" s="16">
        <v>757</v>
      </c>
      <c r="L336" s="16">
        <f t="shared" si="17"/>
        <v>87</v>
      </c>
    </row>
    <row r="337" spans="1:12" s="18" customFormat="1" ht="15" customHeight="1">
      <c r="A337" s="82">
        <v>2020</v>
      </c>
      <c r="B337" s="83" t="s">
        <v>43</v>
      </c>
      <c r="C337" s="15">
        <f t="shared" si="13"/>
        <v>0.93971631205673756</v>
      </c>
      <c r="D337" s="15">
        <f t="shared" si="14"/>
        <v>0.94194312796208535</v>
      </c>
      <c r="E337" s="15">
        <f t="shared" si="15"/>
        <v>0.99763593380614657</v>
      </c>
      <c r="F337" s="16">
        <v>60</v>
      </c>
      <c r="G337" s="16">
        <v>2</v>
      </c>
      <c r="H337" s="16">
        <v>846</v>
      </c>
      <c r="I337" s="16">
        <f t="shared" si="16"/>
        <v>2</v>
      </c>
      <c r="J337" s="16">
        <v>844</v>
      </c>
      <c r="K337" s="16">
        <v>795</v>
      </c>
      <c r="L337" s="16">
        <f t="shared" si="17"/>
        <v>49</v>
      </c>
    </row>
    <row r="338" spans="1:12" s="18" customFormat="1" ht="15" customHeight="1">
      <c r="A338" s="82">
        <v>2020</v>
      </c>
      <c r="B338" s="83" t="s">
        <v>44</v>
      </c>
      <c r="C338" s="15">
        <f t="shared" si="13"/>
        <v>0.83980582524271841</v>
      </c>
      <c r="D338" s="15">
        <f t="shared" si="14"/>
        <v>0.84184914841849146</v>
      </c>
      <c r="E338" s="15">
        <f t="shared" si="15"/>
        <v>0.99757281553398058</v>
      </c>
      <c r="F338" s="16">
        <v>60</v>
      </c>
      <c r="G338" s="16">
        <v>2</v>
      </c>
      <c r="H338" s="16">
        <v>824</v>
      </c>
      <c r="I338" s="16">
        <f t="shared" si="16"/>
        <v>2</v>
      </c>
      <c r="J338" s="16">
        <v>822</v>
      </c>
      <c r="K338" s="16">
        <v>692</v>
      </c>
      <c r="L338" s="16">
        <f t="shared" si="17"/>
        <v>130</v>
      </c>
    </row>
    <row r="339" spans="1:12" s="18" customFormat="1" ht="15" customHeight="1">
      <c r="A339" s="82">
        <v>2020</v>
      </c>
      <c r="B339" s="83" t="s">
        <v>45</v>
      </c>
      <c r="C339" s="15">
        <f t="shared" si="13"/>
        <v>0.89268867924528306</v>
      </c>
      <c r="D339" s="15">
        <f t="shared" si="14"/>
        <v>0.89479905437352247</v>
      </c>
      <c r="E339" s="15">
        <f t="shared" si="15"/>
        <v>0.99764150943396224</v>
      </c>
      <c r="F339" s="16">
        <v>60</v>
      </c>
      <c r="G339" s="16">
        <v>2</v>
      </c>
      <c r="H339" s="16">
        <v>848</v>
      </c>
      <c r="I339" s="16">
        <f t="shared" si="16"/>
        <v>2</v>
      </c>
      <c r="J339" s="16">
        <v>846</v>
      </c>
      <c r="K339" s="16">
        <v>757</v>
      </c>
      <c r="L339" s="16">
        <f t="shared" si="17"/>
        <v>89</v>
      </c>
    </row>
    <row r="340" spans="1:12" s="18" customFormat="1" ht="15" customHeight="1">
      <c r="A340" s="82">
        <v>2020</v>
      </c>
      <c r="B340" s="83" t="s">
        <v>46</v>
      </c>
      <c r="C340" s="15">
        <f t="shared" si="13"/>
        <v>0.90975609756097564</v>
      </c>
      <c r="D340" s="15">
        <f t="shared" si="14"/>
        <v>0.91985203452527742</v>
      </c>
      <c r="E340" s="15">
        <f t="shared" si="15"/>
        <v>0.98902439024390243</v>
      </c>
      <c r="F340" s="16">
        <v>60</v>
      </c>
      <c r="G340" s="16">
        <v>2</v>
      </c>
      <c r="H340" s="16">
        <v>820</v>
      </c>
      <c r="I340" s="16">
        <f t="shared" si="16"/>
        <v>9</v>
      </c>
      <c r="J340" s="16">
        <v>811</v>
      </c>
      <c r="K340" s="16">
        <v>746</v>
      </c>
      <c r="L340" s="16">
        <f t="shared" si="17"/>
        <v>65</v>
      </c>
    </row>
    <row r="341" spans="1:12" s="18" customFormat="1" ht="15" customHeight="1">
      <c r="A341" s="82">
        <v>2020</v>
      </c>
      <c r="B341" s="83" t="s">
        <v>47</v>
      </c>
      <c r="C341" s="15">
        <f t="shared" si="13"/>
        <v>0.89904988123515439</v>
      </c>
      <c r="D341" s="15">
        <f t="shared" si="14"/>
        <v>0.94037267080745346</v>
      </c>
      <c r="E341" s="15">
        <f t="shared" si="15"/>
        <v>0.9560570071258907</v>
      </c>
      <c r="F341" s="16">
        <v>60</v>
      </c>
      <c r="G341" s="16">
        <v>2</v>
      </c>
      <c r="H341" s="16">
        <v>842</v>
      </c>
      <c r="I341" s="16">
        <f t="shared" si="16"/>
        <v>37</v>
      </c>
      <c r="J341" s="16">
        <v>805</v>
      </c>
      <c r="K341" s="16">
        <v>757</v>
      </c>
      <c r="L341" s="16">
        <f t="shared" si="17"/>
        <v>48</v>
      </c>
    </row>
    <row r="342" spans="1:12" s="18" customFormat="1" ht="15" customHeight="1">
      <c r="A342" s="82">
        <v>2021</v>
      </c>
      <c r="B342" s="83" t="s">
        <v>36</v>
      </c>
      <c r="C342" s="15">
        <f t="shared" ref="C342:C352" si="18">K342/H342</f>
        <v>0.91252955082742315</v>
      </c>
      <c r="D342" s="15">
        <f t="shared" ref="D342:D352" si="19">K342/J342</f>
        <v>0.919047619047619</v>
      </c>
      <c r="E342" s="15">
        <f t="shared" ref="E342:E352" si="20">J342/H342</f>
        <v>0.99290780141843971</v>
      </c>
      <c r="F342" s="16">
        <v>28</v>
      </c>
      <c r="G342" s="16">
        <v>2</v>
      </c>
      <c r="H342" s="16">
        <v>846</v>
      </c>
      <c r="I342" s="16">
        <f t="shared" si="16"/>
        <v>6</v>
      </c>
      <c r="J342" s="16">
        <v>840</v>
      </c>
      <c r="K342" s="16">
        <v>772</v>
      </c>
      <c r="L342" s="16">
        <f t="shared" ref="L342:L352" si="21">J342-K342</f>
        <v>68</v>
      </c>
    </row>
    <row r="343" spans="1:12" s="18" customFormat="1" ht="15" customHeight="1">
      <c r="A343" s="82">
        <v>2021</v>
      </c>
      <c r="B343" s="83" t="s">
        <v>37</v>
      </c>
      <c r="C343" s="15">
        <f t="shared" si="18"/>
        <v>0.86256544502617805</v>
      </c>
      <c r="D343" s="15">
        <f t="shared" si="19"/>
        <v>0.88101604278074863</v>
      </c>
      <c r="E343" s="15">
        <f t="shared" si="20"/>
        <v>0.97905759162303663</v>
      </c>
      <c r="F343" s="16">
        <v>28</v>
      </c>
      <c r="G343" s="16">
        <v>2</v>
      </c>
      <c r="H343" s="16">
        <v>764</v>
      </c>
      <c r="I343" s="16">
        <f>H343-J343</f>
        <v>16</v>
      </c>
      <c r="J343" s="16">
        <v>748</v>
      </c>
      <c r="K343" s="16">
        <v>659</v>
      </c>
      <c r="L343" s="16">
        <f t="shared" si="21"/>
        <v>89</v>
      </c>
    </row>
    <row r="344" spans="1:12" s="18" customFormat="1" ht="15" customHeight="1">
      <c r="A344" s="82">
        <v>2021</v>
      </c>
      <c r="B344" s="83" t="s">
        <v>38</v>
      </c>
      <c r="C344" s="15">
        <f t="shared" si="18"/>
        <v>0.86823529411764711</v>
      </c>
      <c r="D344" s="15">
        <f t="shared" si="19"/>
        <v>0.87440758293838861</v>
      </c>
      <c r="E344" s="15">
        <f t="shared" si="20"/>
        <v>0.99294117647058822</v>
      </c>
      <c r="F344" s="16">
        <v>28</v>
      </c>
      <c r="G344" s="16">
        <v>2</v>
      </c>
      <c r="H344" s="16">
        <v>850</v>
      </c>
      <c r="I344" s="16">
        <f>H344-J344</f>
        <v>6</v>
      </c>
      <c r="J344" s="16">
        <v>844</v>
      </c>
      <c r="K344" s="16">
        <v>738</v>
      </c>
      <c r="L344" s="16">
        <f t="shared" si="21"/>
        <v>106</v>
      </c>
    </row>
    <row r="345" spans="1:12" s="18" customFormat="1" ht="15" customHeight="1">
      <c r="A345" s="82">
        <v>2021</v>
      </c>
      <c r="B345" s="83" t="s">
        <v>39</v>
      </c>
      <c r="C345" s="15">
        <f t="shared" si="18"/>
        <v>0.87073170731707317</v>
      </c>
      <c r="D345" s="15">
        <f t="shared" si="19"/>
        <v>0.87607361963190189</v>
      </c>
      <c r="E345" s="15">
        <f t="shared" si="20"/>
        <v>0.99390243902439024</v>
      </c>
      <c r="F345" s="16">
        <v>28</v>
      </c>
      <c r="G345" s="16">
        <v>2</v>
      </c>
      <c r="H345" s="16">
        <v>820</v>
      </c>
      <c r="I345" s="16">
        <f>H345-J345</f>
        <v>5</v>
      </c>
      <c r="J345" s="16">
        <v>815</v>
      </c>
      <c r="K345" s="16">
        <v>714</v>
      </c>
      <c r="L345" s="16">
        <f t="shared" si="21"/>
        <v>101</v>
      </c>
    </row>
    <row r="346" spans="1:12" s="18" customFormat="1" ht="15" customHeight="1">
      <c r="A346" s="82">
        <v>2021</v>
      </c>
      <c r="B346" s="83" t="s">
        <v>40</v>
      </c>
      <c r="C346" s="15">
        <f t="shared" si="18"/>
        <v>0.92298578199052128</v>
      </c>
      <c r="D346" s="15">
        <f t="shared" si="19"/>
        <v>0.92298578199052128</v>
      </c>
      <c r="E346" s="15">
        <f t="shared" si="20"/>
        <v>1</v>
      </c>
      <c r="F346" s="16">
        <v>28</v>
      </c>
      <c r="G346" s="16">
        <v>2</v>
      </c>
      <c r="H346" s="16">
        <v>844</v>
      </c>
      <c r="I346" s="16">
        <f>H346-J346</f>
        <v>0</v>
      </c>
      <c r="J346" s="16">
        <v>844</v>
      </c>
      <c r="K346" s="16">
        <v>779</v>
      </c>
      <c r="L346" s="16">
        <f t="shared" si="21"/>
        <v>65</v>
      </c>
    </row>
    <row r="347" spans="1:12" s="18" customFormat="1" ht="15" customHeight="1">
      <c r="A347" s="82">
        <v>2021</v>
      </c>
      <c r="B347" s="83" t="s">
        <v>41</v>
      </c>
      <c r="C347" s="15">
        <f t="shared" si="18"/>
        <v>0.95246478873239437</v>
      </c>
      <c r="D347" s="15">
        <f t="shared" si="19"/>
        <v>0.9614928909952607</v>
      </c>
      <c r="E347" s="15">
        <f t="shared" si="20"/>
        <v>0.99061032863849763</v>
      </c>
      <c r="F347" s="16">
        <v>58</v>
      </c>
      <c r="G347" s="16">
        <v>2</v>
      </c>
      <c r="H347" s="16">
        <v>1704</v>
      </c>
      <c r="I347" s="16">
        <f>H347-J347</f>
        <v>16</v>
      </c>
      <c r="J347" s="16">
        <v>1688</v>
      </c>
      <c r="K347" s="16">
        <v>1623</v>
      </c>
      <c r="L347" s="16">
        <f t="shared" si="21"/>
        <v>65</v>
      </c>
    </row>
    <row r="348" spans="1:12" s="18" customFormat="1" ht="15" customHeight="1">
      <c r="A348" s="82">
        <v>2021</v>
      </c>
      <c r="B348" s="83" t="s">
        <v>42</v>
      </c>
      <c r="C348" s="15">
        <f t="shared" si="18"/>
        <v>0.93629124004550623</v>
      </c>
      <c r="D348" s="15">
        <f t="shared" si="19"/>
        <v>0.94925028835063441</v>
      </c>
      <c r="E348" s="15">
        <f t="shared" si="20"/>
        <v>0.98634812286689422</v>
      </c>
      <c r="F348" s="16">
        <v>58</v>
      </c>
      <c r="G348" s="16">
        <v>2</v>
      </c>
      <c r="H348" s="16">
        <v>1758</v>
      </c>
      <c r="I348" s="16">
        <f t="shared" ref="I348:I353" si="22">H348-J348</f>
        <v>24</v>
      </c>
      <c r="J348" s="16">
        <v>1734</v>
      </c>
      <c r="K348" s="16">
        <v>1646</v>
      </c>
      <c r="L348" s="16">
        <f t="shared" si="21"/>
        <v>88</v>
      </c>
    </row>
    <row r="349" spans="1:12" s="18" customFormat="1" ht="15" customHeight="1">
      <c r="A349" s="82">
        <v>2021</v>
      </c>
      <c r="B349" s="83" t="s">
        <v>43</v>
      </c>
      <c r="C349" s="15">
        <f t="shared" si="18"/>
        <v>0.95961319681456203</v>
      </c>
      <c r="D349" s="15">
        <f t="shared" si="19"/>
        <v>0.96787148594377514</v>
      </c>
      <c r="E349" s="15">
        <f t="shared" si="20"/>
        <v>0.99146757679180886</v>
      </c>
      <c r="F349" s="16">
        <v>58</v>
      </c>
      <c r="G349" s="16">
        <v>2</v>
      </c>
      <c r="H349" s="16">
        <v>1758</v>
      </c>
      <c r="I349" s="16">
        <f t="shared" si="22"/>
        <v>15</v>
      </c>
      <c r="J349" s="16">
        <v>1743</v>
      </c>
      <c r="K349" s="16">
        <v>1687</v>
      </c>
      <c r="L349" s="16">
        <f t="shared" si="21"/>
        <v>56</v>
      </c>
    </row>
    <row r="350" spans="1:12" s="18" customFormat="1" ht="15" customHeight="1">
      <c r="A350" s="82">
        <v>2021</v>
      </c>
      <c r="B350" s="83" t="s">
        <v>44</v>
      </c>
      <c r="C350" s="15">
        <f t="shared" si="18"/>
        <v>0.97599531615925061</v>
      </c>
      <c r="D350" s="15">
        <f t="shared" si="19"/>
        <v>0.97828638497652587</v>
      </c>
      <c r="E350" s="15">
        <f t="shared" si="20"/>
        <v>0.99765807962529274</v>
      </c>
      <c r="F350" s="16">
        <v>58</v>
      </c>
      <c r="G350" s="16">
        <v>2</v>
      </c>
      <c r="H350" s="16">
        <v>1708</v>
      </c>
      <c r="I350" s="16">
        <f t="shared" si="22"/>
        <v>4</v>
      </c>
      <c r="J350" s="16">
        <v>1704</v>
      </c>
      <c r="K350" s="16">
        <v>1667</v>
      </c>
      <c r="L350" s="16">
        <f t="shared" si="21"/>
        <v>37</v>
      </c>
    </row>
    <row r="351" spans="1:12" s="18" customFormat="1" ht="15" customHeight="1">
      <c r="A351" s="82">
        <v>2021</v>
      </c>
      <c r="B351" s="83" t="s">
        <v>45</v>
      </c>
      <c r="C351" s="15">
        <f t="shared" si="18"/>
        <v>0.9</v>
      </c>
      <c r="D351" s="15">
        <f t="shared" si="19"/>
        <v>0.92051431911163062</v>
      </c>
      <c r="E351" s="15">
        <f t="shared" si="20"/>
        <v>0.97771428571428576</v>
      </c>
      <c r="F351" s="16">
        <v>58</v>
      </c>
      <c r="G351" s="16">
        <v>2</v>
      </c>
      <c r="H351" s="16">
        <v>1750</v>
      </c>
      <c r="I351" s="16">
        <f t="shared" si="22"/>
        <v>39</v>
      </c>
      <c r="J351" s="16">
        <v>1711</v>
      </c>
      <c r="K351" s="16">
        <v>1575</v>
      </c>
      <c r="L351" s="16">
        <f t="shared" si="21"/>
        <v>136</v>
      </c>
    </row>
    <row r="352" spans="1:12" s="18" customFormat="1" ht="15" customHeight="1">
      <c r="A352" s="82">
        <v>2021</v>
      </c>
      <c r="B352" s="83" t="s">
        <v>46</v>
      </c>
      <c r="C352" s="15">
        <f t="shared" si="18"/>
        <v>0.93251173708920188</v>
      </c>
      <c r="D352" s="15">
        <f t="shared" si="19"/>
        <v>0.93968066232998226</v>
      </c>
      <c r="E352" s="15">
        <f t="shared" si="20"/>
        <v>0.99237089201877937</v>
      </c>
      <c r="F352" s="16">
        <v>58</v>
      </c>
      <c r="G352" s="16">
        <v>2</v>
      </c>
      <c r="H352" s="16">
        <v>1704</v>
      </c>
      <c r="I352" s="16">
        <f t="shared" si="22"/>
        <v>13</v>
      </c>
      <c r="J352" s="16">
        <v>1691</v>
      </c>
      <c r="K352" s="16">
        <v>1589</v>
      </c>
      <c r="L352" s="16">
        <f t="shared" si="21"/>
        <v>102</v>
      </c>
    </row>
    <row r="353" spans="1:12" s="18" customFormat="1" ht="15" customHeight="1">
      <c r="A353" s="82">
        <v>2021</v>
      </c>
      <c r="B353" s="83" t="s">
        <v>47</v>
      </c>
      <c r="C353" s="15">
        <f t="shared" ref="C353:C359" si="23">K353/H353</f>
        <v>0.92134213421342137</v>
      </c>
      <c r="D353" s="15">
        <f t="shared" ref="D353:D359" si="24">K353/J353</f>
        <v>0.93680089485458617</v>
      </c>
      <c r="E353" s="15">
        <f t="shared" ref="E353:E359" si="25">J353/H353</f>
        <v>0.98349834983498352</v>
      </c>
      <c r="F353" s="16">
        <v>58</v>
      </c>
      <c r="G353" s="16">
        <v>2</v>
      </c>
      <c r="H353" s="16">
        <v>1818</v>
      </c>
      <c r="I353" s="16">
        <f t="shared" si="22"/>
        <v>30</v>
      </c>
      <c r="J353" s="16">
        <v>1788</v>
      </c>
      <c r="K353" s="16">
        <v>1675</v>
      </c>
      <c r="L353" s="16">
        <f t="shared" ref="L353:L359" si="26">J353-K353</f>
        <v>113</v>
      </c>
    </row>
    <row r="354" spans="1:12" s="18" customFormat="1" ht="15" customHeight="1">
      <c r="A354" s="82">
        <v>2022</v>
      </c>
      <c r="B354" s="83" t="s">
        <v>36</v>
      </c>
      <c r="C354" s="15">
        <f t="shared" si="23"/>
        <v>0.9388830347734457</v>
      </c>
      <c r="D354" s="15">
        <f t="shared" si="24"/>
        <v>0.95806451612903221</v>
      </c>
      <c r="E354" s="15">
        <f t="shared" si="25"/>
        <v>0.97997892518440466</v>
      </c>
      <c r="F354" s="16">
        <v>58</v>
      </c>
      <c r="G354" s="16">
        <v>2</v>
      </c>
      <c r="H354" s="16">
        <v>1898</v>
      </c>
      <c r="I354" s="16">
        <f t="shared" ref="I354:I361" si="27">H354-J354</f>
        <v>38</v>
      </c>
      <c r="J354" s="16">
        <v>1860</v>
      </c>
      <c r="K354" s="16">
        <v>1782</v>
      </c>
      <c r="L354" s="16">
        <f t="shared" si="26"/>
        <v>78</v>
      </c>
    </row>
    <row r="355" spans="1:12" s="18" customFormat="1" ht="15" customHeight="1">
      <c r="A355" s="82">
        <v>2022</v>
      </c>
      <c r="B355" s="83" t="s">
        <v>37</v>
      </c>
      <c r="C355" s="15">
        <f t="shared" si="23"/>
        <v>0.96674445740956827</v>
      </c>
      <c r="D355" s="15">
        <f t="shared" si="24"/>
        <v>0.97298884321785084</v>
      </c>
      <c r="E355" s="15">
        <f t="shared" si="25"/>
        <v>0.99358226371061842</v>
      </c>
      <c r="F355" s="16">
        <v>58</v>
      </c>
      <c r="G355" s="16">
        <v>2</v>
      </c>
      <c r="H355" s="16">
        <v>1714</v>
      </c>
      <c r="I355" s="16">
        <f t="shared" si="27"/>
        <v>11</v>
      </c>
      <c r="J355" s="16">
        <v>1703</v>
      </c>
      <c r="K355" s="16">
        <v>1657</v>
      </c>
      <c r="L355" s="16">
        <f t="shared" si="26"/>
        <v>46</v>
      </c>
    </row>
    <row r="356" spans="1:12" s="18" customFormat="1" ht="15" customHeight="1">
      <c r="A356" s="82">
        <v>2022</v>
      </c>
      <c r="B356" s="83" t="s">
        <v>38</v>
      </c>
      <c r="C356" s="15">
        <f t="shared" si="23"/>
        <v>0.9299262381454162</v>
      </c>
      <c r="D356" s="15">
        <f t="shared" si="24"/>
        <v>0.96028291621327533</v>
      </c>
      <c r="E356" s="15">
        <f t="shared" si="25"/>
        <v>0.96838777660695474</v>
      </c>
      <c r="F356" s="26">
        <v>58</v>
      </c>
      <c r="G356" s="26">
        <v>2</v>
      </c>
      <c r="H356" s="16">
        <v>1898</v>
      </c>
      <c r="I356" s="16">
        <f t="shared" si="27"/>
        <v>60</v>
      </c>
      <c r="J356" s="16">
        <v>1838</v>
      </c>
      <c r="K356" s="16">
        <v>1765</v>
      </c>
      <c r="L356" s="16">
        <f t="shared" si="26"/>
        <v>73</v>
      </c>
    </row>
    <row r="357" spans="1:12" s="18" customFormat="1" ht="15" customHeight="1">
      <c r="A357" s="82">
        <v>2022</v>
      </c>
      <c r="B357" s="83" t="s">
        <v>39</v>
      </c>
      <c r="C357" s="15">
        <f t="shared" si="23"/>
        <v>0.90918918918918923</v>
      </c>
      <c r="D357" s="15">
        <f t="shared" si="24"/>
        <v>0.95513912549687674</v>
      </c>
      <c r="E357" s="15">
        <f t="shared" si="25"/>
        <v>0.95189189189189194</v>
      </c>
      <c r="F357" s="26">
        <v>58</v>
      </c>
      <c r="G357" s="26">
        <v>2</v>
      </c>
      <c r="H357" s="16">
        <v>1850</v>
      </c>
      <c r="I357" s="16">
        <f t="shared" si="27"/>
        <v>89</v>
      </c>
      <c r="J357" s="16">
        <v>1761</v>
      </c>
      <c r="K357" s="16">
        <v>1682</v>
      </c>
      <c r="L357" s="16">
        <f t="shared" si="26"/>
        <v>79</v>
      </c>
    </row>
    <row r="358" spans="1:12" s="18" customFormat="1" ht="15" customHeight="1">
      <c r="A358" s="82">
        <v>2022</v>
      </c>
      <c r="B358" s="83" t="s">
        <v>40</v>
      </c>
      <c r="C358" s="15">
        <f t="shared" si="23"/>
        <v>0.94631901840490795</v>
      </c>
      <c r="D358" s="15">
        <f t="shared" si="24"/>
        <v>0.96006224066390045</v>
      </c>
      <c r="E358" s="15">
        <f t="shared" si="25"/>
        <v>0.98568507157464214</v>
      </c>
      <c r="F358" s="26">
        <v>58</v>
      </c>
      <c r="G358" s="26">
        <v>2</v>
      </c>
      <c r="H358" s="16">
        <v>1956</v>
      </c>
      <c r="I358" s="16">
        <f t="shared" si="27"/>
        <v>28</v>
      </c>
      <c r="J358" s="16">
        <v>1928</v>
      </c>
      <c r="K358" s="16">
        <v>1851</v>
      </c>
      <c r="L358" s="16">
        <f t="shared" si="26"/>
        <v>77</v>
      </c>
    </row>
    <row r="359" spans="1:12" s="18" customFormat="1" ht="15" customHeight="1">
      <c r="A359" s="82">
        <v>2022</v>
      </c>
      <c r="B359" s="83" t="s">
        <v>41</v>
      </c>
      <c r="C359" s="15">
        <f t="shared" si="23"/>
        <v>0.93125000000000002</v>
      </c>
      <c r="D359" s="15">
        <f t="shared" si="24"/>
        <v>0.93858267716535437</v>
      </c>
      <c r="E359" s="15">
        <f t="shared" si="25"/>
        <v>0.9921875</v>
      </c>
      <c r="F359" s="26">
        <v>58</v>
      </c>
      <c r="G359" s="26">
        <v>2</v>
      </c>
      <c r="H359" s="16">
        <v>1920</v>
      </c>
      <c r="I359" s="16">
        <f t="shared" si="27"/>
        <v>15</v>
      </c>
      <c r="J359" s="16">
        <v>1905</v>
      </c>
      <c r="K359" s="16">
        <v>1788</v>
      </c>
      <c r="L359" s="16">
        <f t="shared" si="26"/>
        <v>117</v>
      </c>
    </row>
    <row r="360" spans="1:12" s="18" customFormat="1" ht="15" customHeight="1">
      <c r="A360" s="18">
        <v>2022</v>
      </c>
      <c r="B360" s="21" t="s">
        <v>42</v>
      </c>
      <c r="C360" s="15">
        <f t="shared" ref="C360:C365" si="28">K360/H360</f>
        <v>0.90242669362992922</v>
      </c>
      <c r="D360" s="15">
        <f t="shared" ref="D360:D365" si="29">K360/J360</f>
        <v>0.90655154900964952</v>
      </c>
      <c r="E360" s="15">
        <f t="shared" ref="E360:E365" si="30">J360/H360</f>
        <v>0.99544994944388276</v>
      </c>
      <c r="F360" s="26">
        <v>58</v>
      </c>
      <c r="G360" s="26">
        <v>2</v>
      </c>
      <c r="H360" s="16">
        <v>1978</v>
      </c>
      <c r="I360" s="16">
        <f t="shared" si="27"/>
        <v>9</v>
      </c>
      <c r="J360" s="16">
        <v>1969</v>
      </c>
      <c r="K360" s="16">
        <v>1785</v>
      </c>
      <c r="L360" s="16">
        <f t="shared" ref="L360:L365" si="31">J360-K360</f>
        <v>184</v>
      </c>
    </row>
    <row r="361" spans="1:12" s="18" customFormat="1" ht="15" customHeight="1">
      <c r="A361" s="18">
        <v>2022</v>
      </c>
      <c r="B361" s="21" t="s">
        <v>43</v>
      </c>
      <c r="C361" s="15">
        <f t="shared" si="28"/>
        <v>0.84336734693877546</v>
      </c>
      <c r="D361" s="15">
        <f t="shared" si="29"/>
        <v>0.84812724474089274</v>
      </c>
      <c r="E361" s="15">
        <f t="shared" si="30"/>
        <v>0.9943877551020408</v>
      </c>
      <c r="F361" s="26">
        <v>58</v>
      </c>
      <c r="G361" s="26">
        <v>2</v>
      </c>
      <c r="H361" s="16">
        <v>1960</v>
      </c>
      <c r="I361" s="16">
        <f t="shared" si="27"/>
        <v>11</v>
      </c>
      <c r="J361" s="16">
        <v>1949</v>
      </c>
      <c r="K361" s="16">
        <v>1653</v>
      </c>
      <c r="L361" s="16">
        <f t="shared" si="31"/>
        <v>296</v>
      </c>
    </row>
    <row r="362" spans="1:12" s="18" customFormat="1" ht="15" customHeight="1">
      <c r="A362" s="82">
        <v>2022</v>
      </c>
      <c r="B362" s="83" t="s">
        <v>44</v>
      </c>
      <c r="C362" s="15">
        <f t="shared" si="28"/>
        <v>0.93270241850683488</v>
      </c>
      <c r="D362" s="15">
        <f t="shared" si="29"/>
        <v>0.9396186440677966</v>
      </c>
      <c r="E362" s="15">
        <f t="shared" si="30"/>
        <v>0.99263932702418511</v>
      </c>
      <c r="F362" s="26">
        <v>58</v>
      </c>
      <c r="G362" s="26">
        <v>2</v>
      </c>
      <c r="H362" s="16">
        <v>1902</v>
      </c>
      <c r="I362" s="16">
        <f t="shared" ref="I362:I368" si="32">H362-J362</f>
        <v>14</v>
      </c>
      <c r="J362" s="16">
        <v>1888</v>
      </c>
      <c r="K362" s="16">
        <v>1774</v>
      </c>
      <c r="L362" s="16">
        <f t="shared" si="31"/>
        <v>114</v>
      </c>
    </row>
    <row r="363" spans="1:12" s="18" customFormat="1" ht="15" customHeight="1">
      <c r="A363" s="82">
        <v>2022</v>
      </c>
      <c r="B363" s="83" t="s">
        <v>45</v>
      </c>
      <c r="C363" s="15">
        <f t="shared" si="28"/>
        <v>0.94935451837140017</v>
      </c>
      <c r="D363" s="15">
        <f t="shared" si="29"/>
        <v>0.9617706237424547</v>
      </c>
      <c r="E363" s="15">
        <f t="shared" si="30"/>
        <v>0.98709036742800393</v>
      </c>
      <c r="F363" s="26">
        <v>58</v>
      </c>
      <c r="G363" s="26">
        <v>2</v>
      </c>
      <c r="H363" s="16">
        <v>2014</v>
      </c>
      <c r="I363" s="16">
        <f t="shared" si="32"/>
        <v>26</v>
      </c>
      <c r="J363" s="16">
        <v>1988</v>
      </c>
      <c r="K363" s="16">
        <v>1912</v>
      </c>
      <c r="L363" s="16">
        <f t="shared" si="31"/>
        <v>76</v>
      </c>
    </row>
    <row r="364" spans="1:12" s="18" customFormat="1" ht="15" customHeight="1">
      <c r="A364" s="82">
        <v>2022</v>
      </c>
      <c r="B364" s="83" t="s">
        <v>46</v>
      </c>
      <c r="C364" s="15">
        <f t="shared" si="28"/>
        <v>0.92954784437434279</v>
      </c>
      <c r="D364" s="15">
        <f t="shared" si="29"/>
        <v>0.95567567567567568</v>
      </c>
      <c r="E364" s="15">
        <f t="shared" si="30"/>
        <v>0.97266035751840163</v>
      </c>
      <c r="F364" s="26">
        <v>58</v>
      </c>
      <c r="G364" s="26">
        <v>2</v>
      </c>
      <c r="H364" s="16">
        <v>1902</v>
      </c>
      <c r="I364" s="16">
        <f t="shared" si="32"/>
        <v>52</v>
      </c>
      <c r="J364" s="16">
        <v>1850</v>
      </c>
      <c r="K364" s="16">
        <v>1768</v>
      </c>
      <c r="L364" s="16">
        <f t="shared" si="31"/>
        <v>82</v>
      </c>
    </row>
    <row r="365" spans="1:12" s="18" customFormat="1" ht="15" customHeight="1">
      <c r="A365" s="82">
        <v>2022</v>
      </c>
      <c r="B365" s="83" t="s">
        <v>47</v>
      </c>
      <c r="C365" s="15">
        <f t="shared" si="28"/>
        <v>0.95865970409051349</v>
      </c>
      <c r="D365" s="15">
        <f t="shared" si="29"/>
        <v>0.98085485307212827</v>
      </c>
      <c r="E365" s="15">
        <f t="shared" si="30"/>
        <v>0.97737162750217577</v>
      </c>
      <c r="F365" s="26">
        <v>58</v>
      </c>
      <c r="G365" s="26">
        <v>2</v>
      </c>
      <c r="H365" s="16">
        <v>2298</v>
      </c>
      <c r="I365" s="16">
        <f t="shared" si="32"/>
        <v>52</v>
      </c>
      <c r="J365" s="16">
        <v>2246</v>
      </c>
      <c r="K365" s="16">
        <v>2203</v>
      </c>
      <c r="L365" s="16">
        <f t="shared" si="31"/>
        <v>43</v>
      </c>
    </row>
    <row r="366" spans="1:12" s="18" customFormat="1" ht="15" customHeight="1">
      <c r="A366" s="18">
        <v>2023</v>
      </c>
      <c r="B366" s="21" t="s">
        <v>36</v>
      </c>
      <c r="C366" s="15">
        <f t="shared" ref="C366:C371" si="33">K366/H366</f>
        <v>0.926071741032371</v>
      </c>
      <c r="D366" s="15">
        <f t="shared" ref="D366:D371" si="34">K366/J366</f>
        <v>0.9358974358974359</v>
      </c>
      <c r="E366" s="15">
        <f t="shared" ref="E366:E371" si="35">J366/H366</f>
        <v>0.98950131233595795</v>
      </c>
      <c r="F366" s="26">
        <v>58</v>
      </c>
      <c r="G366" s="26">
        <v>2</v>
      </c>
      <c r="H366" s="16">
        <v>2286</v>
      </c>
      <c r="I366" s="16">
        <f t="shared" si="32"/>
        <v>24</v>
      </c>
      <c r="J366" s="16">
        <v>2262</v>
      </c>
      <c r="K366" s="16">
        <v>2117</v>
      </c>
      <c r="L366" s="16">
        <f t="shared" ref="L366:L371" si="36">J366-K366</f>
        <v>145</v>
      </c>
    </row>
    <row r="367" spans="1:12" s="18" customFormat="1" ht="15" customHeight="1">
      <c r="A367" s="18">
        <v>2023</v>
      </c>
      <c r="B367" s="21" t="s">
        <v>37</v>
      </c>
      <c r="C367" s="15">
        <f t="shared" si="33"/>
        <v>0.92822736030828512</v>
      </c>
      <c r="D367" s="15">
        <f t="shared" si="34"/>
        <v>0.94229828850855746</v>
      </c>
      <c r="E367" s="15">
        <f t="shared" si="35"/>
        <v>0.98506743737957614</v>
      </c>
      <c r="F367" s="26">
        <v>58</v>
      </c>
      <c r="G367" s="26">
        <v>2</v>
      </c>
      <c r="H367" s="16">
        <v>2076</v>
      </c>
      <c r="I367" s="16">
        <f t="shared" si="32"/>
        <v>31</v>
      </c>
      <c r="J367" s="16">
        <v>2045</v>
      </c>
      <c r="K367" s="16">
        <v>1927</v>
      </c>
      <c r="L367" s="16">
        <f t="shared" si="36"/>
        <v>118</v>
      </c>
    </row>
    <row r="368" spans="1:12" s="18" customFormat="1" ht="15" customHeight="1">
      <c r="A368" s="105">
        <v>2023</v>
      </c>
      <c r="B368" s="106" t="s">
        <v>38</v>
      </c>
      <c r="C368" s="15">
        <f t="shared" si="33"/>
        <v>0.90769903762029747</v>
      </c>
      <c r="D368" s="15">
        <f t="shared" si="34"/>
        <v>0.93594948128101041</v>
      </c>
      <c r="E368" s="15">
        <f t="shared" si="35"/>
        <v>0.96981627296587924</v>
      </c>
      <c r="F368" s="26">
        <v>58</v>
      </c>
      <c r="G368" s="26">
        <v>2</v>
      </c>
      <c r="H368" s="16">
        <v>2286</v>
      </c>
      <c r="I368" s="16">
        <f t="shared" si="32"/>
        <v>69</v>
      </c>
      <c r="J368" s="16">
        <v>2217</v>
      </c>
      <c r="K368" s="16">
        <v>2075</v>
      </c>
      <c r="L368" s="16">
        <f t="shared" si="36"/>
        <v>142</v>
      </c>
    </row>
    <row r="369" spans="1:13" s="18" customFormat="1" ht="15" customHeight="1">
      <c r="A369" s="107">
        <v>2023</v>
      </c>
      <c r="B369" s="108" t="s">
        <v>39</v>
      </c>
      <c r="C369" s="15">
        <f t="shared" si="33"/>
        <v>0.97759856630824371</v>
      </c>
      <c r="D369" s="15">
        <f t="shared" si="34"/>
        <v>0.98288288288288284</v>
      </c>
      <c r="E369" s="15">
        <f t="shared" si="35"/>
        <v>0.9946236559139785</v>
      </c>
      <c r="F369" s="26">
        <v>58</v>
      </c>
      <c r="G369" s="26">
        <v>2</v>
      </c>
      <c r="H369" s="16">
        <v>2232</v>
      </c>
      <c r="I369" s="16">
        <f t="shared" ref="I369:I386" si="37">H369-J369</f>
        <v>12</v>
      </c>
      <c r="J369" s="16">
        <v>2220</v>
      </c>
      <c r="K369" s="16">
        <v>2182</v>
      </c>
      <c r="L369" s="16">
        <f t="shared" si="36"/>
        <v>38</v>
      </c>
    </row>
    <row r="370" spans="1:13" s="18" customFormat="1" ht="15" customHeight="1">
      <c r="A370" s="127">
        <v>2023</v>
      </c>
      <c r="B370" s="128" t="s">
        <v>40</v>
      </c>
      <c r="C370" s="15">
        <f t="shared" si="33"/>
        <v>0.94865100087032206</v>
      </c>
      <c r="D370" s="15">
        <f t="shared" si="34"/>
        <v>0.95697980684811235</v>
      </c>
      <c r="E370" s="15">
        <f t="shared" si="35"/>
        <v>0.99129677980852915</v>
      </c>
      <c r="F370" s="26">
        <v>58</v>
      </c>
      <c r="G370" s="26">
        <v>2</v>
      </c>
      <c r="H370" s="16">
        <v>2298</v>
      </c>
      <c r="I370" s="16">
        <f t="shared" si="37"/>
        <v>20</v>
      </c>
      <c r="J370" s="16">
        <v>2278</v>
      </c>
      <c r="K370" s="16">
        <v>2180</v>
      </c>
      <c r="L370" s="16">
        <f t="shared" si="36"/>
        <v>98</v>
      </c>
    </row>
    <row r="371" spans="1:13" s="18" customFormat="1" ht="15" customHeight="1">
      <c r="A371" s="132">
        <v>2023</v>
      </c>
      <c r="B371" s="133" t="s">
        <v>41</v>
      </c>
      <c r="C371" s="15">
        <f t="shared" si="33"/>
        <v>0.89234234234234233</v>
      </c>
      <c r="D371" s="15">
        <f t="shared" si="34"/>
        <v>0.93179680150517408</v>
      </c>
      <c r="E371" s="15">
        <f t="shared" si="35"/>
        <v>0.95765765765765765</v>
      </c>
      <c r="F371" s="26">
        <v>58</v>
      </c>
      <c r="G371" s="26">
        <v>2</v>
      </c>
      <c r="H371" s="16">
        <v>2220</v>
      </c>
      <c r="I371" s="16">
        <f t="shared" si="37"/>
        <v>94</v>
      </c>
      <c r="J371" s="16">
        <v>2126</v>
      </c>
      <c r="K371" s="16">
        <v>1981</v>
      </c>
      <c r="L371" s="16">
        <f t="shared" si="36"/>
        <v>145</v>
      </c>
    </row>
    <row r="372" spans="1:13" s="18" customFormat="1" ht="15" customHeight="1">
      <c r="A372" s="138">
        <v>2023</v>
      </c>
      <c r="B372" s="139" t="s">
        <v>42</v>
      </c>
      <c r="C372" s="15">
        <f t="shared" ref="C372:C377" si="38">K372/H372</f>
        <v>0.96815008726003493</v>
      </c>
      <c r="D372" s="15">
        <f t="shared" ref="D372:D377" si="39">K372/J372</f>
        <v>0.97710259797446064</v>
      </c>
      <c r="E372" s="15">
        <f t="shared" ref="E372:E377" si="40">J372/H372</f>
        <v>0.99083769633507857</v>
      </c>
      <c r="F372" s="26">
        <v>58</v>
      </c>
      <c r="G372" s="26">
        <v>2</v>
      </c>
      <c r="H372" s="16">
        <v>2292</v>
      </c>
      <c r="I372" s="16">
        <f t="shared" si="37"/>
        <v>21</v>
      </c>
      <c r="J372" s="16">
        <v>2271</v>
      </c>
      <c r="K372" s="16">
        <v>2219</v>
      </c>
      <c r="L372" s="16">
        <f t="shared" ref="L372:L377" si="41">J372-K372</f>
        <v>52</v>
      </c>
    </row>
    <row r="373" spans="1:13" s="18" customFormat="1" ht="15" customHeight="1">
      <c r="A373" s="162">
        <v>2023</v>
      </c>
      <c r="B373" s="163" t="s">
        <v>43</v>
      </c>
      <c r="C373" s="15">
        <f t="shared" si="38"/>
        <v>0.95844269466316712</v>
      </c>
      <c r="D373" s="15">
        <f t="shared" si="39"/>
        <v>0.98031319910514536</v>
      </c>
      <c r="E373" s="15">
        <f t="shared" si="40"/>
        <v>0.97769028871391073</v>
      </c>
      <c r="F373" s="26">
        <v>58</v>
      </c>
      <c r="G373" s="26">
        <v>2</v>
      </c>
      <c r="H373" s="16">
        <v>2286</v>
      </c>
      <c r="I373" s="16">
        <f t="shared" si="37"/>
        <v>51</v>
      </c>
      <c r="J373" s="16">
        <v>2235</v>
      </c>
      <c r="K373" s="16">
        <v>2191</v>
      </c>
      <c r="L373" s="16">
        <f t="shared" si="41"/>
        <v>44</v>
      </c>
    </row>
    <row r="374" spans="1:13" s="18" customFormat="1" ht="15" customHeight="1">
      <c r="A374" s="175">
        <v>2023</v>
      </c>
      <c r="B374" s="176" t="s">
        <v>44</v>
      </c>
      <c r="C374" s="169">
        <f t="shared" si="38"/>
        <v>0.95483288166214997</v>
      </c>
      <c r="D374" s="169">
        <f t="shared" si="39"/>
        <v>0.97915701713756365</v>
      </c>
      <c r="E374" s="169">
        <f t="shared" si="40"/>
        <v>0.97515808491418243</v>
      </c>
      <c r="F374" s="171">
        <v>58</v>
      </c>
      <c r="G374" s="171">
        <v>2</v>
      </c>
      <c r="H374" s="168">
        <v>2214</v>
      </c>
      <c r="I374" s="16">
        <f t="shared" si="37"/>
        <v>55</v>
      </c>
      <c r="J374" s="168">
        <v>2159</v>
      </c>
      <c r="K374" s="168">
        <v>2114</v>
      </c>
      <c r="L374" s="168">
        <f t="shared" si="41"/>
        <v>45</v>
      </c>
      <c r="M374" s="167"/>
    </row>
    <row r="375" spans="1:13" s="18" customFormat="1" ht="15" customHeight="1">
      <c r="A375" s="190">
        <v>2023</v>
      </c>
      <c r="B375" s="191" t="s">
        <v>45</v>
      </c>
      <c r="C375" s="15">
        <f t="shared" si="38"/>
        <v>0.96083550913838123</v>
      </c>
      <c r="D375" s="15">
        <f t="shared" si="39"/>
        <v>0.97440423654015884</v>
      </c>
      <c r="E375" s="15">
        <f t="shared" si="40"/>
        <v>0.98607484769364662</v>
      </c>
      <c r="F375" s="26">
        <v>58</v>
      </c>
      <c r="G375" s="26">
        <v>2</v>
      </c>
      <c r="H375" s="16">
        <v>2298</v>
      </c>
      <c r="I375" s="16">
        <f t="shared" si="37"/>
        <v>32</v>
      </c>
      <c r="J375" s="16">
        <v>2266</v>
      </c>
      <c r="K375" s="16">
        <v>2208</v>
      </c>
      <c r="L375" s="16">
        <f t="shared" si="41"/>
        <v>58</v>
      </c>
    </row>
    <row r="376" spans="1:13" s="18" customFormat="1" ht="15" customHeight="1">
      <c r="A376" s="201">
        <v>2023</v>
      </c>
      <c r="B376" s="202" t="s">
        <v>46</v>
      </c>
      <c r="C376" s="15">
        <f t="shared" si="38"/>
        <v>0.91102077687443539</v>
      </c>
      <c r="D376" s="15">
        <f t="shared" si="39"/>
        <v>0.9482839680300893</v>
      </c>
      <c r="E376" s="15">
        <f t="shared" si="40"/>
        <v>0.96070460704607041</v>
      </c>
      <c r="F376" s="26">
        <v>58</v>
      </c>
      <c r="G376" s="26">
        <v>2</v>
      </c>
      <c r="H376" s="16">
        <v>2214</v>
      </c>
      <c r="I376" s="16">
        <f t="shared" si="37"/>
        <v>87</v>
      </c>
      <c r="J376" s="16">
        <v>2127</v>
      </c>
      <c r="K376" s="16">
        <v>2017</v>
      </c>
      <c r="L376" s="16">
        <f t="shared" si="41"/>
        <v>110</v>
      </c>
    </row>
    <row r="377" spans="1:13" s="18" customFormat="1" ht="15" customHeight="1">
      <c r="A377" s="203">
        <v>2023</v>
      </c>
      <c r="B377" s="204" t="s">
        <v>47</v>
      </c>
      <c r="C377" s="15">
        <f t="shared" si="38"/>
        <v>0.81553819444444442</v>
      </c>
      <c r="D377" s="15">
        <f t="shared" si="39"/>
        <v>0.96507447354904985</v>
      </c>
      <c r="E377" s="15">
        <f t="shared" si="40"/>
        <v>0.84505208333333337</v>
      </c>
      <c r="F377" s="26">
        <v>58</v>
      </c>
      <c r="G377" s="26">
        <v>2</v>
      </c>
      <c r="H377" s="16">
        <v>2304</v>
      </c>
      <c r="I377" s="16">
        <f t="shared" si="37"/>
        <v>357</v>
      </c>
      <c r="J377" s="16">
        <v>1947</v>
      </c>
      <c r="K377" s="16">
        <v>1879</v>
      </c>
      <c r="L377" s="16">
        <f t="shared" si="41"/>
        <v>68</v>
      </c>
    </row>
    <row r="378" spans="1:13" s="18" customFormat="1" ht="15" customHeight="1">
      <c r="A378" s="210">
        <v>2024</v>
      </c>
      <c r="B378" s="207" t="s">
        <v>36</v>
      </c>
      <c r="C378" s="15">
        <f t="shared" ref="C378:C383" si="42">K378/H378</f>
        <v>0.95044679122664499</v>
      </c>
      <c r="D378" s="15">
        <f t="shared" ref="D378:D383" si="43">K378/J378</f>
        <v>0.96296296296296291</v>
      </c>
      <c r="E378" s="15">
        <f t="shared" ref="E378:E383" si="44">J378/H378</f>
        <v>0.98700243704305446</v>
      </c>
      <c r="F378" s="209">
        <v>80</v>
      </c>
      <c r="G378" s="209">
        <v>2</v>
      </c>
      <c r="H378" s="16">
        <v>2462</v>
      </c>
      <c r="I378" s="16">
        <f t="shared" si="37"/>
        <v>32</v>
      </c>
      <c r="J378" s="16">
        <v>2430</v>
      </c>
      <c r="K378" s="16">
        <v>2340</v>
      </c>
      <c r="L378" s="16">
        <f t="shared" ref="L378:L383" si="45">J378-K378</f>
        <v>90</v>
      </c>
      <c r="M378" s="205" t="s">
        <v>182</v>
      </c>
    </row>
    <row r="379" spans="1:13" s="18" customFormat="1" ht="15" customHeight="1">
      <c r="A379" s="220">
        <v>2024</v>
      </c>
      <c r="B379" s="221" t="s">
        <v>37</v>
      </c>
      <c r="C379" s="15">
        <f t="shared" si="42"/>
        <v>0.92565217391304344</v>
      </c>
      <c r="D379" s="15">
        <f t="shared" si="43"/>
        <v>0.96993166287015942</v>
      </c>
      <c r="E379" s="15">
        <f t="shared" si="44"/>
        <v>0.95434782608695656</v>
      </c>
      <c r="F379" s="209">
        <v>80</v>
      </c>
      <c r="G379" s="209">
        <v>2</v>
      </c>
      <c r="H379" s="217">
        <v>2300</v>
      </c>
      <c r="I379" s="16">
        <f t="shared" si="37"/>
        <v>105</v>
      </c>
      <c r="J379" s="217">
        <v>2195</v>
      </c>
      <c r="K379" s="217">
        <v>2129</v>
      </c>
      <c r="L379" s="217">
        <f t="shared" si="45"/>
        <v>66</v>
      </c>
      <c r="M379" s="216"/>
    </row>
    <row r="380" spans="1:13" s="18" customFormat="1" ht="15" customHeight="1">
      <c r="A380" s="225">
        <v>2024</v>
      </c>
      <c r="B380" s="226" t="s">
        <v>38</v>
      </c>
      <c r="C380" s="15">
        <f t="shared" si="42"/>
        <v>0.92182410423452765</v>
      </c>
      <c r="D380" s="15">
        <f t="shared" si="43"/>
        <v>0.94609277058086083</v>
      </c>
      <c r="E380" s="15">
        <f t="shared" si="44"/>
        <v>0.97434853420195444</v>
      </c>
      <c r="F380" s="209">
        <v>80</v>
      </c>
      <c r="G380" s="209">
        <v>2</v>
      </c>
      <c r="H380" s="217">
        <v>2456</v>
      </c>
      <c r="I380" s="16">
        <f t="shared" si="37"/>
        <v>63</v>
      </c>
      <c r="J380" s="217">
        <v>2393</v>
      </c>
      <c r="K380" s="217">
        <v>2264</v>
      </c>
      <c r="L380" s="217">
        <f t="shared" si="45"/>
        <v>129</v>
      </c>
      <c r="M380" s="216"/>
    </row>
    <row r="381" spans="1:13" s="18" customFormat="1" ht="15" customHeight="1">
      <c r="A381" s="18">
        <v>2024</v>
      </c>
      <c r="B381" s="18" t="s">
        <v>39</v>
      </c>
      <c r="C381" s="15">
        <f t="shared" si="42"/>
        <v>0.95042016806722684</v>
      </c>
      <c r="D381" s="15">
        <f t="shared" si="43"/>
        <v>0.95928753180661575</v>
      </c>
      <c r="E381" s="15">
        <f t="shared" si="44"/>
        <v>0.99075630252100844</v>
      </c>
      <c r="F381" s="209">
        <v>80</v>
      </c>
      <c r="G381" s="209">
        <v>2</v>
      </c>
      <c r="H381" s="217">
        <v>2380</v>
      </c>
      <c r="I381" s="16">
        <f t="shared" si="37"/>
        <v>22</v>
      </c>
      <c r="J381" s="217">
        <v>2358</v>
      </c>
      <c r="K381" s="217">
        <v>2262</v>
      </c>
      <c r="L381" s="217">
        <f t="shared" si="45"/>
        <v>96</v>
      </c>
      <c r="M381" s="216"/>
    </row>
    <row r="382" spans="1:13" s="18" customFormat="1" ht="15" customHeight="1">
      <c r="A382" s="230">
        <v>2024</v>
      </c>
      <c r="B382" s="231" t="s">
        <v>40</v>
      </c>
      <c r="C382" s="15">
        <f t="shared" si="42"/>
        <v>0.87855402112103975</v>
      </c>
      <c r="D382" s="15">
        <f t="shared" si="43"/>
        <v>0.9315245478036176</v>
      </c>
      <c r="E382" s="15">
        <f t="shared" si="44"/>
        <v>0.94313566206336308</v>
      </c>
      <c r="F382" s="209">
        <v>80</v>
      </c>
      <c r="G382" s="209">
        <v>2</v>
      </c>
      <c r="H382" s="217">
        <v>2462</v>
      </c>
      <c r="I382" s="16">
        <f t="shared" si="37"/>
        <v>140</v>
      </c>
      <c r="J382" s="217">
        <v>2322</v>
      </c>
      <c r="K382" s="217">
        <v>2163</v>
      </c>
      <c r="L382" s="217">
        <f t="shared" si="45"/>
        <v>159</v>
      </c>
      <c r="M382" s="216"/>
    </row>
    <row r="383" spans="1:13" s="18" customFormat="1" ht="15" customHeight="1">
      <c r="A383" s="18">
        <v>2024</v>
      </c>
      <c r="B383" s="18" t="s">
        <v>41</v>
      </c>
      <c r="C383" s="208">
        <f t="shared" si="42"/>
        <v>0.92923336141533275</v>
      </c>
      <c r="D383" s="208">
        <f t="shared" si="43"/>
        <v>0.93633276740237692</v>
      </c>
      <c r="E383" s="208">
        <f t="shared" si="44"/>
        <v>0.99241786015164279</v>
      </c>
      <c r="F383" s="209">
        <v>80</v>
      </c>
      <c r="G383" s="209">
        <v>2</v>
      </c>
      <c r="H383" s="217">
        <v>2374</v>
      </c>
      <c r="I383" s="16">
        <f t="shared" si="37"/>
        <v>18</v>
      </c>
      <c r="J383" s="217">
        <v>2356</v>
      </c>
      <c r="K383" s="217">
        <v>2206</v>
      </c>
      <c r="L383" s="217">
        <f t="shared" si="45"/>
        <v>150</v>
      </c>
      <c r="M383" s="216"/>
    </row>
    <row r="384" spans="1:13" s="18" customFormat="1" ht="15" customHeight="1">
      <c r="A384" s="18">
        <v>2024</v>
      </c>
      <c r="B384" s="18" t="s">
        <v>42</v>
      </c>
      <c r="C384" s="208">
        <f t="shared" ref="C384" si="46">K384/H384</f>
        <v>0.96913078797725427</v>
      </c>
      <c r="D384" s="208">
        <f t="shared" ref="D384" si="47">K384/J384</f>
        <v>0.97110297110297106</v>
      </c>
      <c r="E384" s="208">
        <f t="shared" ref="E384" si="48">J384/H384</f>
        <v>0.99796913078797722</v>
      </c>
      <c r="F384" s="209">
        <v>80</v>
      </c>
      <c r="G384" s="209">
        <v>2</v>
      </c>
      <c r="H384" s="217">
        <v>2462</v>
      </c>
      <c r="I384" s="16">
        <f t="shared" si="37"/>
        <v>5</v>
      </c>
      <c r="J384" s="217">
        <v>2457</v>
      </c>
      <c r="K384" s="217">
        <v>2386</v>
      </c>
      <c r="L384" s="217">
        <f>J384-K384</f>
        <v>71</v>
      </c>
      <c r="M384" s="216"/>
    </row>
    <row r="385" spans="1:13" s="18" customFormat="1" ht="15" customHeight="1">
      <c r="A385" s="272">
        <v>2024</v>
      </c>
      <c r="B385" s="273" t="s">
        <v>43</v>
      </c>
      <c r="C385" s="208">
        <f>K385/H385</f>
        <v>0.93257514216084481</v>
      </c>
      <c r="D385" s="208">
        <f>K385/J385</f>
        <v>0.95072463768115945</v>
      </c>
      <c r="E385" s="208">
        <f>J385/H385</f>
        <v>0.98090982940698623</v>
      </c>
      <c r="F385" s="209">
        <v>80</v>
      </c>
      <c r="G385" s="209">
        <v>2</v>
      </c>
      <c r="H385" s="217">
        <v>2462</v>
      </c>
      <c r="I385" s="16">
        <f t="shared" si="37"/>
        <v>47</v>
      </c>
      <c r="J385" s="217">
        <v>2415</v>
      </c>
      <c r="K385" s="217">
        <v>2296</v>
      </c>
      <c r="L385" s="217">
        <f>J385-K385</f>
        <v>119</v>
      </c>
      <c r="M385" s="216"/>
    </row>
    <row r="386" spans="1:13" s="18" customFormat="1" ht="15" customHeight="1">
      <c r="A386" s="286">
        <v>2024</v>
      </c>
      <c r="B386" s="287" t="s">
        <v>44</v>
      </c>
      <c r="C386" s="208">
        <f>K386/H386</f>
        <v>0.90218303946263645</v>
      </c>
      <c r="D386" s="208">
        <f>K386/J386</f>
        <v>0.92390369733447975</v>
      </c>
      <c r="E386" s="208">
        <f>J386/H386</f>
        <v>0.97649034424853065</v>
      </c>
      <c r="F386" s="209">
        <v>80</v>
      </c>
      <c r="G386" s="209">
        <v>2</v>
      </c>
      <c r="H386" s="217">
        <v>2382</v>
      </c>
      <c r="I386" s="16">
        <f t="shared" si="37"/>
        <v>56</v>
      </c>
      <c r="J386" s="217">
        <v>2326</v>
      </c>
      <c r="K386" s="217">
        <v>2149</v>
      </c>
      <c r="L386" s="217">
        <f>J386-K386</f>
        <v>177</v>
      </c>
      <c r="M386" s="216"/>
    </row>
    <row r="387" spans="1:13" s="18" customFormat="1" ht="15" customHeight="1">
      <c r="A387" s="143" t="s">
        <v>152</v>
      </c>
      <c r="B387" s="144"/>
      <c r="C387" s="140">
        <f>SUBTOTAL(101,TDC[Regularidad Absoluta])</f>
        <v>0.89121653360311404</v>
      </c>
      <c r="D387" s="140">
        <f>SUBTOTAL(101,TDC[Regularidad Relativa])</f>
        <v>0.93501118389398208</v>
      </c>
      <c r="E387" s="140">
        <f>SUBTOTAL(101,TDC[Cumplimiento de Programa])</f>
        <v>0.95307308019239489</v>
      </c>
      <c r="F387" s="141"/>
      <c r="G387" s="141"/>
      <c r="H387" s="141">
        <f>SUBTOTAL(109,TDC[Trenes Programados])</f>
        <v>206486</v>
      </c>
      <c r="I387" s="141">
        <f>SUBTOTAL(109,TDC[Trenes Cancelados])</f>
        <v>9780</v>
      </c>
      <c r="J387" s="141">
        <f>SUBTOTAL(109,TDC[Trenes Corridos])</f>
        <v>196706</v>
      </c>
      <c r="K387" s="141">
        <f>SUBTOTAL(109,TDC[Trenes Puntuales])</f>
        <v>184514</v>
      </c>
      <c r="L387" s="141">
        <f>SUBTOTAL(109,TDC[Trenes Atrasados])</f>
        <v>12192</v>
      </c>
      <c r="M387" s="145">
        <f>SUBTOTAL(103,TDC[Observaciones])</f>
        <v>1</v>
      </c>
    </row>
    <row r="388" spans="1:13" s="18" customFormat="1" ht="15" customHeight="1">
      <c r="A388" s="143"/>
      <c r="B388" s="144"/>
      <c r="C388" s="140"/>
      <c r="D388" s="140"/>
      <c r="E388" s="140"/>
      <c r="F388" s="141"/>
      <c r="G388" s="141"/>
      <c r="H388" s="141"/>
      <c r="I388" s="141"/>
      <c r="J388" s="141"/>
      <c r="K388" s="141"/>
      <c r="L388" s="141"/>
      <c r="M388" s="145"/>
    </row>
    <row r="389" spans="1:13" s="18" customFormat="1" ht="15" customHeight="1">
      <c r="A389" s="143"/>
      <c r="B389" s="144"/>
      <c r="C389" s="140"/>
      <c r="D389" s="140"/>
      <c r="E389" s="140"/>
      <c r="F389" s="141"/>
      <c r="G389" s="141"/>
      <c r="H389" s="141"/>
      <c r="I389" s="141"/>
      <c r="J389" s="141"/>
      <c r="K389" s="141"/>
      <c r="L389" s="141"/>
      <c r="M389" s="145"/>
    </row>
    <row r="390" spans="1:13" s="18" customFormat="1" ht="15" customHeight="1">
      <c r="A390" s="143"/>
      <c r="B390" s="144"/>
      <c r="C390" s="140"/>
      <c r="D390" s="140"/>
      <c r="E390" s="140"/>
      <c r="F390" s="141"/>
      <c r="G390" s="141"/>
      <c r="H390" s="141"/>
      <c r="I390" s="141"/>
      <c r="J390" s="141"/>
      <c r="K390" s="141"/>
      <c r="L390" s="141"/>
      <c r="M390" s="145"/>
    </row>
    <row r="391" spans="1:13" s="18" customFormat="1" ht="15" customHeight="1">
      <c r="A391" s="143"/>
      <c r="B391" s="144"/>
      <c r="C391" s="140"/>
      <c r="D391" s="140"/>
      <c r="E391" s="140"/>
      <c r="F391" s="141"/>
      <c r="G391" s="141"/>
      <c r="H391" s="141"/>
      <c r="I391" s="141"/>
      <c r="J391" s="141"/>
      <c r="K391" s="141"/>
      <c r="L391" s="141"/>
      <c r="M391" s="145"/>
    </row>
    <row r="392" spans="1:13" s="18" customFormat="1" ht="15" customHeight="1">
      <c r="A392" s="143"/>
      <c r="B392" s="144"/>
      <c r="C392" s="140"/>
      <c r="D392" s="140"/>
      <c r="E392" s="140"/>
      <c r="F392" s="141"/>
      <c r="G392" s="141"/>
      <c r="H392" s="141"/>
      <c r="I392" s="141"/>
      <c r="J392" s="141"/>
      <c r="K392" s="141"/>
      <c r="L392" s="141"/>
      <c r="M392" s="145"/>
    </row>
    <row r="393" spans="1:13" s="18" customFormat="1" ht="15" customHeight="1">
      <c r="A393" s="143"/>
      <c r="B393" s="144"/>
      <c r="C393" s="140"/>
      <c r="D393" s="140"/>
      <c r="E393" s="140"/>
      <c r="F393" s="141"/>
      <c r="G393" s="141"/>
      <c r="H393" s="141"/>
      <c r="I393" s="141"/>
      <c r="J393" s="141"/>
      <c r="K393" s="141"/>
      <c r="L393" s="141"/>
      <c r="M393" s="145"/>
    </row>
    <row r="394" spans="1:13" s="74" customFormat="1" ht="45" customHeight="1">
      <c r="A394" s="18"/>
      <c r="B394" s="18"/>
      <c r="C394" s="18"/>
      <c r="D394" s="59"/>
      <c r="E394" s="59"/>
      <c r="F394" s="40"/>
      <c r="G394" s="40"/>
      <c r="H394" s="40"/>
      <c r="I394" s="40"/>
      <c r="J394" s="40"/>
      <c r="K394" s="40"/>
      <c r="L394" s="40"/>
      <c r="M394" s="18"/>
    </row>
    <row r="395" spans="1:13" s="18" customFormat="1" ht="38.25">
      <c r="A395" s="187" t="s">
        <v>107</v>
      </c>
      <c r="B395" s="71" t="s">
        <v>116</v>
      </c>
      <c r="C395" s="71" t="s">
        <v>117</v>
      </c>
      <c r="D395" s="71" t="s">
        <v>118</v>
      </c>
      <c r="E395" s="71" t="s">
        <v>120</v>
      </c>
      <c r="F395" s="71" t="s">
        <v>119</v>
      </c>
      <c r="G395" s="74"/>
      <c r="H395" s="74"/>
      <c r="I395" s="74"/>
      <c r="J395" s="74"/>
      <c r="K395" s="74"/>
      <c r="L395" s="74"/>
      <c r="M395" s="74"/>
    </row>
    <row r="396" spans="1:13" s="18" customFormat="1" ht="15" customHeight="1">
      <c r="A396" s="188">
        <v>2015</v>
      </c>
      <c r="B396" s="186">
        <v>13720</v>
      </c>
      <c r="C396" s="186">
        <v>441</v>
      </c>
      <c r="D396" s="186">
        <v>13279</v>
      </c>
      <c r="E396" s="186">
        <v>12599</v>
      </c>
      <c r="F396" s="186">
        <v>680</v>
      </c>
      <c r="G396" s="40"/>
      <c r="H396" s="40"/>
      <c r="I396" s="40"/>
      <c r="J396" s="40"/>
      <c r="K396" s="40"/>
      <c r="L396" s="40"/>
    </row>
    <row r="397" spans="1:13" s="18" customFormat="1" ht="15" customHeight="1">
      <c r="A397" s="188">
        <v>2016</v>
      </c>
      <c r="B397" s="186">
        <v>21450</v>
      </c>
      <c r="C397" s="186">
        <v>1064</v>
      </c>
      <c r="D397" s="186">
        <v>20386</v>
      </c>
      <c r="E397" s="186">
        <v>19435</v>
      </c>
      <c r="F397" s="186">
        <v>951</v>
      </c>
      <c r="G397" s="40"/>
      <c r="H397" s="40"/>
      <c r="I397" s="40"/>
      <c r="J397" s="40"/>
      <c r="K397" s="40"/>
      <c r="L397" s="40"/>
    </row>
    <row r="398" spans="1:13" s="18" customFormat="1" ht="15" customHeight="1">
      <c r="A398" s="188">
        <v>2017</v>
      </c>
      <c r="B398" s="186">
        <v>22350</v>
      </c>
      <c r="C398" s="186">
        <v>944</v>
      </c>
      <c r="D398" s="186">
        <v>21406</v>
      </c>
      <c r="E398" s="186">
        <v>20555</v>
      </c>
      <c r="F398" s="186">
        <v>851</v>
      </c>
      <c r="G398" s="40"/>
      <c r="H398" s="40"/>
      <c r="I398" s="40"/>
      <c r="J398" s="40"/>
      <c r="K398" s="40"/>
      <c r="L398" s="40"/>
    </row>
    <row r="399" spans="1:13" s="18" customFormat="1" ht="15" customHeight="1">
      <c r="A399" s="188">
        <v>2018</v>
      </c>
      <c r="B399" s="186">
        <v>22380</v>
      </c>
      <c r="C399" s="186">
        <v>663</v>
      </c>
      <c r="D399" s="186">
        <v>21717</v>
      </c>
      <c r="E399" s="186">
        <v>20187</v>
      </c>
      <c r="F399" s="186">
        <v>1530</v>
      </c>
      <c r="G399" s="40"/>
      <c r="H399" s="40"/>
      <c r="I399" s="40"/>
      <c r="J399" s="40"/>
      <c r="K399" s="40"/>
      <c r="L399" s="40"/>
    </row>
    <row r="400" spans="1:13" s="18" customFormat="1" ht="15" customHeight="1">
      <c r="A400" s="188">
        <v>2019</v>
      </c>
      <c r="B400" s="186">
        <v>22370</v>
      </c>
      <c r="C400" s="186">
        <v>1223</v>
      </c>
      <c r="D400" s="186">
        <v>21147</v>
      </c>
      <c r="E400" s="186">
        <v>18343</v>
      </c>
      <c r="F400" s="186">
        <v>2804</v>
      </c>
      <c r="G400" s="40"/>
      <c r="H400" s="40"/>
      <c r="I400" s="40"/>
      <c r="J400" s="40"/>
      <c r="K400" s="40"/>
      <c r="L400" s="40"/>
    </row>
    <row r="401" spans="1:12" s="18" customFormat="1" ht="15" customHeight="1">
      <c r="A401" s="188">
        <v>2020</v>
      </c>
      <c r="B401" s="186">
        <v>15856</v>
      </c>
      <c r="C401" s="186">
        <v>3525</v>
      </c>
      <c r="D401" s="186">
        <v>12331</v>
      </c>
      <c r="E401" s="186">
        <v>11366</v>
      </c>
      <c r="F401" s="186">
        <v>965</v>
      </c>
      <c r="G401" s="40"/>
      <c r="H401" s="40"/>
      <c r="I401" s="40"/>
      <c r="J401" s="40"/>
      <c r="K401" s="40"/>
      <c r="L401" s="40"/>
    </row>
    <row r="402" spans="1:12" s="18" customFormat="1" ht="15" customHeight="1">
      <c r="A402" s="188">
        <v>2021</v>
      </c>
      <c r="B402" s="186">
        <v>16324</v>
      </c>
      <c r="C402" s="186">
        <v>174</v>
      </c>
      <c r="D402" s="186">
        <v>16150</v>
      </c>
      <c r="E402" s="186">
        <v>15124</v>
      </c>
      <c r="F402" s="186">
        <v>1026</v>
      </c>
      <c r="G402" s="40"/>
      <c r="H402" s="40"/>
      <c r="I402" s="40"/>
      <c r="J402" s="40"/>
      <c r="K402" s="40"/>
      <c r="L402" s="40"/>
    </row>
    <row r="403" spans="1:12" s="18" customFormat="1" ht="15" customHeight="1">
      <c r="A403" s="188">
        <v>2022</v>
      </c>
      <c r="B403" s="186">
        <v>23290</v>
      </c>
      <c r="C403" s="186">
        <v>405</v>
      </c>
      <c r="D403" s="186">
        <v>22885</v>
      </c>
      <c r="E403" s="186">
        <v>21620</v>
      </c>
      <c r="F403" s="186">
        <v>1265</v>
      </c>
      <c r="G403" s="40"/>
      <c r="H403" s="40"/>
      <c r="I403" s="40"/>
      <c r="J403" s="40"/>
      <c r="K403" s="40"/>
      <c r="L403" s="40"/>
    </row>
    <row r="404" spans="1:12" s="18" customFormat="1" ht="15" customHeight="1">
      <c r="A404" s="188">
        <v>2023</v>
      </c>
      <c r="B404" s="186">
        <v>27006</v>
      </c>
      <c r="C404" s="186">
        <v>853</v>
      </c>
      <c r="D404" s="186">
        <v>26153</v>
      </c>
      <c r="E404" s="186">
        <v>25090</v>
      </c>
      <c r="F404" s="186">
        <v>1063</v>
      </c>
      <c r="G404" s="40"/>
      <c r="H404" s="40"/>
      <c r="I404" s="40"/>
      <c r="J404" s="40"/>
      <c r="K404" s="40"/>
      <c r="L404" s="40"/>
    </row>
    <row r="405" spans="1:12" s="18" customFormat="1" ht="15" customHeight="1">
      <c r="A405" s="188" t="s">
        <v>115</v>
      </c>
      <c r="B405" s="186">
        <v>0</v>
      </c>
      <c r="C405" s="186">
        <v>0</v>
      </c>
      <c r="D405" s="186">
        <v>0</v>
      </c>
      <c r="E405" s="186">
        <v>0</v>
      </c>
      <c r="F405" s="186">
        <v>0</v>
      </c>
      <c r="G405" s="40"/>
      <c r="H405" s="40"/>
      <c r="I405" s="40"/>
      <c r="J405" s="40"/>
      <c r="K405" s="40"/>
      <c r="L405" s="40"/>
    </row>
    <row r="406" spans="1:12" s="18" customFormat="1" ht="15" customHeight="1">
      <c r="A406" s="188">
        <v>2024</v>
      </c>
      <c r="B406" s="186">
        <v>21740</v>
      </c>
      <c r="C406" s="186">
        <v>488</v>
      </c>
      <c r="D406" s="186">
        <v>21252</v>
      </c>
      <c r="E406" s="186">
        <v>20195</v>
      </c>
      <c r="F406" s="186">
        <v>1057</v>
      </c>
      <c r="G406" s="40"/>
      <c r="H406" s="40"/>
      <c r="I406" s="40"/>
      <c r="J406" s="40"/>
      <c r="K406" s="40"/>
      <c r="L406" s="40"/>
    </row>
    <row r="407" spans="1:12" s="18" customFormat="1" ht="15" customHeight="1">
      <c r="D407" s="59"/>
      <c r="E407" s="59"/>
      <c r="F407" s="40"/>
      <c r="G407" s="40"/>
      <c r="H407" s="40"/>
      <c r="I407" s="40"/>
      <c r="J407" s="40"/>
      <c r="K407" s="40"/>
      <c r="L407" s="40"/>
    </row>
    <row r="408" spans="1:12" s="18" customFormat="1" ht="15" customHeight="1">
      <c r="D408" s="59"/>
      <c r="E408" s="59"/>
      <c r="F408" s="40"/>
      <c r="G408" s="40"/>
      <c r="H408" s="40"/>
      <c r="I408" s="40"/>
      <c r="J408" s="40"/>
      <c r="K408" s="40"/>
      <c r="L408" s="40"/>
    </row>
    <row r="409" spans="1:12" s="18" customFormat="1" ht="15" customHeight="1">
      <c r="D409" s="59"/>
      <c r="E409" s="59"/>
      <c r="F409" s="40"/>
      <c r="G409" s="40"/>
      <c r="H409" s="40"/>
      <c r="I409" s="40"/>
      <c r="J409" s="40"/>
      <c r="K409" s="40"/>
      <c r="L409" s="40"/>
    </row>
    <row r="410" spans="1:12" s="18" customFormat="1" ht="15" customHeight="1">
      <c r="D410" s="59"/>
      <c r="E410" s="59"/>
      <c r="F410" s="40"/>
      <c r="G410" s="40"/>
      <c r="H410" s="40"/>
      <c r="I410" s="40"/>
      <c r="J410" s="40"/>
      <c r="K410" s="40"/>
      <c r="L410" s="40"/>
    </row>
    <row r="411" spans="1:12" s="18" customFormat="1" ht="15" customHeight="1">
      <c r="D411" s="59"/>
      <c r="E411" s="59"/>
      <c r="F411" s="40"/>
      <c r="G411" s="40"/>
      <c r="H411" s="40"/>
      <c r="I411" s="40"/>
      <c r="J411" s="40"/>
      <c r="K411" s="40"/>
      <c r="L411" s="40"/>
    </row>
    <row r="412" spans="1:12" s="18" customFormat="1" ht="15" customHeight="1">
      <c r="C412" s="59"/>
      <c r="D412" s="59"/>
      <c r="E412" s="59"/>
      <c r="F412" s="40"/>
      <c r="G412" s="40"/>
      <c r="H412" s="40"/>
      <c r="I412" s="40"/>
      <c r="J412" s="40"/>
      <c r="K412" s="40"/>
      <c r="L412" s="40"/>
    </row>
    <row r="413" spans="1:12" s="18" customFormat="1" ht="15" customHeight="1">
      <c r="C413" s="59"/>
      <c r="D413" s="59"/>
      <c r="E413" s="59"/>
      <c r="F413" s="40"/>
      <c r="G413" s="40"/>
      <c r="H413" s="40"/>
      <c r="I413" s="40"/>
      <c r="J413" s="40"/>
      <c r="K413" s="40"/>
      <c r="L413" s="40"/>
    </row>
    <row r="414" spans="1:12" s="18" customFormat="1" ht="15" customHeight="1">
      <c r="C414" s="59"/>
      <c r="D414" s="59"/>
      <c r="E414" s="59"/>
      <c r="F414" s="40"/>
      <c r="G414" s="40"/>
      <c r="H414" s="40"/>
      <c r="I414" s="40"/>
      <c r="J414" s="40"/>
      <c r="K414" s="40"/>
      <c r="L414" s="40"/>
    </row>
    <row r="415" spans="1:12" s="18" customFormat="1" ht="15" customHeight="1">
      <c r="C415" s="59"/>
      <c r="D415" s="59"/>
      <c r="E415" s="59"/>
      <c r="F415" s="40"/>
      <c r="G415" s="40"/>
      <c r="H415" s="40"/>
      <c r="I415" s="40"/>
      <c r="J415" s="40"/>
      <c r="K415" s="40"/>
      <c r="L415" s="40"/>
    </row>
    <row r="416" spans="1:12" s="18" customFormat="1" ht="15" customHeight="1">
      <c r="C416" s="59"/>
      <c r="D416" s="59"/>
      <c r="E416" s="59"/>
      <c r="F416" s="40"/>
      <c r="G416" s="40"/>
      <c r="H416" s="40"/>
      <c r="I416" s="40"/>
      <c r="J416" s="40"/>
      <c r="K416" s="40"/>
      <c r="L416" s="40"/>
    </row>
    <row r="417" spans="3:12" s="18" customFormat="1" ht="15" customHeight="1">
      <c r="C417" s="59"/>
      <c r="D417" s="59"/>
      <c r="E417" s="59"/>
      <c r="F417" s="40"/>
      <c r="G417" s="40"/>
      <c r="H417" s="40"/>
      <c r="I417" s="40"/>
      <c r="J417" s="40"/>
      <c r="K417" s="40"/>
      <c r="L417" s="40"/>
    </row>
    <row r="418" spans="3:12" s="18" customFormat="1" ht="15" customHeight="1">
      <c r="C418" s="59"/>
      <c r="D418" s="59"/>
      <c r="E418" s="59"/>
      <c r="F418" s="40"/>
      <c r="G418" s="40"/>
      <c r="H418" s="40"/>
      <c r="I418" s="40"/>
      <c r="J418" s="40"/>
      <c r="K418" s="40"/>
      <c r="L418" s="40"/>
    </row>
    <row r="419" spans="3:12" s="18" customFormat="1" ht="15" customHeight="1">
      <c r="C419" s="59"/>
      <c r="D419" s="59"/>
      <c r="E419" s="59"/>
      <c r="F419" s="40"/>
      <c r="G419" s="40"/>
      <c r="H419" s="40"/>
      <c r="I419" s="40"/>
      <c r="J419" s="40"/>
      <c r="K419" s="40"/>
      <c r="L419" s="40"/>
    </row>
    <row r="420" spans="3:12" s="18" customFormat="1" ht="15" customHeight="1">
      <c r="C420" s="59"/>
      <c r="D420" s="59"/>
      <c r="E420" s="59"/>
      <c r="F420" s="40"/>
      <c r="G420" s="40"/>
      <c r="H420" s="40"/>
      <c r="I420" s="40"/>
      <c r="J420" s="40"/>
      <c r="K420" s="40"/>
      <c r="L420" s="40"/>
    </row>
    <row r="421" spans="3:12" s="18" customFormat="1" ht="15" customHeight="1">
      <c r="C421" s="59"/>
      <c r="D421" s="59"/>
      <c r="E421" s="59"/>
      <c r="F421" s="40"/>
      <c r="G421" s="40"/>
      <c r="H421" s="40"/>
      <c r="I421" s="40"/>
      <c r="J421" s="40"/>
      <c r="K421" s="40"/>
      <c r="L421" s="40"/>
    </row>
    <row r="422" spans="3:12" s="18" customFormat="1" ht="15" customHeight="1">
      <c r="C422" s="59"/>
      <c r="D422" s="59"/>
      <c r="E422" s="59"/>
      <c r="F422" s="40"/>
      <c r="G422" s="40"/>
      <c r="H422" s="40"/>
      <c r="I422" s="40"/>
      <c r="J422" s="40"/>
      <c r="K422" s="40"/>
      <c r="L422" s="40"/>
    </row>
    <row r="423" spans="3:12" s="18" customFormat="1" ht="15" customHeight="1">
      <c r="C423" s="59"/>
      <c r="D423" s="59"/>
      <c r="E423" s="59"/>
      <c r="F423" s="40"/>
      <c r="G423" s="40"/>
      <c r="H423" s="40"/>
      <c r="I423" s="40"/>
      <c r="J423" s="40"/>
      <c r="K423" s="40"/>
      <c r="L423" s="40"/>
    </row>
    <row r="424" spans="3:12" s="18" customFormat="1" ht="15" customHeight="1">
      <c r="C424" s="59"/>
      <c r="D424" s="59"/>
      <c r="E424" s="59"/>
      <c r="F424" s="40"/>
      <c r="G424" s="40"/>
      <c r="H424" s="40"/>
      <c r="I424" s="40"/>
      <c r="J424" s="40"/>
      <c r="K424" s="40"/>
      <c r="L424" s="40"/>
    </row>
    <row r="425" spans="3:12" s="18" customFormat="1" ht="15" customHeight="1">
      <c r="C425" s="59"/>
      <c r="D425" s="59"/>
      <c r="E425" s="59"/>
      <c r="F425" s="40"/>
      <c r="G425" s="40"/>
      <c r="H425" s="40"/>
      <c r="I425" s="40"/>
      <c r="J425" s="40"/>
      <c r="K425" s="40"/>
      <c r="L425" s="40"/>
    </row>
    <row r="426" spans="3:12" s="18" customFormat="1" ht="15" customHeight="1">
      <c r="C426" s="59"/>
      <c r="D426" s="59"/>
      <c r="E426" s="59"/>
      <c r="F426" s="40"/>
      <c r="G426" s="40"/>
      <c r="H426" s="40"/>
      <c r="I426" s="40"/>
      <c r="J426" s="40"/>
      <c r="K426" s="40"/>
      <c r="L426" s="40"/>
    </row>
    <row r="427" spans="3:12" s="18" customFormat="1" ht="15" customHeight="1">
      <c r="C427" s="59"/>
      <c r="D427" s="59"/>
      <c r="E427" s="59"/>
      <c r="F427" s="40"/>
      <c r="G427" s="40"/>
      <c r="H427" s="40"/>
      <c r="I427" s="40"/>
      <c r="J427" s="40"/>
      <c r="K427" s="40"/>
      <c r="L427" s="40"/>
    </row>
    <row r="428" spans="3:12" s="18" customFormat="1" ht="15" customHeight="1">
      <c r="C428" s="59"/>
      <c r="D428" s="59"/>
      <c r="E428" s="59"/>
      <c r="F428" s="40"/>
      <c r="G428" s="40"/>
      <c r="H428" s="40"/>
      <c r="I428" s="40"/>
      <c r="J428" s="40"/>
      <c r="K428" s="40"/>
      <c r="L428" s="40"/>
    </row>
    <row r="429" spans="3:12" s="18" customFormat="1" ht="15" customHeight="1">
      <c r="C429" s="59"/>
      <c r="D429" s="59"/>
      <c r="E429" s="59"/>
      <c r="F429" s="40"/>
      <c r="G429" s="40"/>
      <c r="H429" s="40"/>
      <c r="I429" s="40"/>
      <c r="J429" s="40"/>
      <c r="K429" s="40"/>
      <c r="L429" s="40"/>
    </row>
    <row r="430" spans="3:12" s="18" customFormat="1" ht="15" customHeight="1">
      <c r="C430" s="59"/>
      <c r="D430" s="59"/>
      <c r="E430" s="59"/>
      <c r="F430" s="40"/>
      <c r="G430" s="40"/>
      <c r="H430" s="40"/>
      <c r="I430" s="40"/>
      <c r="J430" s="40"/>
      <c r="K430" s="40"/>
      <c r="L430" s="40"/>
    </row>
    <row r="431" spans="3:12" s="18" customFormat="1" ht="15" customHeight="1">
      <c r="C431" s="59"/>
      <c r="D431" s="59"/>
      <c r="E431" s="59"/>
      <c r="F431" s="40"/>
      <c r="G431" s="40"/>
      <c r="H431" s="40"/>
      <c r="I431" s="40"/>
      <c r="J431" s="40"/>
      <c r="K431" s="40"/>
      <c r="L431" s="40"/>
    </row>
    <row r="432" spans="3:12" s="18" customFormat="1" ht="15" customHeight="1">
      <c r="C432" s="59"/>
      <c r="D432" s="59"/>
      <c r="E432" s="59"/>
      <c r="F432" s="40"/>
      <c r="G432" s="40"/>
      <c r="H432" s="40"/>
      <c r="I432" s="40"/>
      <c r="J432" s="40"/>
      <c r="K432" s="40"/>
      <c r="L432" s="40"/>
    </row>
    <row r="433" spans="3:12" s="18" customFormat="1" ht="15" customHeight="1">
      <c r="C433" s="59"/>
      <c r="D433" s="59"/>
      <c r="E433" s="59"/>
      <c r="F433" s="40"/>
      <c r="G433" s="40"/>
      <c r="H433" s="40"/>
      <c r="I433" s="40"/>
      <c r="J433" s="40"/>
      <c r="K433" s="40"/>
      <c r="L433" s="40"/>
    </row>
    <row r="434" spans="3:12" s="18" customFormat="1" ht="15" customHeight="1">
      <c r="C434" s="59"/>
      <c r="D434" s="59"/>
      <c r="E434" s="59"/>
      <c r="F434" s="40"/>
      <c r="G434" s="40"/>
      <c r="H434" s="40"/>
      <c r="I434" s="40"/>
      <c r="J434" s="40"/>
      <c r="K434" s="40"/>
      <c r="L434" s="40"/>
    </row>
    <row r="435" spans="3:12" s="18" customFormat="1" ht="15" customHeight="1">
      <c r="C435" s="59"/>
      <c r="D435" s="59"/>
      <c r="E435" s="59"/>
      <c r="F435" s="40"/>
      <c r="G435" s="40"/>
      <c r="H435" s="40"/>
      <c r="I435" s="40"/>
      <c r="J435" s="40"/>
      <c r="K435" s="40"/>
      <c r="L435" s="40"/>
    </row>
    <row r="436" spans="3:12" s="18" customFormat="1" ht="15" customHeight="1">
      <c r="C436" s="59"/>
      <c r="D436" s="59"/>
      <c r="E436" s="59"/>
      <c r="F436" s="40"/>
      <c r="G436" s="40"/>
      <c r="H436" s="40"/>
      <c r="I436" s="40"/>
      <c r="J436" s="40"/>
      <c r="K436" s="40"/>
      <c r="L436" s="40"/>
    </row>
    <row r="437" spans="3:12" s="18" customFormat="1" ht="15" customHeight="1">
      <c r="C437" s="59"/>
      <c r="D437" s="59"/>
      <c r="E437" s="59"/>
      <c r="F437" s="40"/>
      <c r="G437" s="40"/>
      <c r="H437" s="40"/>
      <c r="I437" s="40"/>
      <c r="J437" s="40"/>
      <c r="K437" s="40"/>
      <c r="L437" s="40"/>
    </row>
    <row r="438" spans="3:12" s="18" customFormat="1" ht="15" customHeight="1">
      <c r="C438" s="59"/>
      <c r="D438" s="59"/>
      <c r="E438" s="59"/>
      <c r="F438" s="40"/>
      <c r="G438" s="40"/>
      <c r="H438" s="40"/>
      <c r="I438" s="40"/>
      <c r="J438" s="40"/>
      <c r="K438" s="40"/>
      <c r="L438" s="40"/>
    </row>
    <row r="439" spans="3:12" s="18" customFormat="1" ht="15" customHeight="1">
      <c r="C439" s="59"/>
      <c r="D439" s="59"/>
      <c r="E439" s="59"/>
      <c r="F439" s="40"/>
      <c r="G439" s="40"/>
      <c r="H439" s="40"/>
      <c r="I439" s="40"/>
      <c r="J439" s="40"/>
      <c r="K439" s="40"/>
      <c r="L439" s="40"/>
    </row>
    <row r="440" spans="3:12" s="18" customFormat="1" ht="15" customHeight="1">
      <c r="C440" s="59"/>
      <c r="D440" s="59"/>
      <c r="E440" s="59"/>
      <c r="F440" s="40"/>
      <c r="G440" s="40"/>
      <c r="H440" s="40"/>
      <c r="I440" s="40"/>
      <c r="J440" s="40"/>
      <c r="K440" s="40"/>
      <c r="L440" s="40"/>
    </row>
    <row r="441" spans="3:12" s="18" customFormat="1" ht="15" customHeight="1">
      <c r="C441" s="59"/>
      <c r="D441" s="59"/>
      <c r="E441" s="59"/>
      <c r="F441" s="40"/>
      <c r="G441" s="40"/>
      <c r="H441" s="40"/>
      <c r="I441" s="40"/>
      <c r="J441" s="40"/>
      <c r="K441" s="40"/>
      <c r="L441" s="40"/>
    </row>
    <row r="442" spans="3:12" s="18" customFormat="1" ht="15" customHeight="1">
      <c r="C442" s="59"/>
      <c r="D442" s="59"/>
      <c r="E442" s="59"/>
      <c r="F442" s="40"/>
      <c r="G442" s="40"/>
      <c r="H442" s="40"/>
      <c r="I442" s="40"/>
      <c r="J442" s="40"/>
      <c r="K442" s="40"/>
      <c r="L442" s="40"/>
    </row>
    <row r="443" spans="3:12" s="18" customFormat="1" ht="15" customHeight="1">
      <c r="C443" s="59"/>
      <c r="D443" s="59"/>
      <c r="E443" s="59"/>
      <c r="F443" s="40"/>
      <c r="G443" s="40"/>
      <c r="H443" s="40"/>
      <c r="I443" s="40"/>
      <c r="J443" s="40"/>
      <c r="K443" s="40"/>
      <c r="L443" s="40"/>
    </row>
    <row r="444" spans="3:12" s="18" customFormat="1" ht="15" customHeight="1">
      <c r="C444" s="59"/>
      <c r="D444" s="59"/>
      <c r="E444" s="59"/>
      <c r="F444" s="40"/>
      <c r="G444" s="40"/>
      <c r="H444" s="40"/>
      <c r="I444" s="40"/>
      <c r="J444" s="40"/>
      <c r="K444" s="40"/>
      <c r="L444" s="40"/>
    </row>
    <row r="445" spans="3:12" s="18" customFormat="1" ht="15" customHeight="1">
      <c r="C445" s="59"/>
      <c r="D445" s="59"/>
      <c r="E445" s="59"/>
      <c r="F445" s="40"/>
      <c r="G445" s="40"/>
      <c r="H445" s="40"/>
      <c r="I445" s="40"/>
      <c r="J445" s="40"/>
      <c r="K445" s="40"/>
      <c r="L445" s="40"/>
    </row>
    <row r="446" spans="3:12" s="18" customFormat="1" ht="15" customHeight="1">
      <c r="C446" s="59"/>
      <c r="D446" s="59"/>
      <c r="E446" s="59"/>
      <c r="F446" s="40"/>
      <c r="G446" s="40"/>
      <c r="H446" s="40"/>
      <c r="I446" s="40"/>
      <c r="J446" s="40"/>
      <c r="K446" s="40"/>
      <c r="L446" s="40"/>
    </row>
    <row r="447" spans="3:12" s="18" customFormat="1" ht="15" customHeight="1">
      <c r="C447" s="59"/>
      <c r="D447" s="59"/>
      <c r="E447" s="59"/>
      <c r="F447" s="40"/>
      <c r="G447" s="40"/>
      <c r="H447" s="40"/>
      <c r="I447" s="40"/>
      <c r="J447" s="40"/>
      <c r="K447" s="40"/>
      <c r="L447" s="40"/>
    </row>
    <row r="448" spans="3:12" s="18" customFormat="1" ht="15" customHeight="1">
      <c r="C448" s="59"/>
      <c r="D448" s="59"/>
      <c r="E448" s="59"/>
      <c r="F448" s="40"/>
      <c r="G448" s="40"/>
      <c r="H448" s="40"/>
      <c r="I448" s="40"/>
      <c r="J448" s="40"/>
      <c r="K448" s="40"/>
      <c r="L448" s="40"/>
    </row>
    <row r="449" spans="3:12" s="18" customFormat="1" ht="15" customHeight="1">
      <c r="C449" s="59"/>
      <c r="D449" s="59"/>
      <c r="E449" s="59"/>
      <c r="F449" s="40"/>
      <c r="G449" s="40"/>
      <c r="H449" s="40"/>
      <c r="I449" s="40"/>
      <c r="J449" s="40"/>
      <c r="K449" s="40"/>
      <c r="L449" s="40"/>
    </row>
    <row r="450" spans="3:12" s="18" customFormat="1" ht="15" customHeight="1">
      <c r="C450" s="59"/>
      <c r="D450" s="59"/>
      <c r="E450" s="59"/>
      <c r="F450" s="40"/>
      <c r="G450" s="40"/>
      <c r="H450" s="40"/>
      <c r="I450" s="40"/>
      <c r="J450" s="40"/>
      <c r="K450" s="40"/>
      <c r="L450" s="40"/>
    </row>
    <row r="451" spans="3:12" s="18" customFormat="1" ht="15" customHeight="1">
      <c r="C451" s="59"/>
      <c r="D451" s="59"/>
      <c r="E451" s="59"/>
      <c r="F451" s="40"/>
      <c r="G451" s="40"/>
      <c r="H451" s="40"/>
      <c r="I451" s="40"/>
      <c r="J451" s="40"/>
      <c r="K451" s="40"/>
      <c r="L451" s="40"/>
    </row>
    <row r="452" spans="3:12" s="18" customFormat="1" ht="15" customHeight="1">
      <c r="C452" s="59"/>
      <c r="D452" s="59"/>
      <c r="E452" s="59"/>
      <c r="F452" s="40"/>
      <c r="G452" s="40"/>
      <c r="H452" s="40"/>
      <c r="I452" s="40"/>
      <c r="J452" s="40"/>
      <c r="K452" s="40"/>
      <c r="L452" s="40"/>
    </row>
    <row r="453" spans="3:12" s="18" customFormat="1" ht="15" customHeight="1">
      <c r="C453" s="59"/>
      <c r="D453" s="59"/>
      <c r="E453" s="59"/>
      <c r="F453" s="40"/>
      <c r="G453" s="40"/>
      <c r="H453" s="40"/>
      <c r="I453" s="40"/>
      <c r="J453" s="40"/>
      <c r="K453" s="40"/>
      <c r="L453" s="40"/>
    </row>
    <row r="454" spans="3:12" s="18" customFormat="1" ht="15" customHeight="1">
      <c r="C454" s="59"/>
      <c r="D454" s="59"/>
      <c r="E454" s="59"/>
      <c r="F454" s="40"/>
      <c r="G454" s="40"/>
      <c r="H454" s="40"/>
      <c r="I454" s="40"/>
      <c r="J454" s="40"/>
      <c r="K454" s="40"/>
      <c r="L454" s="40"/>
    </row>
    <row r="455" spans="3:12" s="18" customFormat="1" ht="15" customHeight="1">
      <c r="C455" s="59"/>
      <c r="D455" s="59"/>
      <c r="E455" s="59"/>
      <c r="F455" s="40"/>
      <c r="G455" s="40"/>
      <c r="H455" s="40"/>
      <c r="I455" s="40"/>
      <c r="J455" s="40"/>
      <c r="K455" s="40"/>
      <c r="L455" s="40"/>
    </row>
    <row r="456" spans="3:12" s="18" customFormat="1" ht="15" customHeight="1">
      <c r="C456" s="59"/>
      <c r="D456" s="59"/>
      <c r="E456" s="59"/>
      <c r="F456" s="40"/>
      <c r="G456" s="40"/>
      <c r="H456" s="40"/>
      <c r="I456" s="40"/>
      <c r="J456" s="40"/>
      <c r="K456" s="40"/>
      <c r="L456" s="40"/>
    </row>
    <row r="457" spans="3:12" s="18" customFormat="1" ht="15" customHeight="1">
      <c r="C457" s="59"/>
      <c r="D457" s="59"/>
      <c r="E457" s="59"/>
      <c r="F457" s="40"/>
      <c r="G457" s="40"/>
      <c r="H457" s="40"/>
      <c r="I457" s="40"/>
      <c r="J457" s="40"/>
      <c r="K457" s="40"/>
      <c r="L457" s="40"/>
    </row>
    <row r="458" spans="3:12" s="18" customFormat="1" ht="15" customHeight="1">
      <c r="C458" s="59"/>
      <c r="D458" s="59"/>
      <c r="E458" s="59"/>
      <c r="F458" s="40"/>
      <c r="G458" s="40"/>
      <c r="H458" s="40"/>
      <c r="I458" s="40"/>
      <c r="J458" s="40"/>
      <c r="K458" s="40"/>
      <c r="L458" s="40"/>
    </row>
    <row r="459" spans="3:12" s="18" customFormat="1" ht="15" customHeight="1">
      <c r="C459" s="59"/>
      <c r="D459" s="59"/>
      <c r="E459" s="59"/>
      <c r="F459" s="40"/>
      <c r="G459" s="40"/>
      <c r="H459" s="40"/>
      <c r="I459" s="40"/>
      <c r="J459" s="40"/>
      <c r="K459" s="40"/>
      <c r="L459" s="40"/>
    </row>
    <row r="460" spans="3:12" s="18" customFormat="1" ht="15" customHeight="1">
      <c r="C460" s="59"/>
      <c r="D460" s="59"/>
      <c r="E460" s="59"/>
      <c r="F460" s="40"/>
      <c r="G460" s="40"/>
      <c r="H460" s="40"/>
      <c r="I460" s="40"/>
      <c r="J460" s="40"/>
      <c r="K460" s="40"/>
      <c r="L460" s="40"/>
    </row>
    <row r="461" spans="3:12" s="18" customFormat="1" ht="15" customHeight="1">
      <c r="C461" s="59"/>
      <c r="D461" s="59"/>
      <c r="E461" s="59"/>
      <c r="F461" s="40"/>
      <c r="G461" s="40"/>
      <c r="H461" s="40"/>
      <c r="I461" s="40"/>
      <c r="J461" s="40"/>
      <c r="K461" s="40"/>
      <c r="L461" s="40"/>
    </row>
    <row r="462" spans="3:12" s="18" customFormat="1" ht="15" customHeight="1">
      <c r="C462" s="59"/>
      <c r="D462" s="59"/>
      <c r="E462" s="59"/>
      <c r="F462" s="40"/>
      <c r="G462" s="40"/>
      <c r="H462" s="40"/>
      <c r="I462" s="40"/>
      <c r="J462" s="40"/>
      <c r="K462" s="40"/>
      <c r="L462" s="40"/>
    </row>
    <row r="463" spans="3:12" s="18" customFormat="1" ht="15" customHeight="1">
      <c r="C463" s="59"/>
      <c r="D463" s="59"/>
      <c r="E463" s="59"/>
      <c r="F463" s="40"/>
      <c r="G463" s="40"/>
      <c r="H463" s="40"/>
      <c r="I463" s="40"/>
      <c r="J463" s="40"/>
      <c r="K463" s="40"/>
      <c r="L463" s="40"/>
    </row>
    <row r="464" spans="3:12" s="18" customFormat="1" ht="15" customHeight="1">
      <c r="C464" s="59"/>
      <c r="D464" s="59"/>
      <c r="E464" s="59"/>
      <c r="F464" s="40"/>
      <c r="G464" s="40"/>
      <c r="H464" s="40"/>
      <c r="I464" s="40"/>
      <c r="J464" s="40"/>
      <c r="K464" s="40"/>
      <c r="L464" s="40"/>
    </row>
    <row r="465" spans="3:12" s="18" customFormat="1" ht="15" customHeight="1">
      <c r="C465" s="59"/>
      <c r="D465" s="59"/>
      <c r="E465" s="59"/>
      <c r="F465" s="40"/>
      <c r="G465" s="40"/>
      <c r="H465" s="40"/>
      <c r="I465" s="40"/>
      <c r="J465" s="40"/>
      <c r="K465" s="40"/>
      <c r="L465" s="40"/>
    </row>
    <row r="466" spans="3:12" s="18" customFormat="1" ht="15" customHeight="1">
      <c r="C466" s="59"/>
      <c r="D466" s="59"/>
      <c r="E466" s="59"/>
      <c r="F466" s="40"/>
      <c r="G466" s="40"/>
      <c r="H466" s="40"/>
      <c r="I466" s="40"/>
      <c r="J466" s="40"/>
      <c r="K466" s="40"/>
      <c r="L466" s="40"/>
    </row>
    <row r="467" spans="3:12" s="18" customFormat="1" ht="15" customHeight="1">
      <c r="C467" s="59"/>
      <c r="D467" s="59"/>
      <c r="E467" s="59"/>
      <c r="F467" s="40"/>
      <c r="G467" s="40"/>
      <c r="H467" s="40"/>
      <c r="I467" s="40"/>
      <c r="J467" s="40"/>
      <c r="K467" s="40"/>
      <c r="L467" s="40"/>
    </row>
    <row r="468" spans="3:12" s="18" customFormat="1" ht="15" customHeight="1">
      <c r="C468" s="59"/>
      <c r="D468" s="59"/>
      <c r="E468" s="59"/>
      <c r="F468" s="40"/>
      <c r="G468" s="40"/>
      <c r="H468" s="40"/>
      <c r="I468" s="40"/>
      <c r="J468" s="40"/>
      <c r="K468" s="40"/>
      <c r="L468" s="40"/>
    </row>
    <row r="469" spans="3:12" s="18" customFormat="1" ht="15" customHeight="1">
      <c r="C469" s="59"/>
      <c r="D469" s="59"/>
      <c r="E469" s="59"/>
      <c r="F469" s="40"/>
      <c r="G469" s="40"/>
      <c r="H469" s="40"/>
      <c r="I469" s="40"/>
      <c r="J469" s="40"/>
      <c r="K469" s="40"/>
      <c r="L469" s="40"/>
    </row>
    <row r="470" spans="3:12" s="18" customFormat="1" ht="15" customHeight="1">
      <c r="C470" s="59"/>
      <c r="D470" s="59"/>
      <c r="E470" s="59"/>
      <c r="F470" s="40"/>
      <c r="G470" s="40"/>
      <c r="H470" s="40"/>
      <c r="I470" s="40"/>
      <c r="J470" s="40"/>
      <c r="K470" s="40"/>
      <c r="L470" s="40"/>
    </row>
    <row r="471" spans="3:12" s="18" customFormat="1" ht="15" customHeight="1">
      <c r="C471" s="59"/>
      <c r="D471" s="59"/>
      <c r="E471" s="59"/>
      <c r="F471" s="40"/>
      <c r="G471" s="40"/>
      <c r="H471" s="40"/>
      <c r="I471" s="40"/>
      <c r="J471" s="40"/>
      <c r="K471" s="40"/>
      <c r="L471" s="40"/>
    </row>
    <row r="472" spans="3:12" s="18" customFormat="1" ht="15" customHeight="1">
      <c r="C472" s="59"/>
      <c r="D472" s="59"/>
      <c r="E472" s="59"/>
      <c r="F472" s="40"/>
      <c r="G472" s="40"/>
      <c r="H472" s="40"/>
      <c r="I472" s="40"/>
      <c r="J472" s="40"/>
      <c r="K472" s="40"/>
      <c r="L472" s="40"/>
    </row>
    <row r="473" spans="3:12" s="18" customFormat="1" ht="15" customHeight="1">
      <c r="C473" s="59"/>
      <c r="D473" s="59"/>
      <c r="E473" s="59"/>
      <c r="F473" s="40"/>
      <c r="G473" s="40"/>
      <c r="H473" s="40"/>
      <c r="I473" s="40"/>
      <c r="J473" s="40"/>
      <c r="K473" s="40"/>
      <c r="L473" s="40"/>
    </row>
    <row r="474" spans="3:12" s="18" customFormat="1" ht="15" customHeight="1">
      <c r="C474" s="59"/>
      <c r="D474" s="59"/>
      <c r="E474" s="59"/>
      <c r="F474" s="40"/>
      <c r="G474" s="40"/>
      <c r="H474" s="40"/>
      <c r="I474" s="40"/>
      <c r="J474" s="40"/>
      <c r="K474" s="40"/>
      <c r="L474" s="40"/>
    </row>
    <row r="475" spans="3:12" s="18" customFormat="1" ht="15" customHeight="1">
      <c r="C475" s="59"/>
      <c r="D475" s="59"/>
      <c r="E475" s="59"/>
      <c r="F475" s="40"/>
      <c r="G475" s="40"/>
      <c r="H475" s="40"/>
      <c r="I475" s="40"/>
      <c r="J475" s="40"/>
      <c r="K475" s="40"/>
      <c r="L475" s="40"/>
    </row>
    <row r="476" spans="3:12" s="18" customFormat="1" ht="15" customHeight="1">
      <c r="C476" s="59"/>
      <c r="D476" s="59"/>
      <c r="E476" s="59"/>
      <c r="F476" s="40"/>
      <c r="G476" s="40"/>
      <c r="H476" s="40"/>
      <c r="I476" s="40"/>
      <c r="J476" s="40"/>
      <c r="K476" s="40"/>
      <c r="L476" s="40"/>
    </row>
    <row r="477" spans="3:12" s="18" customFormat="1" ht="15" customHeight="1">
      <c r="C477" s="59"/>
      <c r="D477" s="59"/>
      <c r="E477" s="59"/>
      <c r="F477" s="40"/>
      <c r="G477" s="40"/>
      <c r="H477" s="40"/>
      <c r="I477" s="40"/>
      <c r="J477" s="40"/>
      <c r="K477" s="40"/>
      <c r="L477" s="40"/>
    </row>
    <row r="478" spans="3:12" s="18" customFormat="1" ht="15" customHeight="1">
      <c r="C478" s="59"/>
      <c r="D478" s="59"/>
      <c r="E478" s="59"/>
      <c r="F478" s="40"/>
      <c r="G478" s="40"/>
      <c r="H478" s="40"/>
      <c r="I478" s="40"/>
      <c r="J478" s="40"/>
      <c r="K478" s="40"/>
      <c r="L478" s="40"/>
    </row>
    <row r="479" spans="3:12" s="18" customFormat="1" ht="15" customHeight="1">
      <c r="C479" s="59"/>
      <c r="D479" s="59"/>
      <c r="E479" s="59"/>
      <c r="F479" s="40"/>
      <c r="G479" s="40"/>
      <c r="H479" s="40"/>
      <c r="I479" s="40"/>
      <c r="J479" s="40"/>
      <c r="K479" s="40"/>
      <c r="L479" s="40"/>
    </row>
    <row r="480" spans="3:12" s="18" customFormat="1" ht="15" customHeight="1">
      <c r="C480" s="59"/>
      <c r="D480" s="59"/>
      <c r="E480" s="59"/>
      <c r="F480" s="40"/>
      <c r="G480" s="40"/>
      <c r="H480" s="40"/>
      <c r="I480" s="40"/>
      <c r="J480" s="40"/>
      <c r="K480" s="40"/>
      <c r="L480" s="40"/>
    </row>
    <row r="481" spans="3:12" s="18" customFormat="1" ht="15" customHeight="1">
      <c r="C481" s="59"/>
      <c r="D481" s="59"/>
      <c r="E481" s="59"/>
      <c r="F481" s="40"/>
      <c r="G481" s="40"/>
      <c r="H481" s="40"/>
      <c r="I481" s="40"/>
      <c r="J481" s="40"/>
      <c r="K481" s="40"/>
      <c r="L481" s="40"/>
    </row>
    <row r="482" spans="3:12" s="18" customFormat="1" ht="15" customHeight="1">
      <c r="C482" s="59"/>
      <c r="D482" s="59"/>
      <c r="E482" s="59"/>
      <c r="F482" s="40"/>
      <c r="G482" s="40"/>
      <c r="H482" s="40"/>
      <c r="I482" s="40"/>
      <c r="J482" s="40"/>
      <c r="K482" s="40"/>
      <c r="L482" s="40"/>
    </row>
    <row r="483" spans="3:12" s="18" customFormat="1" ht="15" customHeight="1">
      <c r="C483" s="59"/>
      <c r="D483" s="59"/>
      <c r="E483" s="59"/>
      <c r="F483" s="40"/>
      <c r="G483" s="40"/>
      <c r="H483" s="40"/>
      <c r="I483" s="40"/>
      <c r="J483" s="40"/>
      <c r="K483" s="40"/>
      <c r="L483" s="40"/>
    </row>
    <row r="484" spans="3:12" s="18" customFormat="1" ht="15" customHeight="1">
      <c r="C484" s="59"/>
      <c r="D484" s="59"/>
      <c r="E484" s="59"/>
      <c r="F484" s="40"/>
      <c r="G484" s="40"/>
      <c r="H484" s="40"/>
      <c r="I484" s="40"/>
      <c r="J484" s="40"/>
      <c r="K484" s="40"/>
      <c r="L484" s="40"/>
    </row>
    <row r="485" spans="3:12" s="18" customFormat="1" ht="15" customHeight="1">
      <c r="C485" s="59"/>
      <c r="D485" s="59"/>
      <c r="E485" s="59"/>
      <c r="F485" s="40"/>
      <c r="G485" s="40"/>
      <c r="H485" s="40"/>
      <c r="I485" s="40"/>
      <c r="J485" s="40"/>
      <c r="K485" s="40"/>
      <c r="L485" s="40"/>
    </row>
    <row r="486" spans="3:12" s="18" customFormat="1" ht="15" customHeight="1">
      <c r="C486" s="59"/>
      <c r="D486" s="59"/>
      <c r="E486" s="59"/>
      <c r="F486" s="40"/>
      <c r="G486" s="40"/>
      <c r="H486" s="40"/>
      <c r="I486" s="40"/>
      <c r="J486" s="40"/>
      <c r="K486" s="40"/>
      <c r="L486" s="40"/>
    </row>
    <row r="487" spans="3:12" s="18" customFormat="1" ht="15" customHeight="1">
      <c r="C487" s="59"/>
      <c r="D487" s="59"/>
      <c r="E487" s="59"/>
      <c r="F487" s="40"/>
      <c r="G487" s="40"/>
      <c r="H487" s="40"/>
      <c r="I487" s="40"/>
      <c r="J487" s="40"/>
      <c r="K487" s="40"/>
      <c r="L487" s="40"/>
    </row>
    <row r="488" spans="3:12" s="18" customFormat="1" ht="15" customHeight="1">
      <c r="C488" s="59"/>
      <c r="D488" s="59"/>
      <c r="E488" s="59"/>
      <c r="F488" s="40"/>
      <c r="G488" s="40"/>
      <c r="H488" s="40"/>
      <c r="I488" s="40"/>
      <c r="J488" s="40"/>
      <c r="K488" s="40"/>
      <c r="L488" s="40"/>
    </row>
    <row r="489" spans="3:12" s="18" customFormat="1" ht="15" customHeight="1">
      <c r="C489" s="59"/>
      <c r="D489" s="59"/>
      <c r="E489" s="59"/>
      <c r="F489" s="40"/>
      <c r="G489" s="40"/>
      <c r="H489" s="40"/>
      <c r="I489" s="40"/>
      <c r="J489" s="40"/>
      <c r="K489" s="40"/>
      <c r="L489" s="40"/>
    </row>
    <row r="490" spans="3:12" s="18" customFormat="1" ht="15" customHeight="1">
      <c r="C490" s="59"/>
      <c r="D490" s="59"/>
      <c r="E490" s="59"/>
      <c r="F490" s="40"/>
      <c r="G490" s="40"/>
      <c r="H490" s="40"/>
      <c r="I490" s="40"/>
      <c r="J490" s="40"/>
      <c r="K490" s="40"/>
      <c r="L490" s="40"/>
    </row>
    <row r="491" spans="3:12" s="18" customFormat="1" ht="15" customHeight="1">
      <c r="C491" s="59"/>
      <c r="D491" s="59"/>
      <c r="E491" s="59"/>
      <c r="F491" s="40"/>
      <c r="G491" s="40"/>
      <c r="H491" s="40"/>
      <c r="I491" s="40"/>
      <c r="J491" s="40"/>
      <c r="K491" s="40"/>
      <c r="L491" s="40"/>
    </row>
    <row r="492" spans="3:12" s="18" customFormat="1" ht="15" customHeight="1">
      <c r="C492" s="59"/>
      <c r="D492" s="59"/>
      <c r="E492" s="59"/>
      <c r="F492" s="40"/>
      <c r="G492" s="40"/>
      <c r="H492" s="40"/>
      <c r="I492" s="40"/>
      <c r="J492" s="40"/>
      <c r="K492" s="40"/>
      <c r="L492" s="40"/>
    </row>
    <row r="493" spans="3:12" s="18" customFormat="1" ht="15" customHeight="1">
      <c r="C493" s="59"/>
      <c r="D493" s="59"/>
      <c r="E493" s="59"/>
      <c r="F493" s="40"/>
      <c r="G493" s="40"/>
      <c r="H493" s="40"/>
      <c r="I493" s="40"/>
      <c r="J493" s="40"/>
      <c r="K493" s="40"/>
      <c r="L493" s="40"/>
    </row>
    <row r="494" spans="3:12" s="18" customFormat="1" ht="15" customHeight="1">
      <c r="C494" s="59"/>
      <c r="D494" s="59"/>
      <c r="E494" s="59"/>
      <c r="F494" s="40"/>
      <c r="G494" s="40"/>
      <c r="H494" s="40"/>
      <c r="I494" s="40"/>
      <c r="J494" s="40"/>
      <c r="K494" s="40"/>
      <c r="L494" s="40"/>
    </row>
    <row r="495" spans="3:12" s="18" customFormat="1" ht="15" customHeight="1">
      <c r="C495" s="59"/>
      <c r="D495" s="59"/>
      <c r="E495" s="59"/>
      <c r="F495" s="40"/>
      <c r="G495" s="40"/>
      <c r="H495" s="40"/>
      <c r="I495" s="40"/>
      <c r="J495" s="40"/>
      <c r="K495" s="40"/>
      <c r="L495" s="40"/>
    </row>
    <row r="496" spans="3:12" s="18" customFormat="1" ht="15" customHeight="1">
      <c r="C496" s="59"/>
      <c r="D496" s="59"/>
      <c r="E496" s="59"/>
      <c r="F496" s="40"/>
      <c r="G496" s="40"/>
      <c r="H496" s="40"/>
      <c r="I496" s="40"/>
      <c r="J496" s="40"/>
      <c r="K496" s="40"/>
      <c r="L496" s="40"/>
    </row>
    <row r="497" spans="3:12" s="18" customFormat="1" ht="15" customHeight="1">
      <c r="C497" s="59"/>
      <c r="D497" s="59"/>
      <c r="E497" s="59"/>
      <c r="F497" s="40"/>
      <c r="G497" s="40"/>
      <c r="H497" s="40"/>
      <c r="I497" s="40"/>
      <c r="J497" s="40"/>
      <c r="K497" s="40"/>
      <c r="L497" s="40"/>
    </row>
    <row r="498" spans="3:12" s="18" customFormat="1" ht="15" customHeight="1">
      <c r="C498" s="59"/>
      <c r="D498" s="59"/>
      <c r="E498" s="59"/>
      <c r="F498" s="40"/>
      <c r="G498" s="40"/>
      <c r="H498" s="40"/>
      <c r="I498" s="40"/>
      <c r="J498" s="40"/>
      <c r="K498" s="40"/>
      <c r="L498" s="40"/>
    </row>
    <row r="499" spans="3:12" s="18" customFormat="1" ht="15" customHeight="1">
      <c r="C499" s="59"/>
      <c r="D499" s="59"/>
      <c r="E499" s="59"/>
      <c r="F499" s="40"/>
      <c r="G499" s="40"/>
      <c r="H499" s="40"/>
      <c r="I499" s="40"/>
      <c r="J499" s="40"/>
      <c r="K499" s="40"/>
      <c r="L499" s="40"/>
    </row>
    <row r="500" spans="3:12" s="18" customFormat="1" ht="15" customHeight="1">
      <c r="C500" s="59"/>
      <c r="D500" s="59"/>
      <c r="E500" s="59"/>
      <c r="F500" s="40"/>
      <c r="G500" s="40"/>
      <c r="H500" s="40"/>
      <c r="I500" s="40"/>
      <c r="J500" s="40"/>
      <c r="K500" s="40"/>
      <c r="L500" s="40"/>
    </row>
    <row r="501" spans="3:12" s="18" customFormat="1" ht="15" customHeight="1">
      <c r="C501" s="59"/>
      <c r="D501" s="59"/>
      <c r="E501" s="59"/>
      <c r="F501" s="40"/>
      <c r="G501" s="40"/>
      <c r="H501" s="40"/>
      <c r="I501" s="40"/>
      <c r="J501" s="40"/>
      <c r="K501" s="40"/>
      <c r="L501" s="40"/>
    </row>
    <row r="502" spans="3:12" s="18" customFormat="1" ht="15" customHeight="1">
      <c r="C502" s="59"/>
      <c r="D502" s="59"/>
      <c r="E502" s="59"/>
      <c r="F502" s="40"/>
      <c r="G502" s="40"/>
      <c r="H502" s="40"/>
      <c r="I502" s="40"/>
      <c r="J502" s="40"/>
      <c r="K502" s="40"/>
      <c r="L502" s="40"/>
    </row>
    <row r="503" spans="3:12" s="18" customFormat="1" ht="15" customHeight="1">
      <c r="C503" s="59"/>
      <c r="D503" s="59"/>
      <c r="E503" s="59"/>
      <c r="F503" s="40"/>
      <c r="G503" s="40"/>
      <c r="H503" s="40"/>
      <c r="I503" s="40"/>
      <c r="J503" s="40"/>
      <c r="K503" s="40"/>
      <c r="L503" s="40"/>
    </row>
    <row r="504" spans="3:12" s="18" customFormat="1" ht="15" customHeight="1">
      <c r="C504" s="59"/>
      <c r="D504" s="59"/>
      <c r="E504" s="59"/>
      <c r="F504" s="40"/>
      <c r="G504" s="40"/>
      <c r="H504" s="40"/>
      <c r="I504" s="40"/>
      <c r="J504" s="40"/>
      <c r="K504" s="40"/>
      <c r="L504" s="40"/>
    </row>
    <row r="505" spans="3:12" s="18" customFormat="1" ht="15" customHeight="1">
      <c r="C505" s="59"/>
      <c r="D505" s="59"/>
      <c r="E505" s="59"/>
      <c r="F505" s="40"/>
      <c r="G505" s="40"/>
      <c r="H505" s="40"/>
      <c r="I505" s="40"/>
      <c r="J505" s="40"/>
      <c r="K505" s="40"/>
      <c r="L505" s="40"/>
    </row>
    <row r="506" spans="3:12" s="18" customFormat="1" ht="15" customHeight="1">
      <c r="C506" s="59"/>
      <c r="D506" s="59"/>
      <c r="E506" s="59"/>
      <c r="F506" s="40"/>
      <c r="G506" s="40"/>
      <c r="H506" s="40"/>
      <c r="I506" s="40"/>
      <c r="J506" s="40"/>
      <c r="K506" s="40"/>
      <c r="L506" s="40"/>
    </row>
    <row r="507" spans="3:12" s="18" customFormat="1" ht="15" customHeight="1">
      <c r="C507" s="59"/>
      <c r="D507" s="59"/>
      <c r="E507" s="59"/>
      <c r="F507" s="40"/>
      <c r="G507" s="40"/>
      <c r="H507" s="40"/>
      <c r="I507" s="40"/>
      <c r="J507" s="40"/>
      <c r="K507" s="40"/>
      <c r="L507" s="40"/>
    </row>
    <row r="508" spans="3:12" s="18" customFormat="1" ht="15" customHeight="1">
      <c r="C508" s="59"/>
      <c r="D508" s="59"/>
      <c r="E508" s="59"/>
      <c r="F508" s="40"/>
      <c r="G508" s="40"/>
      <c r="H508" s="40"/>
      <c r="I508" s="40"/>
      <c r="J508" s="40"/>
      <c r="K508" s="40"/>
      <c r="L508" s="40"/>
    </row>
    <row r="509" spans="3:12" s="18" customFormat="1" ht="15" customHeight="1">
      <c r="C509" s="59"/>
      <c r="D509" s="59"/>
      <c r="E509" s="59"/>
      <c r="F509" s="40"/>
      <c r="G509" s="40"/>
      <c r="H509" s="40"/>
      <c r="I509" s="40"/>
      <c r="J509" s="40"/>
      <c r="K509" s="40"/>
      <c r="L509" s="40"/>
    </row>
    <row r="510" spans="3:12" s="18" customFormat="1" ht="15" customHeight="1">
      <c r="C510" s="59"/>
      <c r="D510" s="59"/>
      <c r="E510" s="59"/>
      <c r="F510" s="40"/>
      <c r="G510" s="40"/>
      <c r="H510" s="40"/>
      <c r="I510" s="40"/>
      <c r="J510" s="40"/>
      <c r="K510" s="40"/>
      <c r="L510" s="40"/>
    </row>
    <row r="511" spans="3:12" s="18" customFormat="1" ht="15" customHeight="1">
      <c r="C511" s="59"/>
      <c r="D511" s="59"/>
      <c r="E511" s="59"/>
      <c r="F511" s="40"/>
      <c r="G511" s="40"/>
      <c r="H511" s="40"/>
      <c r="I511" s="40"/>
      <c r="J511" s="40"/>
      <c r="K511" s="40"/>
      <c r="L511" s="40"/>
    </row>
    <row r="512" spans="3:12" s="18" customFormat="1" ht="15" customHeight="1">
      <c r="C512" s="59"/>
      <c r="D512" s="59"/>
      <c r="E512" s="59"/>
      <c r="F512" s="40"/>
      <c r="G512" s="40"/>
      <c r="H512" s="40"/>
      <c r="I512" s="40"/>
      <c r="J512" s="40"/>
      <c r="K512" s="40"/>
      <c r="L512" s="40"/>
    </row>
    <row r="513" spans="3:12" s="18" customFormat="1" ht="15" customHeight="1">
      <c r="C513" s="59"/>
      <c r="D513" s="59"/>
      <c r="E513" s="59"/>
      <c r="F513" s="40"/>
      <c r="G513" s="40"/>
      <c r="H513" s="40"/>
      <c r="I513" s="40"/>
      <c r="J513" s="40"/>
      <c r="K513" s="40"/>
      <c r="L513" s="40"/>
    </row>
    <row r="514" spans="3:12" s="18" customFormat="1" ht="15" customHeight="1">
      <c r="C514" s="59"/>
      <c r="D514" s="59"/>
      <c r="E514" s="59"/>
      <c r="F514" s="40"/>
      <c r="G514" s="40"/>
      <c r="H514" s="40"/>
      <c r="I514" s="40"/>
      <c r="J514" s="40"/>
      <c r="K514" s="40"/>
      <c r="L514" s="40"/>
    </row>
    <row r="515" spans="3:12" s="18" customFormat="1" ht="15" customHeight="1">
      <c r="C515" s="59"/>
      <c r="D515" s="59"/>
      <c r="E515" s="59"/>
      <c r="F515" s="40"/>
      <c r="G515" s="40"/>
      <c r="H515" s="40"/>
      <c r="I515" s="40"/>
      <c r="J515" s="40"/>
      <c r="K515" s="40"/>
      <c r="L515" s="40"/>
    </row>
    <row r="516" spans="3:12" s="18" customFormat="1" ht="15" customHeight="1">
      <c r="C516" s="59"/>
      <c r="D516" s="59"/>
      <c r="E516" s="59"/>
      <c r="F516" s="40"/>
      <c r="G516" s="40"/>
      <c r="H516" s="40"/>
      <c r="I516" s="40"/>
      <c r="J516" s="40"/>
      <c r="K516" s="40"/>
      <c r="L516" s="40"/>
    </row>
    <row r="517" spans="3:12" s="18" customFormat="1" ht="15" customHeight="1">
      <c r="C517" s="59"/>
      <c r="D517" s="59"/>
      <c r="E517" s="59"/>
      <c r="F517" s="40"/>
      <c r="G517" s="40"/>
      <c r="H517" s="40"/>
      <c r="I517" s="40"/>
      <c r="J517" s="40"/>
      <c r="K517" s="40"/>
      <c r="L517" s="40"/>
    </row>
    <row r="518" spans="3:12" s="18" customFormat="1" ht="15" customHeight="1">
      <c r="C518" s="59"/>
      <c r="D518" s="59"/>
      <c r="E518" s="59"/>
      <c r="F518" s="40"/>
      <c r="G518" s="40"/>
      <c r="H518" s="40"/>
      <c r="I518" s="40"/>
      <c r="J518" s="40"/>
      <c r="K518" s="40"/>
      <c r="L518" s="40"/>
    </row>
    <row r="519" spans="3:12" s="18" customFormat="1" ht="15" customHeight="1">
      <c r="C519" s="59"/>
      <c r="D519" s="59"/>
      <c r="E519" s="59"/>
      <c r="F519" s="40"/>
      <c r="G519" s="40"/>
      <c r="H519" s="40"/>
      <c r="I519" s="40"/>
      <c r="J519" s="40"/>
      <c r="K519" s="40"/>
      <c r="L519" s="40"/>
    </row>
    <row r="520" spans="3:12" s="18" customFormat="1" ht="15" customHeight="1">
      <c r="C520" s="59"/>
      <c r="D520" s="59"/>
      <c r="E520" s="59"/>
      <c r="F520" s="40"/>
      <c r="G520" s="40"/>
      <c r="H520" s="40"/>
      <c r="I520" s="40"/>
      <c r="J520" s="40"/>
      <c r="K520" s="40"/>
      <c r="L520" s="40"/>
    </row>
    <row r="521" spans="3:12" s="18" customFormat="1" ht="15" customHeight="1">
      <c r="C521" s="59"/>
      <c r="D521" s="59"/>
      <c r="E521" s="59"/>
      <c r="F521" s="40"/>
      <c r="G521" s="40"/>
      <c r="H521" s="40"/>
      <c r="I521" s="40"/>
      <c r="J521" s="40"/>
      <c r="K521" s="40"/>
      <c r="L521" s="40"/>
    </row>
    <row r="522" spans="3:12" s="18" customFormat="1" ht="15" customHeight="1">
      <c r="C522" s="59"/>
      <c r="D522" s="59"/>
      <c r="E522" s="59"/>
      <c r="F522" s="40"/>
      <c r="G522" s="40"/>
      <c r="H522" s="40"/>
      <c r="I522" s="40"/>
      <c r="J522" s="40"/>
      <c r="K522" s="40"/>
      <c r="L522" s="40"/>
    </row>
    <row r="523" spans="3:12" s="18" customFormat="1" ht="15" customHeight="1">
      <c r="C523" s="59"/>
      <c r="D523" s="59"/>
      <c r="E523" s="59"/>
      <c r="F523" s="40"/>
      <c r="G523" s="40"/>
      <c r="H523" s="40"/>
      <c r="I523" s="40"/>
      <c r="J523" s="40"/>
      <c r="K523" s="40"/>
      <c r="L523" s="40"/>
    </row>
    <row r="524" spans="3:12" s="18" customFormat="1" ht="15" customHeight="1">
      <c r="C524" s="59"/>
      <c r="D524" s="59"/>
      <c r="E524" s="59"/>
      <c r="F524" s="40"/>
      <c r="G524" s="40"/>
      <c r="H524" s="40"/>
      <c r="I524" s="40"/>
      <c r="J524" s="40"/>
      <c r="K524" s="40"/>
      <c r="L524" s="40"/>
    </row>
    <row r="525" spans="3:12" s="18" customFormat="1" ht="15" customHeight="1">
      <c r="C525" s="59"/>
      <c r="D525" s="59"/>
      <c r="E525" s="59"/>
      <c r="F525" s="40"/>
      <c r="G525" s="40"/>
      <c r="H525" s="40"/>
      <c r="I525" s="40"/>
      <c r="J525" s="40"/>
      <c r="K525" s="40"/>
      <c r="L525" s="40"/>
    </row>
    <row r="526" spans="3:12" s="18" customFormat="1" ht="15" customHeight="1">
      <c r="C526" s="59"/>
      <c r="D526" s="59"/>
      <c r="E526" s="59"/>
      <c r="F526" s="40"/>
      <c r="G526" s="40"/>
      <c r="H526" s="40"/>
      <c r="I526" s="40"/>
      <c r="J526" s="40"/>
      <c r="K526" s="40"/>
      <c r="L526" s="40"/>
    </row>
    <row r="527" spans="3:12" s="18" customFormat="1" ht="15" customHeight="1">
      <c r="C527" s="59"/>
      <c r="D527" s="59"/>
      <c r="E527" s="59"/>
      <c r="F527" s="40"/>
      <c r="G527" s="40"/>
      <c r="H527" s="40"/>
      <c r="I527" s="40"/>
      <c r="J527" s="40"/>
      <c r="K527" s="40"/>
      <c r="L527" s="40"/>
    </row>
    <row r="528" spans="3:12" s="18" customFormat="1" ht="15" customHeight="1">
      <c r="C528" s="59"/>
      <c r="D528" s="59"/>
      <c r="E528" s="59"/>
      <c r="F528" s="40"/>
      <c r="G528" s="40"/>
      <c r="H528" s="40"/>
      <c r="I528" s="40"/>
      <c r="J528" s="40"/>
      <c r="K528" s="40"/>
      <c r="L528" s="40"/>
    </row>
    <row r="529" spans="3:12" s="18" customFormat="1" ht="15" customHeight="1">
      <c r="C529" s="59"/>
      <c r="D529" s="59"/>
      <c r="E529" s="59"/>
      <c r="F529" s="40"/>
      <c r="G529" s="40"/>
      <c r="H529" s="40"/>
      <c r="I529" s="40"/>
      <c r="J529" s="40"/>
      <c r="K529" s="40"/>
      <c r="L529" s="40"/>
    </row>
    <row r="530" spans="3:12" s="18" customFormat="1" ht="15" customHeight="1">
      <c r="C530" s="59"/>
      <c r="D530" s="59"/>
      <c r="E530" s="59"/>
      <c r="F530" s="40"/>
      <c r="G530" s="40"/>
      <c r="H530" s="40"/>
      <c r="I530" s="40"/>
      <c r="J530" s="40"/>
      <c r="K530" s="40"/>
      <c r="L530" s="40"/>
    </row>
    <row r="531" spans="3:12" s="18" customFormat="1" ht="15" customHeight="1">
      <c r="C531" s="59"/>
      <c r="D531" s="59"/>
      <c r="E531" s="59"/>
      <c r="F531" s="40"/>
      <c r="G531" s="40"/>
      <c r="H531" s="40"/>
      <c r="I531" s="40"/>
      <c r="J531" s="40"/>
      <c r="K531" s="40"/>
      <c r="L531" s="40"/>
    </row>
    <row r="532" spans="3:12" s="18" customFormat="1" ht="15" customHeight="1">
      <c r="C532" s="59"/>
      <c r="D532" s="59"/>
      <c r="E532" s="59"/>
      <c r="F532" s="40"/>
      <c r="G532" s="40"/>
      <c r="H532" s="40"/>
      <c r="I532" s="40"/>
      <c r="J532" s="40"/>
      <c r="K532" s="40"/>
      <c r="L532" s="40"/>
    </row>
    <row r="533" spans="3:12" s="18" customFormat="1" ht="15" customHeight="1">
      <c r="C533" s="59"/>
      <c r="D533" s="59"/>
      <c r="E533" s="59"/>
      <c r="F533" s="40"/>
      <c r="G533" s="40"/>
      <c r="H533" s="40"/>
      <c r="I533" s="40"/>
      <c r="J533" s="40"/>
      <c r="K533" s="40"/>
      <c r="L533" s="40"/>
    </row>
    <row r="534" spans="3:12" s="18" customFormat="1" ht="15" customHeight="1">
      <c r="C534" s="59"/>
      <c r="D534" s="59"/>
      <c r="E534" s="59"/>
      <c r="F534" s="40"/>
      <c r="G534" s="40"/>
      <c r="H534" s="40"/>
      <c r="I534" s="40"/>
      <c r="J534" s="40"/>
      <c r="K534" s="40"/>
      <c r="L534" s="40"/>
    </row>
    <row r="535" spans="3:12" s="18" customFormat="1" ht="15" customHeight="1">
      <c r="C535" s="59"/>
      <c r="D535" s="59"/>
      <c r="E535" s="59"/>
      <c r="F535" s="40"/>
      <c r="G535" s="40"/>
      <c r="H535" s="40"/>
      <c r="I535" s="40"/>
      <c r="J535" s="40"/>
      <c r="K535" s="40"/>
      <c r="L535" s="40"/>
    </row>
    <row r="536" spans="3:12" s="18" customFormat="1" ht="15" customHeight="1">
      <c r="C536" s="59"/>
      <c r="D536" s="59"/>
      <c r="E536" s="59"/>
      <c r="F536" s="40"/>
      <c r="G536" s="40"/>
      <c r="H536" s="40"/>
      <c r="I536" s="40"/>
      <c r="J536" s="40"/>
      <c r="K536" s="40"/>
      <c r="L536" s="40"/>
    </row>
    <row r="537" spans="3:12" s="18" customFormat="1" ht="15" customHeight="1">
      <c r="C537" s="59"/>
      <c r="D537" s="59"/>
      <c r="E537" s="59"/>
      <c r="F537" s="40"/>
      <c r="G537" s="40"/>
      <c r="H537" s="40"/>
      <c r="I537" s="40"/>
      <c r="J537" s="40"/>
      <c r="K537" s="40"/>
      <c r="L537" s="40"/>
    </row>
    <row r="538" spans="3:12" s="18" customFormat="1" ht="15" customHeight="1">
      <c r="C538" s="59"/>
      <c r="D538" s="59"/>
      <c r="E538" s="59"/>
      <c r="F538" s="40"/>
      <c r="G538" s="40"/>
      <c r="H538" s="40"/>
      <c r="I538" s="40"/>
      <c r="J538" s="40"/>
      <c r="K538" s="40"/>
      <c r="L538" s="40"/>
    </row>
    <row r="539" spans="3:12" s="18" customFormat="1" ht="15" customHeight="1">
      <c r="C539" s="59"/>
      <c r="D539" s="59"/>
      <c r="E539" s="59"/>
      <c r="F539" s="40"/>
      <c r="G539" s="40"/>
      <c r="H539" s="40"/>
      <c r="I539" s="40"/>
      <c r="J539" s="40"/>
      <c r="K539" s="40"/>
      <c r="L539" s="40"/>
    </row>
    <row r="540" spans="3:12" s="18" customFormat="1" ht="15" customHeight="1">
      <c r="C540" s="59"/>
      <c r="D540" s="59"/>
      <c r="E540" s="59"/>
      <c r="F540" s="40"/>
      <c r="G540" s="40"/>
      <c r="H540" s="40"/>
      <c r="I540" s="40"/>
      <c r="J540" s="40"/>
      <c r="K540" s="40"/>
      <c r="L540" s="40"/>
    </row>
    <row r="541" spans="3:12" s="18" customFormat="1" ht="15" customHeight="1">
      <c r="C541" s="59"/>
      <c r="D541" s="59"/>
      <c r="E541" s="59"/>
      <c r="F541" s="40"/>
      <c r="G541" s="40"/>
      <c r="H541" s="40"/>
      <c r="I541" s="40"/>
      <c r="J541" s="40"/>
      <c r="K541" s="40"/>
      <c r="L541" s="40"/>
    </row>
    <row r="542" spans="3:12" s="18" customFormat="1" ht="15" customHeight="1">
      <c r="C542" s="59"/>
      <c r="D542" s="59"/>
      <c r="E542" s="59"/>
      <c r="F542" s="40"/>
      <c r="G542" s="40"/>
      <c r="H542" s="40"/>
      <c r="I542" s="40"/>
      <c r="J542" s="40"/>
      <c r="K542" s="40"/>
      <c r="L542" s="40"/>
    </row>
    <row r="543" spans="3:12" s="18" customFormat="1" ht="15" customHeight="1">
      <c r="C543" s="59"/>
      <c r="D543" s="59"/>
      <c r="E543" s="59"/>
      <c r="F543" s="40"/>
      <c r="G543" s="40"/>
      <c r="H543" s="40"/>
      <c r="I543" s="40"/>
      <c r="J543" s="40"/>
      <c r="K543" s="40"/>
      <c r="L543" s="40"/>
    </row>
    <row r="544" spans="3:12" s="18" customFormat="1" ht="15" customHeight="1">
      <c r="C544" s="59"/>
      <c r="D544" s="59"/>
      <c r="E544" s="59"/>
      <c r="F544" s="40"/>
      <c r="G544" s="40"/>
      <c r="H544" s="40"/>
      <c r="I544" s="40"/>
      <c r="J544" s="40"/>
      <c r="K544" s="40"/>
      <c r="L544" s="40"/>
    </row>
    <row r="545" spans="3:12" s="18" customFormat="1" ht="15" customHeight="1">
      <c r="C545" s="59"/>
      <c r="D545" s="59"/>
      <c r="E545" s="59"/>
      <c r="F545" s="40"/>
      <c r="G545" s="40"/>
      <c r="H545" s="40"/>
      <c r="I545" s="40"/>
      <c r="J545" s="40"/>
      <c r="K545" s="40"/>
      <c r="L545" s="40"/>
    </row>
    <row r="546" spans="3:12" s="18" customFormat="1" ht="15" customHeight="1">
      <c r="C546" s="59"/>
      <c r="D546" s="59"/>
      <c r="E546" s="59"/>
      <c r="F546" s="40"/>
      <c r="G546" s="40"/>
      <c r="H546" s="40"/>
      <c r="I546" s="40"/>
      <c r="J546" s="40"/>
      <c r="K546" s="40"/>
      <c r="L546" s="40"/>
    </row>
    <row r="547" spans="3:12" s="18" customFormat="1" ht="15" customHeight="1">
      <c r="C547" s="59"/>
      <c r="D547" s="59"/>
      <c r="E547" s="59"/>
      <c r="F547" s="40"/>
      <c r="G547" s="40"/>
      <c r="H547" s="40"/>
      <c r="I547" s="40"/>
      <c r="J547" s="40"/>
      <c r="K547" s="40"/>
      <c r="L547" s="40"/>
    </row>
    <row r="548" spans="3:12" s="18" customFormat="1" ht="15" customHeight="1">
      <c r="C548" s="59"/>
      <c r="D548" s="59"/>
      <c r="E548" s="59"/>
      <c r="F548" s="40"/>
      <c r="G548" s="40"/>
      <c r="H548" s="40"/>
      <c r="I548" s="40"/>
      <c r="J548" s="40"/>
      <c r="K548" s="40"/>
      <c r="L548" s="40"/>
    </row>
    <row r="549" spans="3:12" s="18" customFormat="1" ht="15" customHeight="1">
      <c r="C549" s="59"/>
      <c r="D549" s="59"/>
      <c r="E549" s="59"/>
      <c r="F549" s="40"/>
      <c r="G549" s="40"/>
      <c r="H549" s="40"/>
      <c r="I549" s="40"/>
      <c r="J549" s="40"/>
      <c r="K549" s="40"/>
      <c r="L549" s="40"/>
    </row>
    <row r="550" spans="3:12" s="18" customFormat="1" ht="15" customHeight="1">
      <c r="C550" s="59"/>
      <c r="D550" s="59"/>
      <c r="E550" s="59"/>
      <c r="F550" s="40"/>
      <c r="G550" s="40"/>
      <c r="H550" s="40"/>
      <c r="I550" s="40"/>
      <c r="J550" s="40"/>
      <c r="K550" s="40"/>
      <c r="L550" s="40"/>
    </row>
    <row r="551" spans="3:12" s="18" customFormat="1" ht="15" customHeight="1">
      <c r="C551" s="59"/>
      <c r="D551" s="59"/>
      <c r="E551" s="59"/>
      <c r="F551" s="40"/>
      <c r="G551" s="40"/>
      <c r="H551" s="40"/>
      <c r="I551" s="40"/>
      <c r="J551" s="40"/>
      <c r="K551" s="40"/>
      <c r="L551" s="40"/>
    </row>
    <row r="552" spans="3:12" s="18" customFormat="1" ht="15" customHeight="1">
      <c r="C552" s="59"/>
      <c r="D552" s="59"/>
      <c r="E552" s="59"/>
      <c r="F552" s="40"/>
      <c r="G552" s="40"/>
      <c r="H552" s="40"/>
      <c r="I552" s="40"/>
      <c r="J552" s="40"/>
      <c r="K552" s="40"/>
      <c r="L552" s="40"/>
    </row>
    <row r="553" spans="3:12" s="18" customFormat="1" ht="15" customHeight="1">
      <c r="C553" s="59"/>
      <c r="D553" s="59"/>
      <c r="E553" s="59"/>
      <c r="F553" s="40"/>
      <c r="G553" s="40"/>
      <c r="H553" s="40"/>
      <c r="I553" s="40"/>
      <c r="J553" s="40"/>
      <c r="K553" s="40"/>
      <c r="L553" s="40"/>
    </row>
    <row r="554" spans="3:12" s="18" customFormat="1" ht="15" customHeight="1">
      <c r="C554" s="59"/>
      <c r="D554" s="59"/>
      <c r="E554" s="59"/>
      <c r="F554" s="40"/>
      <c r="G554" s="40"/>
      <c r="H554" s="40"/>
      <c r="I554" s="40"/>
      <c r="J554" s="40"/>
      <c r="K554" s="40"/>
      <c r="L554" s="40"/>
    </row>
    <row r="555" spans="3:12" s="18" customFormat="1" ht="15" customHeight="1">
      <c r="C555" s="59"/>
      <c r="D555" s="59"/>
      <c r="E555" s="59"/>
      <c r="F555" s="40"/>
      <c r="G555" s="40"/>
      <c r="H555" s="40"/>
      <c r="I555" s="40"/>
      <c r="J555" s="40"/>
      <c r="K555" s="40"/>
      <c r="L555" s="40"/>
    </row>
    <row r="556" spans="3:12" s="18" customFormat="1" ht="15" customHeight="1">
      <c r="C556" s="59"/>
      <c r="D556" s="59"/>
      <c r="E556" s="59"/>
      <c r="F556" s="40"/>
      <c r="G556" s="40"/>
      <c r="H556" s="40"/>
      <c r="I556" s="40"/>
      <c r="J556" s="40"/>
      <c r="K556" s="40"/>
      <c r="L556" s="40"/>
    </row>
    <row r="557" spans="3:12" s="18" customFormat="1" ht="15" customHeight="1">
      <c r="C557" s="59"/>
      <c r="D557" s="59"/>
      <c r="E557" s="59"/>
      <c r="F557" s="40"/>
      <c r="G557" s="40"/>
      <c r="H557" s="40"/>
      <c r="I557" s="40"/>
      <c r="J557" s="40"/>
      <c r="K557" s="40"/>
      <c r="L557" s="40"/>
    </row>
    <row r="558" spans="3:12" s="18" customFormat="1" ht="15" customHeight="1">
      <c r="C558" s="59"/>
      <c r="D558" s="59"/>
      <c r="E558" s="59"/>
      <c r="F558" s="40"/>
      <c r="G558" s="40"/>
      <c r="H558" s="40"/>
      <c r="I558" s="40"/>
      <c r="J558" s="40"/>
      <c r="K558" s="40"/>
      <c r="L558" s="40"/>
    </row>
    <row r="559" spans="3:12" s="18" customFormat="1" ht="15" customHeight="1">
      <c r="C559" s="59"/>
      <c r="D559" s="59"/>
      <c r="E559" s="59"/>
      <c r="F559" s="40"/>
      <c r="G559" s="40"/>
      <c r="H559" s="40"/>
      <c r="I559" s="40"/>
      <c r="J559" s="40"/>
      <c r="K559" s="40"/>
      <c r="L559" s="40"/>
    </row>
    <row r="560" spans="3:12" s="18" customFormat="1" ht="15" customHeight="1">
      <c r="C560" s="59"/>
      <c r="D560" s="59"/>
      <c r="E560" s="59"/>
      <c r="F560" s="40"/>
      <c r="G560" s="40"/>
      <c r="H560" s="40"/>
      <c r="I560" s="40"/>
      <c r="J560" s="40"/>
      <c r="K560" s="40"/>
      <c r="L560" s="40"/>
    </row>
    <row r="561" spans="3:12" s="18" customFormat="1" ht="15" customHeight="1">
      <c r="C561" s="59"/>
      <c r="D561" s="59"/>
      <c r="E561" s="59"/>
      <c r="F561" s="40"/>
      <c r="G561" s="40"/>
      <c r="H561" s="40"/>
      <c r="I561" s="40"/>
      <c r="J561" s="40"/>
      <c r="K561" s="40"/>
      <c r="L561" s="40"/>
    </row>
    <row r="562" spans="3:12" s="18" customFormat="1" ht="15" customHeight="1">
      <c r="C562" s="59"/>
      <c r="D562" s="59"/>
      <c r="E562" s="59"/>
      <c r="F562" s="40"/>
      <c r="G562" s="40"/>
      <c r="H562" s="40"/>
      <c r="I562" s="40"/>
      <c r="J562" s="40"/>
      <c r="K562" s="40"/>
      <c r="L562" s="40"/>
    </row>
    <row r="563" spans="3:12" s="18" customFormat="1" ht="15" customHeight="1">
      <c r="C563" s="59"/>
      <c r="D563" s="59"/>
      <c r="E563" s="59"/>
      <c r="F563" s="40"/>
      <c r="G563" s="40"/>
      <c r="H563" s="40"/>
      <c r="I563" s="40"/>
      <c r="J563" s="40"/>
      <c r="K563" s="40"/>
      <c r="L563" s="40"/>
    </row>
    <row r="564" spans="3:12" s="18" customFormat="1" ht="15" customHeight="1">
      <c r="C564" s="59"/>
      <c r="D564" s="59"/>
      <c r="E564" s="59"/>
      <c r="F564" s="40"/>
      <c r="G564" s="40"/>
      <c r="H564" s="40"/>
      <c r="I564" s="40"/>
      <c r="J564" s="40"/>
      <c r="K564" s="40"/>
      <c r="L564" s="40"/>
    </row>
    <row r="565" spans="3:12" s="18" customFormat="1" ht="15" customHeight="1">
      <c r="C565" s="59"/>
      <c r="D565" s="59"/>
      <c r="E565" s="59"/>
      <c r="F565" s="40"/>
      <c r="G565" s="40"/>
      <c r="H565" s="40"/>
      <c r="I565" s="40"/>
      <c r="J565" s="40"/>
      <c r="K565" s="40"/>
      <c r="L565" s="40"/>
    </row>
    <row r="566" spans="3:12" s="18" customFormat="1" ht="15" customHeight="1">
      <c r="C566" s="59"/>
      <c r="D566" s="59"/>
      <c r="E566" s="59"/>
      <c r="F566" s="40"/>
      <c r="G566" s="40"/>
      <c r="H566" s="40"/>
      <c r="I566" s="40"/>
      <c r="J566" s="40"/>
      <c r="K566" s="40"/>
      <c r="L566" s="40"/>
    </row>
    <row r="567" spans="3:12" s="18" customFormat="1" ht="15" customHeight="1">
      <c r="C567" s="59"/>
      <c r="D567" s="59"/>
      <c r="E567" s="59"/>
      <c r="F567" s="40"/>
      <c r="G567" s="40"/>
      <c r="H567" s="40"/>
      <c r="I567" s="40"/>
      <c r="J567" s="40"/>
      <c r="K567" s="40"/>
      <c r="L567" s="40"/>
    </row>
    <row r="568" spans="3:12" s="18" customFormat="1" ht="15" customHeight="1">
      <c r="C568" s="59"/>
      <c r="D568" s="59"/>
      <c r="E568" s="59"/>
      <c r="F568" s="40"/>
      <c r="G568" s="40"/>
      <c r="H568" s="40"/>
      <c r="I568" s="40"/>
      <c r="J568" s="40"/>
      <c r="K568" s="40"/>
      <c r="L568" s="40"/>
    </row>
    <row r="569" spans="3:12" s="18" customFormat="1" ht="15" customHeight="1">
      <c r="C569" s="59"/>
      <c r="D569" s="59"/>
      <c r="E569" s="59"/>
      <c r="F569" s="40"/>
      <c r="G569" s="40"/>
      <c r="H569" s="40"/>
      <c r="I569" s="40"/>
      <c r="J569" s="40"/>
      <c r="K569" s="40"/>
      <c r="L569" s="40"/>
    </row>
    <row r="570" spans="3:12" s="18" customFormat="1" ht="15" customHeight="1">
      <c r="C570" s="59"/>
      <c r="D570" s="59"/>
      <c r="E570" s="59"/>
      <c r="F570" s="40"/>
      <c r="G570" s="40"/>
      <c r="H570" s="40"/>
      <c r="I570" s="40"/>
      <c r="J570" s="40"/>
      <c r="K570" s="40"/>
      <c r="L570" s="40"/>
    </row>
    <row r="571" spans="3:12" s="18" customFormat="1" ht="15" customHeight="1">
      <c r="C571" s="59"/>
      <c r="D571" s="59"/>
      <c r="E571" s="59"/>
      <c r="F571" s="40"/>
      <c r="G571" s="40"/>
      <c r="H571" s="40"/>
      <c r="I571" s="40"/>
      <c r="J571" s="40"/>
      <c r="K571" s="40"/>
      <c r="L571" s="40"/>
    </row>
    <row r="572" spans="3:12" s="18" customFormat="1" ht="15" customHeight="1">
      <c r="C572" s="59"/>
      <c r="D572" s="59"/>
      <c r="E572" s="59"/>
      <c r="F572" s="40"/>
      <c r="G572" s="40"/>
      <c r="H572" s="40"/>
      <c r="I572" s="40"/>
      <c r="J572" s="40"/>
      <c r="K572" s="40"/>
      <c r="L572" s="40"/>
    </row>
    <row r="573" spans="3:12" s="18" customFormat="1" ht="15" customHeight="1">
      <c r="C573" s="59"/>
      <c r="D573" s="59"/>
      <c r="E573" s="59"/>
      <c r="F573" s="40"/>
      <c r="G573" s="40"/>
      <c r="H573" s="40"/>
      <c r="I573" s="40"/>
      <c r="J573" s="40"/>
      <c r="K573" s="40"/>
      <c r="L573" s="40"/>
    </row>
    <row r="574" spans="3:12" s="18" customFormat="1" ht="15" customHeight="1">
      <c r="C574" s="59"/>
      <c r="D574" s="59"/>
      <c r="E574" s="59"/>
      <c r="F574" s="40"/>
      <c r="G574" s="40"/>
      <c r="H574" s="40"/>
      <c r="I574" s="40"/>
      <c r="J574" s="40"/>
      <c r="K574" s="40"/>
      <c r="L574" s="40"/>
    </row>
    <row r="575" spans="3:12" s="18" customFormat="1" ht="15" customHeight="1">
      <c r="C575" s="59"/>
      <c r="D575" s="59"/>
      <c r="E575" s="59"/>
      <c r="F575" s="40"/>
      <c r="G575" s="40"/>
      <c r="H575" s="40"/>
      <c r="I575" s="40"/>
      <c r="J575" s="40"/>
      <c r="K575" s="40"/>
      <c r="L575" s="40"/>
    </row>
    <row r="576" spans="3:12" s="18" customFormat="1" ht="15" customHeight="1">
      <c r="C576" s="59"/>
      <c r="D576" s="59"/>
      <c r="E576" s="59"/>
      <c r="F576" s="40"/>
      <c r="G576" s="40"/>
      <c r="H576" s="40"/>
      <c r="I576" s="40"/>
      <c r="J576" s="40"/>
      <c r="K576" s="40"/>
      <c r="L576" s="40"/>
    </row>
    <row r="577" spans="3:12" s="18" customFormat="1" ht="15" customHeight="1">
      <c r="C577" s="59"/>
      <c r="D577" s="59"/>
      <c r="E577" s="59"/>
      <c r="F577" s="40"/>
      <c r="G577" s="40"/>
      <c r="H577" s="40"/>
      <c r="I577" s="40"/>
      <c r="J577" s="40"/>
      <c r="K577" s="40"/>
      <c r="L577" s="40"/>
    </row>
    <row r="578" spans="3:12" s="18" customFormat="1" ht="15" customHeight="1">
      <c r="C578" s="59"/>
      <c r="D578" s="59"/>
      <c r="E578" s="59"/>
      <c r="F578" s="40"/>
      <c r="G578" s="40"/>
      <c r="H578" s="40"/>
      <c r="I578" s="40"/>
      <c r="J578" s="40"/>
      <c r="K578" s="40"/>
      <c r="L578" s="40"/>
    </row>
    <row r="579" spans="3:12" s="18" customFormat="1" ht="15" customHeight="1">
      <c r="C579" s="59"/>
      <c r="D579" s="59"/>
      <c r="E579" s="59"/>
      <c r="F579" s="40"/>
      <c r="G579" s="40"/>
      <c r="H579" s="40"/>
      <c r="I579" s="40"/>
      <c r="J579" s="40"/>
      <c r="K579" s="40"/>
      <c r="L579" s="40"/>
    </row>
    <row r="580" spans="3:12" s="18" customFormat="1" ht="15" customHeight="1">
      <c r="C580" s="59"/>
      <c r="D580" s="59"/>
      <c r="E580" s="59"/>
      <c r="F580" s="40"/>
      <c r="G580" s="40"/>
      <c r="H580" s="40"/>
      <c r="I580" s="40"/>
      <c r="J580" s="40"/>
      <c r="K580" s="40"/>
      <c r="L580" s="40"/>
    </row>
    <row r="581" spans="3:12" s="18" customFormat="1" ht="15" customHeight="1">
      <c r="C581" s="59"/>
      <c r="D581" s="59"/>
      <c r="E581" s="59"/>
      <c r="F581" s="40"/>
      <c r="G581" s="40"/>
      <c r="H581" s="40"/>
      <c r="I581" s="40"/>
      <c r="J581" s="40"/>
      <c r="K581" s="40"/>
      <c r="L581" s="40"/>
    </row>
    <row r="582" spans="3:12" s="18" customFormat="1" ht="15" customHeight="1">
      <c r="C582" s="59"/>
      <c r="D582" s="59"/>
      <c r="E582" s="59"/>
      <c r="F582" s="40"/>
      <c r="G582" s="40"/>
      <c r="H582" s="40"/>
      <c r="I582" s="40"/>
      <c r="J582" s="40"/>
      <c r="K582" s="40"/>
      <c r="L582" s="40"/>
    </row>
    <row r="583" spans="3:12" s="18" customFormat="1" ht="15" customHeight="1">
      <c r="C583" s="59"/>
      <c r="D583" s="59"/>
      <c r="E583" s="59"/>
      <c r="F583" s="40"/>
      <c r="G583" s="40"/>
      <c r="H583" s="40"/>
      <c r="I583" s="40"/>
      <c r="J583" s="40"/>
      <c r="K583" s="40"/>
      <c r="L583" s="40"/>
    </row>
    <row r="584" spans="3:12" s="18" customFormat="1" ht="15" customHeight="1">
      <c r="C584" s="59"/>
      <c r="D584" s="59"/>
      <c r="E584" s="59"/>
      <c r="F584" s="40"/>
      <c r="G584" s="40"/>
      <c r="H584" s="40"/>
      <c r="I584" s="40"/>
      <c r="J584" s="40"/>
      <c r="K584" s="40"/>
      <c r="L584" s="40"/>
    </row>
    <row r="585" spans="3:12" s="18" customFormat="1" ht="15" customHeight="1">
      <c r="C585" s="59"/>
      <c r="D585" s="59"/>
      <c r="E585" s="59"/>
      <c r="F585" s="40"/>
      <c r="G585" s="40"/>
      <c r="H585" s="40"/>
      <c r="I585" s="40"/>
      <c r="J585" s="40"/>
      <c r="K585" s="40"/>
      <c r="L585" s="40"/>
    </row>
    <row r="586" spans="3:12" s="18" customFormat="1" ht="15" customHeight="1">
      <c r="C586" s="59"/>
      <c r="D586" s="59"/>
      <c r="E586" s="59"/>
      <c r="F586" s="40"/>
      <c r="G586" s="40"/>
      <c r="H586" s="40"/>
      <c r="I586" s="40"/>
      <c r="J586" s="40"/>
      <c r="K586" s="40"/>
      <c r="L586" s="40"/>
    </row>
    <row r="587" spans="3:12" s="18" customFormat="1" ht="15" customHeight="1">
      <c r="C587" s="59"/>
      <c r="D587" s="59"/>
      <c r="E587" s="59"/>
      <c r="F587" s="40"/>
      <c r="G587" s="40"/>
      <c r="H587" s="40"/>
      <c r="I587" s="40"/>
      <c r="J587" s="40"/>
      <c r="K587" s="40"/>
      <c r="L587" s="40"/>
    </row>
    <row r="588" spans="3:12" s="18" customFormat="1" ht="15" customHeight="1">
      <c r="C588" s="59"/>
      <c r="D588" s="59"/>
      <c r="E588" s="59"/>
      <c r="F588" s="40"/>
      <c r="G588" s="40"/>
      <c r="H588" s="40"/>
      <c r="I588" s="40"/>
      <c r="J588" s="40"/>
      <c r="K588" s="40"/>
      <c r="L588" s="40"/>
    </row>
    <row r="589" spans="3:12" s="18" customFormat="1" ht="15" customHeight="1">
      <c r="C589" s="59"/>
      <c r="D589" s="59"/>
      <c r="E589" s="59"/>
      <c r="F589" s="40"/>
      <c r="G589" s="40"/>
      <c r="H589" s="40"/>
      <c r="I589" s="40"/>
      <c r="J589" s="40"/>
      <c r="K589" s="40"/>
      <c r="L589" s="40"/>
    </row>
    <row r="590" spans="3:12" s="18" customFormat="1" ht="15" customHeight="1">
      <c r="C590" s="59"/>
      <c r="D590" s="59"/>
      <c r="E590" s="59"/>
      <c r="F590" s="40"/>
      <c r="G590" s="40"/>
      <c r="H590" s="40"/>
      <c r="I590" s="40"/>
      <c r="J590" s="40"/>
      <c r="K590" s="40"/>
      <c r="L590" s="40"/>
    </row>
    <row r="591" spans="3:12" s="18" customFormat="1" ht="15" customHeight="1">
      <c r="C591" s="59"/>
      <c r="D591" s="59"/>
      <c r="E591" s="59"/>
      <c r="F591" s="40"/>
      <c r="G591" s="40"/>
      <c r="H591" s="40"/>
      <c r="I591" s="40"/>
      <c r="J591" s="40"/>
      <c r="K591" s="40"/>
      <c r="L591" s="40"/>
    </row>
    <row r="592" spans="3:12" s="18" customFormat="1" ht="15" customHeight="1">
      <c r="C592" s="59"/>
      <c r="D592" s="59"/>
      <c r="E592" s="59"/>
      <c r="F592" s="40"/>
      <c r="G592" s="40"/>
      <c r="H592" s="40"/>
      <c r="I592" s="40"/>
      <c r="J592" s="40"/>
      <c r="K592" s="40"/>
      <c r="L592" s="40"/>
    </row>
    <row r="593" spans="3:12" s="18" customFormat="1" ht="15" customHeight="1">
      <c r="C593" s="59"/>
      <c r="D593" s="59"/>
      <c r="E593" s="59"/>
      <c r="F593" s="40"/>
      <c r="G593" s="40"/>
      <c r="H593" s="40"/>
      <c r="I593" s="40"/>
      <c r="J593" s="40"/>
      <c r="K593" s="40"/>
      <c r="L593" s="40"/>
    </row>
    <row r="594" spans="3:12" s="18" customFormat="1" ht="15" customHeight="1">
      <c r="C594" s="59"/>
      <c r="D594" s="59"/>
      <c r="E594" s="59"/>
      <c r="F594" s="40"/>
      <c r="G594" s="40"/>
      <c r="H594" s="40"/>
      <c r="I594" s="40"/>
      <c r="J594" s="40"/>
      <c r="K594" s="40"/>
      <c r="L594" s="40"/>
    </row>
    <row r="595" spans="3:12" s="18" customFormat="1" ht="15" customHeight="1">
      <c r="C595" s="59"/>
      <c r="D595" s="59"/>
      <c r="E595" s="59"/>
      <c r="F595" s="40"/>
      <c r="G595" s="40"/>
      <c r="H595" s="40"/>
      <c r="I595" s="40"/>
      <c r="J595" s="40"/>
      <c r="K595" s="40"/>
      <c r="L595" s="40"/>
    </row>
    <row r="596" spans="3:12" s="18" customFormat="1" ht="15" customHeight="1">
      <c r="C596" s="59"/>
      <c r="D596" s="59"/>
      <c r="E596" s="59"/>
      <c r="F596" s="40"/>
      <c r="G596" s="40"/>
      <c r="H596" s="40"/>
      <c r="I596" s="40"/>
      <c r="J596" s="40"/>
      <c r="K596" s="40"/>
      <c r="L596" s="40"/>
    </row>
    <row r="597" spans="3:12" s="18" customFormat="1" ht="15" customHeight="1">
      <c r="C597" s="59"/>
      <c r="D597" s="59"/>
      <c r="E597" s="59"/>
      <c r="F597" s="40"/>
      <c r="G597" s="40"/>
      <c r="H597" s="40"/>
      <c r="I597" s="40"/>
      <c r="J597" s="40"/>
      <c r="K597" s="40"/>
      <c r="L597" s="40"/>
    </row>
    <row r="598" spans="3:12" s="18" customFormat="1" ht="15" customHeight="1">
      <c r="C598" s="59"/>
      <c r="D598" s="59"/>
      <c r="E598" s="59"/>
      <c r="F598" s="40"/>
      <c r="G598" s="40"/>
      <c r="H598" s="40"/>
      <c r="I598" s="40"/>
      <c r="J598" s="40"/>
      <c r="K598" s="40"/>
      <c r="L598" s="40"/>
    </row>
    <row r="599" spans="3:12" s="18" customFormat="1" ht="15" customHeight="1">
      <c r="C599" s="59"/>
      <c r="D599" s="59"/>
      <c r="E599" s="59"/>
      <c r="F599" s="40"/>
      <c r="G599" s="40"/>
      <c r="H599" s="40"/>
      <c r="I599" s="40"/>
      <c r="J599" s="40"/>
      <c r="K599" s="40"/>
      <c r="L599" s="40"/>
    </row>
    <row r="600" spans="3:12" s="18" customFormat="1" ht="15" customHeight="1">
      <c r="C600" s="59"/>
      <c r="D600" s="59"/>
      <c r="E600" s="59"/>
      <c r="F600" s="40"/>
      <c r="G600" s="40"/>
      <c r="H600" s="40"/>
      <c r="I600" s="40"/>
      <c r="J600" s="40"/>
      <c r="K600" s="40"/>
      <c r="L600" s="40"/>
    </row>
    <row r="601" spans="3:12" s="18" customFormat="1" ht="15" customHeight="1">
      <c r="C601" s="59"/>
      <c r="D601" s="59"/>
      <c r="E601" s="59"/>
      <c r="F601" s="40"/>
      <c r="G601" s="40"/>
      <c r="H601" s="40"/>
      <c r="I601" s="40"/>
      <c r="J601" s="40"/>
      <c r="K601" s="40"/>
      <c r="L601" s="40"/>
    </row>
    <row r="602" spans="3:12" s="18" customFormat="1" ht="15" customHeight="1">
      <c r="C602" s="59"/>
      <c r="D602" s="59"/>
      <c r="E602" s="59"/>
      <c r="F602" s="40"/>
      <c r="G602" s="40"/>
      <c r="H602" s="40"/>
      <c r="I602" s="40"/>
      <c r="J602" s="40"/>
      <c r="K602" s="40"/>
      <c r="L602" s="40"/>
    </row>
    <row r="603" spans="3:12" s="18" customFormat="1" ht="15" customHeight="1">
      <c r="C603" s="59"/>
      <c r="D603" s="59"/>
      <c r="E603" s="59"/>
      <c r="F603" s="40"/>
      <c r="G603" s="40"/>
      <c r="H603" s="40"/>
      <c r="I603" s="40"/>
      <c r="J603" s="40"/>
      <c r="K603" s="40"/>
      <c r="L603" s="40"/>
    </row>
    <row r="604" spans="3:12" s="18" customFormat="1" ht="15" customHeight="1">
      <c r="C604" s="59"/>
      <c r="D604" s="59"/>
      <c r="E604" s="59"/>
      <c r="F604" s="40"/>
      <c r="G604" s="40"/>
      <c r="H604" s="40"/>
      <c r="I604" s="40"/>
      <c r="J604" s="40"/>
      <c r="K604" s="40"/>
      <c r="L604" s="40"/>
    </row>
    <row r="605" spans="3:12" s="18" customFormat="1" ht="15" customHeight="1">
      <c r="C605" s="59"/>
      <c r="D605" s="59"/>
      <c r="E605" s="59"/>
      <c r="F605" s="40"/>
      <c r="G605" s="40"/>
      <c r="H605" s="40"/>
      <c r="I605" s="40"/>
      <c r="J605" s="40"/>
      <c r="K605" s="40"/>
      <c r="L605" s="40"/>
    </row>
    <row r="606" spans="3:12" s="18" customFormat="1" ht="15" customHeight="1">
      <c r="C606" s="59"/>
      <c r="D606" s="59"/>
      <c r="E606" s="59"/>
      <c r="F606" s="40"/>
      <c r="G606" s="40"/>
      <c r="H606" s="40"/>
      <c r="I606" s="40"/>
      <c r="J606" s="40"/>
      <c r="K606" s="40"/>
      <c r="L606" s="40"/>
    </row>
    <row r="607" spans="3:12" s="18" customFormat="1" ht="15" customHeight="1">
      <c r="C607" s="59"/>
      <c r="D607" s="59"/>
      <c r="E607" s="59"/>
      <c r="F607" s="40"/>
      <c r="G607" s="40"/>
      <c r="H607" s="40"/>
      <c r="I607" s="40"/>
      <c r="J607" s="40"/>
      <c r="K607" s="40"/>
      <c r="L607" s="40"/>
    </row>
    <row r="608" spans="3:12" s="18" customFormat="1" ht="15" customHeight="1">
      <c r="C608" s="59"/>
      <c r="D608" s="59"/>
      <c r="E608" s="59"/>
      <c r="F608" s="40"/>
      <c r="G608" s="40"/>
      <c r="H608" s="40"/>
      <c r="I608" s="40"/>
      <c r="J608" s="40"/>
      <c r="K608" s="40"/>
      <c r="L608" s="40"/>
    </row>
    <row r="609" spans="3:12" s="18" customFormat="1" ht="15" customHeight="1">
      <c r="C609" s="59"/>
      <c r="D609" s="59"/>
      <c r="E609" s="59"/>
      <c r="F609" s="40"/>
      <c r="G609" s="40"/>
      <c r="H609" s="40"/>
      <c r="I609" s="40"/>
      <c r="J609" s="40"/>
      <c r="K609" s="40"/>
      <c r="L609" s="40"/>
    </row>
    <row r="610" spans="3:12" s="18" customFormat="1" ht="15" customHeight="1">
      <c r="C610" s="59"/>
      <c r="D610" s="59"/>
      <c r="E610" s="59"/>
      <c r="F610" s="40"/>
      <c r="G610" s="40"/>
      <c r="H610" s="40"/>
      <c r="I610" s="40"/>
      <c r="J610" s="40"/>
      <c r="K610" s="40"/>
      <c r="L610" s="40"/>
    </row>
    <row r="611" spans="3:12" s="18" customFormat="1" ht="15" customHeight="1">
      <c r="C611" s="59"/>
      <c r="D611" s="59"/>
      <c r="E611" s="59"/>
      <c r="F611" s="40"/>
      <c r="G611" s="40"/>
      <c r="H611" s="40"/>
      <c r="I611" s="40"/>
      <c r="J611" s="40"/>
      <c r="K611" s="40"/>
      <c r="L611" s="40"/>
    </row>
    <row r="612" spans="3:12" s="18" customFormat="1" ht="15" customHeight="1">
      <c r="C612" s="59"/>
      <c r="D612" s="59"/>
      <c r="E612" s="59"/>
      <c r="F612" s="40"/>
      <c r="G612" s="40"/>
      <c r="H612" s="40"/>
      <c r="I612" s="40"/>
      <c r="J612" s="40"/>
      <c r="K612" s="40"/>
      <c r="L612" s="40"/>
    </row>
    <row r="613" spans="3:12" s="18" customFormat="1" ht="15" customHeight="1">
      <c r="C613" s="59"/>
      <c r="D613" s="59"/>
      <c r="E613" s="59"/>
      <c r="F613" s="40"/>
      <c r="G613" s="40"/>
      <c r="H613" s="40"/>
      <c r="I613" s="40"/>
      <c r="J613" s="40"/>
      <c r="K613" s="40"/>
      <c r="L613" s="40"/>
    </row>
    <row r="614" spans="3:12" s="18" customFormat="1" ht="15" customHeight="1">
      <c r="C614" s="59"/>
      <c r="D614" s="59"/>
      <c r="E614" s="59"/>
      <c r="F614" s="40"/>
      <c r="G614" s="40"/>
      <c r="H614" s="40"/>
      <c r="I614" s="40"/>
      <c r="J614" s="40"/>
      <c r="K614" s="40"/>
      <c r="L614" s="40"/>
    </row>
    <row r="615" spans="3:12" s="18" customFormat="1" ht="15" customHeight="1">
      <c r="C615" s="59"/>
      <c r="D615" s="59"/>
      <c r="E615" s="59"/>
      <c r="F615" s="40"/>
      <c r="G615" s="40"/>
      <c r="H615" s="40"/>
      <c r="I615" s="40"/>
      <c r="J615" s="40"/>
      <c r="K615" s="40"/>
      <c r="L615" s="40"/>
    </row>
    <row r="616" spans="3:12" s="18" customFormat="1" ht="15" customHeight="1">
      <c r="C616" s="59"/>
      <c r="D616" s="59"/>
      <c r="E616" s="59"/>
      <c r="F616" s="40"/>
      <c r="G616" s="40"/>
      <c r="H616" s="40"/>
      <c r="I616" s="40"/>
      <c r="J616" s="40"/>
      <c r="K616" s="40"/>
      <c r="L616" s="40"/>
    </row>
    <row r="617" spans="3:12" s="18" customFormat="1" ht="15" customHeight="1">
      <c r="C617" s="59"/>
      <c r="D617" s="59"/>
      <c r="E617" s="59"/>
      <c r="F617" s="40"/>
      <c r="G617" s="40"/>
      <c r="H617" s="40"/>
      <c r="I617" s="40"/>
      <c r="J617" s="40"/>
      <c r="K617" s="40"/>
      <c r="L617" s="40"/>
    </row>
    <row r="618" spans="3:12" s="18" customFormat="1" ht="15" customHeight="1">
      <c r="C618" s="59"/>
      <c r="D618" s="59"/>
      <c r="E618" s="59"/>
      <c r="F618" s="40"/>
      <c r="G618" s="40"/>
      <c r="H618" s="40"/>
      <c r="I618" s="40"/>
      <c r="J618" s="40"/>
      <c r="K618" s="40"/>
      <c r="L618" s="40"/>
    </row>
    <row r="619" spans="3:12" s="18" customFormat="1" ht="15" customHeight="1">
      <c r="C619" s="59"/>
      <c r="D619" s="59"/>
      <c r="E619" s="59"/>
      <c r="F619" s="40"/>
      <c r="G619" s="40"/>
      <c r="H619" s="40"/>
      <c r="I619" s="40"/>
      <c r="J619" s="40"/>
      <c r="K619" s="40"/>
      <c r="L619" s="40"/>
    </row>
    <row r="620" spans="3:12" s="18" customFormat="1" ht="15" customHeight="1">
      <c r="C620" s="59"/>
      <c r="D620" s="59"/>
      <c r="E620" s="59"/>
      <c r="F620" s="40"/>
      <c r="G620" s="40"/>
      <c r="H620" s="40"/>
      <c r="I620" s="40"/>
      <c r="J620" s="40"/>
      <c r="K620" s="40"/>
      <c r="L620" s="40"/>
    </row>
    <row r="621" spans="3:12" s="18" customFormat="1" ht="15" customHeight="1">
      <c r="C621" s="59"/>
      <c r="D621" s="59"/>
      <c r="E621" s="59"/>
      <c r="F621" s="40"/>
      <c r="G621" s="40"/>
      <c r="H621" s="40"/>
      <c r="I621" s="40"/>
      <c r="J621" s="40"/>
      <c r="K621" s="40"/>
      <c r="L621" s="40"/>
    </row>
    <row r="622" spans="3:12" s="18" customFormat="1" ht="15" customHeight="1">
      <c r="C622" s="59"/>
      <c r="D622" s="59"/>
      <c r="E622" s="59"/>
      <c r="F622" s="40"/>
      <c r="G622" s="40"/>
      <c r="H622" s="40"/>
      <c r="I622" s="40"/>
      <c r="J622" s="40"/>
      <c r="K622" s="40"/>
      <c r="L622" s="40"/>
    </row>
    <row r="623" spans="3:12" s="18" customFormat="1" ht="15" customHeight="1">
      <c r="C623" s="59"/>
      <c r="D623" s="59"/>
      <c r="E623" s="59"/>
      <c r="F623" s="40"/>
      <c r="G623" s="40"/>
      <c r="H623" s="40"/>
      <c r="I623" s="40"/>
      <c r="J623" s="40"/>
      <c r="K623" s="40"/>
      <c r="L623" s="40"/>
    </row>
    <row r="624" spans="3:12" s="18" customFormat="1" ht="15" customHeight="1">
      <c r="C624" s="59"/>
      <c r="D624" s="59"/>
      <c r="E624" s="59"/>
      <c r="F624" s="40"/>
      <c r="G624" s="40"/>
      <c r="H624" s="40"/>
      <c r="I624" s="40"/>
      <c r="J624" s="40"/>
      <c r="K624" s="40"/>
      <c r="L624" s="40"/>
    </row>
    <row r="625" spans="3:12" s="18" customFormat="1" ht="15" customHeight="1">
      <c r="C625" s="59"/>
      <c r="D625" s="59"/>
      <c r="E625" s="59"/>
      <c r="F625" s="40"/>
      <c r="G625" s="40"/>
      <c r="H625" s="40"/>
      <c r="I625" s="40"/>
      <c r="J625" s="40"/>
      <c r="K625" s="40"/>
      <c r="L625" s="40"/>
    </row>
    <row r="626" spans="3:12" s="18" customFormat="1" ht="15" customHeight="1">
      <c r="C626" s="59"/>
      <c r="D626" s="59"/>
      <c r="E626" s="59"/>
      <c r="F626" s="40"/>
      <c r="G626" s="40"/>
      <c r="H626" s="40"/>
      <c r="I626" s="40"/>
      <c r="J626" s="40"/>
      <c r="K626" s="40"/>
      <c r="L626" s="40"/>
    </row>
    <row r="627" spans="3:12" s="18" customFormat="1" ht="15" customHeight="1">
      <c r="C627" s="59"/>
      <c r="D627" s="59"/>
      <c r="E627" s="59"/>
      <c r="F627" s="40"/>
      <c r="G627" s="40"/>
      <c r="H627" s="40"/>
      <c r="I627" s="40"/>
      <c r="J627" s="40"/>
      <c r="K627" s="40"/>
      <c r="L627" s="40"/>
    </row>
    <row r="628" spans="3:12" s="18" customFormat="1" ht="15" customHeight="1">
      <c r="C628" s="59"/>
      <c r="D628" s="59"/>
      <c r="E628" s="59"/>
      <c r="F628" s="40"/>
      <c r="G628" s="40"/>
      <c r="H628" s="40"/>
      <c r="I628" s="40"/>
      <c r="J628" s="40"/>
      <c r="K628" s="40"/>
      <c r="L628" s="40"/>
    </row>
    <row r="629" spans="3:12" s="18" customFormat="1" ht="15" customHeight="1">
      <c r="C629" s="59"/>
      <c r="D629" s="59"/>
      <c r="E629" s="59"/>
      <c r="F629" s="40"/>
      <c r="G629" s="40"/>
      <c r="H629" s="40"/>
      <c r="I629" s="40"/>
      <c r="J629" s="40"/>
      <c r="K629" s="40"/>
      <c r="L629" s="40"/>
    </row>
    <row r="630" spans="3:12" s="18" customFormat="1" ht="15" customHeight="1">
      <c r="C630" s="59"/>
      <c r="D630" s="59"/>
      <c r="E630" s="59"/>
      <c r="F630" s="40"/>
      <c r="G630" s="40"/>
      <c r="H630" s="40"/>
      <c r="I630" s="40"/>
      <c r="J630" s="40"/>
      <c r="K630" s="40"/>
      <c r="L630" s="40"/>
    </row>
    <row r="631" spans="3:12" s="18" customFormat="1" ht="15" customHeight="1">
      <c r="C631" s="59"/>
      <c r="D631" s="59"/>
      <c r="E631" s="59"/>
      <c r="F631" s="40"/>
      <c r="G631" s="40"/>
      <c r="H631" s="40"/>
      <c r="I631" s="40"/>
      <c r="J631" s="40"/>
      <c r="K631" s="40"/>
      <c r="L631" s="40"/>
    </row>
    <row r="632" spans="3:12" s="18" customFormat="1" ht="15" customHeight="1">
      <c r="C632" s="59"/>
      <c r="D632" s="59"/>
      <c r="E632" s="59"/>
      <c r="F632" s="40"/>
      <c r="G632" s="40"/>
      <c r="H632" s="40"/>
      <c r="I632" s="40"/>
      <c r="J632" s="40"/>
      <c r="K632" s="40"/>
      <c r="L632" s="40"/>
    </row>
    <row r="633" spans="3:12" s="18" customFormat="1" ht="15" customHeight="1">
      <c r="C633" s="59"/>
      <c r="D633" s="59"/>
      <c r="E633" s="59"/>
      <c r="F633" s="40"/>
      <c r="G633" s="40"/>
      <c r="H633" s="40"/>
      <c r="I633" s="40"/>
      <c r="J633" s="40"/>
      <c r="K633" s="40"/>
      <c r="L633" s="40"/>
    </row>
    <row r="634" spans="3:12" s="18" customFormat="1" ht="15" customHeight="1">
      <c r="C634" s="59"/>
      <c r="D634" s="59"/>
      <c r="E634" s="59"/>
      <c r="F634" s="40"/>
      <c r="G634" s="40"/>
      <c r="H634" s="40"/>
      <c r="I634" s="40"/>
      <c r="J634" s="40"/>
      <c r="K634" s="40"/>
      <c r="L634" s="40"/>
    </row>
    <row r="635" spans="3:12" s="18" customFormat="1" ht="15" customHeight="1">
      <c r="C635" s="59"/>
      <c r="D635" s="59"/>
      <c r="E635" s="59"/>
      <c r="F635" s="40"/>
      <c r="G635" s="40"/>
      <c r="H635" s="40"/>
      <c r="I635" s="40"/>
      <c r="J635" s="40"/>
      <c r="K635" s="40"/>
      <c r="L635" s="40"/>
    </row>
    <row r="636" spans="3:12" s="18" customFormat="1" ht="15" customHeight="1">
      <c r="C636" s="59"/>
      <c r="D636" s="59"/>
      <c r="E636" s="59"/>
      <c r="F636" s="40"/>
      <c r="G636" s="40"/>
      <c r="H636" s="40"/>
      <c r="I636" s="40"/>
      <c r="J636" s="40"/>
      <c r="K636" s="40"/>
      <c r="L636" s="40"/>
    </row>
    <row r="637" spans="3:12" s="18" customFormat="1" ht="15" customHeight="1">
      <c r="C637" s="59"/>
      <c r="D637" s="59"/>
      <c r="E637" s="59"/>
      <c r="F637" s="40"/>
      <c r="G637" s="40"/>
      <c r="H637" s="40"/>
      <c r="I637" s="40"/>
      <c r="J637" s="40"/>
      <c r="K637" s="40"/>
      <c r="L637" s="40"/>
    </row>
    <row r="638" spans="3:12" s="18" customFormat="1" ht="15" customHeight="1">
      <c r="C638" s="59"/>
      <c r="D638" s="59"/>
      <c r="E638" s="59"/>
      <c r="F638" s="40"/>
      <c r="G638" s="40"/>
      <c r="H638" s="40"/>
      <c r="I638" s="40"/>
      <c r="J638" s="40"/>
      <c r="K638" s="40"/>
      <c r="L638" s="40"/>
    </row>
    <row r="639" spans="3:12" s="18" customFormat="1" ht="15" customHeight="1">
      <c r="C639" s="59"/>
      <c r="D639" s="59"/>
      <c r="E639" s="59"/>
      <c r="F639" s="40"/>
      <c r="G639" s="40"/>
      <c r="H639" s="40"/>
      <c r="I639" s="40"/>
      <c r="J639" s="40"/>
      <c r="K639" s="40"/>
      <c r="L639" s="40"/>
    </row>
    <row r="640" spans="3:12" s="18" customFormat="1" ht="15" customHeight="1">
      <c r="C640" s="59"/>
      <c r="D640" s="59"/>
      <c r="E640" s="59"/>
      <c r="F640" s="40"/>
      <c r="G640" s="40"/>
      <c r="H640" s="40"/>
      <c r="I640" s="40"/>
      <c r="J640" s="40"/>
      <c r="K640" s="40"/>
      <c r="L640" s="40"/>
    </row>
    <row r="641" spans="3:12" s="18" customFormat="1" ht="15" customHeight="1">
      <c r="C641" s="59"/>
      <c r="D641" s="59"/>
      <c r="E641" s="59"/>
      <c r="F641" s="40"/>
      <c r="G641" s="40"/>
      <c r="H641" s="40"/>
      <c r="I641" s="40"/>
      <c r="J641" s="40"/>
      <c r="K641" s="40"/>
      <c r="L641" s="40"/>
    </row>
    <row r="642" spans="3:12" s="18" customFormat="1" ht="15" customHeight="1">
      <c r="C642" s="59"/>
      <c r="D642" s="59"/>
      <c r="E642" s="59"/>
      <c r="F642" s="40"/>
      <c r="G642" s="40"/>
      <c r="H642" s="40"/>
      <c r="I642" s="40"/>
      <c r="J642" s="40"/>
      <c r="K642" s="40"/>
      <c r="L642" s="40"/>
    </row>
    <row r="643" spans="3:12" s="18" customFormat="1" ht="15" customHeight="1">
      <c r="C643" s="59"/>
      <c r="D643" s="59"/>
      <c r="E643" s="59"/>
      <c r="F643" s="40"/>
      <c r="G643" s="40"/>
      <c r="H643" s="40"/>
      <c r="I643" s="40"/>
      <c r="J643" s="40"/>
      <c r="K643" s="40"/>
      <c r="L643" s="40"/>
    </row>
    <row r="644" spans="3:12" s="18" customFormat="1" ht="15" customHeight="1">
      <c r="C644" s="59"/>
      <c r="D644" s="59"/>
      <c r="E644" s="59"/>
      <c r="F644" s="40"/>
      <c r="G644" s="40"/>
      <c r="H644" s="40"/>
      <c r="I644" s="40"/>
      <c r="J644" s="40"/>
      <c r="K644" s="40"/>
      <c r="L644" s="40"/>
    </row>
    <row r="645" spans="3:12" s="18" customFormat="1" ht="15" customHeight="1">
      <c r="C645" s="59"/>
      <c r="D645" s="59"/>
      <c r="E645" s="59"/>
      <c r="F645" s="40"/>
      <c r="G645" s="40"/>
      <c r="H645" s="40"/>
      <c r="I645" s="40"/>
      <c r="J645" s="40"/>
      <c r="K645" s="40"/>
      <c r="L645" s="40"/>
    </row>
    <row r="646" spans="3:12" s="18" customFormat="1" ht="15" customHeight="1">
      <c r="C646" s="59"/>
      <c r="D646" s="59"/>
      <c r="E646" s="59"/>
      <c r="F646" s="40"/>
      <c r="G646" s="40"/>
      <c r="H646" s="40"/>
      <c r="I646" s="40"/>
      <c r="J646" s="40"/>
      <c r="K646" s="40"/>
      <c r="L646" s="40"/>
    </row>
    <row r="647" spans="3:12" s="18" customFormat="1" ht="15" customHeight="1">
      <c r="C647" s="59"/>
      <c r="D647" s="59"/>
      <c r="E647" s="59"/>
      <c r="F647" s="40"/>
      <c r="G647" s="40"/>
      <c r="H647" s="40"/>
      <c r="I647" s="40"/>
      <c r="J647" s="40"/>
      <c r="K647" s="40"/>
      <c r="L647" s="40"/>
    </row>
    <row r="648" spans="3:12" s="18" customFormat="1" ht="15" customHeight="1">
      <c r="C648" s="59"/>
      <c r="D648" s="59"/>
      <c r="E648" s="59"/>
      <c r="F648" s="40"/>
      <c r="G648" s="40"/>
      <c r="H648" s="40"/>
      <c r="I648" s="40"/>
      <c r="J648" s="40"/>
      <c r="K648" s="40"/>
      <c r="L648" s="40"/>
    </row>
    <row r="649" spans="3:12" s="18" customFormat="1" ht="15" customHeight="1">
      <c r="C649" s="59"/>
      <c r="D649" s="59"/>
      <c r="E649" s="59"/>
      <c r="F649" s="40"/>
      <c r="G649" s="40"/>
      <c r="H649" s="40"/>
      <c r="I649" s="40"/>
      <c r="J649" s="40"/>
      <c r="K649" s="40"/>
      <c r="L649" s="40"/>
    </row>
    <row r="650" spans="3:12" s="18" customFormat="1" ht="15" customHeight="1">
      <c r="C650" s="59"/>
      <c r="D650" s="59"/>
      <c r="E650" s="59"/>
      <c r="F650" s="40"/>
      <c r="G650" s="40"/>
      <c r="H650" s="40"/>
      <c r="I650" s="40"/>
      <c r="J650" s="40"/>
      <c r="K650" s="40"/>
      <c r="L650" s="40"/>
    </row>
    <row r="651" spans="3:12" s="18" customFormat="1" ht="15" customHeight="1">
      <c r="C651" s="59"/>
      <c r="D651" s="59"/>
      <c r="E651" s="59"/>
      <c r="F651" s="40"/>
      <c r="G651" s="40"/>
      <c r="H651" s="40"/>
      <c r="I651" s="40"/>
      <c r="J651" s="40"/>
      <c r="K651" s="40"/>
      <c r="L651" s="40"/>
    </row>
    <row r="652" spans="3:12" s="18" customFormat="1" ht="15" customHeight="1">
      <c r="C652" s="59"/>
      <c r="D652" s="59"/>
      <c r="E652" s="59"/>
      <c r="F652" s="40"/>
      <c r="G652" s="40"/>
      <c r="H652" s="40"/>
      <c r="I652" s="40"/>
      <c r="J652" s="40"/>
      <c r="K652" s="40"/>
      <c r="L652" s="40"/>
    </row>
    <row r="653" spans="3:12" s="18" customFormat="1" ht="15" customHeight="1">
      <c r="C653" s="59"/>
      <c r="D653" s="59"/>
      <c r="E653" s="59"/>
      <c r="F653" s="40"/>
      <c r="G653" s="40"/>
      <c r="H653" s="40"/>
      <c r="I653" s="40"/>
      <c r="J653" s="40"/>
      <c r="K653" s="40"/>
      <c r="L653" s="40"/>
    </row>
    <row r="654" spans="3:12" s="18" customFormat="1" ht="15" customHeight="1">
      <c r="C654" s="59"/>
      <c r="D654" s="59"/>
      <c r="E654" s="59"/>
      <c r="F654" s="40"/>
      <c r="G654" s="40"/>
      <c r="H654" s="40"/>
      <c r="I654" s="40"/>
      <c r="J654" s="40"/>
      <c r="K654" s="40"/>
      <c r="L654" s="40"/>
    </row>
    <row r="655" spans="3:12" s="18" customFormat="1" ht="15" customHeight="1">
      <c r="C655" s="59"/>
      <c r="D655" s="59"/>
      <c r="E655" s="59"/>
      <c r="F655" s="40"/>
      <c r="G655" s="40"/>
      <c r="H655" s="40"/>
      <c r="I655" s="40"/>
      <c r="J655" s="40"/>
      <c r="K655" s="40"/>
      <c r="L655" s="40"/>
    </row>
    <row r="656" spans="3:12" s="18" customFormat="1" ht="15" customHeight="1">
      <c r="C656" s="59"/>
      <c r="D656" s="59"/>
      <c r="E656" s="59"/>
      <c r="F656" s="40"/>
      <c r="G656" s="40"/>
      <c r="H656" s="40"/>
      <c r="I656" s="40"/>
      <c r="J656" s="40"/>
      <c r="K656" s="40"/>
      <c r="L656" s="40"/>
    </row>
    <row r="657" spans="3:12" s="18" customFormat="1" ht="15" customHeight="1">
      <c r="C657" s="59"/>
      <c r="D657" s="59"/>
      <c r="E657" s="59"/>
      <c r="F657" s="40"/>
      <c r="G657" s="40"/>
      <c r="H657" s="40"/>
      <c r="I657" s="40"/>
      <c r="J657" s="40"/>
      <c r="K657" s="40"/>
      <c r="L657" s="40"/>
    </row>
    <row r="658" spans="3:12" s="18" customFormat="1" ht="15" customHeight="1">
      <c r="C658" s="59"/>
      <c r="D658" s="59"/>
      <c r="E658" s="59"/>
      <c r="F658" s="40"/>
      <c r="G658" s="40"/>
      <c r="H658" s="40"/>
      <c r="I658" s="40"/>
      <c r="J658" s="40"/>
      <c r="K658" s="40"/>
      <c r="L658" s="40"/>
    </row>
    <row r="659" spans="3:12" s="18" customFormat="1" ht="15" customHeight="1">
      <c r="C659" s="59"/>
      <c r="D659" s="59"/>
      <c r="E659" s="59"/>
      <c r="F659" s="40"/>
      <c r="G659" s="40"/>
      <c r="H659" s="40"/>
      <c r="I659" s="40"/>
      <c r="J659" s="40"/>
      <c r="K659" s="40"/>
      <c r="L659" s="40"/>
    </row>
    <row r="660" spans="3:12" s="18" customFormat="1" ht="15" customHeight="1">
      <c r="C660" s="59"/>
      <c r="D660" s="59"/>
      <c r="E660" s="59"/>
      <c r="F660" s="40"/>
      <c r="G660" s="40"/>
      <c r="H660" s="40"/>
      <c r="I660" s="40"/>
      <c r="J660" s="40"/>
      <c r="K660" s="40"/>
      <c r="L660" s="40"/>
    </row>
    <row r="661" spans="3:12" s="18" customFormat="1" ht="15" customHeight="1">
      <c r="C661" s="59"/>
      <c r="D661" s="59"/>
      <c r="E661" s="59"/>
      <c r="F661" s="40"/>
      <c r="G661" s="40"/>
      <c r="H661" s="40"/>
      <c r="I661" s="40"/>
      <c r="J661" s="40"/>
      <c r="K661" s="40"/>
      <c r="L661" s="40"/>
    </row>
    <row r="662" spans="3:12" s="18" customFormat="1" ht="15" customHeight="1">
      <c r="C662" s="59"/>
      <c r="D662" s="59"/>
      <c r="E662" s="59"/>
      <c r="F662" s="40"/>
      <c r="G662" s="40"/>
      <c r="H662" s="40"/>
      <c r="I662" s="40"/>
      <c r="J662" s="40"/>
      <c r="K662" s="40"/>
      <c r="L662" s="40"/>
    </row>
    <row r="663" spans="3:12" s="18" customFormat="1" ht="15" customHeight="1">
      <c r="C663" s="59"/>
      <c r="D663" s="59"/>
      <c r="E663" s="59"/>
      <c r="F663" s="40"/>
      <c r="G663" s="40"/>
      <c r="H663" s="40"/>
      <c r="I663" s="40"/>
      <c r="J663" s="40"/>
      <c r="K663" s="40"/>
      <c r="L663" s="40"/>
    </row>
    <row r="664" spans="3:12" s="18" customFormat="1" ht="15" customHeight="1">
      <c r="C664" s="59"/>
      <c r="D664" s="59"/>
      <c r="E664" s="59"/>
      <c r="F664" s="40"/>
      <c r="G664" s="40"/>
      <c r="H664" s="40"/>
      <c r="I664" s="40"/>
      <c r="J664" s="40"/>
      <c r="K664" s="40"/>
      <c r="L664" s="40"/>
    </row>
    <row r="665" spans="3:12" s="18" customFormat="1" ht="15" customHeight="1">
      <c r="C665" s="59"/>
      <c r="D665" s="59"/>
      <c r="E665" s="59"/>
      <c r="F665" s="40"/>
      <c r="G665" s="40"/>
      <c r="H665" s="40"/>
      <c r="I665" s="40"/>
      <c r="J665" s="40"/>
      <c r="K665" s="40"/>
      <c r="L665" s="40"/>
    </row>
    <row r="666" spans="3:12" s="18" customFormat="1" ht="15" customHeight="1">
      <c r="C666" s="59"/>
      <c r="D666" s="59"/>
      <c r="E666" s="59"/>
      <c r="F666" s="40"/>
      <c r="G666" s="40"/>
      <c r="H666" s="40"/>
      <c r="I666" s="40"/>
      <c r="J666" s="40"/>
      <c r="K666" s="40"/>
      <c r="L666" s="40"/>
    </row>
    <row r="667" spans="3:12" s="18" customFormat="1">
      <c r="C667" s="59"/>
      <c r="D667" s="59"/>
      <c r="E667" s="59"/>
      <c r="F667" s="40"/>
      <c r="G667" s="40"/>
      <c r="H667" s="40"/>
      <c r="I667" s="40"/>
      <c r="J667" s="40"/>
      <c r="K667" s="40"/>
      <c r="L667" s="40"/>
    </row>
    <row r="668" spans="3:12" s="18" customFormat="1">
      <c r="C668" s="59"/>
      <c r="D668" s="59"/>
      <c r="E668" s="59"/>
      <c r="F668" s="40"/>
      <c r="G668" s="40"/>
      <c r="H668" s="40"/>
      <c r="I668" s="40"/>
      <c r="J668" s="40"/>
      <c r="K668" s="40"/>
      <c r="L668" s="40"/>
    </row>
    <row r="669" spans="3:12" s="18" customFormat="1">
      <c r="C669" s="59"/>
      <c r="D669" s="59"/>
      <c r="E669" s="59"/>
      <c r="F669" s="40"/>
      <c r="G669" s="40"/>
      <c r="H669" s="40"/>
      <c r="I669" s="40"/>
      <c r="J669" s="40"/>
      <c r="K669" s="40"/>
      <c r="L669" s="40"/>
    </row>
    <row r="670" spans="3:12" s="18" customFormat="1">
      <c r="C670" s="59"/>
      <c r="D670" s="59"/>
      <c r="E670" s="59"/>
      <c r="F670" s="40"/>
      <c r="G670" s="40"/>
      <c r="H670" s="40"/>
      <c r="I670" s="40"/>
      <c r="J670" s="40"/>
      <c r="K670" s="40"/>
      <c r="L670" s="40"/>
    </row>
    <row r="671" spans="3:12" s="18" customFormat="1">
      <c r="C671" s="59"/>
      <c r="D671" s="59"/>
      <c r="E671" s="59"/>
      <c r="F671" s="40"/>
      <c r="G671" s="40"/>
      <c r="H671" s="40"/>
      <c r="I671" s="40"/>
      <c r="J671" s="40"/>
      <c r="K671" s="40"/>
      <c r="L671" s="40"/>
    </row>
    <row r="672" spans="3:12" s="18" customFormat="1">
      <c r="C672" s="59"/>
      <c r="D672" s="59"/>
      <c r="E672" s="59"/>
      <c r="F672" s="40"/>
      <c r="G672" s="40"/>
      <c r="H672" s="40"/>
      <c r="I672" s="40"/>
      <c r="J672" s="40"/>
      <c r="K672" s="40"/>
      <c r="L672" s="40"/>
    </row>
    <row r="673" spans="3:12" s="18" customFormat="1">
      <c r="C673" s="59"/>
      <c r="D673" s="59"/>
      <c r="E673" s="59"/>
      <c r="F673" s="40"/>
      <c r="G673" s="40"/>
      <c r="H673" s="40"/>
      <c r="I673" s="40"/>
      <c r="J673" s="40"/>
      <c r="K673" s="40"/>
      <c r="L673" s="40"/>
    </row>
    <row r="674" spans="3:12" s="18" customFormat="1">
      <c r="C674" s="59"/>
      <c r="D674" s="59"/>
      <c r="E674" s="59"/>
      <c r="F674" s="40"/>
      <c r="G674" s="40"/>
      <c r="H674" s="40"/>
      <c r="I674" s="40"/>
      <c r="J674" s="40"/>
      <c r="K674" s="40"/>
      <c r="L674" s="40"/>
    </row>
    <row r="675" spans="3:12" s="18" customFormat="1">
      <c r="C675" s="59"/>
      <c r="D675" s="59"/>
      <c r="E675" s="59"/>
      <c r="F675" s="40"/>
      <c r="G675" s="40"/>
      <c r="H675" s="40"/>
      <c r="I675" s="40"/>
      <c r="J675" s="40"/>
      <c r="K675" s="40"/>
      <c r="L675" s="40"/>
    </row>
    <row r="676" spans="3:12" s="18" customFormat="1">
      <c r="C676" s="59"/>
      <c r="D676" s="59"/>
      <c r="E676" s="59"/>
      <c r="F676" s="40"/>
      <c r="G676" s="40"/>
      <c r="H676" s="40"/>
      <c r="I676" s="40"/>
      <c r="J676" s="40"/>
      <c r="K676" s="40"/>
      <c r="L676" s="40"/>
    </row>
    <row r="677" spans="3:12" s="18" customFormat="1">
      <c r="C677" s="59"/>
      <c r="D677" s="59"/>
      <c r="E677" s="59"/>
      <c r="F677" s="40"/>
      <c r="G677" s="40"/>
      <c r="H677" s="40"/>
      <c r="I677" s="40"/>
      <c r="J677" s="40"/>
      <c r="K677" s="40"/>
      <c r="L677" s="40"/>
    </row>
    <row r="678" spans="3:12" s="18" customFormat="1">
      <c r="C678" s="59"/>
      <c r="D678" s="59"/>
      <c r="E678" s="59"/>
      <c r="F678" s="40"/>
      <c r="G678" s="40"/>
      <c r="H678" s="40"/>
      <c r="I678" s="40"/>
      <c r="J678" s="40"/>
      <c r="K678" s="40"/>
      <c r="L678" s="40"/>
    </row>
    <row r="679" spans="3:12" s="18" customFormat="1">
      <c r="C679" s="59"/>
      <c r="D679" s="59"/>
      <c r="E679" s="59"/>
      <c r="F679" s="40"/>
      <c r="G679" s="40"/>
      <c r="H679" s="40"/>
      <c r="I679" s="40"/>
      <c r="J679" s="40"/>
      <c r="K679" s="40"/>
      <c r="L679" s="40"/>
    </row>
    <row r="680" spans="3:12" s="18" customFormat="1">
      <c r="C680" s="59"/>
      <c r="D680" s="59"/>
      <c r="E680" s="59"/>
      <c r="F680" s="40"/>
      <c r="G680" s="40"/>
      <c r="H680" s="40"/>
      <c r="I680" s="40"/>
      <c r="J680" s="40"/>
      <c r="K680" s="40"/>
      <c r="L680" s="40"/>
    </row>
    <row r="681" spans="3:12" s="18" customFormat="1">
      <c r="C681" s="59"/>
      <c r="D681" s="59"/>
      <c r="E681" s="59"/>
      <c r="F681" s="40"/>
      <c r="G681" s="40"/>
      <c r="H681" s="40"/>
      <c r="I681" s="40"/>
      <c r="J681" s="40"/>
      <c r="K681" s="40"/>
      <c r="L681" s="40"/>
    </row>
    <row r="682" spans="3:12" s="18" customFormat="1">
      <c r="C682" s="59"/>
      <c r="D682" s="59"/>
      <c r="E682" s="59"/>
      <c r="F682" s="40"/>
      <c r="G682" s="40"/>
      <c r="H682" s="40"/>
      <c r="I682" s="40"/>
      <c r="J682" s="40"/>
      <c r="K682" s="40"/>
      <c r="L682" s="40"/>
    </row>
    <row r="683" spans="3:12" s="18" customFormat="1">
      <c r="C683" s="59"/>
      <c r="D683" s="59"/>
      <c r="E683" s="59"/>
      <c r="F683" s="40"/>
      <c r="G683" s="40"/>
      <c r="H683" s="40"/>
      <c r="I683" s="40"/>
      <c r="J683" s="40"/>
      <c r="K683" s="40"/>
      <c r="L683" s="40"/>
    </row>
    <row r="684" spans="3:12" s="18" customFormat="1">
      <c r="C684" s="59"/>
      <c r="D684" s="59"/>
      <c r="E684" s="59"/>
      <c r="F684" s="40"/>
      <c r="G684" s="40"/>
      <c r="H684" s="40"/>
      <c r="I684" s="40"/>
      <c r="J684" s="40"/>
      <c r="K684" s="40"/>
      <c r="L684" s="40"/>
    </row>
    <row r="685" spans="3:12" s="18" customFormat="1">
      <c r="C685" s="59"/>
      <c r="D685" s="59"/>
      <c r="E685" s="59"/>
      <c r="F685" s="40"/>
      <c r="G685" s="40"/>
      <c r="H685" s="40"/>
      <c r="I685" s="40"/>
      <c r="J685" s="40"/>
      <c r="K685" s="40"/>
      <c r="L685" s="40"/>
    </row>
    <row r="686" spans="3:12" s="18" customFormat="1">
      <c r="C686" s="59"/>
      <c r="D686" s="59"/>
      <c r="E686" s="59"/>
      <c r="F686" s="40"/>
      <c r="G686" s="40"/>
      <c r="H686" s="40"/>
      <c r="I686" s="40"/>
      <c r="J686" s="40"/>
      <c r="K686" s="40"/>
      <c r="L686" s="40"/>
    </row>
    <row r="687" spans="3:12" s="18" customFormat="1">
      <c r="C687" s="59"/>
      <c r="D687" s="59"/>
      <c r="E687" s="59"/>
      <c r="F687" s="40"/>
      <c r="G687" s="40"/>
      <c r="H687" s="40"/>
      <c r="I687" s="40"/>
      <c r="J687" s="40"/>
      <c r="K687" s="40"/>
      <c r="L687" s="40"/>
    </row>
    <row r="688" spans="3:12" s="18" customFormat="1">
      <c r="C688" s="59"/>
      <c r="D688" s="59"/>
      <c r="E688" s="59"/>
      <c r="F688" s="40"/>
      <c r="G688" s="40"/>
      <c r="H688" s="40"/>
      <c r="I688" s="40"/>
      <c r="J688" s="40"/>
      <c r="K688" s="40"/>
      <c r="L688" s="40"/>
    </row>
    <row r="689" spans="3:12" s="18" customFormat="1">
      <c r="C689" s="59"/>
      <c r="D689" s="59"/>
      <c r="E689" s="59"/>
      <c r="F689" s="40"/>
      <c r="G689" s="40"/>
      <c r="H689" s="40"/>
      <c r="I689" s="40"/>
      <c r="J689" s="40"/>
      <c r="K689" s="40"/>
      <c r="L689" s="40"/>
    </row>
    <row r="690" spans="3:12" s="18" customFormat="1">
      <c r="C690" s="59"/>
      <c r="D690" s="59"/>
      <c r="E690" s="59"/>
      <c r="F690" s="40"/>
      <c r="G690" s="40"/>
      <c r="H690" s="40"/>
      <c r="I690" s="40"/>
      <c r="J690" s="40"/>
      <c r="K690" s="40"/>
      <c r="L690" s="40"/>
    </row>
    <row r="691" spans="3:12" s="18" customFormat="1">
      <c r="C691" s="59"/>
      <c r="D691" s="59"/>
      <c r="E691" s="59"/>
      <c r="F691" s="40"/>
      <c r="G691" s="40"/>
      <c r="H691" s="40"/>
      <c r="I691" s="40"/>
      <c r="J691" s="40"/>
      <c r="K691" s="40"/>
      <c r="L691" s="40"/>
    </row>
    <row r="692" spans="3:12" s="18" customFormat="1">
      <c r="C692" s="59"/>
      <c r="D692" s="59"/>
      <c r="E692" s="59"/>
      <c r="F692" s="40"/>
      <c r="G692" s="40"/>
      <c r="H692" s="40"/>
      <c r="I692" s="40"/>
      <c r="J692" s="40"/>
      <c r="K692" s="40"/>
      <c r="L692" s="40"/>
    </row>
    <row r="693" spans="3:12" s="18" customFormat="1">
      <c r="C693" s="59"/>
      <c r="D693" s="59"/>
      <c r="E693" s="59"/>
      <c r="F693" s="40"/>
      <c r="G693" s="40"/>
      <c r="H693" s="40"/>
      <c r="I693" s="40"/>
      <c r="J693" s="40"/>
      <c r="K693" s="40"/>
      <c r="L693" s="40"/>
    </row>
    <row r="694" spans="3:12" s="18" customFormat="1">
      <c r="C694" s="59"/>
      <c r="D694" s="59"/>
      <c r="E694" s="59"/>
      <c r="F694" s="40"/>
      <c r="G694" s="40"/>
      <c r="H694" s="40"/>
      <c r="I694" s="40"/>
      <c r="J694" s="40"/>
      <c r="K694" s="40"/>
      <c r="L694" s="40"/>
    </row>
    <row r="695" spans="3:12" s="18" customFormat="1">
      <c r="C695" s="59"/>
      <c r="D695" s="59"/>
      <c r="E695" s="59"/>
      <c r="F695" s="40"/>
      <c r="G695" s="40"/>
      <c r="H695" s="40"/>
      <c r="I695" s="40"/>
      <c r="J695" s="40"/>
      <c r="K695" s="40"/>
      <c r="L695" s="40"/>
    </row>
    <row r="696" spans="3:12" s="18" customFormat="1">
      <c r="C696" s="59"/>
      <c r="D696" s="59"/>
      <c r="E696" s="59"/>
      <c r="F696" s="40"/>
      <c r="G696" s="40"/>
      <c r="H696" s="40"/>
      <c r="I696" s="40"/>
      <c r="J696" s="40"/>
      <c r="K696" s="40"/>
      <c r="L696" s="40"/>
    </row>
    <row r="697" spans="3:12" s="18" customFormat="1">
      <c r="C697" s="59"/>
      <c r="D697" s="59"/>
      <c r="E697" s="59"/>
      <c r="F697" s="40"/>
      <c r="G697" s="40"/>
      <c r="H697" s="40"/>
      <c r="I697" s="40"/>
      <c r="J697" s="40"/>
      <c r="K697" s="40"/>
      <c r="L697" s="40"/>
    </row>
    <row r="698" spans="3:12" s="18" customFormat="1">
      <c r="C698" s="59"/>
      <c r="D698" s="59"/>
      <c r="E698" s="59"/>
      <c r="F698" s="40"/>
      <c r="G698" s="40"/>
      <c r="H698" s="40"/>
      <c r="I698" s="40"/>
      <c r="J698" s="40"/>
      <c r="K698" s="40"/>
      <c r="L698" s="40"/>
    </row>
    <row r="699" spans="3:12" s="18" customFormat="1">
      <c r="C699" s="59"/>
      <c r="D699" s="59"/>
      <c r="E699" s="59"/>
      <c r="F699" s="40"/>
      <c r="G699" s="40"/>
      <c r="H699" s="40"/>
      <c r="I699" s="40"/>
      <c r="J699" s="40"/>
      <c r="K699" s="40"/>
      <c r="L699" s="40"/>
    </row>
    <row r="700" spans="3:12" s="18" customFormat="1">
      <c r="C700" s="59"/>
      <c r="D700" s="59"/>
      <c r="E700" s="59"/>
      <c r="F700" s="40"/>
      <c r="G700" s="40"/>
      <c r="H700" s="40"/>
      <c r="I700" s="40"/>
      <c r="J700" s="40"/>
      <c r="K700" s="40"/>
      <c r="L700" s="40"/>
    </row>
    <row r="701" spans="3:12" s="18" customFormat="1">
      <c r="C701" s="59"/>
      <c r="D701" s="59"/>
      <c r="E701" s="59"/>
      <c r="F701" s="40"/>
      <c r="G701" s="40"/>
      <c r="H701" s="40"/>
      <c r="I701" s="40"/>
      <c r="J701" s="40"/>
      <c r="K701" s="40"/>
      <c r="L701" s="40"/>
    </row>
    <row r="702" spans="3:12" s="18" customFormat="1">
      <c r="C702" s="59"/>
      <c r="D702" s="59"/>
      <c r="E702" s="59"/>
      <c r="F702" s="40"/>
      <c r="G702" s="40"/>
      <c r="H702" s="40"/>
      <c r="I702" s="40"/>
      <c r="J702" s="40"/>
      <c r="K702" s="40"/>
      <c r="L702" s="40"/>
    </row>
    <row r="703" spans="3:12" s="18" customFormat="1">
      <c r="C703" s="59"/>
      <c r="D703" s="59"/>
      <c r="E703" s="59"/>
      <c r="F703" s="40"/>
      <c r="G703" s="40"/>
      <c r="H703" s="40"/>
      <c r="I703" s="40"/>
      <c r="J703" s="40"/>
      <c r="K703" s="40"/>
      <c r="L703" s="40"/>
    </row>
    <row r="704" spans="3:12" s="18" customFormat="1">
      <c r="C704" s="59"/>
      <c r="D704" s="59"/>
      <c r="E704" s="59"/>
      <c r="F704" s="40"/>
      <c r="G704" s="40"/>
      <c r="H704" s="40"/>
      <c r="I704" s="40"/>
      <c r="J704" s="40"/>
      <c r="K704" s="40"/>
      <c r="L704" s="40"/>
    </row>
    <row r="705" spans="1:13" s="18" customFormat="1">
      <c r="C705" s="59"/>
      <c r="D705" s="59"/>
      <c r="E705" s="59"/>
      <c r="F705" s="40"/>
      <c r="G705" s="40"/>
      <c r="H705" s="40"/>
      <c r="I705" s="40"/>
      <c r="J705" s="40"/>
      <c r="K705" s="40"/>
      <c r="L705" s="40"/>
    </row>
    <row r="706" spans="1:13" s="18" customFormat="1">
      <c r="C706" s="59"/>
      <c r="D706" s="59"/>
      <c r="E706" s="59"/>
      <c r="F706" s="40"/>
      <c r="G706" s="40"/>
      <c r="H706" s="40"/>
      <c r="I706" s="40"/>
      <c r="J706" s="40"/>
      <c r="K706" s="40"/>
      <c r="L706" s="40"/>
    </row>
    <row r="707" spans="1:13" s="18" customFormat="1">
      <c r="C707" s="59"/>
      <c r="D707" s="59"/>
      <c r="E707" s="59"/>
      <c r="F707" s="40"/>
      <c r="G707" s="40"/>
      <c r="H707" s="40"/>
      <c r="I707" s="40"/>
      <c r="J707" s="40"/>
      <c r="K707" s="40"/>
      <c r="L707" s="40"/>
    </row>
    <row r="708" spans="1:13" s="18" customFormat="1">
      <c r="C708" s="59"/>
      <c r="D708" s="59"/>
      <c r="E708" s="59"/>
      <c r="F708" s="40"/>
      <c r="G708" s="40"/>
      <c r="H708" s="40"/>
      <c r="I708" s="40"/>
      <c r="J708" s="40"/>
      <c r="K708" s="40"/>
      <c r="L708" s="40"/>
    </row>
    <row r="709" spans="1:13" s="18" customFormat="1">
      <c r="C709" s="59"/>
      <c r="D709" s="59"/>
      <c r="E709" s="59"/>
      <c r="F709" s="40"/>
      <c r="G709" s="40"/>
      <c r="H709" s="40"/>
      <c r="I709" s="40"/>
      <c r="J709" s="40"/>
      <c r="K709" s="40"/>
      <c r="L709" s="40"/>
    </row>
    <row r="710" spans="1:13" s="18" customFormat="1">
      <c r="C710" s="59"/>
      <c r="D710" s="59"/>
      <c r="E710" s="59"/>
      <c r="F710" s="40"/>
      <c r="G710" s="40"/>
      <c r="H710" s="40"/>
      <c r="I710" s="40"/>
      <c r="J710" s="40"/>
      <c r="K710" s="40"/>
      <c r="L710" s="40"/>
    </row>
    <row r="711" spans="1:13" s="18" customFormat="1">
      <c r="C711" s="59"/>
      <c r="D711" s="59"/>
      <c r="E711" s="59"/>
      <c r="F711" s="40"/>
      <c r="G711" s="40"/>
      <c r="H711" s="40"/>
      <c r="I711" s="40"/>
      <c r="J711" s="40"/>
      <c r="K711" s="40"/>
      <c r="L711" s="40"/>
    </row>
    <row r="712" spans="1:13" s="18" customFormat="1">
      <c r="C712" s="59"/>
      <c r="D712" s="59"/>
      <c r="E712" s="59"/>
      <c r="F712" s="40"/>
      <c r="G712" s="40"/>
      <c r="H712" s="40"/>
      <c r="I712" s="40"/>
      <c r="J712" s="40"/>
      <c r="K712" s="40"/>
      <c r="L712" s="40"/>
    </row>
    <row r="713" spans="1:13" s="18" customFormat="1">
      <c r="C713" s="59"/>
      <c r="D713" s="59"/>
      <c r="E713" s="59"/>
      <c r="F713" s="40"/>
      <c r="G713" s="40"/>
      <c r="H713" s="40"/>
      <c r="I713" s="40"/>
      <c r="J713" s="40"/>
      <c r="K713" s="40"/>
      <c r="L713" s="40"/>
    </row>
    <row r="714" spans="1:13" s="18" customFormat="1">
      <c r="C714" s="59"/>
      <c r="D714" s="59"/>
      <c r="E714" s="59"/>
      <c r="F714" s="40"/>
      <c r="G714" s="40"/>
      <c r="H714" s="40"/>
      <c r="I714" s="40"/>
      <c r="J714" s="40"/>
      <c r="K714" s="40"/>
      <c r="L714" s="40"/>
    </row>
    <row r="715" spans="1:13" s="18" customFormat="1">
      <c r="C715" s="59"/>
      <c r="D715" s="59"/>
      <c r="E715" s="59"/>
      <c r="F715" s="40"/>
      <c r="G715" s="40"/>
      <c r="H715" s="40"/>
      <c r="I715" s="40"/>
      <c r="J715" s="40"/>
      <c r="K715" s="40"/>
      <c r="L715" s="40"/>
    </row>
    <row r="716" spans="1:13" s="18" customFormat="1">
      <c r="C716" s="59"/>
      <c r="D716" s="59"/>
      <c r="E716" s="59"/>
      <c r="F716" s="40"/>
      <c r="G716" s="40"/>
      <c r="H716" s="40"/>
      <c r="I716" s="40"/>
      <c r="J716" s="40"/>
      <c r="K716" s="40"/>
      <c r="L716" s="40"/>
    </row>
    <row r="717" spans="1:13" s="18" customFormat="1">
      <c r="C717" s="59"/>
      <c r="D717" s="59"/>
      <c r="E717" s="59"/>
      <c r="F717" s="40"/>
      <c r="G717" s="40"/>
      <c r="H717" s="40"/>
      <c r="I717" s="40"/>
      <c r="J717" s="40"/>
      <c r="K717" s="40"/>
      <c r="L717" s="40"/>
    </row>
    <row r="718" spans="1:13" s="18" customFormat="1">
      <c r="C718" s="59"/>
      <c r="D718" s="59"/>
      <c r="E718" s="59"/>
      <c r="F718" s="40"/>
      <c r="G718" s="40"/>
      <c r="H718" s="40"/>
      <c r="I718" s="40"/>
      <c r="J718" s="40"/>
      <c r="K718" s="40"/>
      <c r="L718" s="40"/>
    </row>
    <row r="719" spans="1:13" s="18" customFormat="1">
      <c r="C719" s="59"/>
      <c r="D719" s="59"/>
      <c r="E719" s="59"/>
      <c r="F719" s="40"/>
      <c r="G719" s="40"/>
      <c r="H719" s="40"/>
      <c r="I719" s="40"/>
      <c r="J719" s="40"/>
      <c r="K719" s="40"/>
      <c r="L719" s="40"/>
    </row>
    <row r="720" spans="1:13">
      <c r="A720" s="18"/>
      <c r="B720" s="18"/>
      <c r="C720" s="59"/>
      <c r="D720" s="59"/>
      <c r="E720" s="59"/>
      <c r="F720" s="40"/>
      <c r="G720" s="40"/>
      <c r="H720" s="40"/>
      <c r="I720" s="40"/>
      <c r="J720" s="40"/>
      <c r="K720" s="40"/>
      <c r="L720" s="40"/>
      <c r="M720" s="18"/>
    </row>
  </sheetData>
  <phoneticPr fontId="33" type="noConversion"/>
  <printOptions horizontalCentered="1"/>
  <pageMargins left="0.39370078740157483" right="0.39370078740157483" top="1.3779527559055118" bottom="0.39370078740157483" header="0.59055118110236227" footer="0"/>
  <pageSetup paperSize="9" scale="82" orientation="portrait" horizontalDpi="4294967292" r:id="rId2"/>
  <headerFooter alignWithMargins="0">
    <oddHeader>&amp;C&amp;14Cumplimiento del Servicio de Trenes
Línea Urquiza</oddHeader>
  </headerFooter>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4"/>
  <sheetViews>
    <sheetView showGridLines="0" tabSelected="1" zoomScale="90" zoomScaleNormal="90" workbookViewId="0">
      <selection activeCell="J4" sqref="J4"/>
    </sheetView>
  </sheetViews>
  <sheetFormatPr baseColWidth="10" defaultRowHeight="12.75"/>
  <cols>
    <col min="1" max="1" width="13" style="70" customWidth="1"/>
    <col min="2" max="9" width="11.77734375" style="70" customWidth="1"/>
    <col min="10" max="16384" width="11.5546875" style="70"/>
  </cols>
  <sheetData>
    <row r="1" spans="1:9" ht="30">
      <c r="A1" s="184" t="s">
        <v>7</v>
      </c>
    </row>
    <row r="2" spans="1:9" ht="29.25">
      <c r="A2" s="185" t="s">
        <v>78</v>
      </c>
    </row>
    <row r="3" spans="1:9" ht="18.75" customHeight="1">
      <c r="A3" s="183" t="s">
        <v>157</v>
      </c>
    </row>
    <row r="4" spans="1:9" ht="15.75" customHeight="1">
      <c r="A4" s="68"/>
      <c r="B4" s="67"/>
      <c r="C4" s="67" t="s">
        <v>110</v>
      </c>
      <c r="D4" s="68">
        <v>45586</v>
      </c>
      <c r="E4" s="68"/>
      <c r="F4" s="68"/>
      <c r="G4" s="68"/>
      <c r="H4" s="68"/>
      <c r="I4" s="68"/>
    </row>
    <row r="5" spans="1:9" ht="15.75">
      <c r="A5" s="7"/>
    </row>
    <row r="6" spans="1:9" ht="15.75">
      <c r="A6" s="7"/>
    </row>
    <row r="7" spans="1:9" ht="15.75">
      <c r="A7" s="7"/>
    </row>
    <row r="8" spans="1:9" ht="15.75">
      <c r="A8" s="7"/>
    </row>
    <row r="9" spans="1:9" ht="15.75">
      <c r="A9" s="7"/>
    </row>
    <row r="13" spans="1:9" s="74" customFormat="1" ht="51">
      <c r="A13" s="211" t="s">
        <v>123</v>
      </c>
      <c r="B13" s="74" t="s">
        <v>129</v>
      </c>
      <c r="C13" s="74" t="s">
        <v>130</v>
      </c>
      <c r="D13" s="74" t="s">
        <v>131</v>
      </c>
      <c r="E13" s="74" t="s">
        <v>132</v>
      </c>
      <c r="F13" s="74" t="s">
        <v>133</v>
      </c>
      <c r="G13" s="74" t="s">
        <v>134</v>
      </c>
      <c r="H13" s="74" t="s">
        <v>135</v>
      </c>
      <c r="I13" s="74" t="s">
        <v>136</v>
      </c>
    </row>
    <row r="14" spans="1:9" s="276" customFormat="1">
      <c r="A14" s="212">
        <v>2023</v>
      </c>
      <c r="B14" s="213">
        <v>765792</v>
      </c>
      <c r="C14" s="213">
        <v>68999</v>
      </c>
      <c r="D14" s="213">
        <v>696793</v>
      </c>
      <c r="E14" s="213">
        <v>561935</v>
      </c>
      <c r="F14" s="213">
        <v>134858</v>
      </c>
      <c r="G14" s="214">
        <v>0.73379586101709082</v>
      </c>
      <c r="H14" s="214">
        <v>0.80645902011070725</v>
      </c>
      <c r="I14" s="214">
        <v>0.90989851030044711</v>
      </c>
    </row>
    <row r="15" spans="1:9" s="276" customFormat="1">
      <c r="A15" s="215" t="s">
        <v>36</v>
      </c>
      <c r="B15" s="213">
        <v>66013</v>
      </c>
      <c r="C15" s="213">
        <v>5047</v>
      </c>
      <c r="D15" s="213">
        <v>60966</v>
      </c>
      <c r="E15" s="213">
        <v>49660</v>
      </c>
      <c r="F15" s="213">
        <v>11306</v>
      </c>
      <c r="G15" s="214">
        <v>0.75227606683532033</v>
      </c>
      <c r="H15" s="214">
        <v>0.8145523734540564</v>
      </c>
      <c r="I15" s="214">
        <v>0.92354536227712725</v>
      </c>
    </row>
    <row r="16" spans="1:9" s="276" customFormat="1">
      <c r="A16" s="215" t="s">
        <v>37</v>
      </c>
      <c r="B16" s="213">
        <v>57721</v>
      </c>
      <c r="C16" s="213">
        <v>5114</v>
      </c>
      <c r="D16" s="213">
        <v>52607</v>
      </c>
      <c r="E16" s="213">
        <v>41969</v>
      </c>
      <c r="F16" s="213">
        <v>10638</v>
      </c>
      <c r="G16" s="214">
        <v>0.72710105507527589</v>
      </c>
      <c r="H16" s="214">
        <v>0.79778356492481994</v>
      </c>
      <c r="I16" s="214">
        <v>0.91140139637220419</v>
      </c>
    </row>
    <row r="17" spans="1:9" s="276" customFormat="1">
      <c r="A17" s="215" t="s">
        <v>38</v>
      </c>
      <c r="B17" s="213">
        <v>64948</v>
      </c>
      <c r="C17" s="213">
        <v>5895</v>
      </c>
      <c r="D17" s="213">
        <v>59053</v>
      </c>
      <c r="E17" s="213">
        <v>45060</v>
      </c>
      <c r="F17" s="213">
        <v>13993</v>
      </c>
      <c r="G17" s="214">
        <v>0.69378579786906447</v>
      </c>
      <c r="H17" s="214">
        <v>0.7630433678221259</v>
      </c>
      <c r="I17" s="214">
        <v>0.90923508037198986</v>
      </c>
    </row>
    <row r="18" spans="1:9" s="276" customFormat="1">
      <c r="A18" s="215" t="s">
        <v>39</v>
      </c>
      <c r="B18" s="213">
        <v>61015</v>
      </c>
      <c r="C18" s="213">
        <v>4949</v>
      </c>
      <c r="D18" s="213">
        <v>56066</v>
      </c>
      <c r="E18" s="213">
        <v>43627</v>
      </c>
      <c r="F18" s="213">
        <v>12439</v>
      </c>
      <c r="G18" s="214">
        <v>0.71502089650086043</v>
      </c>
      <c r="H18" s="214">
        <v>0.77813648200335317</v>
      </c>
      <c r="I18" s="214">
        <v>0.9188887978365976</v>
      </c>
    </row>
    <row r="19" spans="1:9" s="276" customFormat="1">
      <c r="A19" s="215" t="s">
        <v>40</v>
      </c>
      <c r="B19" s="213">
        <v>63877</v>
      </c>
      <c r="C19" s="213">
        <v>5858</v>
      </c>
      <c r="D19" s="213">
        <v>58019</v>
      </c>
      <c r="E19" s="213">
        <v>44936</v>
      </c>
      <c r="F19" s="213">
        <v>13083</v>
      </c>
      <c r="G19" s="214">
        <v>0.70347699484947634</v>
      </c>
      <c r="H19" s="214">
        <v>0.77450490356607316</v>
      </c>
      <c r="I19" s="214">
        <v>0.90829249964776049</v>
      </c>
    </row>
    <row r="20" spans="1:9" s="276" customFormat="1">
      <c r="A20" s="215" t="s">
        <v>41</v>
      </c>
      <c r="B20" s="213">
        <v>61621</v>
      </c>
      <c r="C20" s="213">
        <v>5934</v>
      </c>
      <c r="D20" s="213">
        <v>55687</v>
      </c>
      <c r="E20" s="213">
        <v>42505</v>
      </c>
      <c r="F20" s="213">
        <v>13182</v>
      </c>
      <c r="G20" s="214">
        <v>0.68978108112494119</v>
      </c>
      <c r="H20" s="214">
        <v>0.76328406989063879</v>
      </c>
      <c r="I20" s="214">
        <v>0.90370166014832609</v>
      </c>
    </row>
    <row r="21" spans="1:9" s="276" customFormat="1">
      <c r="A21" s="215" t="s">
        <v>42</v>
      </c>
      <c r="B21" s="213">
        <v>64288</v>
      </c>
      <c r="C21" s="213">
        <v>5518</v>
      </c>
      <c r="D21" s="213">
        <v>58770</v>
      </c>
      <c r="E21" s="213">
        <v>46540</v>
      </c>
      <c r="F21" s="213">
        <v>12230</v>
      </c>
      <c r="G21" s="214">
        <v>0.72392981582877058</v>
      </c>
      <c r="H21" s="214">
        <v>0.7919006295729113</v>
      </c>
      <c r="I21" s="214">
        <v>0.91416749626679938</v>
      </c>
    </row>
    <row r="22" spans="1:9" s="276" customFormat="1">
      <c r="A22" s="215" t="s">
        <v>43</v>
      </c>
      <c r="B22" s="213">
        <v>66320</v>
      </c>
      <c r="C22" s="213">
        <v>6381</v>
      </c>
      <c r="D22" s="213">
        <v>59939</v>
      </c>
      <c r="E22" s="213">
        <v>47599</v>
      </c>
      <c r="F22" s="213">
        <v>12340</v>
      </c>
      <c r="G22" s="214">
        <v>0.71771712907117013</v>
      </c>
      <c r="H22" s="214">
        <v>0.79412402609319477</v>
      </c>
      <c r="I22" s="214">
        <v>0.90378468033775639</v>
      </c>
    </row>
    <row r="23" spans="1:9" s="276" customFormat="1">
      <c r="A23" s="215" t="s">
        <v>44</v>
      </c>
      <c r="B23" s="213">
        <v>64469</v>
      </c>
      <c r="C23" s="213">
        <v>4976</v>
      </c>
      <c r="D23" s="213">
        <v>59493</v>
      </c>
      <c r="E23" s="213">
        <v>50468</v>
      </c>
      <c r="F23" s="213">
        <v>9025</v>
      </c>
      <c r="G23" s="214">
        <v>0.78282585428655638</v>
      </c>
      <c r="H23" s="214">
        <v>0.84830148084648616</v>
      </c>
      <c r="I23" s="214">
        <v>0.92281561680807833</v>
      </c>
    </row>
    <row r="24" spans="1:9" s="276" customFormat="1">
      <c r="A24" s="215" t="s">
        <v>45</v>
      </c>
      <c r="B24" s="213">
        <v>64912</v>
      </c>
      <c r="C24" s="213">
        <v>5803</v>
      </c>
      <c r="D24" s="213">
        <v>59109</v>
      </c>
      <c r="E24" s="213">
        <v>50891</v>
      </c>
      <c r="F24" s="213">
        <v>8218</v>
      </c>
      <c r="G24" s="214">
        <v>0.78399987675622385</v>
      </c>
      <c r="H24" s="214">
        <v>0.8609687188076266</v>
      </c>
      <c r="I24" s="214">
        <v>0.91060204584668469</v>
      </c>
    </row>
    <row r="25" spans="1:9" s="276" customFormat="1">
      <c r="A25" s="215" t="s">
        <v>46</v>
      </c>
      <c r="B25" s="213">
        <v>64934</v>
      </c>
      <c r="C25" s="213">
        <v>5357</v>
      </c>
      <c r="D25" s="213">
        <v>59577</v>
      </c>
      <c r="E25" s="213">
        <v>51098</v>
      </c>
      <c r="F25" s="213">
        <v>8479</v>
      </c>
      <c r="G25" s="214">
        <v>0.78692210552253061</v>
      </c>
      <c r="H25" s="214">
        <v>0.85767997717239874</v>
      </c>
      <c r="I25" s="214">
        <v>0.91750084701389101</v>
      </c>
    </row>
    <row r="26" spans="1:9" s="276" customFormat="1">
      <c r="A26" s="215" t="s">
        <v>47</v>
      </c>
      <c r="B26" s="213">
        <v>65674</v>
      </c>
      <c r="C26" s="213">
        <v>8167</v>
      </c>
      <c r="D26" s="213">
        <v>57507</v>
      </c>
      <c r="E26" s="213">
        <v>47582</v>
      </c>
      <c r="F26" s="213">
        <v>9925</v>
      </c>
      <c r="G26" s="214">
        <v>0.72451807412370195</v>
      </c>
      <c r="H26" s="214">
        <v>0.827412315022519</v>
      </c>
      <c r="I26" s="214">
        <v>0.87564332917136156</v>
      </c>
    </row>
    <row r="27" spans="1:9" s="276" customFormat="1">
      <c r="A27" s="212">
        <v>2024</v>
      </c>
      <c r="B27" s="213">
        <v>550792</v>
      </c>
      <c r="C27" s="213">
        <v>38171</v>
      </c>
      <c r="D27" s="213">
        <v>512621</v>
      </c>
      <c r="E27" s="213">
        <v>397247</v>
      </c>
      <c r="F27" s="213">
        <v>115374</v>
      </c>
      <c r="G27" s="214">
        <v>0.72122870339438483</v>
      </c>
      <c r="H27" s="214">
        <v>0.77493313773723671</v>
      </c>
      <c r="I27" s="214">
        <v>0.93069797673168819</v>
      </c>
    </row>
    <row r="28" spans="1:9" s="276" customFormat="1">
      <c r="A28" s="215" t="s">
        <v>36</v>
      </c>
      <c r="B28" s="213">
        <v>65641</v>
      </c>
      <c r="C28" s="213">
        <v>4496</v>
      </c>
      <c r="D28" s="213">
        <v>61145</v>
      </c>
      <c r="E28" s="213">
        <v>52957</v>
      </c>
      <c r="F28" s="213">
        <v>8188</v>
      </c>
      <c r="G28" s="214">
        <v>0.80676711201840312</v>
      </c>
      <c r="H28" s="214">
        <v>0.86608880529887966</v>
      </c>
      <c r="I28" s="214">
        <v>0.9315062232446184</v>
      </c>
    </row>
    <row r="29" spans="1:9" s="276" customFormat="1">
      <c r="A29" s="215" t="s">
        <v>37</v>
      </c>
      <c r="B29" s="213">
        <v>58799</v>
      </c>
      <c r="C29" s="213">
        <v>6223</v>
      </c>
      <c r="D29" s="213">
        <v>52576</v>
      </c>
      <c r="E29" s="213">
        <v>43860</v>
      </c>
      <c r="F29" s="213">
        <v>8716</v>
      </c>
      <c r="G29" s="214">
        <v>0.74593105324920495</v>
      </c>
      <c r="H29" s="214">
        <v>0.83422093730979918</v>
      </c>
      <c r="I29" s="214">
        <v>0.89416486674943452</v>
      </c>
    </row>
    <row r="30" spans="1:9" s="276" customFormat="1">
      <c r="A30" s="215" t="s">
        <v>38</v>
      </c>
      <c r="B30" s="213">
        <v>61911</v>
      </c>
      <c r="C30" s="213">
        <v>3714</v>
      </c>
      <c r="D30" s="213">
        <v>58197</v>
      </c>
      <c r="E30" s="213">
        <v>46196</v>
      </c>
      <c r="F30" s="213">
        <v>12001</v>
      </c>
      <c r="G30" s="214">
        <v>0.74616788615916396</v>
      </c>
      <c r="H30" s="214">
        <v>0.79378662130350364</v>
      </c>
      <c r="I30" s="214">
        <v>0.94001066046421478</v>
      </c>
    </row>
    <row r="31" spans="1:9" s="276" customFormat="1">
      <c r="A31" s="215" t="s">
        <v>39</v>
      </c>
      <c r="B31" s="213">
        <v>60046</v>
      </c>
      <c r="C31" s="213">
        <v>3771</v>
      </c>
      <c r="D31" s="213">
        <v>56275</v>
      </c>
      <c r="E31" s="213">
        <v>42106</v>
      </c>
      <c r="F31" s="213">
        <v>14169</v>
      </c>
      <c r="G31" s="214">
        <v>0.70122905772241284</v>
      </c>
      <c r="H31" s="214">
        <v>0.74821856952465571</v>
      </c>
      <c r="I31" s="214">
        <v>0.93719814808646706</v>
      </c>
    </row>
    <row r="32" spans="1:9" s="276" customFormat="1">
      <c r="A32" s="215" t="s">
        <v>40</v>
      </c>
      <c r="B32" s="213">
        <v>60263</v>
      </c>
      <c r="C32" s="213">
        <v>6207</v>
      </c>
      <c r="D32" s="213">
        <v>54056</v>
      </c>
      <c r="E32" s="213">
        <v>36754</v>
      </c>
      <c r="F32" s="213">
        <v>17302</v>
      </c>
      <c r="G32" s="214">
        <v>0.609893301030483</v>
      </c>
      <c r="H32" s="214">
        <v>0.67992452271718218</v>
      </c>
      <c r="I32" s="214">
        <v>0.89700147685976472</v>
      </c>
    </row>
    <row r="33" spans="1:9" s="276" customFormat="1">
      <c r="A33" s="215" t="s">
        <v>41</v>
      </c>
      <c r="B33" s="213">
        <v>57695</v>
      </c>
      <c r="C33" s="213">
        <v>3120</v>
      </c>
      <c r="D33" s="213">
        <v>54575</v>
      </c>
      <c r="E33" s="213">
        <v>40174</v>
      </c>
      <c r="F33" s="213">
        <v>14401</v>
      </c>
      <c r="G33" s="214">
        <v>0.69631683854753446</v>
      </c>
      <c r="H33" s="214">
        <v>0.73612459917544659</v>
      </c>
      <c r="I33" s="214">
        <v>0.94592252361556461</v>
      </c>
    </row>
    <row r="34" spans="1:9" s="276" customFormat="1">
      <c r="A34" s="215" t="s">
        <v>42</v>
      </c>
      <c r="B34" s="213">
        <v>62540</v>
      </c>
      <c r="C34" s="213">
        <v>4494</v>
      </c>
      <c r="D34" s="213">
        <v>58046</v>
      </c>
      <c r="E34" s="213">
        <v>42565</v>
      </c>
      <c r="F34" s="213">
        <v>15481</v>
      </c>
      <c r="G34" s="214">
        <v>0.68060441317556764</v>
      </c>
      <c r="H34" s="214">
        <v>0.73329772938703786</v>
      </c>
      <c r="I34" s="214">
        <v>0.92814198912695878</v>
      </c>
    </row>
    <row r="35" spans="1:9" s="276" customFormat="1">
      <c r="A35" s="215" t="s">
        <v>43</v>
      </c>
      <c r="B35" s="213">
        <v>63028</v>
      </c>
      <c r="C35" s="213">
        <v>3541</v>
      </c>
      <c r="D35" s="213">
        <v>59487</v>
      </c>
      <c r="E35" s="213">
        <v>43371</v>
      </c>
      <c r="F35" s="213">
        <v>16116</v>
      </c>
      <c r="G35" s="214">
        <v>0.68812273910008248</v>
      </c>
      <c r="H35" s="214">
        <v>0.72908366533864544</v>
      </c>
      <c r="I35" s="214">
        <v>0.94381862029574159</v>
      </c>
    </row>
    <row r="36" spans="1:9" s="276" customFormat="1">
      <c r="A36" s="215" t="s">
        <v>44</v>
      </c>
      <c r="B36" s="213">
        <v>60869</v>
      </c>
      <c r="C36" s="213">
        <v>2605</v>
      </c>
      <c r="D36" s="213">
        <v>58264</v>
      </c>
      <c r="E36" s="213">
        <v>49264</v>
      </c>
      <c r="F36" s="213">
        <v>9000</v>
      </c>
      <c r="G36" s="214">
        <v>0.80934465820039758</v>
      </c>
      <c r="H36" s="214">
        <v>0.84553068790333652</v>
      </c>
      <c r="I36" s="214">
        <v>0.95720317402947308</v>
      </c>
    </row>
    <row r="37" spans="1:9" s="276" customFormat="1"/>
    <row r="38" spans="1:9" s="276" customFormat="1"/>
    <row r="39" spans="1:9" s="276" customFormat="1"/>
    <row r="40" spans="1:9" s="276" customFormat="1"/>
    <row r="41" spans="1:9" s="276" customFormat="1"/>
    <row r="42" spans="1:9" s="276" customFormat="1"/>
    <row r="43" spans="1:9" s="276" customFormat="1"/>
    <row r="44" spans="1:9" s="276" customFormat="1"/>
    <row r="45" spans="1:9" s="276" customFormat="1"/>
    <row r="46" spans="1:9" s="276" customFormat="1"/>
    <row r="47" spans="1:9" s="276" customFormat="1"/>
    <row r="48" spans="1:9" s="276" customFormat="1"/>
    <row r="49" spans="1:9" s="276" customFormat="1"/>
    <row r="50" spans="1:9" s="276" customFormat="1"/>
    <row r="51" spans="1:9" s="276" customFormat="1"/>
    <row r="52" spans="1:9" s="276" customFormat="1"/>
    <row r="53" spans="1:9" ht="15">
      <c r="A53"/>
      <c r="B53"/>
      <c r="C53"/>
      <c r="D53"/>
      <c r="E53"/>
      <c r="F53"/>
      <c r="G53"/>
      <c r="H53"/>
      <c r="I53"/>
    </row>
    <row r="54" spans="1:9" ht="15">
      <c r="A54"/>
      <c r="B54"/>
      <c r="C54"/>
      <c r="D54"/>
      <c r="E54"/>
      <c r="F54"/>
      <c r="G54"/>
      <c r="H54"/>
      <c r="I54"/>
    </row>
    <row r="55" spans="1:9" ht="15">
      <c r="A55"/>
      <c r="B55"/>
      <c r="C55"/>
      <c r="D55"/>
      <c r="E55"/>
      <c r="F55"/>
      <c r="G55"/>
      <c r="H55"/>
      <c r="I55"/>
    </row>
    <row r="56" spans="1:9" ht="15">
      <c r="A56"/>
      <c r="B56"/>
      <c r="C56"/>
      <c r="D56"/>
      <c r="E56"/>
      <c r="F56"/>
      <c r="G56"/>
      <c r="H56"/>
      <c r="I56"/>
    </row>
    <row r="57" spans="1:9" ht="15">
      <c r="A57"/>
      <c r="B57"/>
      <c r="C57"/>
      <c r="D57"/>
      <c r="E57"/>
      <c r="F57"/>
      <c r="G57"/>
      <c r="H57"/>
      <c r="I57"/>
    </row>
    <row r="58" spans="1:9" ht="15">
      <c r="A58"/>
      <c r="B58"/>
      <c r="C58"/>
      <c r="D58"/>
      <c r="E58"/>
      <c r="F58"/>
      <c r="G58"/>
      <c r="H58"/>
      <c r="I58"/>
    </row>
    <row r="59" spans="1:9" ht="15">
      <c r="A59"/>
      <c r="B59"/>
      <c r="C59"/>
      <c r="D59"/>
      <c r="E59"/>
      <c r="F59"/>
      <c r="G59"/>
      <c r="H59"/>
      <c r="I59"/>
    </row>
    <row r="60" spans="1:9" ht="15">
      <c r="A60"/>
      <c r="B60"/>
      <c r="C60"/>
      <c r="D60"/>
      <c r="E60"/>
      <c r="F60"/>
      <c r="G60"/>
      <c r="H60"/>
      <c r="I60"/>
    </row>
    <row r="61" spans="1:9" ht="15">
      <c r="A61"/>
      <c r="B61"/>
      <c r="C61"/>
      <c r="D61"/>
      <c r="E61"/>
      <c r="F61"/>
      <c r="G61"/>
      <c r="H61"/>
      <c r="I61"/>
    </row>
    <row r="62" spans="1:9" ht="15">
      <c r="A62"/>
      <c r="B62"/>
      <c r="C62"/>
      <c r="D62"/>
      <c r="E62"/>
      <c r="F62"/>
      <c r="G62"/>
      <c r="H62"/>
      <c r="I62"/>
    </row>
    <row r="63" spans="1:9" ht="15">
      <c r="A63"/>
      <c r="B63"/>
      <c r="C63"/>
      <c r="D63"/>
      <c r="E63"/>
      <c r="F63"/>
      <c r="G63"/>
      <c r="H63"/>
      <c r="I63"/>
    </row>
    <row r="64" spans="1:9" ht="15">
      <c r="A64"/>
      <c r="B64"/>
      <c r="C64"/>
      <c r="D64"/>
      <c r="E64"/>
      <c r="F64"/>
      <c r="G64"/>
      <c r="H64"/>
      <c r="I64"/>
    </row>
    <row r="65" spans="1:9" ht="15">
      <c r="A65"/>
      <c r="B65"/>
      <c r="C65"/>
      <c r="D65"/>
      <c r="E65"/>
      <c r="F65"/>
      <c r="G65"/>
      <c r="H65"/>
      <c r="I65"/>
    </row>
    <row r="66" spans="1:9" ht="15">
      <c r="A66"/>
      <c r="B66"/>
      <c r="C66"/>
      <c r="D66"/>
      <c r="E66"/>
      <c r="F66"/>
      <c r="G66"/>
      <c r="H66"/>
      <c r="I66"/>
    </row>
    <row r="67" spans="1:9" ht="15">
      <c r="A67"/>
      <c r="B67"/>
      <c r="C67"/>
      <c r="D67"/>
      <c r="E67"/>
      <c r="F67"/>
      <c r="G67"/>
      <c r="H67"/>
      <c r="I67"/>
    </row>
    <row r="68" spans="1:9" ht="15">
      <c r="A68"/>
      <c r="B68"/>
      <c r="C68"/>
      <c r="D68"/>
      <c r="E68"/>
      <c r="F68"/>
      <c r="G68"/>
      <c r="H68"/>
      <c r="I68"/>
    </row>
    <row r="69" spans="1:9" ht="15">
      <c r="A69"/>
      <c r="B69"/>
      <c r="C69"/>
      <c r="D69"/>
      <c r="E69"/>
      <c r="F69"/>
      <c r="G69"/>
      <c r="H69"/>
      <c r="I69"/>
    </row>
    <row r="70" spans="1:9" ht="15">
      <c r="A70"/>
      <c r="B70"/>
      <c r="C70"/>
      <c r="D70"/>
      <c r="E70"/>
      <c r="F70"/>
      <c r="G70"/>
      <c r="H70"/>
      <c r="I70"/>
    </row>
    <row r="71" spans="1:9" ht="15">
      <c r="A71"/>
      <c r="B71"/>
      <c r="C71"/>
      <c r="D71"/>
      <c r="E71"/>
      <c r="F71"/>
      <c r="G71"/>
      <c r="H71"/>
      <c r="I71"/>
    </row>
    <row r="72" spans="1:9" ht="15">
      <c r="A72"/>
      <c r="B72"/>
      <c r="C72"/>
      <c r="D72"/>
      <c r="E72"/>
      <c r="F72"/>
      <c r="G72"/>
      <c r="H72"/>
      <c r="I72"/>
    </row>
    <row r="73" spans="1:9" ht="15">
      <c r="A73"/>
      <c r="B73"/>
      <c r="C73"/>
      <c r="D73"/>
      <c r="E73"/>
      <c r="F73"/>
      <c r="G73"/>
      <c r="H73"/>
      <c r="I73"/>
    </row>
    <row r="74" spans="1:9" ht="15">
      <c r="A74"/>
      <c r="B74"/>
      <c r="C74"/>
      <c r="D74"/>
      <c r="E74"/>
      <c r="F74"/>
      <c r="G74"/>
      <c r="H74"/>
      <c r="I74"/>
    </row>
    <row r="75" spans="1:9" ht="15">
      <c r="A75"/>
      <c r="B75"/>
      <c r="C75"/>
      <c r="D75"/>
      <c r="E75"/>
      <c r="F75"/>
      <c r="G75"/>
      <c r="H75"/>
      <c r="I75"/>
    </row>
    <row r="76" spans="1:9" ht="15">
      <c r="A76"/>
      <c r="B76"/>
      <c r="C76"/>
      <c r="D76"/>
      <c r="E76"/>
      <c r="F76"/>
      <c r="G76"/>
      <c r="H76"/>
      <c r="I76"/>
    </row>
    <row r="77" spans="1:9" ht="15">
      <c r="A77"/>
      <c r="B77"/>
      <c r="C77"/>
      <c r="D77"/>
      <c r="E77"/>
      <c r="F77"/>
      <c r="G77"/>
      <c r="H77"/>
      <c r="I77"/>
    </row>
    <row r="78" spans="1:9" ht="15">
      <c r="A78"/>
      <c r="B78"/>
      <c r="C78"/>
      <c r="D78"/>
      <c r="E78"/>
      <c r="F78"/>
      <c r="G78"/>
      <c r="H78"/>
      <c r="I78"/>
    </row>
    <row r="79" spans="1:9" ht="15">
      <c r="A79"/>
      <c r="B79"/>
      <c r="C79"/>
      <c r="D79"/>
      <c r="E79"/>
      <c r="F79"/>
      <c r="G79"/>
      <c r="H79"/>
      <c r="I79"/>
    </row>
    <row r="80" spans="1:9" ht="15">
      <c r="A80"/>
      <c r="B80"/>
      <c r="C80"/>
      <c r="D80"/>
      <c r="E80"/>
      <c r="F80"/>
      <c r="G80"/>
      <c r="H80"/>
      <c r="I80"/>
    </row>
    <row r="81" spans="1:9" ht="15">
      <c r="A81"/>
      <c r="B81"/>
      <c r="C81"/>
      <c r="D81"/>
      <c r="E81"/>
      <c r="F81"/>
      <c r="G81"/>
      <c r="H81"/>
      <c r="I81"/>
    </row>
    <row r="82" spans="1:9" ht="15">
      <c r="A82"/>
      <c r="B82"/>
      <c r="C82"/>
      <c r="D82"/>
      <c r="E82"/>
      <c r="F82"/>
      <c r="G82"/>
      <c r="H82"/>
      <c r="I82"/>
    </row>
    <row r="83" spans="1:9" ht="15">
      <c r="A83"/>
      <c r="B83"/>
      <c r="C83"/>
      <c r="D83"/>
      <c r="E83"/>
      <c r="F83"/>
      <c r="G83"/>
      <c r="H83"/>
      <c r="I83"/>
    </row>
    <row r="84" spans="1:9" ht="15">
      <c r="A84"/>
      <c r="B84"/>
      <c r="C84"/>
      <c r="D84"/>
      <c r="E84"/>
      <c r="F84"/>
      <c r="G84"/>
      <c r="H84"/>
      <c r="I84"/>
    </row>
    <row r="85" spans="1:9" ht="15">
      <c r="A85"/>
      <c r="B85"/>
      <c r="C85"/>
      <c r="D85"/>
      <c r="E85"/>
      <c r="F85"/>
      <c r="G85"/>
      <c r="H85"/>
      <c r="I85"/>
    </row>
    <row r="86" spans="1:9" ht="15">
      <c r="A86"/>
      <c r="B86"/>
      <c r="C86"/>
      <c r="D86"/>
      <c r="E86"/>
      <c r="F86"/>
      <c r="G86"/>
      <c r="H86"/>
      <c r="I86"/>
    </row>
    <row r="87" spans="1:9" ht="15">
      <c r="A87"/>
      <c r="B87"/>
      <c r="C87"/>
      <c r="D87"/>
      <c r="E87"/>
      <c r="F87"/>
      <c r="G87"/>
      <c r="H87"/>
      <c r="I87"/>
    </row>
    <row r="88" spans="1:9" ht="15">
      <c r="A88"/>
      <c r="B88"/>
      <c r="C88"/>
      <c r="D88"/>
      <c r="E88"/>
      <c r="F88"/>
      <c r="G88"/>
      <c r="H88"/>
      <c r="I88"/>
    </row>
    <row r="89" spans="1:9" ht="15">
      <c r="A89"/>
      <c r="B89"/>
      <c r="C89"/>
      <c r="D89"/>
      <c r="E89"/>
      <c r="F89"/>
      <c r="G89"/>
      <c r="H89"/>
      <c r="I89"/>
    </row>
    <row r="90" spans="1:9" ht="15">
      <c r="A90"/>
      <c r="B90"/>
      <c r="C90"/>
      <c r="D90"/>
      <c r="E90"/>
      <c r="F90"/>
      <c r="G90"/>
      <c r="H90"/>
      <c r="I90"/>
    </row>
    <row r="91" spans="1:9" ht="15">
      <c r="A91"/>
      <c r="B91"/>
      <c r="C91"/>
      <c r="D91"/>
      <c r="E91"/>
      <c r="F91"/>
      <c r="G91"/>
      <c r="H91"/>
      <c r="I91"/>
    </row>
    <row r="92" spans="1:9" ht="15">
      <c r="A92"/>
      <c r="B92"/>
      <c r="C92"/>
      <c r="D92"/>
      <c r="E92"/>
      <c r="F92"/>
      <c r="G92"/>
      <c r="H92"/>
      <c r="I92"/>
    </row>
    <row r="93" spans="1:9" ht="15">
      <c r="A93"/>
      <c r="B93"/>
      <c r="C93"/>
      <c r="D93"/>
      <c r="E93"/>
      <c r="F93"/>
      <c r="G93"/>
      <c r="H93"/>
      <c r="I93"/>
    </row>
    <row r="94" spans="1:9" ht="15">
      <c r="A94"/>
      <c r="B94"/>
      <c r="C94"/>
      <c r="D94"/>
      <c r="E94"/>
      <c r="F94"/>
      <c r="G94"/>
      <c r="H94"/>
      <c r="I94"/>
    </row>
    <row r="95" spans="1:9" ht="15">
      <c r="A95"/>
      <c r="B95"/>
      <c r="C95"/>
      <c r="D95"/>
      <c r="E95"/>
      <c r="F95"/>
      <c r="G95"/>
      <c r="H95"/>
      <c r="I95"/>
    </row>
    <row r="96" spans="1:9" ht="15">
      <c r="A96"/>
      <c r="B96"/>
      <c r="C96"/>
      <c r="D96"/>
      <c r="E96"/>
      <c r="F96"/>
      <c r="G96"/>
      <c r="H96"/>
      <c r="I96"/>
    </row>
    <row r="97" spans="1:9" ht="15">
      <c r="A97"/>
      <c r="B97"/>
      <c r="C97"/>
      <c r="D97"/>
      <c r="E97"/>
      <c r="F97"/>
      <c r="G97"/>
      <c r="H97"/>
      <c r="I97"/>
    </row>
    <row r="98" spans="1:9" ht="15">
      <c r="A98"/>
      <c r="B98"/>
      <c r="C98"/>
      <c r="D98"/>
      <c r="E98"/>
      <c r="F98"/>
      <c r="G98"/>
      <c r="H98"/>
      <c r="I98"/>
    </row>
    <row r="99" spans="1:9" ht="15">
      <c r="A99"/>
      <c r="B99"/>
      <c r="C99"/>
      <c r="D99"/>
      <c r="E99"/>
      <c r="F99"/>
      <c r="G99"/>
      <c r="H99"/>
      <c r="I99"/>
    </row>
    <row r="100" spans="1:9" ht="15">
      <c r="A100"/>
      <c r="B100"/>
      <c r="C100"/>
      <c r="D100"/>
      <c r="E100"/>
      <c r="F100"/>
      <c r="G100"/>
      <c r="H100"/>
      <c r="I100"/>
    </row>
    <row r="101" spans="1:9" ht="15">
      <c r="A101"/>
      <c r="B101"/>
      <c r="C101"/>
      <c r="D101"/>
      <c r="E101"/>
      <c r="F101"/>
      <c r="G101"/>
      <c r="H101"/>
      <c r="I101"/>
    </row>
    <row r="102" spans="1:9" ht="15">
      <c r="A102"/>
      <c r="B102"/>
      <c r="C102"/>
      <c r="D102"/>
      <c r="E102"/>
      <c r="F102"/>
      <c r="G102"/>
      <c r="H102"/>
      <c r="I102"/>
    </row>
    <row r="103" spans="1:9" ht="15">
      <c r="A103"/>
      <c r="B103"/>
      <c r="C103"/>
      <c r="D103"/>
      <c r="E103"/>
      <c r="F103"/>
      <c r="G103"/>
      <c r="H103"/>
      <c r="I103"/>
    </row>
    <row r="104" spans="1:9" ht="15">
      <c r="A104"/>
      <c r="B104"/>
      <c r="C104"/>
      <c r="D104"/>
      <c r="E104"/>
      <c r="F104"/>
      <c r="G104"/>
      <c r="H104"/>
      <c r="I104"/>
    </row>
    <row r="105" spans="1:9" ht="15">
      <c r="A105"/>
      <c r="B105"/>
      <c r="C105"/>
      <c r="D105"/>
      <c r="E105"/>
      <c r="F105"/>
      <c r="G105"/>
      <c r="H105"/>
      <c r="I105"/>
    </row>
    <row r="106" spans="1:9" ht="15">
      <c r="A106"/>
      <c r="B106"/>
      <c r="C106"/>
      <c r="D106"/>
      <c r="E106"/>
      <c r="F106"/>
      <c r="G106"/>
      <c r="H106"/>
      <c r="I106"/>
    </row>
    <row r="107" spans="1:9" ht="15">
      <c r="A107"/>
      <c r="B107"/>
      <c r="C107"/>
      <c r="D107"/>
      <c r="E107"/>
      <c r="F107"/>
      <c r="G107"/>
      <c r="H107"/>
      <c r="I107"/>
    </row>
    <row r="108" spans="1:9" ht="15">
      <c r="A108"/>
      <c r="B108"/>
      <c r="C108"/>
      <c r="D108"/>
      <c r="E108"/>
      <c r="F108"/>
      <c r="G108"/>
      <c r="H108"/>
      <c r="I108"/>
    </row>
    <row r="109" spans="1:9" ht="15">
      <c r="A109"/>
      <c r="B109"/>
      <c r="C109"/>
      <c r="D109"/>
      <c r="E109"/>
      <c r="F109"/>
      <c r="G109"/>
      <c r="H109"/>
      <c r="I109"/>
    </row>
    <row r="110" spans="1:9" ht="15">
      <c r="A110"/>
      <c r="B110"/>
      <c r="C110"/>
      <c r="D110"/>
      <c r="E110"/>
      <c r="F110"/>
      <c r="G110"/>
      <c r="H110"/>
      <c r="I110"/>
    </row>
    <row r="111" spans="1:9" ht="15">
      <c r="A111"/>
      <c r="B111"/>
      <c r="C111"/>
      <c r="D111"/>
      <c r="E111"/>
      <c r="F111"/>
      <c r="G111"/>
      <c r="H111"/>
      <c r="I111"/>
    </row>
    <row r="112" spans="1:9" ht="15">
      <c r="A112"/>
      <c r="B112"/>
      <c r="C112"/>
      <c r="D112"/>
      <c r="E112"/>
      <c r="F112"/>
      <c r="G112"/>
      <c r="H112"/>
      <c r="I112"/>
    </row>
    <row r="113" spans="1:9" ht="15">
      <c r="A113"/>
      <c r="B113"/>
      <c r="C113"/>
      <c r="D113"/>
      <c r="E113"/>
      <c r="F113"/>
      <c r="G113"/>
      <c r="H113"/>
      <c r="I113"/>
    </row>
    <row r="114" spans="1:9" ht="15">
      <c r="A114"/>
      <c r="B114"/>
      <c r="C114"/>
      <c r="D114"/>
      <c r="E114"/>
      <c r="F114"/>
      <c r="G114"/>
      <c r="H114"/>
      <c r="I114"/>
    </row>
    <row r="115" spans="1:9" ht="15">
      <c r="A115"/>
      <c r="B115"/>
      <c r="C115"/>
      <c r="D115"/>
      <c r="E115"/>
      <c r="F115"/>
      <c r="G115"/>
      <c r="H115"/>
      <c r="I115"/>
    </row>
    <row r="116" spans="1:9" ht="15">
      <c r="A116"/>
      <c r="B116"/>
      <c r="C116"/>
      <c r="D116"/>
      <c r="E116"/>
      <c r="F116"/>
      <c r="G116"/>
      <c r="H116"/>
      <c r="I116"/>
    </row>
    <row r="117" spans="1:9" ht="15">
      <c r="A117"/>
      <c r="B117"/>
      <c r="C117"/>
      <c r="D117"/>
      <c r="E117"/>
      <c r="F117"/>
      <c r="G117"/>
      <c r="H117"/>
      <c r="I117"/>
    </row>
    <row r="118" spans="1:9" ht="15">
      <c r="A118"/>
      <c r="B118"/>
      <c r="C118"/>
      <c r="D118"/>
      <c r="E118"/>
      <c r="F118"/>
      <c r="G118"/>
      <c r="H118"/>
      <c r="I118"/>
    </row>
    <row r="119" spans="1:9" ht="15">
      <c r="A119"/>
      <c r="B119"/>
      <c r="C119"/>
      <c r="D119"/>
      <c r="E119"/>
      <c r="F119"/>
      <c r="G119"/>
      <c r="H119"/>
      <c r="I119"/>
    </row>
    <row r="120" spans="1:9" ht="15">
      <c r="A120"/>
      <c r="B120"/>
      <c r="C120"/>
      <c r="D120"/>
      <c r="E120"/>
      <c r="F120"/>
      <c r="G120"/>
      <c r="H120"/>
      <c r="I120"/>
    </row>
    <row r="121" spans="1:9" ht="15">
      <c r="A121"/>
      <c r="B121"/>
      <c r="C121"/>
      <c r="D121"/>
      <c r="E121"/>
      <c r="F121"/>
      <c r="G121"/>
      <c r="H121"/>
      <c r="I121"/>
    </row>
    <row r="122" spans="1:9" ht="15">
      <c r="A122"/>
      <c r="B122"/>
      <c r="C122"/>
      <c r="D122"/>
      <c r="E122"/>
      <c r="F122"/>
      <c r="G122"/>
      <c r="H122"/>
      <c r="I122"/>
    </row>
    <row r="123" spans="1:9" ht="15">
      <c r="A123"/>
      <c r="B123"/>
      <c r="C123"/>
      <c r="D123"/>
      <c r="E123"/>
      <c r="F123"/>
      <c r="G123"/>
      <c r="H123"/>
      <c r="I123"/>
    </row>
    <row r="124" spans="1:9" ht="15">
      <c r="A124"/>
      <c r="B124"/>
      <c r="C124"/>
      <c r="D124"/>
      <c r="E124"/>
      <c r="F124"/>
      <c r="G124"/>
      <c r="H124"/>
      <c r="I124"/>
    </row>
    <row r="125" spans="1:9" ht="15">
      <c r="A125"/>
      <c r="B125"/>
      <c r="C125"/>
      <c r="D125"/>
      <c r="E125"/>
      <c r="F125"/>
      <c r="G125"/>
      <c r="H125"/>
      <c r="I125"/>
    </row>
    <row r="126" spans="1:9" ht="15">
      <c r="A126"/>
      <c r="B126"/>
      <c r="C126"/>
      <c r="D126"/>
      <c r="E126"/>
      <c r="F126"/>
      <c r="G126"/>
      <c r="H126"/>
      <c r="I126"/>
    </row>
    <row r="127" spans="1:9" ht="15">
      <c r="A127"/>
      <c r="B127"/>
      <c r="C127"/>
      <c r="D127"/>
      <c r="E127"/>
      <c r="F127"/>
      <c r="G127"/>
      <c r="H127"/>
      <c r="I127"/>
    </row>
    <row r="128" spans="1:9" ht="15">
      <c r="A128"/>
      <c r="B128"/>
      <c r="C128"/>
      <c r="D128"/>
      <c r="E128"/>
      <c r="F128"/>
      <c r="G128"/>
      <c r="H128"/>
      <c r="I128"/>
    </row>
    <row r="129" spans="1:9" ht="15">
      <c r="A129"/>
      <c r="B129"/>
      <c r="C129"/>
      <c r="D129"/>
      <c r="E129"/>
      <c r="F129"/>
      <c r="G129"/>
      <c r="H129"/>
      <c r="I129"/>
    </row>
    <row r="130" spans="1:9" ht="15">
      <c r="A130"/>
      <c r="B130"/>
      <c r="C130"/>
      <c r="D130"/>
      <c r="E130"/>
      <c r="F130"/>
      <c r="G130"/>
      <c r="H130"/>
      <c r="I130"/>
    </row>
    <row r="131" spans="1:9" ht="15">
      <c r="A131"/>
      <c r="B131"/>
      <c r="C131"/>
      <c r="D131"/>
      <c r="E131"/>
      <c r="F131"/>
      <c r="G131"/>
      <c r="H131"/>
      <c r="I131"/>
    </row>
    <row r="132" spans="1:9" ht="15">
      <c r="A132"/>
      <c r="B132"/>
      <c r="C132"/>
      <c r="D132"/>
      <c r="E132"/>
      <c r="F132"/>
      <c r="G132"/>
      <c r="H132"/>
      <c r="I132"/>
    </row>
    <row r="133" spans="1:9" ht="15">
      <c r="A133"/>
      <c r="B133"/>
      <c r="C133"/>
      <c r="D133"/>
      <c r="E133"/>
      <c r="F133"/>
      <c r="G133"/>
      <c r="H133"/>
      <c r="I133"/>
    </row>
    <row r="134" spans="1:9" ht="15">
      <c r="A134"/>
      <c r="B134"/>
      <c r="C134"/>
      <c r="D134"/>
      <c r="E134"/>
      <c r="F134"/>
      <c r="G134"/>
      <c r="H134"/>
      <c r="I134"/>
    </row>
    <row r="135" spans="1:9" ht="15">
      <c r="A135"/>
      <c r="B135"/>
      <c r="C135"/>
      <c r="D135"/>
      <c r="E135"/>
      <c r="F135"/>
      <c r="G135"/>
      <c r="H135"/>
      <c r="I135"/>
    </row>
    <row r="136" spans="1:9" ht="15">
      <c r="A136"/>
      <c r="B136"/>
      <c r="C136"/>
      <c r="D136"/>
      <c r="E136"/>
      <c r="F136"/>
      <c r="G136"/>
      <c r="H136"/>
      <c r="I136"/>
    </row>
    <row r="137" spans="1:9" ht="15">
      <c r="A137"/>
      <c r="B137"/>
      <c r="C137"/>
      <c r="D137"/>
      <c r="E137"/>
      <c r="F137"/>
      <c r="G137"/>
      <c r="H137"/>
      <c r="I137"/>
    </row>
    <row r="138" spans="1:9" ht="15">
      <c r="A138"/>
      <c r="B138"/>
      <c r="C138"/>
      <c r="D138"/>
      <c r="E138"/>
      <c r="F138"/>
      <c r="G138"/>
      <c r="H138"/>
      <c r="I138"/>
    </row>
    <row r="139" spans="1:9" ht="15">
      <c r="A139"/>
      <c r="B139"/>
      <c r="C139"/>
      <c r="D139"/>
      <c r="E139"/>
      <c r="F139"/>
      <c r="G139"/>
      <c r="H139"/>
      <c r="I139"/>
    </row>
    <row r="140" spans="1:9" ht="15">
      <c r="A140"/>
      <c r="B140"/>
      <c r="C140"/>
      <c r="D140"/>
      <c r="E140"/>
      <c r="F140"/>
      <c r="G140"/>
      <c r="H140"/>
      <c r="I140"/>
    </row>
    <row r="141" spans="1:9" ht="15">
      <c r="A141"/>
      <c r="B141"/>
      <c r="C141"/>
      <c r="D141"/>
      <c r="E141"/>
      <c r="F141"/>
      <c r="G141"/>
      <c r="H141"/>
      <c r="I141"/>
    </row>
    <row r="142" spans="1:9" ht="15">
      <c r="A142"/>
      <c r="B142"/>
      <c r="C142"/>
      <c r="D142"/>
      <c r="E142"/>
      <c r="F142"/>
      <c r="G142"/>
      <c r="H142"/>
      <c r="I142"/>
    </row>
    <row r="143" spans="1:9" ht="15">
      <c r="A143"/>
      <c r="B143"/>
      <c r="C143"/>
      <c r="D143"/>
      <c r="E143"/>
      <c r="F143"/>
      <c r="G143"/>
      <c r="H143"/>
      <c r="I143"/>
    </row>
    <row r="144" spans="1:9" ht="15">
      <c r="A144"/>
      <c r="B144"/>
      <c r="C144"/>
      <c r="D144"/>
      <c r="E144"/>
      <c r="F144"/>
      <c r="G144"/>
      <c r="H144"/>
      <c r="I144"/>
    </row>
    <row r="145" spans="1:9" ht="15">
      <c r="A145"/>
      <c r="B145"/>
      <c r="C145"/>
      <c r="D145"/>
      <c r="E145"/>
      <c r="F145"/>
      <c r="G145"/>
      <c r="H145"/>
      <c r="I145"/>
    </row>
    <row r="146" spans="1:9" ht="15">
      <c r="A146"/>
      <c r="B146"/>
      <c r="C146"/>
      <c r="D146"/>
      <c r="E146"/>
      <c r="F146"/>
      <c r="G146"/>
      <c r="H146"/>
      <c r="I146"/>
    </row>
    <row r="147" spans="1:9" ht="15">
      <c r="A147"/>
      <c r="B147"/>
      <c r="C147"/>
      <c r="D147"/>
      <c r="E147"/>
      <c r="F147"/>
      <c r="G147"/>
      <c r="H147"/>
      <c r="I147"/>
    </row>
    <row r="148" spans="1:9" ht="15">
      <c r="A148"/>
      <c r="B148"/>
      <c r="C148"/>
      <c r="D148"/>
      <c r="E148"/>
      <c r="F148"/>
      <c r="G148"/>
      <c r="H148"/>
      <c r="I148"/>
    </row>
    <row r="149" spans="1:9" ht="15">
      <c r="A149"/>
      <c r="B149"/>
      <c r="C149"/>
      <c r="D149"/>
      <c r="E149"/>
      <c r="F149"/>
      <c r="G149"/>
      <c r="H149"/>
      <c r="I149"/>
    </row>
    <row r="150" spans="1:9" ht="15">
      <c r="A150"/>
      <c r="B150"/>
      <c r="C150"/>
      <c r="D150"/>
      <c r="E150"/>
      <c r="F150"/>
      <c r="G150"/>
      <c r="H150"/>
      <c r="I150"/>
    </row>
    <row r="151" spans="1:9" ht="15">
      <c r="A151"/>
      <c r="B151"/>
      <c r="C151"/>
      <c r="D151"/>
      <c r="E151"/>
      <c r="F151"/>
      <c r="G151"/>
      <c r="H151"/>
      <c r="I151"/>
    </row>
    <row r="152" spans="1:9" ht="15">
      <c r="A152"/>
      <c r="B152"/>
      <c r="C152"/>
      <c r="D152"/>
      <c r="E152"/>
      <c r="F152"/>
      <c r="G152"/>
      <c r="H152"/>
      <c r="I152"/>
    </row>
    <row r="153" spans="1:9" ht="15">
      <c r="A153"/>
      <c r="B153"/>
      <c r="C153"/>
      <c r="D153"/>
      <c r="E153"/>
      <c r="F153"/>
      <c r="G153"/>
      <c r="H153"/>
      <c r="I153"/>
    </row>
    <row r="154" spans="1:9" ht="15">
      <c r="A154"/>
      <c r="B154"/>
      <c r="C154"/>
      <c r="D154"/>
      <c r="E154"/>
      <c r="F154"/>
      <c r="G154"/>
      <c r="H154"/>
      <c r="I154"/>
    </row>
    <row r="155" spans="1:9" ht="15">
      <c r="A155"/>
      <c r="B155"/>
      <c r="C155"/>
      <c r="D155"/>
      <c r="E155"/>
      <c r="F155"/>
      <c r="G155"/>
      <c r="H155"/>
      <c r="I155"/>
    </row>
    <row r="156" spans="1:9" ht="15">
      <c r="A156"/>
      <c r="B156"/>
      <c r="C156"/>
      <c r="D156"/>
      <c r="E156"/>
      <c r="F156"/>
      <c r="G156"/>
      <c r="H156"/>
      <c r="I156"/>
    </row>
    <row r="157" spans="1:9" ht="15">
      <c r="A157"/>
      <c r="B157"/>
      <c r="C157"/>
      <c r="D157"/>
      <c r="E157"/>
      <c r="F157"/>
      <c r="G157"/>
      <c r="H157"/>
      <c r="I157"/>
    </row>
    <row r="158" spans="1:9" ht="15">
      <c r="A158"/>
      <c r="B158"/>
      <c r="C158"/>
      <c r="D158"/>
      <c r="E158"/>
      <c r="F158"/>
      <c r="G158"/>
      <c r="H158"/>
      <c r="I158"/>
    </row>
    <row r="159" spans="1:9" ht="15">
      <c r="A159"/>
      <c r="B159"/>
      <c r="C159"/>
      <c r="D159"/>
      <c r="E159"/>
      <c r="F159"/>
      <c r="G159"/>
      <c r="H159"/>
      <c r="I159"/>
    </row>
    <row r="160" spans="1:9" ht="15">
      <c r="A160"/>
      <c r="B160"/>
      <c r="C160"/>
      <c r="D160"/>
      <c r="E160"/>
      <c r="F160"/>
      <c r="G160"/>
      <c r="H160"/>
      <c r="I160"/>
    </row>
    <row r="161" spans="1:9" ht="15">
      <c r="A161"/>
      <c r="B161"/>
      <c r="C161"/>
      <c r="D161"/>
      <c r="E161"/>
      <c r="F161"/>
      <c r="G161"/>
      <c r="H161"/>
      <c r="I161"/>
    </row>
    <row r="162" spans="1:9" ht="15">
      <c r="A162"/>
      <c r="B162"/>
      <c r="C162"/>
      <c r="D162"/>
      <c r="E162"/>
      <c r="F162"/>
      <c r="G162"/>
      <c r="H162"/>
      <c r="I162"/>
    </row>
    <row r="163" spans="1:9" ht="15">
      <c r="A163"/>
      <c r="B163"/>
      <c r="C163"/>
      <c r="D163"/>
      <c r="E163"/>
      <c r="F163"/>
      <c r="G163"/>
      <c r="H163"/>
      <c r="I163"/>
    </row>
    <row r="164" spans="1:9" ht="15">
      <c r="A164"/>
      <c r="B164"/>
      <c r="C164"/>
      <c r="D164"/>
      <c r="E164"/>
      <c r="F164"/>
      <c r="G164"/>
      <c r="H164"/>
      <c r="I164"/>
    </row>
    <row r="165" spans="1:9" ht="15">
      <c r="A165"/>
      <c r="B165"/>
      <c r="C165"/>
      <c r="D165"/>
      <c r="E165"/>
      <c r="F165"/>
      <c r="G165"/>
      <c r="H165"/>
      <c r="I165"/>
    </row>
    <row r="166" spans="1:9" ht="15">
      <c r="A166"/>
      <c r="B166"/>
      <c r="C166"/>
      <c r="D166"/>
      <c r="E166"/>
      <c r="F166"/>
      <c r="G166"/>
      <c r="H166"/>
      <c r="I166"/>
    </row>
    <row r="167" spans="1:9" ht="15">
      <c r="A167"/>
      <c r="B167"/>
      <c r="C167"/>
      <c r="D167"/>
      <c r="E167"/>
      <c r="F167"/>
      <c r="G167"/>
      <c r="H167"/>
      <c r="I167"/>
    </row>
    <row r="168" spans="1:9" ht="15">
      <c r="A168"/>
      <c r="B168"/>
      <c r="C168"/>
      <c r="D168"/>
      <c r="E168"/>
      <c r="F168"/>
      <c r="G168"/>
      <c r="H168"/>
      <c r="I168"/>
    </row>
    <row r="169" spans="1:9" ht="15">
      <c r="A169"/>
      <c r="B169"/>
      <c r="C169"/>
      <c r="D169"/>
      <c r="E169"/>
      <c r="F169"/>
      <c r="G169"/>
      <c r="H169"/>
      <c r="I169"/>
    </row>
    <row r="170" spans="1:9" ht="15">
      <c r="A170"/>
      <c r="B170"/>
      <c r="C170"/>
      <c r="D170"/>
      <c r="E170"/>
      <c r="F170"/>
      <c r="G170"/>
      <c r="H170"/>
      <c r="I170"/>
    </row>
    <row r="171" spans="1:9" ht="15">
      <c r="A171"/>
      <c r="B171"/>
      <c r="C171"/>
      <c r="D171"/>
      <c r="E171"/>
      <c r="F171"/>
      <c r="G171"/>
      <c r="H171"/>
      <c r="I171"/>
    </row>
    <row r="172" spans="1:9" ht="15">
      <c r="A172"/>
      <c r="B172"/>
      <c r="C172"/>
      <c r="D172"/>
      <c r="E172"/>
      <c r="F172"/>
      <c r="G172"/>
      <c r="H172"/>
      <c r="I172"/>
    </row>
    <row r="173" spans="1:9" ht="15">
      <c r="A173"/>
      <c r="B173"/>
      <c r="C173"/>
      <c r="D173"/>
      <c r="E173"/>
      <c r="F173"/>
      <c r="G173"/>
      <c r="H173"/>
      <c r="I173"/>
    </row>
    <row r="174" spans="1:9" ht="15">
      <c r="A174"/>
      <c r="B174"/>
      <c r="C174"/>
      <c r="D174"/>
      <c r="E174"/>
      <c r="F174"/>
      <c r="G174"/>
      <c r="H174"/>
      <c r="I174"/>
    </row>
    <row r="175" spans="1:9" ht="15">
      <c r="A175"/>
      <c r="B175"/>
      <c r="C175"/>
      <c r="D175"/>
      <c r="E175"/>
      <c r="F175"/>
      <c r="G175"/>
      <c r="H175"/>
      <c r="I175"/>
    </row>
    <row r="176" spans="1:9" ht="15">
      <c r="A176"/>
      <c r="B176"/>
      <c r="C176"/>
      <c r="D176"/>
      <c r="E176"/>
      <c r="F176"/>
      <c r="G176"/>
      <c r="H176"/>
      <c r="I176"/>
    </row>
    <row r="177" spans="1:9" ht="15">
      <c r="A177"/>
      <c r="B177"/>
      <c r="C177"/>
      <c r="D177"/>
      <c r="E177"/>
      <c r="F177"/>
      <c r="G177"/>
      <c r="H177"/>
      <c r="I177"/>
    </row>
    <row r="178" spans="1:9" ht="15">
      <c r="A178"/>
      <c r="B178"/>
      <c r="C178"/>
      <c r="D178"/>
      <c r="E178"/>
      <c r="F178"/>
      <c r="G178"/>
      <c r="H178"/>
      <c r="I178"/>
    </row>
    <row r="179" spans="1:9" ht="15">
      <c r="A179"/>
      <c r="B179"/>
      <c r="C179"/>
      <c r="D179"/>
      <c r="E179"/>
      <c r="F179"/>
      <c r="G179"/>
      <c r="H179"/>
      <c r="I179"/>
    </row>
    <row r="180" spans="1:9" ht="15">
      <c r="A180"/>
      <c r="B180"/>
      <c r="C180"/>
      <c r="D180"/>
      <c r="E180"/>
      <c r="F180"/>
      <c r="G180"/>
      <c r="H180"/>
      <c r="I180"/>
    </row>
    <row r="181" spans="1:9" ht="15">
      <c r="A181"/>
      <c r="B181"/>
      <c r="C181"/>
      <c r="D181"/>
      <c r="E181"/>
      <c r="F181"/>
      <c r="G181"/>
      <c r="H181"/>
      <c r="I181"/>
    </row>
    <row r="182" spans="1:9" ht="15">
      <c r="A182"/>
      <c r="B182"/>
      <c r="C182"/>
      <c r="D182"/>
      <c r="E182"/>
      <c r="F182"/>
      <c r="G182"/>
      <c r="H182"/>
      <c r="I182"/>
    </row>
    <row r="183" spans="1:9" ht="15">
      <c r="A183"/>
      <c r="B183"/>
      <c r="C183"/>
      <c r="D183"/>
      <c r="E183"/>
      <c r="F183"/>
      <c r="G183"/>
      <c r="H183"/>
      <c r="I183"/>
    </row>
    <row r="184" spans="1:9" ht="15">
      <c r="A184"/>
      <c r="B184"/>
      <c r="C184"/>
      <c r="D184"/>
      <c r="E184"/>
      <c r="F184"/>
      <c r="G184"/>
      <c r="H184"/>
      <c r="I184"/>
    </row>
    <row r="185" spans="1:9" ht="15">
      <c r="A185"/>
      <c r="B185"/>
      <c r="C185"/>
      <c r="D185"/>
      <c r="E185"/>
      <c r="F185"/>
      <c r="G185"/>
      <c r="H185"/>
      <c r="I185"/>
    </row>
    <row r="186" spans="1:9" ht="15">
      <c r="A186"/>
      <c r="B186"/>
      <c r="C186"/>
      <c r="D186"/>
      <c r="E186"/>
      <c r="F186"/>
      <c r="G186"/>
      <c r="H186"/>
      <c r="I186"/>
    </row>
    <row r="187" spans="1:9" ht="15">
      <c r="A187"/>
      <c r="B187"/>
      <c r="C187"/>
      <c r="D187"/>
      <c r="E187"/>
      <c r="F187"/>
      <c r="G187"/>
      <c r="H187"/>
      <c r="I187"/>
    </row>
    <row r="188" spans="1:9" ht="15">
      <c r="A188"/>
      <c r="B188"/>
      <c r="C188"/>
      <c r="D188"/>
      <c r="E188"/>
      <c r="F188"/>
      <c r="G188"/>
      <c r="H188"/>
      <c r="I188"/>
    </row>
    <row r="189" spans="1:9" ht="15">
      <c r="A189"/>
      <c r="B189"/>
      <c r="C189"/>
      <c r="D189"/>
      <c r="E189"/>
      <c r="F189"/>
      <c r="G189"/>
      <c r="H189"/>
      <c r="I189"/>
    </row>
    <row r="190" spans="1:9" ht="15">
      <c r="A190"/>
      <c r="B190"/>
      <c r="C190"/>
      <c r="D190"/>
      <c r="E190"/>
      <c r="F190"/>
      <c r="G190"/>
      <c r="H190"/>
      <c r="I190"/>
    </row>
    <row r="191" spans="1:9" ht="15">
      <c r="A191"/>
      <c r="B191"/>
      <c r="C191"/>
      <c r="D191"/>
      <c r="E191"/>
      <c r="F191"/>
      <c r="G191"/>
      <c r="H191"/>
      <c r="I191"/>
    </row>
    <row r="192" spans="1:9" ht="15">
      <c r="A192"/>
      <c r="B192"/>
      <c r="C192"/>
      <c r="D192"/>
      <c r="E192"/>
      <c r="F192"/>
      <c r="G192"/>
      <c r="H192"/>
      <c r="I192"/>
    </row>
    <row r="193" spans="1:9" ht="15">
      <c r="A193"/>
      <c r="B193"/>
      <c r="C193"/>
      <c r="D193"/>
      <c r="E193"/>
      <c r="F193"/>
      <c r="G193"/>
      <c r="H193"/>
      <c r="I193"/>
    </row>
    <row r="194" spans="1:9" ht="15">
      <c r="A194"/>
      <c r="B194"/>
      <c r="C194"/>
      <c r="D194"/>
      <c r="E194"/>
      <c r="F194"/>
      <c r="G194"/>
      <c r="H194"/>
      <c r="I194"/>
    </row>
    <row r="195" spans="1:9" ht="15">
      <c r="A195"/>
      <c r="B195"/>
      <c r="C195"/>
      <c r="D195"/>
      <c r="E195"/>
      <c r="F195"/>
      <c r="G195"/>
      <c r="H195"/>
      <c r="I195"/>
    </row>
    <row r="196" spans="1:9" ht="15">
      <c r="A196"/>
      <c r="B196"/>
      <c r="C196"/>
      <c r="D196"/>
      <c r="E196"/>
      <c r="F196"/>
      <c r="G196"/>
      <c r="H196"/>
      <c r="I196"/>
    </row>
    <row r="197" spans="1:9" ht="15">
      <c r="A197"/>
      <c r="B197"/>
      <c r="C197"/>
      <c r="D197"/>
      <c r="E197"/>
      <c r="F197"/>
      <c r="G197"/>
      <c r="H197"/>
      <c r="I197"/>
    </row>
    <row r="198" spans="1:9" ht="15">
      <c r="A198"/>
      <c r="B198"/>
      <c r="C198"/>
      <c r="D198"/>
      <c r="E198"/>
      <c r="F198"/>
      <c r="G198"/>
      <c r="H198"/>
      <c r="I198"/>
    </row>
    <row r="199" spans="1:9" ht="15">
      <c r="A199"/>
      <c r="B199"/>
      <c r="C199"/>
      <c r="D199"/>
      <c r="E199"/>
      <c r="F199"/>
      <c r="G199"/>
      <c r="H199"/>
      <c r="I199"/>
    </row>
    <row r="200" spans="1:9" ht="15">
      <c r="A200"/>
      <c r="B200"/>
      <c r="C200"/>
      <c r="D200"/>
      <c r="E200"/>
      <c r="F200"/>
      <c r="G200"/>
      <c r="H200"/>
      <c r="I200"/>
    </row>
    <row r="201" spans="1:9" ht="15">
      <c r="A201"/>
      <c r="B201"/>
      <c r="C201"/>
      <c r="D201"/>
      <c r="E201"/>
      <c r="F201"/>
      <c r="G201"/>
      <c r="H201"/>
      <c r="I201"/>
    </row>
    <row r="202" spans="1:9" ht="15">
      <c r="A202"/>
      <c r="B202"/>
      <c r="C202"/>
      <c r="D202"/>
      <c r="E202"/>
      <c r="F202"/>
      <c r="G202"/>
      <c r="H202"/>
      <c r="I202"/>
    </row>
    <row r="203" spans="1:9" ht="15">
      <c r="A203"/>
      <c r="B203"/>
      <c r="C203"/>
      <c r="D203"/>
      <c r="E203"/>
      <c r="F203"/>
      <c r="G203"/>
      <c r="H203"/>
      <c r="I203"/>
    </row>
    <row r="204" spans="1:9" ht="15">
      <c r="A204"/>
      <c r="B204"/>
      <c r="C204"/>
      <c r="D204"/>
      <c r="E204"/>
      <c r="F204"/>
      <c r="G204"/>
      <c r="H204"/>
      <c r="I204"/>
    </row>
    <row r="205" spans="1:9" ht="15">
      <c r="A205"/>
      <c r="B205"/>
      <c r="C205"/>
      <c r="D205"/>
      <c r="E205"/>
      <c r="F205"/>
      <c r="G205"/>
      <c r="H205"/>
      <c r="I205"/>
    </row>
    <row r="206" spans="1:9" ht="15">
      <c r="A206"/>
      <c r="B206"/>
      <c r="C206"/>
      <c r="D206"/>
      <c r="E206"/>
      <c r="F206"/>
      <c r="G206"/>
      <c r="H206"/>
      <c r="I206"/>
    </row>
    <row r="207" spans="1:9" ht="15">
      <c r="A207"/>
      <c r="B207"/>
      <c r="C207"/>
      <c r="D207"/>
      <c r="E207"/>
      <c r="F207"/>
      <c r="G207"/>
      <c r="H207"/>
      <c r="I207"/>
    </row>
    <row r="208" spans="1:9" ht="15">
      <c r="A208"/>
      <c r="B208"/>
      <c r="C208"/>
      <c r="D208"/>
      <c r="E208"/>
      <c r="F208"/>
      <c r="G208"/>
      <c r="H208"/>
      <c r="I208"/>
    </row>
    <row r="209" spans="1:9" ht="15">
      <c r="A209"/>
      <c r="B209"/>
      <c r="C209"/>
      <c r="D209"/>
      <c r="E209"/>
      <c r="F209"/>
      <c r="G209"/>
      <c r="H209"/>
      <c r="I209"/>
    </row>
    <row r="210" spans="1:9" ht="15">
      <c r="A210"/>
      <c r="B210"/>
      <c r="C210"/>
      <c r="D210"/>
      <c r="E210"/>
      <c r="F210"/>
      <c r="G210"/>
      <c r="H210"/>
      <c r="I210"/>
    </row>
    <row r="211" spans="1:9" ht="15">
      <c r="A211"/>
      <c r="B211"/>
      <c r="C211"/>
      <c r="D211"/>
      <c r="E211"/>
      <c r="F211"/>
      <c r="G211"/>
      <c r="H211"/>
      <c r="I211"/>
    </row>
    <row r="212" spans="1:9" ht="15">
      <c r="A212"/>
      <c r="B212"/>
      <c r="C212"/>
      <c r="D212"/>
      <c r="E212"/>
      <c r="F212"/>
      <c r="G212"/>
      <c r="H212"/>
      <c r="I212"/>
    </row>
    <row r="213" spans="1:9" ht="15">
      <c r="A213"/>
      <c r="B213"/>
      <c r="C213"/>
      <c r="D213"/>
      <c r="E213"/>
      <c r="F213"/>
      <c r="G213"/>
      <c r="H213"/>
      <c r="I213"/>
    </row>
    <row r="214" spans="1:9" ht="15">
      <c r="A214"/>
      <c r="B214"/>
      <c r="C214"/>
      <c r="D214"/>
      <c r="E214"/>
      <c r="F214"/>
      <c r="G214"/>
      <c r="H214"/>
      <c r="I214"/>
    </row>
    <row r="215" spans="1:9" ht="15">
      <c r="A215"/>
      <c r="B215"/>
      <c r="C215"/>
      <c r="D215"/>
      <c r="E215"/>
      <c r="F215"/>
      <c r="G215"/>
      <c r="H215"/>
      <c r="I215"/>
    </row>
    <row r="216" spans="1:9" ht="15">
      <c r="A216"/>
      <c r="B216"/>
      <c r="C216"/>
      <c r="D216"/>
      <c r="E216"/>
      <c r="F216"/>
      <c r="G216"/>
      <c r="H216"/>
      <c r="I216"/>
    </row>
    <row r="217" spans="1:9" ht="15">
      <c r="A217"/>
      <c r="B217"/>
      <c r="C217"/>
      <c r="D217"/>
      <c r="E217"/>
      <c r="F217"/>
      <c r="G217"/>
      <c r="H217"/>
      <c r="I217"/>
    </row>
    <row r="218" spans="1:9" ht="15">
      <c r="A218"/>
      <c r="B218"/>
      <c r="C218"/>
      <c r="D218"/>
      <c r="E218"/>
      <c r="F218"/>
      <c r="G218"/>
      <c r="H218"/>
      <c r="I218"/>
    </row>
    <row r="219" spans="1:9" ht="15">
      <c r="A219"/>
      <c r="B219"/>
      <c r="C219"/>
      <c r="D219"/>
      <c r="E219"/>
      <c r="F219"/>
      <c r="G219"/>
      <c r="H219"/>
      <c r="I219"/>
    </row>
    <row r="220" spans="1:9" ht="15">
      <c r="A220"/>
      <c r="B220"/>
      <c r="C220"/>
      <c r="D220"/>
      <c r="E220"/>
      <c r="F220"/>
      <c r="G220"/>
      <c r="H220"/>
      <c r="I220"/>
    </row>
    <row r="221" spans="1:9" ht="15">
      <c r="A221"/>
      <c r="B221"/>
      <c r="C221"/>
      <c r="D221"/>
      <c r="E221"/>
      <c r="F221"/>
      <c r="G221"/>
      <c r="H221"/>
      <c r="I221"/>
    </row>
    <row r="222" spans="1:9" ht="15">
      <c r="A222"/>
      <c r="B222"/>
      <c r="C222"/>
      <c r="D222"/>
      <c r="E222"/>
      <c r="F222"/>
      <c r="G222"/>
      <c r="H222"/>
      <c r="I222"/>
    </row>
    <row r="223" spans="1:9" ht="15">
      <c r="A223"/>
      <c r="B223"/>
      <c r="C223"/>
      <c r="D223"/>
      <c r="E223"/>
      <c r="F223"/>
      <c r="G223"/>
      <c r="H223"/>
      <c r="I223"/>
    </row>
    <row r="224" spans="1:9" ht="15">
      <c r="A224"/>
      <c r="B224"/>
      <c r="C224"/>
      <c r="D224"/>
      <c r="E224"/>
      <c r="F224"/>
      <c r="G224"/>
      <c r="H224"/>
      <c r="I224"/>
    </row>
    <row r="225" spans="1:9" ht="15">
      <c r="A225"/>
      <c r="B225"/>
      <c r="C225"/>
      <c r="D225"/>
      <c r="E225"/>
      <c r="F225"/>
      <c r="G225"/>
      <c r="H225"/>
      <c r="I225"/>
    </row>
    <row r="226" spans="1:9" ht="15">
      <c r="A226"/>
      <c r="B226"/>
      <c r="C226"/>
      <c r="D226"/>
      <c r="E226"/>
      <c r="F226"/>
      <c r="G226"/>
      <c r="H226"/>
      <c r="I226"/>
    </row>
    <row r="227" spans="1:9" ht="15">
      <c r="A227"/>
      <c r="B227"/>
      <c r="C227"/>
      <c r="D227"/>
      <c r="E227"/>
      <c r="F227"/>
      <c r="G227"/>
      <c r="H227"/>
      <c r="I227"/>
    </row>
    <row r="228" spans="1:9" ht="15">
      <c r="A228"/>
      <c r="B228"/>
      <c r="C228"/>
      <c r="D228"/>
      <c r="E228"/>
      <c r="F228"/>
      <c r="G228"/>
      <c r="H228"/>
      <c r="I228"/>
    </row>
    <row r="229" spans="1:9" ht="15">
      <c r="A229"/>
      <c r="B229"/>
      <c r="C229"/>
      <c r="D229"/>
      <c r="E229"/>
      <c r="F229"/>
      <c r="G229"/>
      <c r="H229"/>
      <c r="I229"/>
    </row>
    <row r="230" spans="1:9" ht="15">
      <c r="A230"/>
      <c r="B230"/>
      <c r="C230"/>
      <c r="D230"/>
      <c r="E230"/>
      <c r="F230"/>
      <c r="G230"/>
      <c r="H230"/>
      <c r="I230"/>
    </row>
    <row r="231" spans="1:9" ht="15">
      <c r="A231"/>
      <c r="B231"/>
      <c r="C231"/>
      <c r="D231"/>
      <c r="E231"/>
      <c r="F231"/>
      <c r="G231"/>
      <c r="H231"/>
      <c r="I231"/>
    </row>
    <row r="232" spans="1:9" ht="15">
      <c r="A232"/>
      <c r="B232"/>
      <c r="C232"/>
      <c r="D232"/>
      <c r="E232"/>
      <c r="F232"/>
      <c r="G232"/>
      <c r="H232"/>
      <c r="I232"/>
    </row>
    <row r="233" spans="1:9" ht="15">
      <c r="A233"/>
      <c r="B233"/>
      <c r="C233"/>
      <c r="D233"/>
      <c r="E233"/>
      <c r="F233"/>
      <c r="G233"/>
      <c r="H233"/>
      <c r="I233"/>
    </row>
    <row r="234" spans="1:9" ht="15">
      <c r="A234"/>
      <c r="B234"/>
      <c r="C234"/>
      <c r="D234"/>
      <c r="E234"/>
      <c r="F234"/>
      <c r="G234"/>
      <c r="H234"/>
      <c r="I234"/>
    </row>
    <row r="235" spans="1:9" ht="15">
      <c r="A235"/>
      <c r="B235"/>
      <c r="C235"/>
      <c r="D235"/>
      <c r="E235"/>
      <c r="F235"/>
      <c r="G235"/>
      <c r="H235"/>
      <c r="I235"/>
    </row>
    <row r="236" spans="1:9" ht="15">
      <c r="A236"/>
      <c r="B236"/>
      <c r="C236"/>
      <c r="D236"/>
      <c r="E236"/>
      <c r="F236"/>
      <c r="G236"/>
      <c r="H236"/>
      <c r="I236"/>
    </row>
    <row r="237" spans="1:9" ht="15">
      <c r="A237"/>
      <c r="B237"/>
      <c r="C237"/>
      <c r="D237"/>
      <c r="E237"/>
      <c r="F237"/>
      <c r="G237"/>
      <c r="H237"/>
      <c r="I237"/>
    </row>
    <row r="238" spans="1:9" ht="15">
      <c r="A238"/>
      <c r="B238"/>
      <c r="C238"/>
      <c r="D238"/>
      <c r="E238"/>
      <c r="F238"/>
      <c r="G238"/>
      <c r="H238"/>
      <c r="I238"/>
    </row>
    <row r="239" spans="1:9" ht="15">
      <c r="A239"/>
      <c r="B239"/>
      <c r="C239"/>
      <c r="D239"/>
      <c r="E239"/>
      <c r="F239"/>
      <c r="G239"/>
      <c r="H239"/>
      <c r="I239"/>
    </row>
    <row r="240" spans="1:9" ht="15">
      <c r="A240"/>
      <c r="B240"/>
      <c r="C240"/>
      <c r="D240"/>
      <c r="E240"/>
      <c r="F240"/>
      <c r="G240"/>
      <c r="H240"/>
      <c r="I240"/>
    </row>
    <row r="241" spans="1:9" ht="15">
      <c r="A241"/>
      <c r="B241"/>
      <c r="C241"/>
      <c r="D241"/>
      <c r="E241"/>
      <c r="F241"/>
      <c r="G241"/>
      <c r="H241"/>
      <c r="I241"/>
    </row>
    <row r="242" spans="1:9" ht="15">
      <c r="A242"/>
      <c r="B242"/>
      <c r="C242"/>
      <c r="D242"/>
      <c r="E242"/>
      <c r="F242"/>
      <c r="G242"/>
      <c r="H242"/>
      <c r="I242"/>
    </row>
    <row r="243" spans="1:9" ht="15">
      <c r="A243"/>
      <c r="B243"/>
      <c r="C243"/>
      <c r="D243"/>
      <c r="E243"/>
      <c r="F243"/>
      <c r="G243"/>
      <c r="H243"/>
      <c r="I243"/>
    </row>
    <row r="244" spans="1:9" ht="15">
      <c r="A244"/>
      <c r="B244"/>
      <c r="C244"/>
      <c r="D244"/>
      <c r="E244"/>
      <c r="F244"/>
      <c r="G244"/>
      <c r="H244"/>
      <c r="I244"/>
    </row>
    <row r="245" spans="1:9" ht="15">
      <c r="A245"/>
      <c r="B245"/>
      <c r="C245"/>
      <c r="D245"/>
      <c r="E245"/>
      <c r="F245"/>
      <c r="G245"/>
      <c r="H245"/>
      <c r="I245"/>
    </row>
    <row r="246" spans="1:9" ht="15">
      <c r="A246"/>
      <c r="B246"/>
      <c r="C246"/>
      <c r="D246"/>
      <c r="E246"/>
      <c r="F246"/>
      <c r="G246"/>
      <c r="H246"/>
      <c r="I246"/>
    </row>
    <row r="247" spans="1:9" ht="15">
      <c r="A247"/>
      <c r="B247"/>
      <c r="C247"/>
      <c r="D247"/>
      <c r="E247"/>
      <c r="F247"/>
      <c r="G247"/>
      <c r="H247"/>
      <c r="I247"/>
    </row>
    <row r="248" spans="1:9" ht="15">
      <c r="A248"/>
      <c r="B248"/>
      <c r="C248"/>
      <c r="D248"/>
      <c r="E248"/>
      <c r="F248"/>
      <c r="G248"/>
      <c r="H248"/>
      <c r="I248"/>
    </row>
    <row r="249" spans="1:9" ht="15">
      <c r="A249"/>
      <c r="B249"/>
      <c r="C249"/>
      <c r="D249"/>
      <c r="E249"/>
      <c r="F249"/>
      <c r="G249"/>
      <c r="H249"/>
      <c r="I249"/>
    </row>
    <row r="250" spans="1:9" ht="15">
      <c r="A250"/>
      <c r="B250"/>
      <c r="C250"/>
      <c r="D250"/>
      <c r="E250"/>
      <c r="F250"/>
      <c r="G250"/>
      <c r="H250"/>
      <c r="I250"/>
    </row>
    <row r="251" spans="1:9" ht="15">
      <c r="A251"/>
      <c r="B251"/>
      <c r="C251"/>
      <c r="D251"/>
      <c r="E251"/>
      <c r="F251"/>
      <c r="G251"/>
      <c r="H251"/>
      <c r="I251"/>
    </row>
    <row r="252" spans="1:9" ht="15">
      <c r="A252"/>
      <c r="B252"/>
      <c r="C252"/>
      <c r="D252"/>
      <c r="E252"/>
      <c r="F252"/>
      <c r="G252"/>
      <c r="H252"/>
      <c r="I252"/>
    </row>
    <row r="253" spans="1:9" ht="15">
      <c r="A253"/>
      <c r="B253"/>
      <c r="C253"/>
      <c r="D253"/>
      <c r="E253"/>
      <c r="F253"/>
      <c r="G253"/>
      <c r="H253"/>
      <c r="I253"/>
    </row>
    <row r="254" spans="1:9" ht="15">
      <c r="A254"/>
      <c r="B254"/>
      <c r="C254"/>
      <c r="D254"/>
      <c r="E254"/>
      <c r="F254"/>
      <c r="G254"/>
      <c r="H254"/>
      <c r="I254"/>
    </row>
    <row r="255" spans="1:9" ht="15">
      <c r="A255"/>
      <c r="B255"/>
      <c r="C255"/>
      <c r="D255"/>
      <c r="E255"/>
      <c r="F255"/>
      <c r="G255"/>
      <c r="H255"/>
      <c r="I255"/>
    </row>
    <row r="256" spans="1:9" ht="15">
      <c r="A256"/>
      <c r="B256"/>
      <c r="C256"/>
      <c r="D256"/>
      <c r="E256"/>
      <c r="F256"/>
      <c r="G256"/>
      <c r="H256"/>
      <c r="I256"/>
    </row>
    <row r="257" spans="1:9" ht="15">
      <c r="A257"/>
      <c r="B257"/>
      <c r="C257"/>
      <c r="D257"/>
      <c r="E257"/>
      <c r="F257"/>
      <c r="G257"/>
      <c r="H257"/>
      <c r="I257"/>
    </row>
    <row r="258" spans="1:9" ht="15">
      <c r="A258"/>
      <c r="B258"/>
      <c r="C258"/>
      <c r="D258"/>
      <c r="E258"/>
      <c r="F258"/>
      <c r="G258"/>
      <c r="H258"/>
      <c r="I258"/>
    </row>
    <row r="259" spans="1:9" ht="15">
      <c r="A259"/>
      <c r="B259"/>
      <c r="C259"/>
      <c r="D259"/>
      <c r="E259"/>
      <c r="F259"/>
      <c r="G259"/>
      <c r="H259"/>
      <c r="I259"/>
    </row>
    <row r="260" spans="1:9" ht="15">
      <c r="A260"/>
      <c r="B260"/>
      <c r="C260"/>
      <c r="D260"/>
      <c r="E260"/>
      <c r="F260"/>
      <c r="G260"/>
      <c r="H260"/>
      <c r="I260"/>
    </row>
    <row r="261" spans="1:9" ht="15">
      <c r="A261"/>
      <c r="B261"/>
      <c r="C261"/>
      <c r="D261"/>
      <c r="E261"/>
      <c r="F261"/>
      <c r="G261"/>
      <c r="H261"/>
      <c r="I261"/>
    </row>
    <row r="262" spans="1:9" ht="15">
      <c r="A262"/>
      <c r="B262"/>
      <c r="C262"/>
      <c r="D262"/>
      <c r="E262"/>
      <c r="F262"/>
      <c r="G262"/>
      <c r="H262"/>
      <c r="I262"/>
    </row>
    <row r="263" spans="1:9" ht="15">
      <c r="A263"/>
      <c r="B263"/>
      <c r="C263"/>
      <c r="D263"/>
      <c r="E263"/>
      <c r="F263"/>
      <c r="G263"/>
      <c r="H263"/>
      <c r="I263"/>
    </row>
    <row r="264" spans="1:9" ht="15">
      <c r="A264"/>
      <c r="B264"/>
      <c r="C264"/>
      <c r="D264"/>
      <c r="E264"/>
      <c r="F264"/>
      <c r="G264"/>
      <c r="H264"/>
      <c r="I264"/>
    </row>
    <row r="265" spans="1:9" ht="15">
      <c r="A265"/>
      <c r="B265"/>
      <c r="C265"/>
      <c r="D265"/>
      <c r="E265"/>
      <c r="F265"/>
      <c r="G265"/>
      <c r="H265"/>
      <c r="I265"/>
    </row>
    <row r="266" spans="1:9" ht="15">
      <c r="A266"/>
      <c r="B266"/>
      <c r="C266"/>
      <c r="D266"/>
      <c r="E266"/>
      <c r="F266"/>
      <c r="G266"/>
      <c r="H266"/>
      <c r="I266"/>
    </row>
    <row r="267" spans="1:9" ht="15">
      <c r="A267"/>
      <c r="B267"/>
      <c r="C267"/>
      <c r="D267"/>
      <c r="E267"/>
      <c r="F267"/>
      <c r="G267"/>
      <c r="H267"/>
      <c r="I267"/>
    </row>
    <row r="268" spans="1:9" ht="15">
      <c r="A268"/>
      <c r="B268"/>
      <c r="C268"/>
      <c r="D268"/>
      <c r="E268"/>
      <c r="F268"/>
      <c r="G268"/>
      <c r="H268"/>
      <c r="I268"/>
    </row>
    <row r="269" spans="1:9" ht="15">
      <c r="A269"/>
      <c r="B269"/>
      <c r="C269"/>
      <c r="D269"/>
      <c r="E269"/>
      <c r="F269"/>
      <c r="G269"/>
      <c r="H269"/>
      <c r="I269"/>
    </row>
    <row r="270" spans="1:9" ht="15">
      <c r="A270"/>
      <c r="B270"/>
      <c r="C270"/>
      <c r="D270"/>
      <c r="E270"/>
      <c r="F270"/>
      <c r="G270"/>
      <c r="H270"/>
      <c r="I270"/>
    </row>
    <row r="271" spans="1:9" ht="15">
      <c r="A271"/>
      <c r="B271"/>
      <c r="C271"/>
      <c r="D271"/>
      <c r="E271"/>
      <c r="F271"/>
      <c r="G271"/>
      <c r="H271"/>
      <c r="I271"/>
    </row>
    <row r="272" spans="1:9" ht="15">
      <c r="A272"/>
      <c r="B272"/>
      <c r="C272"/>
      <c r="D272"/>
      <c r="E272"/>
      <c r="F272"/>
      <c r="G272"/>
      <c r="H272"/>
      <c r="I272"/>
    </row>
    <row r="273" spans="1:9" ht="15">
      <c r="A273"/>
      <c r="B273"/>
      <c r="C273"/>
      <c r="D273"/>
      <c r="E273"/>
      <c r="F273"/>
      <c r="G273"/>
      <c r="H273"/>
      <c r="I273"/>
    </row>
    <row r="274" spans="1:9" ht="15">
      <c r="A274"/>
      <c r="B274"/>
      <c r="C274"/>
      <c r="D274"/>
      <c r="E274"/>
      <c r="F274"/>
      <c r="G274"/>
      <c r="H274"/>
      <c r="I274"/>
    </row>
    <row r="275" spans="1:9" ht="15">
      <c r="A275"/>
      <c r="B275"/>
      <c r="C275"/>
      <c r="D275"/>
      <c r="E275"/>
      <c r="F275"/>
      <c r="G275"/>
      <c r="H275"/>
      <c r="I275"/>
    </row>
    <row r="276" spans="1:9" ht="15">
      <c r="A276"/>
      <c r="B276"/>
      <c r="C276"/>
      <c r="D276"/>
      <c r="E276"/>
      <c r="F276"/>
      <c r="G276"/>
      <c r="H276"/>
      <c r="I276"/>
    </row>
    <row r="277" spans="1:9" ht="15">
      <c r="A277"/>
      <c r="B277"/>
      <c r="C277"/>
      <c r="D277"/>
      <c r="E277"/>
      <c r="F277"/>
      <c r="G277"/>
      <c r="H277"/>
      <c r="I277"/>
    </row>
    <row r="278" spans="1:9" ht="15">
      <c r="A278"/>
      <c r="B278"/>
      <c r="C278"/>
      <c r="D278"/>
      <c r="E278"/>
      <c r="F278"/>
      <c r="G278"/>
      <c r="H278"/>
      <c r="I278"/>
    </row>
    <row r="279" spans="1:9" ht="15">
      <c r="A279"/>
      <c r="B279"/>
      <c r="C279"/>
      <c r="D279"/>
      <c r="E279"/>
      <c r="F279"/>
      <c r="G279"/>
      <c r="H279"/>
      <c r="I279"/>
    </row>
    <row r="280" spans="1:9" ht="15">
      <c r="A280"/>
      <c r="B280"/>
      <c r="C280"/>
      <c r="D280"/>
      <c r="E280"/>
      <c r="F280"/>
      <c r="G280"/>
      <c r="H280"/>
      <c r="I280"/>
    </row>
    <row r="281" spans="1:9" ht="15">
      <c r="A281"/>
      <c r="B281"/>
      <c r="C281"/>
      <c r="D281"/>
      <c r="E281"/>
      <c r="F281"/>
      <c r="G281"/>
      <c r="H281"/>
      <c r="I281"/>
    </row>
    <row r="282" spans="1:9" ht="15">
      <c r="A282"/>
      <c r="B282"/>
      <c r="C282"/>
      <c r="D282"/>
      <c r="E282"/>
      <c r="F282"/>
      <c r="G282"/>
      <c r="H282"/>
      <c r="I282"/>
    </row>
    <row r="283" spans="1:9" ht="15">
      <c r="A283"/>
      <c r="B283"/>
      <c r="C283"/>
      <c r="D283"/>
      <c r="E283"/>
      <c r="F283"/>
      <c r="G283"/>
      <c r="H283"/>
      <c r="I283"/>
    </row>
    <row r="284" spans="1:9" ht="15">
      <c r="A284"/>
      <c r="B284"/>
      <c r="C284"/>
      <c r="D284"/>
      <c r="E284"/>
      <c r="F284"/>
      <c r="G284"/>
      <c r="H284"/>
      <c r="I284"/>
    </row>
    <row r="285" spans="1:9" ht="15">
      <c r="A285"/>
      <c r="B285"/>
      <c r="C285"/>
      <c r="D285"/>
      <c r="E285"/>
      <c r="F285"/>
      <c r="G285"/>
      <c r="H285"/>
      <c r="I285"/>
    </row>
    <row r="286" spans="1:9" ht="15">
      <c r="A286"/>
      <c r="B286"/>
      <c r="C286"/>
      <c r="D286"/>
      <c r="E286"/>
      <c r="F286"/>
      <c r="G286"/>
      <c r="H286"/>
      <c r="I286"/>
    </row>
    <row r="287" spans="1:9" ht="15">
      <c r="A287"/>
      <c r="B287"/>
      <c r="C287"/>
      <c r="D287"/>
      <c r="E287"/>
      <c r="F287"/>
      <c r="G287"/>
      <c r="H287"/>
      <c r="I287"/>
    </row>
    <row r="288" spans="1:9" ht="15">
      <c r="A288"/>
      <c r="B288"/>
      <c r="C288"/>
      <c r="D288"/>
      <c r="E288"/>
      <c r="F288"/>
      <c r="G288"/>
      <c r="H288"/>
      <c r="I288"/>
    </row>
    <row r="289" spans="1:9" ht="15">
      <c r="A289"/>
      <c r="B289"/>
      <c r="C289"/>
      <c r="D289"/>
      <c r="E289"/>
      <c r="F289"/>
      <c r="G289"/>
      <c r="H289"/>
      <c r="I289"/>
    </row>
    <row r="290" spans="1:9" ht="15">
      <c r="A290"/>
      <c r="B290"/>
      <c r="C290"/>
      <c r="D290"/>
      <c r="E290"/>
      <c r="F290"/>
      <c r="G290"/>
      <c r="H290"/>
      <c r="I290"/>
    </row>
    <row r="291" spans="1:9" ht="15">
      <c r="A291"/>
      <c r="B291"/>
      <c r="C291"/>
      <c r="D291"/>
      <c r="E291"/>
      <c r="F291"/>
      <c r="G291"/>
      <c r="H291"/>
      <c r="I291"/>
    </row>
    <row r="292" spans="1:9" ht="15">
      <c r="A292"/>
      <c r="B292"/>
      <c r="C292"/>
      <c r="D292"/>
      <c r="E292"/>
      <c r="F292"/>
      <c r="G292"/>
      <c r="H292"/>
      <c r="I292"/>
    </row>
    <row r="293" spans="1:9" ht="15">
      <c r="A293"/>
      <c r="B293"/>
      <c r="C293"/>
      <c r="D293"/>
      <c r="E293"/>
      <c r="F293"/>
      <c r="G293"/>
      <c r="H293"/>
      <c r="I293"/>
    </row>
    <row r="294" spans="1:9" ht="15">
      <c r="A294"/>
      <c r="B294"/>
      <c r="C294"/>
      <c r="D294"/>
      <c r="E294"/>
      <c r="F294"/>
      <c r="G294"/>
      <c r="H294"/>
      <c r="I294"/>
    </row>
    <row r="295" spans="1:9" ht="15">
      <c r="A295"/>
      <c r="B295"/>
      <c r="C295"/>
      <c r="D295"/>
      <c r="E295"/>
      <c r="F295"/>
      <c r="G295"/>
      <c r="H295"/>
      <c r="I295"/>
    </row>
    <row r="296" spans="1:9" ht="15">
      <c r="A296"/>
      <c r="B296"/>
      <c r="C296"/>
      <c r="D296"/>
      <c r="E296"/>
      <c r="F296"/>
      <c r="G296"/>
      <c r="H296"/>
      <c r="I296"/>
    </row>
    <row r="297" spans="1:9" ht="15">
      <c r="A297"/>
      <c r="B297"/>
      <c r="C297"/>
      <c r="D297"/>
      <c r="E297"/>
      <c r="F297"/>
      <c r="G297"/>
      <c r="H297"/>
      <c r="I297"/>
    </row>
    <row r="298" spans="1:9" ht="15">
      <c r="A298"/>
      <c r="B298"/>
      <c r="C298"/>
      <c r="D298"/>
      <c r="E298"/>
      <c r="F298"/>
      <c r="G298"/>
      <c r="H298"/>
      <c r="I298"/>
    </row>
    <row r="299" spans="1:9" ht="15">
      <c r="A299"/>
      <c r="B299"/>
      <c r="C299"/>
      <c r="D299"/>
      <c r="E299"/>
      <c r="F299"/>
      <c r="G299"/>
      <c r="H299"/>
      <c r="I299"/>
    </row>
    <row r="300" spans="1:9" ht="15">
      <c r="A300"/>
      <c r="B300"/>
      <c r="C300"/>
      <c r="D300"/>
      <c r="E300"/>
      <c r="F300"/>
      <c r="G300"/>
      <c r="H300"/>
      <c r="I300"/>
    </row>
    <row r="301" spans="1:9" ht="15">
      <c r="A301"/>
      <c r="B301"/>
      <c r="C301"/>
      <c r="D301"/>
      <c r="E301"/>
      <c r="F301"/>
      <c r="G301"/>
      <c r="H301"/>
      <c r="I301"/>
    </row>
    <row r="302" spans="1:9" ht="15">
      <c r="A302"/>
      <c r="B302"/>
      <c r="C302"/>
      <c r="D302"/>
      <c r="E302"/>
      <c r="F302"/>
      <c r="G302"/>
      <c r="H302"/>
      <c r="I302"/>
    </row>
    <row r="303" spans="1:9" ht="15">
      <c r="A303"/>
      <c r="B303"/>
      <c r="C303"/>
      <c r="D303"/>
      <c r="E303"/>
      <c r="F303"/>
      <c r="G303"/>
      <c r="H303"/>
      <c r="I303"/>
    </row>
    <row r="304" spans="1:9" ht="15">
      <c r="A304"/>
      <c r="B304"/>
      <c r="C304"/>
      <c r="D304"/>
      <c r="E304"/>
      <c r="F304"/>
      <c r="G304"/>
      <c r="H304"/>
      <c r="I304"/>
    </row>
    <row r="305" spans="1:9" ht="15">
      <c r="A305"/>
      <c r="B305"/>
      <c r="C305"/>
      <c r="D305"/>
      <c r="E305"/>
      <c r="F305"/>
      <c r="G305"/>
      <c r="H305"/>
      <c r="I305"/>
    </row>
    <row r="306" spans="1:9" ht="15">
      <c r="A306"/>
      <c r="B306"/>
      <c r="C306"/>
      <c r="D306"/>
      <c r="E306"/>
      <c r="F306"/>
      <c r="G306"/>
      <c r="H306"/>
      <c r="I306"/>
    </row>
    <row r="307" spans="1:9" ht="15">
      <c r="A307"/>
      <c r="B307"/>
      <c r="C307"/>
      <c r="D307"/>
      <c r="E307"/>
      <c r="F307"/>
      <c r="G307"/>
      <c r="H307"/>
      <c r="I307"/>
    </row>
    <row r="308" spans="1:9" ht="15">
      <c r="A308"/>
      <c r="B308"/>
      <c r="C308"/>
      <c r="D308"/>
      <c r="E308"/>
      <c r="F308"/>
      <c r="G308"/>
      <c r="H308"/>
      <c r="I308"/>
    </row>
    <row r="309" spans="1:9" ht="15">
      <c r="A309"/>
      <c r="B309"/>
      <c r="C309"/>
      <c r="D309"/>
      <c r="E309"/>
      <c r="F309"/>
      <c r="G309"/>
      <c r="H309"/>
      <c r="I309"/>
    </row>
    <row r="310" spans="1:9" ht="15">
      <c r="A310"/>
      <c r="B310"/>
      <c r="C310"/>
      <c r="D310"/>
      <c r="E310"/>
      <c r="F310"/>
      <c r="G310"/>
      <c r="H310"/>
      <c r="I310"/>
    </row>
    <row r="311" spans="1:9" ht="15">
      <c r="A311"/>
      <c r="B311"/>
      <c r="C311"/>
      <c r="D311"/>
      <c r="E311"/>
      <c r="F311"/>
      <c r="G311"/>
      <c r="H311"/>
      <c r="I311"/>
    </row>
    <row r="312" spans="1:9" ht="15">
      <c r="A312"/>
      <c r="B312"/>
      <c r="C312"/>
      <c r="D312"/>
      <c r="E312"/>
      <c r="F312"/>
      <c r="G312"/>
      <c r="H312"/>
      <c r="I312"/>
    </row>
    <row r="313" spans="1:9" ht="15">
      <c r="A313"/>
      <c r="B313"/>
      <c r="C313"/>
      <c r="D313"/>
      <c r="E313"/>
      <c r="F313"/>
      <c r="G313"/>
      <c r="H313"/>
      <c r="I313"/>
    </row>
    <row r="314" spans="1:9" ht="15">
      <c r="A314"/>
      <c r="B314"/>
      <c r="C314"/>
      <c r="D314"/>
      <c r="E314"/>
      <c r="F314"/>
      <c r="G314"/>
      <c r="H314"/>
      <c r="I314"/>
    </row>
    <row r="315" spans="1:9" ht="15">
      <c r="A315"/>
      <c r="B315"/>
      <c r="C315"/>
      <c r="D315"/>
      <c r="E315"/>
      <c r="F315"/>
      <c r="G315"/>
      <c r="H315"/>
      <c r="I315"/>
    </row>
    <row r="316" spans="1:9" ht="15">
      <c r="A316"/>
      <c r="B316"/>
      <c r="C316"/>
      <c r="D316"/>
      <c r="E316"/>
      <c r="F316"/>
      <c r="G316"/>
      <c r="H316"/>
      <c r="I316"/>
    </row>
    <row r="317" spans="1:9" ht="15">
      <c r="A317"/>
      <c r="B317"/>
      <c r="C317"/>
      <c r="D317"/>
      <c r="E317"/>
      <c r="F317"/>
      <c r="G317"/>
      <c r="H317"/>
      <c r="I317"/>
    </row>
    <row r="318" spans="1:9" ht="15">
      <c r="A318"/>
      <c r="B318"/>
      <c r="C318"/>
      <c r="D318"/>
      <c r="E318"/>
      <c r="F318"/>
      <c r="G318"/>
      <c r="H318"/>
      <c r="I318"/>
    </row>
    <row r="319" spans="1:9" ht="15">
      <c r="A319"/>
      <c r="B319"/>
      <c r="C319"/>
      <c r="D319"/>
      <c r="E319"/>
      <c r="F319"/>
      <c r="G319"/>
      <c r="H319"/>
      <c r="I319"/>
    </row>
    <row r="320" spans="1:9" ht="15">
      <c r="A320"/>
      <c r="B320"/>
      <c r="C320"/>
      <c r="D320"/>
      <c r="E320"/>
      <c r="F320"/>
      <c r="G320"/>
      <c r="H320"/>
      <c r="I320"/>
    </row>
    <row r="321" spans="1:9" ht="15">
      <c r="A321"/>
      <c r="B321"/>
      <c r="C321"/>
      <c r="D321"/>
      <c r="E321"/>
      <c r="F321"/>
      <c r="G321"/>
      <c r="H321"/>
      <c r="I321"/>
    </row>
    <row r="322" spans="1:9" ht="15">
      <c r="A322"/>
      <c r="B322"/>
      <c r="C322"/>
      <c r="D322"/>
      <c r="E322"/>
      <c r="F322"/>
      <c r="G322"/>
      <c r="H322"/>
      <c r="I322"/>
    </row>
    <row r="323" spans="1:9" ht="15">
      <c r="A323"/>
      <c r="B323"/>
      <c r="C323"/>
      <c r="D323"/>
      <c r="E323"/>
      <c r="F323"/>
      <c r="G323"/>
      <c r="H323"/>
      <c r="I323"/>
    </row>
    <row r="324" spans="1:9" ht="15">
      <c r="A324"/>
      <c r="B324"/>
      <c r="C324"/>
      <c r="D324"/>
      <c r="E324"/>
      <c r="F324"/>
      <c r="G324"/>
      <c r="H324"/>
      <c r="I324"/>
    </row>
    <row r="325" spans="1:9" ht="15">
      <c r="A325"/>
      <c r="B325"/>
      <c r="C325"/>
      <c r="D325"/>
      <c r="E325"/>
      <c r="F325"/>
      <c r="G325"/>
      <c r="H325"/>
      <c r="I325"/>
    </row>
    <row r="326" spans="1:9" ht="15">
      <c r="A326"/>
      <c r="B326"/>
      <c r="C326"/>
      <c r="D326"/>
      <c r="E326"/>
      <c r="F326"/>
      <c r="G326"/>
      <c r="H326"/>
      <c r="I326"/>
    </row>
    <row r="327" spans="1:9" ht="15">
      <c r="A327"/>
      <c r="B327"/>
      <c r="C327"/>
      <c r="D327"/>
      <c r="E327"/>
      <c r="F327"/>
      <c r="G327"/>
      <c r="H327"/>
      <c r="I327"/>
    </row>
    <row r="328" spans="1:9" ht="15">
      <c r="A328"/>
      <c r="B328"/>
      <c r="C328"/>
      <c r="D328"/>
      <c r="E328"/>
      <c r="F328"/>
      <c r="G328"/>
      <c r="H328"/>
      <c r="I328"/>
    </row>
    <row r="329" spans="1:9" ht="15">
      <c r="A329"/>
      <c r="B329"/>
      <c r="C329"/>
      <c r="D329"/>
      <c r="E329"/>
      <c r="F329"/>
      <c r="G329"/>
      <c r="H329"/>
      <c r="I329"/>
    </row>
    <row r="330" spans="1:9" ht="15">
      <c r="A330"/>
      <c r="B330"/>
      <c r="C330"/>
      <c r="D330"/>
      <c r="E330"/>
      <c r="F330"/>
      <c r="G330"/>
      <c r="H330"/>
      <c r="I330"/>
    </row>
    <row r="331" spans="1:9" ht="15">
      <c r="A331"/>
      <c r="B331"/>
      <c r="C331"/>
      <c r="D331"/>
      <c r="E331"/>
      <c r="F331"/>
      <c r="G331"/>
      <c r="H331"/>
      <c r="I331"/>
    </row>
    <row r="332" spans="1:9" ht="15">
      <c r="A332"/>
      <c r="B332"/>
      <c r="C332"/>
      <c r="D332"/>
      <c r="E332"/>
      <c r="F332"/>
      <c r="G332"/>
      <c r="H332"/>
      <c r="I332"/>
    </row>
    <row r="333" spans="1:9" ht="15">
      <c r="A333"/>
      <c r="B333"/>
      <c r="C333"/>
      <c r="D333"/>
      <c r="E333"/>
      <c r="F333"/>
      <c r="G333"/>
      <c r="H333"/>
      <c r="I333"/>
    </row>
    <row r="334" spans="1:9" ht="15">
      <c r="A334"/>
      <c r="B334"/>
      <c r="C334"/>
      <c r="D334"/>
      <c r="E334"/>
      <c r="F334"/>
      <c r="G334"/>
      <c r="H334"/>
      <c r="I334"/>
    </row>
    <row r="335" spans="1:9" ht="15">
      <c r="A335"/>
      <c r="B335"/>
      <c r="C335"/>
      <c r="D335"/>
      <c r="E335"/>
      <c r="F335"/>
      <c r="G335"/>
      <c r="H335"/>
      <c r="I335"/>
    </row>
    <row r="336" spans="1:9" ht="15">
      <c r="A336"/>
      <c r="B336"/>
      <c r="C336"/>
      <c r="D336"/>
      <c r="E336"/>
      <c r="F336"/>
      <c r="G336"/>
      <c r="H336"/>
      <c r="I336"/>
    </row>
    <row r="337" spans="1:9" ht="15">
      <c r="A337"/>
      <c r="B337"/>
      <c r="C337"/>
      <c r="D337"/>
      <c r="E337"/>
      <c r="F337"/>
      <c r="G337"/>
      <c r="H337"/>
      <c r="I337"/>
    </row>
    <row r="338" spans="1:9" ht="15">
      <c r="A338"/>
      <c r="B338"/>
      <c r="C338"/>
      <c r="D338"/>
      <c r="E338"/>
      <c r="F338"/>
      <c r="G338"/>
      <c r="H338"/>
      <c r="I338"/>
    </row>
    <row r="339" spans="1:9" ht="15">
      <c r="A339"/>
      <c r="B339"/>
      <c r="C339"/>
      <c r="D339"/>
      <c r="E339"/>
      <c r="F339"/>
      <c r="G339"/>
      <c r="H339"/>
      <c r="I339"/>
    </row>
    <row r="340" spans="1:9" ht="15">
      <c r="A340"/>
      <c r="B340"/>
      <c r="C340"/>
      <c r="D340"/>
      <c r="E340"/>
      <c r="F340"/>
      <c r="G340"/>
      <c r="H340"/>
      <c r="I340"/>
    </row>
    <row r="341" spans="1:9" ht="15">
      <c r="A341"/>
      <c r="B341"/>
      <c r="C341"/>
      <c r="D341"/>
      <c r="E341"/>
      <c r="F341"/>
      <c r="G341"/>
      <c r="H341"/>
      <c r="I341"/>
    </row>
    <row r="342" spans="1:9" ht="15">
      <c r="A342"/>
      <c r="B342"/>
      <c r="C342"/>
      <c r="D342"/>
      <c r="E342"/>
      <c r="F342"/>
      <c r="G342"/>
      <c r="H342"/>
      <c r="I342"/>
    </row>
    <row r="343" spans="1:9" ht="15">
      <c r="A343"/>
      <c r="B343"/>
      <c r="C343"/>
      <c r="D343"/>
      <c r="E343"/>
      <c r="F343"/>
      <c r="G343"/>
      <c r="H343"/>
      <c r="I343"/>
    </row>
    <row r="344" spans="1:9" ht="15">
      <c r="A344"/>
      <c r="B344"/>
      <c r="C344"/>
      <c r="D344"/>
      <c r="E344"/>
      <c r="F344"/>
      <c r="G344"/>
      <c r="H344"/>
      <c r="I344"/>
    </row>
    <row r="345" spans="1:9" ht="15">
      <c r="A345"/>
      <c r="B345"/>
      <c r="C345"/>
      <c r="D345"/>
      <c r="E345"/>
      <c r="F345"/>
      <c r="G345"/>
      <c r="H345"/>
      <c r="I345"/>
    </row>
    <row r="346" spans="1:9" ht="15">
      <c r="A346"/>
      <c r="B346"/>
      <c r="C346"/>
      <c r="D346"/>
      <c r="E346"/>
      <c r="F346"/>
      <c r="G346"/>
      <c r="H346"/>
      <c r="I346"/>
    </row>
    <row r="347" spans="1:9" ht="15">
      <c r="A347"/>
      <c r="B347"/>
      <c r="C347"/>
      <c r="D347"/>
      <c r="E347"/>
      <c r="F347"/>
      <c r="G347"/>
      <c r="H347"/>
      <c r="I347"/>
    </row>
    <row r="348" spans="1:9" ht="15">
      <c r="A348"/>
      <c r="B348"/>
      <c r="C348"/>
      <c r="D348"/>
      <c r="E348"/>
      <c r="F348"/>
      <c r="G348"/>
      <c r="H348"/>
      <c r="I348"/>
    </row>
    <row r="349" spans="1:9" ht="15">
      <c r="A349"/>
      <c r="B349"/>
      <c r="C349"/>
      <c r="D349"/>
      <c r="E349"/>
      <c r="F349"/>
      <c r="G349"/>
      <c r="H349"/>
      <c r="I349"/>
    </row>
    <row r="350" spans="1:9" ht="15">
      <c r="A350"/>
      <c r="B350"/>
      <c r="C350"/>
      <c r="D350"/>
      <c r="E350"/>
      <c r="F350"/>
      <c r="G350"/>
      <c r="H350"/>
      <c r="I350"/>
    </row>
    <row r="351" spans="1:9" ht="15">
      <c r="A351"/>
      <c r="B351"/>
      <c r="C351"/>
      <c r="D351"/>
      <c r="E351"/>
      <c r="F351"/>
      <c r="G351"/>
      <c r="H351"/>
      <c r="I351"/>
    </row>
    <row r="352" spans="1:9" ht="15">
      <c r="A352"/>
      <c r="B352"/>
      <c r="C352"/>
      <c r="D352"/>
      <c r="E352"/>
      <c r="F352"/>
      <c r="G352"/>
      <c r="H352"/>
      <c r="I352"/>
    </row>
    <row r="353" spans="1:9" ht="15">
      <c r="A353"/>
      <c r="B353"/>
      <c r="C353"/>
      <c r="D353"/>
      <c r="E353"/>
      <c r="F353"/>
      <c r="G353"/>
      <c r="H353"/>
      <c r="I353"/>
    </row>
    <row r="354" spans="1:9" ht="15">
      <c r="A354"/>
      <c r="B354"/>
      <c r="C354"/>
      <c r="D354"/>
      <c r="E354"/>
      <c r="F354"/>
      <c r="G354"/>
      <c r="H354"/>
      <c r="I354"/>
    </row>
    <row r="355" spans="1:9" ht="15">
      <c r="A355"/>
      <c r="B355"/>
      <c r="C355"/>
      <c r="D355"/>
      <c r="E355"/>
      <c r="F355"/>
      <c r="G355"/>
      <c r="H355"/>
      <c r="I355"/>
    </row>
    <row r="356" spans="1:9" ht="15">
      <c r="A356"/>
      <c r="B356"/>
      <c r="C356"/>
      <c r="D356"/>
      <c r="E356"/>
      <c r="F356"/>
      <c r="G356"/>
      <c r="H356"/>
      <c r="I356"/>
    </row>
    <row r="357" spans="1:9" ht="15">
      <c r="A357"/>
      <c r="B357"/>
      <c r="C357"/>
      <c r="D357"/>
      <c r="E357"/>
      <c r="F357"/>
      <c r="G357"/>
      <c r="H357"/>
      <c r="I357"/>
    </row>
    <row r="358" spans="1:9" ht="15">
      <c r="A358"/>
      <c r="B358"/>
      <c r="C358"/>
      <c r="D358"/>
      <c r="E358"/>
      <c r="F358"/>
      <c r="G358"/>
      <c r="H358"/>
      <c r="I358"/>
    </row>
    <row r="359" spans="1:9" ht="15">
      <c r="A359"/>
      <c r="B359"/>
      <c r="C359"/>
      <c r="D359"/>
      <c r="E359"/>
      <c r="F359"/>
      <c r="G359"/>
      <c r="H359"/>
      <c r="I359"/>
    </row>
    <row r="360" spans="1:9" ht="15">
      <c r="A360"/>
      <c r="B360"/>
      <c r="C360"/>
      <c r="D360"/>
      <c r="E360"/>
      <c r="F360"/>
      <c r="G360"/>
      <c r="H360"/>
      <c r="I360"/>
    </row>
    <row r="361" spans="1:9" ht="15">
      <c r="A361"/>
      <c r="B361"/>
      <c r="C361"/>
      <c r="D361"/>
      <c r="E361"/>
      <c r="F361"/>
      <c r="G361"/>
      <c r="H361"/>
      <c r="I361"/>
    </row>
    <row r="362" spans="1:9" ht="15">
      <c r="A362"/>
      <c r="B362"/>
      <c r="C362"/>
      <c r="D362"/>
      <c r="E362"/>
      <c r="F362"/>
      <c r="G362"/>
      <c r="H362"/>
      <c r="I362"/>
    </row>
    <row r="363" spans="1:9" ht="15">
      <c r="A363"/>
      <c r="B363"/>
      <c r="C363"/>
      <c r="D363"/>
      <c r="E363"/>
      <c r="F363"/>
      <c r="G363"/>
      <c r="H363"/>
      <c r="I363"/>
    </row>
    <row r="364" spans="1:9" ht="15">
      <c r="A364"/>
      <c r="B364"/>
      <c r="C364"/>
      <c r="D364"/>
      <c r="E364"/>
      <c r="F364"/>
      <c r="G364"/>
      <c r="H364"/>
      <c r="I364"/>
    </row>
    <row r="365" spans="1:9" ht="15">
      <c r="A365"/>
      <c r="B365"/>
      <c r="C365"/>
      <c r="D365"/>
      <c r="E365"/>
      <c r="F365"/>
      <c r="G365"/>
      <c r="H365"/>
      <c r="I365"/>
    </row>
    <row r="366" spans="1:9" ht="15">
      <c r="A366"/>
      <c r="B366"/>
      <c r="C366"/>
      <c r="D366"/>
      <c r="E366"/>
      <c r="F366"/>
      <c r="G366"/>
      <c r="H366"/>
      <c r="I366"/>
    </row>
    <row r="367" spans="1:9" ht="15">
      <c r="A367"/>
      <c r="B367"/>
      <c r="C367"/>
      <c r="D367"/>
      <c r="E367"/>
      <c r="F367"/>
      <c r="G367"/>
      <c r="H367"/>
      <c r="I367"/>
    </row>
    <row r="368" spans="1:9" ht="15">
      <c r="A368"/>
      <c r="B368"/>
      <c r="C368"/>
      <c r="D368"/>
      <c r="E368"/>
      <c r="F368"/>
      <c r="G368"/>
      <c r="H368"/>
      <c r="I368"/>
    </row>
    <row r="369" spans="1:9" ht="15">
      <c r="A369"/>
      <c r="B369"/>
      <c r="C369"/>
      <c r="D369"/>
      <c r="E369"/>
      <c r="F369"/>
      <c r="G369"/>
      <c r="H369"/>
      <c r="I369"/>
    </row>
    <row r="370" spans="1:9" ht="15">
      <c r="A370"/>
      <c r="B370"/>
      <c r="C370"/>
      <c r="D370"/>
      <c r="E370"/>
      <c r="F370"/>
      <c r="G370"/>
      <c r="H370"/>
      <c r="I370"/>
    </row>
    <row r="371" spans="1:9" ht="15">
      <c r="A371"/>
      <c r="B371"/>
      <c r="C371"/>
      <c r="D371"/>
      <c r="E371"/>
      <c r="F371"/>
      <c r="G371"/>
      <c r="H371"/>
      <c r="I371"/>
    </row>
    <row r="372" spans="1:9" ht="15">
      <c r="A372"/>
      <c r="B372"/>
      <c r="C372"/>
      <c r="D372"/>
      <c r="E372"/>
      <c r="F372"/>
      <c r="G372"/>
      <c r="H372"/>
      <c r="I372"/>
    </row>
    <row r="373" spans="1:9" ht="15">
      <c r="A373"/>
      <c r="B373"/>
      <c r="C373"/>
      <c r="D373"/>
      <c r="E373"/>
      <c r="F373"/>
      <c r="G373"/>
      <c r="H373"/>
      <c r="I373"/>
    </row>
    <row r="374" spans="1:9" ht="15">
      <c r="A374"/>
      <c r="B374"/>
      <c r="C374"/>
      <c r="D374"/>
      <c r="E374"/>
      <c r="F374"/>
      <c r="G374"/>
      <c r="H374"/>
      <c r="I374"/>
    </row>
    <row r="375" spans="1:9" ht="15">
      <c r="A375"/>
      <c r="B375"/>
      <c r="C375"/>
      <c r="D375"/>
      <c r="E375"/>
      <c r="F375"/>
      <c r="G375"/>
      <c r="H375"/>
      <c r="I375"/>
    </row>
    <row r="376" spans="1:9" ht="15">
      <c r="A376"/>
      <c r="B376"/>
      <c r="C376"/>
      <c r="D376"/>
      <c r="E376"/>
      <c r="F376"/>
      <c r="G376"/>
      <c r="H376"/>
      <c r="I376"/>
    </row>
    <row r="377" spans="1:9" ht="15">
      <c r="A377"/>
      <c r="B377"/>
      <c r="C377"/>
      <c r="D377"/>
      <c r="E377"/>
      <c r="F377"/>
      <c r="G377"/>
      <c r="H377"/>
      <c r="I377"/>
    </row>
    <row r="378" spans="1:9" ht="15">
      <c r="A378"/>
      <c r="B378"/>
      <c r="C378"/>
      <c r="D378"/>
      <c r="E378"/>
      <c r="F378"/>
      <c r="G378"/>
      <c r="H378"/>
      <c r="I378"/>
    </row>
    <row r="379" spans="1:9" ht="15">
      <c r="A379"/>
      <c r="B379"/>
      <c r="C379"/>
      <c r="D379"/>
      <c r="E379"/>
      <c r="F379"/>
      <c r="G379"/>
      <c r="H379"/>
      <c r="I379"/>
    </row>
    <row r="380" spans="1:9" ht="15">
      <c r="A380"/>
      <c r="B380"/>
      <c r="C380"/>
      <c r="D380"/>
      <c r="E380"/>
      <c r="F380"/>
      <c r="G380"/>
      <c r="H380"/>
      <c r="I380"/>
    </row>
    <row r="381" spans="1:9" ht="15">
      <c r="A381"/>
      <c r="B381"/>
      <c r="C381"/>
      <c r="D381"/>
      <c r="E381"/>
      <c r="F381"/>
      <c r="G381"/>
      <c r="H381"/>
      <c r="I381"/>
    </row>
    <row r="382" spans="1:9" ht="15">
      <c r="A382"/>
      <c r="B382"/>
      <c r="C382"/>
      <c r="D382"/>
      <c r="E382"/>
      <c r="F382"/>
      <c r="G382"/>
      <c r="H382"/>
      <c r="I382"/>
    </row>
    <row r="383" spans="1:9" ht="15">
      <c r="A383"/>
      <c r="B383"/>
      <c r="C383"/>
      <c r="D383"/>
      <c r="E383"/>
      <c r="F383"/>
      <c r="G383"/>
      <c r="H383"/>
      <c r="I383"/>
    </row>
    <row r="384" spans="1:9" ht="15">
      <c r="A384"/>
      <c r="B384"/>
      <c r="C384"/>
      <c r="D384"/>
      <c r="E384"/>
      <c r="F384"/>
      <c r="G384"/>
      <c r="H384"/>
      <c r="I384"/>
    </row>
    <row r="385" spans="1:9" ht="15">
      <c r="A385"/>
      <c r="B385"/>
      <c r="C385"/>
      <c r="D385"/>
      <c r="E385"/>
      <c r="F385"/>
      <c r="G385"/>
      <c r="H385"/>
      <c r="I385"/>
    </row>
    <row r="386" spans="1:9" ht="15">
      <c r="A386"/>
      <c r="B386"/>
      <c r="C386"/>
      <c r="D386"/>
      <c r="E386"/>
      <c r="F386"/>
      <c r="G386"/>
      <c r="H386"/>
      <c r="I386"/>
    </row>
    <row r="387" spans="1:9" ht="15">
      <c r="A387"/>
      <c r="B387"/>
      <c r="C387"/>
      <c r="D387"/>
      <c r="E387"/>
      <c r="F387"/>
      <c r="G387"/>
      <c r="H387"/>
      <c r="I387"/>
    </row>
    <row r="388" spans="1:9" ht="15">
      <c r="A388"/>
      <c r="B388"/>
      <c r="C388"/>
      <c r="D388"/>
      <c r="E388"/>
      <c r="F388"/>
      <c r="G388"/>
      <c r="H388"/>
      <c r="I388"/>
    </row>
    <row r="389" spans="1:9" ht="15">
      <c r="A389"/>
      <c r="B389"/>
      <c r="C389"/>
      <c r="D389"/>
      <c r="E389"/>
      <c r="F389"/>
      <c r="G389"/>
      <c r="H389"/>
      <c r="I389"/>
    </row>
    <row r="390" spans="1:9" ht="15">
      <c r="A390"/>
      <c r="B390"/>
      <c r="C390"/>
      <c r="D390"/>
      <c r="E390"/>
      <c r="F390"/>
      <c r="G390"/>
      <c r="H390"/>
      <c r="I390"/>
    </row>
    <row r="391" spans="1:9" ht="15">
      <c r="A391"/>
      <c r="B391"/>
      <c r="C391"/>
      <c r="D391"/>
      <c r="E391"/>
      <c r="F391"/>
      <c r="G391"/>
      <c r="H391"/>
      <c r="I391"/>
    </row>
    <row r="392" spans="1:9" ht="15">
      <c r="A392"/>
      <c r="B392"/>
      <c r="C392"/>
      <c r="D392"/>
      <c r="E392"/>
      <c r="F392"/>
      <c r="G392"/>
      <c r="H392"/>
      <c r="I392"/>
    </row>
    <row r="393" spans="1:9" ht="15">
      <c r="A393"/>
      <c r="B393"/>
      <c r="C393"/>
      <c r="D393"/>
      <c r="E393"/>
      <c r="F393"/>
      <c r="G393"/>
      <c r="H393"/>
      <c r="I393"/>
    </row>
    <row r="394" spans="1:9" ht="15">
      <c r="A394"/>
      <c r="B394"/>
      <c r="C394"/>
      <c r="D394"/>
      <c r="E394"/>
      <c r="F394"/>
      <c r="G394"/>
      <c r="H394"/>
      <c r="I394"/>
    </row>
    <row r="395" spans="1:9" ht="15">
      <c r="A395"/>
      <c r="B395"/>
      <c r="C395"/>
      <c r="D395"/>
      <c r="E395"/>
      <c r="F395"/>
      <c r="G395"/>
      <c r="H395"/>
      <c r="I395"/>
    </row>
    <row r="396" spans="1:9" ht="15">
      <c r="A396"/>
      <c r="B396"/>
      <c r="C396"/>
      <c r="D396"/>
      <c r="E396"/>
      <c r="F396"/>
      <c r="G396"/>
      <c r="H396"/>
      <c r="I396"/>
    </row>
    <row r="397" spans="1:9" ht="15">
      <c r="A397"/>
      <c r="B397"/>
      <c r="C397"/>
      <c r="D397"/>
      <c r="E397"/>
      <c r="F397"/>
      <c r="G397"/>
      <c r="H397"/>
      <c r="I397"/>
    </row>
    <row r="398" spans="1:9" ht="15">
      <c r="A398"/>
      <c r="B398"/>
      <c r="C398"/>
      <c r="D398"/>
      <c r="E398"/>
      <c r="F398"/>
      <c r="G398"/>
      <c r="H398"/>
      <c r="I398"/>
    </row>
    <row r="399" spans="1:9" ht="15">
      <c r="A399"/>
      <c r="B399"/>
      <c r="C399"/>
      <c r="D399"/>
      <c r="E399"/>
      <c r="F399"/>
      <c r="G399"/>
      <c r="H399"/>
      <c r="I399"/>
    </row>
    <row r="400" spans="1:9" ht="15">
      <c r="A400"/>
      <c r="B400"/>
      <c r="C400"/>
      <c r="D400"/>
      <c r="E400"/>
      <c r="F400"/>
      <c r="G400"/>
      <c r="H400"/>
      <c r="I400"/>
    </row>
    <row r="401" spans="1:9" ht="15">
      <c r="A401"/>
      <c r="B401"/>
      <c r="C401"/>
      <c r="D401"/>
      <c r="E401"/>
      <c r="F401"/>
      <c r="G401"/>
      <c r="H401"/>
      <c r="I401"/>
    </row>
    <row r="402" spans="1:9" ht="15">
      <c r="A402"/>
      <c r="B402"/>
      <c r="C402"/>
      <c r="D402"/>
      <c r="E402"/>
      <c r="F402"/>
      <c r="G402"/>
      <c r="H402"/>
      <c r="I402"/>
    </row>
    <row r="403" spans="1:9" ht="15">
      <c r="A403"/>
      <c r="B403"/>
      <c r="C403"/>
      <c r="D403"/>
      <c r="E403"/>
      <c r="F403"/>
      <c r="G403"/>
      <c r="H403"/>
      <c r="I403"/>
    </row>
    <row r="404" spans="1:9" ht="15">
      <c r="A404"/>
      <c r="B404"/>
      <c r="C404"/>
      <c r="D404"/>
      <c r="E404"/>
      <c r="F404"/>
      <c r="G404"/>
      <c r="H404"/>
      <c r="I404"/>
    </row>
    <row r="405" spans="1:9" ht="15">
      <c r="A405"/>
      <c r="B405"/>
      <c r="C405"/>
      <c r="D405"/>
      <c r="E405"/>
      <c r="F405"/>
      <c r="G405"/>
      <c r="H405"/>
      <c r="I405"/>
    </row>
    <row r="406" spans="1:9" ht="15">
      <c r="A406"/>
      <c r="B406"/>
      <c r="C406"/>
      <c r="D406"/>
      <c r="E406"/>
      <c r="F406"/>
      <c r="G406"/>
      <c r="H406"/>
      <c r="I406"/>
    </row>
    <row r="407" spans="1:9" ht="15">
      <c r="A407"/>
      <c r="B407"/>
      <c r="C407"/>
      <c r="D407"/>
      <c r="E407"/>
      <c r="F407"/>
      <c r="G407"/>
      <c r="H407"/>
      <c r="I407"/>
    </row>
    <row r="408" spans="1:9" ht="15">
      <c r="A408"/>
      <c r="B408"/>
      <c r="C408"/>
      <c r="D408"/>
      <c r="E408"/>
      <c r="F408"/>
      <c r="G408"/>
      <c r="H408"/>
      <c r="I408"/>
    </row>
    <row r="409" spans="1:9" ht="15">
      <c r="A409"/>
      <c r="B409"/>
      <c r="C409"/>
      <c r="D409"/>
      <c r="E409"/>
      <c r="F409"/>
      <c r="G409"/>
      <c r="H409"/>
      <c r="I409"/>
    </row>
    <row r="410" spans="1:9" ht="15">
      <c r="A410"/>
      <c r="B410"/>
      <c r="C410"/>
      <c r="D410"/>
      <c r="E410"/>
      <c r="F410"/>
      <c r="G410"/>
      <c r="H410"/>
      <c r="I410"/>
    </row>
    <row r="411" spans="1:9" ht="15">
      <c r="A411"/>
      <c r="B411"/>
      <c r="C411"/>
      <c r="D411"/>
      <c r="E411"/>
      <c r="F411"/>
      <c r="G411"/>
      <c r="H411"/>
      <c r="I411"/>
    </row>
    <row r="412" spans="1:9" ht="15">
      <c r="A412"/>
      <c r="B412"/>
      <c r="C412"/>
      <c r="D412"/>
      <c r="E412"/>
      <c r="F412"/>
      <c r="G412"/>
      <c r="H412"/>
      <c r="I412"/>
    </row>
    <row r="413" spans="1:9" ht="15">
      <c r="A413"/>
      <c r="B413"/>
      <c r="C413"/>
      <c r="D413"/>
      <c r="E413"/>
      <c r="F413"/>
      <c r="G413"/>
      <c r="H413"/>
      <c r="I413"/>
    </row>
    <row r="414" spans="1:9" ht="15">
      <c r="A414"/>
      <c r="B414"/>
      <c r="C414"/>
      <c r="D414"/>
      <c r="E414"/>
      <c r="F414"/>
      <c r="G414"/>
      <c r="H414"/>
      <c r="I414"/>
    </row>
    <row r="415" spans="1:9" ht="15">
      <c r="A415"/>
      <c r="B415"/>
      <c r="C415"/>
      <c r="D415"/>
      <c r="E415"/>
      <c r="F415"/>
      <c r="G415"/>
      <c r="H415"/>
      <c r="I415"/>
    </row>
    <row r="416" spans="1:9" ht="15">
      <c r="A416"/>
      <c r="B416"/>
      <c r="C416"/>
      <c r="D416"/>
      <c r="E416"/>
      <c r="F416"/>
      <c r="G416"/>
      <c r="H416"/>
      <c r="I416"/>
    </row>
    <row r="417" spans="1:9" ht="15">
      <c r="A417"/>
      <c r="B417"/>
      <c r="C417"/>
      <c r="D417"/>
      <c r="E417"/>
      <c r="F417"/>
      <c r="G417"/>
      <c r="H417"/>
      <c r="I417"/>
    </row>
    <row r="418" spans="1:9" ht="15">
      <c r="A418"/>
      <c r="B418"/>
      <c r="C418"/>
      <c r="D418"/>
      <c r="E418"/>
      <c r="F418"/>
      <c r="G418"/>
      <c r="H418"/>
      <c r="I418"/>
    </row>
    <row r="419" spans="1:9" ht="15">
      <c r="A419"/>
      <c r="B419"/>
      <c r="C419"/>
      <c r="D419"/>
      <c r="E419"/>
      <c r="F419"/>
      <c r="G419"/>
      <c r="H419"/>
      <c r="I419"/>
    </row>
    <row r="420" spans="1:9" ht="15">
      <c r="A420"/>
      <c r="B420"/>
      <c r="C420"/>
      <c r="D420"/>
      <c r="E420"/>
      <c r="F420"/>
      <c r="G420"/>
      <c r="H420"/>
      <c r="I420"/>
    </row>
    <row r="421" spans="1:9" ht="15">
      <c r="A421"/>
      <c r="B421"/>
      <c r="C421"/>
      <c r="D421"/>
      <c r="E421"/>
      <c r="F421"/>
      <c r="G421"/>
      <c r="H421"/>
      <c r="I421"/>
    </row>
    <row r="422" spans="1:9" ht="15">
      <c r="A422"/>
      <c r="B422"/>
      <c r="C422"/>
      <c r="D422"/>
      <c r="E422"/>
      <c r="F422"/>
      <c r="G422"/>
      <c r="H422"/>
      <c r="I422"/>
    </row>
    <row r="423" spans="1:9" ht="15">
      <c r="A423"/>
      <c r="B423"/>
      <c r="C423"/>
      <c r="D423"/>
      <c r="E423"/>
      <c r="F423"/>
      <c r="G423"/>
      <c r="H423"/>
      <c r="I423"/>
    </row>
    <row r="424" spans="1:9" ht="15">
      <c r="A424"/>
      <c r="B424"/>
      <c r="C424"/>
      <c r="D424"/>
      <c r="E424"/>
      <c r="F424"/>
      <c r="G424"/>
      <c r="H424"/>
      <c r="I424"/>
    </row>
    <row r="425" spans="1:9" ht="15">
      <c r="A425"/>
      <c r="B425"/>
      <c r="C425"/>
      <c r="D425"/>
      <c r="E425"/>
      <c r="F425"/>
      <c r="G425"/>
      <c r="H425"/>
      <c r="I425"/>
    </row>
    <row r="426" spans="1:9" ht="15">
      <c r="A426"/>
      <c r="B426"/>
      <c r="C426"/>
      <c r="D426"/>
      <c r="E426"/>
      <c r="F426"/>
      <c r="G426"/>
      <c r="H426"/>
      <c r="I426"/>
    </row>
    <row r="427" spans="1:9" ht="15">
      <c r="A427"/>
      <c r="B427"/>
      <c r="C427"/>
      <c r="D427"/>
      <c r="E427"/>
      <c r="F427"/>
      <c r="G427"/>
      <c r="H427"/>
      <c r="I427"/>
    </row>
    <row r="428" spans="1:9" ht="15">
      <c r="A428"/>
      <c r="B428"/>
      <c r="C428"/>
      <c r="D428"/>
      <c r="E428"/>
      <c r="F428"/>
      <c r="G428"/>
      <c r="H428"/>
      <c r="I428"/>
    </row>
    <row r="429" spans="1:9" ht="15">
      <c r="A429"/>
      <c r="B429"/>
      <c r="C429"/>
      <c r="D429"/>
      <c r="E429"/>
      <c r="F429"/>
      <c r="G429"/>
      <c r="H429"/>
      <c r="I429"/>
    </row>
    <row r="430" spans="1:9" ht="15">
      <c r="A430"/>
      <c r="B430"/>
      <c r="C430"/>
      <c r="D430"/>
      <c r="E430"/>
      <c r="F430"/>
      <c r="G430"/>
      <c r="H430"/>
      <c r="I430"/>
    </row>
    <row r="431" spans="1:9" ht="15">
      <c r="A431"/>
      <c r="B431"/>
      <c r="C431"/>
      <c r="D431"/>
      <c r="E431"/>
      <c r="F431"/>
      <c r="G431"/>
      <c r="H431"/>
      <c r="I431"/>
    </row>
    <row r="432" spans="1:9" ht="15">
      <c r="A432"/>
      <c r="B432"/>
      <c r="C432"/>
      <c r="D432"/>
      <c r="E432"/>
      <c r="F432"/>
      <c r="G432"/>
      <c r="H432"/>
      <c r="I432"/>
    </row>
    <row r="433" spans="1:9" ht="15">
      <c r="A433"/>
      <c r="B433"/>
      <c r="C433"/>
      <c r="D433"/>
      <c r="E433"/>
      <c r="F433"/>
      <c r="G433"/>
      <c r="H433"/>
      <c r="I433"/>
    </row>
    <row r="434" spans="1:9" ht="15">
      <c r="A434"/>
      <c r="B434"/>
      <c r="C434"/>
      <c r="D434"/>
      <c r="E434"/>
      <c r="F434"/>
      <c r="G434"/>
      <c r="H434"/>
      <c r="I434"/>
    </row>
    <row r="435" spans="1:9" ht="15">
      <c r="A435"/>
      <c r="B435"/>
      <c r="C435"/>
      <c r="D435"/>
      <c r="E435"/>
      <c r="F435"/>
      <c r="G435"/>
      <c r="H435"/>
      <c r="I435"/>
    </row>
    <row r="436" spans="1:9" ht="15">
      <c r="A436"/>
      <c r="B436"/>
      <c r="C436"/>
      <c r="D436"/>
      <c r="E436"/>
      <c r="F436"/>
      <c r="G436"/>
      <c r="H436"/>
      <c r="I436"/>
    </row>
    <row r="437" spans="1:9" ht="15">
      <c r="A437"/>
      <c r="B437"/>
      <c r="C437"/>
      <c r="D437"/>
      <c r="E437"/>
      <c r="F437"/>
      <c r="G437"/>
      <c r="H437"/>
      <c r="I437"/>
    </row>
    <row r="438" spans="1:9" ht="15">
      <c r="A438"/>
      <c r="B438"/>
      <c r="C438"/>
      <c r="D438"/>
      <c r="E438"/>
      <c r="F438"/>
      <c r="G438"/>
      <c r="H438"/>
      <c r="I438"/>
    </row>
    <row r="439" spans="1:9" ht="15">
      <c r="A439"/>
      <c r="B439"/>
      <c r="C439"/>
      <c r="D439"/>
      <c r="E439"/>
      <c r="F439"/>
      <c r="G439"/>
      <c r="H439"/>
      <c r="I439"/>
    </row>
    <row r="440" spans="1:9" ht="15">
      <c r="A440"/>
      <c r="B440"/>
      <c r="C440"/>
      <c r="D440"/>
      <c r="E440"/>
      <c r="F440"/>
      <c r="G440"/>
      <c r="H440"/>
      <c r="I440"/>
    </row>
    <row r="441" spans="1:9" ht="15">
      <c r="A441"/>
      <c r="B441"/>
      <c r="C441"/>
      <c r="D441"/>
      <c r="E441"/>
      <c r="F441"/>
      <c r="G441"/>
      <c r="H441"/>
      <c r="I441"/>
    </row>
    <row r="442" spans="1:9" ht="15">
      <c r="A442"/>
      <c r="B442"/>
      <c r="C442"/>
      <c r="D442"/>
      <c r="E442"/>
      <c r="F442"/>
      <c r="G442"/>
      <c r="H442"/>
      <c r="I442"/>
    </row>
    <row r="443" spans="1:9" ht="15">
      <c r="A443"/>
      <c r="B443"/>
      <c r="C443"/>
      <c r="D443"/>
      <c r="E443"/>
      <c r="F443"/>
      <c r="G443"/>
      <c r="H443"/>
      <c r="I443"/>
    </row>
    <row r="444" spans="1:9" ht="15">
      <c r="A444"/>
      <c r="B444"/>
      <c r="C444"/>
      <c r="D444"/>
      <c r="E444"/>
      <c r="F444"/>
      <c r="G444"/>
      <c r="H444"/>
      <c r="I444"/>
    </row>
    <row r="445" spans="1:9" ht="15">
      <c r="A445"/>
      <c r="B445"/>
      <c r="C445"/>
      <c r="D445"/>
      <c r="E445"/>
      <c r="F445"/>
      <c r="G445"/>
      <c r="H445"/>
      <c r="I445"/>
    </row>
    <row r="446" spans="1:9" ht="15">
      <c r="A446"/>
      <c r="B446"/>
      <c r="C446"/>
      <c r="D446"/>
      <c r="E446"/>
      <c r="F446"/>
      <c r="G446"/>
      <c r="H446"/>
      <c r="I446"/>
    </row>
    <row r="447" spans="1:9" ht="15">
      <c r="A447"/>
      <c r="B447"/>
      <c r="C447"/>
      <c r="D447"/>
      <c r="E447"/>
      <c r="F447"/>
      <c r="G447"/>
      <c r="H447"/>
      <c r="I447"/>
    </row>
    <row r="448" spans="1:9" ht="15">
      <c r="A448"/>
      <c r="B448"/>
      <c r="C448"/>
      <c r="D448"/>
      <c r="E448"/>
      <c r="F448"/>
      <c r="G448"/>
      <c r="H448"/>
      <c r="I448"/>
    </row>
    <row r="449" spans="1:9" ht="15">
      <c r="A449"/>
      <c r="B449"/>
      <c r="C449"/>
      <c r="D449"/>
      <c r="E449"/>
      <c r="F449"/>
      <c r="G449"/>
      <c r="H449"/>
      <c r="I449"/>
    </row>
    <row r="450" spans="1:9" ht="15">
      <c r="A450"/>
      <c r="B450"/>
      <c r="C450"/>
      <c r="D450"/>
      <c r="E450"/>
      <c r="F450"/>
      <c r="G450"/>
      <c r="H450"/>
      <c r="I450"/>
    </row>
    <row r="451" spans="1:9" ht="15">
      <c r="A451"/>
      <c r="B451"/>
      <c r="C451"/>
      <c r="D451"/>
      <c r="E451"/>
      <c r="F451"/>
      <c r="G451"/>
      <c r="H451"/>
      <c r="I451"/>
    </row>
    <row r="452" spans="1:9" ht="15">
      <c r="A452"/>
      <c r="B452"/>
      <c r="C452"/>
      <c r="D452"/>
      <c r="E452"/>
      <c r="F452"/>
      <c r="G452"/>
      <c r="H452"/>
      <c r="I452"/>
    </row>
    <row r="453" spans="1:9" ht="15">
      <c r="A453"/>
      <c r="B453"/>
      <c r="C453"/>
      <c r="D453"/>
      <c r="E453"/>
      <c r="F453"/>
      <c r="G453"/>
      <c r="H453"/>
      <c r="I453"/>
    </row>
    <row r="454" spans="1:9" ht="15">
      <c r="A454"/>
      <c r="B454"/>
      <c r="C454"/>
      <c r="D454"/>
      <c r="E454"/>
      <c r="F454"/>
      <c r="G454"/>
      <c r="H454"/>
      <c r="I454"/>
    </row>
    <row r="455" spans="1:9" ht="15">
      <c r="A455"/>
      <c r="B455"/>
      <c r="C455"/>
      <c r="D455"/>
      <c r="E455"/>
      <c r="F455"/>
      <c r="G455"/>
      <c r="H455"/>
      <c r="I455"/>
    </row>
    <row r="456" spans="1:9" ht="15">
      <c r="A456"/>
      <c r="B456"/>
      <c r="C456"/>
      <c r="D456"/>
      <c r="E456"/>
      <c r="F456"/>
      <c r="G456"/>
      <c r="H456"/>
      <c r="I456"/>
    </row>
    <row r="457" spans="1:9" ht="15">
      <c r="A457"/>
      <c r="B457"/>
      <c r="C457"/>
      <c r="D457"/>
      <c r="E457"/>
      <c r="F457"/>
      <c r="G457"/>
      <c r="H457"/>
      <c r="I457"/>
    </row>
    <row r="458" spans="1:9" ht="15">
      <c r="A458"/>
      <c r="B458"/>
      <c r="C458"/>
      <c r="D458"/>
      <c r="E458"/>
      <c r="F458"/>
      <c r="G458"/>
      <c r="H458"/>
      <c r="I458"/>
    </row>
    <row r="459" spans="1:9" ht="15">
      <c r="A459"/>
      <c r="B459"/>
      <c r="C459"/>
      <c r="D459"/>
      <c r="E459"/>
      <c r="F459"/>
      <c r="G459"/>
      <c r="H459"/>
      <c r="I459"/>
    </row>
    <row r="460" spans="1:9" ht="15">
      <c r="A460"/>
      <c r="B460"/>
      <c r="C460"/>
      <c r="D460"/>
      <c r="E460"/>
      <c r="F460"/>
      <c r="G460"/>
      <c r="H460"/>
      <c r="I460"/>
    </row>
    <row r="461" spans="1:9" ht="15">
      <c r="A461"/>
      <c r="B461"/>
      <c r="C461"/>
      <c r="D461"/>
      <c r="E461"/>
      <c r="F461"/>
      <c r="G461"/>
      <c r="H461"/>
      <c r="I461"/>
    </row>
    <row r="462" spans="1:9" ht="15">
      <c r="A462"/>
      <c r="B462"/>
      <c r="C462"/>
      <c r="D462"/>
      <c r="E462"/>
      <c r="F462"/>
      <c r="G462"/>
      <c r="H462"/>
      <c r="I462"/>
    </row>
    <row r="463" spans="1:9" ht="15">
      <c r="A463"/>
      <c r="B463"/>
      <c r="C463"/>
      <c r="D463"/>
      <c r="E463"/>
      <c r="F463"/>
      <c r="G463"/>
      <c r="H463"/>
      <c r="I463"/>
    </row>
    <row r="464" spans="1:9" ht="15">
      <c r="A464"/>
      <c r="B464"/>
      <c r="C464"/>
      <c r="D464"/>
      <c r="E464"/>
      <c r="F464"/>
      <c r="G464"/>
      <c r="H464"/>
      <c r="I464"/>
    </row>
    <row r="465" spans="1:9" ht="15">
      <c r="A465"/>
      <c r="B465"/>
      <c r="C465"/>
      <c r="D465"/>
      <c r="E465"/>
      <c r="F465"/>
      <c r="G465"/>
      <c r="H465"/>
      <c r="I465"/>
    </row>
    <row r="466" spans="1:9" ht="15">
      <c r="A466"/>
      <c r="B466"/>
      <c r="C466"/>
      <c r="D466"/>
      <c r="E466"/>
      <c r="F466"/>
      <c r="G466"/>
      <c r="H466"/>
      <c r="I466"/>
    </row>
    <row r="467" spans="1:9" ht="15">
      <c r="A467"/>
      <c r="B467"/>
      <c r="C467"/>
      <c r="D467"/>
      <c r="E467"/>
      <c r="F467"/>
      <c r="G467"/>
      <c r="H467"/>
      <c r="I467"/>
    </row>
    <row r="468" spans="1:9" ht="15">
      <c r="A468"/>
      <c r="B468"/>
      <c r="C468"/>
      <c r="D468"/>
      <c r="E468"/>
      <c r="F468"/>
      <c r="G468"/>
      <c r="H468"/>
      <c r="I468"/>
    </row>
    <row r="469" spans="1:9" ht="15">
      <c r="A469"/>
      <c r="B469"/>
      <c r="C469"/>
      <c r="D469"/>
      <c r="E469"/>
      <c r="F469"/>
      <c r="G469"/>
      <c r="H469"/>
      <c r="I469"/>
    </row>
    <row r="470" spans="1:9" ht="15">
      <c r="A470"/>
      <c r="B470"/>
      <c r="C470"/>
      <c r="D470"/>
      <c r="E470"/>
      <c r="F470"/>
      <c r="G470"/>
      <c r="H470"/>
      <c r="I470"/>
    </row>
    <row r="471" spans="1:9" ht="15">
      <c r="A471"/>
      <c r="B471"/>
      <c r="C471"/>
      <c r="D471"/>
      <c r="E471"/>
      <c r="F471"/>
      <c r="G471"/>
      <c r="H471"/>
      <c r="I471"/>
    </row>
    <row r="472" spans="1:9" ht="15">
      <c r="A472"/>
      <c r="B472"/>
      <c r="C472"/>
      <c r="D472"/>
      <c r="E472"/>
      <c r="F472"/>
      <c r="G472"/>
      <c r="H472"/>
      <c r="I472"/>
    </row>
    <row r="473" spans="1:9" ht="15">
      <c r="A473"/>
      <c r="B473"/>
      <c r="C473"/>
      <c r="D473"/>
      <c r="E473"/>
      <c r="F473"/>
      <c r="G473"/>
      <c r="H473"/>
      <c r="I473"/>
    </row>
    <row r="474" spans="1:9" ht="15">
      <c r="A474"/>
      <c r="B474"/>
      <c r="C474"/>
      <c r="D474"/>
      <c r="E474"/>
      <c r="F474"/>
      <c r="G474"/>
      <c r="H474"/>
      <c r="I474"/>
    </row>
    <row r="475" spans="1:9" ht="15">
      <c r="A475"/>
      <c r="B475"/>
      <c r="C475"/>
      <c r="D475"/>
      <c r="E475"/>
      <c r="F475"/>
      <c r="G475"/>
      <c r="H475"/>
      <c r="I475"/>
    </row>
    <row r="476" spans="1:9" ht="15">
      <c r="A476"/>
      <c r="B476"/>
      <c r="C476"/>
      <c r="D476"/>
      <c r="E476"/>
      <c r="F476"/>
      <c r="G476"/>
      <c r="H476"/>
      <c r="I476"/>
    </row>
    <row r="477" spans="1:9" ht="15">
      <c r="A477"/>
      <c r="B477"/>
      <c r="C477"/>
      <c r="D477"/>
      <c r="E477"/>
      <c r="F477"/>
      <c r="G477"/>
      <c r="H477"/>
      <c r="I477"/>
    </row>
    <row r="478" spans="1:9" ht="15">
      <c r="A478"/>
      <c r="B478"/>
      <c r="C478"/>
      <c r="D478"/>
      <c r="E478"/>
      <c r="F478"/>
      <c r="G478"/>
      <c r="H478"/>
      <c r="I478"/>
    </row>
    <row r="479" spans="1:9" ht="15">
      <c r="A479"/>
      <c r="B479"/>
      <c r="C479"/>
      <c r="D479"/>
      <c r="E479"/>
      <c r="F479"/>
      <c r="G479"/>
      <c r="H479"/>
      <c r="I479"/>
    </row>
    <row r="480" spans="1:9" ht="15">
      <c r="A480"/>
      <c r="B480"/>
      <c r="C480"/>
      <c r="D480"/>
      <c r="E480"/>
      <c r="F480"/>
      <c r="G480"/>
      <c r="H480"/>
      <c r="I480"/>
    </row>
    <row r="481" spans="1:9" ht="15">
      <c r="A481"/>
      <c r="B481"/>
      <c r="C481"/>
      <c r="D481"/>
      <c r="E481"/>
      <c r="F481"/>
      <c r="G481"/>
      <c r="H481"/>
      <c r="I481"/>
    </row>
    <row r="482" spans="1:9" ht="15">
      <c r="A482"/>
      <c r="B482"/>
      <c r="C482"/>
      <c r="D482"/>
      <c r="E482"/>
      <c r="F482"/>
      <c r="G482"/>
      <c r="H482"/>
      <c r="I482"/>
    </row>
    <row r="483" spans="1:9" ht="15">
      <c r="A483"/>
      <c r="B483"/>
      <c r="C483"/>
      <c r="D483"/>
      <c r="E483"/>
      <c r="F483"/>
      <c r="G483"/>
      <c r="H483"/>
      <c r="I483"/>
    </row>
    <row r="484" spans="1:9" ht="15">
      <c r="A484"/>
      <c r="B484"/>
      <c r="C484"/>
      <c r="D484"/>
      <c r="E484"/>
      <c r="F484"/>
      <c r="G484"/>
      <c r="H484"/>
      <c r="I484"/>
    </row>
    <row r="485" spans="1:9" ht="15">
      <c r="A485"/>
      <c r="B485"/>
      <c r="C485"/>
      <c r="D485"/>
      <c r="E485"/>
      <c r="F485"/>
      <c r="G485"/>
      <c r="H485"/>
      <c r="I485"/>
    </row>
    <row r="486" spans="1:9" ht="15">
      <c r="A486"/>
      <c r="B486"/>
      <c r="C486"/>
      <c r="D486"/>
      <c r="E486"/>
      <c r="F486"/>
      <c r="G486"/>
      <c r="H486"/>
      <c r="I486"/>
    </row>
    <row r="487" spans="1:9" ht="15">
      <c r="A487"/>
      <c r="B487"/>
      <c r="C487"/>
      <c r="D487"/>
      <c r="E487"/>
      <c r="F487"/>
      <c r="G487"/>
      <c r="H487"/>
      <c r="I487"/>
    </row>
    <row r="488" spans="1:9" ht="15">
      <c r="A488"/>
      <c r="B488"/>
      <c r="C488"/>
      <c r="D488"/>
      <c r="E488"/>
      <c r="F488"/>
      <c r="G488"/>
      <c r="H488"/>
      <c r="I488"/>
    </row>
    <row r="489" spans="1:9" ht="15">
      <c r="A489"/>
      <c r="B489"/>
      <c r="C489"/>
      <c r="D489"/>
      <c r="E489"/>
      <c r="F489"/>
      <c r="G489"/>
      <c r="H489"/>
      <c r="I489"/>
    </row>
    <row r="490" spans="1:9" ht="15">
      <c r="A490"/>
      <c r="B490"/>
      <c r="C490"/>
      <c r="D490"/>
      <c r="E490"/>
      <c r="F490"/>
      <c r="G490"/>
      <c r="H490"/>
      <c r="I490"/>
    </row>
    <row r="491" spans="1:9" ht="15">
      <c r="A491"/>
      <c r="B491"/>
      <c r="C491"/>
      <c r="D491"/>
      <c r="E491"/>
      <c r="F491"/>
      <c r="G491"/>
      <c r="H491"/>
      <c r="I491"/>
    </row>
    <row r="492" spans="1:9" ht="15">
      <c r="A492"/>
      <c r="B492"/>
      <c r="C492"/>
      <c r="D492"/>
      <c r="E492"/>
      <c r="F492"/>
      <c r="G492"/>
      <c r="H492"/>
      <c r="I492"/>
    </row>
    <row r="493" spans="1:9" ht="15">
      <c r="A493"/>
      <c r="B493"/>
      <c r="C493"/>
      <c r="D493"/>
      <c r="E493"/>
      <c r="F493"/>
      <c r="G493"/>
      <c r="H493"/>
      <c r="I493"/>
    </row>
    <row r="494" spans="1:9" ht="15">
      <c r="A494"/>
      <c r="B494"/>
      <c r="C494"/>
      <c r="D494"/>
      <c r="E494"/>
      <c r="F494"/>
      <c r="G494"/>
      <c r="H494"/>
      <c r="I494"/>
    </row>
    <row r="495" spans="1:9" ht="15">
      <c r="A495"/>
      <c r="B495"/>
      <c r="C495"/>
      <c r="D495"/>
      <c r="E495"/>
      <c r="F495"/>
      <c r="G495"/>
      <c r="H495"/>
      <c r="I495"/>
    </row>
    <row r="496" spans="1:9" ht="15">
      <c r="A496"/>
      <c r="B496"/>
      <c r="C496"/>
      <c r="D496"/>
      <c r="E496"/>
      <c r="F496"/>
      <c r="G496"/>
      <c r="H496"/>
      <c r="I496"/>
    </row>
    <row r="497" spans="1:9" ht="15">
      <c r="A497"/>
      <c r="B497"/>
      <c r="C497"/>
      <c r="D497"/>
      <c r="E497"/>
      <c r="F497"/>
      <c r="G497"/>
      <c r="H497"/>
      <c r="I497"/>
    </row>
    <row r="498" spans="1:9" ht="15">
      <c r="A498"/>
      <c r="B498"/>
      <c r="C498"/>
      <c r="D498"/>
      <c r="E498"/>
      <c r="F498"/>
      <c r="G498"/>
      <c r="H498"/>
      <c r="I498"/>
    </row>
    <row r="499" spans="1:9" ht="15">
      <c r="A499"/>
      <c r="B499"/>
      <c r="C499"/>
      <c r="D499"/>
      <c r="E499"/>
      <c r="F499"/>
      <c r="G499"/>
      <c r="H499"/>
      <c r="I499"/>
    </row>
    <row r="500" spans="1:9" ht="15">
      <c r="A500"/>
      <c r="B500"/>
      <c r="C500"/>
      <c r="D500"/>
      <c r="E500"/>
      <c r="F500"/>
      <c r="G500"/>
      <c r="H500"/>
      <c r="I500"/>
    </row>
    <row r="501" spans="1:9" ht="15">
      <c r="A501"/>
      <c r="B501"/>
      <c r="C501"/>
      <c r="D501"/>
      <c r="E501"/>
      <c r="F501"/>
      <c r="G501"/>
      <c r="H501"/>
      <c r="I501"/>
    </row>
    <row r="502" spans="1:9" ht="15">
      <c r="A502"/>
      <c r="B502"/>
      <c r="C502"/>
      <c r="D502"/>
      <c r="E502"/>
      <c r="F502"/>
      <c r="G502"/>
      <c r="H502"/>
      <c r="I502"/>
    </row>
    <row r="503" spans="1:9" ht="15">
      <c r="A503"/>
      <c r="B503"/>
      <c r="C503"/>
      <c r="D503"/>
      <c r="E503"/>
      <c r="F503"/>
      <c r="G503"/>
      <c r="H503"/>
      <c r="I503"/>
    </row>
    <row r="504" spans="1:9" ht="15">
      <c r="A504"/>
      <c r="B504"/>
      <c r="C504"/>
      <c r="D504"/>
      <c r="E504"/>
      <c r="F504"/>
      <c r="G504"/>
      <c r="H504"/>
      <c r="I504"/>
    </row>
    <row r="505" spans="1:9" ht="15">
      <c r="A505"/>
      <c r="B505"/>
      <c r="C505"/>
      <c r="D505"/>
      <c r="E505"/>
      <c r="F505"/>
      <c r="G505"/>
      <c r="H505"/>
      <c r="I505"/>
    </row>
    <row r="506" spans="1:9" ht="15">
      <c r="A506"/>
      <c r="B506"/>
      <c r="C506"/>
      <c r="D506"/>
      <c r="E506"/>
      <c r="F506"/>
      <c r="G506"/>
      <c r="H506"/>
      <c r="I506"/>
    </row>
    <row r="507" spans="1:9" ht="15">
      <c r="A507"/>
      <c r="B507"/>
      <c r="C507"/>
      <c r="D507"/>
      <c r="E507"/>
      <c r="F507"/>
      <c r="G507"/>
      <c r="H507"/>
      <c r="I507"/>
    </row>
    <row r="508" spans="1:9" ht="15">
      <c r="A508"/>
      <c r="B508"/>
      <c r="C508"/>
      <c r="D508"/>
      <c r="E508"/>
      <c r="F508"/>
      <c r="G508"/>
      <c r="H508"/>
      <c r="I508"/>
    </row>
    <row r="509" spans="1:9" ht="15">
      <c r="A509"/>
      <c r="B509"/>
      <c r="C509"/>
      <c r="D509"/>
      <c r="E509"/>
      <c r="F509"/>
      <c r="G509"/>
      <c r="H509"/>
      <c r="I509"/>
    </row>
    <row r="510" spans="1:9" ht="15">
      <c r="A510"/>
      <c r="B510"/>
      <c r="C510"/>
      <c r="D510"/>
      <c r="E510"/>
      <c r="F510"/>
      <c r="G510"/>
      <c r="H510"/>
      <c r="I510"/>
    </row>
    <row r="511" spans="1:9" ht="15">
      <c r="A511"/>
      <c r="B511"/>
      <c r="C511"/>
      <c r="D511"/>
      <c r="E511"/>
      <c r="F511"/>
      <c r="G511"/>
      <c r="H511"/>
      <c r="I511"/>
    </row>
    <row r="512" spans="1:9" ht="15">
      <c r="A512"/>
      <c r="B512"/>
      <c r="C512"/>
      <c r="D512"/>
      <c r="E512"/>
      <c r="F512"/>
      <c r="G512"/>
      <c r="H512"/>
      <c r="I512"/>
    </row>
    <row r="513" spans="1:9" ht="15">
      <c r="A513"/>
      <c r="B513"/>
      <c r="C513"/>
      <c r="D513"/>
      <c r="E513"/>
      <c r="F513"/>
      <c r="G513"/>
      <c r="H513"/>
      <c r="I513"/>
    </row>
    <row r="514" spans="1:9" ht="15">
      <c r="A514"/>
      <c r="B514"/>
      <c r="C514"/>
      <c r="D514"/>
      <c r="E514"/>
      <c r="F514"/>
      <c r="G514"/>
      <c r="H514"/>
      <c r="I514"/>
    </row>
    <row r="515" spans="1:9" ht="15">
      <c r="A515"/>
      <c r="B515"/>
      <c r="C515"/>
      <c r="D515"/>
      <c r="E515"/>
      <c r="F515"/>
      <c r="G515"/>
      <c r="H515"/>
      <c r="I515"/>
    </row>
    <row r="516" spans="1:9" ht="15">
      <c r="A516"/>
      <c r="B516"/>
      <c r="C516"/>
      <c r="D516"/>
      <c r="E516"/>
      <c r="F516"/>
      <c r="G516"/>
      <c r="H516"/>
      <c r="I516"/>
    </row>
    <row r="517" spans="1:9" ht="15">
      <c r="A517"/>
      <c r="B517"/>
      <c r="C517"/>
      <c r="D517"/>
      <c r="E517"/>
      <c r="F517"/>
      <c r="G517"/>
      <c r="H517"/>
      <c r="I517"/>
    </row>
    <row r="518" spans="1:9" ht="15">
      <c r="A518"/>
      <c r="B518"/>
      <c r="C518"/>
      <c r="D518"/>
      <c r="E518"/>
      <c r="F518"/>
      <c r="G518"/>
      <c r="H518"/>
      <c r="I518"/>
    </row>
    <row r="519" spans="1:9" ht="15">
      <c r="A519"/>
      <c r="B519"/>
      <c r="C519"/>
      <c r="D519"/>
      <c r="E519"/>
      <c r="F519"/>
      <c r="G519"/>
      <c r="H519"/>
      <c r="I519"/>
    </row>
    <row r="520" spans="1:9" ht="15">
      <c r="A520"/>
      <c r="B520"/>
      <c r="C520"/>
      <c r="D520"/>
      <c r="E520"/>
      <c r="F520"/>
      <c r="G520"/>
      <c r="H520"/>
      <c r="I520"/>
    </row>
    <row r="521" spans="1:9" ht="15">
      <c r="A521"/>
      <c r="B521"/>
      <c r="C521"/>
      <c r="D521"/>
      <c r="E521"/>
      <c r="F521"/>
      <c r="G521"/>
      <c r="H521"/>
      <c r="I521"/>
    </row>
    <row r="522" spans="1:9" ht="15">
      <c r="A522"/>
      <c r="B522"/>
      <c r="C522"/>
      <c r="D522"/>
      <c r="E522"/>
      <c r="F522"/>
      <c r="G522"/>
      <c r="H522"/>
      <c r="I522"/>
    </row>
    <row r="523" spans="1:9" ht="15">
      <c r="A523"/>
      <c r="B523"/>
      <c r="C523"/>
      <c r="D523"/>
      <c r="E523"/>
      <c r="F523"/>
      <c r="G523"/>
      <c r="H523"/>
      <c r="I523"/>
    </row>
    <row r="524" spans="1:9" ht="15">
      <c r="A524"/>
      <c r="B524"/>
      <c r="C524"/>
      <c r="D524"/>
      <c r="E524"/>
      <c r="F524"/>
      <c r="G524"/>
      <c r="H524"/>
      <c r="I524"/>
    </row>
  </sheetData>
  <printOptions horizontalCentered="1"/>
  <pageMargins left="0.70866141732283472" right="0.70866141732283472" top="0.74803149606299213" bottom="0.74803149606299213" header="0.31496062992125984" footer="0.31496062992125984"/>
  <pageSetup paperSize="9"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10"/>
  <sheetViews>
    <sheetView showGridLines="0" zoomScale="80" zoomScaleNormal="80" workbookViewId="0">
      <pane ySplit="5" topLeftCell="A373" activePane="bottomLeft" state="frozen"/>
      <selection activeCell="B368" sqref="B368"/>
      <selection pane="bottomLeft" activeCell="J386" sqref="J386"/>
    </sheetView>
  </sheetViews>
  <sheetFormatPr baseColWidth="10" defaultColWidth="11.5546875" defaultRowHeight="12.75"/>
  <cols>
    <col min="1" max="2" width="8.77734375" style="2" customWidth="1"/>
    <col min="3" max="12" width="8.77734375" style="3" customWidth="1"/>
    <col min="13" max="13" width="25.77734375" style="2" customWidth="1"/>
    <col min="14" max="26" width="8.77734375" style="2" customWidth="1"/>
    <col min="27" max="27" width="25.77734375" style="2" customWidth="1"/>
    <col min="28" max="40" width="8.77734375" style="2" customWidth="1"/>
    <col min="41" max="41" width="25.77734375" style="2" customWidth="1"/>
    <col min="42" max="54" width="8.77734375" style="2" customWidth="1"/>
    <col min="55" max="55" width="25.77734375" style="2" customWidth="1"/>
    <col min="56" max="68" width="8.77734375" style="2" customWidth="1"/>
    <col min="69" max="69" width="25.77734375" style="2" customWidth="1"/>
    <col min="70" max="82" width="8.77734375" style="2" customWidth="1"/>
    <col min="83" max="83" width="25.77734375" style="2" customWidth="1"/>
    <col min="84" max="84" width="8.77734375" style="2" customWidth="1"/>
    <col min="85" max="16384" width="11.5546875" style="2"/>
  </cols>
  <sheetData>
    <row r="1" spans="1:13" ht="30">
      <c r="A1" s="113" t="s">
        <v>7</v>
      </c>
    </row>
    <row r="2" spans="1:13" ht="29.25">
      <c r="A2" s="114" t="s">
        <v>78</v>
      </c>
      <c r="D2" s="198" t="s">
        <v>157</v>
      </c>
    </row>
    <row r="3" spans="1:13" ht="13.5" customHeight="1">
      <c r="A3" s="68"/>
      <c r="B3" s="67"/>
      <c r="C3" s="67" t="s">
        <v>110</v>
      </c>
      <c r="D3" s="68">
        <f ca="1">+TODAY()</f>
        <v>45586</v>
      </c>
      <c r="E3" s="68"/>
      <c r="F3" s="68"/>
      <c r="G3" s="68"/>
      <c r="H3" s="68"/>
      <c r="I3" s="68"/>
      <c r="J3" s="68"/>
      <c r="K3" s="68"/>
      <c r="L3" s="68"/>
      <c r="M3" s="68"/>
    </row>
    <row r="5" spans="1:13" s="65" customFormat="1" ht="45" customHeight="1">
      <c r="A5" s="14" t="s">
        <v>32</v>
      </c>
      <c r="B5" s="14" t="s">
        <v>31</v>
      </c>
      <c r="C5" s="14" t="s">
        <v>8</v>
      </c>
      <c r="D5" s="14" t="s">
        <v>10</v>
      </c>
      <c r="E5" s="14" t="s">
        <v>9</v>
      </c>
      <c r="F5" s="14" t="s">
        <v>99</v>
      </c>
      <c r="G5" s="14" t="s">
        <v>98</v>
      </c>
      <c r="H5" s="14" t="s">
        <v>52</v>
      </c>
      <c r="I5" s="14" t="s">
        <v>53</v>
      </c>
      <c r="J5" s="14" t="s">
        <v>27</v>
      </c>
      <c r="K5" s="14" t="s">
        <v>54</v>
      </c>
      <c r="L5" s="14" t="s">
        <v>55</v>
      </c>
      <c r="M5" s="14" t="s">
        <v>34</v>
      </c>
    </row>
    <row r="6" spans="1:13" s="18" customFormat="1" ht="15" customHeight="1">
      <c r="A6" s="18">
        <v>1993</v>
      </c>
      <c r="B6" s="18" t="s">
        <v>36</v>
      </c>
      <c r="C6" s="61">
        <f>+K6/H6</f>
        <v>0.79986183576635705</v>
      </c>
      <c r="D6" s="61">
        <f>+K6/J6</f>
        <v>0.90395085571055822</v>
      </c>
      <c r="E6" s="61">
        <f>+J6/H6</f>
        <v>0.88485101896122309</v>
      </c>
      <c r="F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 s="62">
        <f>+MITRE[[#This Row],[Trenes Programados]]+SARM[[#This Row],[Trenes Programados]]+URQ[[#This Row],[Trenes Programados]]+ROCA[[#This Row],[Trenes Programados]]+SM[[#This Row],[Trenes Programados]]+BN[[#This Row],[Trenes Programados]]+BS[[#This Row],[Trenes Programados]]+TDC[[#This Row],[Trenes Programados]]</f>
        <v>55007</v>
      </c>
      <c r="I6" s="62">
        <f>+H6-J6</f>
        <v>6334</v>
      </c>
      <c r="J6" s="62">
        <f>+MITRE[[#This Row],[Trenes Corridos]]+SARM[[#This Row],[Trenes Corridos]]+URQ[[#This Row],[Trenes Corridos]]+ROCA[[#This Row],[Trenes Corridos]]+SM[[#This Row],[Trenes Corridos]]+BN[[#This Row],[Trenes Corridos]]+BS[[#This Row],[Trenes Corridos]]+TDC[[#This Row],[Trenes Corridos]]</f>
        <v>48673</v>
      </c>
      <c r="K6" s="62">
        <f>+MITRE[[#This Row],[Trenes Puntuales]]+SARM[[#This Row],[Trenes Puntuales]]+URQ[[#This Row],[Trenes Puntuales]]+ROCA[[#This Row],[Trenes Puntuales]]+SM[[#This Row],[Trenes Puntuales]]+BN[[#This Row],[Trenes Puntuales]]+BS[[#This Row],[Trenes Puntuales]]+TDC[[#This Row],[Trenes Puntuales]]</f>
        <v>43998</v>
      </c>
      <c r="L6" s="62">
        <f>+J6-K6</f>
        <v>4675</v>
      </c>
    </row>
    <row r="7" spans="1:13" s="18" customFormat="1" ht="15" customHeight="1">
      <c r="A7" s="18">
        <v>1993</v>
      </c>
      <c r="B7" s="18" t="s">
        <v>37</v>
      </c>
      <c r="C7" s="61">
        <f t="shared" ref="C7:C70" si="0">+K7/H7</f>
        <v>0.77079019503441204</v>
      </c>
      <c r="D7" s="61">
        <f t="shared" ref="D7:D70" si="1">+K7/J7</f>
        <v>0.87774534022007633</v>
      </c>
      <c r="E7" s="61">
        <f t="shared" ref="E7:E70" si="2">+J7/H7</f>
        <v>0.87814786329842831</v>
      </c>
      <c r="F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 s="62">
        <f>+MITRE[[#This Row],[Trenes Programados]]+SARM[[#This Row],[Trenes Programados]]+URQ[[#This Row],[Trenes Programados]]+ROCA[[#This Row],[Trenes Programados]]+SM[[#This Row],[Trenes Programados]]+BN[[#This Row],[Trenes Programados]]+BS[[#This Row],[Trenes Programados]]+TDC[[#This Row],[Trenes Programados]]</f>
        <v>50709</v>
      </c>
      <c r="I7" s="62">
        <f t="shared" ref="I7:I70" si="3">+H7-J7</f>
        <v>6179</v>
      </c>
      <c r="J7" s="62">
        <f>+MITRE[[#This Row],[Trenes Corridos]]+SARM[[#This Row],[Trenes Corridos]]+URQ[[#This Row],[Trenes Corridos]]+ROCA[[#This Row],[Trenes Corridos]]+SM[[#This Row],[Trenes Corridos]]+BN[[#This Row],[Trenes Corridos]]+BS[[#This Row],[Trenes Corridos]]+TDC[[#This Row],[Trenes Corridos]]</f>
        <v>44530</v>
      </c>
      <c r="K7" s="62">
        <f>+MITRE[[#This Row],[Trenes Puntuales]]+SARM[[#This Row],[Trenes Puntuales]]+URQ[[#This Row],[Trenes Puntuales]]+ROCA[[#This Row],[Trenes Puntuales]]+SM[[#This Row],[Trenes Puntuales]]+BN[[#This Row],[Trenes Puntuales]]+BS[[#This Row],[Trenes Puntuales]]+TDC[[#This Row],[Trenes Puntuales]]</f>
        <v>39086</v>
      </c>
      <c r="L7" s="62">
        <f t="shared" ref="L7:L70" si="4">+J7-K7</f>
        <v>5444</v>
      </c>
    </row>
    <row r="8" spans="1:13" s="18" customFormat="1" ht="15" customHeight="1">
      <c r="A8" s="18">
        <v>1993</v>
      </c>
      <c r="B8" s="18" t="s">
        <v>38</v>
      </c>
      <c r="C8" s="61">
        <f t="shared" si="0"/>
        <v>0.74079445368044994</v>
      </c>
      <c r="D8" s="61">
        <f t="shared" si="1"/>
        <v>0.8676001491362525</v>
      </c>
      <c r="E8" s="61">
        <f t="shared" si="2"/>
        <v>0.85384316083619261</v>
      </c>
      <c r="F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 s="62">
        <f>+MITRE[[#This Row],[Trenes Programados]]+SARM[[#This Row],[Trenes Programados]]+URQ[[#This Row],[Trenes Programados]]+ROCA[[#This Row],[Trenes Programados]]+SM[[#This Row],[Trenes Programados]]+BN[[#This Row],[Trenes Programados]]+BS[[#This Row],[Trenes Programados]]+TDC[[#This Row],[Trenes Programados]]</f>
        <v>56542</v>
      </c>
      <c r="I8" s="62">
        <f t="shared" si="3"/>
        <v>8264</v>
      </c>
      <c r="J8" s="62">
        <f>+MITRE[[#This Row],[Trenes Corridos]]+SARM[[#This Row],[Trenes Corridos]]+URQ[[#This Row],[Trenes Corridos]]+ROCA[[#This Row],[Trenes Corridos]]+SM[[#This Row],[Trenes Corridos]]+BN[[#This Row],[Trenes Corridos]]+BS[[#This Row],[Trenes Corridos]]+TDC[[#This Row],[Trenes Corridos]]</f>
        <v>48278</v>
      </c>
      <c r="K8" s="62">
        <f>+MITRE[[#This Row],[Trenes Puntuales]]+SARM[[#This Row],[Trenes Puntuales]]+URQ[[#This Row],[Trenes Puntuales]]+ROCA[[#This Row],[Trenes Puntuales]]+SM[[#This Row],[Trenes Puntuales]]+BN[[#This Row],[Trenes Puntuales]]+BS[[#This Row],[Trenes Puntuales]]+TDC[[#This Row],[Trenes Puntuales]]</f>
        <v>41886</v>
      </c>
      <c r="L8" s="62">
        <f t="shared" si="4"/>
        <v>6392</v>
      </c>
    </row>
    <row r="9" spans="1:13" s="18" customFormat="1" ht="15" customHeight="1">
      <c r="A9" s="18">
        <v>1993</v>
      </c>
      <c r="B9" s="18" t="s">
        <v>39</v>
      </c>
      <c r="C9" s="61">
        <f t="shared" si="0"/>
        <v>0.77697721179624668</v>
      </c>
      <c r="D9" s="61">
        <f t="shared" si="1"/>
        <v>0.88654034074011134</v>
      </c>
      <c r="E9" s="61">
        <f t="shared" si="2"/>
        <v>0.87641495382782242</v>
      </c>
      <c r="F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 s="62">
        <f>+MITRE[[#This Row],[Trenes Programados]]+SARM[[#This Row],[Trenes Programados]]+URQ[[#This Row],[Trenes Programados]]+ROCA[[#This Row],[Trenes Programados]]+SM[[#This Row],[Trenes Programados]]+BN[[#This Row],[Trenes Programados]]+BS[[#This Row],[Trenes Programados]]+TDC[[#This Row],[Trenes Programados]]</f>
        <v>53712</v>
      </c>
      <c r="I9" s="62">
        <f t="shared" si="3"/>
        <v>6638</v>
      </c>
      <c r="J9" s="62">
        <f>+MITRE[[#This Row],[Trenes Corridos]]+SARM[[#This Row],[Trenes Corridos]]+URQ[[#This Row],[Trenes Corridos]]+ROCA[[#This Row],[Trenes Corridos]]+SM[[#This Row],[Trenes Corridos]]+BN[[#This Row],[Trenes Corridos]]+BS[[#This Row],[Trenes Corridos]]+TDC[[#This Row],[Trenes Corridos]]</f>
        <v>47074</v>
      </c>
      <c r="K9" s="62">
        <f>+MITRE[[#This Row],[Trenes Puntuales]]+SARM[[#This Row],[Trenes Puntuales]]+URQ[[#This Row],[Trenes Puntuales]]+ROCA[[#This Row],[Trenes Puntuales]]+SM[[#This Row],[Trenes Puntuales]]+BN[[#This Row],[Trenes Puntuales]]+BS[[#This Row],[Trenes Puntuales]]+TDC[[#This Row],[Trenes Puntuales]]</f>
        <v>41733</v>
      </c>
      <c r="L9" s="62">
        <f t="shared" si="4"/>
        <v>5341</v>
      </c>
    </row>
    <row r="10" spans="1:13" s="18" customFormat="1" ht="15" customHeight="1">
      <c r="A10" s="18">
        <v>1993</v>
      </c>
      <c r="B10" s="18" t="s">
        <v>40</v>
      </c>
      <c r="C10" s="61">
        <f t="shared" si="0"/>
        <v>0.77131150580295893</v>
      </c>
      <c r="D10" s="61">
        <f t="shared" si="1"/>
        <v>0.87471090366258775</v>
      </c>
      <c r="E10" s="61">
        <f t="shared" si="2"/>
        <v>0.88179020356705851</v>
      </c>
      <c r="F1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 s="62">
        <f>+MITRE[[#This Row],[Trenes Programados]]+SARM[[#This Row],[Trenes Programados]]+URQ[[#This Row],[Trenes Programados]]+ROCA[[#This Row],[Trenes Programados]]+SM[[#This Row],[Trenes Programados]]+BN[[#This Row],[Trenes Programados]]+BS[[#This Row],[Trenes Programados]]+TDC[[#This Row],[Trenes Programados]]</f>
        <v>53938</v>
      </c>
      <c r="I10" s="62">
        <f t="shared" si="3"/>
        <v>6376</v>
      </c>
      <c r="J10" s="62">
        <f>+MITRE[[#This Row],[Trenes Corridos]]+SARM[[#This Row],[Trenes Corridos]]+URQ[[#This Row],[Trenes Corridos]]+ROCA[[#This Row],[Trenes Corridos]]+SM[[#This Row],[Trenes Corridos]]+BN[[#This Row],[Trenes Corridos]]+BS[[#This Row],[Trenes Corridos]]+TDC[[#This Row],[Trenes Corridos]]</f>
        <v>47562</v>
      </c>
      <c r="K10" s="62">
        <f>+MITRE[[#This Row],[Trenes Puntuales]]+SARM[[#This Row],[Trenes Puntuales]]+URQ[[#This Row],[Trenes Puntuales]]+ROCA[[#This Row],[Trenes Puntuales]]+SM[[#This Row],[Trenes Puntuales]]+BN[[#This Row],[Trenes Puntuales]]+BS[[#This Row],[Trenes Puntuales]]+TDC[[#This Row],[Trenes Puntuales]]</f>
        <v>41603</v>
      </c>
      <c r="L10" s="62">
        <f t="shared" si="4"/>
        <v>5959</v>
      </c>
    </row>
    <row r="11" spans="1:13" s="18" customFormat="1" ht="15" customHeight="1">
      <c r="A11" s="18">
        <v>1993</v>
      </c>
      <c r="B11" s="18" t="s">
        <v>41</v>
      </c>
      <c r="C11" s="61">
        <f t="shared" si="0"/>
        <v>0.73427617217381569</v>
      </c>
      <c r="D11" s="61">
        <f t="shared" si="1"/>
        <v>0.86492604558141584</v>
      </c>
      <c r="E11" s="61">
        <f t="shared" si="2"/>
        <v>0.84894676940873559</v>
      </c>
      <c r="F1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 s="62">
        <f>+MITRE[[#This Row],[Trenes Programados]]+SARM[[#This Row],[Trenes Programados]]+URQ[[#This Row],[Trenes Programados]]+ROCA[[#This Row],[Trenes Programados]]+SM[[#This Row],[Trenes Programados]]+BN[[#This Row],[Trenes Programados]]+BS[[#This Row],[Trenes Programados]]+TDC[[#This Row],[Trenes Programados]]</f>
        <v>53597</v>
      </c>
      <c r="I11" s="62">
        <f t="shared" si="3"/>
        <v>8096</v>
      </c>
      <c r="J11" s="62">
        <f>+MITRE[[#This Row],[Trenes Corridos]]+SARM[[#This Row],[Trenes Corridos]]+URQ[[#This Row],[Trenes Corridos]]+ROCA[[#This Row],[Trenes Corridos]]+SM[[#This Row],[Trenes Corridos]]+BN[[#This Row],[Trenes Corridos]]+BS[[#This Row],[Trenes Corridos]]+TDC[[#This Row],[Trenes Corridos]]</f>
        <v>45501</v>
      </c>
      <c r="K11" s="62">
        <f>+MITRE[[#This Row],[Trenes Puntuales]]+SARM[[#This Row],[Trenes Puntuales]]+URQ[[#This Row],[Trenes Puntuales]]+ROCA[[#This Row],[Trenes Puntuales]]+SM[[#This Row],[Trenes Puntuales]]+BN[[#This Row],[Trenes Puntuales]]+BS[[#This Row],[Trenes Puntuales]]+TDC[[#This Row],[Trenes Puntuales]]</f>
        <v>39355</v>
      </c>
      <c r="L11" s="62">
        <f t="shared" si="4"/>
        <v>6146</v>
      </c>
    </row>
    <row r="12" spans="1:13" s="18" customFormat="1" ht="15" customHeight="1">
      <c r="A12" s="18">
        <v>1993</v>
      </c>
      <c r="B12" s="18" t="s">
        <v>42</v>
      </c>
      <c r="C12" s="61">
        <f t="shared" si="0"/>
        <v>0.75277697634160412</v>
      </c>
      <c r="D12" s="61">
        <f t="shared" si="1"/>
        <v>0.8793074395484034</v>
      </c>
      <c r="E12" s="61">
        <f t="shared" si="2"/>
        <v>0.85610213502596655</v>
      </c>
      <c r="F1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 s="62">
        <f>+MITRE[[#This Row],[Trenes Programados]]+SARM[[#This Row],[Trenes Programados]]+URQ[[#This Row],[Trenes Programados]]+ROCA[[#This Row],[Trenes Programados]]+SM[[#This Row],[Trenes Programados]]+BN[[#This Row],[Trenes Programados]]+BS[[#This Row],[Trenes Programados]]+TDC[[#This Row],[Trenes Programados]]</f>
        <v>55456</v>
      </c>
      <c r="I12" s="62">
        <f t="shared" si="3"/>
        <v>7980</v>
      </c>
      <c r="J12" s="62">
        <f>+MITRE[[#This Row],[Trenes Corridos]]+SARM[[#This Row],[Trenes Corridos]]+URQ[[#This Row],[Trenes Corridos]]+ROCA[[#This Row],[Trenes Corridos]]+SM[[#This Row],[Trenes Corridos]]+BN[[#This Row],[Trenes Corridos]]+BS[[#This Row],[Trenes Corridos]]+TDC[[#This Row],[Trenes Corridos]]</f>
        <v>47476</v>
      </c>
      <c r="K12" s="62">
        <f>+MITRE[[#This Row],[Trenes Puntuales]]+SARM[[#This Row],[Trenes Puntuales]]+URQ[[#This Row],[Trenes Puntuales]]+ROCA[[#This Row],[Trenes Puntuales]]+SM[[#This Row],[Trenes Puntuales]]+BN[[#This Row],[Trenes Puntuales]]+BS[[#This Row],[Trenes Puntuales]]+TDC[[#This Row],[Trenes Puntuales]]</f>
        <v>41746</v>
      </c>
      <c r="L12" s="62">
        <f t="shared" si="4"/>
        <v>5730</v>
      </c>
    </row>
    <row r="13" spans="1:13" s="18" customFormat="1" ht="15" customHeight="1">
      <c r="A13" s="18">
        <v>1993</v>
      </c>
      <c r="B13" s="18" t="s">
        <v>43</v>
      </c>
      <c r="C13" s="61">
        <f t="shared" si="0"/>
        <v>0.77831567409572522</v>
      </c>
      <c r="D13" s="61">
        <f t="shared" si="1"/>
        <v>0.8905355127294009</v>
      </c>
      <c r="E13" s="61">
        <f t="shared" si="2"/>
        <v>0.87398611618560462</v>
      </c>
      <c r="F1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 s="62">
        <f>+MITRE[[#This Row],[Trenes Programados]]+SARM[[#This Row],[Trenes Programados]]+URQ[[#This Row],[Trenes Programados]]+ROCA[[#This Row],[Trenes Programados]]+SM[[#This Row],[Trenes Programados]]+BN[[#This Row],[Trenes Programados]]+BS[[#This Row],[Trenes Programados]]+TDC[[#This Row],[Trenes Programados]]</f>
        <v>54740</v>
      </c>
      <c r="I13" s="62">
        <f t="shared" si="3"/>
        <v>6898</v>
      </c>
      <c r="J13" s="62">
        <f>+MITRE[[#This Row],[Trenes Corridos]]+SARM[[#This Row],[Trenes Corridos]]+URQ[[#This Row],[Trenes Corridos]]+ROCA[[#This Row],[Trenes Corridos]]+SM[[#This Row],[Trenes Corridos]]+BN[[#This Row],[Trenes Corridos]]+BS[[#This Row],[Trenes Corridos]]+TDC[[#This Row],[Trenes Corridos]]</f>
        <v>47842</v>
      </c>
      <c r="K13" s="62">
        <f>+MITRE[[#This Row],[Trenes Puntuales]]+SARM[[#This Row],[Trenes Puntuales]]+URQ[[#This Row],[Trenes Puntuales]]+ROCA[[#This Row],[Trenes Puntuales]]+SM[[#This Row],[Trenes Puntuales]]+BN[[#This Row],[Trenes Puntuales]]+BS[[#This Row],[Trenes Puntuales]]+TDC[[#This Row],[Trenes Puntuales]]</f>
        <v>42605</v>
      </c>
      <c r="L13" s="62">
        <f t="shared" si="4"/>
        <v>5237</v>
      </c>
    </row>
    <row r="14" spans="1:13" s="18" customFormat="1" ht="15" customHeight="1">
      <c r="A14" s="18">
        <v>1993</v>
      </c>
      <c r="B14" s="18" t="s">
        <v>44</v>
      </c>
      <c r="C14" s="61">
        <f t="shared" si="0"/>
        <v>0.79360368663594472</v>
      </c>
      <c r="D14" s="61">
        <f t="shared" si="1"/>
        <v>0.8960041623309053</v>
      </c>
      <c r="E14" s="61">
        <f t="shared" si="2"/>
        <v>0.88571428571428568</v>
      </c>
      <c r="F1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 s="62">
        <f>+MITRE[[#This Row],[Trenes Programados]]+SARM[[#This Row],[Trenes Programados]]+URQ[[#This Row],[Trenes Programados]]+ROCA[[#This Row],[Trenes Programados]]+SM[[#This Row],[Trenes Programados]]+BN[[#This Row],[Trenes Programados]]+BS[[#This Row],[Trenes Programados]]+TDC[[#This Row],[Trenes Programados]]</f>
        <v>54250</v>
      </c>
      <c r="I14" s="62">
        <f t="shared" si="3"/>
        <v>6200</v>
      </c>
      <c r="J14" s="62">
        <f>+MITRE[[#This Row],[Trenes Corridos]]+SARM[[#This Row],[Trenes Corridos]]+URQ[[#This Row],[Trenes Corridos]]+ROCA[[#This Row],[Trenes Corridos]]+SM[[#This Row],[Trenes Corridos]]+BN[[#This Row],[Trenes Corridos]]+BS[[#This Row],[Trenes Corridos]]+TDC[[#This Row],[Trenes Corridos]]</f>
        <v>48050</v>
      </c>
      <c r="K14" s="62">
        <f>+MITRE[[#This Row],[Trenes Puntuales]]+SARM[[#This Row],[Trenes Puntuales]]+URQ[[#This Row],[Trenes Puntuales]]+ROCA[[#This Row],[Trenes Puntuales]]+SM[[#This Row],[Trenes Puntuales]]+BN[[#This Row],[Trenes Puntuales]]+BS[[#This Row],[Trenes Puntuales]]+TDC[[#This Row],[Trenes Puntuales]]</f>
        <v>43053</v>
      </c>
      <c r="L14" s="62">
        <f t="shared" si="4"/>
        <v>4997</v>
      </c>
    </row>
    <row r="15" spans="1:13" s="18" customFormat="1" ht="15" customHeight="1">
      <c r="A15" s="18">
        <v>1993</v>
      </c>
      <c r="B15" s="18" t="s">
        <v>45</v>
      </c>
      <c r="C15" s="61">
        <f t="shared" si="0"/>
        <v>0.80477215446032713</v>
      </c>
      <c r="D15" s="61">
        <f t="shared" si="1"/>
        <v>0.90343032981557592</v>
      </c>
      <c r="E15" s="61">
        <f t="shared" si="2"/>
        <v>0.89079603362952331</v>
      </c>
      <c r="F1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 s="62">
        <f>+MITRE[[#This Row],[Trenes Programados]]+SARM[[#This Row],[Trenes Programados]]+URQ[[#This Row],[Trenes Programados]]+ROCA[[#This Row],[Trenes Programados]]+SM[[#This Row],[Trenes Programados]]+BN[[#This Row],[Trenes Programados]]+BS[[#This Row],[Trenes Programados]]+TDC[[#This Row],[Trenes Programados]]</f>
        <v>54357</v>
      </c>
      <c r="I15" s="62">
        <f t="shared" si="3"/>
        <v>5936</v>
      </c>
      <c r="J15" s="62">
        <f>+MITRE[[#This Row],[Trenes Corridos]]+SARM[[#This Row],[Trenes Corridos]]+URQ[[#This Row],[Trenes Corridos]]+ROCA[[#This Row],[Trenes Corridos]]+SM[[#This Row],[Trenes Corridos]]+BN[[#This Row],[Trenes Corridos]]+BS[[#This Row],[Trenes Corridos]]+TDC[[#This Row],[Trenes Corridos]]</f>
        <v>48421</v>
      </c>
      <c r="K15" s="62">
        <f>+MITRE[[#This Row],[Trenes Puntuales]]+SARM[[#This Row],[Trenes Puntuales]]+URQ[[#This Row],[Trenes Puntuales]]+ROCA[[#This Row],[Trenes Puntuales]]+SM[[#This Row],[Trenes Puntuales]]+BN[[#This Row],[Trenes Puntuales]]+BS[[#This Row],[Trenes Puntuales]]+TDC[[#This Row],[Trenes Puntuales]]</f>
        <v>43745</v>
      </c>
      <c r="L15" s="62">
        <f t="shared" si="4"/>
        <v>4676</v>
      </c>
    </row>
    <row r="16" spans="1:13" s="18" customFormat="1" ht="15" customHeight="1">
      <c r="A16" s="18">
        <v>1993</v>
      </c>
      <c r="B16" s="18" t="s">
        <v>46</v>
      </c>
      <c r="C16" s="61">
        <f t="shared" si="0"/>
        <v>0.78539553752535496</v>
      </c>
      <c r="D16" s="61">
        <f t="shared" si="1"/>
        <v>0.89714586624539228</v>
      </c>
      <c r="E16" s="61">
        <f t="shared" si="2"/>
        <v>0.87543794947446063</v>
      </c>
      <c r="F1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 s="62">
        <f>+MITRE[[#This Row],[Trenes Programados]]+SARM[[#This Row],[Trenes Programados]]+URQ[[#This Row],[Trenes Programados]]+ROCA[[#This Row],[Trenes Programados]]+SM[[#This Row],[Trenes Programados]]+BN[[#This Row],[Trenes Programados]]+BS[[#This Row],[Trenes Programados]]+TDC[[#This Row],[Trenes Programados]]</f>
        <v>54230</v>
      </c>
      <c r="I16" s="62">
        <f t="shared" si="3"/>
        <v>6755</v>
      </c>
      <c r="J16" s="62">
        <f>+MITRE[[#This Row],[Trenes Corridos]]+SARM[[#This Row],[Trenes Corridos]]+URQ[[#This Row],[Trenes Corridos]]+ROCA[[#This Row],[Trenes Corridos]]+SM[[#This Row],[Trenes Corridos]]+BN[[#This Row],[Trenes Corridos]]+BS[[#This Row],[Trenes Corridos]]+TDC[[#This Row],[Trenes Corridos]]</f>
        <v>47475</v>
      </c>
      <c r="K16" s="62">
        <f>+MITRE[[#This Row],[Trenes Puntuales]]+SARM[[#This Row],[Trenes Puntuales]]+URQ[[#This Row],[Trenes Puntuales]]+ROCA[[#This Row],[Trenes Puntuales]]+SM[[#This Row],[Trenes Puntuales]]+BN[[#This Row],[Trenes Puntuales]]+BS[[#This Row],[Trenes Puntuales]]+TDC[[#This Row],[Trenes Puntuales]]</f>
        <v>42592</v>
      </c>
      <c r="L16" s="62">
        <f t="shared" si="4"/>
        <v>4883</v>
      </c>
    </row>
    <row r="17" spans="1:12" s="18" customFormat="1" ht="15" customHeight="1">
      <c r="A17" s="18">
        <v>1993</v>
      </c>
      <c r="B17" s="18" t="s">
        <v>47</v>
      </c>
      <c r="C17" s="61">
        <f t="shared" si="0"/>
        <v>0.76251937844756101</v>
      </c>
      <c r="D17" s="61">
        <f t="shared" si="1"/>
        <v>0.89516231430143478</v>
      </c>
      <c r="E17" s="61">
        <f t="shared" si="2"/>
        <v>0.85182247539387823</v>
      </c>
      <c r="F1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 s="62">
        <f>+MITRE[[#This Row],[Trenes Programados]]+SARM[[#This Row],[Trenes Programados]]+URQ[[#This Row],[Trenes Programados]]+ROCA[[#This Row],[Trenes Programados]]+SM[[#This Row],[Trenes Programados]]+BN[[#This Row],[Trenes Programados]]+BS[[#This Row],[Trenes Programados]]+TDC[[#This Row],[Trenes Programados]]</f>
        <v>55474</v>
      </c>
      <c r="I17" s="62">
        <f t="shared" si="3"/>
        <v>8220</v>
      </c>
      <c r="J17" s="62">
        <f>+MITRE[[#This Row],[Trenes Corridos]]+SARM[[#This Row],[Trenes Corridos]]+URQ[[#This Row],[Trenes Corridos]]+ROCA[[#This Row],[Trenes Corridos]]+SM[[#This Row],[Trenes Corridos]]+BN[[#This Row],[Trenes Corridos]]+BS[[#This Row],[Trenes Corridos]]+TDC[[#This Row],[Trenes Corridos]]</f>
        <v>47254</v>
      </c>
      <c r="K17" s="62">
        <f>+MITRE[[#This Row],[Trenes Puntuales]]+SARM[[#This Row],[Trenes Puntuales]]+URQ[[#This Row],[Trenes Puntuales]]+ROCA[[#This Row],[Trenes Puntuales]]+SM[[#This Row],[Trenes Puntuales]]+BN[[#This Row],[Trenes Puntuales]]+BS[[#This Row],[Trenes Puntuales]]+TDC[[#This Row],[Trenes Puntuales]]</f>
        <v>42300</v>
      </c>
      <c r="L17" s="62">
        <f t="shared" si="4"/>
        <v>4954</v>
      </c>
    </row>
    <row r="18" spans="1:12" s="18" customFormat="1" ht="15" customHeight="1">
      <c r="A18" s="18">
        <v>1994</v>
      </c>
      <c r="B18" s="18" t="s">
        <v>36</v>
      </c>
      <c r="C18" s="61">
        <f t="shared" si="0"/>
        <v>0.78537986027287021</v>
      </c>
      <c r="D18" s="61">
        <f t="shared" si="1"/>
        <v>0.90759801331501633</v>
      </c>
      <c r="E18" s="61">
        <f t="shared" si="2"/>
        <v>0.86533889315629686</v>
      </c>
      <c r="F1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 s="62">
        <f>+MITRE[[#This Row],[Trenes Programados]]+SARM[[#This Row],[Trenes Programados]]+URQ[[#This Row],[Trenes Programados]]+ROCA[[#This Row],[Trenes Programados]]+SM[[#This Row],[Trenes Programados]]+BN[[#This Row],[Trenes Programados]]+BS[[#This Row],[Trenes Programados]]+TDC[[#This Row],[Trenes Programados]]</f>
        <v>54678</v>
      </c>
      <c r="I18" s="62">
        <f t="shared" si="3"/>
        <v>7363</v>
      </c>
      <c r="J18" s="62">
        <f>+MITRE[[#This Row],[Trenes Corridos]]+SARM[[#This Row],[Trenes Corridos]]+URQ[[#This Row],[Trenes Corridos]]+ROCA[[#This Row],[Trenes Corridos]]+SM[[#This Row],[Trenes Corridos]]+BN[[#This Row],[Trenes Corridos]]+BS[[#This Row],[Trenes Corridos]]+TDC[[#This Row],[Trenes Corridos]]</f>
        <v>47315</v>
      </c>
      <c r="K18" s="62">
        <f>+MITRE[[#This Row],[Trenes Puntuales]]+SARM[[#This Row],[Trenes Puntuales]]+URQ[[#This Row],[Trenes Puntuales]]+ROCA[[#This Row],[Trenes Puntuales]]+SM[[#This Row],[Trenes Puntuales]]+BN[[#This Row],[Trenes Puntuales]]+BS[[#This Row],[Trenes Puntuales]]+TDC[[#This Row],[Trenes Puntuales]]</f>
        <v>42943</v>
      </c>
      <c r="L18" s="62">
        <f t="shared" si="4"/>
        <v>4372</v>
      </c>
    </row>
    <row r="19" spans="1:12" s="18" customFormat="1" ht="15" customHeight="1">
      <c r="A19" s="18">
        <v>1994</v>
      </c>
      <c r="B19" s="18" t="s">
        <v>37</v>
      </c>
      <c r="C19" s="61">
        <f t="shared" si="0"/>
        <v>0.75436000631313127</v>
      </c>
      <c r="D19" s="61">
        <f t="shared" si="1"/>
        <v>0.87998250943569911</v>
      </c>
      <c r="E19" s="61">
        <f t="shared" si="2"/>
        <v>0.85724431818181823</v>
      </c>
      <c r="F1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 s="62">
        <f>+MITRE[[#This Row],[Trenes Programados]]+SARM[[#This Row],[Trenes Programados]]+URQ[[#This Row],[Trenes Programados]]+ROCA[[#This Row],[Trenes Programados]]+SM[[#This Row],[Trenes Programados]]+BN[[#This Row],[Trenes Programados]]+BS[[#This Row],[Trenes Programados]]+TDC[[#This Row],[Trenes Programados]]</f>
        <v>50688</v>
      </c>
      <c r="I19" s="62">
        <f t="shared" si="3"/>
        <v>7236</v>
      </c>
      <c r="J19" s="62">
        <f>+MITRE[[#This Row],[Trenes Corridos]]+SARM[[#This Row],[Trenes Corridos]]+URQ[[#This Row],[Trenes Corridos]]+ROCA[[#This Row],[Trenes Corridos]]+SM[[#This Row],[Trenes Corridos]]+BN[[#This Row],[Trenes Corridos]]+BS[[#This Row],[Trenes Corridos]]+TDC[[#This Row],[Trenes Corridos]]</f>
        <v>43452</v>
      </c>
      <c r="K19" s="62">
        <f>+MITRE[[#This Row],[Trenes Puntuales]]+SARM[[#This Row],[Trenes Puntuales]]+URQ[[#This Row],[Trenes Puntuales]]+ROCA[[#This Row],[Trenes Puntuales]]+SM[[#This Row],[Trenes Puntuales]]+BN[[#This Row],[Trenes Puntuales]]+BS[[#This Row],[Trenes Puntuales]]+TDC[[#This Row],[Trenes Puntuales]]</f>
        <v>38237</v>
      </c>
      <c r="L19" s="62">
        <f t="shared" si="4"/>
        <v>5215</v>
      </c>
    </row>
    <row r="20" spans="1:12" s="18" customFormat="1" ht="15" customHeight="1">
      <c r="A20" s="18">
        <v>1994</v>
      </c>
      <c r="B20" s="18" t="s">
        <v>38</v>
      </c>
      <c r="C20" s="61">
        <f t="shared" si="0"/>
        <v>0.72299095732491936</v>
      </c>
      <c r="D20" s="61">
        <f t="shared" si="1"/>
        <v>0.84954432477216235</v>
      </c>
      <c r="E20" s="61">
        <f t="shared" si="2"/>
        <v>0.85103382630307944</v>
      </c>
      <c r="F2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 s="62">
        <f>+MITRE[[#This Row],[Trenes Programados]]+SARM[[#This Row],[Trenes Programados]]+URQ[[#This Row],[Trenes Programados]]+ROCA[[#This Row],[Trenes Programados]]+SM[[#This Row],[Trenes Programados]]+BN[[#This Row],[Trenes Programados]]+BS[[#This Row],[Trenes Programados]]+TDC[[#This Row],[Trenes Programados]]</f>
        <v>56731</v>
      </c>
      <c r="I20" s="62">
        <f t="shared" si="3"/>
        <v>8451</v>
      </c>
      <c r="J20" s="62">
        <f>+MITRE[[#This Row],[Trenes Corridos]]+SARM[[#This Row],[Trenes Corridos]]+URQ[[#This Row],[Trenes Corridos]]+ROCA[[#This Row],[Trenes Corridos]]+SM[[#This Row],[Trenes Corridos]]+BN[[#This Row],[Trenes Corridos]]+BS[[#This Row],[Trenes Corridos]]+TDC[[#This Row],[Trenes Corridos]]</f>
        <v>48280</v>
      </c>
      <c r="K20" s="62">
        <f>+MITRE[[#This Row],[Trenes Puntuales]]+SARM[[#This Row],[Trenes Puntuales]]+URQ[[#This Row],[Trenes Puntuales]]+ROCA[[#This Row],[Trenes Puntuales]]+SM[[#This Row],[Trenes Puntuales]]+BN[[#This Row],[Trenes Puntuales]]+BS[[#This Row],[Trenes Puntuales]]+TDC[[#This Row],[Trenes Puntuales]]</f>
        <v>41016</v>
      </c>
      <c r="L20" s="62">
        <f t="shared" si="4"/>
        <v>7264</v>
      </c>
    </row>
    <row r="21" spans="1:12" s="18" customFormat="1" ht="15" customHeight="1">
      <c r="A21" s="18">
        <v>1994</v>
      </c>
      <c r="B21" s="18" t="s">
        <v>39</v>
      </c>
      <c r="C21" s="61">
        <f t="shared" si="0"/>
        <v>0.71785404814828768</v>
      </c>
      <c r="D21" s="61">
        <f t="shared" si="1"/>
        <v>0.84631784667318111</v>
      </c>
      <c r="E21" s="61">
        <f t="shared" si="2"/>
        <v>0.84820856723053162</v>
      </c>
      <c r="F2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 s="62">
        <f>+MITRE[[#This Row],[Trenes Programados]]+SARM[[#This Row],[Trenes Programados]]+URQ[[#This Row],[Trenes Programados]]+ROCA[[#This Row],[Trenes Programados]]+SM[[#This Row],[Trenes Programados]]+BN[[#This Row],[Trenes Programados]]+BS[[#This Row],[Trenes Programados]]+TDC[[#This Row],[Trenes Programados]]</f>
        <v>53086</v>
      </c>
      <c r="I21" s="62">
        <f t="shared" si="3"/>
        <v>8058</v>
      </c>
      <c r="J21" s="62">
        <f>+MITRE[[#This Row],[Trenes Corridos]]+SARM[[#This Row],[Trenes Corridos]]+URQ[[#This Row],[Trenes Corridos]]+ROCA[[#This Row],[Trenes Corridos]]+SM[[#This Row],[Trenes Corridos]]+BN[[#This Row],[Trenes Corridos]]+BS[[#This Row],[Trenes Corridos]]+TDC[[#This Row],[Trenes Corridos]]</f>
        <v>45028</v>
      </c>
      <c r="K21" s="62">
        <f>+MITRE[[#This Row],[Trenes Puntuales]]+SARM[[#This Row],[Trenes Puntuales]]+URQ[[#This Row],[Trenes Puntuales]]+ROCA[[#This Row],[Trenes Puntuales]]+SM[[#This Row],[Trenes Puntuales]]+BN[[#This Row],[Trenes Puntuales]]+BS[[#This Row],[Trenes Puntuales]]+TDC[[#This Row],[Trenes Puntuales]]</f>
        <v>38108</v>
      </c>
      <c r="L21" s="62">
        <f t="shared" si="4"/>
        <v>6920</v>
      </c>
    </row>
    <row r="22" spans="1:12" s="18" customFormat="1" ht="15" customHeight="1">
      <c r="A22" s="18">
        <v>1994</v>
      </c>
      <c r="B22" s="18" t="s">
        <v>40</v>
      </c>
      <c r="C22" s="61">
        <f t="shared" si="0"/>
        <v>0.76633094612724628</v>
      </c>
      <c r="D22" s="61">
        <f t="shared" si="1"/>
        <v>0.85276615429905167</v>
      </c>
      <c r="E22" s="61">
        <f t="shared" si="2"/>
        <v>0.89864137110031939</v>
      </c>
      <c r="F2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 s="62">
        <f>+MITRE[[#This Row],[Trenes Programados]]+SARM[[#This Row],[Trenes Programados]]+URQ[[#This Row],[Trenes Programados]]+ROCA[[#This Row],[Trenes Programados]]+SM[[#This Row],[Trenes Programados]]+BN[[#This Row],[Trenes Programados]]+BS[[#This Row],[Trenes Programados]]+TDC[[#This Row],[Trenes Programados]]</f>
        <v>52921</v>
      </c>
      <c r="I22" s="62">
        <f t="shared" si="3"/>
        <v>5364</v>
      </c>
      <c r="J22" s="62">
        <f>+MITRE[[#This Row],[Trenes Corridos]]+SARM[[#This Row],[Trenes Corridos]]+URQ[[#This Row],[Trenes Corridos]]+ROCA[[#This Row],[Trenes Corridos]]+SM[[#This Row],[Trenes Corridos]]+BN[[#This Row],[Trenes Corridos]]+BS[[#This Row],[Trenes Corridos]]+TDC[[#This Row],[Trenes Corridos]]</f>
        <v>47557</v>
      </c>
      <c r="K22" s="62">
        <f>+MITRE[[#This Row],[Trenes Puntuales]]+SARM[[#This Row],[Trenes Puntuales]]+URQ[[#This Row],[Trenes Puntuales]]+ROCA[[#This Row],[Trenes Puntuales]]+SM[[#This Row],[Trenes Puntuales]]+BN[[#This Row],[Trenes Puntuales]]+BS[[#This Row],[Trenes Puntuales]]+TDC[[#This Row],[Trenes Puntuales]]</f>
        <v>40555</v>
      </c>
      <c r="L22" s="62">
        <f t="shared" si="4"/>
        <v>7002</v>
      </c>
    </row>
    <row r="23" spans="1:12" s="18" customFormat="1" ht="15" customHeight="1">
      <c r="A23" s="18">
        <v>1994</v>
      </c>
      <c r="B23" s="18" t="s">
        <v>41</v>
      </c>
      <c r="C23" s="61">
        <f t="shared" si="0"/>
        <v>0.77715398716773598</v>
      </c>
      <c r="D23" s="61">
        <f t="shared" si="1"/>
        <v>0.87579083279535186</v>
      </c>
      <c r="E23" s="61">
        <f t="shared" si="2"/>
        <v>0.88737396883593034</v>
      </c>
      <c r="F2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 s="62">
        <f>+MITRE[[#This Row],[Trenes Programados]]+SARM[[#This Row],[Trenes Programados]]+URQ[[#This Row],[Trenes Programados]]+ROCA[[#This Row],[Trenes Programados]]+SM[[#This Row],[Trenes Programados]]+BN[[#This Row],[Trenes Programados]]+BS[[#This Row],[Trenes Programados]]+TDC[[#This Row],[Trenes Programados]]</f>
        <v>52368</v>
      </c>
      <c r="I23" s="62">
        <f t="shared" si="3"/>
        <v>5898</v>
      </c>
      <c r="J23" s="62">
        <f>+MITRE[[#This Row],[Trenes Corridos]]+SARM[[#This Row],[Trenes Corridos]]+URQ[[#This Row],[Trenes Corridos]]+ROCA[[#This Row],[Trenes Corridos]]+SM[[#This Row],[Trenes Corridos]]+BN[[#This Row],[Trenes Corridos]]+BS[[#This Row],[Trenes Corridos]]+TDC[[#This Row],[Trenes Corridos]]</f>
        <v>46470</v>
      </c>
      <c r="K23" s="62">
        <f>+MITRE[[#This Row],[Trenes Puntuales]]+SARM[[#This Row],[Trenes Puntuales]]+URQ[[#This Row],[Trenes Puntuales]]+ROCA[[#This Row],[Trenes Puntuales]]+SM[[#This Row],[Trenes Puntuales]]+BN[[#This Row],[Trenes Puntuales]]+BS[[#This Row],[Trenes Puntuales]]+TDC[[#This Row],[Trenes Puntuales]]</f>
        <v>40698</v>
      </c>
      <c r="L23" s="62">
        <f t="shared" si="4"/>
        <v>5772</v>
      </c>
    </row>
    <row r="24" spans="1:12" s="18" customFormat="1" ht="15" customHeight="1">
      <c r="A24" s="18">
        <v>1994</v>
      </c>
      <c r="B24" s="18" t="s">
        <v>42</v>
      </c>
      <c r="C24" s="61">
        <f t="shared" si="0"/>
        <v>0.81016837240013206</v>
      </c>
      <c r="D24" s="61">
        <f t="shared" si="1"/>
        <v>0.90172702404768712</v>
      </c>
      <c r="E24" s="61">
        <f t="shared" si="2"/>
        <v>0.89846300575914306</v>
      </c>
      <c r="F2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 s="62">
        <f>+MITRE[[#This Row],[Trenes Programados]]+SARM[[#This Row],[Trenes Programados]]+URQ[[#This Row],[Trenes Programados]]+ROCA[[#This Row],[Trenes Programados]]+SM[[#This Row],[Trenes Programados]]+BN[[#This Row],[Trenes Programados]]+BS[[#This Row],[Trenes Programados]]+TDC[[#This Row],[Trenes Programados]]</f>
        <v>54522</v>
      </c>
      <c r="I24" s="62">
        <f t="shared" si="3"/>
        <v>5536</v>
      </c>
      <c r="J24" s="62">
        <f>+MITRE[[#This Row],[Trenes Corridos]]+SARM[[#This Row],[Trenes Corridos]]+URQ[[#This Row],[Trenes Corridos]]+ROCA[[#This Row],[Trenes Corridos]]+SM[[#This Row],[Trenes Corridos]]+BN[[#This Row],[Trenes Corridos]]+BS[[#This Row],[Trenes Corridos]]+TDC[[#This Row],[Trenes Corridos]]</f>
        <v>48986</v>
      </c>
      <c r="K24" s="62">
        <f>+MITRE[[#This Row],[Trenes Puntuales]]+SARM[[#This Row],[Trenes Puntuales]]+URQ[[#This Row],[Trenes Puntuales]]+ROCA[[#This Row],[Trenes Puntuales]]+SM[[#This Row],[Trenes Puntuales]]+BN[[#This Row],[Trenes Puntuales]]+BS[[#This Row],[Trenes Puntuales]]+TDC[[#This Row],[Trenes Puntuales]]</f>
        <v>44172</v>
      </c>
      <c r="L24" s="62">
        <f t="shared" si="4"/>
        <v>4814</v>
      </c>
    </row>
    <row r="25" spans="1:12" s="18" customFormat="1" ht="15" customHeight="1">
      <c r="A25" s="18">
        <v>1994</v>
      </c>
      <c r="B25" s="18" t="s">
        <v>43</v>
      </c>
      <c r="C25" s="61">
        <f t="shared" si="0"/>
        <v>0.83674168650364278</v>
      </c>
      <c r="D25" s="61">
        <f t="shared" si="1"/>
        <v>0.90780849523585916</v>
      </c>
      <c r="E25" s="61">
        <f t="shared" si="2"/>
        <v>0.92171607877082884</v>
      </c>
      <c r="F2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 s="62">
        <f>+MITRE[[#This Row],[Trenes Programados]]+SARM[[#This Row],[Trenes Programados]]+URQ[[#This Row],[Trenes Programados]]+ROCA[[#This Row],[Trenes Programados]]+SM[[#This Row],[Trenes Programados]]+BN[[#This Row],[Trenes Programados]]+BS[[#This Row],[Trenes Programados]]+TDC[[#This Row],[Trenes Programados]]</f>
        <v>55452</v>
      </c>
      <c r="I25" s="62">
        <f t="shared" si="3"/>
        <v>4341</v>
      </c>
      <c r="J25" s="62">
        <f>+MITRE[[#This Row],[Trenes Corridos]]+SARM[[#This Row],[Trenes Corridos]]+URQ[[#This Row],[Trenes Corridos]]+ROCA[[#This Row],[Trenes Corridos]]+SM[[#This Row],[Trenes Corridos]]+BN[[#This Row],[Trenes Corridos]]+BS[[#This Row],[Trenes Corridos]]+TDC[[#This Row],[Trenes Corridos]]</f>
        <v>51111</v>
      </c>
      <c r="K25" s="62">
        <f>+MITRE[[#This Row],[Trenes Puntuales]]+SARM[[#This Row],[Trenes Puntuales]]+URQ[[#This Row],[Trenes Puntuales]]+ROCA[[#This Row],[Trenes Puntuales]]+SM[[#This Row],[Trenes Puntuales]]+BN[[#This Row],[Trenes Puntuales]]+BS[[#This Row],[Trenes Puntuales]]+TDC[[#This Row],[Trenes Puntuales]]</f>
        <v>46399</v>
      </c>
      <c r="L25" s="62">
        <f t="shared" si="4"/>
        <v>4712</v>
      </c>
    </row>
    <row r="26" spans="1:12" s="18" customFormat="1" ht="15" customHeight="1">
      <c r="A26" s="18">
        <v>1994</v>
      </c>
      <c r="B26" s="18" t="s">
        <v>44</v>
      </c>
      <c r="C26" s="61">
        <f t="shared" si="0"/>
        <v>0.84845368397854992</v>
      </c>
      <c r="D26" s="61">
        <f t="shared" si="1"/>
        <v>0.92448072997958941</v>
      </c>
      <c r="E26" s="61">
        <f t="shared" si="2"/>
        <v>0.91776243296848603</v>
      </c>
      <c r="F2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 s="62">
        <f>+MITRE[[#This Row],[Trenes Programados]]+SARM[[#This Row],[Trenes Programados]]+URQ[[#This Row],[Trenes Programados]]+ROCA[[#This Row],[Trenes Programados]]+SM[[#This Row],[Trenes Programados]]+BN[[#This Row],[Trenes Programados]]+BS[[#This Row],[Trenes Programados]]+TDC[[#This Row],[Trenes Programados]]</f>
        <v>54452</v>
      </c>
      <c r="I26" s="62">
        <f t="shared" si="3"/>
        <v>4478</v>
      </c>
      <c r="J26" s="62">
        <f>+MITRE[[#This Row],[Trenes Corridos]]+SARM[[#This Row],[Trenes Corridos]]+URQ[[#This Row],[Trenes Corridos]]+ROCA[[#This Row],[Trenes Corridos]]+SM[[#This Row],[Trenes Corridos]]+BN[[#This Row],[Trenes Corridos]]+BS[[#This Row],[Trenes Corridos]]+TDC[[#This Row],[Trenes Corridos]]</f>
        <v>49974</v>
      </c>
      <c r="K26" s="62">
        <f>+MITRE[[#This Row],[Trenes Puntuales]]+SARM[[#This Row],[Trenes Puntuales]]+URQ[[#This Row],[Trenes Puntuales]]+ROCA[[#This Row],[Trenes Puntuales]]+SM[[#This Row],[Trenes Puntuales]]+BN[[#This Row],[Trenes Puntuales]]+BS[[#This Row],[Trenes Puntuales]]+TDC[[#This Row],[Trenes Puntuales]]</f>
        <v>46200</v>
      </c>
      <c r="L26" s="62">
        <f t="shared" si="4"/>
        <v>3774</v>
      </c>
    </row>
    <row r="27" spans="1:12" s="18" customFormat="1" ht="15" customHeight="1">
      <c r="A27" s="18">
        <v>1994</v>
      </c>
      <c r="B27" s="18" t="s">
        <v>45</v>
      </c>
      <c r="C27" s="61">
        <f t="shared" si="0"/>
        <v>0.83823316960416061</v>
      </c>
      <c r="D27" s="61">
        <f t="shared" si="1"/>
        <v>0.9193685753332409</v>
      </c>
      <c r="E27" s="61">
        <f t="shared" si="2"/>
        <v>0.91174877203120486</v>
      </c>
      <c r="F2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 s="62">
        <f>+MITRE[[#This Row],[Trenes Programados]]+SARM[[#This Row],[Trenes Programados]]+URQ[[#This Row],[Trenes Programados]]+ROCA[[#This Row],[Trenes Programados]]+SM[[#This Row],[Trenes Programados]]+BN[[#This Row],[Trenes Programados]]+BS[[#This Row],[Trenes Programados]]+TDC[[#This Row],[Trenes Programados]]</f>
        <v>55376</v>
      </c>
      <c r="I27" s="62">
        <f t="shared" si="3"/>
        <v>4887</v>
      </c>
      <c r="J27" s="62">
        <f>+MITRE[[#This Row],[Trenes Corridos]]+SARM[[#This Row],[Trenes Corridos]]+URQ[[#This Row],[Trenes Corridos]]+ROCA[[#This Row],[Trenes Corridos]]+SM[[#This Row],[Trenes Corridos]]+BN[[#This Row],[Trenes Corridos]]+BS[[#This Row],[Trenes Corridos]]+TDC[[#This Row],[Trenes Corridos]]</f>
        <v>50489</v>
      </c>
      <c r="K27" s="62">
        <f>+MITRE[[#This Row],[Trenes Puntuales]]+SARM[[#This Row],[Trenes Puntuales]]+URQ[[#This Row],[Trenes Puntuales]]+ROCA[[#This Row],[Trenes Puntuales]]+SM[[#This Row],[Trenes Puntuales]]+BN[[#This Row],[Trenes Puntuales]]+BS[[#This Row],[Trenes Puntuales]]+TDC[[#This Row],[Trenes Puntuales]]</f>
        <v>46418</v>
      </c>
      <c r="L27" s="62">
        <f t="shared" si="4"/>
        <v>4071</v>
      </c>
    </row>
    <row r="28" spans="1:12" s="18" customFormat="1" ht="15" customHeight="1">
      <c r="A28" s="18">
        <v>1994</v>
      </c>
      <c r="B28" s="18" t="s">
        <v>46</v>
      </c>
      <c r="C28" s="61">
        <f t="shared" si="0"/>
        <v>0.83745097684842129</v>
      </c>
      <c r="D28" s="61">
        <f t="shared" si="1"/>
        <v>0.90885375804173862</v>
      </c>
      <c r="E28" s="61">
        <f t="shared" si="2"/>
        <v>0.92143644611519759</v>
      </c>
      <c r="F2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 s="62">
        <f>+MITRE[[#This Row],[Trenes Programados]]+SARM[[#This Row],[Trenes Programados]]+URQ[[#This Row],[Trenes Programados]]+ROCA[[#This Row],[Trenes Programados]]+SM[[#This Row],[Trenes Programados]]+BN[[#This Row],[Trenes Programados]]+BS[[#This Row],[Trenes Programados]]+TDC[[#This Row],[Trenes Programados]]</f>
        <v>55331</v>
      </c>
      <c r="I28" s="62">
        <f t="shared" si="3"/>
        <v>4347</v>
      </c>
      <c r="J28" s="62">
        <f>+MITRE[[#This Row],[Trenes Corridos]]+SARM[[#This Row],[Trenes Corridos]]+URQ[[#This Row],[Trenes Corridos]]+ROCA[[#This Row],[Trenes Corridos]]+SM[[#This Row],[Trenes Corridos]]+BN[[#This Row],[Trenes Corridos]]+BS[[#This Row],[Trenes Corridos]]+TDC[[#This Row],[Trenes Corridos]]</f>
        <v>50984</v>
      </c>
      <c r="K28" s="62">
        <f>+MITRE[[#This Row],[Trenes Puntuales]]+SARM[[#This Row],[Trenes Puntuales]]+URQ[[#This Row],[Trenes Puntuales]]+ROCA[[#This Row],[Trenes Puntuales]]+SM[[#This Row],[Trenes Puntuales]]+BN[[#This Row],[Trenes Puntuales]]+BS[[#This Row],[Trenes Puntuales]]+TDC[[#This Row],[Trenes Puntuales]]</f>
        <v>46337</v>
      </c>
      <c r="L28" s="62">
        <f t="shared" si="4"/>
        <v>4647</v>
      </c>
    </row>
    <row r="29" spans="1:12" s="18" customFormat="1" ht="15" customHeight="1">
      <c r="A29" s="18">
        <v>1994</v>
      </c>
      <c r="B29" s="18" t="s">
        <v>47</v>
      </c>
      <c r="C29" s="61">
        <f t="shared" si="0"/>
        <v>0.79156375356911379</v>
      </c>
      <c r="D29" s="61">
        <f t="shared" si="1"/>
        <v>0.88858300232036813</v>
      </c>
      <c r="E29" s="61">
        <f t="shared" si="2"/>
        <v>0.89081577241753818</v>
      </c>
      <c r="F2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 s="62">
        <f>+MITRE[[#This Row],[Trenes Programados]]+SARM[[#This Row],[Trenes Programados]]+URQ[[#This Row],[Trenes Programados]]+ROCA[[#This Row],[Trenes Programados]]+SM[[#This Row],[Trenes Programados]]+BN[[#This Row],[Trenes Programados]]+BS[[#This Row],[Trenes Programados]]+TDC[[#This Row],[Trenes Programados]]</f>
        <v>57087</v>
      </c>
      <c r="I29" s="62">
        <f t="shared" si="3"/>
        <v>6233</v>
      </c>
      <c r="J29" s="62">
        <f>+MITRE[[#This Row],[Trenes Corridos]]+SARM[[#This Row],[Trenes Corridos]]+URQ[[#This Row],[Trenes Corridos]]+ROCA[[#This Row],[Trenes Corridos]]+SM[[#This Row],[Trenes Corridos]]+BN[[#This Row],[Trenes Corridos]]+BS[[#This Row],[Trenes Corridos]]+TDC[[#This Row],[Trenes Corridos]]</f>
        <v>50854</v>
      </c>
      <c r="K29" s="62">
        <f>+MITRE[[#This Row],[Trenes Puntuales]]+SARM[[#This Row],[Trenes Puntuales]]+URQ[[#This Row],[Trenes Puntuales]]+ROCA[[#This Row],[Trenes Puntuales]]+SM[[#This Row],[Trenes Puntuales]]+BN[[#This Row],[Trenes Puntuales]]+BS[[#This Row],[Trenes Puntuales]]+TDC[[#This Row],[Trenes Puntuales]]</f>
        <v>45188</v>
      </c>
      <c r="L29" s="62">
        <f t="shared" si="4"/>
        <v>5666</v>
      </c>
    </row>
    <row r="30" spans="1:12" s="18" customFormat="1" ht="15" customHeight="1">
      <c r="A30" s="18">
        <v>1995</v>
      </c>
      <c r="B30" s="18" t="s">
        <v>36</v>
      </c>
      <c r="C30" s="61">
        <f t="shared" si="0"/>
        <v>0.83355888774607989</v>
      </c>
      <c r="D30" s="61">
        <f t="shared" si="1"/>
        <v>0.89535604915300226</v>
      </c>
      <c r="E30" s="61">
        <f t="shared" si="2"/>
        <v>0.93098034969956156</v>
      </c>
      <c r="F3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 s="62">
        <f>+MITRE[[#This Row],[Trenes Programados]]+SARM[[#This Row],[Trenes Programados]]+URQ[[#This Row],[Trenes Programados]]+ROCA[[#This Row],[Trenes Programados]]+SM[[#This Row],[Trenes Programados]]+BN[[#This Row],[Trenes Programados]]+BS[[#This Row],[Trenes Programados]]+TDC[[#This Row],[Trenes Programados]]</f>
        <v>55419</v>
      </c>
      <c r="I30" s="62">
        <f t="shared" si="3"/>
        <v>3825</v>
      </c>
      <c r="J30" s="62">
        <f>+MITRE[[#This Row],[Trenes Corridos]]+SARM[[#This Row],[Trenes Corridos]]+URQ[[#This Row],[Trenes Corridos]]+ROCA[[#This Row],[Trenes Corridos]]+SM[[#This Row],[Trenes Corridos]]+BN[[#This Row],[Trenes Corridos]]+BS[[#This Row],[Trenes Corridos]]+TDC[[#This Row],[Trenes Corridos]]</f>
        <v>51594</v>
      </c>
      <c r="K30" s="62">
        <f>+MITRE[[#This Row],[Trenes Puntuales]]+SARM[[#This Row],[Trenes Puntuales]]+URQ[[#This Row],[Trenes Puntuales]]+ROCA[[#This Row],[Trenes Puntuales]]+SM[[#This Row],[Trenes Puntuales]]+BN[[#This Row],[Trenes Puntuales]]+BS[[#This Row],[Trenes Puntuales]]+TDC[[#This Row],[Trenes Puntuales]]</f>
        <v>46195</v>
      </c>
      <c r="L30" s="62">
        <f t="shared" si="4"/>
        <v>5399</v>
      </c>
    </row>
    <row r="31" spans="1:12" s="18" customFormat="1" ht="15" customHeight="1">
      <c r="A31" s="18">
        <v>1995</v>
      </c>
      <c r="B31" s="18" t="s">
        <v>37</v>
      </c>
      <c r="C31" s="61">
        <f t="shared" si="0"/>
        <v>0.88557330827067671</v>
      </c>
      <c r="D31" s="61">
        <f t="shared" si="1"/>
        <v>0.92602526565795129</v>
      </c>
      <c r="E31" s="61">
        <f t="shared" si="2"/>
        <v>0.95631657268170422</v>
      </c>
      <c r="F3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 s="62">
        <f>+MITRE[[#This Row],[Trenes Programados]]+SARM[[#This Row],[Trenes Programados]]+URQ[[#This Row],[Trenes Programados]]+ROCA[[#This Row],[Trenes Programados]]+SM[[#This Row],[Trenes Programados]]+BN[[#This Row],[Trenes Programados]]+BS[[#This Row],[Trenes Programados]]+TDC[[#This Row],[Trenes Programados]]</f>
        <v>51072</v>
      </c>
      <c r="I31" s="62">
        <f t="shared" si="3"/>
        <v>2231</v>
      </c>
      <c r="J31" s="62">
        <f>+MITRE[[#This Row],[Trenes Corridos]]+SARM[[#This Row],[Trenes Corridos]]+URQ[[#This Row],[Trenes Corridos]]+ROCA[[#This Row],[Trenes Corridos]]+SM[[#This Row],[Trenes Corridos]]+BN[[#This Row],[Trenes Corridos]]+BS[[#This Row],[Trenes Corridos]]+TDC[[#This Row],[Trenes Corridos]]</f>
        <v>48841</v>
      </c>
      <c r="K31" s="62">
        <f>+MITRE[[#This Row],[Trenes Puntuales]]+SARM[[#This Row],[Trenes Puntuales]]+URQ[[#This Row],[Trenes Puntuales]]+ROCA[[#This Row],[Trenes Puntuales]]+SM[[#This Row],[Trenes Puntuales]]+BN[[#This Row],[Trenes Puntuales]]+BS[[#This Row],[Trenes Puntuales]]+TDC[[#This Row],[Trenes Puntuales]]</f>
        <v>45228</v>
      </c>
      <c r="L31" s="62">
        <f t="shared" si="4"/>
        <v>3613</v>
      </c>
    </row>
    <row r="32" spans="1:12" s="18" customFormat="1" ht="15" customHeight="1">
      <c r="A32" s="18">
        <v>1995</v>
      </c>
      <c r="B32" s="18" t="s">
        <v>38</v>
      </c>
      <c r="C32" s="61">
        <f t="shared" si="0"/>
        <v>0.85889074448448621</v>
      </c>
      <c r="D32" s="61">
        <f t="shared" si="1"/>
        <v>0.91025617140195625</v>
      </c>
      <c r="E32" s="61">
        <f t="shared" si="2"/>
        <v>0.94357036125516391</v>
      </c>
      <c r="F3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 s="62">
        <f>+MITRE[[#This Row],[Trenes Programados]]+SARM[[#This Row],[Trenes Programados]]+URQ[[#This Row],[Trenes Programados]]+ROCA[[#This Row],[Trenes Programados]]+SM[[#This Row],[Trenes Programados]]+BN[[#This Row],[Trenes Programados]]+BS[[#This Row],[Trenes Programados]]+TDC[[#This Row],[Trenes Programados]]</f>
        <v>56885</v>
      </c>
      <c r="I32" s="62">
        <f t="shared" si="3"/>
        <v>3210</v>
      </c>
      <c r="J32" s="62">
        <f>+MITRE[[#This Row],[Trenes Corridos]]+SARM[[#This Row],[Trenes Corridos]]+URQ[[#This Row],[Trenes Corridos]]+ROCA[[#This Row],[Trenes Corridos]]+SM[[#This Row],[Trenes Corridos]]+BN[[#This Row],[Trenes Corridos]]+BS[[#This Row],[Trenes Corridos]]+TDC[[#This Row],[Trenes Corridos]]</f>
        <v>53675</v>
      </c>
      <c r="K32" s="62">
        <f>+MITRE[[#This Row],[Trenes Puntuales]]+SARM[[#This Row],[Trenes Puntuales]]+URQ[[#This Row],[Trenes Puntuales]]+ROCA[[#This Row],[Trenes Puntuales]]+SM[[#This Row],[Trenes Puntuales]]+BN[[#This Row],[Trenes Puntuales]]+BS[[#This Row],[Trenes Puntuales]]+TDC[[#This Row],[Trenes Puntuales]]</f>
        <v>48858</v>
      </c>
      <c r="L32" s="62">
        <f t="shared" si="4"/>
        <v>4817</v>
      </c>
    </row>
    <row r="33" spans="1:12" s="18" customFormat="1" ht="15" customHeight="1">
      <c r="A33" s="18">
        <v>1995</v>
      </c>
      <c r="B33" s="18" t="s">
        <v>39</v>
      </c>
      <c r="C33" s="61">
        <f t="shared" si="0"/>
        <v>0.84942254812098994</v>
      </c>
      <c r="D33" s="61">
        <f t="shared" si="1"/>
        <v>0.90737476990561239</v>
      </c>
      <c r="E33" s="61">
        <f t="shared" si="2"/>
        <v>0.93613198900091654</v>
      </c>
      <c r="F3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3" s="62">
        <f>+MITRE[[#This Row],[Trenes Programados]]+SARM[[#This Row],[Trenes Programados]]+URQ[[#This Row],[Trenes Programados]]+ROCA[[#This Row],[Trenes Programados]]+SM[[#This Row],[Trenes Programados]]+BN[[#This Row],[Trenes Programados]]+BS[[#This Row],[Trenes Programados]]+TDC[[#This Row],[Trenes Programados]]</f>
        <v>54550</v>
      </c>
      <c r="I33" s="62">
        <f t="shared" si="3"/>
        <v>3484</v>
      </c>
      <c r="J33" s="62">
        <f>+MITRE[[#This Row],[Trenes Corridos]]+SARM[[#This Row],[Trenes Corridos]]+URQ[[#This Row],[Trenes Corridos]]+ROCA[[#This Row],[Trenes Corridos]]+SM[[#This Row],[Trenes Corridos]]+BN[[#This Row],[Trenes Corridos]]+BS[[#This Row],[Trenes Corridos]]+TDC[[#This Row],[Trenes Corridos]]</f>
        <v>51066</v>
      </c>
      <c r="K33" s="62">
        <f>+MITRE[[#This Row],[Trenes Puntuales]]+SARM[[#This Row],[Trenes Puntuales]]+URQ[[#This Row],[Trenes Puntuales]]+ROCA[[#This Row],[Trenes Puntuales]]+SM[[#This Row],[Trenes Puntuales]]+BN[[#This Row],[Trenes Puntuales]]+BS[[#This Row],[Trenes Puntuales]]+TDC[[#This Row],[Trenes Puntuales]]</f>
        <v>46336</v>
      </c>
      <c r="L33" s="62">
        <f t="shared" si="4"/>
        <v>4730</v>
      </c>
    </row>
    <row r="34" spans="1:12" s="18" customFormat="1" ht="15" customHeight="1">
      <c r="A34" s="18">
        <v>1995</v>
      </c>
      <c r="B34" s="18" t="s">
        <v>40</v>
      </c>
      <c r="C34" s="61">
        <f t="shared" si="0"/>
        <v>0.86476514557724293</v>
      </c>
      <c r="D34" s="61">
        <f t="shared" si="1"/>
        <v>0.9173595619549787</v>
      </c>
      <c r="E34" s="61">
        <f t="shared" si="2"/>
        <v>0.9426676097803437</v>
      </c>
      <c r="F3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4" s="62">
        <f>+MITRE[[#This Row],[Trenes Programados]]+SARM[[#This Row],[Trenes Programados]]+URQ[[#This Row],[Trenes Programados]]+ROCA[[#This Row],[Trenes Programados]]+SM[[#This Row],[Trenes Programados]]+BN[[#This Row],[Trenes Programados]]+BS[[#This Row],[Trenes Programados]]+TDC[[#This Row],[Trenes Programados]]</f>
        <v>52309</v>
      </c>
      <c r="I34" s="62">
        <f t="shared" si="3"/>
        <v>2999</v>
      </c>
      <c r="J34" s="62">
        <f>+MITRE[[#This Row],[Trenes Corridos]]+SARM[[#This Row],[Trenes Corridos]]+URQ[[#This Row],[Trenes Corridos]]+ROCA[[#This Row],[Trenes Corridos]]+SM[[#This Row],[Trenes Corridos]]+BN[[#This Row],[Trenes Corridos]]+BS[[#This Row],[Trenes Corridos]]+TDC[[#This Row],[Trenes Corridos]]</f>
        <v>49310</v>
      </c>
      <c r="K34" s="62">
        <f>+MITRE[[#This Row],[Trenes Puntuales]]+SARM[[#This Row],[Trenes Puntuales]]+URQ[[#This Row],[Trenes Puntuales]]+ROCA[[#This Row],[Trenes Puntuales]]+SM[[#This Row],[Trenes Puntuales]]+BN[[#This Row],[Trenes Puntuales]]+BS[[#This Row],[Trenes Puntuales]]+TDC[[#This Row],[Trenes Puntuales]]</f>
        <v>45235</v>
      </c>
      <c r="L34" s="62">
        <f t="shared" si="4"/>
        <v>4075</v>
      </c>
    </row>
    <row r="35" spans="1:12" s="18" customFormat="1" ht="15" customHeight="1">
      <c r="A35" s="18">
        <v>1995</v>
      </c>
      <c r="B35" s="18" t="s">
        <v>41</v>
      </c>
      <c r="C35" s="61">
        <f t="shared" si="0"/>
        <v>0.90855631784307567</v>
      </c>
      <c r="D35" s="61">
        <f t="shared" si="1"/>
        <v>0.92972031941868827</v>
      </c>
      <c r="E35" s="61">
        <f t="shared" si="2"/>
        <v>0.97723616324870088</v>
      </c>
      <c r="F3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5" s="62">
        <f>+MITRE[[#This Row],[Trenes Programados]]+SARM[[#This Row],[Trenes Programados]]+URQ[[#This Row],[Trenes Programados]]+ROCA[[#This Row],[Trenes Programados]]+SM[[#This Row],[Trenes Programados]]+BN[[#This Row],[Trenes Programados]]+BS[[#This Row],[Trenes Programados]]+TDC[[#This Row],[Trenes Programados]]</f>
        <v>54077</v>
      </c>
      <c r="I35" s="62">
        <f t="shared" si="3"/>
        <v>1231</v>
      </c>
      <c r="J35" s="62">
        <f>+MITRE[[#This Row],[Trenes Corridos]]+SARM[[#This Row],[Trenes Corridos]]+URQ[[#This Row],[Trenes Corridos]]+ROCA[[#This Row],[Trenes Corridos]]+SM[[#This Row],[Trenes Corridos]]+BN[[#This Row],[Trenes Corridos]]+BS[[#This Row],[Trenes Corridos]]+TDC[[#This Row],[Trenes Corridos]]</f>
        <v>52846</v>
      </c>
      <c r="K35" s="62">
        <f>+MITRE[[#This Row],[Trenes Puntuales]]+SARM[[#This Row],[Trenes Puntuales]]+URQ[[#This Row],[Trenes Puntuales]]+ROCA[[#This Row],[Trenes Puntuales]]+SM[[#This Row],[Trenes Puntuales]]+BN[[#This Row],[Trenes Puntuales]]+BS[[#This Row],[Trenes Puntuales]]+TDC[[#This Row],[Trenes Puntuales]]</f>
        <v>49132</v>
      </c>
      <c r="L35" s="62">
        <f t="shared" si="4"/>
        <v>3714</v>
      </c>
    </row>
    <row r="36" spans="1:12" s="18" customFormat="1" ht="15" customHeight="1">
      <c r="A36" s="18">
        <v>1995</v>
      </c>
      <c r="B36" s="18" t="s">
        <v>42</v>
      </c>
      <c r="C36" s="61">
        <f t="shared" si="0"/>
        <v>0.92254047322540478</v>
      </c>
      <c r="D36" s="61">
        <f t="shared" si="1"/>
        <v>0.93940327167986082</v>
      </c>
      <c r="E36" s="61">
        <f t="shared" si="2"/>
        <v>0.98204945739192318</v>
      </c>
      <c r="F3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6" s="62">
        <f>+MITRE[[#This Row],[Trenes Programados]]+SARM[[#This Row],[Trenes Programados]]+URQ[[#This Row],[Trenes Programados]]+ROCA[[#This Row],[Trenes Programados]]+SM[[#This Row],[Trenes Programados]]+BN[[#This Row],[Trenes Programados]]+BS[[#This Row],[Trenes Programados]]+TDC[[#This Row],[Trenes Programados]]</f>
        <v>56210</v>
      </c>
      <c r="I36" s="62">
        <f t="shared" si="3"/>
        <v>1009</v>
      </c>
      <c r="J36" s="62">
        <f>+MITRE[[#This Row],[Trenes Corridos]]+SARM[[#This Row],[Trenes Corridos]]+URQ[[#This Row],[Trenes Corridos]]+ROCA[[#This Row],[Trenes Corridos]]+SM[[#This Row],[Trenes Corridos]]+BN[[#This Row],[Trenes Corridos]]+BS[[#This Row],[Trenes Corridos]]+TDC[[#This Row],[Trenes Corridos]]</f>
        <v>55201</v>
      </c>
      <c r="K36" s="62">
        <f>+MITRE[[#This Row],[Trenes Puntuales]]+SARM[[#This Row],[Trenes Puntuales]]+URQ[[#This Row],[Trenes Puntuales]]+ROCA[[#This Row],[Trenes Puntuales]]+SM[[#This Row],[Trenes Puntuales]]+BN[[#This Row],[Trenes Puntuales]]+BS[[#This Row],[Trenes Puntuales]]+TDC[[#This Row],[Trenes Puntuales]]</f>
        <v>51856</v>
      </c>
      <c r="L36" s="62">
        <f t="shared" si="4"/>
        <v>3345</v>
      </c>
    </row>
    <row r="37" spans="1:12" s="18" customFormat="1" ht="15" customHeight="1">
      <c r="A37" s="18">
        <v>1995</v>
      </c>
      <c r="B37" s="18" t="s">
        <v>43</v>
      </c>
      <c r="C37" s="61">
        <f t="shared" si="0"/>
        <v>0.94400607766286238</v>
      </c>
      <c r="D37" s="61">
        <f t="shared" si="1"/>
        <v>0.95550506815798675</v>
      </c>
      <c r="E37" s="61">
        <f t="shared" si="2"/>
        <v>0.98796553688899635</v>
      </c>
      <c r="F3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7" s="62">
        <f>+MITRE[[#This Row],[Trenes Programados]]+SARM[[#This Row],[Trenes Programados]]+URQ[[#This Row],[Trenes Programados]]+ROCA[[#This Row],[Trenes Programados]]+SM[[#This Row],[Trenes Programados]]+BN[[#This Row],[Trenes Programados]]+BS[[#This Row],[Trenes Programados]]+TDC[[#This Row],[Trenes Programados]]</f>
        <v>57917</v>
      </c>
      <c r="I37" s="62">
        <f t="shared" si="3"/>
        <v>697</v>
      </c>
      <c r="J37" s="62">
        <f>+MITRE[[#This Row],[Trenes Corridos]]+SARM[[#This Row],[Trenes Corridos]]+URQ[[#This Row],[Trenes Corridos]]+ROCA[[#This Row],[Trenes Corridos]]+SM[[#This Row],[Trenes Corridos]]+BN[[#This Row],[Trenes Corridos]]+BS[[#This Row],[Trenes Corridos]]+TDC[[#This Row],[Trenes Corridos]]</f>
        <v>57220</v>
      </c>
      <c r="K37" s="62">
        <f>+MITRE[[#This Row],[Trenes Puntuales]]+SARM[[#This Row],[Trenes Puntuales]]+URQ[[#This Row],[Trenes Puntuales]]+ROCA[[#This Row],[Trenes Puntuales]]+SM[[#This Row],[Trenes Puntuales]]+BN[[#This Row],[Trenes Puntuales]]+BS[[#This Row],[Trenes Puntuales]]+TDC[[#This Row],[Trenes Puntuales]]</f>
        <v>54674</v>
      </c>
      <c r="L37" s="62">
        <f t="shared" si="4"/>
        <v>2546</v>
      </c>
    </row>
    <row r="38" spans="1:12" s="18" customFormat="1" ht="15" customHeight="1">
      <c r="A38" s="18">
        <v>1995</v>
      </c>
      <c r="B38" s="18" t="s">
        <v>44</v>
      </c>
      <c r="C38" s="61">
        <f t="shared" si="0"/>
        <v>0.93685910942548112</v>
      </c>
      <c r="D38" s="61">
        <f t="shared" si="1"/>
        <v>0.95213961954388093</v>
      </c>
      <c r="E38" s="61">
        <f t="shared" si="2"/>
        <v>0.98395139766821182</v>
      </c>
      <c r="F3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8" s="62">
        <f>+MITRE[[#This Row],[Trenes Programados]]+SARM[[#This Row],[Trenes Programados]]+URQ[[#This Row],[Trenes Programados]]+ROCA[[#This Row],[Trenes Programados]]+SM[[#This Row],[Trenes Programados]]+BN[[#This Row],[Trenes Programados]]+BS[[#This Row],[Trenes Programados]]+TDC[[#This Row],[Trenes Programados]]</f>
        <v>56952</v>
      </c>
      <c r="I38" s="62">
        <f t="shared" si="3"/>
        <v>914</v>
      </c>
      <c r="J38" s="62">
        <f>+MITRE[[#This Row],[Trenes Corridos]]+SARM[[#This Row],[Trenes Corridos]]+URQ[[#This Row],[Trenes Corridos]]+ROCA[[#This Row],[Trenes Corridos]]+SM[[#This Row],[Trenes Corridos]]+BN[[#This Row],[Trenes Corridos]]+BS[[#This Row],[Trenes Corridos]]+TDC[[#This Row],[Trenes Corridos]]</f>
        <v>56038</v>
      </c>
      <c r="K38" s="62">
        <f>+MITRE[[#This Row],[Trenes Puntuales]]+SARM[[#This Row],[Trenes Puntuales]]+URQ[[#This Row],[Trenes Puntuales]]+ROCA[[#This Row],[Trenes Puntuales]]+SM[[#This Row],[Trenes Puntuales]]+BN[[#This Row],[Trenes Puntuales]]+BS[[#This Row],[Trenes Puntuales]]+TDC[[#This Row],[Trenes Puntuales]]</f>
        <v>53356</v>
      </c>
      <c r="L38" s="62">
        <f t="shared" si="4"/>
        <v>2682</v>
      </c>
    </row>
    <row r="39" spans="1:12" s="18" customFormat="1" ht="15" customHeight="1">
      <c r="A39" s="18">
        <v>1995</v>
      </c>
      <c r="B39" s="18" t="s">
        <v>45</v>
      </c>
      <c r="C39" s="61">
        <f t="shared" si="0"/>
        <v>0.96331287497413975</v>
      </c>
      <c r="D39" s="61">
        <f t="shared" si="1"/>
        <v>0.96830430638592846</v>
      </c>
      <c r="E39" s="61">
        <f t="shared" si="2"/>
        <v>0.99484518309082137</v>
      </c>
      <c r="F3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9" s="62">
        <f>+MITRE[[#This Row],[Trenes Programados]]+SARM[[#This Row],[Trenes Programados]]+URQ[[#This Row],[Trenes Programados]]+ROCA[[#This Row],[Trenes Programados]]+SM[[#This Row],[Trenes Programados]]+BN[[#This Row],[Trenes Programados]]+BS[[#This Row],[Trenes Programados]]+TDC[[#This Row],[Trenes Programados]]</f>
        <v>58004</v>
      </c>
      <c r="I39" s="62">
        <f t="shared" si="3"/>
        <v>299</v>
      </c>
      <c r="J39" s="62">
        <f>+MITRE[[#This Row],[Trenes Corridos]]+SARM[[#This Row],[Trenes Corridos]]+URQ[[#This Row],[Trenes Corridos]]+ROCA[[#This Row],[Trenes Corridos]]+SM[[#This Row],[Trenes Corridos]]+BN[[#This Row],[Trenes Corridos]]+BS[[#This Row],[Trenes Corridos]]+TDC[[#This Row],[Trenes Corridos]]</f>
        <v>57705</v>
      </c>
      <c r="K39" s="62">
        <f>+MITRE[[#This Row],[Trenes Puntuales]]+SARM[[#This Row],[Trenes Puntuales]]+URQ[[#This Row],[Trenes Puntuales]]+ROCA[[#This Row],[Trenes Puntuales]]+SM[[#This Row],[Trenes Puntuales]]+BN[[#This Row],[Trenes Puntuales]]+BS[[#This Row],[Trenes Puntuales]]+TDC[[#This Row],[Trenes Puntuales]]</f>
        <v>55876</v>
      </c>
      <c r="L39" s="62">
        <f t="shared" si="4"/>
        <v>1829</v>
      </c>
    </row>
    <row r="40" spans="1:12" s="18" customFormat="1" ht="15" customHeight="1">
      <c r="A40" s="18">
        <v>1995</v>
      </c>
      <c r="B40" s="18" t="s">
        <v>46</v>
      </c>
      <c r="C40" s="61">
        <f t="shared" si="0"/>
        <v>0.96614700100024142</v>
      </c>
      <c r="D40" s="61">
        <f t="shared" si="1"/>
        <v>0.97436387985460116</v>
      </c>
      <c r="E40" s="61">
        <f t="shared" si="2"/>
        <v>0.99156692994860829</v>
      </c>
      <c r="F4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0" s="62">
        <f>+MITRE[[#This Row],[Trenes Programados]]+SARM[[#This Row],[Trenes Programados]]+URQ[[#This Row],[Trenes Programados]]+ROCA[[#This Row],[Trenes Programados]]+SM[[#This Row],[Trenes Programados]]+BN[[#This Row],[Trenes Programados]]+BS[[#This Row],[Trenes Programados]]+TDC[[#This Row],[Trenes Programados]]</f>
        <v>57986</v>
      </c>
      <c r="I40" s="62">
        <f t="shared" si="3"/>
        <v>489</v>
      </c>
      <c r="J40" s="62">
        <f>+MITRE[[#This Row],[Trenes Corridos]]+SARM[[#This Row],[Trenes Corridos]]+URQ[[#This Row],[Trenes Corridos]]+ROCA[[#This Row],[Trenes Corridos]]+SM[[#This Row],[Trenes Corridos]]+BN[[#This Row],[Trenes Corridos]]+BS[[#This Row],[Trenes Corridos]]+TDC[[#This Row],[Trenes Corridos]]</f>
        <v>57497</v>
      </c>
      <c r="K40" s="62">
        <f>+MITRE[[#This Row],[Trenes Puntuales]]+SARM[[#This Row],[Trenes Puntuales]]+URQ[[#This Row],[Trenes Puntuales]]+ROCA[[#This Row],[Trenes Puntuales]]+SM[[#This Row],[Trenes Puntuales]]+BN[[#This Row],[Trenes Puntuales]]+BS[[#This Row],[Trenes Puntuales]]+TDC[[#This Row],[Trenes Puntuales]]</f>
        <v>56023</v>
      </c>
      <c r="L40" s="62">
        <f t="shared" si="4"/>
        <v>1474</v>
      </c>
    </row>
    <row r="41" spans="1:12" s="18" customFormat="1" ht="15" customHeight="1">
      <c r="A41" s="18">
        <v>1995</v>
      </c>
      <c r="B41" s="18" t="s">
        <v>47</v>
      </c>
      <c r="C41" s="61">
        <f t="shared" si="0"/>
        <v>0.95620056330426861</v>
      </c>
      <c r="D41" s="61">
        <f t="shared" si="1"/>
        <v>0.96574514112456777</v>
      </c>
      <c r="E41" s="61">
        <f t="shared" si="2"/>
        <v>0.99011687720304253</v>
      </c>
      <c r="F4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1" s="62">
        <f>+MITRE[[#This Row],[Trenes Programados]]+SARM[[#This Row],[Trenes Programados]]+URQ[[#This Row],[Trenes Programados]]+ROCA[[#This Row],[Trenes Programados]]+SM[[#This Row],[Trenes Programados]]+BN[[#This Row],[Trenes Programados]]+BS[[#This Row],[Trenes Programados]]+TDC[[#This Row],[Trenes Programados]]</f>
        <v>59293</v>
      </c>
      <c r="I41" s="62">
        <f t="shared" si="3"/>
        <v>586</v>
      </c>
      <c r="J41" s="62">
        <f>+MITRE[[#This Row],[Trenes Corridos]]+SARM[[#This Row],[Trenes Corridos]]+URQ[[#This Row],[Trenes Corridos]]+ROCA[[#This Row],[Trenes Corridos]]+SM[[#This Row],[Trenes Corridos]]+BN[[#This Row],[Trenes Corridos]]+BS[[#This Row],[Trenes Corridos]]+TDC[[#This Row],[Trenes Corridos]]</f>
        <v>58707</v>
      </c>
      <c r="K41" s="62">
        <f>+MITRE[[#This Row],[Trenes Puntuales]]+SARM[[#This Row],[Trenes Puntuales]]+URQ[[#This Row],[Trenes Puntuales]]+ROCA[[#This Row],[Trenes Puntuales]]+SM[[#This Row],[Trenes Puntuales]]+BN[[#This Row],[Trenes Puntuales]]+BS[[#This Row],[Trenes Puntuales]]+TDC[[#This Row],[Trenes Puntuales]]</f>
        <v>56696</v>
      </c>
      <c r="L41" s="62">
        <f t="shared" si="4"/>
        <v>2011</v>
      </c>
    </row>
    <row r="42" spans="1:12" s="18" customFormat="1" ht="15" customHeight="1">
      <c r="A42" s="18">
        <v>1996</v>
      </c>
      <c r="B42" s="18" t="s">
        <v>36</v>
      </c>
      <c r="C42" s="61">
        <f t="shared" si="0"/>
        <v>0.9625889836926339</v>
      </c>
      <c r="D42" s="61">
        <f t="shared" si="1"/>
        <v>0.97310263869749403</v>
      </c>
      <c r="E42" s="61">
        <f t="shared" si="2"/>
        <v>0.98919573888019385</v>
      </c>
      <c r="F4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2" s="62">
        <f>+MITRE[[#This Row],[Trenes Programados]]+SARM[[#This Row],[Trenes Programados]]+URQ[[#This Row],[Trenes Programados]]+ROCA[[#This Row],[Trenes Programados]]+SM[[#This Row],[Trenes Programados]]+BN[[#This Row],[Trenes Programados]]+BS[[#This Row],[Trenes Programados]]+TDC[[#This Row],[Trenes Programados]]</f>
        <v>59421</v>
      </c>
      <c r="I42" s="62">
        <f t="shared" si="3"/>
        <v>642</v>
      </c>
      <c r="J42" s="62">
        <f>+MITRE[[#This Row],[Trenes Corridos]]+SARM[[#This Row],[Trenes Corridos]]+URQ[[#This Row],[Trenes Corridos]]+ROCA[[#This Row],[Trenes Corridos]]+SM[[#This Row],[Trenes Corridos]]+BN[[#This Row],[Trenes Corridos]]+BS[[#This Row],[Trenes Corridos]]+TDC[[#This Row],[Trenes Corridos]]</f>
        <v>58779</v>
      </c>
      <c r="K42" s="62">
        <f>+MITRE[[#This Row],[Trenes Puntuales]]+SARM[[#This Row],[Trenes Puntuales]]+URQ[[#This Row],[Trenes Puntuales]]+ROCA[[#This Row],[Trenes Puntuales]]+SM[[#This Row],[Trenes Puntuales]]+BN[[#This Row],[Trenes Puntuales]]+BS[[#This Row],[Trenes Puntuales]]+TDC[[#This Row],[Trenes Puntuales]]</f>
        <v>57198</v>
      </c>
      <c r="L42" s="62">
        <f t="shared" si="4"/>
        <v>1581</v>
      </c>
    </row>
    <row r="43" spans="1:12" s="18" customFormat="1" ht="15" customHeight="1">
      <c r="A43" s="18">
        <v>1996</v>
      </c>
      <c r="B43" s="18" t="s">
        <v>37</v>
      </c>
      <c r="C43" s="61">
        <f t="shared" si="0"/>
        <v>0.95631657968113248</v>
      </c>
      <c r="D43" s="61">
        <f t="shared" si="1"/>
        <v>0.96778511350275842</v>
      </c>
      <c r="E43" s="61">
        <f t="shared" si="2"/>
        <v>0.98814971044541355</v>
      </c>
      <c r="F4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3" s="62">
        <f>+MITRE[[#This Row],[Trenes Programados]]+SARM[[#This Row],[Trenes Programados]]+URQ[[#This Row],[Trenes Programados]]+ROCA[[#This Row],[Trenes Programados]]+SM[[#This Row],[Trenes Programados]]+BN[[#This Row],[Trenes Programados]]+BS[[#This Row],[Trenes Programados]]+TDC[[#This Row],[Trenes Programados]]</f>
        <v>55948</v>
      </c>
      <c r="I43" s="62">
        <f t="shared" si="3"/>
        <v>663</v>
      </c>
      <c r="J43" s="62">
        <f>+MITRE[[#This Row],[Trenes Corridos]]+SARM[[#This Row],[Trenes Corridos]]+URQ[[#This Row],[Trenes Corridos]]+ROCA[[#This Row],[Trenes Corridos]]+SM[[#This Row],[Trenes Corridos]]+BN[[#This Row],[Trenes Corridos]]+BS[[#This Row],[Trenes Corridos]]+TDC[[#This Row],[Trenes Corridos]]</f>
        <v>55285</v>
      </c>
      <c r="K43" s="62">
        <f>+MITRE[[#This Row],[Trenes Puntuales]]+SARM[[#This Row],[Trenes Puntuales]]+URQ[[#This Row],[Trenes Puntuales]]+ROCA[[#This Row],[Trenes Puntuales]]+SM[[#This Row],[Trenes Puntuales]]+BN[[#This Row],[Trenes Puntuales]]+BS[[#This Row],[Trenes Puntuales]]+TDC[[#This Row],[Trenes Puntuales]]</f>
        <v>53504</v>
      </c>
      <c r="L43" s="62">
        <f t="shared" si="4"/>
        <v>1781</v>
      </c>
    </row>
    <row r="44" spans="1:12" s="18" customFormat="1" ht="15" customHeight="1">
      <c r="A44" s="18">
        <v>1996</v>
      </c>
      <c r="B44" s="18" t="s">
        <v>38</v>
      </c>
      <c r="C44" s="61">
        <f t="shared" si="0"/>
        <v>0.95330667999333663</v>
      </c>
      <c r="D44" s="61">
        <f t="shared" si="1"/>
        <v>0.96624793165163947</v>
      </c>
      <c r="E44" s="61">
        <f t="shared" si="2"/>
        <v>0.98660669665167411</v>
      </c>
      <c r="F4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4" s="62">
        <f>+MITRE[[#This Row],[Trenes Programados]]+SARM[[#This Row],[Trenes Programados]]+URQ[[#This Row],[Trenes Programados]]+ROCA[[#This Row],[Trenes Programados]]+SM[[#This Row],[Trenes Programados]]+BN[[#This Row],[Trenes Programados]]+BS[[#This Row],[Trenes Programados]]+TDC[[#This Row],[Trenes Programados]]</f>
        <v>60030</v>
      </c>
      <c r="I44" s="62">
        <f t="shared" si="3"/>
        <v>804</v>
      </c>
      <c r="J44" s="62">
        <f>+MITRE[[#This Row],[Trenes Corridos]]+SARM[[#This Row],[Trenes Corridos]]+URQ[[#This Row],[Trenes Corridos]]+ROCA[[#This Row],[Trenes Corridos]]+SM[[#This Row],[Trenes Corridos]]+BN[[#This Row],[Trenes Corridos]]+BS[[#This Row],[Trenes Corridos]]+TDC[[#This Row],[Trenes Corridos]]</f>
        <v>59226</v>
      </c>
      <c r="K44" s="62">
        <f>+MITRE[[#This Row],[Trenes Puntuales]]+SARM[[#This Row],[Trenes Puntuales]]+URQ[[#This Row],[Trenes Puntuales]]+ROCA[[#This Row],[Trenes Puntuales]]+SM[[#This Row],[Trenes Puntuales]]+BN[[#This Row],[Trenes Puntuales]]+BS[[#This Row],[Trenes Puntuales]]+TDC[[#This Row],[Trenes Puntuales]]</f>
        <v>57227</v>
      </c>
      <c r="L44" s="62">
        <f t="shared" si="4"/>
        <v>1999</v>
      </c>
    </row>
    <row r="45" spans="1:12" s="18" customFormat="1" ht="15" customHeight="1">
      <c r="A45" s="18">
        <v>1996</v>
      </c>
      <c r="B45" s="18" t="s">
        <v>39</v>
      </c>
      <c r="C45" s="61">
        <f t="shared" si="0"/>
        <v>0.94811631959129128</v>
      </c>
      <c r="D45" s="61">
        <f t="shared" si="1"/>
        <v>0.96085994959625576</v>
      </c>
      <c r="E45" s="61">
        <f t="shared" si="2"/>
        <v>0.98673726591443511</v>
      </c>
      <c r="F4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5" s="62">
        <f>+MITRE[[#This Row],[Trenes Programados]]+SARM[[#This Row],[Trenes Programados]]+URQ[[#This Row],[Trenes Programados]]+ROCA[[#This Row],[Trenes Programados]]+SM[[#This Row],[Trenes Programados]]+BN[[#This Row],[Trenes Programados]]+BS[[#This Row],[Trenes Programados]]+TDC[[#This Row],[Trenes Programados]]</f>
        <v>59113</v>
      </c>
      <c r="I45" s="62">
        <f t="shared" si="3"/>
        <v>784</v>
      </c>
      <c r="J45" s="62">
        <f>+MITRE[[#This Row],[Trenes Corridos]]+SARM[[#This Row],[Trenes Corridos]]+URQ[[#This Row],[Trenes Corridos]]+ROCA[[#This Row],[Trenes Corridos]]+SM[[#This Row],[Trenes Corridos]]+BN[[#This Row],[Trenes Corridos]]+BS[[#This Row],[Trenes Corridos]]+TDC[[#This Row],[Trenes Corridos]]</f>
        <v>58329</v>
      </c>
      <c r="K45" s="62">
        <f>+MITRE[[#This Row],[Trenes Puntuales]]+SARM[[#This Row],[Trenes Puntuales]]+URQ[[#This Row],[Trenes Puntuales]]+ROCA[[#This Row],[Trenes Puntuales]]+SM[[#This Row],[Trenes Puntuales]]+BN[[#This Row],[Trenes Puntuales]]+BS[[#This Row],[Trenes Puntuales]]+TDC[[#This Row],[Trenes Puntuales]]</f>
        <v>56046</v>
      </c>
      <c r="L45" s="62">
        <f t="shared" si="4"/>
        <v>2283</v>
      </c>
    </row>
    <row r="46" spans="1:12" s="18" customFormat="1" ht="15" customHeight="1">
      <c r="A46" s="18">
        <v>1996</v>
      </c>
      <c r="B46" s="18" t="s">
        <v>40</v>
      </c>
      <c r="C46" s="61">
        <f t="shared" si="0"/>
        <v>0.93721359575379948</v>
      </c>
      <c r="D46" s="61">
        <f t="shared" si="1"/>
        <v>0.94736403625699817</v>
      </c>
      <c r="E46" s="61">
        <f t="shared" si="2"/>
        <v>0.98928559654501702</v>
      </c>
      <c r="F4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6" s="62">
        <f>+MITRE[[#This Row],[Trenes Programados]]+SARM[[#This Row],[Trenes Programados]]+URQ[[#This Row],[Trenes Programados]]+ROCA[[#This Row],[Trenes Programados]]+SM[[#This Row],[Trenes Programados]]+BN[[#This Row],[Trenes Programados]]+BS[[#This Row],[Trenes Programados]]+TDC[[#This Row],[Trenes Programados]]</f>
        <v>60666</v>
      </c>
      <c r="I46" s="62">
        <f t="shared" si="3"/>
        <v>650</v>
      </c>
      <c r="J46" s="62">
        <f>+MITRE[[#This Row],[Trenes Corridos]]+SARM[[#This Row],[Trenes Corridos]]+URQ[[#This Row],[Trenes Corridos]]+ROCA[[#This Row],[Trenes Corridos]]+SM[[#This Row],[Trenes Corridos]]+BN[[#This Row],[Trenes Corridos]]+BS[[#This Row],[Trenes Corridos]]+TDC[[#This Row],[Trenes Corridos]]</f>
        <v>60016</v>
      </c>
      <c r="K46" s="62">
        <f>+MITRE[[#This Row],[Trenes Puntuales]]+SARM[[#This Row],[Trenes Puntuales]]+URQ[[#This Row],[Trenes Puntuales]]+ROCA[[#This Row],[Trenes Puntuales]]+SM[[#This Row],[Trenes Puntuales]]+BN[[#This Row],[Trenes Puntuales]]+BS[[#This Row],[Trenes Puntuales]]+TDC[[#This Row],[Trenes Puntuales]]</f>
        <v>56857</v>
      </c>
      <c r="L46" s="62">
        <f t="shared" si="4"/>
        <v>3159</v>
      </c>
    </row>
    <row r="47" spans="1:12" s="18" customFormat="1" ht="15" customHeight="1">
      <c r="A47" s="18">
        <v>1996</v>
      </c>
      <c r="B47" s="18" t="s">
        <v>41</v>
      </c>
      <c r="C47" s="61">
        <f t="shared" si="0"/>
        <v>0.95577868711529868</v>
      </c>
      <c r="D47" s="61">
        <f t="shared" si="1"/>
        <v>0.96701805657029538</v>
      </c>
      <c r="E47" s="61">
        <f t="shared" si="2"/>
        <v>0.98837729101475191</v>
      </c>
      <c r="F4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7" s="62">
        <f>+MITRE[[#This Row],[Trenes Programados]]+SARM[[#This Row],[Trenes Programados]]+URQ[[#This Row],[Trenes Programados]]+ROCA[[#This Row],[Trenes Programados]]+SM[[#This Row],[Trenes Programados]]+BN[[#This Row],[Trenes Programados]]+BS[[#This Row],[Trenes Programados]]+TDC[[#This Row],[Trenes Programados]]</f>
        <v>58162</v>
      </c>
      <c r="I47" s="62">
        <f t="shared" si="3"/>
        <v>676</v>
      </c>
      <c r="J47" s="62">
        <f>+MITRE[[#This Row],[Trenes Corridos]]+SARM[[#This Row],[Trenes Corridos]]+URQ[[#This Row],[Trenes Corridos]]+ROCA[[#This Row],[Trenes Corridos]]+SM[[#This Row],[Trenes Corridos]]+BN[[#This Row],[Trenes Corridos]]+BS[[#This Row],[Trenes Corridos]]+TDC[[#This Row],[Trenes Corridos]]</f>
        <v>57486</v>
      </c>
      <c r="K47" s="62">
        <f>+MITRE[[#This Row],[Trenes Puntuales]]+SARM[[#This Row],[Trenes Puntuales]]+URQ[[#This Row],[Trenes Puntuales]]+ROCA[[#This Row],[Trenes Puntuales]]+SM[[#This Row],[Trenes Puntuales]]+BN[[#This Row],[Trenes Puntuales]]+BS[[#This Row],[Trenes Puntuales]]+TDC[[#This Row],[Trenes Puntuales]]</f>
        <v>55590</v>
      </c>
      <c r="L47" s="62">
        <f t="shared" si="4"/>
        <v>1896</v>
      </c>
    </row>
    <row r="48" spans="1:12" s="18" customFormat="1" ht="15" customHeight="1">
      <c r="A48" s="18">
        <v>1996</v>
      </c>
      <c r="B48" s="18" t="s">
        <v>42</v>
      </c>
      <c r="C48" s="61">
        <f t="shared" si="0"/>
        <v>0.95867391133160096</v>
      </c>
      <c r="D48" s="61">
        <f t="shared" si="1"/>
        <v>0.97025678626647749</v>
      </c>
      <c r="E48" s="61">
        <f t="shared" si="2"/>
        <v>0.98806205213008902</v>
      </c>
      <c r="F4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8" s="62">
        <f>+MITRE[[#This Row],[Trenes Programados]]+SARM[[#This Row],[Trenes Programados]]+URQ[[#This Row],[Trenes Programados]]+ROCA[[#This Row],[Trenes Programados]]+SM[[#This Row],[Trenes Programados]]+BN[[#This Row],[Trenes Programados]]+BS[[#This Row],[Trenes Programados]]+TDC[[#This Row],[Trenes Programados]]</f>
        <v>63495</v>
      </c>
      <c r="I48" s="62">
        <f t="shared" si="3"/>
        <v>758</v>
      </c>
      <c r="J48" s="62">
        <f>+MITRE[[#This Row],[Trenes Corridos]]+SARM[[#This Row],[Trenes Corridos]]+URQ[[#This Row],[Trenes Corridos]]+ROCA[[#This Row],[Trenes Corridos]]+SM[[#This Row],[Trenes Corridos]]+BN[[#This Row],[Trenes Corridos]]+BS[[#This Row],[Trenes Corridos]]+TDC[[#This Row],[Trenes Corridos]]</f>
        <v>62737</v>
      </c>
      <c r="K48" s="62">
        <f>+MITRE[[#This Row],[Trenes Puntuales]]+SARM[[#This Row],[Trenes Puntuales]]+URQ[[#This Row],[Trenes Puntuales]]+ROCA[[#This Row],[Trenes Puntuales]]+SM[[#This Row],[Trenes Puntuales]]+BN[[#This Row],[Trenes Puntuales]]+BS[[#This Row],[Trenes Puntuales]]+TDC[[#This Row],[Trenes Puntuales]]</f>
        <v>60871</v>
      </c>
      <c r="L48" s="62">
        <f t="shared" si="4"/>
        <v>1866</v>
      </c>
    </row>
    <row r="49" spans="1:12" s="18" customFormat="1" ht="15" customHeight="1">
      <c r="A49" s="18">
        <v>1996</v>
      </c>
      <c r="B49" s="18" t="s">
        <v>43</v>
      </c>
      <c r="C49" s="61">
        <f t="shared" si="0"/>
        <v>0.9338703840646978</v>
      </c>
      <c r="D49" s="61">
        <f t="shared" si="1"/>
        <v>0.97191701190456692</v>
      </c>
      <c r="E49" s="61">
        <f t="shared" si="2"/>
        <v>0.9608540365341347</v>
      </c>
      <c r="F4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9" s="62">
        <f>+MITRE[[#This Row],[Trenes Programados]]+SARM[[#This Row],[Trenes Programados]]+URQ[[#This Row],[Trenes Programados]]+ROCA[[#This Row],[Trenes Programados]]+SM[[#This Row],[Trenes Programados]]+BN[[#This Row],[Trenes Programados]]+BS[[#This Row],[Trenes Programados]]+TDC[[#This Row],[Trenes Programados]]</f>
        <v>63557</v>
      </c>
      <c r="I49" s="62">
        <f t="shared" si="3"/>
        <v>2488</v>
      </c>
      <c r="J49" s="62">
        <f>+MITRE[[#This Row],[Trenes Corridos]]+SARM[[#This Row],[Trenes Corridos]]+URQ[[#This Row],[Trenes Corridos]]+ROCA[[#This Row],[Trenes Corridos]]+SM[[#This Row],[Trenes Corridos]]+BN[[#This Row],[Trenes Corridos]]+BS[[#This Row],[Trenes Corridos]]+TDC[[#This Row],[Trenes Corridos]]</f>
        <v>61069</v>
      </c>
      <c r="K49" s="62">
        <f>+MITRE[[#This Row],[Trenes Puntuales]]+SARM[[#This Row],[Trenes Puntuales]]+URQ[[#This Row],[Trenes Puntuales]]+ROCA[[#This Row],[Trenes Puntuales]]+SM[[#This Row],[Trenes Puntuales]]+BN[[#This Row],[Trenes Puntuales]]+BS[[#This Row],[Trenes Puntuales]]+TDC[[#This Row],[Trenes Puntuales]]</f>
        <v>59354</v>
      </c>
      <c r="L49" s="62">
        <f t="shared" si="4"/>
        <v>1715</v>
      </c>
    </row>
    <row r="50" spans="1:12" s="18" customFormat="1" ht="15" customHeight="1">
      <c r="A50" s="18">
        <v>1996</v>
      </c>
      <c r="B50" s="18" t="s">
        <v>44</v>
      </c>
      <c r="C50" s="61">
        <f t="shared" si="0"/>
        <v>0.9414785389012692</v>
      </c>
      <c r="D50" s="61">
        <f t="shared" si="1"/>
        <v>0.97259154224705979</v>
      </c>
      <c r="E50" s="61">
        <f t="shared" si="2"/>
        <v>0.96801020572941898</v>
      </c>
      <c r="F5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0" s="62">
        <f>+MITRE[[#This Row],[Trenes Programados]]+SARM[[#This Row],[Trenes Programados]]+URQ[[#This Row],[Trenes Programados]]+ROCA[[#This Row],[Trenes Programados]]+SM[[#This Row],[Trenes Programados]]+BN[[#This Row],[Trenes Programados]]+BS[[#This Row],[Trenes Programados]]+TDC[[#This Row],[Trenes Programados]]</f>
        <v>61926</v>
      </c>
      <c r="I50" s="62">
        <f t="shared" si="3"/>
        <v>1981</v>
      </c>
      <c r="J50" s="62">
        <f>+MITRE[[#This Row],[Trenes Corridos]]+SARM[[#This Row],[Trenes Corridos]]+URQ[[#This Row],[Trenes Corridos]]+ROCA[[#This Row],[Trenes Corridos]]+SM[[#This Row],[Trenes Corridos]]+BN[[#This Row],[Trenes Corridos]]+BS[[#This Row],[Trenes Corridos]]+TDC[[#This Row],[Trenes Corridos]]</f>
        <v>59945</v>
      </c>
      <c r="K50" s="62">
        <f>+MITRE[[#This Row],[Trenes Puntuales]]+SARM[[#This Row],[Trenes Puntuales]]+URQ[[#This Row],[Trenes Puntuales]]+ROCA[[#This Row],[Trenes Puntuales]]+SM[[#This Row],[Trenes Puntuales]]+BN[[#This Row],[Trenes Puntuales]]+BS[[#This Row],[Trenes Puntuales]]+TDC[[#This Row],[Trenes Puntuales]]</f>
        <v>58302</v>
      </c>
      <c r="L50" s="62">
        <f t="shared" si="4"/>
        <v>1643</v>
      </c>
    </row>
    <row r="51" spans="1:12" s="18" customFormat="1" ht="15" customHeight="1">
      <c r="A51" s="18">
        <v>1996</v>
      </c>
      <c r="B51" s="18" t="s">
        <v>45</v>
      </c>
      <c r="C51" s="61">
        <f t="shared" si="0"/>
        <v>0.92277974660440776</v>
      </c>
      <c r="D51" s="61">
        <f t="shared" si="1"/>
        <v>0.96946357520653237</v>
      </c>
      <c r="E51" s="61">
        <f t="shared" si="2"/>
        <v>0.95184571159140341</v>
      </c>
      <c r="F5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1" s="62">
        <f>+MITRE[[#This Row],[Trenes Programados]]+SARM[[#This Row],[Trenes Programados]]+URQ[[#This Row],[Trenes Programados]]+ROCA[[#This Row],[Trenes Programados]]+SM[[#This Row],[Trenes Programados]]+BN[[#This Row],[Trenes Programados]]+BS[[#This Row],[Trenes Programados]]+TDC[[#This Row],[Trenes Programados]]</f>
        <v>65747</v>
      </c>
      <c r="I51" s="62">
        <f t="shared" si="3"/>
        <v>3166</v>
      </c>
      <c r="J51" s="62">
        <f>+MITRE[[#This Row],[Trenes Corridos]]+SARM[[#This Row],[Trenes Corridos]]+URQ[[#This Row],[Trenes Corridos]]+ROCA[[#This Row],[Trenes Corridos]]+SM[[#This Row],[Trenes Corridos]]+BN[[#This Row],[Trenes Corridos]]+BS[[#This Row],[Trenes Corridos]]+TDC[[#This Row],[Trenes Corridos]]</f>
        <v>62581</v>
      </c>
      <c r="K51" s="62">
        <f>+MITRE[[#This Row],[Trenes Puntuales]]+SARM[[#This Row],[Trenes Puntuales]]+URQ[[#This Row],[Trenes Puntuales]]+ROCA[[#This Row],[Trenes Puntuales]]+SM[[#This Row],[Trenes Puntuales]]+BN[[#This Row],[Trenes Puntuales]]+BS[[#This Row],[Trenes Puntuales]]+TDC[[#This Row],[Trenes Puntuales]]</f>
        <v>60670</v>
      </c>
      <c r="L51" s="62">
        <f t="shared" si="4"/>
        <v>1911</v>
      </c>
    </row>
    <row r="52" spans="1:12" s="18" customFormat="1" ht="15" customHeight="1">
      <c r="A52" s="18">
        <v>1996</v>
      </c>
      <c r="B52" s="18" t="s">
        <v>46</v>
      </c>
      <c r="C52" s="61">
        <f t="shared" si="0"/>
        <v>0.95153801959596895</v>
      </c>
      <c r="D52" s="61">
        <f t="shared" si="1"/>
        <v>0.96834852962090923</v>
      </c>
      <c r="E52" s="61">
        <f t="shared" si="2"/>
        <v>0.98264002111768456</v>
      </c>
      <c r="F5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2" s="62">
        <f>+MITRE[[#This Row],[Trenes Programados]]+SARM[[#This Row],[Trenes Programados]]+URQ[[#This Row],[Trenes Programados]]+ROCA[[#This Row],[Trenes Programados]]+SM[[#This Row],[Trenes Programados]]+BN[[#This Row],[Trenes Programados]]+BS[[#This Row],[Trenes Programados]]+TDC[[#This Row],[Trenes Programados]]</f>
        <v>64401</v>
      </c>
      <c r="I52" s="62">
        <f t="shared" si="3"/>
        <v>1118</v>
      </c>
      <c r="J52" s="62">
        <f>+MITRE[[#This Row],[Trenes Corridos]]+SARM[[#This Row],[Trenes Corridos]]+URQ[[#This Row],[Trenes Corridos]]+ROCA[[#This Row],[Trenes Corridos]]+SM[[#This Row],[Trenes Corridos]]+BN[[#This Row],[Trenes Corridos]]+BS[[#This Row],[Trenes Corridos]]+TDC[[#This Row],[Trenes Corridos]]</f>
        <v>63283</v>
      </c>
      <c r="K52" s="62">
        <f>+MITRE[[#This Row],[Trenes Puntuales]]+SARM[[#This Row],[Trenes Puntuales]]+URQ[[#This Row],[Trenes Puntuales]]+ROCA[[#This Row],[Trenes Puntuales]]+SM[[#This Row],[Trenes Puntuales]]+BN[[#This Row],[Trenes Puntuales]]+BS[[#This Row],[Trenes Puntuales]]+TDC[[#This Row],[Trenes Puntuales]]</f>
        <v>61280</v>
      </c>
      <c r="L52" s="62">
        <f t="shared" si="4"/>
        <v>2003</v>
      </c>
    </row>
    <row r="53" spans="1:12" s="18" customFormat="1" ht="15" customHeight="1">
      <c r="A53" s="18">
        <v>1996</v>
      </c>
      <c r="B53" s="18" t="s">
        <v>47</v>
      </c>
      <c r="C53" s="61">
        <f t="shared" si="0"/>
        <v>0.90070088106399548</v>
      </c>
      <c r="D53" s="61">
        <f t="shared" si="1"/>
        <v>0.96159238368491406</v>
      </c>
      <c r="E53" s="61">
        <f t="shared" si="2"/>
        <v>0.93667638840110556</v>
      </c>
      <c r="F5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3" s="62">
        <f>+MITRE[[#This Row],[Trenes Programados]]+SARM[[#This Row],[Trenes Programados]]+URQ[[#This Row],[Trenes Programados]]+ROCA[[#This Row],[Trenes Programados]]+SM[[#This Row],[Trenes Programados]]+BN[[#This Row],[Trenes Programados]]+BS[[#This Row],[Trenes Programados]]+TDC[[#This Row],[Trenes Programados]]</f>
        <v>65489</v>
      </c>
      <c r="I53" s="62">
        <f t="shared" si="3"/>
        <v>4147</v>
      </c>
      <c r="J53" s="62">
        <f>+MITRE[[#This Row],[Trenes Corridos]]+SARM[[#This Row],[Trenes Corridos]]+URQ[[#This Row],[Trenes Corridos]]+ROCA[[#This Row],[Trenes Corridos]]+SM[[#This Row],[Trenes Corridos]]+BN[[#This Row],[Trenes Corridos]]+BS[[#This Row],[Trenes Corridos]]+TDC[[#This Row],[Trenes Corridos]]</f>
        <v>61342</v>
      </c>
      <c r="K53" s="62">
        <f>+MITRE[[#This Row],[Trenes Puntuales]]+SARM[[#This Row],[Trenes Puntuales]]+URQ[[#This Row],[Trenes Puntuales]]+ROCA[[#This Row],[Trenes Puntuales]]+SM[[#This Row],[Trenes Puntuales]]+BN[[#This Row],[Trenes Puntuales]]+BS[[#This Row],[Trenes Puntuales]]+TDC[[#This Row],[Trenes Puntuales]]</f>
        <v>58986</v>
      </c>
      <c r="L53" s="62">
        <f t="shared" si="4"/>
        <v>2356</v>
      </c>
    </row>
    <row r="54" spans="1:12" s="18" customFormat="1" ht="15" customHeight="1">
      <c r="A54" s="18">
        <v>1997</v>
      </c>
      <c r="B54" s="18" t="s">
        <v>36</v>
      </c>
      <c r="C54" s="61">
        <f t="shared" si="0"/>
        <v>0.95480574133914486</v>
      </c>
      <c r="D54" s="61">
        <f t="shared" si="1"/>
        <v>0.96646990811172639</v>
      </c>
      <c r="E54" s="61">
        <f t="shared" si="2"/>
        <v>0.98793116404899672</v>
      </c>
      <c r="F5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4" s="62">
        <f>+MITRE[[#This Row],[Trenes Programados]]+SARM[[#This Row],[Trenes Programados]]+URQ[[#This Row],[Trenes Programados]]+ROCA[[#This Row],[Trenes Programados]]+SM[[#This Row],[Trenes Programados]]+BN[[#This Row],[Trenes Programados]]+BS[[#This Row],[Trenes Programados]]+TDC[[#This Row],[Trenes Programados]]</f>
        <v>66535</v>
      </c>
      <c r="I54" s="62">
        <f t="shared" si="3"/>
        <v>803</v>
      </c>
      <c r="J54" s="62">
        <f>+MITRE[[#This Row],[Trenes Corridos]]+SARM[[#This Row],[Trenes Corridos]]+URQ[[#This Row],[Trenes Corridos]]+ROCA[[#This Row],[Trenes Corridos]]+SM[[#This Row],[Trenes Corridos]]+BN[[#This Row],[Trenes Corridos]]+BS[[#This Row],[Trenes Corridos]]+TDC[[#This Row],[Trenes Corridos]]</f>
        <v>65732</v>
      </c>
      <c r="K54" s="62">
        <f>+MITRE[[#This Row],[Trenes Puntuales]]+SARM[[#This Row],[Trenes Puntuales]]+URQ[[#This Row],[Trenes Puntuales]]+ROCA[[#This Row],[Trenes Puntuales]]+SM[[#This Row],[Trenes Puntuales]]+BN[[#This Row],[Trenes Puntuales]]+BS[[#This Row],[Trenes Puntuales]]+TDC[[#This Row],[Trenes Puntuales]]</f>
        <v>63528</v>
      </c>
      <c r="L54" s="62">
        <f t="shared" si="4"/>
        <v>2204</v>
      </c>
    </row>
    <row r="55" spans="1:12" s="18" customFormat="1" ht="15" customHeight="1">
      <c r="A55" s="18">
        <v>1997</v>
      </c>
      <c r="B55" s="18" t="s">
        <v>37</v>
      </c>
      <c r="C55" s="61">
        <f t="shared" si="0"/>
        <v>0.95204459736650571</v>
      </c>
      <c r="D55" s="61">
        <f t="shared" si="1"/>
        <v>0.96743990586653217</v>
      </c>
      <c r="E55" s="61">
        <f t="shared" si="2"/>
        <v>0.98408654800502882</v>
      </c>
      <c r="F5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5" s="62">
        <f>+MITRE[[#This Row],[Trenes Programados]]+SARM[[#This Row],[Trenes Programados]]+URQ[[#This Row],[Trenes Programados]]+ROCA[[#This Row],[Trenes Programados]]+SM[[#This Row],[Trenes Programados]]+BN[[#This Row],[Trenes Programados]]+BS[[#This Row],[Trenes Programados]]+TDC[[#This Row],[Trenes Programados]]</f>
        <v>60452</v>
      </c>
      <c r="I55" s="62">
        <f t="shared" si="3"/>
        <v>962</v>
      </c>
      <c r="J55" s="62">
        <f>+MITRE[[#This Row],[Trenes Corridos]]+SARM[[#This Row],[Trenes Corridos]]+URQ[[#This Row],[Trenes Corridos]]+ROCA[[#This Row],[Trenes Corridos]]+SM[[#This Row],[Trenes Corridos]]+BN[[#This Row],[Trenes Corridos]]+BS[[#This Row],[Trenes Corridos]]+TDC[[#This Row],[Trenes Corridos]]</f>
        <v>59490</v>
      </c>
      <c r="K55" s="62">
        <f>+MITRE[[#This Row],[Trenes Puntuales]]+SARM[[#This Row],[Trenes Puntuales]]+URQ[[#This Row],[Trenes Puntuales]]+ROCA[[#This Row],[Trenes Puntuales]]+SM[[#This Row],[Trenes Puntuales]]+BN[[#This Row],[Trenes Puntuales]]+BS[[#This Row],[Trenes Puntuales]]+TDC[[#This Row],[Trenes Puntuales]]</f>
        <v>57553</v>
      </c>
      <c r="L55" s="62">
        <f t="shared" si="4"/>
        <v>1937</v>
      </c>
    </row>
    <row r="56" spans="1:12" s="18" customFormat="1" ht="15" customHeight="1">
      <c r="A56" s="18">
        <v>1997</v>
      </c>
      <c r="B56" s="18" t="s">
        <v>38</v>
      </c>
      <c r="C56" s="61">
        <f t="shared" si="0"/>
        <v>0.95052095356818567</v>
      </c>
      <c r="D56" s="61">
        <f t="shared" si="1"/>
        <v>0.96138100649097957</v>
      </c>
      <c r="E56" s="61">
        <f t="shared" si="2"/>
        <v>0.98870369515366974</v>
      </c>
      <c r="F5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6" s="62">
        <f>+MITRE[[#This Row],[Trenes Programados]]+SARM[[#This Row],[Trenes Programados]]+URQ[[#This Row],[Trenes Programados]]+ROCA[[#This Row],[Trenes Programados]]+SM[[#This Row],[Trenes Programados]]+BN[[#This Row],[Trenes Programados]]+BS[[#This Row],[Trenes Programados]]+TDC[[#This Row],[Trenes Programados]]</f>
        <v>64977</v>
      </c>
      <c r="I56" s="62">
        <f t="shared" si="3"/>
        <v>734</v>
      </c>
      <c r="J56" s="62">
        <f>+MITRE[[#This Row],[Trenes Corridos]]+SARM[[#This Row],[Trenes Corridos]]+URQ[[#This Row],[Trenes Corridos]]+ROCA[[#This Row],[Trenes Corridos]]+SM[[#This Row],[Trenes Corridos]]+BN[[#This Row],[Trenes Corridos]]+BS[[#This Row],[Trenes Corridos]]+TDC[[#This Row],[Trenes Corridos]]</f>
        <v>64243</v>
      </c>
      <c r="K56" s="62">
        <f>+MITRE[[#This Row],[Trenes Puntuales]]+SARM[[#This Row],[Trenes Puntuales]]+URQ[[#This Row],[Trenes Puntuales]]+ROCA[[#This Row],[Trenes Puntuales]]+SM[[#This Row],[Trenes Puntuales]]+BN[[#This Row],[Trenes Puntuales]]+BS[[#This Row],[Trenes Puntuales]]+TDC[[#This Row],[Trenes Puntuales]]</f>
        <v>61762</v>
      </c>
      <c r="L56" s="62">
        <f t="shared" si="4"/>
        <v>2481</v>
      </c>
    </row>
    <row r="57" spans="1:12" s="18" customFormat="1" ht="15" customHeight="1">
      <c r="A57" s="18">
        <v>1997</v>
      </c>
      <c r="B57" s="18" t="s">
        <v>39</v>
      </c>
      <c r="C57" s="61">
        <f t="shared" si="0"/>
        <v>0.94555381736756539</v>
      </c>
      <c r="D57" s="61">
        <f t="shared" si="1"/>
        <v>0.95977333582414848</v>
      </c>
      <c r="E57" s="61">
        <f t="shared" si="2"/>
        <v>0.98518450354283615</v>
      </c>
      <c r="F5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7" s="62">
        <f>+MITRE[[#This Row],[Trenes Programados]]+SARM[[#This Row],[Trenes Programados]]+URQ[[#This Row],[Trenes Programados]]+ROCA[[#This Row],[Trenes Programados]]+SM[[#This Row],[Trenes Programados]]+BN[[#This Row],[Trenes Programados]]+BS[[#This Row],[Trenes Programados]]+TDC[[#This Row],[Trenes Programados]]</f>
        <v>65202</v>
      </c>
      <c r="I57" s="62">
        <f t="shared" si="3"/>
        <v>966</v>
      </c>
      <c r="J57" s="62">
        <f>+MITRE[[#This Row],[Trenes Corridos]]+SARM[[#This Row],[Trenes Corridos]]+URQ[[#This Row],[Trenes Corridos]]+ROCA[[#This Row],[Trenes Corridos]]+SM[[#This Row],[Trenes Corridos]]+BN[[#This Row],[Trenes Corridos]]+BS[[#This Row],[Trenes Corridos]]+TDC[[#This Row],[Trenes Corridos]]</f>
        <v>64236</v>
      </c>
      <c r="K57" s="62">
        <f>+MITRE[[#This Row],[Trenes Puntuales]]+SARM[[#This Row],[Trenes Puntuales]]+URQ[[#This Row],[Trenes Puntuales]]+ROCA[[#This Row],[Trenes Puntuales]]+SM[[#This Row],[Trenes Puntuales]]+BN[[#This Row],[Trenes Puntuales]]+BS[[#This Row],[Trenes Puntuales]]+TDC[[#This Row],[Trenes Puntuales]]</f>
        <v>61652</v>
      </c>
      <c r="L57" s="62">
        <f t="shared" si="4"/>
        <v>2584</v>
      </c>
    </row>
    <row r="58" spans="1:12" s="18" customFormat="1" ht="15" customHeight="1">
      <c r="A58" s="18">
        <v>1997</v>
      </c>
      <c r="B58" s="18" t="s">
        <v>40</v>
      </c>
      <c r="C58" s="61">
        <f t="shared" si="0"/>
        <v>0.94672310832262452</v>
      </c>
      <c r="D58" s="61">
        <f t="shared" si="1"/>
        <v>0.96140323942580797</v>
      </c>
      <c r="E58" s="61">
        <f t="shared" si="2"/>
        <v>0.98473051628996899</v>
      </c>
      <c r="F5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8" s="62">
        <f>+MITRE[[#This Row],[Trenes Programados]]+SARM[[#This Row],[Trenes Programados]]+URQ[[#This Row],[Trenes Programados]]+ROCA[[#This Row],[Trenes Programados]]+SM[[#This Row],[Trenes Programados]]+BN[[#This Row],[Trenes Programados]]+BS[[#This Row],[Trenes Programados]]+TDC[[#This Row],[Trenes Programados]]</f>
        <v>66145</v>
      </c>
      <c r="I58" s="62">
        <f t="shared" si="3"/>
        <v>1010</v>
      </c>
      <c r="J58" s="62">
        <f>+MITRE[[#This Row],[Trenes Corridos]]+SARM[[#This Row],[Trenes Corridos]]+URQ[[#This Row],[Trenes Corridos]]+ROCA[[#This Row],[Trenes Corridos]]+SM[[#This Row],[Trenes Corridos]]+BN[[#This Row],[Trenes Corridos]]+BS[[#This Row],[Trenes Corridos]]+TDC[[#This Row],[Trenes Corridos]]</f>
        <v>65135</v>
      </c>
      <c r="K58" s="62">
        <f>+MITRE[[#This Row],[Trenes Puntuales]]+SARM[[#This Row],[Trenes Puntuales]]+URQ[[#This Row],[Trenes Puntuales]]+ROCA[[#This Row],[Trenes Puntuales]]+SM[[#This Row],[Trenes Puntuales]]+BN[[#This Row],[Trenes Puntuales]]+BS[[#This Row],[Trenes Puntuales]]+TDC[[#This Row],[Trenes Puntuales]]</f>
        <v>62621</v>
      </c>
      <c r="L58" s="62">
        <f t="shared" si="4"/>
        <v>2514</v>
      </c>
    </row>
    <row r="59" spans="1:12" s="18" customFormat="1" ht="15" customHeight="1">
      <c r="A59" s="18">
        <v>1997</v>
      </c>
      <c r="B59" s="18" t="s">
        <v>41</v>
      </c>
      <c r="C59" s="61">
        <f t="shared" si="0"/>
        <v>0.96178364250653403</v>
      </c>
      <c r="D59" s="61">
        <f t="shared" si="1"/>
        <v>0.96902647762488159</v>
      </c>
      <c r="E59" s="61">
        <f t="shared" si="2"/>
        <v>0.99252565818830885</v>
      </c>
      <c r="F5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9" s="62">
        <f>+MITRE[[#This Row],[Trenes Programados]]+SARM[[#This Row],[Trenes Programados]]+URQ[[#This Row],[Trenes Programados]]+ROCA[[#This Row],[Trenes Programados]]+SM[[#This Row],[Trenes Programados]]+BN[[#This Row],[Trenes Programados]]+BS[[#This Row],[Trenes Programados]]+TDC[[#This Row],[Trenes Programados]]</f>
        <v>62748</v>
      </c>
      <c r="I59" s="62">
        <f t="shared" si="3"/>
        <v>469</v>
      </c>
      <c r="J59" s="62">
        <f>+MITRE[[#This Row],[Trenes Corridos]]+SARM[[#This Row],[Trenes Corridos]]+URQ[[#This Row],[Trenes Corridos]]+ROCA[[#This Row],[Trenes Corridos]]+SM[[#This Row],[Trenes Corridos]]+BN[[#This Row],[Trenes Corridos]]+BS[[#This Row],[Trenes Corridos]]+TDC[[#This Row],[Trenes Corridos]]</f>
        <v>62279</v>
      </c>
      <c r="K59" s="62">
        <f>+MITRE[[#This Row],[Trenes Puntuales]]+SARM[[#This Row],[Trenes Puntuales]]+URQ[[#This Row],[Trenes Puntuales]]+ROCA[[#This Row],[Trenes Puntuales]]+SM[[#This Row],[Trenes Puntuales]]+BN[[#This Row],[Trenes Puntuales]]+BS[[#This Row],[Trenes Puntuales]]+TDC[[#This Row],[Trenes Puntuales]]</f>
        <v>60350</v>
      </c>
      <c r="L59" s="62">
        <f t="shared" si="4"/>
        <v>1929</v>
      </c>
    </row>
    <row r="60" spans="1:12" s="18" customFormat="1" ht="15" customHeight="1">
      <c r="A60" s="18">
        <v>1997</v>
      </c>
      <c r="B60" s="18" t="s">
        <v>42</v>
      </c>
      <c r="C60" s="61">
        <f t="shared" si="0"/>
        <v>0.96779037244221988</v>
      </c>
      <c r="D60" s="61">
        <f t="shared" si="1"/>
        <v>0.97265867731913003</v>
      </c>
      <c r="E60" s="61">
        <f t="shared" si="2"/>
        <v>0.99499484763727364</v>
      </c>
      <c r="F6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0" s="62">
        <f>+MITRE[[#This Row],[Trenes Programados]]+SARM[[#This Row],[Trenes Programados]]+URQ[[#This Row],[Trenes Programados]]+ROCA[[#This Row],[Trenes Programados]]+SM[[#This Row],[Trenes Programados]]+BN[[#This Row],[Trenes Programados]]+BS[[#This Row],[Trenes Programados]]+TDC[[#This Row],[Trenes Programados]]</f>
        <v>67930</v>
      </c>
      <c r="I60" s="62">
        <f t="shared" si="3"/>
        <v>340</v>
      </c>
      <c r="J60" s="62">
        <f>+MITRE[[#This Row],[Trenes Corridos]]+SARM[[#This Row],[Trenes Corridos]]+URQ[[#This Row],[Trenes Corridos]]+ROCA[[#This Row],[Trenes Corridos]]+SM[[#This Row],[Trenes Corridos]]+BN[[#This Row],[Trenes Corridos]]+BS[[#This Row],[Trenes Corridos]]+TDC[[#This Row],[Trenes Corridos]]</f>
        <v>67590</v>
      </c>
      <c r="K60" s="62">
        <f>+MITRE[[#This Row],[Trenes Puntuales]]+SARM[[#This Row],[Trenes Puntuales]]+URQ[[#This Row],[Trenes Puntuales]]+ROCA[[#This Row],[Trenes Puntuales]]+SM[[#This Row],[Trenes Puntuales]]+BN[[#This Row],[Trenes Puntuales]]+BS[[#This Row],[Trenes Puntuales]]+TDC[[#This Row],[Trenes Puntuales]]</f>
        <v>65742</v>
      </c>
      <c r="L60" s="62">
        <f t="shared" si="4"/>
        <v>1848</v>
      </c>
    </row>
    <row r="61" spans="1:12" s="18" customFormat="1" ht="15" customHeight="1">
      <c r="A61" s="18">
        <v>1997</v>
      </c>
      <c r="B61" s="18" t="s">
        <v>43</v>
      </c>
      <c r="C61" s="61">
        <f t="shared" si="0"/>
        <v>0.96320847521755582</v>
      </c>
      <c r="D61" s="61">
        <f t="shared" si="1"/>
        <v>0.97894267300386073</v>
      </c>
      <c r="E61" s="61">
        <f t="shared" si="2"/>
        <v>0.98392735527809305</v>
      </c>
      <c r="F6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1" s="62">
        <f>+MITRE[[#This Row],[Trenes Programados]]+SARM[[#This Row],[Trenes Programados]]+URQ[[#This Row],[Trenes Programados]]+ROCA[[#This Row],[Trenes Programados]]+SM[[#This Row],[Trenes Programados]]+BN[[#This Row],[Trenes Programados]]+BS[[#This Row],[Trenes Programados]]+TDC[[#This Row],[Trenes Programados]]</f>
        <v>66075</v>
      </c>
      <c r="I61" s="62">
        <f t="shared" si="3"/>
        <v>1062</v>
      </c>
      <c r="J61" s="62">
        <f>+MITRE[[#This Row],[Trenes Corridos]]+SARM[[#This Row],[Trenes Corridos]]+URQ[[#This Row],[Trenes Corridos]]+ROCA[[#This Row],[Trenes Corridos]]+SM[[#This Row],[Trenes Corridos]]+BN[[#This Row],[Trenes Corridos]]+BS[[#This Row],[Trenes Corridos]]+TDC[[#This Row],[Trenes Corridos]]</f>
        <v>65013</v>
      </c>
      <c r="K61" s="62">
        <f>+MITRE[[#This Row],[Trenes Puntuales]]+SARM[[#This Row],[Trenes Puntuales]]+URQ[[#This Row],[Trenes Puntuales]]+ROCA[[#This Row],[Trenes Puntuales]]+SM[[#This Row],[Trenes Puntuales]]+BN[[#This Row],[Trenes Puntuales]]+BS[[#This Row],[Trenes Puntuales]]+TDC[[#This Row],[Trenes Puntuales]]</f>
        <v>63644</v>
      </c>
      <c r="L61" s="62">
        <f t="shared" si="4"/>
        <v>1369</v>
      </c>
    </row>
    <row r="62" spans="1:12" s="18" customFormat="1" ht="15" customHeight="1">
      <c r="A62" s="18">
        <v>1997</v>
      </c>
      <c r="B62" s="18" t="s">
        <v>44</v>
      </c>
      <c r="C62" s="61">
        <f t="shared" si="0"/>
        <v>0.97269712045831447</v>
      </c>
      <c r="D62" s="61">
        <f t="shared" si="1"/>
        <v>0.9786282004611091</v>
      </c>
      <c r="E62" s="61">
        <f t="shared" si="2"/>
        <v>0.9939393939393939</v>
      </c>
      <c r="F6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2" s="62">
        <f>+MITRE[[#This Row],[Trenes Programados]]+SARM[[#This Row],[Trenes Programados]]+URQ[[#This Row],[Trenes Programados]]+ROCA[[#This Row],[Trenes Programados]]+SM[[#This Row],[Trenes Programados]]+BN[[#This Row],[Trenes Programados]]+BS[[#This Row],[Trenes Programados]]+TDC[[#This Row],[Trenes Programados]]</f>
        <v>66330</v>
      </c>
      <c r="I62" s="62">
        <f t="shared" si="3"/>
        <v>402</v>
      </c>
      <c r="J62" s="62">
        <f>+MITRE[[#This Row],[Trenes Corridos]]+SARM[[#This Row],[Trenes Corridos]]+URQ[[#This Row],[Trenes Corridos]]+ROCA[[#This Row],[Trenes Corridos]]+SM[[#This Row],[Trenes Corridos]]+BN[[#This Row],[Trenes Corridos]]+BS[[#This Row],[Trenes Corridos]]+TDC[[#This Row],[Trenes Corridos]]</f>
        <v>65928</v>
      </c>
      <c r="K62" s="62">
        <f>+MITRE[[#This Row],[Trenes Puntuales]]+SARM[[#This Row],[Trenes Puntuales]]+URQ[[#This Row],[Trenes Puntuales]]+ROCA[[#This Row],[Trenes Puntuales]]+SM[[#This Row],[Trenes Puntuales]]+BN[[#This Row],[Trenes Puntuales]]+BS[[#This Row],[Trenes Puntuales]]+TDC[[#This Row],[Trenes Puntuales]]</f>
        <v>64519</v>
      </c>
      <c r="L62" s="62">
        <f t="shared" si="4"/>
        <v>1409</v>
      </c>
    </row>
    <row r="63" spans="1:12" s="18" customFormat="1" ht="15" customHeight="1">
      <c r="A63" s="18">
        <v>1997</v>
      </c>
      <c r="B63" s="18" t="s">
        <v>45</v>
      </c>
      <c r="C63" s="61">
        <f t="shared" si="0"/>
        <v>0.96286372803226739</v>
      </c>
      <c r="D63" s="61">
        <f t="shared" si="1"/>
        <v>0.9696380648436933</v>
      </c>
      <c r="E63" s="61">
        <f t="shared" si="2"/>
        <v>0.99301354076634973</v>
      </c>
      <c r="F6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3" s="62">
        <f>+MITRE[[#This Row],[Trenes Programados]]+SARM[[#This Row],[Trenes Programados]]+URQ[[#This Row],[Trenes Programados]]+ROCA[[#This Row],[Trenes Programados]]+SM[[#This Row],[Trenes Programados]]+BN[[#This Row],[Trenes Programados]]+BS[[#This Row],[Trenes Programados]]+TDC[[#This Row],[Trenes Programados]]</f>
        <v>69420</v>
      </c>
      <c r="I63" s="62">
        <f t="shared" si="3"/>
        <v>485</v>
      </c>
      <c r="J63" s="62">
        <f>+MITRE[[#This Row],[Trenes Corridos]]+SARM[[#This Row],[Trenes Corridos]]+URQ[[#This Row],[Trenes Corridos]]+ROCA[[#This Row],[Trenes Corridos]]+SM[[#This Row],[Trenes Corridos]]+BN[[#This Row],[Trenes Corridos]]+BS[[#This Row],[Trenes Corridos]]+TDC[[#This Row],[Trenes Corridos]]</f>
        <v>68935</v>
      </c>
      <c r="K63" s="62">
        <f>+MITRE[[#This Row],[Trenes Puntuales]]+SARM[[#This Row],[Trenes Puntuales]]+URQ[[#This Row],[Trenes Puntuales]]+ROCA[[#This Row],[Trenes Puntuales]]+SM[[#This Row],[Trenes Puntuales]]+BN[[#This Row],[Trenes Puntuales]]+BS[[#This Row],[Trenes Puntuales]]+TDC[[#This Row],[Trenes Puntuales]]</f>
        <v>66842</v>
      </c>
      <c r="L63" s="62">
        <f t="shared" si="4"/>
        <v>2093</v>
      </c>
    </row>
    <row r="64" spans="1:12" s="18" customFormat="1" ht="15" customHeight="1">
      <c r="A64" s="18">
        <v>1997</v>
      </c>
      <c r="B64" s="18" t="s">
        <v>46</v>
      </c>
      <c r="C64" s="61">
        <f t="shared" si="0"/>
        <v>0.96047070270927726</v>
      </c>
      <c r="D64" s="61">
        <f t="shared" si="1"/>
        <v>0.96926830016723686</v>
      </c>
      <c r="E64" s="61">
        <f t="shared" si="2"/>
        <v>0.99092346519901486</v>
      </c>
      <c r="F6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4" s="62">
        <f>+MITRE[[#This Row],[Trenes Programados]]+SARM[[#This Row],[Trenes Programados]]+URQ[[#This Row],[Trenes Programados]]+ROCA[[#This Row],[Trenes Programados]]+SM[[#This Row],[Trenes Programados]]+BN[[#This Row],[Trenes Programados]]+BS[[#This Row],[Trenes Programados]]+TDC[[#This Row],[Trenes Programados]]</f>
        <v>65774</v>
      </c>
      <c r="I64" s="62">
        <f t="shared" si="3"/>
        <v>597</v>
      </c>
      <c r="J64" s="62">
        <f>+MITRE[[#This Row],[Trenes Corridos]]+SARM[[#This Row],[Trenes Corridos]]+URQ[[#This Row],[Trenes Corridos]]+ROCA[[#This Row],[Trenes Corridos]]+SM[[#This Row],[Trenes Corridos]]+BN[[#This Row],[Trenes Corridos]]+BS[[#This Row],[Trenes Corridos]]+TDC[[#This Row],[Trenes Corridos]]</f>
        <v>65177</v>
      </c>
      <c r="K64" s="62">
        <f>+MITRE[[#This Row],[Trenes Puntuales]]+SARM[[#This Row],[Trenes Puntuales]]+URQ[[#This Row],[Trenes Puntuales]]+ROCA[[#This Row],[Trenes Puntuales]]+SM[[#This Row],[Trenes Puntuales]]+BN[[#This Row],[Trenes Puntuales]]+BS[[#This Row],[Trenes Puntuales]]+TDC[[#This Row],[Trenes Puntuales]]</f>
        <v>63174</v>
      </c>
      <c r="L64" s="62">
        <f t="shared" si="4"/>
        <v>2003</v>
      </c>
    </row>
    <row r="65" spans="1:12" s="18" customFormat="1" ht="15" customHeight="1">
      <c r="A65" s="18">
        <v>1997</v>
      </c>
      <c r="B65" s="18" t="s">
        <v>47</v>
      </c>
      <c r="C65" s="61">
        <f t="shared" si="0"/>
        <v>0.95537225960494898</v>
      </c>
      <c r="D65" s="61">
        <f t="shared" si="1"/>
        <v>0.97011240908089047</v>
      </c>
      <c r="E65" s="61">
        <f t="shared" si="2"/>
        <v>0.98480573041024533</v>
      </c>
      <c r="F6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5" s="62">
        <f>+MITRE[[#This Row],[Trenes Programados]]+SARM[[#This Row],[Trenes Programados]]+URQ[[#This Row],[Trenes Programados]]+ROCA[[#This Row],[Trenes Programados]]+SM[[#This Row],[Trenes Programados]]+BN[[#This Row],[Trenes Programados]]+BS[[#This Row],[Trenes Programados]]+TDC[[#This Row],[Trenes Programados]]</f>
        <v>69105</v>
      </c>
      <c r="I65" s="62">
        <f t="shared" si="3"/>
        <v>1050</v>
      </c>
      <c r="J65" s="62">
        <f>+MITRE[[#This Row],[Trenes Corridos]]+SARM[[#This Row],[Trenes Corridos]]+URQ[[#This Row],[Trenes Corridos]]+ROCA[[#This Row],[Trenes Corridos]]+SM[[#This Row],[Trenes Corridos]]+BN[[#This Row],[Trenes Corridos]]+BS[[#This Row],[Trenes Corridos]]+TDC[[#This Row],[Trenes Corridos]]</f>
        <v>68055</v>
      </c>
      <c r="K65" s="62">
        <f>+MITRE[[#This Row],[Trenes Puntuales]]+SARM[[#This Row],[Trenes Puntuales]]+URQ[[#This Row],[Trenes Puntuales]]+ROCA[[#This Row],[Trenes Puntuales]]+SM[[#This Row],[Trenes Puntuales]]+BN[[#This Row],[Trenes Puntuales]]+BS[[#This Row],[Trenes Puntuales]]+TDC[[#This Row],[Trenes Puntuales]]</f>
        <v>66021</v>
      </c>
      <c r="L65" s="62">
        <f t="shared" si="4"/>
        <v>2034</v>
      </c>
    </row>
    <row r="66" spans="1:12" s="18" customFormat="1" ht="15" customHeight="1">
      <c r="A66" s="18">
        <v>1998</v>
      </c>
      <c r="B66" s="18" t="s">
        <v>36</v>
      </c>
      <c r="C66" s="61">
        <f t="shared" si="0"/>
        <v>0.96409432701738429</v>
      </c>
      <c r="D66" s="61">
        <f t="shared" si="1"/>
        <v>0.97452513003247221</v>
      </c>
      <c r="E66" s="61">
        <f t="shared" si="2"/>
        <v>0.9892965274125457</v>
      </c>
      <c r="F6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6" s="62">
        <f>+MITRE[[#This Row],[Trenes Programados]]+SARM[[#This Row],[Trenes Programados]]+URQ[[#This Row],[Trenes Programados]]+ROCA[[#This Row],[Trenes Programados]]+SM[[#This Row],[Trenes Programados]]+BN[[#This Row],[Trenes Programados]]+BS[[#This Row],[Trenes Programados]]+TDC[[#This Row],[Trenes Programados]]</f>
        <v>70351</v>
      </c>
      <c r="I66" s="62">
        <f t="shared" si="3"/>
        <v>753</v>
      </c>
      <c r="J66" s="62">
        <f>+MITRE[[#This Row],[Trenes Corridos]]+SARM[[#This Row],[Trenes Corridos]]+URQ[[#This Row],[Trenes Corridos]]+ROCA[[#This Row],[Trenes Corridos]]+SM[[#This Row],[Trenes Corridos]]+BN[[#This Row],[Trenes Corridos]]+BS[[#This Row],[Trenes Corridos]]+TDC[[#This Row],[Trenes Corridos]]</f>
        <v>69598</v>
      </c>
      <c r="K66" s="62">
        <f>+MITRE[[#This Row],[Trenes Puntuales]]+SARM[[#This Row],[Trenes Puntuales]]+URQ[[#This Row],[Trenes Puntuales]]+ROCA[[#This Row],[Trenes Puntuales]]+SM[[#This Row],[Trenes Puntuales]]+BN[[#This Row],[Trenes Puntuales]]+BS[[#This Row],[Trenes Puntuales]]+TDC[[#This Row],[Trenes Puntuales]]</f>
        <v>67825</v>
      </c>
      <c r="L66" s="62">
        <f t="shared" si="4"/>
        <v>1773</v>
      </c>
    </row>
    <row r="67" spans="1:12" s="18" customFormat="1" ht="15" customHeight="1">
      <c r="A67" s="18">
        <v>1998</v>
      </c>
      <c r="B67" s="18" t="s">
        <v>37</v>
      </c>
      <c r="C67" s="61">
        <f t="shared" si="0"/>
        <v>0.96359945453418461</v>
      </c>
      <c r="D67" s="61">
        <f t="shared" si="1"/>
        <v>0.97661452443774344</v>
      </c>
      <c r="E67" s="61">
        <f t="shared" si="2"/>
        <v>0.98667327837352015</v>
      </c>
      <c r="F6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7" s="62">
        <f>+MITRE[[#This Row],[Trenes Programados]]+SARM[[#This Row],[Trenes Programados]]+URQ[[#This Row],[Trenes Programados]]+ROCA[[#This Row],[Trenes Programados]]+SM[[#This Row],[Trenes Programados]]+BN[[#This Row],[Trenes Programados]]+BS[[#This Row],[Trenes Programados]]+TDC[[#This Row],[Trenes Programados]]</f>
        <v>64532</v>
      </c>
      <c r="I67" s="62">
        <f t="shared" si="3"/>
        <v>860</v>
      </c>
      <c r="J67" s="62">
        <f>+MITRE[[#This Row],[Trenes Corridos]]+SARM[[#This Row],[Trenes Corridos]]+URQ[[#This Row],[Trenes Corridos]]+ROCA[[#This Row],[Trenes Corridos]]+SM[[#This Row],[Trenes Corridos]]+BN[[#This Row],[Trenes Corridos]]+BS[[#This Row],[Trenes Corridos]]+TDC[[#This Row],[Trenes Corridos]]</f>
        <v>63672</v>
      </c>
      <c r="K67" s="62">
        <f>+MITRE[[#This Row],[Trenes Puntuales]]+SARM[[#This Row],[Trenes Puntuales]]+URQ[[#This Row],[Trenes Puntuales]]+ROCA[[#This Row],[Trenes Puntuales]]+SM[[#This Row],[Trenes Puntuales]]+BN[[#This Row],[Trenes Puntuales]]+BS[[#This Row],[Trenes Puntuales]]+TDC[[#This Row],[Trenes Puntuales]]</f>
        <v>62183</v>
      </c>
      <c r="L67" s="62">
        <f t="shared" si="4"/>
        <v>1489</v>
      </c>
    </row>
    <row r="68" spans="1:12" s="18" customFormat="1" ht="15" customHeight="1">
      <c r="A68" s="18">
        <v>1998</v>
      </c>
      <c r="B68" s="18" t="s">
        <v>38</v>
      </c>
      <c r="C68" s="61">
        <f t="shared" si="0"/>
        <v>0.96566668542804079</v>
      </c>
      <c r="D68" s="61">
        <f t="shared" si="1"/>
        <v>0.97550852155619683</v>
      </c>
      <c r="E68" s="61">
        <f t="shared" si="2"/>
        <v>0.98991107108684639</v>
      </c>
      <c r="F6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8" s="62">
        <f>+MITRE[[#This Row],[Trenes Programados]]+SARM[[#This Row],[Trenes Programados]]+URQ[[#This Row],[Trenes Programados]]+ROCA[[#This Row],[Trenes Programados]]+SM[[#This Row],[Trenes Programados]]+BN[[#This Row],[Trenes Programados]]+BS[[#This Row],[Trenes Programados]]+TDC[[#This Row],[Trenes Programados]]</f>
        <v>71068</v>
      </c>
      <c r="I68" s="62">
        <f t="shared" si="3"/>
        <v>717</v>
      </c>
      <c r="J68" s="62">
        <f>+MITRE[[#This Row],[Trenes Corridos]]+SARM[[#This Row],[Trenes Corridos]]+URQ[[#This Row],[Trenes Corridos]]+ROCA[[#This Row],[Trenes Corridos]]+SM[[#This Row],[Trenes Corridos]]+BN[[#This Row],[Trenes Corridos]]+BS[[#This Row],[Trenes Corridos]]+TDC[[#This Row],[Trenes Corridos]]</f>
        <v>70351</v>
      </c>
      <c r="K68" s="62">
        <f>+MITRE[[#This Row],[Trenes Puntuales]]+SARM[[#This Row],[Trenes Puntuales]]+URQ[[#This Row],[Trenes Puntuales]]+ROCA[[#This Row],[Trenes Puntuales]]+SM[[#This Row],[Trenes Puntuales]]+BN[[#This Row],[Trenes Puntuales]]+BS[[#This Row],[Trenes Puntuales]]+TDC[[#This Row],[Trenes Puntuales]]</f>
        <v>68628</v>
      </c>
      <c r="L68" s="62">
        <f t="shared" si="4"/>
        <v>1723</v>
      </c>
    </row>
    <row r="69" spans="1:12" s="18" customFormat="1" ht="15" customHeight="1">
      <c r="A69" s="18">
        <v>1998</v>
      </c>
      <c r="B69" s="18" t="s">
        <v>39</v>
      </c>
      <c r="C69" s="61">
        <f t="shared" si="0"/>
        <v>0.95838379711371491</v>
      </c>
      <c r="D69" s="61">
        <f t="shared" si="1"/>
        <v>0.96930297082306405</v>
      </c>
      <c r="E69" s="61">
        <f t="shared" si="2"/>
        <v>0.98873502502517108</v>
      </c>
      <c r="F6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9" s="62">
        <f>+MITRE[[#This Row],[Trenes Programados]]+SARM[[#This Row],[Trenes Programados]]+URQ[[#This Row],[Trenes Programados]]+ROCA[[#This Row],[Trenes Programados]]+SM[[#This Row],[Trenes Programados]]+BN[[#This Row],[Trenes Programados]]+BS[[#This Row],[Trenes Programados]]+TDC[[#This Row],[Trenes Programados]]</f>
        <v>68531</v>
      </c>
      <c r="I69" s="62">
        <f t="shared" si="3"/>
        <v>772</v>
      </c>
      <c r="J69" s="62">
        <f>+MITRE[[#This Row],[Trenes Corridos]]+SARM[[#This Row],[Trenes Corridos]]+URQ[[#This Row],[Trenes Corridos]]+ROCA[[#This Row],[Trenes Corridos]]+SM[[#This Row],[Trenes Corridos]]+BN[[#This Row],[Trenes Corridos]]+BS[[#This Row],[Trenes Corridos]]+TDC[[#This Row],[Trenes Corridos]]</f>
        <v>67759</v>
      </c>
      <c r="K69" s="62">
        <f>+MITRE[[#This Row],[Trenes Puntuales]]+SARM[[#This Row],[Trenes Puntuales]]+URQ[[#This Row],[Trenes Puntuales]]+ROCA[[#This Row],[Trenes Puntuales]]+SM[[#This Row],[Trenes Puntuales]]+BN[[#This Row],[Trenes Puntuales]]+BS[[#This Row],[Trenes Puntuales]]+TDC[[#This Row],[Trenes Puntuales]]</f>
        <v>65679</v>
      </c>
      <c r="L69" s="62">
        <f t="shared" si="4"/>
        <v>2080</v>
      </c>
    </row>
    <row r="70" spans="1:12" s="18" customFormat="1" ht="15" customHeight="1">
      <c r="A70" s="18">
        <v>1998</v>
      </c>
      <c r="B70" s="18" t="s">
        <v>40</v>
      </c>
      <c r="C70" s="61">
        <f t="shared" si="0"/>
        <v>0.97292352725942188</v>
      </c>
      <c r="D70" s="61">
        <f t="shared" si="1"/>
        <v>0.98000914036355058</v>
      </c>
      <c r="E70" s="61">
        <f t="shared" si="2"/>
        <v>0.99276984998170503</v>
      </c>
      <c r="F7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0" s="62">
        <f>+MITRE[[#This Row],[Trenes Programados]]+SARM[[#This Row],[Trenes Programados]]+URQ[[#This Row],[Trenes Programados]]+ROCA[[#This Row],[Trenes Programados]]+SM[[#This Row],[Trenes Programados]]+BN[[#This Row],[Trenes Programados]]+BS[[#This Row],[Trenes Programados]]+TDC[[#This Row],[Trenes Programados]]</f>
        <v>68325</v>
      </c>
      <c r="I70" s="62">
        <f t="shared" si="3"/>
        <v>494</v>
      </c>
      <c r="J70" s="62">
        <f>+MITRE[[#This Row],[Trenes Corridos]]+SARM[[#This Row],[Trenes Corridos]]+URQ[[#This Row],[Trenes Corridos]]+ROCA[[#This Row],[Trenes Corridos]]+SM[[#This Row],[Trenes Corridos]]+BN[[#This Row],[Trenes Corridos]]+BS[[#This Row],[Trenes Corridos]]+TDC[[#This Row],[Trenes Corridos]]</f>
        <v>67831</v>
      </c>
      <c r="K70" s="62">
        <f>+MITRE[[#This Row],[Trenes Puntuales]]+SARM[[#This Row],[Trenes Puntuales]]+URQ[[#This Row],[Trenes Puntuales]]+ROCA[[#This Row],[Trenes Puntuales]]+SM[[#This Row],[Trenes Puntuales]]+BN[[#This Row],[Trenes Puntuales]]+BS[[#This Row],[Trenes Puntuales]]+TDC[[#This Row],[Trenes Puntuales]]</f>
        <v>66475</v>
      </c>
      <c r="L70" s="62">
        <f t="shared" si="4"/>
        <v>1356</v>
      </c>
    </row>
    <row r="71" spans="1:12" s="18" customFormat="1" ht="15" customHeight="1">
      <c r="A71" s="18">
        <v>1998</v>
      </c>
      <c r="B71" s="18" t="s">
        <v>41</v>
      </c>
      <c r="C71" s="61">
        <f t="shared" ref="C71:C134" si="5">+K71/H71</f>
        <v>0.97693694226109573</v>
      </c>
      <c r="D71" s="61">
        <f t="shared" ref="D71:D134" si="6">+K71/J71</f>
        <v>0.98182547106775353</v>
      </c>
      <c r="E71" s="61">
        <f t="shared" ref="E71:E134" si="7">+J71/H71</f>
        <v>0.99502097984752669</v>
      </c>
      <c r="F7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1" s="62">
        <f>+MITRE[[#This Row],[Trenes Programados]]+SARM[[#This Row],[Trenes Programados]]+URQ[[#This Row],[Trenes Programados]]+ROCA[[#This Row],[Trenes Programados]]+SM[[#This Row],[Trenes Programados]]+BN[[#This Row],[Trenes Programados]]+BS[[#This Row],[Trenes Programados]]+TDC[[#This Row],[Trenes Programados]]</f>
        <v>67684</v>
      </c>
      <c r="I71" s="62">
        <f t="shared" ref="I71:I134" si="8">+H71-J71</f>
        <v>337</v>
      </c>
      <c r="J71" s="62">
        <f>+MITRE[[#This Row],[Trenes Corridos]]+SARM[[#This Row],[Trenes Corridos]]+URQ[[#This Row],[Trenes Corridos]]+ROCA[[#This Row],[Trenes Corridos]]+SM[[#This Row],[Trenes Corridos]]+BN[[#This Row],[Trenes Corridos]]+BS[[#This Row],[Trenes Corridos]]+TDC[[#This Row],[Trenes Corridos]]</f>
        <v>67347</v>
      </c>
      <c r="K71" s="62">
        <f>+MITRE[[#This Row],[Trenes Puntuales]]+SARM[[#This Row],[Trenes Puntuales]]+URQ[[#This Row],[Trenes Puntuales]]+ROCA[[#This Row],[Trenes Puntuales]]+SM[[#This Row],[Trenes Puntuales]]+BN[[#This Row],[Trenes Puntuales]]+BS[[#This Row],[Trenes Puntuales]]+TDC[[#This Row],[Trenes Puntuales]]</f>
        <v>66123</v>
      </c>
      <c r="L71" s="62">
        <f t="shared" ref="L71:L134" si="9">+J71-K71</f>
        <v>1224</v>
      </c>
    </row>
    <row r="72" spans="1:12" s="18" customFormat="1" ht="15" customHeight="1">
      <c r="A72" s="18">
        <v>1998</v>
      </c>
      <c r="B72" s="18" t="s">
        <v>42</v>
      </c>
      <c r="C72" s="61">
        <f t="shared" si="5"/>
        <v>0.97024682562963582</v>
      </c>
      <c r="D72" s="61">
        <f t="shared" si="6"/>
        <v>0.97512319074560239</v>
      </c>
      <c r="E72" s="61">
        <f t="shared" si="7"/>
        <v>0.99499923172554439</v>
      </c>
      <c r="F7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2" s="62">
        <f>+MITRE[[#This Row],[Trenes Programados]]+SARM[[#This Row],[Trenes Programados]]+URQ[[#This Row],[Trenes Programados]]+ROCA[[#This Row],[Trenes Programados]]+SM[[#This Row],[Trenes Programados]]+BN[[#This Row],[Trenes Programados]]+BS[[#This Row],[Trenes Programados]]+TDC[[#This Row],[Trenes Programados]]</f>
        <v>71589</v>
      </c>
      <c r="I72" s="62">
        <f t="shared" si="8"/>
        <v>358</v>
      </c>
      <c r="J72" s="62">
        <f>+MITRE[[#This Row],[Trenes Corridos]]+SARM[[#This Row],[Trenes Corridos]]+URQ[[#This Row],[Trenes Corridos]]+ROCA[[#This Row],[Trenes Corridos]]+SM[[#This Row],[Trenes Corridos]]+BN[[#This Row],[Trenes Corridos]]+BS[[#This Row],[Trenes Corridos]]+TDC[[#This Row],[Trenes Corridos]]</f>
        <v>71231</v>
      </c>
      <c r="K72" s="62">
        <f>+MITRE[[#This Row],[Trenes Puntuales]]+SARM[[#This Row],[Trenes Puntuales]]+URQ[[#This Row],[Trenes Puntuales]]+ROCA[[#This Row],[Trenes Puntuales]]+SM[[#This Row],[Trenes Puntuales]]+BN[[#This Row],[Trenes Puntuales]]+BS[[#This Row],[Trenes Puntuales]]+TDC[[#This Row],[Trenes Puntuales]]</f>
        <v>69459</v>
      </c>
      <c r="L72" s="62">
        <f t="shared" si="9"/>
        <v>1772</v>
      </c>
    </row>
    <row r="73" spans="1:12" s="18" customFormat="1" ht="15" customHeight="1">
      <c r="A73" s="18">
        <v>1998</v>
      </c>
      <c r="B73" s="18" t="s">
        <v>43</v>
      </c>
      <c r="C73" s="61">
        <f t="shared" si="5"/>
        <v>0.97490933625706333</v>
      </c>
      <c r="D73" s="61">
        <f t="shared" si="6"/>
        <v>0.98025553325607029</v>
      </c>
      <c r="E73" s="61">
        <f t="shared" si="7"/>
        <v>0.99454611902954659</v>
      </c>
      <c r="F7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3" s="62">
        <f>+MITRE[[#This Row],[Trenes Programados]]+SARM[[#This Row],[Trenes Programados]]+URQ[[#This Row],[Trenes Programados]]+ROCA[[#This Row],[Trenes Programados]]+SM[[#This Row],[Trenes Programados]]+BN[[#This Row],[Trenes Programados]]+BS[[#This Row],[Trenes Programados]]+TDC[[#This Row],[Trenes Programados]]</f>
        <v>71142</v>
      </c>
      <c r="I73" s="62">
        <f t="shared" si="8"/>
        <v>388</v>
      </c>
      <c r="J73" s="62">
        <f>+MITRE[[#This Row],[Trenes Corridos]]+SARM[[#This Row],[Trenes Corridos]]+URQ[[#This Row],[Trenes Corridos]]+ROCA[[#This Row],[Trenes Corridos]]+SM[[#This Row],[Trenes Corridos]]+BN[[#This Row],[Trenes Corridos]]+BS[[#This Row],[Trenes Corridos]]+TDC[[#This Row],[Trenes Corridos]]</f>
        <v>70754</v>
      </c>
      <c r="K73" s="62">
        <f>+MITRE[[#This Row],[Trenes Puntuales]]+SARM[[#This Row],[Trenes Puntuales]]+URQ[[#This Row],[Trenes Puntuales]]+ROCA[[#This Row],[Trenes Puntuales]]+SM[[#This Row],[Trenes Puntuales]]+BN[[#This Row],[Trenes Puntuales]]+BS[[#This Row],[Trenes Puntuales]]+TDC[[#This Row],[Trenes Puntuales]]</f>
        <v>69357</v>
      </c>
      <c r="L73" s="62">
        <f t="shared" si="9"/>
        <v>1397</v>
      </c>
    </row>
    <row r="74" spans="1:12" s="18" customFormat="1" ht="15" customHeight="1">
      <c r="A74" s="18">
        <v>1998</v>
      </c>
      <c r="B74" s="18" t="s">
        <v>44</v>
      </c>
      <c r="C74" s="61">
        <f t="shared" si="5"/>
        <v>0.96768873857506221</v>
      </c>
      <c r="D74" s="61">
        <f t="shared" si="6"/>
        <v>0.97756631983171205</v>
      </c>
      <c r="E74" s="61">
        <f t="shared" si="7"/>
        <v>0.98989574307516004</v>
      </c>
      <c r="F7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4" s="62">
        <f>+MITRE[[#This Row],[Trenes Programados]]+SARM[[#This Row],[Trenes Programados]]+URQ[[#This Row],[Trenes Programados]]+ROCA[[#This Row],[Trenes Programados]]+SM[[#This Row],[Trenes Programados]]+BN[[#This Row],[Trenes Programados]]+BS[[#This Row],[Trenes Programados]]+TDC[[#This Row],[Trenes Programados]]</f>
        <v>71554</v>
      </c>
      <c r="I74" s="62">
        <f t="shared" si="8"/>
        <v>723</v>
      </c>
      <c r="J74" s="62">
        <f>+MITRE[[#This Row],[Trenes Corridos]]+SARM[[#This Row],[Trenes Corridos]]+URQ[[#This Row],[Trenes Corridos]]+ROCA[[#This Row],[Trenes Corridos]]+SM[[#This Row],[Trenes Corridos]]+BN[[#This Row],[Trenes Corridos]]+BS[[#This Row],[Trenes Corridos]]+TDC[[#This Row],[Trenes Corridos]]</f>
        <v>70831</v>
      </c>
      <c r="K74" s="62">
        <f>+MITRE[[#This Row],[Trenes Puntuales]]+SARM[[#This Row],[Trenes Puntuales]]+URQ[[#This Row],[Trenes Puntuales]]+ROCA[[#This Row],[Trenes Puntuales]]+SM[[#This Row],[Trenes Puntuales]]+BN[[#This Row],[Trenes Puntuales]]+BS[[#This Row],[Trenes Puntuales]]+TDC[[#This Row],[Trenes Puntuales]]</f>
        <v>69242</v>
      </c>
      <c r="L74" s="62">
        <f t="shared" si="9"/>
        <v>1589</v>
      </c>
    </row>
    <row r="75" spans="1:12" s="18" customFormat="1" ht="15" customHeight="1">
      <c r="A75" s="18">
        <v>1998</v>
      </c>
      <c r="B75" s="18" t="s">
        <v>45</v>
      </c>
      <c r="C75" s="61">
        <f t="shared" si="5"/>
        <v>0.97277070503438179</v>
      </c>
      <c r="D75" s="61">
        <f t="shared" si="6"/>
        <v>0.98118410607094608</v>
      </c>
      <c r="E75" s="61">
        <f t="shared" si="7"/>
        <v>0.99142525751843358</v>
      </c>
      <c r="F7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5" s="62">
        <f>+MITRE[[#This Row],[Trenes Programados]]+SARM[[#This Row],[Trenes Programados]]+URQ[[#This Row],[Trenes Programados]]+ROCA[[#This Row],[Trenes Programados]]+SM[[#This Row],[Trenes Programados]]+BN[[#This Row],[Trenes Programados]]+BS[[#This Row],[Trenes Programados]]+TDC[[#This Row],[Trenes Programados]]</f>
        <v>72422</v>
      </c>
      <c r="I75" s="62">
        <f t="shared" si="8"/>
        <v>621</v>
      </c>
      <c r="J75" s="62">
        <f>+MITRE[[#This Row],[Trenes Corridos]]+SARM[[#This Row],[Trenes Corridos]]+URQ[[#This Row],[Trenes Corridos]]+ROCA[[#This Row],[Trenes Corridos]]+SM[[#This Row],[Trenes Corridos]]+BN[[#This Row],[Trenes Corridos]]+BS[[#This Row],[Trenes Corridos]]+TDC[[#This Row],[Trenes Corridos]]</f>
        <v>71801</v>
      </c>
      <c r="K75" s="62">
        <f>+MITRE[[#This Row],[Trenes Puntuales]]+SARM[[#This Row],[Trenes Puntuales]]+URQ[[#This Row],[Trenes Puntuales]]+ROCA[[#This Row],[Trenes Puntuales]]+SM[[#This Row],[Trenes Puntuales]]+BN[[#This Row],[Trenes Puntuales]]+BS[[#This Row],[Trenes Puntuales]]+TDC[[#This Row],[Trenes Puntuales]]</f>
        <v>70450</v>
      </c>
      <c r="L75" s="62">
        <f t="shared" si="9"/>
        <v>1351</v>
      </c>
    </row>
    <row r="76" spans="1:12" s="18" customFormat="1" ht="15" customHeight="1">
      <c r="A76" s="18">
        <v>1998</v>
      </c>
      <c r="B76" s="18" t="s">
        <v>46</v>
      </c>
      <c r="C76" s="61">
        <f t="shared" si="5"/>
        <v>0.97317394444995253</v>
      </c>
      <c r="D76" s="61">
        <f t="shared" si="6"/>
        <v>0.97983543202658185</v>
      </c>
      <c r="E76" s="61">
        <f t="shared" si="7"/>
        <v>0.99320142203589079</v>
      </c>
      <c r="F7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6" s="62">
        <f>+MITRE[[#This Row],[Trenes Programados]]+SARM[[#This Row],[Trenes Programados]]+URQ[[#This Row],[Trenes Programados]]+ROCA[[#This Row],[Trenes Programados]]+SM[[#This Row],[Trenes Programados]]+BN[[#This Row],[Trenes Programados]]+BS[[#This Row],[Trenes Programados]]+TDC[[#This Row],[Trenes Programados]]</f>
        <v>70603</v>
      </c>
      <c r="I76" s="62">
        <f t="shared" si="8"/>
        <v>480</v>
      </c>
      <c r="J76" s="62">
        <f>+MITRE[[#This Row],[Trenes Corridos]]+SARM[[#This Row],[Trenes Corridos]]+URQ[[#This Row],[Trenes Corridos]]+ROCA[[#This Row],[Trenes Corridos]]+SM[[#This Row],[Trenes Corridos]]+BN[[#This Row],[Trenes Corridos]]+BS[[#This Row],[Trenes Corridos]]+TDC[[#This Row],[Trenes Corridos]]</f>
        <v>70123</v>
      </c>
      <c r="K76" s="62">
        <f>+MITRE[[#This Row],[Trenes Puntuales]]+SARM[[#This Row],[Trenes Puntuales]]+URQ[[#This Row],[Trenes Puntuales]]+ROCA[[#This Row],[Trenes Puntuales]]+SM[[#This Row],[Trenes Puntuales]]+BN[[#This Row],[Trenes Puntuales]]+BS[[#This Row],[Trenes Puntuales]]+TDC[[#This Row],[Trenes Puntuales]]</f>
        <v>68709</v>
      </c>
      <c r="L76" s="62">
        <f t="shared" si="9"/>
        <v>1414</v>
      </c>
    </row>
    <row r="77" spans="1:12" s="18" customFormat="1" ht="15" customHeight="1">
      <c r="A77" s="18">
        <v>1998</v>
      </c>
      <c r="B77" s="18" t="s">
        <v>47</v>
      </c>
      <c r="C77" s="61">
        <f t="shared" si="5"/>
        <v>0.93370050775505675</v>
      </c>
      <c r="D77" s="61">
        <f t="shared" si="6"/>
        <v>0.9793658415913622</v>
      </c>
      <c r="E77" s="61">
        <f t="shared" si="7"/>
        <v>0.95337254793152248</v>
      </c>
      <c r="F7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7" s="62">
        <f>+MITRE[[#This Row],[Trenes Programados]]+SARM[[#This Row],[Trenes Programados]]+URQ[[#This Row],[Trenes Programados]]+ROCA[[#This Row],[Trenes Programados]]+SM[[#This Row],[Trenes Programados]]+BN[[#This Row],[Trenes Programados]]+BS[[#This Row],[Trenes Programados]]+TDC[[#This Row],[Trenes Programados]]</f>
        <v>72082</v>
      </c>
      <c r="I77" s="62">
        <f t="shared" si="8"/>
        <v>3361</v>
      </c>
      <c r="J77" s="62">
        <f>+MITRE[[#This Row],[Trenes Corridos]]+SARM[[#This Row],[Trenes Corridos]]+URQ[[#This Row],[Trenes Corridos]]+ROCA[[#This Row],[Trenes Corridos]]+SM[[#This Row],[Trenes Corridos]]+BN[[#This Row],[Trenes Corridos]]+BS[[#This Row],[Trenes Corridos]]+TDC[[#This Row],[Trenes Corridos]]</f>
        <v>68721</v>
      </c>
      <c r="K77" s="62">
        <f>+MITRE[[#This Row],[Trenes Puntuales]]+SARM[[#This Row],[Trenes Puntuales]]+URQ[[#This Row],[Trenes Puntuales]]+ROCA[[#This Row],[Trenes Puntuales]]+SM[[#This Row],[Trenes Puntuales]]+BN[[#This Row],[Trenes Puntuales]]+BS[[#This Row],[Trenes Puntuales]]+TDC[[#This Row],[Trenes Puntuales]]</f>
        <v>67303</v>
      </c>
      <c r="L77" s="62">
        <f t="shared" si="9"/>
        <v>1418</v>
      </c>
    </row>
    <row r="78" spans="1:12" s="18" customFormat="1" ht="15" customHeight="1">
      <c r="A78" s="18">
        <v>1999</v>
      </c>
      <c r="B78" s="18" t="s">
        <v>36</v>
      </c>
      <c r="C78" s="61">
        <f t="shared" si="5"/>
        <v>0.97854515447768498</v>
      </c>
      <c r="D78" s="61">
        <f t="shared" si="6"/>
        <v>0.9856168822021244</v>
      </c>
      <c r="E78" s="61">
        <f t="shared" si="7"/>
        <v>0.99282507447656609</v>
      </c>
      <c r="F7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8" s="62">
        <f>+MITRE[[#This Row],[Trenes Programados]]+SARM[[#This Row],[Trenes Programados]]+URQ[[#This Row],[Trenes Programados]]+ROCA[[#This Row],[Trenes Programados]]+SM[[#This Row],[Trenes Programados]]+BN[[#This Row],[Trenes Programados]]+BS[[#This Row],[Trenes Programados]]+TDC[[#This Row],[Trenes Programados]]</f>
        <v>71499</v>
      </c>
      <c r="I78" s="62">
        <f t="shared" si="8"/>
        <v>513</v>
      </c>
      <c r="J78" s="62">
        <f>+MITRE[[#This Row],[Trenes Corridos]]+SARM[[#This Row],[Trenes Corridos]]+URQ[[#This Row],[Trenes Corridos]]+ROCA[[#This Row],[Trenes Corridos]]+SM[[#This Row],[Trenes Corridos]]+BN[[#This Row],[Trenes Corridos]]+BS[[#This Row],[Trenes Corridos]]+TDC[[#This Row],[Trenes Corridos]]</f>
        <v>70986</v>
      </c>
      <c r="K78" s="62">
        <f>+MITRE[[#This Row],[Trenes Puntuales]]+SARM[[#This Row],[Trenes Puntuales]]+URQ[[#This Row],[Trenes Puntuales]]+ROCA[[#This Row],[Trenes Puntuales]]+SM[[#This Row],[Trenes Puntuales]]+BN[[#This Row],[Trenes Puntuales]]+BS[[#This Row],[Trenes Puntuales]]+TDC[[#This Row],[Trenes Puntuales]]</f>
        <v>69965</v>
      </c>
      <c r="L78" s="62">
        <f t="shared" si="9"/>
        <v>1021</v>
      </c>
    </row>
    <row r="79" spans="1:12" s="18" customFormat="1" ht="15" customHeight="1">
      <c r="A79" s="18">
        <v>1999</v>
      </c>
      <c r="B79" s="18" t="s">
        <v>37</v>
      </c>
      <c r="C79" s="61">
        <f t="shared" si="5"/>
        <v>0.97686437113154256</v>
      </c>
      <c r="D79" s="61">
        <f t="shared" si="6"/>
        <v>0.98155360323642182</v>
      </c>
      <c r="E79" s="61">
        <f t="shared" si="7"/>
        <v>0.99522264287001982</v>
      </c>
      <c r="F7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9" s="62">
        <f>+MITRE[[#This Row],[Trenes Programados]]+SARM[[#This Row],[Trenes Programados]]+URQ[[#This Row],[Trenes Programados]]+ROCA[[#This Row],[Trenes Programados]]+SM[[#This Row],[Trenes Programados]]+BN[[#This Row],[Trenes Programados]]+BS[[#This Row],[Trenes Programados]]+TDC[[#This Row],[Trenes Programados]]</f>
        <v>66564</v>
      </c>
      <c r="I79" s="62">
        <f t="shared" si="8"/>
        <v>318</v>
      </c>
      <c r="J79" s="62">
        <f>+MITRE[[#This Row],[Trenes Corridos]]+SARM[[#This Row],[Trenes Corridos]]+URQ[[#This Row],[Trenes Corridos]]+ROCA[[#This Row],[Trenes Corridos]]+SM[[#This Row],[Trenes Corridos]]+BN[[#This Row],[Trenes Corridos]]+BS[[#This Row],[Trenes Corridos]]+TDC[[#This Row],[Trenes Corridos]]</f>
        <v>66246</v>
      </c>
      <c r="K79" s="62">
        <f>+MITRE[[#This Row],[Trenes Puntuales]]+SARM[[#This Row],[Trenes Puntuales]]+URQ[[#This Row],[Trenes Puntuales]]+ROCA[[#This Row],[Trenes Puntuales]]+SM[[#This Row],[Trenes Puntuales]]+BN[[#This Row],[Trenes Puntuales]]+BS[[#This Row],[Trenes Puntuales]]+TDC[[#This Row],[Trenes Puntuales]]</f>
        <v>65024</v>
      </c>
      <c r="L79" s="62">
        <f t="shared" si="9"/>
        <v>1222</v>
      </c>
    </row>
    <row r="80" spans="1:12" s="18" customFormat="1" ht="15" customHeight="1">
      <c r="A80" s="18">
        <v>1999</v>
      </c>
      <c r="B80" s="18" t="s">
        <v>38</v>
      </c>
      <c r="C80" s="61">
        <f t="shared" si="5"/>
        <v>0.96730343373976146</v>
      </c>
      <c r="D80" s="61">
        <f t="shared" si="6"/>
        <v>0.9750164719170622</v>
      </c>
      <c r="E80" s="61">
        <f t="shared" si="7"/>
        <v>0.99208932525813076</v>
      </c>
      <c r="F8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0" s="62">
        <f>+MITRE[[#This Row],[Trenes Programados]]+SARM[[#This Row],[Trenes Programados]]+URQ[[#This Row],[Trenes Programados]]+ROCA[[#This Row],[Trenes Programados]]+SM[[#This Row],[Trenes Programados]]+BN[[#This Row],[Trenes Programados]]+BS[[#This Row],[Trenes Programados]]+TDC[[#This Row],[Trenes Programados]]</f>
        <v>74962</v>
      </c>
      <c r="I80" s="62">
        <f t="shared" si="8"/>
        <v>593</v>
      </c>
      <c r="J80" s="62">
        <f>+MITRE[[#This Row],[Trenes Corridos]]+SARM[[#This Row],[Trenes Corridos]]+URQ[[#This Row],[Trenes Corridos]]+ROCA[[#This Row],[Trenes Corridos]]+SM[[#This Row],[Trenes Corridos]]+BN[[#This Row],[Trenes Corridos]]+BS[[#This Row],[Trenes Corridos]]+TDC[[#This Row],[Trenes Corridos]]</f>
        <v>74369</v>
      </c>
      <c r="K80" s="62">
        <f>+MITRE[[#This Row],[Trenes Puntuales]]+SARM[[#This Row],[Trenes Puntuales]]+URQ[[#This Row],[Trenes Puntuales]]+ROCA[[#This Row],[Trenes Puntuales]]+SM[[#This Row],[Trenes Puntuales]]+BN[[#This Row],[Trenes Puntuales]]+BS[[#This Row],[Trenes Puntuales]]+TDC[[#This Row],[Trenes Puntuales]]</f>
        <v>72511</v>
      </c>
      <c r="L80" s="62">
        <f t="shared" si="9"/>
        <v>1858</v>
      </c>
    </row>
    <row r="81" spans="1:12" s="18" customFormat="1" ht="15" customHeight="1">
      <c r="A81" s="18">
        <v>1999</v>
      </c>
      <c r="B81" s="18" t="s">
        <v>39</v>
      </c>
      <c r="C81" s="61">
        <f t="shared" si="5"/>
        <v>0.962580464595578</v>
      </c>
      <c r="D81" s="61">
        <f t="shared" si="6"/>
        <v>0.96982770775174121</v>
      </c>
      <c r="E81" s="61">
        <f t="shared" si="7"/>
        <v>0.99252728799328294</v>
      </c>
      <c r="F8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1" s="62">
        <f>+MITRE[[#This Row],[Trenes Programados]]+SARM[[#This Row],[Trenes Programados]]+URQ[[#This Row],[Trenes Programados]]+ROCA[[#This Row],[Trenes Programados]]+SM[[#This Row],[Trenes Programados]]+BN[[#This Row],[Trenes Programados]]+BS[[#This Row],[Trenes Programados]]+TDC[[#This Row],[Trenes Programados]]</f>
        <v>71460</v>
      </c>
      <c r="I81" s="62">
        <f t="shared" si="8"/>
        <v>534</v>
      </c>
      <c r="J81" s="62">
        <f>+MITRE[[#This Row],[Trenes Corridos]]+SARM[[#This Row],[Trenes Corridos]]+URQ[[#This Row],[Trenes Corridos]]+ROCA[[#This Row],[Trenes Corridos]]+SM[[#This Row],[Trenes Corridos]]+BN[[#This Row],[Trenes Corridos]]+BS[[#This Row],[Trenes Corridos]]+TDC[[#This Row],[Trenes Corridos]]</f>
        <v>70926</v>
      </c>
      <c r="K81" s="62">
        <f>+MITRE[[#This Row],[Trenes Puntuales]]+SARM[[#This Row],[Trenes Puntuales]]+URQ[[#This Row],[Trenes Puntuales]]+ROCA[[#This Row],[Trenes Puntuales]]+SM[[#This Row],[Trenes Puntuales]]+BN[[#This Row],[Trenes Puntuales]]+BS[[#This Row],[Trenes Puntuales]]+TDC[[#This Row],[Trenes Puntuales]]</f>
        <v>68786</v>
      </c>
      <c r="L81" s="62">
        <f t="shared" si="9"/>
        <v>2140</v>
      </c>
    </row>
    <row r="82" spans="1:12" s="18" customFormat="1" ht="15" customHeight="1">
      <c r="A82" s="18">
        <v>1999</v>
      </c>
      <c r="B82" s="18" t="s">
        <v>40</v>
      </c>
      <c r="C82" s="61">
        <f t="shared" si="5"/>
        <v>0.95843886236246623</v>
      </c>
      <c r="D82" s="61">
        <f t="shared" si="6"/>
        <v>0.96788259958071277</v>
      </c>
      <c r="E82" s="61">
        <f t="shared" si="7"/>
        <v>0.99024288976541419</v>
      </c>
      <c r="F8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2" s="62">
        <f>+MITRE[[#This Row],[Trenes Programados]]+SARM[[#This Row],[Trenes Programados]]+URQ[[#This Row],[Trenes Programados]]+ROCA[[#This Row],[Trenes Programados]]+SM[[#This Row],[Trenes Programados]]+BN[[#This Row],[Trenes Programados]]+BS[[#This Row],[Trenes Programados]]+TDC[[#This Row],[Trenes Programados]]</f>
        <v>72255</v>
      </c>
      <c r="I82" s="62">
        <f t="shared" si="8"/>
        <v>705</v>
      </c>
      <c r="J82" s="62">
        <f>+MITRE[[#This Row],[Trenes Corridos]]+SARM[[#This Row],[Trenes Corridos]]+URQ[[#This Row],[Trenes Corridos]]+ROCA[[#This Row],[Trenes Corridos]]+SM[[#This Row],[Trenes Corridos]]+BN[[#This Row],[Trenes Corridos]]+BS[[#This Row],[Trenes Corridos]]+TDC[[#This Row],[Trenes Corridos]]</f>
        <v>71550</v>
      </c>
      <c r="K82" s="62">
        <f>+MITRE[[#This Row],[Trenes Puntuales]]+SARM[[#This Row],[Trenes Puntuales]]+URQ[[#This Row],[Trenes Puntuales]]+ROCA[[#This Row],[Trenes Puntuales]]+SM[[#This Row],[Trenes Puntuales]]+BN[[#This Row],[Trenes Puntuales]]+BS[[#This Row],[Trenes Puntuales]]+TDC[[#This Row],[Trenes Puntuales]]</f>
        <v>69252</v>
      </c>
      <c r="L82" s="62">
        <f t="shared" si="9"/>
        <v>2298</v>
      </c>
    </row>
    <row r="83" spans="1:12" s="18" customFormat="1" ht="15" customHeight="1">
      <c r="A83" s="18">
        <v>1999</v>
      </c>
      <c r="B83" s="18" t="s">
        <v>41</v>
      </c>
      <c r="C83" s="61">
        <f t="shared" si="5"/>
        <v>0.96424936386768445</v>
      </c>
      <c r="D83" s="61">
        <f t="shared" si="6"/>
        <v>0.97112715158245422</v>
      </c>
      <c r="E83" s="61">
        <f t="shared" si="7"/>
        <v>0.99291772688719249</v>
      </c>
      <c r="F8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3" s="62">
        <f>+MITRE[[#This Row],[Trenes Programados]]+SARM[[#This Row],[Trenes Programados]]+URQ[[#This Row],[Trenes Programados]]+ROCA[[#This Row],[Trenes Programados]]+SM[[#This Row],[Trenes Programados]]+BN[[#This Row],[Trenes Programados]]+BS[[#This Row],[Trenes Programados]]+TDC[[#This Row],[Trenes Programados]]</f>
        <v>70740</v>
      </c>
      <c r="I83" s="62">
        <f t="shared" si="8"/>
        <v>501</v>
      </c>
      <c r="J83" s="62">
        <f>+MITRE[[#This Row],[Trenes Corridos]]+SARM[[#This Row],[Trenes Corridos]]+URQ[[#This Row],[Trenes Corridos]]+ROCA[[#This Row],[Trenes Corridos]]+SM[[#This Row],[Trenes Corridos]]+BN[[#This Row],[Trenes Corridos]]+BS[[#This Row],[Trenes Corridos]]+TDC[[#This Row],[Trenes Corridos]]</f>
        <v>70239</v>
      </c>
      <c r="K83" s="62">
        <f>+MITRE[[#This Row],[Trenes Puntuales]]+SARM[[#This Row],[Trenes Puntuales]]+URQ[[#This Row],[Trenes Puntuales]]+ROCA[[#This Row],[Trenes Puntuales]]+SM[[#This Row],[Trenes Puntuales]]+BN[[#This Row],[Trenes Puntuales]]+BS[[#This Row],[Trenes Puntuales]]+TDC[[#This Row],[Trenes Puntuales]]</f>
        <v>68211</v>
      </c>
      <c r="L83" s="62">
        <f t="shared" si="9"/>
        <v>2028</v>
      </c>
    </row>
    <row r="84" spans="1:12" s="18" customFormat="1" ht="15" customHeight="1">
      <c r="A84" s="18">
        <v>1999</v>
      </c>
      <c r="B84" s="18" t="s">
        <v>42</v>
      </c>
      <c r="C84" s="61">
        <f t="shared" si="5"/>
        <v>0.96706623077854459</v>
      </c>
      <c r="D84" s="61">
        <f t="shared" si="6"/>
        <v>0.97456581569706746</v>
      </c>
      <c r="E84" s="61">
        <f t="shared" si="7"/>
        <v>0.99230469117864684</v>
      </c>
      <c r="F8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4" s="62">
        <f>+MITRE[[#This Row],[Trenes Programados]]+SARM[[#This Row],[Trenes Programados]]+URQ[[#This Row],[Trenes Programados]]+ROCA[[#This Row],[Trenes Programados]]+SM[[#This Row],[Trenes Programados]]+BN[[#This Row],[Trenes Programados]]+BS[[#This Row],[Trenes Programados]]+TDC[[#This Row],[Trenes Programados]]</f>
        <v>74331</v>
      </c>
      <c r="I84" s="62">
        <f t="shared" si="8"/>
        <v>572</v>
      </c>
      <c r="J84" s="62">
        <f>+MITRE[[#This Row],[Trenes Corridos]]+SARM[[#This Row],[Trenes Corridos]]+URQ[[#This Row],[Trenes Corridos]]+ROCA[[#This Row],[Trenes Corridos]]+SM[[#This Row],[Trenes Corridos]]+BN[[#This Row],[Trenes Corridos]]+BS[[#This Row],[Trenes Corridos]]+TDC[[#This Row],[Trenes Corridos]]</f>
        <v>73759</v>
      </c>
      <c r="K84" s="62">
        <f>+MITRE[[#This Row],[Trenes Puntuales]]+SARM[[#This Row],[Trenes Puntuales]]+URQ[[#This Row],[Trenes Puntuales]]+ROCA[[#This Row],[Trenes Puntuales]]+SM[[#This Row],[Trenes Puntuales]]+BN[[#This Row],[Trenes Puntuales]]+BS[[#This Row],[Trenes Puntuales]]+TDC[[#This Row],[Trenes Puntuales]]</f>
        <v>71883</v>
      </c>
      <c r="L84" s="62">
        <f t="shared" si="9"/>
        <v>1876</v>
      </c>
    </row>
    <row r="85" spans="1:12" s="18" customFormat="1" ht="15" customHeight="1">
      <c r="A85" s="18">
        <v>1999</v>
      </c>
      <c r="B85" s="18" t="s">
        <v>43</v>
      </c>
      <c r="C85" s="61">
        <f t="shared" si="5"/>
        <v>0.96235096693868161</v>
      </c>
      <c r="D85" s="61">
        <f t="shared" si="6"/>
        <v>0.97213905863374761</v>
      </c>
      <c r="E85" s="61">
        <f t="shared" si="7"/>
        <v>0.98993138727619667</v>
      </c>
      <c r="F8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5" s="62">
        <f>+MITRE[[#This Row],[Trenes Programados]]+SARM[[#This Row],[Trenes Programados]]+URQ[[#This Row],[Trenes Programados]]+ROCA[[#This Row],[Trenes Programados]]+SM[[#This Row],[Trenes Programados]]+BN[[#This Row],[Trenes Programados]]+BS[[#This Row],[Trenes Programados]]+TDC[[#This Row],[Trenes Programados]]</f>
        <v>73893</v>
      </c>
      <c r="I85" s="62">
        <f t="shared" si="8"/>
        <v>744</v>
      </c>
      <c r="J85" s="62">
        <f>+MITRE[[#This Row],[Trenes Corridos]]+SARM[[#This Row],[Trenes Corridos]]+URQ[[#This Row],[Trenes Corridos]]+ROCA[[#This Row],[Trenes Corridos]]+SM[[#This Row],[Trenes Corridos]]+BN[[#This Row],[Trenes Corridos]]+BS[[#This Row],[Trenes Corridos]]+TDC[[#This Row],[Trenes Corridos]]</f>
        <v>73149</v>
      </c>
      <c r="K85" s="62">
        <f>+MITRE[[#This Row],[Trenes Puntuales]]+SARM[[#This Row],[Trenes Puntuales]]+URQ[[#This Row],[Trenes Puntuales]]+ROCA[[#This Row],[Trenes Puntuales]]+SM[[#This Row],[Trenes Puntuales]]+BN[[#This Row],[Trenes Puntuales]]+BS[[#This Row],[Trenes Puntuales]]+TDC[[#This Row],[Trenes Puntuales]]</f>
        <v>71111</v>
      </c>
      <c r="L85" s="62">
        <f t="shared" si="9"/>
        <v>2038</v>
      </c>
    </row>
    <row r="86" spans="1:12" s="18" customFormat="1" ht="15" customHeight="1">
      <c r="A86" s="18">
        <v>1999</v>
      </c>
      <c r="B86" s="18" t="s">
        <v>44</v>
      </c>
      <c r="C86" s="61">
        <f t="shared" si="5"/>
        <v>0.96521869138554384</v>
      </c>
      <c r="D86" s="61">
        <f t="shared" si="6"/>
        <v>0.97586950845803966</v>
      </c>
      <c r="E86" s="61">
        <f t="shared" si="7"/>
        <v>0.98908581835974663</v>
      </c>
      <c r="F8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6" s="62">
        <f>+MITRE[[#This Row],[Trenes Programados]]+SARM[[#This Row],[Trenes Programados]]+URQ[[#This Row],[Trenes Programados]]+ROCA[[#This Row],[Trenes Programados]]+SM[[#This Row],[Trenes Programados]]+BN[[#This Row],[Trenes Programados]]+BS[[#This Row],[Trenes Programados]]+TDC[[#This Row],[Trenes Programados]]</f>
        <v>73574</v>
      </c>
      <c r="I86" s="62">
        <f t="shared" si="8"/>
        <v>803</v>
      </c>
      <c r="J86" s="62">
        <f>+MITRE[[#This Row],[Trenes Corridos]]+SARM[[#This Row],[Trenes Corridos]]+URQ[[#This Row],[Trenes Corridos]]+ROCA[[#This Row],[Trenes Corridos]]+SM[[#This Row],[Trenes Corridos]]+BN[[#This Row],[Trenes Corridos]]+BS[[#This Row],[Trenes Corridos]]+TDC[[#This Row],[Trenes Corridos]]</f>
        <v>72771</v>
      </c>
      <c r="K86" s="62">
        <f>+MITRE[[#This Row],[Trenes Puntuales]]+SARM[[#This Row],[Trenes Puntuales]]+URQ[[#This Row],[Trenes Puntuales]]+ROCA[[#This Row],[Trenes Puntuales]]+SM[[#This Row],[Trenes Puntuales]]+BN[[#This Row],[Trenes Puntuales]]+BS[[#This Row],[Trenes Puntuales]]+TDC[[#This Row],[Trenes Puntuales]]</f>
        <v>71015</v>
      </c>
      <c r="L86" s="62">
        <f t="shared" si="9"/>
        <v>1756</v>
      </c>
    </row>
    <row r="87" spans="1:12" s="18" customFormat="1" ht="15" customHeight="1">
      <c r="A87" s="18">
        <v>1999</v>
      </c>
      <c r="B87" s="18" t="s">
        <v>45</v>
      </c>
      <c r="C87" s="61">
        <f t="shared" si="5"/>
        <v>0.96954951271042045</v>
      </c>
      <c r="D87" s="61">
        <f t="shared" si="6"/>
        <v>0.97805491770594144</v>
      </c>
      <c r="E87" s="61">
        <f t="shared" si="7"/>
        <v>0.99130375519661962</v>
      </c>
      <c r="F8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7" s="62">
        <f>+MITRE[[#This Row],[Trenes Programados]]+SARM[[#This Row],[Trenes Programados]]+URQ[[#This Row],[Trenes Programados]]+ROCA[[#This Row],[Trenes Programados]]+SM[[#This Row],[Trenes Programados]]+BN[[#This Row],[Trenes Programados]]+BS[[#This Row],[Trenes Programados]]+TDC[[#This Row],[Trenes Programados]]</f>
        <v>73365</v>
      </c>
      <c r="I87" s="62">
        <f t="shared" si="8"/>
        <v>638</v>
      </c>
      <c r="J87" s="62">
        <f>+MITRE[[#This Row],[Trenes Corridos]]+SARM[[#This Row],[Trenes Corridos]]+URQ[[#This Row],[Trenes Corridos]]+ROCA[[#This Row],[Trenes Corridos]]+SM[[#This Row],[Trenes Corridos]]+BN[[#This Row],[Trenes Corridos]]+BS[[#This Row],[Trenes Corridos]]+TDC[[#This Row],[Trenes Corridos]]</f>
        <v>72727</v>
      </c>
      <c r="K87" s="62">
        <f>+MITRE[[#This Row],[Trenes Puntuales]]+SARM[[#This Row],[Trenes Puntuales]]+URQ[[#This Row],[Trenes Puntuales]]+ROCA[[#This Row],[Trenes Puntuales]]+SM[[#This Row],[Trenes Puntuales]]+BN[[#This Row],[Trenes Puntuales]]+BS[[#This Row],[Trenes Puntuales]]+TDC[[#This Row],[Trenes Puntuales]]</f>
        <v>71131</v>
      </c>
      <c r="L87" s="62">
        <f t="shared" si="9"/>
        <v>1596</v>
      </c>
    </row>
    <row r="88" spans="1:12" s="18" customFormat="1" ht="15" customHeight="1">
      <c r="A88" s="18">
        <v>1999</v>
      </c>
      <c r="B88" s="18" t="s">
        <v>46</v>
      </c>
      <c r="C88" s="61">
        <f t="shared" si="5"/>
        <v>0.95843859506152718</v>
      </c>
      <c r="D88" s="61">
        <f t="shared" si="6"/>
        <v>0.9720370268334344</v>
      </c>
      <c r="E88" s="61">
        <f t="shared" si="7"/>
        <v>0.9860103767690761</v>
      </c>
      <c r="F8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8" s="62">
        <f>+MITRE[[#This Row],[Trenes Programados]]+SARM[[#This Row],[Trenes Programados]]+URQ[[#This Row],[Trenes Programados]]+ROCA[[#This Row],[Trenes Programados]]+SM[[#This Row],[Trenes Programados]]+BN[[#This Row],[Trenes Programados]]+BS[[#This Row],[Trenes Programados]]+TDC[[#This Row],[Trenes Programados]]</f>
        <v>73626</v>
      </c>
      <c r="I88" s="62">
        <f t="shared" si="8"/>
        <v>1030</v>
      </c>
      <c r="J88" s="62">
        <f>+MITRE[[#This Row],[Trenes Corridos]]+SARM[[#This Row],[Trenes Corridos]]+URQ[[#This Row],[Trenes Corridos]]+ROCA[[#This Row],[Trenes Corridos]]+SM[[#This Row],[Trenes Corridos]]+BN[[#This Row],[Trenes Corridos]]+BS[[#This Row],[Trenes Corridos]]+TDC[[#This Row],[Trenes Corridos]]</f>
        <v>72596</v>
      </c>
      <c r="K88" s="62">
        <f>+MITRE[[#This Row],[Trenes Puntuales]]+SARM[[#This Row],[Trenes Puntuales]]+URQ[[#This Row],[Trenes Puntuales]]+ROCA[[#This Row],[Trenes Puntuales]]+SM[[#This Row],[Trenes Puntuales]]+BN[[#This Row],[Trenes Puntuales]]+BS[[#This Row],[Trenes Puntuales]]+TDC[[#This Row],[Trenes Puntuales]]</f>
        <v>70566</v>
      </c>
      <c r="L88" s="62">
        <f t="shared" si="9"/>
        <v>2030</v>
      </c>
    </row>
    <row r="89" spans="1:12" s="18" customFormat="1" ht="15" customHeight="1">
      <c r="A89" s="18">
        <v>1999</v>
      </c>
      <c r="B89" s="18" t="s">
        <v>47</v>
      </c>
      <c r="C89" s="61">
        <f t="shared" si="5"/>
        <v>0.95739284468182184</v>
      </c>
      <c r="D89" s="61">
        <f t="shared" si="6"/>
        <v>0.97242591936319278</v>
      </c>
      <c r="E89" s="61">
        <f t="shared" si="7"/>
        <v>0.98454064789715234</v>
      </c>
      <c r="F8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9" s="62">
        <f>+MITRE[[#This Row],[Trenes Programados]]+SARM[[#This Row],[Trenes Programados]]+URQ[[#This Row],[Trenes Programados]]+ROCA[[#This Row],[Trenes Programados]]+SM[[#This Row],[Trenes Programados]]+BN[[#This Row],[Trenes Programados]]+BS[[#This Row],[Trenes Programados]]+TDC[[#This Row],[Trenes Programados]]</f>
        <v>74518</v>
      </c>
      <c r="I89" s="62">
        <f t="shared" si="8"/>
        <v>1152</v>
      </c>
      <c r="J89" s="62">
        <f>+MITRE[[#This Row],[Trenes Corridos]]+SARM[[#This Row],[Trenes Corridos]]+URQ[[#This Row],[Trenes Corridos]]+ROCA[[#This Row],[Trenes Corridos]]+SM[[#This Row],[Trenes Corridos]]+BN[[#This Row],[Trenes Corridos]]+BS[[#This Row],[Trenes Corridos]]+TDC[[#This Row],[Trenes Corridos]]</f>
        <v>73366</v>
      </c>
      <c r="K89" s="62">
        <f>+MITRE[[#This Row],[Trenes Puntuales]]+SARM[[#This Row],[Trenes Puntuales]]+URQ[[#This Row],[Trenes Puntuales]]+ROCA[[#This Row],[Trenes Puntuales]]+SM[[#This Row],[Trenes Puntuales]]+BN[[#This Row],[Trenes Puntuales]]+BS[[#This Row],[Trenes Puntuales]]+TDC[[#This Row],[Trenes Puntuales]]</f>
        <v>71343</v>
      </c>
      <c r="L89" s="62">
        <f t="shared" si="9"/>
        <v>2023</v>
      </c>
    </row>
    <row r="90" spans="1:12" s="18" customFormat="1" ht="15" customHeight="1">
      <c r="A90" s="18">
        <v>2000</v>
      </c>
      <c r="B90" s="18" t="s">
        <v>36</v>
      </c>
      <c r="C90" s="61">
        <f t="shared" si="5"/>
        <v>0.9646474892143736</v>
      </c>
      <c r="D90" s="61">
        <f t="shared" si="6"/>
        <v>0.97745710683549858</v>
      </c>
      <c r="E90" s="61">
        <f t="shared" si="7"/>
        <v>0.98689495678987305</v>
      </c>
      <c r="F9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0" s="62">
        <f>+MITRE[[#This Row],[Trenes Programados]]+SARM[[#This Row],[Trenes Programados]]+URQ[[#This Row],[Trenes Programados]]+ROCA[[#This Row],[Trenes Programados]]+SM[[#This Row],[Trenes Programados]]+BN[[#This Row],[Trenes Programados]]+BS[[#This Row],[Trenes Programados]]+TDC[[#This Row],[Trenes Programados]]</f>
        <v>73941</v>
      </c>
      <c r="I90" s="62">
        <f t="shared" si="8"/>
        <v>969</v>
      </c>
      <c r="J90" s="62">
        <f>+MITRE[[#This Row],[Trenes Corridos]]+SARM[[#This Row],[Trenes Corridos]]+URQ[[#This Row],[Trenes Corridos]]+ROCA[[#This Row],[Trenes Corridos]]+SM[[#This Row],[Trenes Corridos]]+BN[[#This Row],[Trenes Corridos]]+BS[[#This Row],[Trenes Corridos]]+TDC[[#This Row],[Trenes Corridos]]</f>
        <v>72972</v>
      </c>
      <c r="K90" s="62">
        <f>+MITRE[[#This Row],[Trenes Puntuales]]+SARM[[#This Row],[Trenes Puntuales]]+URQ[[#This Row],[Trenes Puntuales]]+ROCA[[#This Row],[Trenes Puntuales]]+SM[[#This Row],[Trenes Puntuales]]+BN[[#This Row],[Trenes Puntuales]]+BS[[#This Row],[Trenes Puntuales]]+TDC[[#This Row],[Trenes Puntuales]]</f>
        <v>71327</v>
      </c>
      <c r="L90" s="62">
        <f t="shared" si="9"/>
        <v>1645</v>
      </c>
    </row>
    <row r="91" spans="1:12" s="18" customFormat="1" ht="15" customHeight="1">
      <c r="A91" s="18">
        <v>2000</v>
      </c>
      <c r="B91" s="18" t="s">
        <v>37</v>
      </c>
      <c r="C91" s="61">
        <f t="shared" si="5"/>
        <v>0.96412511805584922</v>
      </c>
      <c r="D91" s="61">
        <f t="shared" si="6"/>
        <v>0.97470465006911688</v>
      </c>
      <c r="E91" s="61">
        <f t="shared" si="7"/>
        <v>0.98914590998153396</v>
      </c>
      <c r="F9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1" s="62">
        <f>+MITRE[[#This Row],[Trenes Programados]]+SARM[[#This Row],[Trenes Programados]]+URQ[[#This Row],[Trenes Programados]]+ROCA[[#This Row],[Trenes Programados]]+SM[[#This Row],[Trenes Programados]]+BN[[#This Row],[Trenes Programados]]+BS[[#This Row],[Trenes Programados]]+TDC[[#This Row],[Trenes Programados]]</f>
        <v>70941</v>
      </c>
      <c r="I91" s="62">
        <f t="shared" si="8"/>
        <v>770</v>
      </c>
      <c r="J91" s="62">
        <f>+MITRE[[#This Row],[Trenes Corridos]]+SARM[[#This Row],[Trenes Corridos]]+URQ[[#This Row],[Trenes Corridos]]+ROCA[[#This Row],[Trenes Corridos]]+SM[[#This Row],[Trenes Corridos]]+BN[[#This Row],[Trenes Corridos]]+BS[[#This Row],[Trenes Corridos]]+TDC[[#This Row],[Trenes Corridos]]</f>
        <v>70171</v>
      </c>
      <c r="K91" s="62">
        <f>+MITRE[[#This Row],[Trenes Puntuales]]+SARM[[#This Row],[Trenes Puntuales]]+URQ[[#This Row],[Trenes Puntuales]]+ROCA[[#This Row],[Trenes Puntuales]]+SM[[#This Row],[Trenes Puntuales]]+BN[[#This Row],[Trenes Puntuales]]+BS[[#This Row],[Trenes Puntuales]]+TDC[[#This Row],[Trenes Puntuales]]</f>
        <v>68396</v>
      </c>
      <c r="L91" s="62">
        <f t="shared" si="9"/>
        <v>1775</v>
      </c>
    </row>
    <row r="92" spans="1:12" s="18" customFormat="1" ht="15" customHeight="1">
      <c r="A92" s="18">
        <v>2000</v>
      </c>
      <c r="B92" s="18" t="s">
        <v>38</v>
      </c>
      <c r="C92" s="61">
        <f t="shared" si="5"/>
        <v>0.97021750524109018</v>
      </c>
      <c r="D92" s="61">
        <f t="shared" si="6"/>
        <v>0.97966500846740046</v>
      </c>
      <c r="E92" s="61">
        <f t="shared" si="7"/>
        <v>0.990356394129979</v>
      </c>
      <c r="F9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2" s="62">
        <f>+MITRE[[#This Row],[Trenes Programados]]+SARM[[#This Row],[Trenes Programados]]+URQ[[#This Row],[Trenes Programados]]+ROCA[[#This Row],[Trenes Programados]]+SM[[#This Row],[Trenes Programados]]+BN[[#This Row],[Trenes Programados]]+BS[[#This Row],[Trenes Programados]]+TDC[[#This Row],[Trenes Programados]]</f>
        <v>76320</v>
      </c>
      <c r="I92" s="62">
        <f t="shared" si="8"/>
        <v>736</v>
      </c>
      <c r="J92" s="62">
        <f>+MITRE[[#This Row],[Trenes Corridos]]+SARM[[#This Row],[Trenes Corridos]]+URQ[[#This Row],[Trenes Corridos]]+ROCA[[#This Row],[Trenes Corridos]]+SM[[#This Row],[Trenes Corridos]]+BN[[#This Row],[Trenes Corridos]]+BS[[#This Row],[Trenes Corridos]]+TDC[[#This Row],[Trenes Corridos]]</f>
        <v>75584</v>
      </c>
      <c r="K92" s="62">
        <f>+MITRE[[#This Row],[Trenes Puntuales]]+SARM[[#This Row],[Trenes Puntuales]]+URQ[[#This Row],[Trenes Puntuales]]+ROCA[[#This Row],[Trenes Puntuales]]+SM[[#This Row],[Trenes Puntuales]]+BN[[#This Row],[Trenes Puntuales]]+BS[[#This Row],[Trenes Puntuales]]+TDC[[#This Row],[Trenes Puntuales]]</f>
        <v>74047</v>
      </c>
      <c r="L92" s="62">
        <f t="shared" si="9"/>
        <v>1537</v>
      </c>
    </row>
    <row r="93" spans="1:12" s="18" customFormat="1" ht="15" customHeight="1">
      <c r="A93" s="18">
        <v>2000</v>
      </c>
      <c r="B93" s="18" t="s">
        <v>39</v>
      </c>
      <c r="C93" s="61">
        <f t="shared" si="5"/>
        <v>0.96391400784849002</v>
      </c>
      <c r="D93" s="61">
        <f t="shared" si="6"/>
        <v>0.97222182386599931</v>
      </c>
      <c r="E93" s="61">
        <f t="shared" si="7"/>
        <v>0.99145481430927596</v>
      </c>
      <c r="F9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3" s="62">
        <f>+MITRE[[#This Row],[Trenes Programados]]+SARM[[#This Row],[Trenes Programados]]+URQ[[#This Row],[Trenes Programados]]+ROCA[[#This Row],[Trenes Programados]]+SM[[#This Row],[Trenes Programados]]+BN[[#This Row],[Trenes Programados]]+BS[[#This Row],[Trenes Programados]]+TDC[[#This Row],[Trenes Programados]]</f>
        <v>70332</v>
      </c>
      <c r="I93" s="62">
        <f t="shared" si="8"/>
        <v>601</v>
      </c>
      <c r="J93" s="62">
        <f>+MITRE[[#This Row],[Trenes Corridos]]+SARM[[#This Row],[Trenes Corridos]]+URQ[[#This Row],[Trenes Corridos]]+ROCA[[#This Row],[Trenes Corridos]]+SM[[#This Row],[Trenes Corridos]]+BN[[#This Row],[Trenes Corridos]]+BS[[#This Row],[Trenes Corridos]]+TDC[[#This Row],[Trenes Corridos]]</f>
        <v>69731</v>
      </c>
      <c r="K93" s="62">
        <f>+MITRE[[#This Row],[Trenes Puntuales]]+SARM[[#This Row],[Trenes Puntuales]]+URQ[[#This Row],[Trenes Puntuales]]+ROCA[[#This Row],[Trenes Puntuales]]+SM[[#This Row],[Trenes Puntuales]]+BN[[#This Row],[Trenes Puntuales]]+BS[[#This Row],[Trenes Puntuales]]+TDC[[#This Row],[Trenes Puntuales]]</f>
        <v>67794</v>
      </c>
      <c r="L93" s="62">
        <f t="shared" si="9"/>
        <v>1937</v>
      </c>
    </row>
    <row r="94" spans="1:12" s="18" customFormat="1" ht="15" customHeight="1">
      <c r="A94" s="18">
        <v>2000</v>
      </c>
      <c r="B94" s="18" t="s">
        <v>40</v>
      </c>
      <c r="C94" s="61">
        <f t="shared" si="5"/>
        <v>0.94252158146835174</v>
      </c>
      <c r="D94" s="61">
        <f t="shared" si="6"/>
        <v>0.95967486395260726</v>
      </c>
      <c r="E94" s="61">
        <f t="shared" si="7"/>
        <v>0.98212594376640594</v>
      </c>
      <c r="F9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4" s="62">
        <f>+MITRE[[#This Row],[Trenes Programados]]+SARM[[#This Row],[Trenes Programados]]+URQ[[#This Row],[Trenes Programados]]+ROCA[[#This Row],[Trenes Programados]]+SM[[#This Row],[Trenes Programados]]+BN[[#This Row],[Trenes Programados]]+BS[[#This Row],[Trenes Programados]]+TDC[[#This Row],[Trenes Programados]]</f>
        <v>73906</v>
      </c>
      <c r="I94" s="62">
        <f t="shared" si="8"/>
        <v>1321</v>
      </c>
      <c r="J94" s="62">
        <f>+MITRE[[#This Row],[Trenes Corridos]]+SARM[[#This Row],[Trenes Corridos]]+URQ[[#This Row],[Trenes Corridos]]+ROCA[[#This Row],[Trenes Corridos]]+SM[[#This Row],[Trenes Corridos]]+BN[[#This Row],[Trenes Corridos]]+BS[[#This Row],[Trenes Corridos]]+TDC[[#This Row],[Trenes Corridos]]</f>
        <v>72585</v>
      </c>
      <c r="K94" s="62">
        <f>+MITRE[[#This Row],[Trenes Puntuales]]+SARM[[#This Row],[Trenes Puntuales]]+URQ[[#This Row],[Trenes Puntuales]]+ROCA[[#This Row],[Trenes Puntuales]]+SM[[#This Row],[Trenes Puntuales]]+BN[[#This Row],[Trenes Puntuales]]+BS[[#This Row],[Trenes Puntuales]]+TDC[[#This Row],[Trenes Puntuales]]</f>
        <v>69658</v>
      </c>
      <c r="L94" s="62">
        <f t="shared" si="9"/>
        <v>2927</v>
      </c>
    </row>
    <row r="95" spans="1:12" s="18" customFormat="1" ht="15" customHeight="1">
      <c r="A95" s="18">
        <v>2000</v>
      </c>
      <c r="B95" s="18" t="s">
        <v>41</v>
      </c>
      <c r="C95" s="61">
        <f t="shared" si="5"/>
        <v>0.89961082981127338</v>
      </c>
      <c r="D95" s="61">
        <f t="shared" si="6"/>
        <v>0.93840848574795932</v>
      </c>
      <c r="E95" s="61">
        <f t="shared" si="7"/>
        <v>0.95865589822990338</v>
      </c>
      <c r="F9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5" s="62">
        <f>+MITRE[[#This Row],[Trenes Programados]]+SARM[[#This Row],[Trenes Programados]]+URQ[[#This Row],[Trenes Programados]]+ROCA[[#This Row],[Trenes Programados]]+SM[[#This Row],[Trenes Programados]]+BN[[#This Row],[Trenes Programados]]+BS[[#This Row],[Trenes Programados]]+TDC[[#This Row],[Trenes Programados]]</f>
        <v>71691</v>
      </c>
      <c r="I95" s="62">
        <f t="shared" si="8"/>
        <v>2964</v>
      </c>
      <c r="J95" s="62">
        <f>+MITRE[[#This Row],[Trenes Corridos]]+SARM[[#This Row],[Trenes Corridos]]+URQ[[#This Row],[Trenes Corridos]]+ROCA[[#This Row],[Trenes Corridos]]+SM[[#This Row],[Trenes Corridos]]+BN[[#This Row],[Trenes Corridos]]+BS[[#This Row],[Trenes Corridos]]+TDC[[#This Row],[Trenes Corridos]]</f>
        <v>68727</v>
      </c>
      <c r="K95" s="62">
        <f>+MITRE[[#This Row],[Trenes Puntuales]]+SARM[[#This Row],[Trenes Puntuales]]+URQ[[#This Row],[Trenes Puntuales]]+ROCA[[#This Row],[Trenes Puntuales]]+SM[[#This Row],[Trenes Puntuales]]+BN[[#This Row],[Trenes Puntuales]]+BS[[#This Row],[Trenes Puntuales]]+TDC[[#This Row],[Trenes Puntuales]]</f>
        <v>64494</v>
      </c>
      <c r="L95" s="62">
        <f t="shared" si="9"/>
        <v>4233</v>
      </c>
    </row>
    <row r="96" spans="1:12" s="18" customFormat="1" ht="15" customHeight="1">
      <c r="A96" s="18">
        <v>2000</v>
      </c>
      <c r="B96" s="18" t="s">
        <v>42</v>
      </c>
      <c r="C96" s="61">
        <f t="shared" si="5"/>
        <v>0.96359389472836376</v>
      </c>
      <c r="D96" s="61">
        <f t="shared" si="6"/>
        <v>0.9729718739410369</v>
      </c>
      <c r="E96" s="61">
        <f t="shared" si="7"/>
        <v>0.99036151047749454</v>
      </c>
      <c r="F9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6" s="62">
        <f>+MITRE[[#This Row],[Trenes Programados]]+SARM[[#This Row],[Trenes Programados]]+URQ[[#This Row],[Trenes Programados]]+ROCA[[#This Row],[Trenes Programados]]+SM[[#This Row],[Trenes Programados]]+BN[[#This Row],[Trenes Programados]]+BS[[#This Row],[Trenes Programados]]+TDC[[#This Row],[Trenes Programados]]</f>
        <v>74493</v>
      </c>
      <c r="I96" s="62">
        <f t="shared" si="8"/>
        <v>718</v>
      </c>
      <c r="J96" s="62">
        <f>+MITRE[[#This Row],[Trenes Corridos]]+SARM[[#This Row],[Trenes Corridos]]+URQ[[#This Row],[Trenes Corridos]]+ROCA[[#This Row],[Trenes Corridos]]+SM[[#This Row],[Trenes Corridos]]+BN[[#This Row],[Trenes Corridos]]+BS[[#This Row],[Trenes Corridos]]+TDC[[#This Row],[Trenes Corridos]]</f>
        <v>73775</v>
      </c>
      <c r="K96" s="62">
        <f>+MITRE[[#This Row],[Trenes Puntuales]]+SARM[[#This Row],[Trenes Puntuales]]+URQ[[#This Row],[Trenes Puntuales]]+ROCA[[#This Row],[Trenes Puntuales]]+SM[[#This Row],[Trenes Puntuales]]+BN[[#This Row],[Trenes Puntuales]]+BS[[#This Row],[Trenes Puntuales]]+TDC[[#This Row],[Trenes Puntuales]]</f>
        <v>71781</v>
      </c>
      <c r="L96" s="62">
        <f t="shared" si="9"/>
        <v>1994</v>
      </c>
    </row>
    <row r="97" spans="1:12" s="18" customFormat="1" ht="15" customHeight="1">
      <c r="A97" s="18">
        <v>2000</v>
      </c>
      <c r="B97" s="18" t="s">
        <v>43</v>
      </c>
      <c r="C97" s="61">
        <f t="shared" si="5"/>
        <v>0.96741200442141995</v>
      </c>
      <c r="D97" s="61">
        <f t="shared" si="6"/>
        <v>0.97630535582286138</v>
      </c>
      <c r="E97" s="61">
        <f t="shared" si="7"/>
        <v>0.99089080957264042</v>
      </c>
      <c r="F9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7" s="62">
        <f>+MITRE[[#This Row],[Trenes Programados]]+SARM[[#This Row],[Trenes Programados]]+URQ[[#This Row],[Trenes Programados]]+ROCA[[#This Row],[Trenes Programados]]+SM[[#This Row],[Trenes Programados]]+BN[[#This Row],[Trenes Programados]]+BS[[#This Row],[Trenes Programados]]+TDC[[#This Row],[Trenes Programados]]</f>
        <v>75089</v>
      </c>
      <c r="I97" s="62">
        <f t="shared" si="8"/>
        <v>684</v>
      </c>
      <c r="J97" s="62">
        <f>+MITRE[[#This Row],[Trenes Corridos]]+SARM[[#This Row],[Trenes Corridos]]+URQ[[#This Row],[Trenes Corridos]]+ROCA[[#This Row],[Trenes Corridos]]+SM[[#This Row],[Trenes Corridos]]+BN[[#This Row],[Trenes Corridos]]+BS[[#This Row],[Trenes Corridos]]+TDC[[#This Row],[Trenes Corridos]]</f>
        <v>74405</v>
      </c>
      <c r="K97" s="62">
        <f>+MITRE[[#This Row],[Trenes Puntuales]]+SARM[[#This Row],[Trenes Puntuales]]+URQ[[#This Row],[Trenes Puntuales]]+ROCA[[#This Row],[Trenes Puntuales]]+SM[[#This Row],[Trenes Puntuales]]+BN[[#This Row],[Trenes Puntuales]]+BS[[#This Row],[Trenes Puntuales]]+TDC[[#This Row],[Trenes Puntuales]]</f>
        <v>72642</v>
      </c>
      <c r="L97" s="62">
        <f t="shared" si="9"/>
        <v>1763</v>
      </c>
    </row>
    <row r="98" spans="1:12" s="18" customFormat="1" ht="15" customHeight="1">
      <c r="A98" s="18">
        <v>2000</v>
      </c>
      <c r="B98" s="18" t="s">
        <v>44</v>
      </c>
      <c r="C98" s="61">
        <f t="shared" si="5"/>
        <v>0.95938801227262771</v>
      </c>
      <c r="D98" s="61">
        <f t="shared" si="6"/>
        <v>0.97151060376992104</v>
      </c>
      <c r="E98" s="61">
        <f t="shared" si="7"/>
        <v>0.98752191540653078</v>
      </c>
      <c r="F9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8" s="62">
        <f>+MITRE[[#This Row],[Trenes Programados]]+SARM[[#This Row],[Trenes Programados]]+URQ[[#This Row],[Trenes Programados]]+ROCA[[#This Row],[Trenes Programados]]+SM[[#This Row],[Trenes Programados]]+BN[[#This Row],[Trenes Programados]]+BS[[#This Row],[Trenes Programados]]+TDC[[#This Row],[Trenes Programados]]</f>
        <v>73008</v>
      </c>
      <c r="I98" s="62">
        <f t="shared" si="8"/>
        <v>911</v>
      </c>
      <c r="J98" s="62">
        <f>+MITRE[[#This Row],[Trenes Corridos]]+SARM[[#This Row],[Trenes Corridos]]+URQ[[#This Row],[Trenes Corridos]]+ROCA[[#This Row],[Trenes Corridos]]+SM[[#This Row],[Trenes Corridos]]+BN[[#This Row],[Trenes Corridos]]+BS[[#This Row],[Trenes Corridos]]+TDC[[#This Row],[Trenes Corridos]]</f>
        <v>72097</v>
      </c>
      <c r="K98" s="62">
        <f>+MITRE[[#This Row],[Trenes Puntuales]]+SARM[[#This Row],[Trenes Puntuales]]+URQ[[#This Row],[Trenes Puntuales]]+ROCA[[#This Row],[Trenes Puntuales]]+SM[[#This Row],[Trenes Puntuales]]+BN[[#This Row],[Trenes Puntuales]]+BS[[#This Row],[Trenes Puntuales]]+TDC[[#This Row],[Trenes Puntuales]]</f>
        <v>70043</v>
      </c>
      <c r="L98" s="62">
        <f t="shared" si="9"/>
        <v>2054</v>
      </c>
    </row>
    <row r="99" spans="1:12" s="18" customFormat="1" ht="15" customHeight="1">
      <c r="A99" s="18">
        <v>2000</v>
      </c>
      <c r="B99" s="18" t="s">
        <v>45</v>
      </c>
      <c r="C99" s="61">
        <f t="shared" si="5"/>
        <v>0.96550604219386438</v>
      </c>
      <c r="D99" s="61">
        <f t="shared" si="6"/>
        <v>0.97824089943100023</v>
      </c>
      <c r="E99" s="61">
        <f t="shared" si="7"/>
        <v>0.98698188018458122</v>
      </c>
      <c r="F9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9" s="62">
        <f>+MITRE[[#This Row],[Trenes Programados]]+SARM[[#This Row],[Trenes Programados]]+URQ[[#This Row],[Trenes Programados]]+ROCA[[#This Row],[Trenes Programados]]+SM[[#This Row],[Trenes Programados]]+BN[[#This Row],[Trenes Programados]]+BS[[#This Row],[Trenes Programados]]+TDC[[#This Row],[Trenes Programados]]</f>
        <v>73897</v>
      </c>
      <c r="I99" s="62">
        <f t="shared" si="8"/>
        <v>962</v>
      </c>
      <c r="J99" s="62">
        <f>+MITRE[[#This Row],[Trenes Corridos]]+SARM[[#This Row],[Trenes Corridos]]+URQ[[#This Row],[Trenes Corridos]]+ROCA[[#This Row],[Trenes Corridos]]+SM[[#This Row],[Trenes Corridos]]+BN[[#This Row],[Trenes Corridos]]+BS[[#This Row],[Trenes Corridos]]+TDC[[#This Row],[Trenes Corridos]]</f>
        <v>72935</v>
      </c>
      <c r="K99" s="62">
        <f>+MITRE[[#This Row],[Trenes Puntuales]]+SARM[[#This Row],[Trenes Puntuales]]+URQ[[#This Row],[Trenes Puntuales]]+ROCA[[#This Row],[Trenes Puntuales]]+SM[[#This Row],[Trenes Puntuales]]+BN[[#This Row],[Trenes Puntuales]]+BS[[#This Row],[Trenes Puntuales]]+TDC[[#This Row],[Trenes Puntuales]]</f>
        <v>71348</v>
      </c>
      <c r="L99" s="62">
        <f t="shared" si="9"/>
        <v>1587</v>
      </c>
    </row>
    <row r="100" spans="1:12" s="18" customFormat="1" ht="15" customHeight="1">
      <c r="A100" s="18">
        <v>2000</v>
      </c>
      <c r="B100" s="18" t="s">
        <v>46</v>
      </c>
      <c r="C100" s="61">
        <f t="shared" si="5"/>
        <v>0.92499693447961084</v>
      </c>
      <c r="D100" s="61">
        <f t="shared" si="6"/>
        <v>0.97323642827448786</v>
      </c>
      <c r="E100" s="61">
        <f t="shared" si="7"/>
        <v>0.95043394144174831</v>
      </c>
      <c r="F10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0" s="62">
        <f>+MITRE[[#This Row],[Trenes Programados]]+SARM[[#This Row],[Trenes Programados]]+URQ[[#This Row],[Trenes Programados]]+ROCA[[#This Row],[Trenes Programados]]+SM[[#This Row],[Trenes Programados]]+BN[[#This Row],[Trenes Programados]]+BS[[#This Row],[Trenes Programados]]+TDC[[#This Row],[Trenes Programados]]</f>
        <v>73397</v>
      </c>
      <c r="I100" s="62">
        <f t="shared" si="8"/>
        <v>3638</v>
      </c>
      <c r="J100" s="62">
        <f>+MITRE[[#This Row],[Trenes Corridos]]+SARM[[#This Row],[Trenes Corridos]]+URQ[[#This Row],[Trenes Corridos]]+ROCA[[#This Row],[Trenes Corridos]]+SM[[#This Row],[Trenes Corridos]]+BN[[#This Row],[Trenes Corridos]]+BS[[#This Row],[Trenes Corridos]]+TDC[[#This Row],[Trenes Corridos]]</f>
        <v>69759</v>
      </c>
      <c r="K100" s="62">
        <f>+MITRE[[#This Row],[Trenes Puntuales]]+SARM[[#This Row],[Trenes Puntuales]]+URQ[[#This Row],[Trenes Puntuales]]+ROCA[[#This Row],[Trenes Puntuales]]+SM[[#This Row],[Trenes Puntuales]]+BN[[#This Row],[Trenes Puntuales]]+BS[[#This Row],[Trenes Puntuales]]+TDC[[#This Row],[Trenes Puntuales]]</f>
        <v>67892</v>
      </c>
      <c r="L100" s="62">
        <f t="shared" si="9"/>
        <v>1867</v>
      </c>
    </row>
    <row r="101" spans="1:12" s="18" customFormat="1" ht="15" customHeight="1">
      <c r="A101" s="18">
        <v>2000</v>
      </c>
      <c r="B101" s="18" t="s">
        <v>47</v>
      </c>
      <c r="C101" s="61">
        <f t="shared" si="5"/>
        <v>0.93313957511590895</v>
      </c>
      <c r="D101" s="61">
        <f t="shared" si="6"/>
        <v>0.96479880945566943</v>
      </c>
      <c r="E101" s="61">
        <f t="shared" si="7"/>
        <v>0.96718566189191058</v>
      </c>
      <c r="F10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1" s="62">
        <f>+MITRE[[#This Row],[Trenes Programados]]+SARM[[#This Row],[Trenes Programados]]+URQ[[#This Row],[Trenes Programados]]+ROCA[[#This Row],[Trenes Programados]]+SM[[#This Row],[Trenes Programados]]+BN[[#This Row],[Trenes Programados]]+BS[[#This Row],[Trenes Programados]]+TDC[[#This Row],[Trenes Programados]]</f>
        <v>72255</v>
      </c>
      <c r="I101" s="62">
        <f t="shared" si="8"/>
        <v>2371</v>
      </c>
      <c r="J101" s="62">
        <f>+MITRE[[#This Row],[Trenes Corridos]]+SARM[[#This Row],[Trenes Corridos]]+URQ[[#This Row],[Trenes Corridos]]+ROCA[[#This Row],[Trenes Corridos]]+SM[[#This Row],[Trenes Corridos]]+BN[[#This Row],[Trenes Corridos]]+BS[[#This Row],[Trenes Corridos]]+TDC[[#This Row],[Trenes Corridos]]</f>
        <v>69884</v>
      </c>
      <c r="K101" s="62">
        <f>+MITRE[[#This Row],[Trenes Puntuales]]+SARM[[#This Row],[Trenes Puntuales]]+URQ[[#This Row],[Trenes Puntuales]]+ROCA[[#This Row],[Trenes Puntuales]]+SM[[#This Row],[Trenes Puntuales]]+BN[[#This Row],[Trenes Puntuales]]+BS[[#This Row],[Trenes Puntuales]]+TDC[[#This Row],[Trenes Puntuales]]</f>
        <v>67424</v>
      </c>
      <c r="L101" s="62">
        <f t="shared" si="9"/>
        <v>2460</v>
      </c>
    </row>
    <row r="102" spans="1:12" s="18" customFormat="1" ht="15" customHeight="1">
      <c r="A102" s="18">
        <v>2001</v>
      </c>
      <c r="B102" s="18" t="s">
        <v>36</v>
      </c>
      <c r="C102" s="61">
        <f t="shared" si="5"/>
        <v>0.95027844584774868</v>
      </c>
      <c r="D102" s="61">
        <f t="shared" si="6"/>
        <v>0.97272212641030031</v>
      </c>
      <c r="E102" s="61">
        <f t="shared" si="7"/>
        <v>0.97692693529510111</v>
      </c>
      <c r="F10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2" s="62">
        <f>+MITRE[[#This Row],[Trenes Programados]]+SARM[[#This Row],[Trenes Programados]]+URQ[[#This Row],[Trenes Programados]]+ROCA[[#This Row],[Trenes Programados]]+SM[[#This Row],[Trenes Programados]]+BN[[#This Row],[Trenes Programados]]+BS[[#This Row],[Trenes Programados]]+TDC[[#This Row],[Trenes Programados]]</f>
        <v>77753</v>
      </c>
      <c r="I102" s="62">
        <f t="shared" si="8"/>
        <v>1794</v>
      </c>
      <c r="J102" s="62">
        <f>+MITRE[[#This Row],[Trenes Corridos]]+SARM[[#This Row],[Trenes Corridos]]+URQ[[#This Row],[Trenes Corridos]]+ROCA[[#This Row],[Trenes Corridos]]+SM[[#This Row],[Trenes Corridos]]+BN[[#This Row],[Trenes Corridos]]+BS[[#This Row],[Trenes Corridos]]+TDC[[#This Row],[Trenes Corridos]]</f>
        <v>75959</v>
      </c>
      <c r="K102" s="62">
        <f>+MITRE[[#This Row],[Trenes Puntuales]]+SARM[[#This Row],[Trenes Puntuales]]+URQ[[#This Row],[Trenes Puntuales]]+ROCA[[#This Row],[Trenes Puntuales]]+SM[[#This Row],[Trenes Puntuales]]+BN[[#This Row],[Trenes Puntuales]]+BS[[#This Row],[Trenes Puntuales]]+TDC[[#This Row],[Trenes Puntuales]]</f>
        <v>73887</v>
      </c>
      <c r="L102" s="62">
        <f t="shared" si="9"/>
        <v>2072</v>
      </c>
    </row>
    <row r="103" spans="1:12" s="18" customFormat="1" ht="15" customHeight="1">
      <c r="A103" s="18">
        <v>2001</v>
      </c>
      <c r="B103" s="18" t="s">
        <v>37</v>
      </c>
      <c r="C103" s="61">
        <f t="shared" si="5"/>
        <v>0.95890701722112948</v>
      </c>
      <c r="D103" s="61">
        <f t="shared" si="6"/>
        <v>0.97137410051317341</v>
      </c>
      <c r="E103" s="61">
        <f t="shared" si="7"/>
        <v>0.98716551811968478</v>
      </c>
      <c r="F10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3" s="62">
        <f>+MITRE[[#This Row],[Trenes Programados]]+SARM[[#This Row],[Trenes Programados]]+URQ[[#This Row],[Trenes Programados]]+ROCA[[#This Row],[Trenes Programados]]+SM[[#This Row],[Trenes Programados]]+BN[[#This Row],[Trenes Programados]]+BS[[#This Row],[Trenes Programados]]+TDC[[#This Row],[Trenes Programados]]</f>
        <v>70669</v>
      </c>
      <c r="I103" s="62">
        <f t="shared" si="8"/>
        <v>907</v>
      </c>
      <c r="J103" s="62">
        <f>+MITRE[[#This Row],[Trenes Corridos]]+SARM[[#This Row],[Trenes Corridos]]+URQ[[#This Row],[Trenes Corridos]]+ROCA[[#This Row],[Trenes Corridos]]+SM[[#This Row],[Trenes Corridos]]+BN[[#This Row],[Trenes Corridos]]+BS[[#This Row],[Trenes Corridos]]+TDC[[#This Row],[Trenes Corridos]]</f>
        <v>69762</v>
      </c>
      <c r="K103" s="62">
        <f>+MITRE[[#This Row],[Trenes Puntuales]]+SARM[[#This Row],[Trenes Puntuales]]+URQ[[#This Row],[Trenes Puntuales]]+ROCA[[#This Row],[Trenes Puntuales]]+SM[[#This Row],[Trenes Puntuales]]+BN[[#This Row],[Trenes Puntuales]]+BS[[#This Row],[Trenes Puntuales]]+TDC[[#This Row],[Trenes Puntuales]]</f>
        <v>67765</v>
      </c>
      <c r="L103" s="62">
        <f t="shared" si="9"/>
        <v>1997</v>
      </c>
    </row>
    <row r="104" spans="1:12" s="18" customFormat="1" ht="15" customHeight="1">
      <c r="A104" s="18">
        <v>2001</v>
      </c>
      <c r="B104" s="18" t="s">
        <v>38</v>
      </c>
      <c r="C104" s="61">
        <f t="shared" si="5"/>
        <v>0.94231333477911439</v>
      </c>
      <c r="D104" s="61">
        <f t="shared" si="6"/>
        <v>0.95885094175526042</v>
      </c>
      <c r="E104" s="61">
        <f t="shared" si="7"/>
        <v>0.98275268213652422</v>
      </c>
      <c r="F10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4" s="62">
        <f>+MITRE[[#This Row],[Trenes Programados]]+SARM[[#This Row],[Trenes Programados]]+URQ[[#This Row],[Trenes Programados]]+ROCA[[#This Row],[Trenes Programados]]+SM[[#This Row],[Trenes Programados]]+BN[[#This Row],[Trenes Programados]]+BS[[#This Row],[Trenes Programados]]+TDC[[#This Row],[Trenes Programados]]</f>
        <v>78389</v>
      </c>
      <c r="I104" s="62">
        <f t="shared" si="8"/>
        <v>1352</v>
      </c>
      <c r="J104" s="62">
        <f>+MITRE[[#This Row],[Trenes Corridos]]+SARM[[#This Row],[Trenes Corridos]]+URQ[[#This Row],[Trenes Corridos]]+ROCA[[#This Row],[Trenes Corridos]]+SM[[#This Row],[Trenes Corridos]]+BN[[#This Row],[Trenes Corridos]]+BS[[#This Row],[Trenes Corridos]]+TDC[[#This Row],[Trenes Corridos]]</f>
        <v>77037</v>
      </c>
      <c r="K104" s="62">
        <f>+MITRE[[#This Row],[Trenes Puntuales]]+SARM[[#This Row],[Trenes Puntuales]]+URQ[[#This Row],[Trenes Puntuales]]+ROCA[[#This Row],[Trenes Puntuales]]+SM[[#This Row],[Trenes Puntuales]]+BN[[#This Row],[Trenes Puntuales]]+BS[[#This Row],[Trenes Puntuales]]+TDC[[#This Row],[Trenes Puntuales]]</f>
        <v>73867</v>
      </c>
      <c r="L104" s="62">
        <f t="shared" si="9"/>
        <v>3170</v>
      </c>
    </row>
    <row r="105" spans="1:12" s="18" customFormat="1" ht="15" customHeight="1">
      <c r="A105" s="18">
        <v>2001</v>
      </c>
      <c r="B105" s="18" t="s">
        <v>39</v>
      </c>
      <c r="C105" s="61">
        <f t="shared" si="5"/>
        <v>0.95335180513626405</v>
      </c>
      <c r="D105" s="61">
        <f t="shared" si="6"/>
        <v>0.97066625496498193</v>
      </c>
      <c r="E105" s="61">
        <f t="shared" si="7"/>
        <v>0.9821623037370939</v>
      </c>
      <c r="F10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5" s="62">
        <f>+MITRE[[#This Row],[Trenes Programados]]+SARM[[#This Row],[Trenes Programados]]+URQ[[#This Row],[Trenes Programados]]+ROCA[[#This Row],[Trenes Programados]]+SM[[#This Row],[Trenes Programados]]+BN[[#This Row],[Trenes Programados]]+BS[[#This Row],[Trenes Programados]]+TDC[[#This Row],[Trenes Programados]]</f>
        <v>72543</v>
      </c>
      <c r="I105" s="62">
        <f t="shared" si="8"/>
        <v>1294</v>
      </c>
      <c r="J105" s="62">
        <f>+MITRE[[#This Row],[Trenes Corridos]]+SARM[[#This Row],[Trenes Corridos]]+URQ[[#This Row],[Trenes Corridos]]+ROCA[[#This Row],[Trenes Corridos]]+SM[[#This Row],[Trenes Corridos]]+BN[[#This Row],[Trenes Corridos]]+BS[[#This Row],[Trenes Corridos]]+TDC[[#This Row],[Trenes Corridos]]</f>
        <v>71249</v>
      </c>
      <c r="K105" s="62">
        <f>+MITRE[[#This Row],[Trenes Puntuales]]+SARM[[#This Row],[Trenes Puntuales]]+URQ[[#This Row],[Trenes Puntuales]]+ROCA[[#This Row],[Trenes Puntuales]]+SM[[#This Row],[Trenes Puntuales]]+BN[[#This Row],[Trenes Puntuales]]+BS[[#This Row],[Trenes Puntuales]]+TDC[[#This Row],[Trenes Puntuales]]</f>
        <v>69159</v>
      </c>
      <c r="L105" s="62">
        <f t="shared" si="9"/>
        <v>2090</v>
      </c>
    </row>
    <row r="106" spans="1:12" s="18" customFormat="1" ht="15" customHeight="1">
      <c r="A106" s="18">
        <v>2001</v>
      </c>
      <c r="B106" s="18" t="s">
        <v>40</v>
      </c>
      <c r="C106" s="61">
        <f t="shared" si="5"/>
        <v>0.92930669678206579</v>
      </c>
      <c r="D106" s="61">
        <f t="shared" si="6"/>
        <v>0.96046311948267993</v>
      </c>
      <c r="E106" s="61">
        <f t="shared" si="7"/>
        <v>0.96756104209665483</v>
      </c>
      <c r="F10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6" s="62">
        <f>+MITRE[[#This Row],[Trenes Programados]]+SARM[[#This Row],[Trenes Programados]]+URQ[[#This Row],[Trenes Programados]]+ROCA[[#This Row],[Trenes Programados]]+SM[[#This Row],[Trenes Programados]]+BN[[#This Row],[Trenes Programados]]+BS[[#This Row],[Trenes Programados]]+TDC[[#This Row],[Trenes Programados]]</f>
        <v>77037</v>
      </c>
      <c r="I106" s="62">
        <f t="shared" si="8"/>
        <v>2499</v>
      </c>
      <c r="J106" s="62">
        <f>+MITRE[[#This Row],[Trenes Corridos]]+SARM[[#This Row],[Trenes Corridos]]+URQ[[#This Row],[Trenes Corridos]]+ROCA[[#This Row],[Trenes Corridos]]+SM[[#This Row],[Trenes Corridos]]+BN[[#This Row],[Trenes Corridos]]+BS[[#This Row],[Trenes Corridos]]+TDC[[#This Row],[Trenes Corridos]]</f>
        <v>74538</v>
      </c>
      <c r="K106" s="62">
        <f>+MITRE[[#This Row],[Trenes Puntuales]]+SARM[[#This Row],[Trenes Puntuales]]+URQ[[#This Row],[Trenes Puntuales]]+ROCA[[#This Row],[Trenes Puntuales]]+SM[[#This Row],[Trenes Puntuales]]+BN[[#This Row],[Trenes Puntuales]]+BS[[#This Row],[Trenes Puntuales]]+TDC[[#This Row],[Trenes Puntuales]]</f>
        <v>71591</v>
      </c>
      <c r="L106" s="62">
        <f t="shared" si="9"/>
        <v>2947</v>
      </c>
    </row>
    <row r="107" spans="1:12" s="18" customFormat="1" ht="15" customHeight="1">
      <c r="A107" s="18">
        <v>2001</v>
      </c>
      <c r="B107" s="18" t="s">
        <v>41</v>
      </c>
      <c r="C107" s="61">
        <f t="shared" si="5"/>
        <v>0.94552804311862959</v>
      </c>
      <c r="D107" s="61">
        <f t="shared" si="6"/>
        <v>0.96661256665893813</v>
      </c>
      <c r="E107" s="61">
        <f t="shared" si="7"/>
        <v>0.97818720315918672</v>
      </c>
      <c r="F10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7" s="62">
        <f>+MITRE[[#This Row],[Trenes Programados]]+SARM[[#This Row],[Trenes Programados]]+URQ[[#This Row],[Trenes Programados]]+ROCA[[#This Row],[Trenes Programados]]+SM[[#This Row],[Trenes Programados]]+BN[[#This Row],[Trenes Programados]]+BS[[#This Row],[Trenes Programados]]+TDC[[#This Row],[Trenes Programados]]</f>
        <v>74956</v>
      </c>
      <c r="I107" s="62">
        <f t="shared" si="8"/>
        <v>1635</v>
      </c>
      <c r="J107" s="62">
        <f>+MITRE[[#This Row],[Trenes Corridos]]+SARM[[#This Row],[Trenes Corridos]]+URQ[[#This Row],[Trenes Corridos]]+ROCA[[#This Row],[Trenes Corridos]]+SM[[#This Row],[Trenes Corridos]]+BN[[#This Row],[Trenes Corridos]]+BS[[#This Row],[Trenes Corridos]]+TDC[[#This Row],[Trenes Corridos]]</f>
        <v>73321</v>
      </c>
      <c r="K107" s="62">
        <f>+MITRE[[#This Row],[Trenes Puntuales]]+SARM[[#This Row],[Trenes Puntuales]]+URQ[[#This Row],[Trenes Puntuales]]+ROCA[[#This Row],[Trenes Puntuales]]+SM[[#This Row],[Trenes Puntuales]]+BN[[#This Row],[Trenes Puntuales]]+BS[[#This Row],[Trenes Puntuales]]+TDC[[#This Row],[Trenes Puntuales]]</f>
        <v>70873</v>
      </c>
      <c r="L107" s="62">
        <f t="shared" si="9"/>
        <v>2448</v>
      </c>
    </row>
    <row r="108" spans="1:12" s="18" customFormat="1" ht="15" customHeight="1">
      <c r="A108" s="18">
        <v>2001</v>
      </c>
      <c r="B108" s="18" t="s">
        <v>42</v>
      </c>
      <c r="C108" s="61">
        <f t="shared" si="5"/>
        <v>0.91906022158221112</v>
      </c>
      <c r="D108" s="61">
        <f t="shared" si="6"/>
        <v>0.97323844980835539</v>
      </c>
      <c r="E108" s="61">
        <f t="shared" si="7"/>
        <v>0.94433201006720113</v>
      </c>
      <c r="F10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8" s="62">
        <f>+MITRE[[#This Row],[Trenes Programados]]+SARM[[#This Row],[Trenes Programados]]+URQ[[#This Row],[Trenes Programados]]+ROCA[[#This Row],[Trenes Programados]]+SM[[#This Row],[Trenes Programados]]+BN[[#This Row],[Trenes Programados]]+BS[[#This Row],[Trenes Programados]]+TDC[[#This Row],[Trenes Programados]]</f>
        <v>77082</v>
      </c>
      <c r="I108" s="62">
        <f t="shared" si="8"/>
        <v>4291</v>
      </c>
      <c r="J108" s="62">
        <f>+MITRE[[#This Row],[Trenes Corridos]]+SARM[[#This Row],[Trenes Corridos]]+URQ[[#This Row],[Trenes Corridos]]+ROCA[[#This Row],[Trenes Corridos]]+SM[[#This Row],[Trenes Corridos]]+BN[[#This Row],[Trenes Corridos]]+BS[[#This Row],[Trenes Corridos]]+TDC[[#This Row],[Trenes Corridos]]</f>
        <v>72791</v>
      </c>
      <c r="K108" s="62">
        <f>+MITRE[[#This Row],[Trenes Puntuales]]+SARM[[#This Row],[Trenes Puntuales]]+URQ[[#This Row],[Trenes Puntuales]]+ROCA[[#This Row],[Trenes Puntuales]]+SM[[#This Row],[Trenes Puntuales]]+BN[[#This Row],[Trenes Puntuales]]+BS[[#This Row],[Trenes Puntuales]]+TDC[[#This Row],[Trenes Puntuales]]</f>
        <v>70843</v>
      </c>
      <c r="L108" s="62">
        <f t="shared" si="9"/>
        <v>1948</v>
      </c>
    </row>
    <row r="109" spans="1:12" s="18" customFormat="1" ht="15" customHeight="1">
      <c r="A109" s="18">
        <v>2001</v>
      </c>
      <c r="B109" s="18" t="s">
        <v>43</v>
      </c>
      <c r="C109" s="61">
        <f t="shared" si="5"/>
        <v>0.95287237702098382</v>
      </c>
      <c r="D109" s="61">
        <f t="shared" si="6"/>
        <v>0.96933485406190056</v>
      </c>
      <c r="E109" s="61">
        <f t="shared" si="7"/>
        <v>0.98301672845876498</v>
      </c>
      <c r="F10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9" s="62">
        <f>+MITRE[[#This Row],[Trenes Programados]]+SARM[[#This Row],[Trenes Programados]]+URQ[[#This Row],[Trenes Programados]]+ROCA[[#This Row],[Trenes Programados]]+SM[[#This Row],[Trenes Programados]]+BN[[#This Row],[Trenes Programados]]+BS[[#This Row],[Trenes Programados]]+TDC[[#This Row],[Trenes Programados]]</f>
        <v>78489</v>
      </c>
      <c r="I109" s="62">
        <f t="shared" si="8"/>
        <v>1333</v>
      </c>
      <c r="J109" s="62">
        <f>+MITRE[[#This Row],[Trenes Corridos]]+SARM[[#This Row],[Trenes Corridos]]+URQ[[#This Row],[Trenes Corridos]]+ROCA[[#This Row],[Trenes Corridos]]+SM[[#This Row],[Trenes Corridos]]+BN[[#This Row],[Trenes Corridos]]+BS[[#This Row],[Trenes Corridos]]+TDC[[#This Row],[Trenes Corridos]]</f>
        <v>77156</v>
      </c>
      <c r="K109" s="62">
        <f>+MITRE[[#This Row],[Trenes Puntuales]]+SARM[[#This Row],[Trenes Puntuales]]+URQ[[#This Row],[Trenes Puntuales]]+ROCA[[#This Row],[Trenes Puntuales]]+SM[[#This Row],[Trenes Puntuales]]+BN[[#This Row],[Trenes Puntuales]]+BS[[#This Row],[Trenes Puntuales]]+TDC[[#This Row],[Trenes Puntuales]]</f>
        <v>74790</v>
      </c>
      <c r="L109" s="62">
        <f t="shared" si="9"/>
        <v>2366</v>
      </c>
    </row>
    <row r="110" spans="1:12" s="18" customFormat="1" ht="15" customHeight="1">
      <c r="A110" s="18">
        <v>2001</v>
      </c>
      <c r="B110" s="18" t="s">
        <v>44</v>
      </c>
      <c r="C110" s="61">
        <f t="shared" si="5"/>
        <v>0.96204956463496316</v>
      </c>
      <c r="D110" s="61">
        <f t="shared" si="6"/>
        <v>0.97594683843613683</v>
      </c>
      <c r="E110" s="61">
        <f t="shared" si="7"/>
        <v>0.98576021433355665</v>
      </c>
      <c r="F11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0" s="62">
        <f>+MITRE[[#This Row],[Trenes Programados]]+SARM[[#This Row],[Trenes Programados]]+URQ[[#This Row],[Trenes Programados]]+ROCA[[#This Row],[Trenes Programados]]+SM[[#This Row],[Trenes Programados]]+BN[[#This Row],[Trenes Programados]]+BS[[#This Row],[Trenes Programados]]+TDC[[#This Row],[Trenes Programados]]</f>
        <v>74650</v>
      </c>
      <c r="I110" s="62">
        <f t="shared" si="8"/>
        <v>1063</v>
      </c>
      <c r="J110" s="62">
        <f>+MITRE[[#This Row],[Trenes Corridos]]+SARM[[#This Row],[Trenes Corridos]]+URQ[[#This Row],[Trenes Corridos]]+ROCA[[#This Row],[Trenes Corridos]]+SM[[#This Row],[Trenes Corridos]]+BN[[#This Row],[Trenes Corridos]]+BS[[#This Row],[Trenes Corridos]]+TDC[[#This Row],[Trenes Corridos]]</f>
        <v>73587</v>
      </c>
      <c r="K110" s="62">
        <f>+MITRE[[#This Row],[Trenes Puntuales]]+SARM[[#This Row],[Trenes Puntuales]]+URQ[[#This Row],[Trenes Puntuales]]+ROCA[[#This Row],[Trenes Puntuales]]+SM[[#This Row],[Trenes Puntuales]]+BN[[#This Row],[Trenes Puntuales]]+BS[[#This Row],[Trenes Puntuales]]+TDC[[#This Row],[Trenes Puntuales]]</f>
        <v>71817</v>
      </c>
      <c r="L110" s="62">
        <f t="shared" si="9"/>
        <v>1770</v>
      </c>
    </row>
    <row r="111" spans="1:12" s="18" customFormat="1" ht="15" customHeight="1">
      <c r="A111" s="18">
        <v>2001</v>
      </c>
      <c r="B111" s="18" t="s">
        <v>45</v>
      </c>
      <c r="C111" s="61">
        <f t="shared" si="5"/>
        <v>0.94866964011073518</v>
      </c>
      <c r="D111" s="61">
        <f t="shared" si="6"/>
        <v>0.96609107639296765</v>
      </c>
      <c r="E111" s="61">
        <f t="shared" si="7"/>
        <v>0.98196708705013847</v>
      </c>
      <c r="F11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1" s="62">
        <f>+MITRE[[#This Row],[Trenes Programados]]+SARM[[#This Row],[Trenes Programados]]+URQ[[#This Row],[Trenes Programados]]+ROCA[[#This Row],[Trenes Programados]]+SM[[#This Row],[Trenes Programados]]+BN[[#This Row],[Trenes Programados]]+BS[[#This Row],[Trenes Programados]]+TDC[[#This Row],[Trenes Programados]]</f>
        <v>78024</v>
      </c>
      <c r="I111" s="62">
        <f t="shared" si="8"/>
        <v>1407</v>
      </c>
      <c r="J111" s="62">
        <f>+MITRE[[#This Row],[Trenes Corridos]]+SARM[[#This Row],[Trenes Corridos]]+URQ[[#This Row],[Trenes Corridos]]+ROCA[[#This Row],[Trenes Corridos]]+SM[[#This Row],[Trenes Corridos]]+BN[[#This Row],[Trenes Corridos]]+BS[[#This Row],[Trenes Corridos]]+TDC[[#This Row],[Trenes Corridos]]</f>
        <v>76617</v>
      </c>
      <c r="K111" s="62">
        <f>+MITRE[[#This Row],[Trenes Puntuales]]+SARM[[#This Row],[Trenes Puntuales]]+URQ[[#This Row],[Trenes Puntuales]]+ROCA[[#This Row],[Trenes Puntuales]]+SM[[#This Row],[Trenes Puntuales]]+BN[[#This Row],[Trenes Puntuales]]+BS[[#This Row],[Trenes Puntuales]]+TDC[[#This Row],[Trenes Puntuales]]</f>
        <v>74019</v>
      </c>
      <c r="L111" s="62">
        <f t="shared" si="9"/>
        <v>2598</v>
      </c>
    </row>
    <row r="112" spans="1:12" s="18" customFormat="1" ht="15" customHeight="1">
      <c r="A112" s="18">
        <v>2001</v>
      </c>
      <c r="B112" s="18" t="s">
        <v>46</v>
      </c>
      <c r="C112" s="61">
        <f t="shared" si="5"/>
        <v>0.94165621906961394</v>
      </c>
      <c r="D112" s="61">
        <f t="shared" si="6"/>
        <v>0.95923964186809341</v>
      </c>
      <c r="E112" s="61">
        <f t="shared" si="7"/>
        <v>0.98166941603431213</v>
      </c>
      <c r="F11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2" s="62">
        <f>+MITRE[[#This Row],[Trenes Programados]]+SARM[[#This Row],[Trenes Programados]]+URQ[[#This Row],[Trenes Programados]]+ROCA[[#This Row],[Trenes Programados]]+SM[[#This Row],[Trenes Programados]]+BN[[#This Row],[Trenes Programados]]+BS[[#This Row],[Trenes Programados]]+TDC[[#This Row],[Trenes Programados]]</f>
        <v>75775</v>
      </c>
      <c r="I112" s="62">
        <f t="shared" si="8"/>
        <v>1389</v>
      </c>
      <c r="J112" s="62">
        <f>+MITRE[[#This Row],[Trenes Corridos]]+SARM[[#This Row],[Trenes Corridos]]+URQ[[#This Row],[Trenes Corridos]]+ROCA[[#This Row],[Trenes Corridos]]+SM[[#This Row],[Trenes Corridos]]+BN[[#This Row],[Trenes Corridos]]+BS[[#This Row],[Trenes Corridos]]+TDC[[#This Row],[Trenes Corridos]]</f>
        <v>74386</v>
      </c>
      <c r="K112" s="62">
        <f>+MITRE[[#This Row],[Trenes Puntuales]]+SARM[[#This Row],[Trenes Puntuales]]+URQ[[#This Row],[Trenes Puntuales]]+ROCA[[#This Row],[Trenes Puntuales]]+SM[[#This Row],[Trenes Puntuales]]+BN[[#This Row],[Trenes Puntuales]]+BS[[#This Row],[Trenes Puntuales]]+TDC[[#This Row],[Trenes Puntuales]]</f>
        <v>71354</v>
      </c>
      <c r="L112" s="62">
        <f t="shared" si="9"/>
        <v>3032</v>
      </c>
    </row>
    <row r="113" spans="1:12" s="18" customFormat="1" ht="15" customHeight="1">
      <c r="A113" s="18">
        <v>2001</v>
      </c>
      <c r="B113" s="18" t="s">
        <v>47</v>
      </c>
      <c r="C113" s="61">
        <f t="shared" si="5"/>
        <v>0.85359278240444159</v>
      </c>
      <c r="D113" s="61">
        <f t="shared" si="6"/>
        <v>0.96957477450162965</v>
      </c>
      <c r="E113" s="61">
        <f t="shared" si="7"/>
        <v>0.88037849669015589</v>
      </c>
      <c r="F11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3" s="62">
        <f>+MITRE[[#This Row],[Trenes Programados]]+SARM[[#This Row],[Trenes Programados]]+URQ[[#This Row],[Trenes Programados]]+ROCA[[#This Row],[Trenes Programados]]+SM[[#This Row],[Trenes Programados]]+BN[[#This Row],[Trenes Programados]]+BS[[#This Row],[Trenes Programados]]+TDC[[#This Row],[Trenes Programados]]</f>
        <v>74928</v>
      </c>
      <c r="I113" s="62">
        <f t="shared" si="8"/>
        <v>8963</v>
      </c>
      <c r="J113" s="62">
        <f>+MITRE[[#This Row],[Trenes Corridos]]+SARM[[#This Row],[Trenes Corridos]]+URQ[[#This Row],[Trenes Corridos]]+ROCA[[#This Row],[Trenes Corridos]]+SM[[#This Row],[Trenes Corridos]]+BN[[#This Row],[Trenes Corridos]]+BS[[#This Row],[Trenes Corridos]]+TDC[[#This Row],[Trenes Corridos]]</f>
        <v>65965</v>
      </c>
      <c r="K113" s="62">
        <f>+MITRE[[#This Row],[Trenes Puntuales]]+SARM[[#This Row],[Trenes Puntuales]]+URQ[[#This Row],[Trenes Puntuales]]+ROCA[[#This Row],[Trenes Puntuales]]+SM[[#This Row],[Trenes Puntuales]]+BN[[#This Row],[Trenes Puntuales]]+BS[[#This Row],[Trenes Puntuales]]+TDC[[#This Row],[Trenes Puntuales]]</f>
        <v>63958</v>
      </c>
      <c r="L113" s="62">
        <f t="shared" si="9"/>
        <v>2007</v>
      </c>
    </row>
    <row r="114" spans="1:12" s="18" customFormat="1" ht="15" customHeight="1">
      <c r="A114" s="18">
        <v>2002</v>
      </c>
      <c r="B114" s="18" t="s">
        <v>36</v>
      </c>
      <c r="C114" s="61">
        <f t="shared" si="5"/>
        <v>0.9122390218078994</v>
      </c>
      <c r="D114" s="61">
        <f t="shared" si="6"/>
        <v>0.97162896238740293</v>
      </c>
      <c r="E114" s="61">
        <f t="shared" si="7"/>
        <v>0.93887590543454402</v>
      </c>
      <c r="F11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4" s="62">
        <f>+MITRE[[#This Row],[Trenes Programados]]+SARM[[#This Row],[Trenes Programados]]+URQ[[#This Row],[Trenes Programados]]+ROCA[[#This Row],[Trenes Programados]]+SM[[#This Row],[Trenes Programados]]+BN[[#This Row],[Trenes Programados]]+BS[[#This Row],[Trenes Programados]]+TDC[[#This Row],[Trenes Programados]]</f>
        <v>77449</v>
      </c>
      <c r="I114" s="62">
        <f t="shared" si="8"/>
        <v>4734</v>
      </c>
      <c r="J114" s="62">
        <f>+MITRE[[#This Row],[Trenes Corridos]]+SARM[[#This Row],[Trenes Corridos]]+URQ[[#This Row],[Trenes Corridos]]+ROCA[[#This Row],[Trenes Corridos]]+SM[[#This Row],[Trenes Corridos]]+BN[[#This Row],[Trenes Corridos]]+BS[[#This Row],[Trenes Corridos]]+TDC[[#This Row],[Trenes Corridos]]</f>
        <v>72715</v>
      </c>
      <c r="K114" s="62">
        <f>+MITRE[[#This Row],[Trenes Puntuales]]+SARM[[#This Row],[Trenes Puntuales]]+URQ[[#This Row],[Trenes Puntuales]]+ROCA[[#This Row],[Trenes Puntuales]]+SM[[#This Row],[Trenes Puntuales]]+BN[[#This Row],[Trenes Puntuales]]+BS[[#This Row],[Trenes Puntuales]]+TDC[[#This Row],[Trenes Puntuales]]</f>
        <v>70652</v>
      </c>
      <c r="L114" s="62">
        <f t="shared" si="9"/>
        <v>2063</v>
      </c>
    </row>
    <row r="115" spans="1:12" s="18" customFormat="1" ht="15" customHeight="1">
      <c r="A115" s="18">
        <v>2002</v>
      </c>
      <c r="B115" s="18" t="s">
        <v>37</v>
      </c>
      <c r="C115" s="61">
        <f t="shared" si="5"/>
        <v>0.88118536720932616</v>
      </c>
      <c r="D115" s="61">
        <f t="shared" si="6"/>
        <v>0.96517030343811083</v>
      </c>
      <c r="E115" s="61">
        <f t="shared" si="7"/>
        <v>0.91298433454736938</v>
      </c>
      <c r="F11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5" s="62">
        <f>+MITRE[[#This Row],[Trenes Programados]]+SARM[[#This Row],[Trenes Programados]]+URQ[[#This Row],[Trenes Programados]]+ROCA[[#This Row],[Trenes Programados]]+SM[[#This Row],[Trenes Programados]]+BN[[#This Row],[Trenes Programados]]+BS[[#This Row],[Trenes Programados]]+TDC[[#This Row],[Trenes Programados]]</f>
        <v>68367</v>
      </c>
      <c r="I115" s="62">
        <f t="shared" si="8"/>
        <v>5949</v>
      </c>
      <c r="J115" s="62">
        <f>+MITRE[[#This Row],[Trenes Corridos]]+SARM[[#This Row],[Trenes Corridos]]+URQ[[#This Row],[Trenes Corridos]]+ROCA[[#This Row],[Trenes Corridos]]+SM[[#This Row],[Trenes Corridos]]+BN[[#This Row],[Trenes Corridos]]+BS[[#This Row],[Trenes Corridos]]+TDC[[#This Row],[Trenes Corridos]]</f>
        <v>62418</v>
      </c>
      <c r="K115" s="62">
        <f>+MITRE[[#This Row],[Trenes Puntuales]]+SARM[[#This Row],[Trenes Puntuales]]+URQ[[#This Row],[Trenes Puntuales]]+ROCA[[#This Row],[Trenes Puntuales]]+SM[[#This Row],[Trenes Puntuales]]+BN[[#This Row],[Trenes Puntuales]]+BS[[#This Row],[Trenes Puntuales]]+TDC[[#This Row],[Trenes Puntuales]]</f>
        <v>60244</v>
      </c>
      <c r="L115" s="62">
        <f t="shared" si="9"/>
        <v>2174</v>
      </c>
    </row>
    <row r="116" spans="1:12" s="18" customFormat="1" ht="15" customHeight="1">
      <c r="A116" s="18">
        <v>2002</v>
      </c>
      <c r="B116" s="18" t="s">
        <v>38</v>
      </c>
      <c r="C116" s="61">
        <f t="shared" si="5"/>
        <v>0.86304958925793507</v>
      </c>
      <c r="D116" s="61">
        <f t="shared" si="6"/>
        <v>0.95058165749842183</v>
      </c>
      <c r="E116" s="61">
        <f t="shared" si="7"/>
        <v>0.90791736033405201</v>
      </c>
      <c r="F11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6" s="62">
        <f>+MITRE[[#This Row],[Trenes Programados]]+SARM[[#This Row],[Trenes Programados]]+URQ[[#This Row],[Trenes Programados]]+ROCA[[#This Row],[Trenes Programados]]+SM[[#This Row],[Trenes Programados]]+BN[[#This Row],[Trenes Programados]]+BS[[#This Row],[Trenes Programados]]+TDC[[#This Row],[Trenes Programados]]</f>
        <v>73282</v>
      </c>
      <c r="I116" s="62">
        <f t="shared" si="8"/>
        <v>6748</v>
      </c>
      <c r="J116" s="62">
        <f>+MITRE[[#This Row],[Trenes Corridos]]+SARM[[#This Row],[Trenes Corridos]]+URQ[[#This Row],[Trenes Corridos]]+ROCA[[#This Row],[Trenes Corridos]]+SM[[#This Row],[Trenes Corridos]]+BN[[#This Row],[Trenes Corridos]]+BS[[#This Row],[Trenes Corridos]]+TDC[[#This Row],[Trenes Corridos]]</f>
        <v>66534</v>
      </c>
      <c r="K116" s="62">
        <f>+MITRE[[#This Row],[Trenes Puntuales]]+SARM[[#This Row],[Trenes Puntuales]]+URQ[[#This Row],[Trenes Puntuales]]+ROCA[[#This Row],[Trenes Puntuales]]+SM[[#This Row],[Trenes Puntuales]]+BN[[#This Row],[Trenes Puntuales]]+BS[[#This Row],[Trenes Puntuales]]+TDC[[#This Row],[Trenes Puntuales]]</f>
        <v>63246</v>
      </c>
      <c r="L116" s="62">
        <f t="shared" si="9"/>
        <v>3288</v>
      </c>
    </row>
    <row r="117" spans="1:12" s="18" customFormat="1" ht="15" customHeight="1">
      <c r="A117" s="18">
        <v>2002</v>
      </c>
      <c r="B117" s="18" t="s">
        <v>39</v>
      </c>
      <c r="C117" s="61">
        <f t="shared" si="5"/>
        <v>0.82323660683249678</v>
      </c>
      <c r="D117" s="61">
        <f t="shared" si="6"/>
        <v>0.96302922854215123</v>
      </c>
      <c r="E117" s="61">
        <f t="shared" si="7"/>
        <v>0.85484072802102307</v>
      </c>
      <c r="F11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7" s="62">
        <f>+MITRE[[#This Row],[Trenes Programados]]+SARM[[#This Row],[Trenes Programados]]+URQ[[#This Row],[Trenes Programados]]+ROCA[[#This Row],[Trenes Programados]]+SM[[#This Row],[Trenes Programados]]+BN[[#This Row],[Trenes Programados]]+BS[[#This Row],[Trenes Programados]]+TDC[[#This Row],[Trenes Programados]]</f>
        <v>71921</v>
      </c>
      <c r="I117" s="62">
        <f t="shared" si="8"/>
        <v>10440</v>
      </c>
      <c r="J117" s="62">
        <f>+MITRE[[#This Row],[Trenes Corridos]]+SARM[[#This Row],[Trenes Corridos]]+URQ[[#This Row],[Trenes Corridos]]+ROCA[[#This Row],[Trenes Corridos]]+SM[[#This Row],[Trenes Corridos]]+BN[[#This Row],[Trenes Corridos]]+BS[[#This Row],[Trenes Corridos]]+TDC[[#This Row],[Trenes Corridos]]</f>
        <v>61481</v>
      </c>
      <c r="K117" s="62">
        <f>+MITRE[[#This Row],[Trenes Puntuales]]+SARM[[#This Row],[Trenes Puntuales]]+URQ[[#This Row],[Trenes Puntuales]]+ROCA[[#This Row],[Trenes Puntuales]]+SM[[#This Row],[Trenes Puntuales]]+BN[[#This Row],[Trenes Puntuales]]+BS[[#This Row],[Trenes Puntuales]]+TDC[[#This Row],[Trenes Puntuales]]</f>
        <v>59208</v>
      </c>
      <c r="L117" s="62">
        <f t="shared" si="9"/>
        <v>2273</v>
      </c>
    </row>
    <row r="118" spans="1:12" s="18" customFormat="1" ht="15" customHeight="1">
      <c r="A118" s="18">
        <v>2002</v>
      </c>
      <c r="B118" s="18" t="s">
        <v>40</v>
      </c>
      <c r="C118" s="61">
        <f t="shared" si="5"/>
        <v>0.84993644849594774</v>
      </c>
      <c r="D118" s="61">
        <f t="shared" si="6"/>
        <v>0.94287187106751369</v>
      </c>
      <c r="E118" s="61">
        <f t="shared" si="7"/>
        <v>0.90143366726345853</v>
      </c>
      <c r="F11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8" s="62">
        <f>+MITRE[[#This Row],[Trenes Programados]]+SARM[[#This Row],[Trenes Programados]]+URQ[[#This Row],[Trenes Programados]]+ROCA[[#This Row],[Trenes Programados]]+SM[[#This Row],[Trenes Programados]]+BN[[#This Row],[Trenes Programados]]+BS[[#This Row],[Trenes Programados]]+TDC[[#This Row],[Trenes Programados]]</f>
        <v>73169</v>
      </c>
      <c r="I118" s="62">
        <f t="shared" si="8"/>
        <v>7212</v>
      </c>
      <c r="J118" s="62">
        <f>+MITRE[[#This Row],[Trenes Corridos]]+SARM[[#This Row],[Trenes Corridos]]+URQ[[#This Row],[Trenes Corridos]]+ROCA[[#This Row],[Trenes Corridos]]+SM[[#This Row],[Trenes Corridos]]+BN[[#This Row],[Trenes Corridos]]+BS[[#This Row],[Trenes Corridos]]+TDC[[#This Row],[Trenes Corridos]]</f>
        <v>65957</v>
      </c>
      <c r="K118" s="62">
        <f>+MITRE[[#This Row],[Trenes Puntuales]]+SARM[[#This Row],[Trenes Puntuales]]+URQ[[#This Row],[Trenes Puntuales]]+ROCA[[#This Row],[Trenes Puntuales]]+SM[[#This Row],[Trenes Puntuales]]+BN[[#This Row],[Trenes Puntuales]]+BS[[#This Row],[Trenes Puntuales]]+TDC[[#This Row],[Trenes Puntuales]]</f>
        <v>62189</v>
      </c>
      <c r="L118" s="62">
        <f t="shared" si="9"/>
        <v>3768</v>
      </c>
    </row>
    <row r="119" spans="1:12" s="18" customFormat="1" ht="15" customHeight="1">
      <c r="A119" s="18">
        <v>2002</v>
      </c>
      <c r="B119" s="18" t="s">
        <v>41</v>
      </c>
      <c r="C119" s="61">
        <f t="shared" si="5"/>
        <v>0.83866411058419943</v>
      </c>
      <c r="D119" s="61">
        <f t="shared" si="6"/>
        <v>0.94319802879004022</v>
      </c>
      <c r="E119" s="61">
        <f t="shared" si="7"/>
        <v>0.88917076264468053</v>
      </c>
      <c r="F11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9" s="62">
        <f>+MITRE[[#This Row],[Trenes Programados]]+SARM[[#This Row],[Trenes Programados]]+URQ[[#This Row],[Trenes Programados]]+ROCA[[#This Row],[Trenes Programados]]+SM[[#This Row],[Trenes Programados]]+BN[[#This Row],[Trenes Programados]]+BS[[#This Row],[Trenes Programados]]+TDC[[#This Row],[Trenes Programados]]</f>
        <v>69377</v>
      </c>
      <c r="I119" s="62">
        <f t="shared" si="8"/>
        <v>7689</v>
      </c>
      <c r="J119" s="62">
        <f>+MITRE[[#This Row],[Trenes Corridos]]+SARM[[#This Row],[Trenes Corridos]]+URQ[[#This Row],[Trenes Corridos]]+ROCA[[#This Row],[Trenes Corridos]]+SM[[#This Row],[Trenes Corridos]]+BN[[#This Row],[Trenes Corridos]]+BS[[#This Row],[Trenes Corridos]]+TDC[[#This Row],[Trenes Corridos]]</f>
        <v>61688</v>
      </c>
      <c r="K119" s="62">
        <f>+MITRE[[#This Row],[Trenes Puntuales]]+SARM[[#This Row],[Trenes Puntuales]]+URQ[[#This Row],[Trenes Puntuales]]+ROCA[[#This Row],[Trenes Puntuales]]+SM[[#This Row],[Trenes Puntuales]]+BN[[#This Row],[Trenes Puntuales]]+BS[[#This Row],[Trenes Puntuales]]+TDC[[#This Row],[Trenes Puntuales]]</f>
        <v>58184</v>
      </c>
      <c r="L119" s="62">
        <f t="shared" si="9"/>
        <v>3504</v>
      </c>
    </row>
    <row r="120" spans="1:12" s="18" customFormat="1" ht="15" customHeight="1">
      <c r="A120" s="18">
        <v>2002</v>
      </c>
      <c r="B120" s="18" t="s">
        <v>42</v>
      </c>
      <c r="C120" s="61">
        <f t="shared" si="5"/>
        <v>0.82147054453104951</v>
      </c>
      <c r="D120" s="61">
        <f t="shared" si="6"/>
        <v>0.9272231031959014</v>
      </c>
      <c r="E120" s="61">
        <f t="shared" si="7"/>
        <v>0.88594701933078468</v>
      </c>
      <c r="F12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0" s="62">
        <f>+MITRE[[#This Row],[Trenes Programados]]+SARM[[#This Row],[Trenes Programados]]+URQ[[#This Row],[Trenes Programados]]+ROCA[[#This Row],[Trenes Programados]]+SM[[#This Row],[Trenes Programados]]+BN[[#This Row],[Trenes Programados]]+BS[[#This Row],[Trenes Programados]]+TDC[[#This Row],[Trenes Programados]]</f>
        <v>74027</v>
      </c>
      <c r="I120" s="62">
        <f t="shared" si="8"/>
        <v>8443</v>
      </c>
      <c r="J120" s="62">
        <f>+MITRE[[#This Row],[Trenes Corridos]]+SARM[[#This Row],[Trenes Corridos]]+URQ[[#This Row],[Trenes Corridos]]+ROCA[[#This Row],[Trenes Corridos]]+SM[[#This Row],[Trenes Corridos]]+BN[[#This Row],[Trenes Corridos]]+BS[[#This Row],[Trenes Corridos]]+TDC[[#This Row],[Trenes Corridos]]</f>
        <v>65584</v>
      </c>
      <c r="K120" s="62">
        <f>+MITRE[[#This Row],[Trenes Puntuales]]+SARM[[#This Row],[Trenes Puntuales]]+URQ[[#This Row],[Trenes Puntuales]]+ROCA[[#This Row],[Trenes Puntuales]]+SM[[#This Row],[Trenes Puntuales]]+BN[[#This Row],[Trenes Puntuales]]+BS[[#This Row],[Trenes Puntuales]]+TDC[[#This Row],[Trenes Puntuales]]</f>
        <v>60811</v>
      </c>
      <c r="L120" s="62">
        <f t="shared" si="9"/>
        <v>4773</v>
      </c>
    </row>
    <row r="121" spans="1:12" s="18" customFormat="1" ht="15" customHeight="1">
      <c r="A121" s="18">
        <v>2002</v>
      </c>
      <c r="B121" s="18" t="s">
        <v>43</v>
      </c>
      <c r="C121" s="61">
        <f t="shared" si="5"/>
        <v>0.87572757438938154</v>
      </c>
      <c r="D121" s="61">
        <f t="shared" si="6"/>
        <v>0.96578927634045741</v>
      </c>
      <c r="E121" s="61">
        <f t="shared" si="7"/>
        <v>0.90674808246749716</v>
      </c>
      <c r="F12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1" s="62">
        <f>+MITRE[[#This Row],[Trenes Programados]]+SARM[[#This Row],[Trenes Programados]]+URQ[[#This Row],[Trenes Programados]]+ROCA[[#This Row],[Trenes Programados]]+SM[[#This Row],[Trenes Programados]]+BN[[#This Row],[Trenes Programados]]+BS[[#This Row],[Trenes Programados]]+TDC[[#This Row],[Trenes Programados]]</f>
        <v>73532</v>
      </c>
      <c r="I121" s="62">
        <f t="shared" si="8"/>
        <v>6857</v>
      </c>
      <c r="J121" s="62">
        <f>+MITRE[[#This Row],[Trenes Corridos]]+SARM[[#This Row],[Trenes Corridos]]+URQ[[#This Row],[Trenes Corridos]]+ROCA[[#This Row],[Trenes Corridos]]+SM[[#This Row],[Trenes Corridos]]+BN[[#This Row],[Trenes Corridos]]+BS[[#This Row],[Trenes Corridos]]+TDC[[#This Row],[Trenes Corridos]]</f>
        <v>66675</v>
      </c>
      <c r="K121" s="62">
        <f>+MITRE[[#This Row],[Trenes Puntuales]]+SARM[[#This Row],[Trenes Puntuales]]+URQ[[#This Row],[Trenes Puntuales]]+ROCA[[#This Row],[Trenes Puntuales]]+SM[[#This Row],[Trenes Puntuales]]+BN[[#This Row],[Trenes Puntuales]]+BS[[#This Row],[Trenes Puntuales]]+TDC[[#This Row],[Trenes Puntuales]]</f>
        <v>64394</v>
      </c>
      <c r="L121" s="62">
        <f t="shared" si="9"/>
        <v>2281</v>
      </c>
    </row>
    <row r="122" spans="1:12" s="18" customFormat="1" ht="15" customHeight="1">
      <c r="A122" s="18">
        <v>2002</v>
      </c>
      <c r="B122" s="18" t="s">
        <v>44</v>
      </c>
      <c r="C122" s="61">
        <f t="shared" si="5"/>
        <v>0.84155699404123974</v>
      </c>
      <c r="D122" s="61">
        <f t="shared" si="6"/>
        <v>0.93883309421329508</v>
      </c>
      <c r="E122" s="61">
        <f t="shared" si="7"/>
        <v>0.89638616195824583</v>
      </c>
      <c r="F12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2" s="62">
        <f>+MITRE[[#This Row],[Trenes Programados]]+SARM[[#This Row],[Trenes Programados]]+URQ[[#This Row],[Trenes Programados]]+ROCA[[#This Row],[Trenes Programados]]+SM[[#This Row],[Trenes Programados]]+BN[[#This Row],[Trenes Programados]]+BS[[#This Row],[Trenes Programados]]+TDC[[#This Row],[Trenes Programados]]</f>
        <v>69981</v>
      </c>
      <c r="I122" s="62">
        <f t="shared" si="8"/>
        <v>7251</v>
      </c>
      <c r="J122" s="62">
        <f>+MITRE[[#This Row],[Trenes Corridos]]+SARM[[#This Row],[Trenes Corridos]]+URQ[[#This Row],[Trenes Corridos]]+ROCA[[#This Row],[Trenes Corridos]]+SM[[#This Row],[Trenes Corridos]]+BN[[#This Row],[Trenes Corridos]]+BS[[#This Row],[Trenes Corridos]]+TDC[[#This Row],[Trenes Corridos]]</f>
        <v>62730</v>
      </c>
      <c r="K122" s="62">
        <f>+MITRE[[#This Row],[Trenes Puntuales]]+SARM[[#This Row],[Trenes Puntuales]]+URQ[[#This Row],[Trenes Puntuales]]+ROCA[[#This Row],[Trenes Puntuales]]+SM[[#This Row],[Trenes Puntuales]]+BN[[#This Row],[Trenes Puntuales]]+BS[[#This Row],[Trenes Puntuales]]+TDC[[#This Row],[Trenes Puntuales]]</f>
        <v>58893</v>
      </c>
      <c r="L122" s="62">
        <f t="shared" si="9"/>
        <v>3837</v>
      </c>
    </row>
    <row r="123" spans="1:12" s="18" customFormat="1" ht="15" customHeight="1">
      <c r="A123" s="18">
        <v>2002</v>
      </c>
      <c r="B123" s="18" t="s">
        <v>45</v>
      </c>
      <c r="C123" s="61">
        <f t="shared" si="5"/>
        <v>0.86714140094468295</v>
      </c>
      <c r="D123" s="61">
        <f t="shared" si="6"/>
        <v>0.9216156005859375</v>
      </c>
      <c r="E123" s="61">
        <f t="shared" si="7"/>
        <v>0.94089271101029393</v>
      </c>
      <c r="F12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3" s="62">
        <f>+MITRE[[#This Row],[Trenes Programados]]+SARM[[#This Row],[Trenes Programados]]+URQ[[#This Row],[Trenes Programados]]+ROCA[[#This Row],[Trenes Programados]]+SM[[#This Row],[Trenes Programados]]+BN[[#This Row],[Trenes Programados]]+BS[[#This Row],[Trenes Programados]]+TDC[[#This Row],[Trenes Programados]]</f>
        <v>69653</v>
      </c>
      <c r="I123" s="62">
        <f t="shared" si="8"/>
        <v>4117</v>
      </c>
      <c r="J123" s="62">
        <f>+MITRE[[#This Row],[Trenes Corridos]]+SARM[[#This Row],[Trenes Corridos]]+URQ[[#This Row],[Trenes Corridos]]+ROCA[[#This Row],[Trenes Corridos]]+SM[[#This Row],[Trenes Corridos]]+BN[[#This Row],[Trenes Corridos]]+BS[[#This Row],[Trenes Corridos]]+TDC[[#This Row],[Trenes Corridos]]</f>
        <v>65536</v>
      </c>
      <c r="K123" s="62">
        <f>+MITRE[[#This Row],[Trenes Puntuales]]+SARM[[#This Row],[Trenes Puntuales]]+URQ[[#This Row],[Trenes Puntuales]]+ROCA[[#This Row],[Trenes Puntuales]]+SM[[#This Row],[Trenes Puntuales]]+BN[[#This Row],[Trenes Puntuales]]+BS[[#This Row],[Trenes Puntuales]]+TDC[[#This Row],[Trenes Puntuales]]</f>
        <v>60399</v>
      </c>
      <c r="L123" s="62">
        <f t="shared" si="9"/>
        <v>5137</v>
      </c>
    </row>
    <row r="124" spans="1:12" s="18" customFormat="1" ht="15" customHeight="1">
      <c r="A124" s="18">
        <v>2002</v>
      </c>
      <c r="B124" s="18" t="s">
        <v>46</v>
      </c>
      <c r="C124" s="61">
        <f t="shared" si="5"/>
        <v>0.89657840831499891</v>
      </c>
      <c r="D124" s="61">
        <f t="shared" si="6"/>
        <v>0.91901517979345526</v>
      </c>
      <c r="E124" s="61">
        <f t="shared" si="7"/>
        <v>0.97558607085957061</v>
      </c>
      <c r="F12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4" s="62">
        <f>+MITRE[[#This Row],[Trenes Programados]]+SARM[[#This Row],[Trenes Programados]]+URQ[[#This Row],[Trenes Programados]]+ROCA[[#This Row],[Trenes Programados]]+SM[[#This Row],[Trenes Programados]]+BN[[#This Row],[Trenes Programados]]+BS[[#This Row],[Trenes Programados]]+TDC[[#This Row],[Trenes Programados]]</f>
        <v>65905</v>
      </c>
      <c r="I124" s="62">
        <f t="shared" si="8"/>
        <v>1609</v>
      </c>
      <c r="J124" s="62">
        <f>+MITRE[[#This Row],[Trenes Corridos]]+SARM[[#This Row],[Trenes Corridos]]+URQ[[#This Row],[Trenes Corridos]]+ROCA[[#This Row],[Trenes Corridos]]+SM[[#This Row],[Trenes Corridos]]+BN[[#This Row],[Trenes Corridos]]+BS[[#This Row],[Trenes Corridos]]+TDC[[#This Row],[Trenes Corridos]]</f>
        <v>64296</v>
      </c>
      <c r="K124" s="62">
        <f>+MITRE[[#This Row],[Trenes Puntuales]]+SARM[[#This Row],[Trenes Puntuales]]+URQ[[#This Row],[Trenes Puntuales]]+ROCA[[#This Row],[Trenes Puntuales]]+SM[[#This Row],[Trenes Puntuales]]+BN[[#This Row],[Trenes Puntuales]]+BS[[#This Row],[Trenes Puntuales]]+TDC[[#This Row],[Trenes Puntuales]]</f>
        <v>59089</v>
      </c>
      <c r="L124" s="62">
        <f t="shared" si="9"/>
        <v>5207</v>
      </c>
    </row>
    <row r="125" spans="1:12" s="18" customFormat="1" ht="15" customHeight="1">
      <c r="A125" s="18">
        <v>2002</v>
      </c>
      <c r="B125" s="18" t="s">
        <v>47</v>
      </c>
      <c r="C125" s="61">
        <f t="shared" si="5"/>
        <v>0.91733656681786202</v>
      </c>
      <c r="D125" s="61">
        <f t="shared" si="6"/>
        <v>0.93842266462480861</v>
      </c>
      <c r="E125" s="61">
        <f t="shared" si="7"/>
        <v>0.97753027649286683</v>
      </c>
      <c r="F12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5" s="62">
        <f>+MITRE[[#This Row],[Trenes Programados]]+SARM[[#This Row],[Trenes Programados]]+URQ[[#This Row],[Trenes Programados]]+ROCA[[#This Row],[Trenes Programados]]+SM[[#This Row],[Trenes Programados]]+BN[[#This Row],[Trenes Programados]]+BS[[#This Row],[Trenes Programados]]+TDC[[#This Row],[Trenes Programados]]</f>
        <v>66801</v>
      </c>
      <c r="I125" s="62">
        <f t="shared" si="8"/>
        <v>1501</v>
      </c>
      <c r="J125" s="62">
        <f>+MITRE[[#This Row],[Trenes Corridos]]+SARM[[#This Row],[Trenes Corridos]]+URQ[[#This Row],[Trenes Corridos]]+ROCA[[#This Row],[Trenes Corridos]]+SM[[#This Row],[Trenes Corridos]]+BN[[#This Row],[Trenes Corridos]]+BS[[#This Row],[Trenes Corridos]]+TDC[[#This Row],[Trenes Corridos]]</f>
        <v>65300</v>
      </c>
      <c r="K125" s="62">
        <f>+MITRE[[#This Row],[Trenes Puntuales]]+SARM[[#This Row],[Trenes Puntuales]]+URQ[[#This Row],[Trenes Puntuales]]+ROCA[[#This Row],[Trenes Puntuales]]+SM[[#This Row],[Trenes Puntuales]]+BN[[#This Row],[Trenes Puntuales]]+BS[[#This Row],[Trenes Puntuales]]+TDC[[#This Row],[Trenes Puntuales]]</f>
        <v>61279</v>
      </c>
      <c r="L125" s="62">
        <f t="shared" si="9"/>
        <v>4021</v>
      </c>
    </row>
    <row r="126" spans="1:12" s="18" customFormat="1" ht="15" customHeight="1">
      <c r="A126" s="18">
        <v>2003</v>
      </c>
      <c r="B126" s="18" t="s">
        <v>36</v>
      </c>
      <c r="C126" s="61">
        <f t="shared" si="5"/>
        <v>0.91450840800294586</v>
      </c>
      <c r="D126" s="61">
        <f t="shared" si="6"/>
        <v>0.93790715971675842</v>
      </c>
      <c r="E126" s="61">
        <f t="shared" si="7"/>
        <v>0.97505216644163495</v>
      </c>
      <c r="F12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6" s="62">
        <f>+MITRE[[#This Row],[Trenes Programados]]+SARM[[#This Row],[Trenes Programados]]+URQ[[#This Row],[Trenes Programados]]+ROCA[[#This Row],[Trenes Programados]]+SM[[#This Row],[Trenes Programados]]+BN[[#This Row],[Trenes Programados]]+BS[[#This Row],[Trenes Programados]]+TDC[[#This Row],[Trenes Programados]]</f>
        <v>65176</v>
      </c>
      <c r="I126" s="62">
        <f t="shared" si="8"/>
        <v>1626</v>
      </c>
      <c r="J126" s="62">
        <f>+MITRE[[#This Row],[Trenes Corridos]]+SARM[[#This Row],[Trenes Corridos]]+URQ[[#This Row],[Trenes Corridos]]+ROCA[[#This Row],[Trenes Corridos]]+SM[[#This Row],[Trenes Corridos]]+BN[[#This Row],[Trenes Corridos]]+BS[[#This Row],[Trenes Corridos]]+TDC[[#This Row],[Trenes Corridos]]</f>
        <v>63550</v>
      </c>
      <c r="K126" s="62">
        <f>+MITRE[[#This Row],[Trenes Puntuales]]+SARM[[#This Row],[Trenes Puntuales]]+URQ[[#This Row],[Trenes Puntuales]]+ROCA[[#This Row],[Trenes Puntuales]]+SM[[#This Row],[Trenes Puntuales]]+BN[[#This Row],[Trenes Puntuales]]+BS[[#This Row],[Trenes Puntuales]]+TDC[[#This Row],[Trenes Puntuales]]</f>
        <v>59604</v>
      </c>
      <c r="L126" s="62">
        <f t="shared" si="9"/>
        <v>3946</v>
      </c>
    </row>
    <row r="127" spans="1:12" s="18" customFormat="1" ht="15" customHeight="1">
      <c r="A127" s="18">
        <v>2003</v>
      </c>
      <c r="B127" s="18" t="s">
        <v>37</v>
      </c>
      <c r="C127" s="61">
        <f t="shared" si="5"/>
        <v>0.86652711323763953</v>
      </c>
      <c r="D127" s="61">
        <f t="shared" si="6"/>
        <v>0.92534506617464429</v>
      </c>
      <c r="E127" s="61">
        <f t="shared" si="7"/>
        <v>0.93643673577884101</v>
      </c>
      <c r="F12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7" s="62">
        <f>+MITRE[[#This Row],[Trenes Programados]]+SARM[[#This Row],[Trenes Programados]]+URQ[[#This Row],[Trenes Programados]]+ROCA[[#This Row],[Trenes Programados]]+SM[[#This Row],[Trenes Programados]]+BN[[#This Row],[Trenes Programados]]+BS[[#This Row],[Trenes Programados]]+TDC[[#This Row],[Trenes Programados]]</f>
        <v>60192</v>
      </c>
      <c r="I127" s="62">
        <f t="shared" si="8"/>
        <v>3826</v>
      </c>
      <c r="J127" s="62">
        <f>+MITRE[[#This Row],[Trenes Corridos]]+SARM[[#This Row],[Trenes Corridos]]+URQ[[#This Row],[Trenes Corridos]]+ROCA[[#This Row],[Trenes Corridos]]+SM[[#This Row],[Trenes Corridos]]+BN[[#This Row],[Trenes Corridos]]+BS[[#This Row],[Trenes Corridos]]+TDC[[#This Row],[Trenes Corridos]]</f>
        <v>56366</v>
      </c>
      <c r="K127" s="62">
        <f>+MITRE[[#This Row],[Trenes Puntuales]]+SARM[[#This Row],[Trenes Puntuales]]+URQ[[#This Row],[Trenes Puntuales]]+ROCA[[#This Row],[Trenes Puntuales]]+SM[[#This Row],[Trenes Puntuales]]+BN[[#This Row],[Trenes Puntuales]]+BS[[#This Row],[Trenes Puntuales]]+TDC[[#This Row],[Trenes Puntuales]]</f>
        <v>52158</v>
      </c>
      <c r="L127" s="62">
        <f t="shared" si="9"/>
        <v>4208</v>
      </c>
    </row>
    <row r="128" spans="1:12" s="18" customFormat="1" ht="15" customHeight="1">
      <c r="A128" s="18">
        <v>2003</v>
      </c>
      <c r="B128" s="18" t="s">
        <v>38</v>
      </c>
      <c r="C128" s="61">
        <f t="shared" si="5"/>
        <v>0.86355543651231315</v>
      </c>
      <c r="D128" s="61">
        <f t="shared" si="6"/>
        <v>0.91904354679142142</v>
      </c>
      <c r="E128" s="61">
        <f t="shared" si="7"/>
        <v>0.93962406844286184</v>
      </c>
      <c r="F12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8" s="62">
        <f>+MITRE[[#This Row],[Trenes Programados]]+SARM[[#This Row],[Trenes Programados]]+URQ[[#This Row],[Trenes Programados]]+ROCA[[#This Row],[Trenes Programados]]+SM[[#This Row],[Trenes Programados]]+BN[[#This Row],[Trenes Programados]]+BS[[#This Row],[Trenes Programados]]+TDC[[#This Row],[Trenes Programados]]</f>
        <v>63469</v>
      </c>
      <c r="I128" s="62">
        <f t="shared" si="8"/>
        <v>3832</v>
      </c>
      <c r="J128" s="62">
        <f>+MITRE[[#This Row],[Trenes Corridos]]+SARM[[#This Row],[Trenes Corridos]]+URQ[[#This Row],[Trenes Corridos]]+ROCA[[#This Row],[Trenes Corridos]]+SM[[#This Row],[Trenes Corridos]]+BN[[#This Row],[Trenes Corridos]]+BS[[#This Row],[Trenes Corridos]]+TDC[[#This Row],[Trenes Corridos]]</f>
        <v>59637</v>
      </c>
      <c r="K128" s="62">
        <f>+MITRE[[#This Row],[Trenes Puntuales]]+SARM[[#This Row],[Trenes Puntuales]]+URQ[[#This Row],[Trenes Puntuales]]+ROCA[[#This Row],[Trenes Puntuales]]+SM[[#This Row],[Trenes Puntuales]]+BN[[#This Row],[Trenes Puntuales]]+BS[[#This Row],[Trenes Puntuales]]+TDC[[#This Row],[Trenes Puntuales]]</f>
        <v>54809</v>
      </c>
      <c r="L128" s="62">
        <f t="shared" si="9"/>
        <v>4828</v>
      </c>
    </row>
    <row r="129" spans="1:12" s="18" customFormat="1" ht="15" customHeight="1">
      <c r="A129" s="18">
        <v>2003</v>
      </c>
      <c r="B129" s="18" t="s">
        <v>39</v>
      </c>
      <c r="C129" s="61">
        <f t="shared" si="5"/>
        <v>0.88909421148227119</v>
      </c>
      <c r="D129" s="61">
        <f t="shared" si="6"/>
        <v>0.9242755110417864</v>
      </c>
      <c r="E129" s="61">
        <f t="shared" si="7"/>
        <v>0.96193634999605149</v>
      </c>
      <c r="F12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9" s="62">
        <f>+MITRE[[#This Row],[Trenes Programados]]+SARM[[#This Row],[Trenes Programados]]+URQ[[#This Row],[Trenes Programados]]+ROCA[[#This Row],[Trenes Programados]]+SM[[#This Row],[Trenes Programados]]+BN[[#This Row],[Trenes Programados]]+BS[[#This Row],[Trenes Programados]]+TDC[[#This Row],[Trenes Programados]]</f>
        <v>63315</v>
      </c>
      <c r="I129" s="62">
        <f t="shared" si="8"/>
        <v>2410</v>
      </c>
      <c r="J129" s="62">
        <f>+MITRE[[#This Row],[Trenes Corridos]]+SARM[[#This Row],[Trenes Corridos]]+URQ[[#This Row],[Trenes Corridos]]+ROCA[[#This Row],[Trenes Corridos]]+SM[[#This Row],[Trenes Corridos]]+BN[[#This Row],[Trenes Corridos]]+BS[[#This Row],[Trenes Corridos]]+TDC[[#This Row],[Trenes Corridos]]</f>
        <v>60905</v>
      </c>
      <c r="K129" s="62">
        <f>+MITRE[[#This Row],[Trenes Puntuales]]+SARM[[#This Row],[Trenes Puntuales]]+URQ[[#This Row],[Trenes Puntuales]]+ROCA[[#This Row],[Trenes Puntuales]]+SM[[#This Row],[Trenes Puntuales]]+BN[[#This Row],[Trenes Puntuales]]+BS[[#This Row],[Trenes Puntuales]]+TDC[[#This Row],[Trenes Puntuales]]</f>
        <v>56293</v>
      </c>
      <c r="L129" s="62">
        <f t="shared" si="9"/>
        <v>4612</v>
      </c>
    </row>
    <row r="130" spans="1:12" s="18" customFormat="1" ht="15" customHeight="1">
      <c r="A130" s="18">
        <v>2003</v>
      </c>
      <c r="B130" s="18" t="s">
        <v>40</v>
      </c>
      <c r="C130" s="61">
        <f t="shared" si="5"/>
        <v>0.85169918475771733</v>
      </c>
      <c r="D130" s="61">
        <f t="shared" si="6"/>
        <v>0.92393302528941224</v>
      </c>
      <c r="E130" s="61">
        <f t="shared" si="7"/>
        <v>0.92181918109370709</v>
      </c>
      <c r="F13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0" s="62">
        <f>+MITRE[[#This Row],[Trenes Programados]]+SARM[[#This Row],[Trenes Programados]]+URQ[[#This Row],[Trenes Programados]]+ROCA[[#This Row],[Trenes Programados]]+SM[[#This Row],[Trenes Programados]]+BN[[#This Row],[Trenes Programados]]+BS[[#This Row],[Trenes Programados]]+TDC[[#This Row],[Trenes Programados]]</f>
        <v>65502</v>
      </c>
      <c r="I130" s="62">
        <f t="shared" si="8"/>
        <v>5121</v>
      </c>
      <c r="J130" s="62">
        <f>+MITRE[[#This Row],[Trenes Corridos]]+SARM[[#This Row],[Trenes Corridos]]+URQ[[#This Row],[Trenes Corridos]]+ROCA[[#This Row],[Trenes Corridos]]+SM[[#This Row],[Trenes Corridos]]+BN[[#This Row],[Trenes Corridos]]+BS[[#This Row],[Trenes Corridos]]+TDC[[#This Row],[Trenes Corridos]]</f>
        <v>60381</v>
      </c>
      <c r="K130" s="62">
        <f>+MITRE[[#This Row],[Trenes Puntuales]]+SARM[[#This Row],[Trenes Puntuales]]+URQ[[#This Row],[Trenes Puntuales]]+ROCA[[#This Row],[Trenes Puntuales]]+SM[[#This Row],[Trenes Puntuales]]+BN[[#This Row],[Trenes Puntuales]]+BS[[#This Row],[Trenes Puntuales]]+TDC[[#This Row],[Trenes Puntuales]]</f>
        <v>55788</v>
      </c>
      <c r="L130" s="62">
        <f t="shared" si="9"/>
        <v>4593</v>
      </c>
    </row>
    <row r="131" spans="1:12" s="18" customFormat="1" ht="15" customHeight="1">
      <c r="A131" s="18">
        <v>2003</v>
      </c>
      <c r="B131" s="18" t="s">
        <v>41</v>
      </c>
      <c r="C131" s="61">
        <f t="shared" si="5"/>
        <v>0.85785824345146378</v>
      </c>
      <c r="D131" s="61">
        <f t="shared" si="6"/>
        <v>0.92023208966787762</v>
      </c>
      <c r="E131" s="61">
        <f t="shared" si="7"/>
        <v>0.93221944016435543</v>
      </c>
      <c r="F13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1" s="62">
        <f>+MITRE[[#This Row],[Trenes Programados]]+SARM[[#This Row],[Trenes Programados]]+URQ[[#This Row],[Trenes Programados]]+ROCA[[#This Row],[Trenes Programados]]+SM[[#This Row],[Trenes Programados]]+BN[[#This Row],[Trenes Programados]]+BS[[#This Row],[Trenes Programados]]+TDC[[#This Row],[Trenes Programados]]</f>
        <v>62304</v>
      </c>
      <c r="I131" s="62">
        <f t="shared" si="8"/>
        <v>4223</v>
      </c>
      <c r="J131" s="62">
        <f>+MITRE[[#This Row],[Trenes Corridos]]+SARM[[#This Row],[Trenes Corridos]]+URQ[[#This Row],[Trenes Corridos]]+ROCA[[#This Row],[Trenes Corridos]]+SM[[#This Row],[Trenes Corridos]]+BN[[#This Row],[Trenes Corridos]]+BS[[#This Row],[Trenes Corridos]]+TDC[[#This Row],[Trenes Corridos]]</f>
        <v>58081</v>
      </c>
      <c r="K131" s="62">
        <f>+MITRE[[#This Row],[Trenes Puntuales]]+SARM[[#This Row],[Trenes Puntuales]]+URQ[[#This Row],[Trenes Puntuales]]+ROCA[[#This Row],[Trenes Puntuales]]+SM[[#This Row],[Trenes Puntuales]]+BN[[#This Row],[Trenes Puntuales]]+BS[[#This Row],[Trenes Puntuales]]+TDC[[#This Row],[Trenes Puntuales]]</f>
        <v>53448</v>
      </c>
      <c r="L131" s="62">
        <f t="shared" si="9"/>
        <v>4633</v>
      </c>
    </row>
    <row r="132" spans="1:12" s="18" customFormat="1" ht="15" customHeight="1">
      <c r="A132" s="18">
        <v>2003</v>
      </c>
      <c r="B132" s="18" t="s">
        <v>42</v>
      </c>
      <c r="C132" s="61">
        <f t="shared" si="5"/>
        <v>0.83596441302459334</v>
      </c>
      <c r="D132" s="61">
        <f t="shared" si="6"/>
        <v>0.90368019688162815</v>
      </c>
      <c r="E132" s="61">
        <f t="shared" si="7"/>
        <v>0.92506665069047123</v>
      </c>
      <c r="F13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2" s="62">
        <f>+MITRE[[#This Row],[Trenes Programados]]+SARM[[#This Row],[Trenes Programados]]+URQ[[#This Row],[Trenes Programados]]+ROCA[[#This Row],[Trenes Programados]]+SM[[#This Row],[Trenes Programados]]+BN[[#This Row],[Trenes Programados]]+BS[[#This Row],[Trenes Programados]]+TDC[[#This Row],[Trenes Programados]]</f>
        <v>66766</v>
      </c>
      <c r="I132" s="62">
        <f t="shared" si="8"/>
        <v>5003</v>
      </c>
      <c r="J132" s="62">
        <f>+MITRE[[#This Row],[Trenes Corridos]]+SARM[[#This Row],[Trenes Corridos]]+URQ[[#This Row],[Trenes Corridos]]+ROCA[[#This Row],[Trenes Corridos]]+SM[[#This Row],[Trenes Corridos]]+BN[[#This Row],[Trenes Corridos]]+BS[[#This Row],[Trenes Corridos]]+TDC[[#This Row],[Trenes Corridos]]</f>
        <v>61763</v>
      </c>
      <c r="K132" s="62">
        <f>+MITRE[[#This Row],[Trenes Puntuales]]+SARM[[#This Row],[Trenes Puntuales]]+URQ[[#This Row],[Trenes Puntuales]]+ROCA[[#This Row],[Trenes Puntuales]]+SM[[#This Row],[Trenes Puntuales]]+BN[[#This Row],[Trenes Puntuales]]+BS[[#This Row],[Trenes Puntuales]]+TDC[[#This Row],[Trenes Puntuales]]</f>
        <v>55814</v>
      </c>
      <c r="L132" s="62">
        <f t="shared" si="9"/>
        <v>5949</v>
      </c>
    </row>
    <row r="133" spans="1:12" s="18" customFormat="1" ht="15" customHeight="1">
      <c r="A133" s="18">
        <v>2003</v>
      </c>
      <c r="B133" s="18" t="s">
        <v>43</v>
      </c>
      <c r="C133" s="61">
        <f t="shared" si="5"/>
        <v>0.82321980011256979</v>
      </c>
      <c r="D133" s="61">
        <f t="shared" si="6"/>
        <v>0.89366691437536128</v>
      </c>
      <c r="E133" s="61">
        <f t="shared" si="7"/>
        <v>0.92117072577087489</v>
      </c>
      <c r="F13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3" s="62">
        <f>+MITRE[[#This Row],[Trenes Programados]]+SARM[[#This Row],[Trenes Programados]]+URQ[[#This Row],[Trenes Programados]]+ROCA[[#This Row],[Trenes Programados]]+SM[[#This Row],[Trenes Programados]]+BN[[#This Row],[Trenes Programados]]+BS[[#This Row],[Trenes Programados]]+TDC[[#This Row],[Trenes Programados]]</f>
        <v>65737</v>
      </c>
      <c r="I133" s="62">
        <f t="shared" si="8"/>
        <v>5182</v>
      </c>
      <c r="J133" s="62">
        <f>+MITRE[[#This Row],[Trenes Corridos]]+SARM[[#This Row],[Trenes Corridos]]+URQ[[#This Row],[Trenes Corridos]]+ROCA[[#This Row],[Trenes Corridos]]+SM[[#This Row],[Trenes Corridos]]+BN[[#This Row],[Trenes Corridos]]+BS[[#This Row],[Trenes Corridos]]+TDC[[#This Row],[Trenes Corridos]]</f>
        <v>60555</v>
      </c>
      <c r="K133" s="62">
        <f>+MITRE[[#This Row],[Trenes Puntuales]]+SARM[[#This Row],[Trenes Puntuales]]+URQ[[#This Row],[Trenes Puntuales]]+ROCA[[#This Row],[Trenes Puntuales]]+SM[[#This Row],[Trenes Puntuales]]+BN[[#This Row],[Trenes Puntuales]]+BS[[#This Row],[Trenes Puntuales]]+TDC[[#This Row],[Trenes Puntuales]]</f>
        <v>54116</v>
      </c>
      <c r="L133" s="62">
        <f t="shared" si="9"/>
        <v>6439</v>
      </c>
    </row>
    <row r="134" spans="1:12" s="18" customFormat="1" ht="15" customHeight="1">
      <c r="A134" s="18">
        <v>2003</v>
      </c>
      <c r="B134" s="18" t="s">
        <v>44</v>
      </c>
      <c r="C134" s="61">
        <f t="shared" si="5"/>
        <v>0.8487985624095542</v>
      </c>
      <c r="D134" s="61">
        <f t="shared" si="6"/>
        <v>0.91091390050345589</v>
      </c>
      <c r="E134" s="61">
        <f t="shared" si="7"/>
        <v>0.93180986912202024</v>
      </c>
      <c r="F13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4" s="62">
        <f>+MITRE[[#This Row],[Trenes Programados]]+SARM[[#This Row],[Trenes Programados]]+URQ[[#This Row],[Trenes Programados]]+ROCA[[#This Row],[Trenes Programados]]+SM[[#This Row],[Trenes Programados]]+BN[[#This Row],[Trenes Programados]]+BS[[#This Row],[Trenes Programados]]+TDC[[#This Row],[Trenes Programados]]</f>
        <v>62883</v>
      </c>
      <c r="I134" s="62">
        <f t="shared" si="8"/>
        <v>4288</v>
      </c>
      <c r="J134" s="62">
        <f>+MITRE[[#This Row],[Trenes Corridos]]+SARM[[#This Row],[Trenes Corridos]]+URQ[[#This Row],[Trenes Corridos]]+ROCA[[#This Row],[Trenes Corridos]]+SM[[#This Row],[Trenes Corridos]]+BN[[#This Row],[Trenes Corridos]]+BS[[#This Row],[Trenes Corridos]]+TDC[[#This Row],[Trenes Corridos]]</f>
        <v>58595</v>
      </c>
      <c r="K134" s="62">
        <f>+MITRE[[#This Row],[Trenes Puntuales]]+SARM[[#This Row],[Trenes Puntuales]]+URQ[[#This Row],[Trenes Puntuales]]+ROCA[[#This Row],[Trenes Puntuales]]+SM[[#This Row],[Trenes Puntuales]]+BN[[#This Row],[Trenes Puntuales]]+BS[[#This Row],[Trenes Puntuales]]+TDC[[#This Row],[Trenes Puntuales]]</f>
        <v>53375</v>
      </c>
      <c r="L134" s="62">
        <f t="shared" si="9"/>
        <v>5220</v>
      </c>
    </row>
    <row r="135" spans="1:12" s="18" customFormat="1" ht="15" customHeight="1">
      <c r="A135" s="18">
        <v>2003</v>
      </c>
      <c r="B135" s="18" t="s">
        <v>45</v>
      </c>
      <c r="C135" s="61">
        <f t="shared" ref="C135:C198" si="10">+K135/H135</f>
        <v>0.86296325071866986</v>
      </c>
      <c r="D135" s="61">
        <f t="shared" ref="D135:D198" si="11">+K135/J135</f>
        <v>0.91934843067143424</v>
      </c>
      <c r="E135" s="61">
        <f t="shared" ref="E135:E198" si="12">+J135/H135</f>
        <v>0.93866832413953849</v>
      </c>
      <c r="F13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5" s="62">
        <f>+MITRE[[#This Row],[Trenes Programados]]+SARM[[#This Row],[Trenes Programados]]+URQ[[#This Row],[Trenes Programados]]+ROCA[[#This Row],[Trenes Programados]]+SM[[#This Row],[Trenes Programados]]+BN[[#This Row],[Trenes Programados]]+BS[[#This Row],[Trenes Programados]]+TDC[[#This Row],[Trenes Programados]]</f>
        <v>64355</v>
      </c>
      <c r="I135" s="62">
        <f t="shared" ref="I135:I198" si="13">+H135-J135</f>
        <v>3947</v>
      </c>
      <c r="J135" s="62">
        <f>+MITRE[[#This Row],[Trenes Corridos]]+SARM[[#This Row],[Trenes Corridos]]+URQ[[#This Row],[Trenes Corridos]]+ROCA[[#This Row],[Trenes Corridos]]+SM[[#This Row],[Trenes Corridos]]+BN[[#This Row],[Trenes Corridos]]+BS[[#This Row],[Trenes Corridos]]+TDC[[#This Row],[Trenes Corridos]]</f>
        <v>60408</v>
      </c>
      <c r="K135" s="62">
        <f>+MITRE[[#This Row],[Trenes Puntuales]]+SARM[[#This Row],[Trenes Puntuales]]+URQ[[#This Row],[Trenes Puntuales]]+ROCA[[#This Row],[Trenes Puntuales]]+SM[[#This Row],[Trenes Puntuales]]+BN[[#This Row],[Trenes Puntuales]]+BS[[#This Row],[Trenes Puntuales]]+TDC[[#This Row],[Trenes Puntuales]]</f>
        <v>55536</v>
      </c>
      <c r="L135" s="62">
        <f t="shared" ref="L135:L198" si="14">+J135-K135</f>
        <v>4872</v>
      </c>
    </row>
    <row r="136" spans="1:12" s="18" customFormat="1" ht="15" customHeight="1">
      <c r="A136" s="18">
        <v>2003</v>
      </c>
      <c r="B136" s="18" t="s">
        <v>46</v>
      </c>
      <c r="C136" s="61">
        <f t="shared" si="10"/>
        <v>0.85025409556591058</v>
      </c>
      <c r="D136" s="61">
        <f t="shared" si="11"/>
        <v>0.90682089733155558</v>
      </c>
      <c r="E136" s="61">
        <f t="shared" si="12"/>
        <v>0.93762075627932651</v>
      </c>
      <c r="F13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6" s="62">
        <f>+MITRE[[#This Row],[Trenes Programados]]+SARM[[#This Row],[Trenes Programados]]+URQ[[#This Row],[Trenes Programados]]+ROCA[[#This Row],[Trenes Programados]]+SM[[#This Row],[Trenes Programados]]+BN[[#This Row],[Trenes Programados]]+BS[[#This Row],[Trenes Programados]]+TDC[[#This Row],[Trenes Programados]]</f>
        <v>61591</v>
      </c>
      <c r="I136" s="62">
        <f t="shared" si="13"/>
        <v>3842</v>
      </c>
      <c r="J136" s="62">
        <f>+MITRE[[#This Row],[Trenes Corridos]]+SARM[[#This Row],[Trenes Corridos]]+URQ[[#This Row],[Trenes Corridos]]+ROCA[[#This Row],[Trenes Corridos]]+SM[[#This Row],[Trenes Corridos]]+BN[[#This Row],[Trenes Corridos]]+BS[[#This Row],[Trenes Corridos]]+TDC[[#This Row],[Trenes Corridos]]</f>
        <v>57749</v>
      </c>
      <c r="K136" s="62">
        <f>+MITRE[[#This Row],[Trenes Puntuales]]+SARM[[#This Row],[Trenes Puntuales]]+URQ[[#This Row],[Trenes Puntuales]]+ROCA[[#This Row],[Trenes Puntuales]]+SM[[#This Row],[Trenes Puntuales]]+BN[[#This Row],[Trenes Puntuales]]+BS[[#This Row],[Trenes Puntuales]]+TDC[[#This Row],[Trenes Puntuales]]</f>
        <v>52368</v>
      </c>
      <c r="L136" s="62">
        <f t="shared" si="14"/>
        <v>5381</v>
      </c>
    </row>
    <row r="137" spans="1:12" s="18" customFormat="1" ht="15" customHeight="1">
      <c r="A137" s="18">
        <v>2003</v>
      </c>
      <c r="B137" s="18" t="s">
        <v>47</v>
      </c>
      <c r="C137" s="61">
        <f t="shared" si="10"/>
        <v>0.83453214663989761</v>
      </c>
      <c r="D137" s="61">
        <f t="shared" si="11"/>
        <v>0.89944115041232198</v>
      </c>
      <c r="E137" s="61">
        <f t="shared" si="12"/>
        <v>0.92783407369935345</v>
      </c>
      <c r="F13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7" s="62">
        <f>+MITRE[[#This Row],[Trenes Programados]]+SARM[[#This Row],[Trenes Programados]]+URQ[[#This Row],[Trenes Programados]]+ROCA[[#This Row],[Trenes Programados]]+SM[[#This Row],[Trenes Programados]]+BN[[#This Row],[Trenes Programados]]+BS[[#This Row],[Trenes Programados]]+TDC[[#This Row],[Trenes Programados]]</f>
        <v>63257</v>
      </c>
      <c r="I137" s="62">
        <f t="shared" si="13"/>
        <v>4565</v>
      </c>
      <c r="J137" s="62">
        <f>+MITRE[[#This Row],[Trenes Corridos]]+SARM[[#This Row],[Trenes Corridos]]+URQ[[#This Row],[Trenes Corridos]]+ROCA[[#This Row],[Trenes Corridos]]+SM[[#This Row],[Trenes Corridos]]+BN[[#This Row],[Trenes Corridos]]+BS[[#This Row],[Trenes Corridos]]+TDC[[#This Row],[Trenes Corridos]]</f>
        <v>58692</v>
      </c>
      <c r="K137" s="62">
        <f>+MITRE[[#This Row],[Trenes Puntuales]]+SARM[[#This Row],[Trenes Puntuales]]+URQ[[#This Row],[Trenes Puntuales]]+ROCA[[#This Row],[Trenes Puntuales]]+SM[[#This Row],[Trenes Puntuales]]+BN[[#This Row],[Trenes Puntuales]]+BS[[#This Row],[Trenes Puntuales]]+TDC[[#This Row],[Trenes Puntuales]]</f>
        <v>52790</v>
      </c>
      <c r="L137" s="62">
        <f t="shared" si="14"/>
        <v>5902</v>
      </c>
    </row>
    <row r="138" spans="1:12" s="18" customFormat="1" ht="15" customHeight="1">
      <c r="A138" s="18">
        <v>2004</v>
      </c>
      <c r="B138" s="18" t="s">
        <v>36</v>
      </c>
      <c r="C138" s="61">
        <f t="shared" si="10"/>
        <v>0.85365087837731757</v>
      </c>
      <c r="D138" s="61">
        <f t="shared" si="11"/>
        <v>0.91311357033703333</v>
      </c>
      <c r="E138" s="61">
        <f t="shared" si="12"/>
        <v>0.93487919368259098</v>
      </c>
      <c r="F13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8" s="62">
        <f>+MITRE[[#This Row],[Trenes Programados]]+SARM[[#This Row],[Trenes Programados]]+URQ[[#This Row],[Trenes Programados]]+ROCA[[#This Row],[Trenes Programados]]+SM[[#This Row],[Trenes Programados]]+BN[[#This Row],[Trenes Programados]]+BS[[#This Row],[Trenes Programados]]+TDC[[#This Row],[Trenes Programados]]</f>
        <v>63697</v>
      </c>
      <c r="I138" s="62">
        <f t="shared" si="13"/>
        <v>4148</v>
      </c>
      <c r="J138" s="62">
        <f>+MITRE[[#This Row],[Trenes Corridos]]+SARM[[#This Row],[Trenes Corridos]]+URQ[[#This Row],[Trenes Corridos]]+ROCA[[#This Row],[Trenes Corridos]]+SM[[#This Row],[Trenes Corridos]]+BN[[#This Row],[Trenes Corridos]]+BS[[#This Row],[Trenes Corridos]]+TDC[[#This Row],[Trenes Corridos]]</f>
        <v>59549</v>
      </c>
      <c r="K138" s="62">
        <f>+MITRE[[#This Row],[Trenes Puntuales]]+SARM[[#This Row],[Trenes Puntuales]]+URQ[[#This Row],[Trenes Puntuales]]+ROCA[[#This Row],[Trenes Puntuales]]+SM[[#This Row],[Trenes Puntuales]]+BN[[#This Row],[Trenes Puntuales]]+BS[[#This Row],[Trenes Puntuales]]+TDC[[#This Row],[Trenes Puntuales]]</f>
        <v>54375</v>
      </c>
      <c r="L138" s="62">
        <f t="shared" si="14"/>
        <v>5174</v>
      </c>
    </row>
    <row r="139" spans="1:12" s="18" customFormat="1" ht="15" customHeight="1">
      <c r="A139" s="18">
        <v>2004</v>
      </c>
      <c r="B139" s="18" t="s">
        <v>37</v>
      </c>
      <c r="C139" s="61">
        <f t="shared" si="10"/>
        <v>0.83924916965813401</v>
      </c>
      <c r="D139" s="61">
        <f t="shared" si="11"/>
        <v>0.90867977987250037</v>
      </c>
      <c r="E139" s="61">
        <f t="shared" si="12"/>
        <v>0.92359177374442247</v>
      </c>
      <c r="F13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9" s="62">
        <f>+MITRE[[#This Row],[Trenes Programados]]+SARM[[#This Row],[Trenes Programados]]+URQ[[#This Row],[Trenes Programados]]+ROCA[[#This Row],[Trenes Programados]]+SM[[#This Row],[Trenes Programados]]+BN[[#This Row],[Trenes Programados]]+BS[[#This Row],[Trenes Programados]]+TDC[[#This Row],[Trenes Programados]]</f>
        <v>59614</v>
      </c>
      <c r="I139" s="62">
        <f t="shared" si="13"/>
        <v>4555</v>
      </c>
      <c r="J139" s="62">
        <f>+MITRE[[#This Row],[Trenes Corridos]]+SARM[[#This Row],[Trenes Corridos]]+URQ[[#This Row],[Trenes Corridos]]+ROCA[[#This Row],[Trenes Corridos]]+SM[[#This Row],[Trenes Corridos]]+BN[[#This Row],[Trenes Corridos]]+BS[[#This Row],[Trenes Corridos]]+TDC[[#This Row],[Trenes Corridos]]</f>
        <v>55059</v>
      </c>
      <c r="K139" s="62">
        <f>+MITRE[[#This Row],[Trenes Puntuales]]+SARM[[#This Row],[Trenes Puntuales]]+URQ[[#This Row],[Trenes Puntuales]]+ROCA[[#This Row],[Trenes Puntuales]]+SM[[#This Row],[Trenes Puntuales]]+BN[[#This Row],[Trenes Puntuales]]+BS[[#This Row],[Trenes Puntuales]]+TDC[[#This Row],[Trenes Puntuales]]</f>
        <v>50031</v>
      </c>
      <c r="L139" s="62">
        <f t="shared" si="14"/>
        <v>5028</v>
      </c>
    </row>
    <row r="140" spans="1:12" s="18" customFormat="1" ht="15" customHeight="1">
      <c r="A140" s="18">
        <v>2004</v>
      </c>
      <c r="B140" s="18" t="s">
        <v>38</v>
      </c>
      <c r="C140" s="61">
        <f t="shared" si="10"/>
        <v>0.80832355495954034</v>
      </c>
      <c r="D140" s="61">
        <f t="shared" si="11"/>
        <v>0.86941485002458618</v>
      </c>
      <c r="E140" s="61">
        <f t="shared" si="12"/>
        <v>0.92973285990765153</v>
      </c>
      <c r="F14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0" s="62">
        <f>+MITRE[[#This Row],[Trenes Programados]]+SARM[[#This Row],[Trenes Programados]]+URQ[[#This Row],[Trenes Programados]]+ROCA[[#This Row],[Trenes Programados]]+SM[[#This Row],[Trenes Programados]]+BN[[#This Row],[Trenes Programados]]+BS[[#This Row],[Trenes Programados]]+TDC[[#This Row],[Trenes Programados]]</f>
        <v>65621</v>
      </c>
      <c r="I140" s="62">
        <f t="shared" si="13"/>
        <v>4611</v>
      </c>
      <c r="J140" s="62">
        <f>+MITRE[[#This Row],[Trenes Corridos]]+SARM[[#This Row],[Trenes Corridos]]+URQ[[#This Row],[Trenes Corridos]]+ROCA[[#This Row],[Trenes Corridos]]+SM[[#This Row],[Trenes Corridos]]+BN[[#This Row],[Trenes Corridos]]+BS[[#This Row],[Trenes Corridos]]+TDC[[#This Row],[Trenes Corridos]]</f>
        <v>61010</v>
      </c>
      <c r="K140" s="62">
        <f>+MITRE[[#This Row],[Trenes Puntuales]]+SARM[[#This Row],[Trenes Puntuales]]+URQ[[#This Row],[Trenes Puntuales]]+ROCA[[#This Row],[Trenes Puntuales]]+SM[[#This Row],[Trenes Puntuales]]+BN[[#This Row],[Trenes Puntuales]]+BS[[#This Row],[Trenes Puntuales]]+TDC[[#This Row],[Trenes Puntuales]]</f>
        <v>53043</v>
      </c>
      <c r="L140" s="62">
        <f t="shared" si="14"/>
        <v>7967</v>
      </c>
    </row>
    <row r="141" spans="1:12" s="18" customFormat="1" ht="15" customHeight="1">
      <c r="A141" s="18">
        <v>2004</v>
      </c>
      <c r="B141" s="18" t="s">
        <v>39</v>
      </c>
      <c r="C141" s="61">
        <f t="shared" si="10"/>
        <v>0.79923950633471552</v>
      </c>
      <c r="D141" s="61">
        <f t="shared" si="11"/>
        <v>0.85756994882436732</v>
      </c>
      <c r="E141" s="61">
        <f t="shared" si="12"/>
        <v>0.93198170881615394</v>
      </c>
      <c r="F14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1" s="62">
        <f>+MITRE[[#This Row],[Trenes Programados]]+SARM[[#This Row],[Trenes Programados]]+URQ[[#This Row],[Trenes Programados]]+ROCA[[#This Row],[Trenes Programados]]+SM[[#This Row],[Trenes Programados]]+BN[[#This Row],[Trenes Programados]]+BS[[#This Row],[Trenes Programados]]+TDC[[#This Row],[Trenes Programados]]</f>
        <v>61013</v>
      </c>
      <c r="I141" s="62">
        <f t="shared" si="13"/>
        <v>4150</v>
      </c>
      <c r="J141" s="62">
        <f>+MITRE[[#This Row],[Trenes Corridos]]+SARM[[#This Row],[Trenes Corridos]]+URQ[[#This Row],[Trenes Corridos]]+ROCA[[#This Row],[Trenes Corridos]]+SM[[#This Row],[Trenes Corridos]]+BN[[#This Row],[Trenes Corridos]]+BS[[#This Row],[Trenes Corridos]]+TDC[[#This Row],[Trenes Corridos]]</f>
        <v>56863</v>
      </c>
      <c r="K141" s="62">
        <f>+MITRE[[#This Row],[Trenes Puntuales]]+SARM[[#This Row],[Trenes Puntuales]]+URQ[[#This Row],[Trenes Puntuales]]+ROCA[[#This Row],[Trenes Puntuales]]+SM[[#This Row],[Trenes Puntuales]]+BN[[#This Row],[Trenes Puntuales]]+BS[[#This Row],[Trenes Puntuales]]+TDC[[#This Row],[Trenes Puntuales]]</f>
        <v>48764</v>
      </c>
      <c r="L141" s="62">
        <f t="shared" si="14"/>
        <v>8099</v>
      </c>
    </row>
    <row r="142" spans="1:12" s="18" customFormat="1" ht="15" customHeight="1">
      <c r="A142" s="18">
        <v>2004</v>
      </c>
      <c r="B142" s="18" t="s">
        <v>40</v>
      </c>
      <c r="C142" s="61">
        <f t="shared" si="10"/>
        <v>0.80264144322332642</v>
      </c>
      <c r="D142" s="61">
        <f t="shared" si="11"/>
        <v>0.85819050055427648</v>
      </c>
      <c r="E142" s="61">
        <f t="shared" si="12"/>
        <v>0.93527188043322218</v>
      </c>
      <c r="F14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2" s="62">
        <f>+MITRE[[#This Row],[Trenes Programados]]+SARM[[#This Row],[Trenes Programados]]+URQ[[#This Row],[Trenes Programados]]+ROCA[[#This Row],[Trenes Programados]]+SM[[#This Row],[Trenes Programados]]+BN[[#This Row],[Trenes Programados]]+BS[[#This Row],[Trenes Programados]]+TDC[[#This Row],[Trenes Programados]]</f>
        <v>62693</v>
      </c>
      <c r="I142" s="62">
        <f t="shared" si="13"/>
        <v>4058</v>
      </c>
      <c r="J142" s="62">
        <f>+MITRE[[#This Row],[Trenes Corridos]]+SARM[[#This Row],[Trenes Corridos]]+URQ[[#This Row],[Trenes Corridos]]+ROCA[[#This Row],[Trenes Corridos]]+SM[[#This Row],[Trenes Corridos]]+BN[[#This Row],[Trenes Corridos]]+BS[[#This Row],[Trenes Corridos]]+TDC[[#This Row],[Trenes Corridos]]</f>
        <v>58635</v>
      </c>
      <c r="K142" s="62">
        <f>+MITRE[[#This Row],[Trenes Puntuales]]+SARM[[#This Row],[Trenes Puntuales]]+URQ[[#This Row],[Trenes Puntuales]]+ROCA[[#This Row],[Trenes Puntuales]]+SM[[#This Row],[Trenes Puntuales]]+BN[[#This Row],[Trenes Puntuales]]+BS[[#This Row],[Trenes Puntuales]]+TDC[[#This Row],[Trenes Puntuales]]</f>
        <v>50320</v>
      </c>
      <c r="L142" s="62">
        <f t="shared" si="14"/>
        <v>8315</v>
      </c>
    </row>
    <row r="143" spans="1:12" s="18" customFormat="1" ht="15" customHeight="1">
      <c r="A143" s="18">
        <v>2004</v>
      </c>
      <c r="B143" s="18" t="s">
        <v>41</v>
      </c>
      <c r="C143" s="61">
        <f t="shared" si="10"/>
        <v>0.77907701154933628</v>
      </c>
      <c r="D143" s="61">
        <f t="shared" si="11"/>
        <v>0.87883593116496983</v>
      </c>
      <c r="E143" s="61">
        <f t="shared" si="12"/>
        <v>0.88648743630293447</v>
      </c>
      <c r="F14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3" s="62">
        <f>+MITRE[[#This Row],[Trenes Programados]]+SARM[[#This Row],[Trenes Programados]]+URQ[[#This Row],[Trenes Programados]]+ROCA[[#This Row],[Trenes Programados]]+SM[[#This Row],[Trenes Programados]]+BN[[#This Row],[Trenes Programados]]+BS[[#This Row],[Trenes Programados]]+TDC[[#This Row],[Trenes Programados]]</f>
        <v>62601</v>
      </c>
      <c r="I143" s="62">
        <f t="shared" si="13"/>
        <v>7106</v>
      </c>
      <c r="J143" s="62">
        <f>+MITRE[[#This Row],[Trenes Corridos]]+SARM[[#This Row],[Trenes Corridos]]+URQ[[#This Row],[Trenes Corridos]]+ROCA[[#This Row],[Trenes Corridos]]+SM[[#This Row],[Trenes Corridos]]+BN[[#This Row],[Trenes Corridos]]+BS[[#This Row],[Trenes Corridos]]+TDC[[#This Row],[Trenes Corridos]]</f>
        <v>55495</v>
      </c>
      <c r="K143" s="62">
        <f>+MITRE[[#This Row],[Trenes Puntuales]]+SARM[[#This Row],[Trenes Puntuales]]+URQ[[#This Row],[Trenes Puntuales]]+ROCA[[#This Row],[Trenes Puntuales]]+SM[[#This Row],[Trenes Puntuales]]+BN[[#This Row],[Trenes Puntuales]]+BS[[#This Row],[Trenes Puntuales]]+TDC[[#This Row],[Trenes Puntuales]]</f>
        <v>48771</v>
      </c>
      <c r="L143" s="62">
        <f t="shared" si="14"/>
        <v>6724</v>
      </c>
    </row>
    <row r="144" spans="1:12" s="18" customFormat="1" ht="15" customHeight="1">
      <c r="A144" s="18">
        <v>2004</v>
      </c>
      <c r="B144" s="18" t="s">
        <v>42</v>
      </c>
      <c r="C144" s="61">
        <f t="shared" si="10"/>
        <v>0.82071099752120824</v>
      </c>
      <c r="D144" s="61">
        <f t="shared" si="11"/>
        <v>0.89465115888760216</v>
      </c>
      <c r="E144" s="61">
        <f t="shared" si="12"/>
        <v>0.9173530815537867</v>
      </c>
      <c r="F14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4" s="62">
        <f>+MITRE[[#This Row],[Trenes Programados]]+SARM[[#This Row],[Trenes Programados]]+URQ[[#This Row],[Trenes Programados]]+ROCA[[#This Row],[Trenes Programados]]+SM[[#This Row],[Trenes Programados]]+BN[[#This Row],[Trenes Programados]]+BS[[#This Row],[Trenes Programados]]+TDC[[#This Row],[Trenes Programados]]</f>
        <v>64951</v>
      </c>
      <c r="I144" s="62">
        <f t="shared" si="13"/>
        <v>5368</v>
      </c>
      <c r="J144" s="62">
        <f>+MITRE[[#This Row],[Trenes Corridos]]+SARM[[#This Row],[Trenes Corridos]]+URQ[[#This Row],[Trenes Corridos]]+ROCA[[#This Row],[Trenes Corridos]]+SM[[#This Row],[Trenes Corridos]]+BN[[#This Row],[Trenes Corridos]]+BS[[#This Row],[Trenes Corridos]]+TDC[[#This Row],[Trenes Corridos]]</f>
        <v>59583</v>
      </c>
      <c r="K144" s="62">
        <f>+MITRE[[#This Row],[Trenes Puntuales]]+SARM[[#This Row],[Trenes Puntuales]]+URQ[[#This Row],[Trenes Puntuales]]+ROCA[[#This Row],[Trenes Puntuales]]+SM[[#This Row],[Trenes Puntuales]]+BN[[#This Row],[Trenes Puntuales]]+BS[[#This Row],[Trenes Puntuales]]+TDC[[#This Row],[Trenes Puntuales]]</f>
        <v>53306</v>
      </c>
      <c r="L144" s="62">
        <f t="shared" si="14"/>
        <v>6277</v>
      </c>
    </row>
    <row r="145" spans="1:12" s="18" customFormat="1" ht="15" customHeight="1">
      <c r="A145" s="18">
        <v>2004</v>
      </c>
      <c r="B145" s="18" t="s">
        <v>43</v>
      </c>
      <c r="C145" s="61">
        <f t="shared" si="10"/>
        <v>0.8130625038793371</v>
      </c>
      <c r="D145" s="61">
        <f t="shared" si="11"/>
        <v>0.86170772621122915</v>
      </c>
      <c r="E145" s="61">
        <f t="shared" si="12"/>
        <v>0.94354788653714849</v>
      </c>
      <c r="F14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5" s="62">
        <f>+MITRE[[#This Row],[Trenes Programados]]+SARM[[#This Row],[Trenes Programados]]+URQ[[#This Row],[Trenes Programados]]+ROCA[[#This Row],[Trenes Programados]]+SM[[#This Row],[Trenes Programados]]+BN[[#This Row],[Trenes Programados]]+BS[[#This Row],[Trenes Programados]]+TDC[[#This Row],[Trenes Programados]]</f>
        <v>64444</v>
      </c>
      <c r="I145" s="62">
        <f t="shared" si="13"/>
        <v>3638</v>
      </c>
      <c r="J145" s="62">
        <f>+MITRE[[#This Row],[Trenes Corridos]]+SARM[[#This Row],[Trenes Corridos]]+URQ[[#This Row],[Trenes Corridos]]+ROCA[[#This Row],[Trenes Corridos]]+SM[[#This Row],[Trenes Corridos]]+BN[[#This Row],[Trenes Corridos]]+BS[[#This Row],[Trenes Corridos]]+TDC[[#This Row],[Trenes Corridos]]</f>
        <v>60806</v>
      </c>
      <c r="K145" s="62">
        <f>+MITRE[[#This Row],[Trenes Puntuales]]+SARM[[#This Row],[Trenes Puntuales]]+URQ[[#This Row],[Trenes Puntuales]]+ROCA[[#This Row],[Trenes Puntuales]]+SM[[#This Row],[Trenes Puntuales]]+BN[[#This Row],[Trenes Puntuales]]+BS[[#This Row],[Trenes Puntuales]]+TDC[[#This Row],[Trenes Puntuales]]</f>
        <v>52397</v>
      </c>
      <c r="L145" s="62">
        <f t="shared" si="14"/>
        <v>8409</v>
      </c>
    </row>
    <row r="146" spans="1:12" s="18" customFormat="1" ht="15" customHeight="1">
      <c r="A146" s="18">
        <v>2004</v>
      </c>
      <c r="B146" s="18" t="s">
        <v>44</v>
      </c>
      <c r="C146" s="61">
        <f t="shared" si="10"/>
        <v>0.82703520094783778</v>
      </c>
      <c r="D146" s="61">
        <f t="shared" si="11"/>
        <v>0.87167479995399355</v>
      </c>
      <c r="E146" s="61">
        <f t="shared" si="12"/>
        <v>0.94878870077635391</v>
      </c>
      <c r="F14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6" s="62">
        <f>+MITRE[[#This Row],[Trenes Programados]]+SARM[[#This Row],[Trenes Programados]]+URQ[[#This Row],[Trenes Programados]]+ROCA[[#This Row],[Trenes Programados]]+SM[[#This Row],[Trenes Programados]]+BN[[#This Row],[Trenes Programados]]+BS[[#This Row],[Trenes Programados]]+TDC[[#This Row],[Trenes Programados]]</f>
        <v>64146</v>
      </c>
      <c r="I146" s="62">
        <f t="shared" si="13"/>
        <v>3285</v>
      </c>
      <c r="J146" s="62">
        <f>+MITRE[[#This Row],[Trenes Corridos]]+SARM[[#This Row],[Trenes Corridos]]+URQ[[#This Row],[Trenes Corridos]]+ROCA[[#This Row],[Trenes Corridos]]+SM[[#This Row],[Trenes Corridos]]+BN[[#This Row],[Trenes Corridos]]+BS[[#This Row],[Trenes Corridos]]+TDC[[#This Row],[Trenes Corridos]]</f>
        <v>60861</v>
      </c>
      <c r="K146" s="62">
        <f>+MITRE[[#This Row],[Trenes Puntuales]]+SARM[[#This Row],[Trenes Puntuales]]+URQ[[#This Row],[Trenes Puntuales]]+ROCA[[#This Row],[Trenes Puntuales]]+SM[[#This Row],[Trenes Puntuales]]+BN[[#This Row],[Trenes Puntuales]]+BS[[#This Row],[Trenes Puntuales]]+TDC[[#This Row],[Trenes Puntuales]]</f>
        <v>53051</v>
      </c>
      <c r="L146" s="62">
        <f t="shared" si="14"/>
        <v>7810</v>
      </c>
    </row>
    <row r="147" spans="1:12" s="18" customFormat="1" ht="15" customHeight="1">
      <c r="A147" s="18">
        <v>2004</v>
      </c>
      <c r="B147" s="18" t="s">
        <v>45</v>
      </c>
      <c r="C147" s="61">
        <f t="shared" si="10"/>
        <v>0.83509682259350138</v>
      </c>
      <c r="D147" s="61">
        <f t="shared" si="11"/>
        <v>0.88409418071711043</v>
      </c>
      <c r="E147" s="61">
        <f t="shared" si="12"/>
        <v>0.94457902880452616</v>
      </c>
      <c r="F14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7" s="62">
        <f>+MITRE[[#This Row],[Trenes Programados]]+SARM[[#This Row],[Trenes Programados]]+URQ[[#This Row],[Trenes Programados]]+ROCA[[#This Row],[Trenes Programados]]+SM[[#This Row],[Trenes Programados]]+BN[[#This Row],[Trenes Programados]]+BS[[#This Row],[Trenes Programados]]+TDC[[#This Row],[Trenes Programados]]</f>
        <v>63983</v>
      </c>
      <c r="I147" s="62">
        <f t="shared" si="13"/>
        <v>3546</v>
      </c>
      <c r="J147" s="62">
        <f>+MITRE[[#This Row],[Trenes Corridos]]+SARM[[#This Row],[Trenes Corridos]]+URQ[[#This Row],[Trenes Corridos]]+ROCA[[#This Row],[Trenes Corridos]]+SM[[#This Row],[Trenes Corridos]]+BN[[#This Row],[Trenes Corridos]]+BS[[#This Row],[Trenes Corridos]]+TDC[[#This Row],[Trenes Corridos]]</f>
        <v>60437</v>
      </c>
      <c r="K147" s="62">
        <f>+MITRE[[#This Row],[Trenes Puntuales]]+SARM[[#This Row],[Trenes Puntuales]]+URQ[[#This Row],[Trenes Puntuales]]+ROCA[[#This Row],[Trenes Puntuales]]+SM[[#This Row],[Trenes Puntuales]]+BN[[#This Row],[Trenes Puntuales]]+BS[[#This Row],[Trenes Puntuales]]+TDC[[#This Row],[Trenes Puntuales]]</f>
        <v>53432</v>
      </c>
      <c r="L147" s="62">
        <f t="shared" si="14"/>
        <v>7005</v>
      </c>
    </row>
    <row r="148" spans="1:12" s="18" customFormat="1" ht="15" customHeight="1">
      <c r="A148" s="18">
        <v>2004</v>
      </c>
      <c r="B148" s="18" t="s">
        <v>46</v>
      </c>
      <c r="C148" s="61">
        <f t="shared" si="10"/>
        <v>0.83613478105089345</v>
      </c>
      <c r="D148" s="61">
        <f t="shared" si="11"/>
        <v>0.87441148200641872</v>
      </c>
      <c r="E148" s="61">
        <f t="shared" si="12"/>
        <v>0.95622575670244414</v>
      </c>
      <c r="F14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8" s="62">
        <f>+MITRE[[#This Row],[Trenes Programados]]+SARM[[#This Row],[Trenes Programados]]+URQ[[#This Row],[Trenes Programados]]+ROCA[[#This Row],[Trenes Programados]]+SM[[#This Row],[Trenes Programados]]+BN[[#This Row],[Trenes Programados]]+BS[[#This Row],[Trenes Programados]]+TDC[[#This Row],[Trenes Programados]]</f>
        <v>64193</v>
      </c>
      <c r="I148" s="62">
        <f t="shared" si="13"/>
        <v>2810</v>
      </c>
      <c r="J148" s="62">
        <f>+MITRE[[#This Row],[Trenes Corridos]]+SARM[[#This Row],[Trenes Corridos]]+URQ[[#This Row],[Trenes Corridos]]+ROCA[[#This Row],[Trenes Corridos]]+SM[[#This Row],[Trenes Corridos]]+BN[[#This Row],[Trenes Corridos]]+BS[[#This Row],[Trenes Corridos]]+TDC[[#This Row],[Trenes Corridos]]</f>
        <v>61383</v>
      </c>
      <c r="K148" s="62">
        <f>+MITRE[[#This Row],[Trenes Puntuales]]+SARM[[#This Row],[Trenes Puntuales]]+URQ[[#This Row],[Trenes Puntuales]]+ROCA[[#This Row],[Trenes Puntuales]]+SM[[#This Row],[Trenes Puntuales]]+BN[[#This Row],[Trenes Puntuales]]+BS[[#This Row],[Trenes Puntuales]]+TDC[[#This Row],[Trenes Puntuales]]</f>
        <v>53674</v>
      </c>
      <c r="L148" s="62">
        <f t="shared" si="14"/>
        <v>7709</v>
      </c>
    </row>
    <row r="149" spans="1:12" s="18" customFormat="1" ht="15" customHeight="1">
      <c r="A149" s="18">
        <v>2004</v>
      </c>
      <c r="B149" s="18" t="s">
        <v>47</v>
      </c>
      <c r="C149" s="61">
        <f t="shared" si="10"/>
        <v>0.85544052900878853</v>
      </c>
      <c r="D149" s="61">
        <f t="shared" si="11"/>
        <v>0.89633614163831643</v>
      </c>
      <c r="E149" s="61">
        <f t="shared" si="12"/>
        <v>0.95437469189317825</v>
      </c>
      <c r="F14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9" s="62">
        <f>+MITRE[[#This Row],[Trenes Programados]]+SARM[[#This Row],[Trenes Programados]]+URQ[[#This Row],[Trenes Programados]]+ROCA[[#This Row],[Trenes Programados]]+SM[[#This Row],[Trenes Programados]]+BN[[#This Row],[Trenes Programados]]+BS[[#This Row],[Trenes Programados]]+TDC[[#This Row],[Trenes Programados]]</f>
        <v>58827</v>
      </c>
      <c r="I149" s="62">
        <f t="shared" si="13"/>
        <v>2684</v>
      </c>
      <c r="J149" s="62">
        <f>+MITRE[[#This Row],[Trenes Corridos]]+SARM[[#This Row],[Trenes Corridos]]+URQ[[#This Row],[Trenes Corridos]]+ROCA[[#This Row],[Trenes Corridos]]+SM[[#This Row],[Trenes Corridos]]+BN[[#This Row],[Trenes Corridos]]+BS[[#This Row],[Trenes Corridos]]+TDC[[#This Row],[Trenes Corridos]]</f>
        <v>56143</v>
      </c>
      <c r="K149" s="62">
        <f>+MITRE[[#This Row],[Trenes Puntuales]]+SARM[[#This Row],[Trenes Puntuales]]+URQ[[#This Row],[Trenes Puntuales]]+ROCA[[#This Row],[Trenes Puntuales]]+SM[[#This Row],[Trenes Puntuales]]+BN[[#This Row],[Trenes Puntuales]]+BS[[#This Row],[Trenes Puntuales]]+TDC[[#This Row],[Trenes Puntuales]]</f>
        <v>50323</v>
      </c>
      <c r="L149" s="62">
        <f t="shared" si="14"/>
        <v>5820</v>
      </c>
    </row>
    <row r="150" spans="1:12" s="18" customFormat="1" ht="15" customHeight="1">
      <c r="A150" s="18">
        <v>2005</v>
      </c>
      <c r="B150" s="18" t="s">
        <v>36</v>
      </c>
      <c r="C150" s="61">
        <f t="shared" si="10"/>
        <v>0.8833285075443168</v>
      </c>
      <c r="D150" s="61">
        <f t="shared" si="11"/>
        <v>0.9165762547779206</v>
      </c>
      <c r="E150" s="61">
        <f t="shared" si="12"/>
        <v>0.96372615255927674</v>
      </c>
      <c r="F15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0" s="62">
        <f>+MITRE[[#This Row],[Trenes Programados]]+SARM[[#This Row],[Trenes Programados]]+URQ[[#This Row],[Trenes Programados]]+ROCA[[#This Row],[Trenes Programados]]+SM[[#This Row],[Trenes Programados]]+BN[[#This Row],[Trenes Programados]]+BS[[#This Row],[Trenes Programados]]+TDC[[#This Row],[Trenes Programados]]</f>
        <v>62166</v>
      </c>
      <c r="I150" s="62">
        <f t="shared" si="13"/>
        <v>2255</v>
      </c>
      <c r="J150" s="62">
        <f>+MITRE[[#This Row],[Trenes Corridos]]+SARM[[#This Row],[Trenes Corridos]]+URQ[[#This Row],[Trenes Corridos]]+ROCA[[#This Row],[Trenes Corridos]]+SM[[#This Row],[Trenes Corridos]]+BN[[#This Row],[Trenes Corridos]]+BS[[#This Row],[Trenes Corridos]]+TDC[[#This Row],[Trenes Corridos]]</f>
        <v>59911</v>
      </c>
      <c r="K150" s="62">
        <f>+MITRE[[#This Row],[Trenes Puntuales]]+SARM[[#This Row],[Trenes Puntuales]]+URQ[[#This Row],[Trenes Puntuales]]+ROCA[[#This Row],[Trenes Puntuales]]+SM[[#This Row],[Trenes Puntuales]]+BN[[#This Row],[Trenes Puntuales]]+BS[[#This Row],[Trenes Puntuales]]+TDC[[#This Row],[Trenes Puntuales]]</f>
        <v>54913</v>
      </c>
      <c r="L150" s="62">
        <f t="shared" si="14"/>
        <v>4998</v>
      </c>
    </row>
    <row r="151" spans="1:12" s="18" customFormat="1" ht="15" customHeight="1">
      <c r="A151" s="18">
        <v>2005</v>
      </c>
      <c r="B151" s="18" t="s">
        <v>37</v>
      </c>
      <c r="C151" s="61">
        <f t="shared" si="10"/>
        <v>0.87136091377629199</v>
      </c>
      <c r="D151" s="61">
        <f t="shared" si="11"/>
        <v>0.90652851242663579</v>
      </c>
      <c r="E151" s="61">
        <f t="shared" si="12"/>
        <v>0.96120629614152386</v>
      </c>
      <c r="F15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1" s="62">
        <f>+MITRE[[#This Row],[Trenes Programados]]+SARM[[#This Row],[Trenes Programados]]+URQ[[#This Row],[Trenes Programados]]+ROCA[[#This Row],[Trenes Programados]]+SM[[#This Row],[Trenes Programados]]+BN[[#This Row],[Trenes Programados]]+BS[[#This Row],[Trenes Programados]]+TDC[[#This Row],[Trenes Programados]]</f>
        <v>57432</v>
      </c>
      <c r="I151" s="62">
        <f t="shared" si="13"/>
        <v>2228</v>
      </c>
      <c r="J151" s="62">
        <f>+MITRE[[#This Row],[Trenes Corridos]]+SARM[[#This Row],[Trenes Corridos]]+URQ[[#This Row],[Trenes Corridos]]+ROCA[[#This Row],[Trenes Corridos]]+SM[[#This Row],[Trenes Corridos]]+BN[[#This Row],[Trenes Corridos]]+BS[[#This Row],[Trenes Corridos]]+TDC[[#This Row],[Trenes Corridos]]</f>
        <v>55204</v>
      </c>
      <c r="K151" s="62">
        <f>+MITRE[[#This Row],[Trenes Puntuales]]+SARM[[#This Row],[Trenes Puntuales]]+URQ[[#This Row],[Trenes Puntuales]]+ROCA[[#This Row],[Trenes Puntuales]]+SM[[#This Row],[Trenes Puntuales]]+BN[[#This Row],[Trenes Puntuales]]+BS[[#This Row],[Trenes Puntuales]]+TDC[[#This Row],[Trenes Puntuales]]</f>
        <v>50044</v>
      </c>
      <c r="L151" s="62">
        <f t="shared" si="14"/>
        <v>5160</v>
      </c>
    </row>
    <row r="152" spans="1:12" s="18" customFormat="1" ht="15" customHeight="1">
      <c r="A152" s="18">
        <v>2005</v>
      </c>
      <c r="B152" s="18" t="s">
        <v>38</v>
      </c>
      <c r="C152" s="61">
        <f t="shared" si="10"/>
        <v>0.84303509685975464</v>
      </c>
      <c r="D152" s="61">
        <f t="shared" si="11"/>
        <v>0.87747522718682724</v>
      </c>
      <c r="E152" s="61">
        <f t="shared" si="12"/>
        <v>0.96075088018440458</v>
      </c>
      <c r="F15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2" s="62">
        <f>+MITRE[[#This Row],[Trenes Programados]]+SARM[[#This Row],[Trenes Programados]]+URQ[[#This Row],[Trenes Programados]]+ROCA[[#This Row],[Trenes Programados]]+SM[[#This Row],[Trenes Programados]]+BN[[#This Row],[Trenes Programados]]+BS[[#This Row],[Trenes Programados]]+TDC[[#This Row],[Trenes Programados]]</f>
        <v>63339</v>
      </c>
      <c r="I152" s="62">
        <f t="shared" si="13"/>
        <v>2486</v>
      </c>
      <c r="J152" s="62">
        <f>+MITRE[[#This Row],[Trenes Corridos]]+SARM[[#This Row],[Trenes Corridos]]+URQ[[#This Row],[Trenes Corridos]]+ROCA[[#This Row],[Trenes Corridos]]+SM[[#This Row],[Trenes Corridos]]+BN[[#This Row],[Trenes Corridos]]+BS[[#This Row],[Trenes Corridos]]+TDC[[#This Row],[Trenes Corridos]]</f>
        <v>60853</v>
      </c>
      <c r="K152" s="62">
        <f>+MITRE[[#This Row],[Trenes Puntuales]]+SARM[[#This Row],[Trenes Puntuales]]+URQ[[#This Row],[Trenes Puntuales]]+ROCA[[#This Row],[Trenes Puntuales]]+SM[[#This Row],[Trenes Puntuales]]+BN[[#This Row],[Trenes Puntuales]]+BS[[#This Row],[Trenes Puntuales]]+TDC[[#This Row],[Trenes Puntuales]]</f>
        <v>53397</v>
      </c>
      <c r="L152" s="62">
        <f t="shared" si="14"/>
        <v>7456</v>
      </c>
    </row>
    <row r="153" spans="1:12" s="18" customFormat="1" ht="15" customHeight="1">
      <c r="A153" s="18">
        <v>2005</v>
      </c>
      <c r="B153" s="18" t="s">
        <v>39</v>
      </c>
      <c r="C153" s="61">
        <f t="shared" si="10"/>
        <v>0.81675366967222507</v>
      </c>
      <c r="D153" s="61">
        <f t="shared" si="11"/>
        <v>0.85578340934810193</v>
      </c>
      <c r="E153" s="61">
        <f t="shared" si="12"/>
        <v>0.9543929699389615</v>
      </c>
      <c r="F15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3" s="62">
        <f>+MITRE[[#This Row],[Trenes Programados]]+SARM[[#This Row],[Trenes Programados]]+URQ[[#This Row],[Trenes Programados]]+ROCA[[#This Row],[Trenes Programados]]+SM[[#This Row],[Trenes Programados]]+BN[[#This Row],[Trenes Programados]]+BS[[#This Row],[Trenes Programados]]+TDC[[#This Row],[Trenes Programados]]</f>
        <v>61109</v>
      </c>
      <c r="I153" s="62">
        <f t="shared" si="13"/>
        <v>2787</v>
      </c>
      <c r="J153" s="62">
        <f>+MITRE[[#This Row],[Trenes Corridos]]+SARM[[#This Row],[Trenes Corridos]]+URQ[[#This Row],[Trenes Corridos]]+ROCA[[#This Row],[Trenes Corridos]]+SM[[#This Row],[Trenes Corridos]]+BN[[#This Row],[Trenes Corridos]]+BS[[#This Row],[Trenes Corridos]]+TDC[[#This Row],[Trenes Corridos]]</f>
        <v>58322</v>
      </c>
      <c r="K153" s="62">
        <f>+MITRE[[#This Row],[Trenes Puntuales]]+SARM[[#This Row],[Trenes Puntuales]]+URQ[[#This Row],[Trenes Puntuales]]+ROCA[[#This Row],[Trenes Puntuales]]+SM[[#This Row],[Trenes Puntuales]]+BN[[#This Row],[Trenes Puntuales]]+BS[[#This Row],[Trenes Puntuales]]+TDC[[#This Row],[Trenes Puntuales]]</f>
        <v>49911</v>
      </c>
      <c r="L153" s="62">
        <f t="shared" si="14"/>
        <v>8411</v>
      </c>
    </row>
    <row r="154" spans="1:12" s="18" customFormat="1" ht="15" customHeight="1">
      <c r="A154" s="18">
        <v>2005</v>
      </c>
      <c r="B154" s="18" t="s">
        <v>40</v>
      </c>
      <c r="C154" s="61">
        <f t="shared" si="10"/>
        <v>0.82279555427436657</v>
      </c>
      <c r="D154" s="61">
        <f t="shared" si="11"/>
        <v>0.85850112791377731</v>
      </c>
      <c r="E154" s="61">
        <f t="shared" si="12"/>
        <v>0.95840940392684415</v>
      </c>
      <c r="F15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4" s="62">
        <f>+MITRE[[#This Row],[Trenes Programados]]+SARM[[#This Row],[Trenes Programados]]+URQ[[#This Row],[Trenes Programados]]+ROCA[[#This Row],[Trenes Programados]]+SM[[#This Row],[Trenes Programados]]+BN[[#This Row],[Trenes Programados]]+BS[[#This Row],[Trenes Programados]]+TDC[[#This Row],[Trenes Programados]]</f>
        <v>62442</v>
      </c>
      <c r="I154" s="62">
        <f t="shared" si="13"/>
        <v>2597</v>
      </c>
      <c r="J154" s="62">
        <f>+MITRE[[#This Row],[Trenes Corridos]]+SARM[[#This Row],[Trenes Corridos]]+URQ[[#This Row],[Trenes Corridos]]+ROCA[[#This Row],[Trenes Corridos]]+SM[[#This Row],[Trenes Corridos]]+BN[[#This Row],[Trenes Corridos]]+BS[[#This Row],[Trenes Corridos]]+TDC[[#This Row],[Trenes Corridos]]</f>
        <v>59845</v>
      </c>
      <c r="K154" s="62">
        <f>+MITRE[[#This Row],[Trenes Puntuales]]+SARM[[#This Row],[Trenes Puntuales]]+URQ[[#This Row],[Trenes Puntuales]]+ROCA[[#This Row],[Trenes Puntuales]]+SM[[#This Row],[Trenes Puntuales]]+BN[[#This Row],[Trenes Puntuales]]+BS[[#This Row],[Trenes Puntuales]]+TDC[[#This Row],[Trenes Puntuales]]</f>
        <v>51377</v>
      </c>
      <c r="L154" s="62">
        <f t="shared" si="14"/>
        <v>8468</v>
      </c>
    </row>
    <row r="155" spans="1:12" s="18" customFormat="1" ht="15" customHeight="1">
      <c r="A155" s="18">
        <v>2005</v>
      </c>
      <c r="B155" s="18" t="s">
        <v>41</v>
      </c>
      <c r="C155" s="61">
        <f t="shared" si="10"/>
        <v>0.81504845642190593</v>
      </c>
      <c r="D155" s="61">
        <f t="shared" si="11"/>
        <v>0.85089829554179253</v>
      </c>
      <c r="E155" s="61">
        <f t="shared" si="12"/>
        <v>0.9578682442922748</v>
      </c>
      <c r="F15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5" s="62">
        <f>+MITRE[[#This Row],[Trenes Programados]]+SARM[[#This Row],[Trenes Programados]]+URQ[[#This Row],[Trenes Programados]]+ROCA[[#This Row],[Trenes Programados]]+SM[[#This Row],[Trenes Programados]]+BN[[#This Row],[Trenes Programados]]+BS[[#This Row],[Trenes Programados]]+TDC[[#This Row],[Trenes Programados]]</f>
        <v>61189</v>
      </c>
      <c r="I155" s="62">
        <f t="shared" si="13"/>
        <v>2578</v>
      </c>
      <c r="J155" s="62">
        <f>+MITRE[[#This Row],[Trenes Corridos]]+SARM[[#This Row],[Trenes Corridos]]+URQ[[#This Row],[Trenes Corridos]]+ROCA[[#This Row],[Trenes Corridos]]+SM[[#This Row],[Trenes Corridos]]+BN[[#This Row],[Trenes Corridos]]+BS[[#This Row],[Trenes Corridos]]+TDC[[#This Row],[Trenes Corridos]]</f>
        <v>58611</v>
      </c>
      <c r="K155" s="62">
        <f>+MITRE[[#This Row],[Trenes Puntuales]]+SARM[[#This Row],[Trenes Puntuales]]+URQ[[#This Row],[Trenes Puntuales]]+ROCA[[#This Row],[Trenes Puntuales]]+SM[[#This Row],[Trenes Puntuales]]+BN[[#This Row],[Trenes Puntuales]]+BS[[#This Row],[Trenes Puntuales]]+TDC[[#This Row],[Trenes Puntuales]]</f>
        <v>49872</v>
      </c>
      <c r="L155" s="62">
        <f t="shared" si="14"/>
        <v>8739</v>
      </c>
    </row>
    <row r="156" spans="1:12" s="18" customFormat="1" ht="15" customHeight="1">
      <c r="A156" s="18">
        <v>2005</v>
      </c>
      <c r="B156" s="18" t="s">
        <v>42</v>
      </c>
      <c r="C156" s="61">
        <f t="shared" si="10"/>
        <v>0.80731918163480931</v>
      </c>
      <c r="D156" s="61">
        <f t="shared" si="11"/>
        <v>0.85246289597349467</v>
      </c>
      <c r="E156" s="61">
        <f t="shared" si="12"/>
        <v>0.94704319149617389</v>
      </c>
      <c r="F15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6" s="62">
        <f>+MITRE[[#This Row],[Trenes Programados]]+SARM[[#This Row],[Trenes Programados]]+URQ[[#This Row],[Trenes Programados]]+ROCA[[#This Row],[Trenes Programados]]+SM[[#This Row],[Trenes Programados]]+BN[[#This Row],[Trenes Programados]]+BS[[#This Row],[Trenes Programados]]+TDC[[#This Row],[Trenes Programados]]</f>
        <v>62466</v>
      </c>
      <c r="I156" s="62">
        <f t="shared" si="13"/>
        <v>3308</v>
      </c>
      <c r="J156" s="62">
        <f>+MITRE[[#This Row],[Trenes Corridos]]+SARM[[#This Row],[Trenes Corridos]]+URQ[[#This Row],[Trenes Corridos]]+ROCA[[#This Row],[Trenes Corridos]]+SM[[#This Row],[Trenes Corridos]]+BN[[#This Row],[Trenes Corridos]]+BS[[#This Row],[Trenes Corridos]]+TDC[[#This Row],[Trenes Corridos]]</f>
        <v>59158</v>
      </c>
      <c r="K156" s="62">
        <f>+MITRE[[#This Row],[Trenes Puntuales]]+SARM[[#This Row],[Trenes Puntuales]]+URQ[[#This Row],[Trenes Puntuales]]+ROCA[[#This Row],[Trenes Puntuales]]+SM[[#This Row],[Trenes Puntuales]]+BN[[#This Row],[Trenes Puntuales]]+BS[[#This Row],[Trenes Puntuales]]+TDC[[#This Row],[Trenes Puntuales]]</f>
        <v>50430</v>
      </c>
      <c r="L156" s="62">
        <f t="shared" si="14"/>
        <v>8728</v>
      </c>
    </row>
    <row r="157" spans="1:12" s="18" customFormat="1" ht="15" customHeight="1">
      <c r="A157" s="18">
        <v>2005</v>
      </c>
      <c r="B157" s="18" t="s">
        <v>43</v>
      </c>
      <c r="C157" s="61">
        <f t="shared" si="10"/>
        <v>0.80993455806985726</v>
      </c>
      <c r="D157" s="61">
        <f t="shared" si="11"/>
        <v>0.86631358790986368</v>
      </c>
      <c r="E157" s="61">
        <f t="shared" si="12"/>
        <v>0.93492076007253799</v>
      </c>
      <c r="F15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7" s="62">
        <f>+MITRE[[#This Row],[Trenes Programados]]+SARM[[#This Row],[Trenes Programados]]+URQ[[#This Row],[Trenes Programados]]+ROCA[[#This Row],[Trenes Programados]]+SM[[#This Row],[Trenes Programados]]+BN[[#This Row],[Trenes Programados]]+BS[[#This Row],[Trenes Programados]]+TDC[[#This Row],[Trenes Programados]]</f>
        <v>63415</v>
      </c>
      <c r="I157" s="62">
        <f t="shared" si="13"/>
        <v>4127</v>
      </c>
      <c r="J157" s="62">
        <f>+MITRE[[#This Row],[Trenes Corridos]]+SARM[[#This Row],[Trenes Corridos]]+URQ[[#This Row],[Trenes Corridos]]+ROCA[[#This Row],[Trenes Corridos]]+SM[[#This Row],[Trenes Corridos]]+BN[[#This Row],[Trenes Corridos]]+BS[[#This Row],[Trenes Corridos]]+TDC[[#This Row],[Trenes Corridos]]</f>
        <v>59288</v>
      </c>
      <c r="K157" s="62">
        <f>+MITRE[[#This Row],[Trenes Puntuales]]+SARM[[#This Row],[Trenes Puntuales]]+URQ[[#This Row],[Trenes Puntuales]]+ROCA[[#This Row],[Trenes Puntuales]]+SM[[#This Row],[Trenes Puntuales]]+BN[[#This Row],[Trenes Puntuales]]+BS[[#This Row],[Trenes Puntuales]]+TDC[[#This Row],[Trenes Puntuales]]</f>
        <v>51362</v>
      </c>
      <c r="L157" s="62">
        <f t="shared" si="14"/>
        <v>7926</v>
      </c>
    </row>
    <row r="158" spans="1:12" s="18" customFormat="1" ht="15" customHeight="1">
      <c r="A158" s="18">
        <v>2005</v>
      </c>
      <c r="B158" s="18" t="s">
        <v>44</v>
      </c>
      <c r="C158" s="61">
        <f t="shared" si="10"/>
        <v>0.78634763124199747</v>
      </c>
      <c r="D158" s="61">
        <f t="shared" si="11"/>
        <v>0.82223486686860914</v>
      </c>
      <c r="E158" s="61">
        <f t="shared" si="12"/>
        <v>0.95635403329065305</v>
      </c>
      <c r="F15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8" s="62">
        <f>+MITRE[[#This Row],[Trenes Programados]]+SARM[[#This Row],[Trenes Programados]]+URQ[[#This Row],[Trenes Programados]]+ROCA[[#This Row],[Trenes Programados]]+SM[[#This Row],[Trenes Programados]]+BN[[#This Row],[Trenes Programados]]+BS[[#This Row],[Trenes Programados]]+TDC[[#This Row],[Trenes Programados]]</f>
        <v>62480</v>
      </c>
      <c r="I158" s="62">
        <f t="shared" si="13"/>
        <v>2727</v>
      </c>
      <c r="J158" s="62">
        <f>+MITRE[[#This Row],[Trenes Corridos]]+SARM[[#This Row],[Trenes Corridos]]+URQ[[#This Row],[Trenes Corridos]]+ROCA[[#This Row],[Trenes Corridos]]+SM[[#This Row],[Trenes Corridos]]+BN[[#This Row],[Trenes Corridos]]+BS[[#This Row],[Trenes Corridos]]+TDC[[#This Row],[Trenes Corridos]]</f>
        <v>59753</v>
      </c>
      <c r="K158" s="62">
        <f>+MITRE[[#This Row],[Trenes Puntuales]]+SARM[[#This Row],[Trenes Puntuales]]+URQ[[#This Row],[Trenes Puntuales]]+ROCA[[#This Row],[Trenes Puntuales]]+SM[[#This Row],[Trenes Puntuales]]+BN[[#This Row],[Trenes Puntuales]]+BS[[#This Row],[Trenes Puntuales]]+TDC[[#This Row],[Trenes Puntuales]]</f>
        <v>49131</v>
      </c>
      <c r="L158" s="62">
        <f t="shared" si="14"/>
        <v>10622</v>
      </c>
    </row>
    <row r="159" spans="1:12" s="18" customFormat="1" ht="15" customHeight="1">
      <c r="A159" s="18">
        <v>2005</v>
      </c>
      <c r="B159" s="18" t="s">
        <v>45</v>
      </c>
      <c r="C159" s="61">
        <f t="shared" si="10"/>
        <v>0.80061976870487506</v>
      </c>
      <c r="D159" s="61">
        <f t="shared" si="11"/>
        <v>0.84336457404384912</v>
      </c>
      <c r="E159" s="61">
        <f t="shared" si="12"/>
        <v>0.94931633761420997</v>
      </c>
      <c r="F15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9" s="62">
        <f>+MITRE[[#This Row],[Trenes Programados]]+SARM[[#This Row],[Trenes Programados]]+URQ[[#This Row],[Trenes Programados]]+ROCA[[#This Row],[Trenes Programados]]+SM[[#This Row],[Trenes Programados]]+BN[[#This Row],[Trenes Programados]]+BS[[#This Row],[Trenes Programados]]+TDC[[#This Row],[Trenes Programados]]</f>
        <v>62604</v>
      </c>
      <c r="I159" s="62">
        <f t="shared" si="13"/>
        <v>3173</v>
      </c>
      <c r="J159" s="62">
        <f>+MITRE[[#This Row],[Trenes Corridos]]+SARM[[#This Row],[Trenes Corridos]]+URQ[[#This Row],[Trenes Corridos]]+ROCA[[#This Row],[Trenes Corridos]]+SM[[#This Row],[Trenes Corridos]]+BN[[#This Row],[Trenes Corridos]]+BS[[#This Row],[Trenes Corridos]]+TDC[[#This Row],[Trenes Corridos]]</f>
        <v>59431</v>
      </c>
      <c r="K159" s="62">
        <f>+MITRE[[#This Row],[Trenes Puntuales]]+SARM[[#This Row],[Trenes Puntuales]]+URQ[[#This Row],[Trenes Puntuales]]+ROCA[[#This Row],[Trenes Puntuales]]+SM[[#This Row],[Trenes Puntuales]]+BN[[#This Row],[Trenes Puntuales]]+BS[[#This Row],[Trenes Puntuales]]+TDC[[#This Row],[Trenes Puntuales]]</f>
        <v>50122</v>
      </c>
      <c r="L159" s="62">
        <f t="shared" si="14"/>
        <v>9309</v>
      </c>
    </row>
    <row r="160" spans="1:12" s="18" customFormat="1" ht="15" customHeight="1">
      <c r="A160" s="18">
        <v>2005</v>
      </c>
      <c r="B160" s="18" t="s">
        <v>46</v>
      </c>
      <c r="C160" s="61">
        <f t="shared" si="10"/>
        <v>0.83203212491600809</v>
      </c>
      <c r="D160" s="61">
        <f t="shared" si="11"/>
        <v>0.8717377093146047</v>
      </c>
      <c r="E160" s="61">
        <f t="shared" si="12"/>
        <v>0.95445237257223303</v>
      </c>
      <c r="F16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0" s="62">
        <f>+MITRE[[#This Row],[Trenes Programados]]+SARM[[#This Row],[Trenes Programados]]+URQ[[#This Row],[Trenes Programados]]+ROCA[[#This Row],[Trenes Programados]]+SM[[#This Row],[Trenes Programados]]+BN[[#This Row],[Trenes Programados]]+BS[[#This Row],[Trenes Programados]]+TDC[[#This Row],[Trenes Programados]]</f>
        <v>62506</v>
      </c>
      <c r="I160" s="62">
        <f t="shared" si="13"/>
        <v>2847</v>
      </c>
      <c r="J160" s="62">
        <f>+MITRE[[#This Row],[Trenes Corridos]]+SARM[[#This Row],[Trenes Corridos]]+URQ[[#This Row],[Trenes Corridos]]+ROCA[[#This Row],[Trenes Corridos]]+SM[[#This Row],[Trenes Corridos]]+BN[[#This Row],[Trenes Corridos]]+BS[[#This Row],[Trenes Corridos]]+TDC[[#This Row],[Trenes Corridos]]</f>
        <v>59659</v>
      </c>
      <c r="K160" s="62">
        <f>+MITRE[[#This Row],[Trenes Puntuales]]+SARM[[#This Row],[Trenes Puntuales]]+URQ[[#This Row],[Trenes Puntuales]]+ROCA[[#This Row],[Trenes Puntuales]]+SM[[#This Row],[Trenes Puntuales]]+BN[[#This Row],[Trenes Puntuales]]+BS[[#This Row],[Trenes Puntuales]]+TDC[[#This Row],[Trenes Puntuales]]</f>
        <v>52007</v>
      </c>
      <c r="L160" s="62">
        <f t="shared" si="14"/>
        <v>7652</v>
      </c>
    </row>
    <row r="161" spans="1:12" s="18" customFormat="1" ht="15" customHeight="1">
      <c r="A161" s="18">
        <v>2005</v>
      </c>
      <c r="B161" s="18" t="s">
        <v>47</v>
      </c>
      <c r="C161" s="61">
        <f t="shared" si="10"/>
        <v>0.83312445168567495</v>
      </c>
      <c r="D161" s="61">
        <f t="shared" si="11"/>
        <v>0.87108927108927114</v>
      </c>
      <c r="E161" s="61">
        <f t="shared" si="12"/>
        <v>0.95641684421606721</v>
      </c>
      <c r="F16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1" s="62">
        <f>+MITRE[[#This Row],[Trenes Programados]]+SARM[[#This Row],[Trenes Programados]]+URQ[[#This Row],[Trenes Programados]]+ROCA[[#This Row],[Trenes Programados]]+SM[[#This Row],[Trenes Programados]]+BN[[#This Row],[Trenes Programados]]+BS[[#This Row],[Trenes Programados]]+TDC[[#This Row],[Trenes Programados]]</f>
        <v>63832</v>
      </c>
      <c r="I161" s="62">
        <f t="shared" si="13"/>
        <v>2782</v>
      </c>
      <c r="J161" s="62">
        <f>+MITRE[[#This Row],[Trenes Corridos]]+SARM[[#This Row],[Trenes Corridos]]+URQ[[#This Row],[Trenes Corridos]]+ROCA[[#This Row],[Trenes Corridos]]+SM[[#This Row],[Trenes Corridos]]+BN[[#This Row],[Trenes Corridos]]+BS[[#This Row],[Trenes Corridos]]+TDC[[#This Row],[Trenes Corridos]]</f>
        <v>61050</v>
      </c>
      <c r="K161" s="62">
        <f>+MITRE[[#This Row],[Trenes Puntuales]]+SARM[[#This Row],[Trenes Puntuales]]+URQ[[#This Row],[Trenes Puntuales]]+ROCA[[#This Row],[Trenes Puntuales]]+SM[[#This Row],[Trenes Puntuales]]+BN[[#This Row],[Trenes Puntuales]]+BS[[#This Row],[Trenes Puntuales]]+TDC[[#This Row],[Trenes Puntuales]]</f>
        <v>53180</v>
      </c>
      <c r="L161" s="62">
        <f t="shared" si="14"/>
        <v>7870</v>
      </c>
    </row>
    <row r="162" spans="1:12" s="18" customFormat="1" ht="15" customHeight="1">
      <c r="A162" s="18">
        <v>2006</v>
      </c>
      <c r="B162" s="18" t="s">
        <v>36</v>
      </c>
      <c r="C162" s="61">
        <f t="shared" si="10"/>
        <v>0.85607520198881293</v>
      </c>
      <c r="D162" s="61">
        <f t="shared" si="11"/>
        <v>0.89611931559430091</v>
      </c>
      <c r="E162" s="61">
        <f t="shared" si="12"/>
        <v>0.95531385954008696</v>
      </c>
      <c r="F16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2" s="62">
        <f>+MITRE[[#This Row],[Trenes Programados]]+SARM[[#This Row],[Trenes Programados]]+URQ[[#This Row],[Trenes Programados]]+ROCA[[#This Row],[Trenes Programados]]+SM[[#This Row],[Trenes Programados]]+BN[[#This Row],[Trenes Programados]]+BS[[#This Row],[Trenes Programados]]+TDC[[#This Row],[Trenes Programados]]</f>
        <v>64360</v>
      </c>
      <c r="I162" s="62">
        <f t="shared" si="13"/>
        <v>2876</v>
      </c>
      <c r="J162" s="62">
        <f>+MITRE[[#This Row],[Trenes Corridos]]+SARM[[#This Row],[Trenes Corridos]]+URQ[[#This Row],[Trenes Corridos]]+ROCA[[#This Row],[Trenes Corridos]]+SM[[#This Row],[Trenes Corridos]]+BN[[#This Row],[Trenes Corridos]]+BS[[#This Row],[Trenes Corridos]]+TDC[[#This Row],[Trenes Corridos]]</f>
        <v>61484</v>
      </c>
      <c r="K162" s="62">
        <f>+MITRE[[#This Row],[Trenes Puntuales]]+SARM[[#This Row],[Trenes Puntuales]]+URQ[[#This Row],[Trenes Puntuales]]+ROCA[[#This Row],[Trenes Puntuales]]+SM[[#This Row],[Trenes Puntuales]]+BN[[#This Row],[Trenes Puntuales]]+BS[[#This Row],[Trenes Puntuales]]+TDC[[#This Row],[Trenes Puntuales]]</f>
        <v>55097</v>
      </c>
      <c r="L162" s="62">
        <f t="shared" si="14"/>
        <v>6387</v>
      </c>
    </row>
    <row r="163" spans="1:12" s="18" customFormat="1" ht="15" customHeight="1">
      <c r="A163" s="18">
        <v>2006</v>
      </c>
      <c r="B163" s="18" t="s">
        <v>37</v>
      </c>
      <c r="C163" s="61">
        <f t="shared" si="10"/>
        <v>0.83995672185202996</v>
      </c>
      <c r="D163" s="61">
        <f t="shared" si="11"/>
        <v>0.87699259445211497</v>
      </c>
      <c r="E163" s="61">
        <f t="shared" si="12"/>
        <v>0.95776945799271829</v>
      </c>
      <c r="F16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3" s="62">
        <f>+MITRE[[#This Row],[Trenes Programados]]+SARM[[#This Row],[Trenes Programados]]+URQ[[#This Row],[Trenes Programados]]+ROCA[[#This Row],[Trenes Programados]]+SM[[#This Row],[Trenes Programados]]+BN[[#This Row],[Trenes Programados]]+BS[[#This Row],[Trenes Programados]]+TDC[[#This Row],[Trenes Programados]]</f>
        <v>58228</v>
      </c>
      <c r="I163" s="62">
        <f t="shared" si="13"/>
        <v>2459</v>
      </c>
      <c r="J163" s="62">
        <f>+MITRE[[#This Row],[Trenes Corridos]]+SARM[[#This Row],[Trenes Corridos]]+URQ[[#This Row],[Trenes Corridos]]+ROCA[[#This Row],[Trenes Corridos]]+SM[[#This Row],[Trenes Corridos]]+BN[[#This Row],[Trenes Corridos]]+BS[[#This Row],[Trenes Corridos]]+TDC[[#This Row],[Trenes Corridos]]</f>
        <v>55769</v>
      </c>
      <c r="K163" s="62">
        <f>+MITRE[[#This Row],[Trenes Puntuales]]+SARM[[#This Row],[Trenes Puntuales]]+URQ[[#This Row],[Trenes Puntuales]]+ROCA[[#This Row],[Trenes Puntuales]]+SM[[#This Row],[Trenes Puntuales]]+BN[[#This Row],[Trenes Puntuales]]+BS[[#This Row],[Trenes Puntuales]]+TDC[[#This Row],[Trenes Puntuales]]</f>
        <v>48909</v>
      </c>
      <c r="L163" s="62">
        <f t="shared" si="14"/>
        <v>6860</v>
      </c>
    </row>
    <row r="164" spans="1:12" s="18" customFormat="1" ht="15" customHeight="1">
      <c r="A164" s="18">
        <v>2006</v>
      </c>
      <c r="B164" s="18" t="s">
        <v>38</v>
      </c>
      <c r="C164" s="61">
        <f t="shared" si="10"/>
        <v>0.79220152795282328</v>
      </c>
      <c r="D164" s="61">
        <f t="shared" si="11"/>
        <v>0.83186014214524961</v>
      </c>
      <c r="E164" s="61">
        <f t="shared" si="12"/>
        <v>0.95232538237719588</v>
      </c>
      <c r="F16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4" s="62">
        <f>+MITRE[[#This Row],[Trenes Programados]]+SARM[[#This Row],[Trenes Programados]]+URQ[[#This Row],[Trenes Programados]]+ROCA[[#This Row],[Trenes Programados]]+SM[[#This Row],[Trenes Programados]]+BN[[#This Row],[Trenes Programados]]+BS[[#This Row],[Trenes Programados]]+TDC[[#This Row],[Trenes Programados]]</f>
        <v>64269</v>
      </c>
      <c r="I164" s="62">
        <f t="shared" si="13"/>
        <v>3064</v>
      </c>
      <c r="J164" s="62">
        <f>+MITRE[[#This Row],[Trenes Corridos]]+SARM[[#This Row],[Trenes Corridos]]+URQ[[#This Row],[Trenes Corridos]]+ROCA[[#This Row],[Trenes Corridos]]+SM[[#This Row],[Trenes Corridos]]+BN[[#This Row],[Trenes Corridos]]+BS[[#This Row],[Trenes Corridos]]+TDC[[#This Row],[Trenes Corridos]]</f>
        <v>61205</v>
      </c>
      <c r="K164" s="62">
        <f>+MITRE[[#This Row],[Trenes Puntuales]]+SARM[[#This Row],[Trenes Puntuales]]+URQ[[#This Row],[Trenes Puntuales]]+ROCA[[#This Row],[Trenes Puntuales]]+SM[[#This Row],[Trenes Puntuales]]+BN[[#This Row],[Trenes Puntuales]]+BS[[#This Row],[Trenes Puntuales]]+TDC[[#This Row],[Trenes Puntuales]]</f>
        <v>50914</v>
      </c>
      <c r="L164" s="62">
        <f t="shared" si="14"/>
        <v>10291</v>
      </c>
    </row>
    <row r="165" spans="1:12" s="18" customFormat="1" ht="15" customHeight="1">
      <c r="A165" s="18">
        <v>2006</v>
      </c>
      <c r="B165" s="18" t="s">
        <v>39</v>
      </c>
      <c r="C165" s="61">
        <f t="shared" si="10"/>
        <v>0.83381847484664595</v>
      </c>
      <c r="D165" s="61">
        <f t="shared" si="11"/>
        <v>0.87031601352627153</v>
      </c>
      <c r="E165" s="61">
        <f t="shared" si="12"/>
        <v>0.95806403867975731</v>
      </c>
      <c r="F16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5" s="62">
        <f>+MITRE[[#This Row],[Trenes Programados]]+SARM[[#This Row],[Trenes Programados]]+URQ[[#This Row],[Trenes Programados]]+ROCA[[#This Row],[Trenes Programados]]+SM[[#This Row],[Trenes Programados]]+BN[[#This Row],[Trenes Programados]]+BS[[#This Row],[Trenes Programados]]+TDC[[#This Row],[Trenes Programados]]</f>
        <v>60807</v>
      </c>
      <c r="I165" s="62">
        <f t="shared" si="13"/>
        <v>2550</v>
      </c>
      <c r="J165" s="62">
        <f>+MITRE[[#This Row],[Trenes Corridos]]+SARM[[#This Row],[Trenes Corridos]]+URQ[[#This Row],[Trenes Corridos]]+ROCA[[#This Row],[Trenes Corridos]]+SM[[#This Row],[Trenes Corridos]]+BN[[#This Row],[Trenes Corridos]]+BS[[#This Row],[Trenes Corridos]]+TDC[[#This Row],[Trenes Corridos]]</f>
        <v>58257</v>
      </c>
      <c r="K165" s="62">
        <f>+MITRE[[#This Row],[Trenes Puntuales]]+SARM[[#This Row],[Trenes Puntuales]]+URQ[[#This Row],[Trenes Puntuales]]+ROCA[[#This Row],[Trenes Puntuales]]+SM[[#This Row],[Trenes Puntuales]]+BN[[#This Row],[Trenes Puntuales]]+BS[[#This Row],[Trenes Puntuales]]+TDC[[#This Row],[Trenes Puntuales]]</f>
        <v>50702</v>
      </c>
      <c r="L165" s="62">
        <f t="shared" si="14"/>
        <v>7555</v>
      </c>
    </row>
    <row r="166" spans="1:12" s="18" customFormat="1" ht="15" customHeight="1">
      <c r="A166" s="18">
        <v>2006</v>
      </c>
      <c r="B166" s="18" t="s">
        <v>40</v>
      </c>
      <c r="C166" s="61">
        <f t="shared" si="10"/>
        <v>0.78874656188605108</v>
      </c>
      <c r="D166" s="61">
        <f t="shared" si="11"/>
        <v>0.83345512522420784</v>
      </c>
      <c r="E166" s="61">
        <f t="shared" si="12"/>
        <v>0.94635756385068759</v>
      </c>
      <c r="F16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6" s="62">
        <f>+MITRE[[#This Row],[Trenes Programados]]+SARM[[#This Row],[Trenes Programados]]+URQ[[#This Row],[Trenes Programados]]+ROCA[[#This Row],[Trenes Programados]]+SM[[#This Row],[Trenes Programados]]+BN[[#This Row],[Trenes Programados]]+BS[[#This Row],[Trenes Programados]]+TDC[[#This Row],[Trenes Programados]]</f>
        <v>63625</v>
      </c>
      <c r="I166" s="62">
        <f t="shared" si="13"/>
        <v>3413</v>
      </c>
      <c r="J166" s="62">
        <f>+MITRE[[#This Row],[Trenes Corridos]]+SARM[[#This Row],[Trenes Corridos]]+URQ[[#This Row],[Trenes Corridos]]+ROCA[[#This Row],[Trenes Corridos]]+SM[[#This Row],[Trenes Corridos]]+BN[[#This Row],[Trenes Corridos]]+BS[[#This Row],[Trenes Corridos]]+TDC[[#This Row],[Trenes Corridos]]</f>
        <v>60212</v>
      </c>
      <c r="K166" s="62">
        <f>+MITRE[[#This Row],[Trenes Puntuales]]+SARM[[#This Row],[Trenes Puntuales]]+URQ[[#This Row],[Trenes Puntuales]]+ROCA[[#This Row],[Trenes Puntuales]]+SM[[#This Row],[Trenes Puntuales]]+BN[[#This Row],[Trenes Puntuales]]+BS[[#This Row],[Trenes Puntuales]]+TDC[[#This Row],[Trenes Puntuales]]</f>
        <v>50184</v>
      </c>
      <c r="L166" s="62">
        <f t="shared" si="14"/>
        <v>10028</v>
      </c>
    </row>
    <row r="167" spans="1:12" s="18" customFormat="1" ht="15" customHeight="1">
      <c r="A167" s="18">
        <v>2006</v>
      </c>
      <c r="B167" s="18" t="s">
        <v>41</v>
      </c>
      <c r="C167" s="61">
        <f t="shared" si="10"/>
        <v>0.80528471608706131</v>
      </c>
      <c r="D167" s="61">
        <f t="shared" si="11"/>
        <v>0.83967841889289008</v>
      </c>
      <c r="E167" s="61">
        <f t="shared" si="12"/>
        <v>0.95903943458356755</v>
      </c>
      <c r="F16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7" s="62">
        <f>+MITRE[[#This Row],[Trenes Programados]]+SARM[[#This Row],[Trenes Programados]]+URQ[[#This Row],[Trenes Programados]]+ROCA[[#This Row],[Trenes Programados]]+SM[[#This Row],[Trenes Programados]]+BN[[#This Row],[Trenes Programados]]+BS[[#This Row],[Trenes Programados]]+TDC[[#This Row],[Trenes Programados]]</f>
        <v>62255</v>
      </c>
      <c r="I167" s="62">
        <f t="shared" si="13"/>
        <v>2550</v>
      </c>
      <c r="J167" s="62">
        <f>+MITRE[[#This Row],[Trenes Corridos]]+SARM[[#This Row],[Trenes Corridos]]+URQ[[#This Row],[Trenes Corridos]]+ROCA[[#This Row],[Trenes Corridos]]+SM[[#This Row],[Trenes Corridos]]+BN[[#This Row],[Trenes Corridos]]+BS[[#This Row],[Trenes Corridos]]+TDC[[#This Row],[Trenes Corridos]]</f>
        <v>59705</v>
      </c>
      <c r="K167" s="62">
        <f>+MITRE[[#This Row],[Trenes Puntuales]]+SARM[[#This Row],[Trenes Puntuales]]+URQ[[#This Row],[Trenes Puntuales]]+ROCA[[#This Row],[Trenes Puntuales]]+SM[[#This Row],[Trenes Puntuales]]+BN[[#This Row],[Trenes Puntuales]]+BS[[#This Row],[Trenes Puntuales]]+TDC[[#This Row],[Trenes Puntuales]]</f>
        <v>50133</v>
      </c>
      <c r="L167" s="62">
        <f t="shared" si="14"/>
        <v>9572</v>
      </c>
    </row>
    <row r="168" spans="1:12" s="18" customFormat="1" ht="15" customHeight="1">
      <c r="A168" s="18">
        <v>2006</v>
      </c>
      <c r="B168" s="18" t="s">
        <v>42</v>
      </c>
      <c r="C168" s="61">
        <f t="shared" si="10"/>
        <v>0.82177630757708153</v>
      </c>
      <c r="D168" s="61">
        <f t="shared" si="11"/>
        <v>0.86009178057583324</v>
      </c>
      <c r="E168" s="61">
        <f t="shared" si="12"/>
        <v>0.95545187866683312</v>
      </c>
      <c r="F16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8" s="62">
        <f>+MITRE[[#This Row],[Trenes Programados]]+SARM[[#This Row],[Trenes Programados]]+URQ[[#This Row],[Trenes Programados]]+ROCA[[#This Row],[Trenes Programados]]+SM[[#This Row],[Trenes Programados]]+BN[[#This Row],[Trenes Programados]]+BS[[#This Row],[Trenes Programados]]+TDC[[#This Row],[Trenes Programados]]</f>
        <v>64088</v>
      </c>
      <c r="I168" s="62">
        <f t="shared" si="13"/>
        <v>2855</v>
      </c>
      <c r="J168" s="62">
        <f>+MITRE[[#This Row],[Trenes Corridos]]+SARM[[#This Row],[Trenes Corridos]]+URQ[[#This Row],[Trenes Corridos]]+ROCA[[#This Row],[Trenes Corridos]]+SM[[#This Row],[Trenes Corridos]]+BN[[#This Row],[Trenes Corridos]]+BS[[#This Row],[Trenes Corridos]]+TDC[[#This Row],[Trenes Corridos]]</f>
        <v>61233</v>
      </c>
      <c r="K168" s="62">
        <f>+MITRE[[#This Row],[Trenes Puntuales]]+SARM[[#This Row],[Trenes Puntuales]]+URQ[[#This Row],[Trenes Puntuales]]+ROCA[[#This Row],[Trenes Puntuales]]+SM[[#This Row],[Trenes Puntuales]]+BN[[#This Row],[Trenes Puntuales]]+BS[[#This Row],[Trenes Puntuales]]+TDC[[#This Row],[Trenes Puntuales]]</f>
        <v>52666</v>
      </c>
      <c r="L168" s="62">
        <f t="shared" si="14"/>
        <v>8567</v>
      </c>
    </row>
    <row r="169" spans="1:12" s="18" customFormat="1" ht="15" customHeight="1">
      <c r="A169" s="18">
        <v>2006</v>
      </c>
      <c r="B169" s="18" t="s">
        <v>43</v>
      </c>
      <c r="C169" s="61">
        <f t="shared" si="10"/>
        <v>0.82479976451997705</v>
      </c>
      <c r="D169" s="61">
        <f t="shared" si="11"/>
        <v>0.86320670590333515</v>
      </c>
      <c r="E169" s="61">
        <f t="shared" si="12"/>
        <v>0.95550666935196515</v>
      </c>
      <c r="F16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9" s="62">
        <f>+MITRE[[#This Row],[Trenes Programados]]+SARM[[#This Row],[Trenes Programados]]+URQ[[#This Row],[Trenes Programados]]+ROCA[[#This Row],[Trenes Programados]]+SM[[#This Row],[Trenes Programados]]+BN[[#This Row],[Trenes Programados]]+BS[[#This Row],[Trenes Programados]]+TDC[[#This Row],[Trenes Programados]]</f>
        <v>64549</v>
      </c>
      <c r="I169" s="62">
        <f t="shared" si="13"/>
        <v>2872</v>
      </c>
      <c r="J169" s="62">
        <f>+MITRE[[#This Row],[Trenes Corridos]]+SARM[[#This Row],[Trenes Corridos]]+URQ[[#This Row],[Trenes Corridos]]+ROCA[[#This Row],[Trenes Corridos]]+SM[[#This Row],[Trenes Corridos]]+BN[[#This Row],[Trenes Corridos]]+BS[[#This Row],[Trenes Corridos]]+TDC[[#This Row],[Trenes Corridos]]</f>
        <v>61677</v>
      </c>
      <c r="K169" s="62">
        <f>+MITRE[[#This Row],[Trenes Puntuales]]+SARM[[#This Row],[Trenes Puntuales]]+URQ[[#This Row],[Trenes Puntuales]]+ROCA[[#This Row],[Trenes Puntuales]]+SM[[#This Row],[Trenes Puntuales]]+BN[[#This Row],[Trenes Puntuales]]+BS[[#This Row],[Trenes Puntuales]]+TDC[[#This Row],[Trenes Puntuales]]</f>
        <v>53240</v>
      </c>
      <c r="L169" s="62">
        <f t="shared" si="14"/>
        <v>8437</v>
      </c>
    </row>
    <row r="170" spans="1:12" s="18" customFormat="1" ht="15" customHeight="1">
      <c r="A170" s="18">
        <v>2006</v>
      </c>
      <c r="B170" s="18" t="s">
        <v>44</v>
      </c>
      <c r="C170" s="61">
        <f t="shared" si="10"/>
        <v>0.84121088457062698</v>
      </c>
      <c r="D170" s="61">
        <f t="shared" si="11"/>
        <v>0.88381596797695416</v>
      </c>
      <c r="E170" s="61">
        <f t="shared" si="12"/>
        <v>0.9517941687522915</v>
      </c>
      <c r="F17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0" s="62">
        <f>+MITRE[[#This Row],[Trenes Programados]]+SARM[[#This Row],[Trenes Programados]]+URQ[[#This Row],[Trenes Programados]]+ROCA[[#This Row],[Trenes Programados]]+SM[[#This Row],[Trenes Programados]]+BN[[#This Row],[Trenes Programados]]+BS[[#This Row],[Trenes Programados]]+TDC[[#This Row],[Trenes Programados]]</f>
        <v>62731</v>
      </c>
      <c r="I170" s="62">
        <f t="shared" si="13"/>
        <v>3024</v>
      </c>
      <c r="J170" s="62">
        <f>+MITRE[[#This Row],[Trenes Corridos]]+SARM[[#This Row],[Trenes Corridos]]+URQ[[#This Row],[Trenes Corridos]]+ROCA[[#This Row],[Trenes Corridos]]+SM[[#This Row],[Trenes Corridos]]+BN[[#This Row],[Trenes Corridos]]+BS[[#This Row],[Trenes Corridos]]+TDC[[#This Row],[Trenes Corridos]]</f>
        <v>59707</v>
      </c>
      <c r="K170" s="62">
        <f>+MITRE[[#This Row],[Trenes Puntuales]]+SARM[[#This Row],[Trenes Puntuales]]+URQ[[#This Row],[Trenes Puntuales]]+ROCA[[#This Row],[Trenes Puntuales]]+SM[[#This Row],[Trenes Puntuales]]+BN[[#This Row],[Trenes Puntuales]]+BS[[#This Row],[Trenes Puntuales]]+TDC[[#This Row],[Trenes Puntuales]]</f>
        <v>52770</v>
      </c>
      <c r="L170" s="62">
        <f t="shared" si="14"/>
        <v>6937</v>
      </c>
    </row>
    <row r="171" spans="1:12" s="18" customFormat="1" ht="15" customHeight="1">
      <c r="A171" s="18">
        <v>2006</v>
      </c>
      <c r="B171" s="18" t="s">
        <v>45</v>
      </c>
      <c r="C171" s="61">
        <f t="shared" si="10"/>
        <v>0.83473763636935261</v>
      </c>
      <c r="D171" s="61">
        <f t="shared" si="11"/>
        <v>0.87049392632907652</v>
      </c>
      <c r="E171" s="61">
        <f t="shared" si="12"/>
        <v>0.9589241361964348</v>
      </c>
      <c r="F17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1" s="62">
        <f>+MITRE[[#This Row],[Trenes Programados]]+SARM[[#This Row],[Trenes Programados]]+URQ[[#This Row],[Trenes Programados]]+ROCA[[#This Row],[Trenes Programados]]+SM[[#This Row],[Trenes Programados]]+BN[[#This Row],[Trenes Programados]]+BS[[#This Row],[Trenes Programados]]+TDC[[#This Row],[Trenes Programados]]</f>
        <v>63614</v>
      </c>
      <c r="I171" s="62">
        <f t="shared" si="13"/>
        <v>2613</v>
      </c>
      <c r="J171" s="62">
        <f>+MITRE[[#This Row],[Trenes Corridos]]+SARM[[#This Row],[Trenes Corridos]]+URQ[[#This Row],[Trenes Corridos]]+ROCA[[#This Row],[Trenes Corridos]]+SM[[#This Row],[Trenes Corridos]]+BN[[#This Row],[Trenes Corridos]]+BS[[#This Row],[Trenes Corridos]]+TDC[[#This Row],[Trenes Corridos]]</f>
        <v>61001</v>
      </c>
      <c r="K171" s="62">
        <f>+MITRE[[#This Row],[Trenes Puntuales]]+SARM[[#This Row],[Trenes Puntuales]]+URQ[[#This Row],[Trenes Puntuales]]+ROCA[[#This Row],[Trenes Puntuales]]+SM[[#This Row],[Trenes Puntuales]]+BN[[#This Row],[Trenes Puntuales]]+BS[[#This Row],[Trenes Puntuales]]+TDC[[#This Row],[Trenes Puntuales]]</f>
        <v>53101</v>
      </c>
      <c r="L171" s="62">
        <f t="shared" si="14"/>
        <v>7900</v>
      </c>
    </row>
    <row r="172" spans="1:12" s="18" customFormat="1" ht="15" customHeight="1">
      <c r="A172" s="18">
        <v>2006</v>
      </c>
      <c r="B172" s="18" t="s">
        <v>46</v>
      </c>
      <c r="C172" s="61">
        <f t="shared" si="10"/>
        <v>0.82996803494002591</v>
      </c>
      <c r="D172" s="61">
        <f t="shared" si="11"/>
        <v>0.86357125216102737</v>
      </c>
      <c r="E172" s="61">
        <f t="shared" si="12"/>
        <v>0.96108807798208695</v>
      </c>
      <c r="F17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2" s="62">
        <f>+MITRE[[#This Row],[Trenes Programados]]+SARM[[#This Row],[Trenes Programados]]+URQ[[#This Row],[Trenes Programados]]+ROCA[[#This Row],[Trenes Programados]]+SM[[#This Row],[Trenes Programados]]+BN[[#This Row],[Trenes Programados]]+BS[[#This Row],[Trenes Programados]]+TDC[[#This Row],[Trenes Programados]]</f>
        <v>63194</v>
      </c>
      <c r="I172" s="62">
        <f t="shared" si="13"/>
        <v>2459</v>
      </c>
      <c r="J172" s="62">
        <f>+MITRE[[#This Row],[Trenes Corridos]]+SARM[[#This Row],[Trenes Corridos]]+URQ[[#This Row],[Trenes Corridos]]+ROCA[[#This Row],[Trenes Corridos]]+SM[[#This Row],[Trenes Corridos]]+BN[[#This Row],[Trenes Corridos]]+BS[[#This Row],[Trenes Corridos]]+TDC[[#This Row],[Trenes Corridos]]</f>
        <v>60735</v>
      </c>
      <c r="K172" s="62">
        <f>+MITRE[[#This Row],[Trenes Puntuales]]+SARM[[#This Row],[Trenes Puntuales]]+URQ[[#This Row],[Trenes Puntuales]]+ROCA[[#This Row],[Trenes Puntuales]]+SM[[#This Row],[Trenes Puntuales]]+BN[[#This Row],[Trenes Puntuales]]+BS[[#This Row],[Trenes Puntuales]]+TDC[[#This Row],[Trenes Puntuales]]</f>
        <v>52449</v>
      </c>
      <c r="L172" s="62">
        <f t="shared" si="14"/>
        <v>8286</v>
      </c>
    </row>
    <row r="173" spans="1:12" s="18" customFormat="1" ht="15" customHeight="1">
      <c r="A173" s="18">
        <v>2006</v>
      </c>
      <c r="B173" s="18" t="s">
        <v>47</v>
      </c>
      <c r="C173" s="61">
        <f t="shared" si="10"/>
        <v>0.80243678973847909</v>
      </c>
      <c r="D173" s="61">
        <f t="shared" si="11"/>
        <v>0.84693946796959829</v>
      </c>
      <c r="E173" s="61">
        <f t="shared" si="12"/>
        <v>0.94745471203767706</v>
      </c>
      <c r="F17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3" s="62">
        <f>+MITRE[[#This Row],[Trenes Programados]]+SARM[[#This Row],[Trenes Programados]]+URQ[[#This Row],[Trenes Programados]]+ROCA[[#This Row],[Trenes Programados]]+SM[[#This Row],[Trenes Programados]]+BN[[#This Row],[Trenes Programados]]+BS[[#This Row],[Trenes Programados]]+TDC[[#This Row],[Trenes Programados]]</f>
        <v>62213</v>
      </c>
      <c r="I173" s="62">
        <f t="shared" si="13"/>
        <v>3269</v>
      </c>
      <c r="J173" s="62">
        <f>+MITRE[[#This Row],[Trenes Corridos]]+SARM[[#This Row],[Trenes Corridos]]+URQ[[#This Row],[Trenes Corridos]]+ROCA[[#This Row],[Trenes Corridos]]+SM[[#This Row],[Trenes Corridos]]+BN[[#This Row],[Trenes Corridos]]+BS[[#This Row],[Trenes Corridos]]+TDC[[#This Row],[Trenes Corridos]]</f>
        <v>58944</v>
      </c>
      <c r="K173" s="62">
        <f>+MITRE[[#This Row],[Trenes Puntuales]]+SARM[[#This Row],[Trenes Puntuales]]+URQ[[#This Row],[Trenes Puntuales]]+ROCA[[#This Row],[Trenes Puntuales]]+SM[[#This Row],[Trenes Puntuales]]+BN[[#This Row],[Trenes Puntuales]]+BS[[#This Row],[Trenes Puntuales]]+TDC[[#This Row],[Trenes Puntuales]]</f>
        <v>49922</v>
      </c>
      <c r="L173" s="62">
        <f t="shared" si="14"/>
        <v>9022</v>
      </c>
    </row>
    <row r="174" spans="1:12" s="18" customFormat="1" ht="15" customHeight="1">
      <c r="A174" s="18">
        <v>2007</v>
      </c>
      <c r="B174" s="18" t="s">
        <v>36</v>
      </c>
      <c r="C174" s="61">
        <f t="shared" si="10"/>
        <v>0.83598760650658399</v>
      </c>
      <c r="D174" s="61">
        <f t="shared" si="11"/>
        <v>0.87619341430148734</v>
      </c>
      <c r="E174" s="61">
        <f t="shared" si="12"/>
        <v>0.95411309062742056</v>
      </c>
      <c r="F17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4" s="62">
        <f>+MITRE[[#This Row],[Trenes Programados]]+SARM[[#This Row],[Trenes Programados]]+URQ[[#This Row],[Trenes Programados]]+ROCA[[#This Row],[Trenes Programados]]+SM[[#This Row],[Trenes Programados]]+BN[[#This Row],[Trenes Programados]]+BS[[#This Row],[Trenes Programados]]+TDC[[#This Row],[Trenes Programados]]</f>
        <v>64550</v>
      </c>
      <c r="I174" s="62">
        <f t="shared" si="13"/>
        <v>2962</v>
      </c>
      <c r="J174" s="62">
        <f>+MITRE[[#This Row],[Trenes Corridos]]+SARM[[#This Row],[Trenes Corridos]]+URQ[[#This Row],[Trenes Corridos]]+ROCA[[#This Row],[Trenes Corridos]]+SM[[#This Row],[Trenes Corridos]]+BN[[#This Row],[Trenes Corridos]]+BS[[#This Row],[Trenes Corridos]]+TDC[[#This Row],[Trenes Corridos]]</f>
        <v>61588</v>
      </c>
      <c r="K174" s="62">
        <f>+MITRE[[#This Row],[Trenes Puntuales]]+SARM[[#This Row],[Trenes Puntuales]]+URQ[[#This Row],[Trenes Puntuales]]+ROCA[[#This Row],[Trenes Puntuales]]+SM[[#This Row],[Trenes Puntuales]]+BN[[#This Row],[Trenes Puntuales]]+BS[[#This Row],[Trenes Puntuales]]+TDC[[#This Row],[Trenes Puntuales]]</f>
        <v>53963</v>
      </c>
      <c r="L174" s="62">
        <f t="shared" si="14"/>
        <v>7625</v>
      </c>
    </row>
    <row r="175" spans="1:12" s="18" customFormat="1" ht="15" customHeight="1">
      <c r="A175" s="18">
        <v>2007</v>
      </c>
      <c r="B175" s="18" t="s">
        <v>37</v>
      </c>
      <c r="C175" s="61">
        <f t="shared" si="10"/>
        <v>0.79413570770647834</v>
      </c>
      <c r="D175" s="61">
        <f t="shared" si="11"/>
        <v>0.8354328165374677</v>
      </c>
      <c r="E175" s="61">
        <f t="shared" si="12"/>
        <v>0.95056800736874425</v>
      </c>
      <c r="F17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5" s="62">
        <f>+MITRE[[#This Row],[Trenes Programados]]+SARM[[#This Row],[Trenes Programados]]+URQ[[#This Row],[Trenes Programados]]+ROCA[[#This Row],[Trenes Programados]]+SM[[#This Row],[Trenes Programados]]+BN[[#This Row],[Trenes Programados]]+BS[[#This Row],[Trenes Programados]]+TDC[[#This Row],[Trenes Programados]]</f>
        <v>58626</v>
      </c>
      <c r="I175" s="62">
        <f t="shared" si="13"/>
        <v>2898</v>
      </c>
      <c r="J175" s="62">
        <f>+MITRE[[#This Row],[Trenes Corridos]]+SARM[[#This Row],[Trenes Corridos]]+URQ[[#This Row],[Trenes Corridos]]+ROCA[[#This Row],[Trenes Corridos]]+SM[[#This Row],[Trenes Corridos]]+BN[[#This Row],[Trenes Corridos]]+BS[[#This Row],[Trenes Corridos]]+TDC[[#This Row],[Trenes Corridos]]</f>
        <v>55728</v>
      </c>
      <c r="K175" s="62">
        <f>+MITRE[[#This Row],[Trenes Puntuales]]+SARM[[#This Row],[Trenes Puntuales]]+URQ[[#This Row],[Trenes Puntuales]]+ROCA[[#This Row],[Trenes Puntuales]]+SM[[#This Row],[Trenes Puntuales]]+BN[[#This Row],[Trenes Puntuales]]+BS[[#This Row],[Trenes Puntuales]]+TDC[[#This Row],[Trenes Puntuales]]</f>
        <v>46557</v>
      </c>
      <c r="L175" s="62">
        <f t="shared" si="14"/>
        <v>9171</v>
      </c>
    </row>
    <row r="176" spans="1:12" s="18" customFormat="1" ht="15" customHeight="1">
      <c r="A176" s="18">
        <v>2007</v>
      </c>
      <c r="B176" s="18" t="s">
        <v>38</v>
      </c>
      <c r="C176" s="61">
        <f t="shared" si="10"/>
        <v>0.7441400210278929</v>
      </c>
      <c r="D176" s="61">
        <f t="shared" si="11"/>
        <v>0.79521496315389451</v>
      </c>
      <c r="E176" s="61">
        <f t="shared" si="12"/>
        <v>0.93577215659595525</v>
      </c>
      <c r="F17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6" s="62">
        <f>+MITRE[[#This Row],[Trenes Programados]]+SARM[[#This Row],[Trenes Programados]]+URQ[[#This Row],[Trenes Programados]]+ROCA[[#This Row],[Trenes Programados]]+SM[[#This Row],[Trenes Programados]]+BN[[#This Row],[Trenes Programados]]+BS[[#This Row],[Trenes Programados]]+TDC[[#This Row],[Trenes Programados]]</f>
        <v>64676</v>
      </c>
      <c r="I176" s="62">
        <f t="shared" si="13"/>
        <v>4154</v>
      </c>
      <c r="J176" s="62">
        <f>+MITRE[[#This Row],[Trenes Corridos]]+SARM[[#This Row],[Trenes Corridos]]+URQ[[#This Row],[Trenes Corridos]]+ROCA[[#This Row],[Trenes Corridos]]+SM[[#This Row],[Trenes Corridos]]+BN[[#This Row],[Trenes Corridos]]+BS[[#This Row],[Trenes Corridos]]+TDC[[#This Row],[Trenes Corridos]]</f>
        <v>60522</v>
      </c>
      <c r="K176" s="62">
        <f>+MITRE[[#This Row],[Trenes Puntuales]]+SARM[[#This Row],[Trenes Puntuales]]+URQ[[#This Row],[Trenes Puntuales]]+ROCA[[#This Row],[Trenes Puntuales]]+SM[[#This Row],[Trenes Puntuales]]+BN[[#This Row],[Trenes Puntuales]]+BS[[#This Row],[Trenes Puntuales]]+TDC[[#This Row],[Trenes Puntuales]]</f>
        <v>48128</v>
      </c>
      <c r="L176" s="62">
        <f t="shared" si="14"/>
        <v>12394</v>
      </c>
    </row>
    <row r="177" spans="1:12" s="18" customFormat="1" ht="15" customHeight="1">
      <c r="A177" s="18">
        <v>2007</v>
      </c>
      <c r="B177" s="18" t="s">
        <v>39</v>
      </c>
      <c r="C177" s="61">
        <f t="shared" si="10"/>
        <v>0.7156543177192779</v>
      </c>
      <c r="D177" s="61">
        <f t="shared" si="11"/>
        <v>0.77718680370876159</v>
      </c>
      <c r="E177" s="61">
        <f t="shared" si="12"/>
        <v>0.92082664592881847</v>
      </c>
      <c r="F17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7" s="62">
        <f>+MITRE[[#This Row],[Trenes Programados]]+SARM[[#This Row],[Trenes Programados]]+URQ[[#This Row],[Trenes Programados]]+ROCA[[#This Row],[Trenes Programados]]+SM[[#This Row],[Trenes Programados]]+BN[[#This Row],[Trenes Programados]]+BS[[#This Row],[Trenes Programados]]+TDC[[#This Row],[Trenes Programados]]</f>
        <v>60437</v>
      </c>
      <c r="I177" s="62">
        <f t="shared" si="13"/>
        <v>4785</v>
      </c>
      <c r="J177" s="62">
        <f>+MITRE[[#This Row],[Trenes Corridos]]+SARM[[#This Row],[Trenes Corridos]]+URQ[[#This Row],[Trenes Corridos]]+ROCA[[#This Row],[Trenes Corridos]]+SM[[#This Row],[Trenes Corridos]]+BN[[#This Row],[Trenes Corridos]]+BS[[#This Row],[Trenes Corridos]]+TDC[[#This Row],[Trenes Corridos]]</f>
        <v>55652</v>
      </c>
      <c r="K177" s="62">
        <f>+MITRE[[#This Row],[Trenes Puntuales]]+SARM[[#This Row],[Trenes Puntuales]]+URQ[[#This Row],[Trenes Puntuales]]+ROCA[[#This Row],[Trenes Puntuales]]+SM[[#This Row],[Trenes Puntuales]]+BN[[#This Row],[Trenes Puntuales]]+BS[[#This Row],[Trenes Puntuales]]+TDC[[#This Row],[Trenes Puntuales]]</f>
        <v>43252</v>
      </c>
      <c r="L177" s="62">
        <f t="shared" si="14"/>
        <v>12400</v>
      </c>
    </row>
    <row r="178" spans="1:12" s="18" customFormat="1" ht="15" customHeight="1">
      <c r="A178" s="18">
        <v>2007</v>
      </c>
      <c r="B178" s="18" t="s">
        <v>40</v>
      </c>
      <c r="C178" s="61">
        <f t="shared" si="10"/>
        <v>0.73018388351951802</v>
      </c>
      <c r="D178" s="61">
        <f t="shared" si="11"/>
        <v>0.78063304091114949</v>
      </c>
      <c r="E178" s="61">
        <f t="shared" si="12"/>
        <v>0.93537404292707416</v>
      </c>
      <c r="F17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8" s="62">
        <f>+MITRE[[#This Row],[Trenes Programados]]+SARM[[#This Row],[Trenes Programados]]+URQ[[#This Row],[Trenes Programados]]+ROCA[[#This Row],[Trenes Programados]]+SM[[#This Row],[Trenes Programados]]+BN[[#This Row],[Trenes Programados]]+BS[[#This Row],[Trenes Programados]]+TDC[[#This Row],[Trenes Programados]]</f>
        <v>63736</v>
      </c>
      <c r="I178" s="62">
        <f t="shared" si="13"/>
        <v>4119</v>
      </c>
      <c r="J178" s="62">
        <f>+MITRE[[#This Row],[Trenes Corridos]]+SARM[[#This Row],[Trenes Corridos]]+URQ[[#This Row],[Trenes Corridos]]+ROCA[[#This Row],[Trenes Corridos]]+SM[[#This Row],[Trenes Corridos]]+BN[[#This Row],[Trenes Corridos]]+BS[[#This Row],[Trenes Corridos]]+TDC[[#This Row],[Trenes Corridos]]</f>
        <v>59617</v>
      </c>
      <c r="K178" s="62">
        <f>+MITRE[[#This Row],[Trenes Puntuales]]+SARM[[#This Row],[Trenes Puntuales]]+URQ[[#This Row],[Trenes Puntuales]]+ROCA[[#This Row],[Trenes Puntuales]]+SM[[#This Row],[Trenes Puntuales]]+BN[[#This Row],[Trenes Puntuales]]+BS[[#This Row],[Trenes Puntuales]]+TDC[[#This Row],[Trenes Puntuales]]</f>
        <v>46539</v>
      </c>
      <c r="L178" s="62">
        <f t="shared" si="14"/>
        <v>13078</v>
      </c>
    </row>
    <row r="179" spans="1:12" s="18" customFormat="1" ht="15" customHeight="1">
      <c r="A179" s="18">
        <v>2007</v>
      </c>
      <c r="B179" s="18" t="s">
        <v>41</v>
      </c>
      <c r="C179" s="61">
        <f t="shared" si="10"/>
        <v>0.74319400132799973</v>
      </c>
      <c r="D179" s="61">
        <f t="shared" si="11"/>
        <v>0.78874546673312596</v>
      </c>
      <c r="E179" s="61">
        <f t="shared" si="12"/>
        <v>0.94224820639059392</v>
      </c>
      <c r="F17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9" s="62">
        <f>+MITRE[[#This Row],[Trenes Programados]]+SARM[[#This Row],[Trenes Programados]]+URQ[[#This Row],[Trenes Programados]]+ROCA[[#This Row],[Trenes Programados]]+SM[[#This Row],[Trenes Programados]]+BN[[#This Row],[Trenes Programados]]+BS[[#This Row],[Trenes Programados]]+TDC[[#This Row],[Trenes Programados]]</f>
        <v>61747</v>
      </c>
      <c r="I179" s="62">
        <f t="shared" si="13"/>
        <v>3566</v>
      </c>
      <c r="J179" s="62">
        <f>+MITRE[[#This Row],[Trenes Corridos]]+SARM[[#This Row],[Trenes Corridos]]+URQ[[#This Row],[Trenes Corridos]]+ROCA[[#This Row],[Trenes Corridos]]+SM[[#This Row],[Trenes Corridos]]+BN[[#This Row],[Trenes Corridos]]+BS[[#This Row],[Trenes Corridos]]+TDC[[#This Row],[Trenes Corridos]]</f>
        <v>58181</v>
      </c>
      <c r="K179" s="62">
        <f>+MITRE[[#This Row],[Trenes Puntuales]]+SARM[[#This Row],[Trenes Puntuales]]+URQ[[#This Row],[Trenes Puntuales]]+ROCA[[#This Row],[Trenes Puntuales]]+SM[[#This Row],[Trenes Puntuales]]+BN[[#This Row],[Trenes Puntuales]]+BS[[#This Row],[Trenes Puntuales]]+TDC[[#This Row],[Trenes Puntuales]]</f>
        <v>45890</v>
      </c>
      <c r="L179" s="62">
        <f t="shared" si="14"/>
        <v>12291</v>
      </c>
    </row>
    <row r="180" spans="1:12" s="18" customFormat="1" ht="15" customHeight="1">
      <c r="A180" s="18">
        <v>2007</v>
      </c>
      <c r="B180" s="18" t="s">
        <v>42</v>
      </c>
      <c r="C180" s="61">
        <f t="shared" si="10"/>
        <v>0.79401668245856571</v>
      </c>
      <c r="D180" s="61">
        <f t="shared" si="11"/>
        <v>0.83672433830389736</v>
      </c>
      <c r="E180" s="61">
        <f t="shared" si="12"/>
        <v>0.94895851131580178</v>
      </c>
      <c r="F18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0" s="62">
        <f>+MITRE[[#This Row],[Trenes Programados]]+SARM[[#This Row],[Trenes Programados]]+URQ[[#This Row],[Trenes Programados]]+ROCA[[#This Row],[Trenes Programados]]+SM[[#This Row],[Trenes Programados]]+BN[[#This Row],[Trenes Programados]]+BS[[#This Row],[Trenes Programados]]+TDC[[#This Row],[Trenes Programados]]</f>
        <v>64379</v>
      </c>
      <c r="I180" s="62">
        <f t="shared" si="13"/>
        <v>3286</v>
      </c>
      <c r="J180" s="62">
        <f>+MITRE[[#This Row],[Trenes Corridos]]+SARM[[#This Row],[Trenes Corridos]]+URQ[[#This Row],[Trenes Corridos]]+ROCA[[#This Row],[Trenes Corridos]]+SM[[#This Row],[Trenes Corridos]]+BN[[#This Row],[Trenes Corridos]]+BS[[#This Row],[Trenes Corridos]]+TDC[[#This Row],[Trenes Corridos]]</f>
        <v>61093</v>
      </c>
      <c r="K180" s="62">
        <f>+MITRE[[#This Row],[Trenes Puntuales]]+SARM[[#This Row],[Trenes Puntuales]]+URQ[[#This Row],[Trenes Puntuales]]+ROCA[[#This Row],[Trenes Puntuales]]+SM[[#This Row],[Trenes Puntuales]]+BN[[#This Row],[Trenes Puntuales]]+BS[[#This Row],[Trenes Puntuales]]+TDC[[#This Row],[Trenes Puntuales]]</f>
        <v>51118</v>
      </c>
      <c r="L180" s="62">
        <f t="shared" si="14"/>
        <v>9975</v>
      </c>
    </row>
    <row r="181" spans="1:12" s="18" customFormat="1" ht="15" customHeight="1">
      <c r="A181" s="18">
        <v>2007</v>
      </c>
      <c r="B181" s="18" t="s">
        <v>43</v>
      </c>
      <c r="C181" s="61">
        <f t="shared" si="10"/>
        <v>0.80639057588427376</v>
      </c>
      <c r="D181" s="61">
        <f t="shared" si="11"/>
        <v>0.83943832004320618</v>
      </c>
      <c r="E181" s="61">
        <f t="shared" si="12"/>
        <v>0.96063112277596363</v>
      </c>
      <c r="F18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1" s="62">
        <f>+MITRE[[#This Row],[Trenes Programados]]+SARM[[#This Row],[Trenes Programados]]+URQ[[#This Row],[Trenes Programados]]+ROCA[[#This Row],[Trenes Programados]]+SM[[#This Row],[Trenes Programados]]+BN[[#This Row],[Trenes Programados]]+BS[[#This Row],[Trenes Programados]]+TDC[[#This Row],[Trenes Programados]]</f>
        <v>65534</v>
      </c>
      <c r="I181" s="62">
        <f t="shared" si="13"/>
        <v>2580</v>
      </c>
      <c r="J181" s="62">
        <f>+MITRE[[#This Row],[Trenes Corridos]]+SARM[[#This Row],[Trenes Corridos]]+URQ[[#This Row],[Trenes Corridos]]+ROCA[[#This Row],[Trenes Corridos]]+SM[[#This Row],[Trenes Corridos]]+BN[[#This Row],[Trenes Corridos]]+BS[[#This Row],[Trenes Corridos]]+TDC[[#This Row],[Trenes Corridos]]</f>
        <v>62954</v>
      </c>
      <c r="K181" s="62">
        <f>+MITRE[[#This Row],[Trenes Puntuales]]+SARM[[#This Row],[Trenes Puntuales]]+URQ[[#This Row],[Trenes Puntuales]]+ROCA[[#This Row],[Trenes Puntuales]]+SM[[#This Row],[Trenes Puntuales]]+BN[[#This Row],[Trenes Puntuales]]+BS[[#This Row],[Trenes Puntuales]]+TDC[[#This Row],[Trenes Puntuales]]</f>
        <v>52846</v>
      </c>
      <c r="L181" s="62">
        <f t="shared" si="14"/>
        <v>10108</v>
      </c>
    </row>
    <row r="182" spans="1:12" s="18" customFormat="1" ht="15" customHeight="1">
      <c r="A182" s="18">
        <v>2007</v>
      </c>
      <c r="B182" s="18" t="s">
        <v>44</v>
      </c>
      <c r="C182" s="61">
        <f t="shared" si="10"/>
        <v>0.78969141323792491</v>
      </c>
      <c r="D182" s="61">
        <f t="shared" si="11"/>
        <v>0.82677257525083614</v>
      </c>
      <c r="E182" s="61">
        <f t="shared" si="12"/>
        <v>0.95514950166112955</v>
      </c>
      <c r="F18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2" s="62">
        <f>+MITRE[[#This Row],[Trenes Programados]]+SARM[[#This Row],[Trenes Programados]]+URQ[[#This Row],[Trenes Programados]]+ROCA[[#This Row],[Trenes Programados]]+SM[[#This Row],[Trenes Programados]]+BN[[#This Row],[Trenes Programados]]+BS[[#This Row],[Trenes Programados]]+TDC[[#This Row],[Trenes Programados]]</f>
        <v>62608</v>
      </c>
      <c r="I182" s="62">
        <f t="shared" si="13"/>
        <v>2808</v>
      </c>
      <c r="J182" s="62">
        <f>+MITRE[[#This Row],[Trenes Corridos]]+SARM[[#This Row],[Trenes Corridos]]+URQ[[#This Row],[Trenes Corridos]]+ROCA[[#This Row],[Trenes Corridos]]+SM[[#This Row],[Trenes Corridos]]+BN[[#This Row],[Trenes Corridos]]+BS[[#This Row],[Trenes Corridos]]+TDC[[#This Row],[Trenes Corridos]]</f>
        <v>59800</v>
      </c>
      <c r="K182" s="62">
        <f>+MITRE[[#This Row],[Trenes Puntuales]]+SARM[[#This Row],[Trenes Puntuales]]+URQ[[#This Row],[Trenes Puntuales]]+ROCA[[#This Row],[Trenes Puntuales]]+SM[[#This Row],[Trenes Puntuales]]+BN[[#This Row],[Trenes Puntuales]]+BS[[#This Row],[Trenes Puntuales]]+TDC[[#This Row],[Trenes Puntuales]]</f>
        <v>49441</v>
      </c>
      <c r="L182" s="62">
        <f t="shared" si="14"/>
        <v>10359</v>
      </c>
    </row>
    <row r="183" spans="1:12" s="18" customFormat="1" ht="15" customHeight="1">
      <c r="A183" s="18">
        <v>2007</v>
      </c>
      <c r="B183" s="18" t="s">
        <v>45</v>
      </c>
      <c r="C183" s="61">
        <f t="shared" si="10"/>
        <v>0.8118042138191186</v>
      </c>
      <c r="D183" s="61">
        <f t="shared" si="11"/>
        <v>0.8516206868816858</v>
      </c>
      <c r="E183" s="61">
        <f t="shared" si="12"/>
        <v>0.95324623547091114</v>
      </c>
      <c r="F18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3" s="62">
        <f>+MITRE[[#This Row],[Trenes Programados]]+SARM[[#This Row],[Trenes Programados]]+URQ[[#This Row],[Trenes Programados]]+ROCA[[#This Row],[Trenes Programados]]+SM[[#This Row],[Trenes Programados]]+BN[[#This Row],[Trenes Programados]]+BS[[#This Row],[Trenes Programados]]+TDC[[#This Row],[Trenes Programados]]</f>
        <v>65214</v>
      </c>
      <c r="I183" s="62">
        <f t="shared" si="13"/>
        <v>3049</v>
      </c>
      <c r="J183" s="62">
        <f>+MITRE[[#This Row],[Trenes Corridos]]+SARM[[#This Row],[Trenes Corridos]]+URQ[[#This Row],[Trenes Corridos]]+ROCA[[#This Row],[Trenes Corridos]]+SM[[#This Row],[Trenes Corridos]]+BN[[#This Row],[Trenes Corridos]]+BS[[#This Row],[Trenes Corridos]]+TDC[[#This Row],[Trenes Corridos]]</f>
        <v>62165</v>
      </c>
      <c r="K183" s="62">
        <f>+MITRE[[#This Row],[Trenes Puntuales]]+SARM[[#This Row],[Trenes Puntuales]]+URQ[[#This Row],[Trenes Puntuales]]+ROCA[[#This Row],[Trenes Puntuales]]+SM[[#This Row],[Trenes Puntuales]]+BN[[#This Row],[Trenes Puntuales]]+BS[[#This Row],[Trenes Puntuales]]+TDC[[#This Row],[Trenes Puntuales]]</f>
        <v>52941</v>
      </c>
      <c r="L183" s="62">
        <f t="shared" si="14"/>
        <v>9224</v>
      </c>
    </row>
    <row r="184" spans="1:12" s="18" customFormat="1" ht="15" customHeight="1">
      <c r="A184" s="18">
        <v>2007</v>
      </c>
      <c r="B184" s="18" t="s">
        <v>46</v>
      </c>
      <c r="C184" s="61">
        <f t="shared" si="10"/>
        <v>0.83643216080402005</v>
      </c>
      <c r="D184" s="61">
        <f t="shared" si="11"/>
        <v>0.86858111964515761</v>
      </c>
      <c r="E184" s="61">
        <f t="shared" si="12"/>
        <v>0.96298680904522616</v>
      </c>
      <c r="F18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4" s="62">
        <f>+MITRE[[#This Row],[Trenes Programados]]+SARM[[#This Row],[Trenes Programados]]+URQ[[#This Row],[Trenes Programados]]+ROCA[[#This Row],[Trenes Programados]]+SM[[#This Row],[Trenes Programados]]+BN[[#This Row],[Trenes Programados]]+BS[[#This Row],[Trenes Programados]]+TDC[[#This Row],[Trenes Programados]]</f>
        <v>63680</v>
      </c>
      <c r="I184" s="62">
        <f t="shared" si="13"/>
        <v>2357</v>
      </c>
      <c r="J184" s="62">
        <f>+MITRE[[#This Row],[Trenes Corridos]]+SARM[[#This Row],[Trenes Corridos]]+URQ[[#This Row],[Trenes Corridos]]+ROCA[[#This Row],[Trenes Corridos]]+SM[[#This Row],[Trenes Corridos]]+BN[[#This Row],[Trenes Corridos]]+BS[[#This Row],[Trenes Corridos]]+TDC[[#This Row],[Trenes Corridos]]</f>
        <v>61323</v>
      </c>
      <c r="K184" s="62">
        <f>+MITRE[[#This Row],[Trenes Puntuales]]+SARM[[#This Row],[Trenes Puntuales]]+URQ[[#This Row],[Trenes Puntuales]]+ROCA[[#This Row],[Trenes Puntuales]]+SM[[#This Row],[Trenes Puntuales]]+BN[[#This Row],[Trenes Puntuales]]+BS[[#This Row],[Trenes Puntuales]]+TDC[[#This Row],[Trenes Puntuales]]</f>
        <v>53264</v>
      </c>
      <c r="L184" s="62">
        <f t="shared" si="14"/>
        <v>8059</v>
      </c>
    </row>
    <row r="185" spans="1:12" s="18" customFormat="1" ht="15" customHeight="1">
      <c r="A185" s="18">
        <v>2007</v>
      </c>
      <c r="B185" s="18" t="s">
        <v>47</v>
      </c>
      <c r="C185" s="61">
        <f t="shared" si="10"/>
        <v>0.85273842651151022</v>
      </c>
      <c r="D185" s="61">
        <f t="shared" si="11"/>
        <v>0.88781708340878041</v>
      </c>
      <c r="E185" s="61">
        <f t="shared" si="12"/>
        <v>0.96048886921325571</v>
      </c>
      <c r="F18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5" s="62">
        <f>+MITRE[[#This Row],[Trenes Programados]]+SARM[[#This Row],[Trenes Programados]]+URQ[[#This Row],[Trenes Programados]]+ROCA[[#This Row],[Trenes Programados]]+SM[[#This Row],[Trenes Programados]]+BN[[#This Row],[Trenes Programados]]+BS[[#This Row],[Trenes Programados]]+TDC[[#This Row],[Trenes Programados]]</f>
        <v>63248</v>
      </c>
      <c r="I185" s="62">
        <f t="shared" si="13"/>
        <v>2499</v>
      </c>
      <c r="J185" s="62">
        <f>+MITRE[[#This Row],[Trenes Corridos]]+SARM[[#This Row],[Trenes Corridos]]+URQ[[#This Row],[Trenes Corridos]]+ROCA[[#This Row],[Trenes Corridos]]+SM[[#This Row],[Trenes Corridos]]+BN[[#This Row],[Trenes Corridos]]+BS[[#This Row],[Trenes Corridos]]+TDC[[#This Row],[Trenes Corridos]]</f>
        <v>60749</v>
      </c>
      <c r="K185" s="62">
        <f>+MITRE[[#This Row],[Trenes Puntuales]]+SARM[[#This Row],[Trenes Puntuales]]+URQ[[#This Row],[Trenes Puntuales]]+ROCA[[#This Row],[Trenes Puntuales]]+SM[[#This Row],[Trenes Puntuales]]+BN[[#This Row],[Trenes Puntuales]]+BS[[#This Row],[Trenes Puntuales]]+TDC[[#This Row],[Trenes Puntuales]]</f>
        <v>53934</v>
      </c>
      <c r="L185" s="62">
        <f t="shared" si="14"/>
        <v>6815</v>
      </c>
    </row>
    <row r="186" spans="1:12" s="18" customFormat="1" ht="15" customHeight="1">
      <c r="A186" s="18">
        <v>2008</v>
      </c>
      <c r="B186" s="18" t="s">
        <v>36</v>
      </c>
      <c r="C186" s="61">
        <f t="shared" si="10"/>
        <v>0.84385003693671512</v>
      </c>
      <c r="D186" s="61">
        <f t="shared" si="11"/>
        <v>0.90841313496139697</v>
      </c>
      <c r="E186" s="61">
        <f t="shared" si="12"/>
        <v>0.92892760403841423</v>
      </c>
      <c r="F18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6" s="62">
        <f>+MITRE[[#This Row],[Trenes Programados]]+SARM[[#This Row],[Trenes Programados]]+URQ[[#This Row],[Trenes Programados]]+ROCA[[#This Row],[Trenes Programados]]+SM[[#This Row],[Trenes Programados]]+BN[[#This Row],[Trenes Programados]]+BS[[#This Row],[Trenes Programados]]+TDC[[#This Row],[Trenes Programados]]</f>
        <v>64976</v>
      </c>
      <c r="I186" s="62">
        <f t="shared" si="13"/>
        <v>4618</v>
      </c>
      <c r="J186" s="62">
        <f>+MITRE[[#This Row],[Trenes Corridos]]+SARM[[#This Row],[Trenes Corridos]]+URQ[[#This Row],[Trenes Corridos]]+ROCA[[#This Row],[Trenes Corridos]]+SM[[#This Row],[Trenes Corridos]]+BN[[#This Row],[Trenes Corridos]]+BS[[#This Row],[Trenes Corridos]]+TDC[[#This Row],[Trenes Corridos]]</f>
        <v>60358</v>
      </c>
      <c r="K186" s="62">
        <f>+MITRE[[#This Row],[Trenes Puntuales]]+SARM[[#This Row],[Trenes Puntuales]]+URQ[[#This Row],[Trenes Puntuales]]+ROCA[[#This Row],[Trenes Puntuales]]+SM[[#This Row],[Trenes Puntuales]]+BN[[#This Row],[Trenes Puntuales]]+BS[[#This Row],[Trenes Puntuales]]+TDC[[#This Row],[Trenes Puntuales]]</f>
        <v>54830</v>
      </c>
      <c r="L186" s="62">
        <f t="shared" si="14"/>
        <v>5528</v>
      </c>
    </row>
    <row r="187" spans="1:12" s="18" customFormat="1" ht="15" customHeight="1">
      <c r="A187" s="18">
        <v>2008</v>
      </c>
      <c r="B187" s="18" t="s">
        <v>37</v>
      </c>
      <c r="C187" s="61">
        <f t="shared" si="10"/>
        <v>0.80898270167751218</v>
      </c>
      <c r="D187" s="61">
        <f t="shared" si="11"/>
        <v>0.84298492205468945</v>
      </c>
      <c r="E187" s="61">
        <f t="shared" si="12"/>
        <v>0.95966449756384686</v>
      </c>
      <c r="F18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7" s="62">
        <f>+MITRE[[#This Row],[Trenes Programados]]+SARM[[#This Row],[Trenes Programados]]+URQ[[#This Row],[Trenes Programados]]+ROCA[[#This Row],[Trenes Programados]]+SM[[#This Row],[Trenes Programados]]+BN[[#This Row],[Trenes Programados]]+BS[[#This Row],[Trenes Programados]]+TDC[[#This Row],[Trenes Programados]]</f>
        <v>61162</v>
      </c>
      <c r="I187" s="62">
        <f t="shared" si="13"/>
        <v>2467</v>
      </c>
      <c r="J187" s="62">
        <f>+MITRE[[#This Row],[Trenes Corridos]]+SARM[[#This Row],[Trenes Corridos]]+URQ[[#This Row],[Trenes Corridos]]+ROCA[[#This Row],[Trenes Corridos]]+SM[[#This Row],[Trenes Corridos]]+BN[[#This Row],[Trenes Corridos]]+BS[[#This Row],[Trenes Corridos]]+TDC[[#This Row],[Trenes Corridos]]</f>
        <v>58695</v>
      </c>
      <c r="K187" s="62">
        <f>+MITRE[[#This Row],[Trenes Puntuales]]+SARM[[#This Row],[Trenes Puntuales]]+URQ[[#This Row],[Trenes Puntuales]]+ROCA[[#This Row],[Trenes Puntuales]]+SM[[#This Row],[Trenes Puntuales]]+BN[[#This Row],[Trenes Puntuales]]+BS[[#This Row],[Trenes Puntuales]]+TDC[[#This Row],[Trenes Puntuales]]</f>
        <v>49479</v>
      </c>
      <c r="L187" s="62">
        <f t="shared" si="14"/>
        <v>9216</v>
      </c>
    </row>
    <row r="188" spans="1:12" s="18" customFormat="1" ht="15" customHeight="1">
      <c r="A188" s="18">
        <v>2008</v>
      </c>
      <c r="B188" s="18" t="s">
        <v>38</v>
      </c>
      <c r="C188" s="61">
        <f t="shared" si="10"/>
        <v>0.83386632555164697</v>
      </c>
      <c r="D188" s="61">
        <f t="shared" si="11"/>
        <v>0.86563200265582207</v>
      </c>
      <c r="E188" s="61">
        <f t="shared" si="12"/>
        <v>0.96330348576910774</v>
      </c>
      <c r="F18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8" s="62">
        <f>+MITRE[[#This Row],[Trenes Programados]]+SARM[[#This Row],[Trenes Programados]]+URQ[[#This Row],[Trenes Programados]]+ROCA[[#This Row],[Trenes Programados]]+SM[[#This Row],[Trenes Programados]]+BN[[#This Row],[Trenes Programados]]+BS[[#This Row],[Trenes Programados]]+TDC[[#This Row],[Trenes Programados]]</f>
        <v>62540</v>
      </c>
      <c r="I188" s="62">
        <f t="shared" si="13"/>
        <v>2295</v>
      </c>
      <c r="J188" s="62">
        <f>+MITRE[[#This Row],[Trenes Corridos]]+SARM[[#This Row],[Trenes Corridos]]+URQ[[#This Row],[Trenes Corridos]]+ROCA[[#This Row],[Trenes Corridos]]+SM[[#This Row],[Trenes Corridos]]+BN[[#This Row],[Trenes Corridos]]+BS[[#This Row],[Trenes Corridos]]+TDC[[#This Row],[Trenes Corridos]]</f>
        <v>60245</v>
      </c>
      <c r="K188" s="62">
        <f>+MITRE[[#This Row],[Trenes Puntuales]]+SARM[[#This Row],[Trenes Puntuales]]+URQ[[#This Row],[Trenes Puntuales]]+ROCA[[#This Row],[Trenes Puntuales]]+SM[[#This Row],[Trenes Puntuales]]+BN[[#This Row],[Trenes Puntuales]]+BS[[#This Row],[Trenes Puntuales]]+TDC[[#This Row],[Trenes Puntuales]]</f>
        <v>52150</v>
      </c>
      <c r="L188" s="62">
        <f t="shared" si="14"/>
        <v>8095</v>
      </c>
    </row>
    <row r="189" spans="1:12" s="18" customFormat="1" ht="15" customHeight="1">
      <c r="A189" s="18">
        <v>2008</v>
      </c>
      <c r="B189" s="18" t="s">
        <v>39</v>
      </c>
      <c r="C189" s="61">
        <f t="shared" si="10"/>
        <v>0.8279692258374739</v>
      </c>
      <c r="D189" s="61">
        <f t="shared" si="11"/>
        <v>0.86057708326391902</v>
      </c>
      <c r="E189" s="61">
        <f t="shared" si="12"/>
        <v>0.96210931238980602</v>
      </c>
      <c r="F18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9" s="62">
        <f>+MITRE[[#This Row],[Trenes Programados]]+SARM[[#This Row],[Trenes Programados]]+URQ[[#This Row],[Trenes Programados]]+ROCA[[#This Row],[Trenes Programados]]+SM[[#This Row],[Trenes Programados]]+BN[[#This Row],[Trenes Programados]]+BS[[#This Row],[Trenes Programados]]+TDC[[#This Row],[Trenes Programados]]</f>
        <v>62390</v>
      </c>
      <c r="I189" s="62">
        <f t="shared" si="13"/>
        <v>2364</v>
      </c>
      <c r="J189" s="62">
        <f>+MITRE[[#This Row],[Trenes Corridos]]+SARM[[#This Row],[Trenes Corridos]]+URQ[[#This Row],[Trenes Corridos]]+ROCA[[#This Row],[Trenes Corridos]]+SM[[#This Row],[Trenes Corridos]]+BN[[#This Row],[Trenes Corridos]]+BS[[#This Row],[Trenes Corridos]]+TDC[[#This Row],[Trenes Corridos]]</f>
        <v>60026</v>
      </c>
      <c r="K189" s="62">
        <f>+MITRE[[#This Row],[Trenes Puntuales]]+SARM[[#This Row],[Trenes Puntuales]]+URQ[[#This Row],[Trenes Puntuales]]+ROCA[[#This Row],[Trenes Puntuales]]+SM[[#This Row],[Trenes Puntuales]]+BN[[#This Row],[Trenes Puntuales]]+BS[[#This Row],[Trenes Puntuales]]+TDC[[#This Row],[Trenes Puntuales]]</f>
        <v>51657</v>
      </c>
      <c r="L189" s="62">
        <f t="shared" si="14"/>
        <v>8369</v>
      </c>
    </row>
    <row r="190" spans="1:12" s="18" customFormat="1" ht="15" customHeight="1">
      <c r="A190" s="18">
        <v>2008</v>
      </c>
      <c r="B190" s="18" t="s">
        <v>40</v>
      </c>
      <c r="C190" s="61">
        <f t="shared" si="10"/>
        <v>0.84511711150883195</v>
      </c>
      <c r="D190" s="61">
        <f t="shared" si="11"/>
        <v>0.87280003857466604</v>
      </c>
      <c r="E190" s="61">
        <f t="shared" si="12"/>
        <v>0.9682826239203175</v>
      </c>
      <c r="F19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0" s="62">
        <f>+MITRE[[#This Row],[Trenes Programados]]+SARM[[#This Row],[Trenes Programados]]+URQ[[#This Row],[Trenes Programados]]+ROCA[[#This Row],[Trenes Programados]]+SM[[#This Row],[Trenes Programados]]+BN[[#This Row],[Trenes Programados]]+BS[[#This Row],[Trenes Programados]]+TDC[[#This Row],[Trenes Programados]]</f>
        <v>64255</v>
      </c>
      <c r="I190" s="62">
        <f t="shared" si="13"/>
        <v>2038</v>
      </c>
      <c r="J190" s="62">
        <f>+MITRE[[#This Row],[Trenes Corridos]]+SARM[[#This Row],[Trenes Corridos]]+URQ[[#This Row],[Trenes Corridos]]+ROCA[[#This Row],[Trenes Corridos]]+SM[[#This Row],[Trenes Corridos]]+BN[[#This Row],[Trenes Corridos]]+BS[[#This Row],[Trenes Corridos]]+TDC[[#This Row],[Trenes Corridos]]</f>
        <v>62217</v>
      </c>
      <c r="K190" s="62">
        <f>+MITRE[[#This Row],[Trenes Puntuales]]+SARM[[#This Row],[Trenes Puntuales]]+URQ[[#This Row],[Trenes Puntuales]]+ROCA[[#This Row],[Trenes Puntuales]]+SM[[#This Row],[Trenes Puntuales]]+BN[[#This Row],[Trenes Puntuales]]+BS[[#This Row],[Trenes Puntuales]]+TDC[[#This Row],[Trenes Puntuales]]</f>
        <v>54303</v>
      </c>
      <c r="L190" s="62">
        <f t="shared" si="14"/>
        <v>7914</v>
      </c>
    </row>
    <row r="191" spans="1:12" s="18" customFormat="1" ht="15" customHeight="1">
      <c r="A191" s="18">
        <v>2008</v>
      </c>
      <c r="B191" s="18" t="s">
        <v>41</v>
      </c>
      <c r="C191" s="61">
        <f t="shared" si="10"/>
        <v>0.83871387659463681</v>
      </c>
      <c r="D191" s="61">
        <f t="shared" si="11"/>
        <v>0.86816796078893732</v>
      </c>
      <c r="E191" s="61">
        <f t="shared" si="12"/>
        <v>0.96607328820619631</v>
      </c>
      <c r="F19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1" s="62">
        <f>+MITRE[[#This Row],[Trenes Programados]]+SARM[[#This Row],[Trenes Programados]]+URQ[[#This Row],[Trenes Programados]]+ROCA[[#This Row],[Trenes Programados]]+SM[[#This Row],[Trenes Programados]]+BN[[#This Row],[Trenes Programados]]+BS[[#This Row],[Trenes Programados]]+TDC[[#This Row],[Trenes Programados]]</f>
        <v>61456</v>
      </c>
      <c r="I191" s="62">
        <f t="shared" si="13"/>
        <v>2085</v>
      </c>
      <c r="J191" s="62">
        <f>+MITRE[[#This Row],[Trenes Corridos]]+SARM[[#This Row],[Trenes Corridos]]+URQ[[#This Row],[Trenes Corridos]]+ROCA[[#This Row],[Trenes Corridos]]+SM[[#This Row],[Trenes Corridos]]+BN[[#This Row],[Trenes Corridos]]+BS[[#This Row],[Trenes Corridos]]+TDC[[#This Row],[Trenes Corridos]]</f>
        <v>59371</v>
      </c>
      <c r="K191" s="62">
        <f>+MITRE[[#This Row],[Trenes Puntuales]]+SARM[[#This Row],[Trenes Puntuales]]+URQ[[#This Row],[Trenes Puntuales]]+ROCA[[#This Row],[Trenes Puntuales]]+SM[[#This Row],[Trenes Puntuales]]+BN[[#This Row],[Trenes Puntuales]]+BS[[#This Row],[Trenes Puntuales]]+TDC[[#This Row],[Trenes Puntuales]]</f>
        <v>51544</v>
      </c>
      <c r="L191" s="62">
        <f t="shared" si="14"/>
        <v>7827</v>
      </c>
    </row>
    <row r="192" spans="1:12" s="18" customFormat="1" ht="15" customHeight="1">
      <c r="A192" s="18">
        <v>2008</v>
      </c>
      <c r="B192" s="18" t="s">
        <v>42</v>
      </c>
      <c r="C192" s="61">
        <f t="shared" si="10"/>
        <v>0.82938831825847004</v>
      </c>
      <c r="D192" s="61">
        <f t="shared" si="11"/>
        <v>0.86594852423330559</v>
      </c>
      <c r="E192" s="61">
        <f t="shared" si="12"/>
        <v>0.95778016250191633</v>
      </c>
      <c r="F19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2" s="62">
        <f>+MITRE[[#This Row],[Trenes Programados]]+SARM[[#This Row],[Trenes Programados]]+URQ[[#This Row],[Trenes Programados]]+ROCA[[#This Row],[Trenes Programados]]+SM[[#This Row],[Trenes Programados]]+BN[[#This Row],[Trenes Programados]]+BS[[#This Row],[Trenes Programados]]+TDC[[#This Row],[Trenes Programados]]</f>
        <v>65230</v>
      </c>
      <c r="I192" s="62">
        <f t="shared" si="13"/>
        <v>2754</v>
      </c>
      <c r="J192" s="62">
        <f>+MITRE[[#This Row],[Trenes Corridos]]+SARM[[#This Row],[Trenes Corridos]]+URQ[[#This Row],[Trenes Corridos]]+ROCA[[#This Row],[Trenes Corridos]]+SM[[#This Row],[Trenes Corridos]]+BN[[#This Row],[Trenes Corridos]]+BS[[#This Row],[Trenes Corridos]]+TDC[[#This Row],[Trenes Corridos]]</f>
        <v>62476</v>
      </c>
      <c r="K192" s="62">
        <f>+MITRE[[#This Row],[Trenes Puntuales]]+SARM[[#This Row],[Trenes Puntuales]]+URQ[[#This Row],[Trenes Puntuales]]+ROCA[[#This Row],[Trenes Puntuales]]+SM[[#This Row],[Trenes Puntuales]]+BN[[#This Row],[Trenes Puntuales]]+BS[[#This Row],[Trenes Puntuales]]+TDC[[#This Row],[Trenes Puntuales]]</f>
        <v>54101</v>
      </c>
      <c r="L192" s="62">
        <f t="shared" si="14"/>
        <v>8375</v>
      </c>
    </row>
    <row r="193" spans="1:12" s="18" customFormat="1" ht="15" customHeight="1">
      <c r="A193" s="18">
        <v>2008</v>
      </c>
      <c r="B193" s="18" t="s">
        <v>43</v>
      </c>
      <c r="C193" s="61">
        <f t="shared" si="10"/>
        <v>0.84973495478640471</v>
      </c>
      <c r="D193" s="61">
        <f t="shared" si="11"/>
        <v>0.88501696896870885</v>
      </c>
      <c r="E193" s="61">
        <f t="shared" si="12"/>
        <v>0.96013408169628933</v>
      </c>
      <c r="F19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3" s="62">
        <f>+MITRE[[#This Row],[Trenes Programados]]+SARM[[#This Row],[Trenes Programados]]+URQ[[#This Row],[Trenes Programados]]+ROCA[[#This Row],[Trenes Programados]]+SM[[#This Row],[Trenes Programados]]+BN[[#This Row],[Trenes Programados]]+BS[[#This Row],[Trenes Programados]]+TDC[[#This Row],[Trenes Programados]]</f>
        <v>64140</v>
      </c>
      <c r="I193" s="62">
        <f t="shared" si="13"/>
        <v>2557</v>
      </c>
      <c r="J193" s="62">
        <f>+MITRE[[#This Row],[Trenes Corridos]]+SARM[[#This Row],[Trenes Corridos]]+URQ[[#This Row],[Trenes Corridos]]+ROCA[[#This Row],[Trenes Corridos]]+SM[[#This Row],[Trenes Corridos]]+BN[[#This Row],[Trenes Corridos]]+BS[[#This Row],[Trenes Corridos]]+TDC[[#This Row],[Trenes Corridos]]</f>
        <v>61583</v>
      </c>
      <c r="K193" s="62">
        <f>+MITRE[[#This Row],[Trenes Puntuales]]+SARM[[#This Row],[Trenes Puntuales]]+URQ[[#This Row],[Trenes Puntuales]]+ROCA[[#This Row],[Trenes Puntuales]]+SM[[#This Row],[Trenes Puntuales]]+BN[[#This Row],[Trenes Puntuales]]+BS[[#This Row],[Trenes Puntuales]]+TDC[[#This Row],[Trenes Puntuales]]</f>
        <v>54502</v>
      </c>
      <c r="L193" s="62">
        <f t="shared" si="14"/>
        <v>7081</v>
      </c>
    </row>
    <row r="194" spans="1:12" s="18" customFormat="1" ht="15" customHeight="1">
      <c r="A194" s="18">
        <v>2008</v>
      </c>
      <c r="B194" s="18" t="s">
        <v>44</v>
      </c>
      <c r="C194" s="61">
        <f t="shared" si="10"/>
        <v>0.84261467246458133</v>
      </c>
      <c r="D194" s="61">
        <f t="shared" si="11"/>
        <v>0.88741341387347761</v>
      </c>
      <c r="E194" s="61">
        <f t="shared" si="12"/>
        <v>0.94951761973784699</v>
      </c>
      <c r="F19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4" s="62">
        <f>+MITRE[[#This Row],[Trenes Programados]]+SARM[[#This Row],[Trenes Programados]]+URQ[[#This Row],[Trenes Programados]]+ROCA[[#This Row],[Trenes Programados]]+SM[[#This Row],[Trenes Programados]]+BN[[#This Row],[Trenes Programados]]+BS[[#This Row],[Trenes Programados]]+TDC[[#This Row],[Trenes Programados]]</f>
        <v>64161</v>
      </c>
      <c r="I194" s="62">
        <f t="shared" si="13"/>
        <v>3239</v>
      </c>
      <c r="J194" s="62">
        <f>+MITRE[[#This Row],[Trenes Corridos]]+SARM[[#This Row],[Trenes Corridos]]+URQ[[#This Row],[Trenes Corridos]]+ROCA[[#This Row],[Trenes Corridos]]+SM[[#This Row],[Trenes Corridos]]+BN[[#This Row],[Trenes Corridos]]+BS[[#This Row],[Trenes Corridos]]+TDC[[#This Row],[Trenes Corridos]]</f>
        <v>60922</v>
      </c>
      <c r="K194" s="62">
        <f>+MITRE[[#This Row],[Trenes Puntuales]]+SARM[[#This Row],[Trenes Puntuales]]+URQ[[#This Row],[Trenes Puntuales]]+ROCA[[#This Row],[Trenes Puntuales]]+SM[[#This Row],[Trenes Puntuales]]+BN[[#This Row],[Trenes Puntuales]]+BS[[#This Row],[Trenes Puntuales]]+TDC[[#This Row],[Trenes Puntuales]]</f>
        <v>54063</v>
      </c>
      <c r="L194" s="62">
        <f t="shared" si="14"/>
        <v>6859</v>
      </c>
    </row>
    <row r="195" spans="1:12" s="18" customFormat="1" ht="15" customHeight="1">
      <c r="A195" s="18">
        <v>2008</v>
      </c>
      <c r="B195" s="18" t="s">
        <v>45</v>
      </c>
      <c r="C195" s="61">
        <f t="shared" si="10"/>
        <v>0.86522183415437648</v>
      </c>
      <c r="D195" s="61">
        <f t="shared" si="11"/>
        <v>0.88603245505802242</v>
      </c>
      <c r="E195" s="61">
        <f t="shared" si="12"/>
        <v>0.97651257492336085</v>
      </c>
      <c r="F19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5" s="62">
        <f>+MITRE[[#This Row],[Trenes Programados]]+SARM[[#This Row],[Trenes Programados]]+URQ[[#This Row],[Trenes Programados]]+ROCA[[#This Row],[Trenes Programados]]+SM[[#This Row],[Trenes Programados]]+BN[[#This Row],[Trenes Programados]]+BS[[#This Row],[Trenes Programados]]+TDC[[#This Row],[Trenes Programados]]</f>
        <v>65567</v>
      </c>
      <c r="I195" s="62">
        <f t="shared" si="13"/>
        <v>1540</v>
      </c>
      <c r="J195" s="62">
        <f>+MITRE[[#This Row],[Trenes Corridos]]+SARM[[#This Row],[Trenes Corridos]]+URQ[[#This Row],[Trenes Corridos]]+ROCA[[#This Row],[Trenes Corridos]]+SM[[#This Row],[Trenes Corridos]]+BN[[#This Row],[Trenes Corridos]]+BS[[#This Row],[Trenes Corridos]]+TDC[[#This Row],[Trenes Corridos]]</f>
        <v>64027</v>
      </c>
      <c r="K195" s="62">
        <f>+MITRE[[#This Row],[Trenes Puntuales]]+SARM[[#This Row],[Trenes Puntuales]]+URQ[[#This Row],[Trenes Puntuales]]+ROCA[[#This Row],[Trenes Puntuales]]+SM[[#This Row],[Trenes Puntuales]]+BN[[#This Row],[Trenes Puntuales]]+BS[[#This Row],[Trenes Puntuales]]+TDC[[#This Row],[Trenes Puntuales]]</f>
        <v>56730</v>
      </c>
      <c r="L195" s="62">
        <f t="shared" si="14"/>
        <v>7297</v>
      </c>
    </row>
    <row r="196" spans="1:12" s="18" customFormat="1" ht="15" customHeight="1">
      <c r="A196" s="18">
        <v>2008</v>
      </c>
      <c r="B196" s="18" t="s">
        <v>46</v>
      </c>
      <c r="C196" s="61">
        <f t="shared" si="10"/>
        <v>0.85658822219039887</v>
      </c>
      <c r="D196" s="61">
        <f t="shared" si="11"/>
        <v>0.88898062981983916</v>
      </c>
      <c r="E196" s="61">
        <f t="shared" si="12"/>
        <v>0.96356230209874771</v>
      </c>
      <c r="F19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6" s="62">
        <f>+MITRE[[#This Row],[Trenes Programados]]+SARM[[#This Row],[Trenes Programados]]+URQ[[#This Row],[Trenes Programados]]+ROCA[[#This Row],[Trenes Programados]]+SM[[#This Row],[Trenes Programados]]+BN[[#This Row],[Trenes Programados]]+BS[[#This Row],[Trenes Programados]]+TDC[[#This Row],[Trenes Programados]]</f>
        <v>62847</v>
      </c>
      <c r="I196" s="62">
        <f t="shared" si="13"/>
        <v>2290</v>
      </c>
      <c r="J196" s="62">
        <f>+MITRE[[#This Row],[Trenes Corridos]]+SARM[[#This Row],[Trenes Corridos]]+URQ[[#This Row],[Trenes Corridos]]+ROCA[[#This Row],[Trenes Corridos]]+SM[[#This Row],[Trenes Corridos]]+BN[[#This Row],[Trenes Corridos]]+BS[[#This Row],[Trenes Corridos]]+TDC[[#This Row],[Trenes Corridos]]</f>
        <v>60557</v>
      </c>
      <c r="K196" s="62">
        <f>+MITRE[[#This Row],[Trenes Puntuales]]+SARM[[#This Row],[Trenes Puntuales]]+URQ[[#This Row],[Trenes Puntuales]]+ROCA[[#This Row],[Trenes Puntuales]]+SM[[#This Row],[Trenes Puntuales]]+BN[[#This Row],[Trenes Puntuales]]+BS[[#This Row],[Trenes Puntuales]]+TDC[[#This Row],[Trenes Puntuales]]</f>
        <v>53834</v>
      </c>
      <c r="L196" s="62">
        <f t="shared" si="14"/>
        <v>6723</v>
      </c>
    </row>
    <row r="197" spans="1:12" s="18" customFormat="1" ht="15" customHeight="1">
      <c r="A197" s="18">
        <v>2008</v>
      </c>
      <c r="B197" s="18" t="s">
        <v>47</v>
      </c>
      <c r="C197" s="61">
        <f t="shared" si="10"/>
        <v>0.87321544702858378</v>
      </c>
      <c r="D197" s="61">
        <f t="shared" si="11"/>
        <v>0.90236175115207373</v>
      </c>
      <c r="E197" s="61">
        <f t="shared" si="12"/>
        <v>0.96769997832213306</v>
      </c>
      <c r="F19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7" s="62">
        <f>+MITRE[[#This Row],[Trenes Programados]]+SARM[[#This Row],[Trenes Programados]]+URQ[[#This Row],[Trenes Programados]]+ROCA[[#This Row],[Trenes Programados]]+SM[[#This Row],[Trenes Programados]]+BN[[#This Row],[Trenes Programados]]+BS[[#This Row],[Trenes Programados]]+TDC[[#This Row],[Trenes Programados]]</f>
        <v>64582</v>
      </c>
      <c r="I197" s="62">
        <f t="shared" si="13"/>
        <v>2086</v>
      </c>
      <c r="J197" s="62">
        <f>+MITRE[[#This Row],[Trenes Corridos]]+SARM[[#This Row],[Trenes Corridos]]+URQ[[#This Row],[Trenes Corridos]]+ROCA[[#This Row],[Trenes Corridos]]+SM[[#This Row],[Trenes Corridos]]+BN[[#This Row],[Trenes Corridos]]+BS[[#This Row],[Trenes Corridos]]+TDC[[#This Row],[Trenes Corridos]]</f>
        <v>62496</v>
      </c>
      <c r="K197" s="62">
        <f>+MITRE[[#This Row],[Trenes Puntuales]]+SARM[[#This Row],[Trenes Puntuales]]+URQ[[#This Row],[Trenes Puntuales]]+ROCA[[#This Row],[Trenes Puntuales]]+SM[[#This Row],[Trenes Puntuales]]+BN[[#This Row],[Trenes Puntuales]]+BS[[#This Row],[Trenes Puntuales]]+TDC[[#This Row],[Trenes Puntuales]]</f>
        <v>56394</v>
      </c>
      <c r="L197" s="62">
        <f t="shared" si="14"/>
        <v>6102</v>
      </c>
    </row>
    <row r="198" spans="1:12" s="18" customFormat="1" ht="15" customHeight="1">
      <c r="A198" s="18">
        <v>2009</v>
      </c>
      <c r="B198" s="18" t="s">
        <v>36</v>
      </c>
      <c r="C198" s="61">
        <f t="shared" si="10"/>
        <v>0.88381023533806502</v>
      </c>
      <c r="D198" s="61">
        <f t="shared" si="11"/>
        <v>0.91123230269137745</v>
      </c>
      <c r="E198" s="61">
        <f t="shared" si="12"/>
        <v>0.96990661187896898</v>
      </c>
      <c r="F19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8" s="62">
        <f>+MITRE[[#This Row],[Trenes Programados]]+SARM[[#This Row],[Trenes Programados]]+URQ[[#This Row],[Trenes Programados]]+ROCA[[#This Row],[Trenes Programados]]+SM[[#This Row],[Trenes Programados]]+BN[[#This Row],[Trenes Programados]]+BS[[#This Row],[Trenes Programados]]+TDC[[#This Row],[Trenes Programados]]</f>
        <v>66925</v>
      </c>
      <c r="I198" s="62">
        <f t="shared" si="13"/>
        <v>2014</v>
      </c>
      <c r="J198" s="62">
        <f>+MITRE[[#This Row],[Trenes Corridos]]+SARM[[#This Row],[Trenes Corridos]]+URQ[[#This Row],[Trenes Corridos]]+ROCA[[#This Row],[Trenes Corridos]]+SM[[#This Row],[Trenes Corridos]]+BN[[#This Row],[Trenes Corridos]]+BS[[#This Row],[Trenes Corridos]]+TDC[[#This Row],[Trenes Corridos]]</f>
        <v>64911</v>
      </c>
      <c r="K198" s="62">
        <f>+MITRE[[#This Row],[Trenes Puntuales]]+SARM[[#This Row],[Trenes Puntuales]]+URQ[[#This Row],[Trenes Puntuales]]+ROCA[[#This Row],[Trenes Puntuales]]+SM[[#This Row],[Trenes Puntuales]]+BN[[#This Row],[Trenes Puntuales]]+BS[[#This Row],[Trenes Puntuales]]+TDC[[#This Row],[Trenes Puntuales]]</f>
        <v>59149</v>
      </c>
      <c r="L198" s="62">
        <f t="shared" si="14"/>
        <v>5762</v>
      </c>
    </row>
    <row r="199" spans="1:12" s="18" customFormat="1" ht="15" customHeight="1">
      <c r="A199" s="18">
        <v>2009</v>
      </c>
      <c r="B199" s="18" t="s">
        <v>37</v>
      </c>
      <c r="C199" s="61">
        <f t="shared" ref="C199:C262" si="15">+K199/H199</f>
        <v>0.88879282218597067</v>
      </c>
      <c r="D199" s="61">
        <f t="shared" ref="D199:D262" si="16">+K199/J199</f>
        <v>0.91090416638801575</v>
      </c>
      <c r="E199" s="61">
        <f t="shared" ref="E199:E262" si="17">+J199/H199</f>
        <v>0.97572593800978791</v>
      </c>
      <c r="F19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9" s="62">
        <f>+MITRE[[#This Row],[Trenes Programados]]+SARM[[#This Row],[Trenes Programados]]+URQ[[#This Row],[Trenes Programados]]+ROCA[[#This Row],[Trenes Programados]]+SM[[#This Row],[Trenes Programados]]+BN[[#This Row],[Trenes Programados]]+BS[[#This Row],[Trenes Programados]]+TDC[[#This Row],[Trenes Programados]]</f>
        <v>61300</v>
      </c>
      <c r="I199" s="62">
        <f t="shared" ref="I199:I262" si="18">+H199-J199</f>
        <v>1488</v>
      </c>
      <c r="J199" s="62">
        <f>+MITRE[[#This Row],[Trenes Corridos]]+SARM[[#This Row],[Trenes Corridos]]+URQ[[#This Row],[Trenes Corridos]]+ROCA[[#This Row],[Trenes Corridos]]+SM[[#This Row],[Trenes Corridos]]+BN[[#This Row],[Trenes Corridos]]+BS[[#This Row],[Trenes Corridos]]+TDC[[#This Row],[Trenes Corridos]]</f>
        <v>59812</v>
      </c>
      <c r="K199" s="62">
        <f>+MITRE[[#This Row],[Trenes Puntuales]]+SARM[[#This Row],[Trenes Puntuales]]+URQ[[#This Row],[Trenes Puntuales]]+ROCA[[#This Row],[Trenes Puntuales]]+SM[[#This Row],[Trenes Puntuales]]+BN[[#This Row],[Trenes Puntuales]]+BS[[#This Row],[Trenes Puntuales]]+TDC[[#This Row],[Trenes Puntuales]]</f>
        <v>54483</v>
      </c>
      <c r="L199" s="62">
        <f t="shared" ref="L199:L262" si="19">+J199-K199</f>
        <v>5329</v>
      </c>
    </row>
    <row r="200" spans="1:12" s="18" customFormat="1" ht="15" customHeight="1">
      <c r="A200" s="18">
        <v>2009</v>
      </c>
      <c r="B200" s="18" t="s">
        <v>38</v>
      </c>
      <c r="C200" s="61">
        <f t="shared" si="15"/>
        <v>0.86330805616037243</v>
      </c>
      <c r="D200" s="61">
        <f t="shared" si="16"/>
        <v>0.88709901402582969</v>
      </c>
      <c r="E200" s="61">
        <f t="shared" si="17"/>
        <v>0.97318116975748925</v>
      </c>
      <c r="F20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0" s="62">
        <f>+MITRE[[#This Row],[Trenes Programados]]+SARM[[#This Row],[Trenes Programados]]+URQ[[#This Row],[Trenes Programados]]+ROCA[[#This Row],[Trenes Programados]]+SM[[#This Row],[Trenes Programados]]+BN[[#This Row],[Trenes Programados]]+BS[[#This Row],[Trenes Programados]]+TDC[[#This Row],[Trenes Programados]]</f>
        <v>66595</v>
      </c>
      <c r="I200" s="62">
        <f t="shared" si="18"/>
        <v>1786</v>
      </c>
      <c r="J200" s="62">
        <f>+MITRE[[#This Row],[Trenes Corridos]]+SARM[[#This Row],[Trenes Corridos]]+URQ[[#This Row],[Trenes Corridos]]+ROCA[[#This Row],[Trenes Corridos]]+SM[[#This Row],[Trenes Corridos]]+BN[[#This Row],[Trenes Corridos]]+BS[[#This Row],[Trenes Corridos]]+TDC[[#This Row],[Trenes Corridos]]</f>
        <v>64809</v>
      </c>
      <c r="K200" s="62">
        <f>+MITRE[[#This Row],[Trenes Puntuales]]+SARM[[#This Row],[Trenes Puntuales]]+URQ[[#This Row],[Trenes Puntuales]]+ROCA[[#This Row],[Trenes Puntuales]]+SM[[#This Row],[Trenes Puntuales]]+BN[[#This Row],[Trenes Puntuales]]+BS[[#This Row],[Trenes Puntuales]]+TDC[[#This Row],[Trenes Puntuales]]</f>
        <v>57492</v>
      </c>
      <c r="L200" s="62">
        <f t="shared" si="19"/>
        <v>7317</v>
      </c>
    </row>
    <row r="201" spans="1:12" s="18" customFormat="1" ht="15" customHeight="1">
      <c r="A201" s="18">
        <v>2009</v>
      </c>
      <c r="B201" s="18" t="s">
        <v>39</v>
      </c>
      <c r="C201" s="61">
        <f t="shared" si="15"/>
        <v>0.85397518920184134</v>
      </c>
      <c r="D201" s="61">
        <f t="shared" si="16"/>
        <v>0.88653998801250589</v>
      </c>
      <c r="E201" s="61">
        <f t="shared" si="17"/>
        <v>0.96326753530467346</v>
      </c>
      <c r="F20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1" s="62">
        <f>+MITRE[[#This Row],[Trenes Programados]]+SARM[[#This Row],[Trenes Programados]]+URQ[[#This Row],[Trenes Programados]]+ROCA[[#This Row],[Trenes Programados]]+SM[[#This Row],[Trenes Programados]]+BN[[#This Row],[Trenes Programados]]+BS[[#This Row],[Trenes Programados]]+TDC[[#This Row],[Trenes Programados]]</f>
        <v>64085</v>
      </c>
      <c r="I201" s="62">
        <f t="shared" si="18"/>
        <v>2354</v>
      </c>
      <c r="J201" s="62">
        <f>+MITRE[[#This Row],[Trenes Corridos]]+SARM[[#This Row],[Trenes Corridos]]+URQ[[#This Row],[Trenes Corridos]]+ROCA[[#This Row],[Trenes Corridos]]+SM[[#This Row],[Trenes Corridos]]+BN[[#This Row],[Trenes Corridos]]+BS[[#This Row],[Trenes Corridos]]+TDC[[#This Row],[Trenes Corridos]]</f>
        <v>61731</v>
      </c>
      <c r="K201" s="62">
        <f>+MITRE[[#This Row],[Trenes Puntuales]]+SARM[[#This Row],[Trenes Puntuales]]+URQ[[#This Row],[Trenes Puntuales]]+ROCA[[#This Row],[Trenes Puntuales]]+SM[[#This Row],[Trenes Puntuales]]+BN[[#This Row],[Trenes Puntuales]]+BS[[#This Row],[Trenes Puntuales]]+TDC[[#This Row],[Trenes Puntuales]]</f>
        <v>54727</v>
      </c>
      <c r="L201" s="62">
        <f t="shared" si="19"/>
        <v>7004</v>
      </c>
    </row>
    <row r="202" spans="1:12" s="18" customFormat="1" ht="15" customHeight="1">
      <c r="A202" s="18">
        <v>2009</v>
      </c>
      <c r="B202" s="18" t="s">
        <v>40</v>
      </c>
      <c r="C202" s="61">
        <f t="shared" si="15"/>
        <v>0.85272624209091052</v>
      </c>
      <c r="D202" s="61">
        <f t="shared" si="16"/>
        <v>0.87493712273641855</v>
      </c>
      <c r="E202" s="61">
        <f t="shared" si="17"/>
        <v>0.9746143121964671</v>
      </c>
      <c r="F20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2" s="62">
        <f>+MITRE[[#This Row],[Trenes Programados]]+SARM[[#This Row],[Trenes Programados]]+URQ[[#This Row],[Trenes Programados]]+ROCA[[#This Row],[Trenes Programados]]+SM[[#This Row],[Trenes Programados]]+BN[[#This Row],[Trenes Programados]]+BS[[#This Row],[Trenes Programados]]+TDC[[#This Row],[Trenes Programados]]</f>
        <v>65273</v>
      </c>
      <c r="I202" s="62">
        <f t="shared" si="18"/>
        <v>1657</v>
      </c>
      <c r="J202" s="62">
        <f>+MITRE[[#This Row],[Trenes Corridos]]+SARM[[#This Row],[Trenes Corridos]]+URQ[[#This Row],[Trenes Corridos]]+ROCA[[#This Row],[Trenes Corridos]]+SM[[#This Row],[Trenes Corridos]]+BN[[#This Row],[Trenes Corridos]]+BS[[#This Row],[Trenes Corridos]]+TDC[[#This Row],[Trenes Corridos]]</f>
        <v>63616</v>
      </c>
      <c r="K202" s="62">
        <f>+MITRE[[#This Row],[Trenes Puntuales]]+SARM[[#This Row],[Trenes Puntuales]]+URQ[[#This Row],[Trenes Puntuales]]+ROCA[[#This Row],[Trenes Puntuales]]+SM[[#This Row],[Trenes Puntuales]]+BN[[#This Row],[Trenes Puntuales]]+BS[[#This Row],[Trenes Puntuales]]+TDC[[#This Row],[Trenes Puntuales]]</f>
        <v>55660</v>
      </c>
      <c r="L202" s="62">
        <f t="shared" si="19"/>
        <v>7956</v>
      </c>
    </row>
    <row r="203" spans="1:12" s="18" customFormat="1" ht="15" customHeight="1">
      <c r="A203" s="18">
        <v>2009</v>
      </c>
      <c r="B203" s="18" t="s">
        <v>41</v>
      </c>
      <c r="C203" s="61">
        <f t="shared" si="15"/>
        <v>0.85648501113110309</v>
      </c>
      <c r="D203" s="61">
        <f t="shared" si="16"/>
        <v>0.88039372423629725</v>
      </c>
      <c r="E203" s="61">
        <f t="shared" si="17"/>
        <v>0.97284315818364797</v>
      </c>
      <c r="F20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3" s="62">
        <f>+MITRE[[#This Row],[Trenes Programados]]+SARM[[#This Row],[Trenes Programados]]+URQ[[#This Row],[Trenes Programados]]+ROCA[[#This Row],[Trenes Programados]]+SM[[#This Row],[Trenes Programados]]+BN[[#This Row],[Trenes Programados]]+BS[[#This Row],[Trenes Programados]]+TDC[[#This Row],[Trenes Programados]]</f>
        <v>65582</v>
      </c>
      <c r="I203" s="62">
        <f t="shared" si="18"/>
        <v>1781</v>
      </c>
      <c r="J203" s="62">
        <f>+MITRE[[#This Row],[Trenes Corridos]]+SARM[[#This Row],[Trenes Corridos]]+URQ[[#This Row],[Trenes Corridos]]+ROCA[[#This Row],[Trenes Corridos]]+SM[[#This Row],[Trenes Corridos]]+BN[[#This Row],[Trenes Corridos]]+BS[[#This Row],[Trenes Corridos]]+TDC[[#This Row],[Trenes Corridos]]</f>
        <v>63801</v>
      </c>
      <c r="K203" s="62">
        <f>+MITRE[[#This Row],[Trenes Puntuales]]+SARM[[#This Row],[Trenes Puntuales]]+URQ[[#This Row],[Trenes Puntuales]]+ROCA[[#This Row],[Trenes Puntuales]]+SM[[#This Row],[Trenes Puntuales]]+BN[[#This Row],[Trenes Puntuales]]+BS[[#This Row],[Trenes Puntuales]]+TDC[[#This Row],[Trenes Puntuales]]</f>
        <v>56170</v>
      </c>
      <c r="L203" s="62">
        <f t="shared" si="19"/>
        <v>7631</v>
      </c>
    </row>
    <row r="204" spans="1:12" s="18" customFormat="1" ht="15" customHeight="1">
      <c r="A204" s="18">
        <v>2009</v>
      </c>
      <c r="B204" s="18" t="s">
        <v>42</v>
      </c>
      <c r="C204" s="61">
        <f t="shared" si="15"/>
        <v>0.87533175946155994</v>
      </c>
      <c r="D204" s="61">
        <f t="shared" si="16"/>
        <v>0.90385343326519796</v>
      </c>
      <c r="E204" s="61">
        <f t="shared" si="17"/>
        <v>0.96844435972256848</v>
      </c>
      <c r="F20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4" s="62">
        <f>+MITRE[[#This Row],[Trenes Programados]]+SARM[[#This Row],[Trenes Programados]]+URQ[[#This Row],[Trenes Programados]]+ROCA[[#This Row],[Trenes Programados]]+SM[[#This Row],[Trenes Programados]]+BN[[#This Row],[Trenes Programados]]+BS[[#This Row],[Trenes Programados]]+TDC[[#This Row],[Trenes Programados]]</f>
        <v>68197</v>
      </c>
      <c r="I204" s="62">
        <f t="shared" si="18"/>
        <v>2152</v>
      </c>
      <c r="J204" s="62">
        <f>+MITRE[[#This Row],[Trenes Corridos]]+SARM[[#This Row],[Trenes Corridos]]+URQ[[#This Row],[Trenes Corridos]]+ROCA[[#This Row],[Trenes Corridos]]+SM[[#This Row],[Trenes Corridos]]+BN[[#This Row],[Trenes Corridos]]+BS[[#This Row],[Trenes Corridos]]+TDC[[#This Row],[Trenes Corridos]]</f>
        <v>66045</v>
      </c>
      <c r="K204" s="62">
        <f>+MITRE[[#This Row],[Trenes Puntuales]]+SARM[[#This Row],[Trenes Puntuales]]+URQ[[#This Row],[Trenes Puntuales]]+ROCA[[#This Row],[Trenes Puntuales]]+SM[[#This Row],[Trenes Puntuales]]+BN[[#This Row],[Trenes Puntuales]]+BS[[#This Row],[Trenes Puntuales]]+TDC[[#This Row],[Trenes Puntuales]]</f>
        <v>59695</v>
      </c>
      <c r="L204" s="62">
        <f t="shared" si="19"/>
        <v>6350</v>
      </c>
    </row>
    <row r="205" spans="1:12" s="18" customFormat="1" ht="15" customHeight="1">
      <c r="A205" s="18">
        <v>2009</v>
      </c>
      <c r="B205" s="18" t="s">
        <v>43</v>
      </c>
      <c r="C205" s="61">
        <f t="shared" si="15"/>
        <v>0.85876671619613665</v>
      </c>
      <c r="D205" s="61">
        <f t="shared" si="16"/>
        <v>0.87986785616417507</v>
      </c>
      <c r="E205" s="61">
        <f t="shared" si="17"/>
        <v>0.97601783060921243</v>
      </c>
      <c r="F20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5" s="62">
        <f>+MITRE[[#This Row],[Trenes Programados]]+SARM[[#This Row],[Trenes Programados]]+URQ[[#This Row],[Trenes Programados]]+ROCA[[#This Row],[Trenes Programados]]+SM[[#This Row],[Trenes Programados]]+BN[[#This Row],[Trenes Programados]]+BS[[#This Row],[Trenes Programados]]+TDC[[#This Row],[Trenes Programados]]</f>
        <v>67300</v>
      </c>
      <c r="I205" s="62">
        <f t="shared" si="18"/>
        <v>1614</v>
      </c>
      <c r="J205" s="62">
        <f>+MITRE[[#This Row],[Trenes Corridos]]+SARM[[#This Row],[Trenes Corridos]]+URQ[[#This Row],[Trenes Corridos]]+ROCA[[#This Row],[Trenes Corridos]]+SM[[#This Row],[Trenes Corridos]]+BN[[#This Row],[Trenes Corridos]]+BS[[#This Row],[Trenes Corridos]]+TDC[[#This Row],[Trenes Corridos]]</f>
        <v>65686</v>
      </c>
      <c r="K205" s="62">
        <f>+MITRE[[#This Row],[Trenes Puntuales]]+SARM[[#This Row],[Trenes Puntuales]]+URQ[[#This Row],[Trenes Puntuales]]+ROCA[[#This Row],[Trenes Puntuales]]+SM[[#This Row],[Trenes Puntuales]]+BN[[#This Row],[Trenes Puntuales]]+BS[[#This Row],[Trenes Puntuales]]+TDC[[#This Row],[Trenes Puntuales]]</f>
        <v>57795</v>
      </c>
      <c r="L205" s="62">
        <f t="shared" si="19"/>
        <v>7891</v>
      </c>
    </row>
    <row r="206" spans="1:12" s="18" customFormat="1" ht="15" customHeight="1">
      <c r="A206" s="18">
        <v>2009</v>
      </c>
      <c r="B206" s="18" t="s">
        <v>44</v>
      </c>
      <c r="C206" s="61">
        <f t="shared" si="15"/>
        <v>0.85690718585122982</v>
      </c>
      <c r="D206" s="61">
        <f t="shared" si="16"/>
        <v>0.8797760009765625</v>
      </c>
      <c r="E206" s="61">
        <f t="shared" si="17"/>
        <v>0.97400609348294565</v>
      </c>
      <c r="F20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6" s="62">
        <f>+MITRE[[#This Row],[Trenes Programados]]+SARM[[#This Row],[Trenes Programados]]+URQ[[#This Row],[Trenes Programados]]+ROCA[[#This Row],[Trenes Programados]]+SM[[#This Row],[Trenes Programados]]+BN[[#This Row],[Trenes Programados]]+BS[[#This Row],[Trenes Programados]]+TDC[[#This Row],[Trenes Programados]]</f>
        <v>67285</v>
      </c>
      <c r="I206" s="62">
        <f t="shared" si="18"/>
        <v>1749</v>
      </c>
      <c r="J206" s="62">
        <f>+MITRE[[#This Row],[Trenes Corridos]]+SARM[[#This Row],[Trenes Corridos]]+URQ[[#This Row],[Trenes Corridos]]+ROCA[[#This Row],[Trenes Corridos]]+SM[[#This Row],[Trenes Corridos]]+BN[[#This Row],[Trenes Corridos]]+BS[[#This Row],[Trenes Corridos]]+TDC[[#This Row],[Trenes Corridos]]</f>
        <v>65536</v>
      </c>
      <c r="K206" s="62">
        <f>+MITRE[[#This Row],[Trenes Puntuales]]+SARM[[#This Row],[Trenes Puntuales]]+URQ[[#This Row],[Trenes Puntuales]]+ROCA[[#This Row],[Trenes Puntuales]]+SM[[#This Row],[Trenes Puntuales]]+BN[[#This Row],[Trenes Puntuales]]+BS[[#This Row],[Trenes Puntuales]]+TDC[[#This Row],[Trenes Puntuales]]</f>
        <v>57657</v>
      </c>
      <c r="L206" s="62">
        <f t="shared" si="19"/>
        <v>7879</v>
      </c>
    </row>
    <row r="207" spans="1:12" s="18" customFormat="1" ht="15" customHeight="1">
      <c r="A207" s="18">
        <v>2009</v>
      </c>
      <c r="B207" s="18" t="s">
        <v>45</v>
      </c>
      <c r="C207" s="61">
        <f t="shared" si="15"/>
        <v>0.85395974334183</v>
      </c>
      <c r="D207" s="61">
        <f t="shared" si="16"/>
        <v>0.87602001713177946</v>
      </c>
      <c r="E207" s="61">
        <f t="shared" si="17"/>
        <v>0.97481761448536519</v>
      </c>
      <c r="F20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7" s="62">
        <f>+MITRE[[#This Row],[Trenes Programados]]+SARM[[#This Row],[Trenes Programados]]+URQ[[#This Row],[Trenes Programados]]+ROCA[[#This Row],[Trenes Programados]]+SM[[#This Row],[Trenes Programados]]+BN[[#This Row],[Trenes Programados]]+BS[[#This Row],[Trenes Programados]]+TDC[[#This Row],[Trenes Programados]]</f>
        <v>68262</v>
      </c>
      <c r="I207" s="62">
        <f t="shared" si="18"/>
        <v>1719</v>
      </c>
      <c r="J207" s="62">
        <f>+MITRE[[#This Row],[Trenes Corridos]]+SARM[[#This Row],[Trenes Corridos]]+URQ[[#This Row],[Trenes Corridos]]+ROCA[[#This Row],[Trenes Corridos]]+SM[[#This Row],[Trenes Corridos]]+BN[[#This Row],[Trenes Corridos]]+BS[[#This Row],[Trenes Corridos]]+TDC[[#This Row],[Trenes Corridos]]</f>
        <v>66543</v>
      </c>
      <c r="K207" s="62">
        <f>+MITRE[[#This Row],[Trenes Puntuales]]+SARM[[#This Row],[Trenes Puntuales]]+URQ[[#This Row],[Trenes Puntuales]]+ROCA[[#This Row],[Trenes Puntuales]]+SM[[#This Row],[Trenes Puntuales]]+BN[[#This Row],[Trenes Puntuales]]+BS[[#This Row],[Trenes Puntuales]]+TDC[[#This Row],[Trenes Puntuales]]</f>
        <v>58293</v>
      </c>
      <c r="L207" s="62">
        <f t="shared" si="19"/>
        <v>8250</v>
      </c>
    </row>
    <row r="208" spans="1:12" s="18" customFormat="1" ht="15" customHeight="1">
      <c r="A208" s="18">
        <v>2009</v>
      </c>
      <c r="B208" s="18" t="s">
        <v>46</v>
      </c>
      <c r="C208" s="61">
        <f t="shared" si="15"/>
        <v>0.86585991489875369</v>
      </c>
      <c r="D208" s="61">
        <f t="shared" si="16"/>
        <v>0.88957787526935062</v>
      </c>
      <c r="E208" s="61">
        <f t="shared" si="17"/>
        <v>0.97333796058786248</v>
      </c>
      <c r="F20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8" s="62">
        <f>+MITRE[[#This Row],[Trenes Programados]]+SARM[[#This Row],[Trenes Programados]]+URQ[[#This Row],[Trenes Programados]]+ROCA[[#This Row],[Trenes Programados]]+SM[[#This Row],[Trenes Programados]]+BN[[#This Row],[Trenes Programados]]+BS[[#This Row],[Trenes Programados]]+TDC[[#This Row],[Trenes Programados]]</f>
        <v>66274</v>
      </c>
      <c r="I208" s="62">
        <f t="shared" si="18"/>
        <v>1767</v>
      </c>
      <c r="J208" s="62">
        <f>+MITRE[[#This Row],[Trenes Corridos]]+SARM[[#This Row],[Trenes Corridos]]+URQ[[#This Row],[Trenes Corridos]]+ROCA[[#This Row],[Trenes Corridos]]+SM[[#This Row],[Trenes Corridos]]+BN[[#This Row],[Trenes Corridos]]+BS[[#This Row],[Trenes Corridos]]+TDC[[#This Row],[Trenes Corridos]]</f>
        <v>64507</v>
      </c>
      <c r="K208" s="62">
        <f>+MITRE[[#This Row],[Trenes Puntuales]]+SARM[[#This Row],[Trenes Puntuales]]+URQ[[#This Row],[Trenes Puntuales]]+ROCA[[#This Row],[Trenes Puntuales]]+SM[[#This Row],[Trenes Puntuales]]+BN[[#This Row],[Trenes Puntuales]]+BS[[#This Row],[Trenes Puntuales]]+TDC[[#This Row],[Trenes Puntuales]]</f>
        <v>57384</v>
      </c>
      <c r="L208" s="62">
        <f t="shared" si="19"/>
        <v>7123</v>
      </c>
    </row>
    <row r="209" spans="1:12" s="18" customFormat="1" ht="15" customHeight="1">
      <c r="A209" s="18">
        <v>2009</v>
      </c>
      <c r="B209" s="18" t="s">
        <v>47</v>
      </c>
      <c r="C209" s="61">
        <f t="shared" si="15"/>
        <v>0.85947213032060887</v>
      </c>
      <c r="D209" s="61">
        <f t="shared" si="16"/>
        <v>0.89061587184454083</v>
      </c>
      <c r="E209" s="61">
        <f t="shared" si="17"/>
        <v>0.96503123006394376</v>
      </c>
      <c r="F20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9" s="62">
        <f>+MITRE[[#This Row],[Trenes Programados]]+SARM[[#This Row],[Trenes Programados]]+URQ[[#This Row],[Trenes Programados]]+ROCA[[#This Row],[Trenes Programados]]+SM[[#This Row],[Trenes Programados]]+BN[[#This Row],[Trenes Programados]]+BS[[#This Row],[Trenes Programados]]+TDC[[#This Row],[Trenes Programados]]</f>
        <v>67403</v>
      </c>
      <c r="I209" s="62">
        <f t="shared" si="18"/>
        <v>2357</v>
      </c>
      <c r="J209" s="62">
        <f>+MITRE[[#This Row],[Trenes Corridos]]+SARM[[#This Row],[Trenes Corridos]]+URQ[[#This Row],[Trenes Corridos]]+ROCA[[#This Row],[Trenes Corridos]]+SM[[#This Row],[Trenes Corridos]]+BN[[#This Row],[Trenes Corridos]]+BS[[#This Row],[Trenes Corridos]]+TDC[[#This Row],[Trenes Corridos]]</f>
        <v>65046</v>
      </c>
      <c r="K209" s="62">
        <f>+MITRE[[#This Row],[Trenes Puntuales]]+SARM[[#This Row],[Trenes Puntuales]]+URQ[[#This Row],[Trenes Puntuales]]+ROCA[[#This Row],[Trenes Puntuales]]+SM[[#This Row],[Trenes Puntuales]]+BN[[#This Row],[Trenes Puntuales]]+BS[[#This Row],[Trenes Puntuales]]+TDC[[#This Row],[Trenes Puntuales]]</f>
        <v>57931</v>
      </c>
      <c r="L209" s="62">
        <f t="shared" si="19"/>
        <v>7115</v>
      </c>
    </row>
    <row r="210" spans="1:12" s="18" customFormat="1" ht="15" customHeight="1">
      <c r="A210" s="18">
        <v>2010</v>
      </c>
      <c r="B210" s="18" t="s">
        <v>36</v>
      </c>
      <c r="C210" s="61">
        <f t="shared" si="15"/>
        <v>0.86970264399670438</v>
      </c>
      <c r="D210" s="61">
        <f t="shared" si="16"/>
        <v>0.90313297243482049</v>
      </c>
      <c r="E210" s="61">
        <f t="shared" si="17"/>
        <v>0.96298404613886601</v>
      </c>
      <c r="F21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0" s="62">
        <f>+MITRE[[#This Row],[Trenes Programados]]+SARM[[#This Row],[Trenes Programados]]+URQ[[#This Row],[Trenes Programados]]+ROCA[[#This Row],[Trenes Programados]]+SM[[#This Row],[Trenes Programados]]+BN[[#This Row],[Trenes Programados]]+BS[[#This Row],[Trenes Programados]]+TDC[[#This Row],[Trenes Programados]]</f>
        <v>66755</v>
      </c>
      <c r="I210" s="62">
        <f t="shared" si="18"/>
        <v>2471</v>
      </c>
      <c r="J210" s="62">
        <f>+MITRE[[#This Row],[Trenes Corridos]]+SARM[[#This Row],[Trenes Corridos]]+URQ[[#This Row],[Trenes Corridos]]+ROCA[[#This Row],[Trenes Corridos]]+SM[[#This Row],[Trenes Corridos]]+BN[[#This Row],[Trenes Corridos]]+BS[[#This Row],[Trenes Corridos]]+TDC[[#This Row],[Trenes Corridos]]</f>
        <v>64284</v>
      </c>
      <c r="K210" s="62">
        <f>+MITRE[[#This Row],[Trenes Puntuales]]+SARM[[#This Row],[Trenes Puntuales]]+URQ[[#This Row],[Trenes Puntuales]]+ROCA[[#This Row],[Trenes Puntuales]]+SM[[#This Row],[Trenes Puntuales]]+BN[[#This Row],[Trenes Puntuales]]+BS[[#This Row],[Trenes Puntuales]]+TDC[[#This Row],[Trenes Puntuales]]</f>
        <v>58057</v>
      </c>
      <c r="L210" s="62">
        <f t="shared" si="19"/>
        <v>6227</v>
      </c>
    </row>
    <row r="211" spans="1:12" s="18" customFormat="1" ht="15" customHeight="1">
      <c r="A211" s="18">
        <v>2010</v>
      </c>
      <c r="B211" s="18" t="s">
        <v>37</v>
      </c>
      <c r="C211" s="61">
        <f t="shared" si="15"/>
        <v>0.85929551162341422</v>
      </c>
      <c r="D211" s="61">
        <f t="shared" si="16"/>
        <v>0.89062421785052814</v>
      </c>
      <c r="E211" s="61">
        <f t="shared" si="17"/>
        <v>0.96482387790585356</v>
      </c>
      <c r="F21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1" s="62">
        <f>+MITRE[[#This Row],[Trenes Programados]]+SARM[[#This Row],[Trenes Programados]]+URQ[[#This Row],[Trenes Programados]]+ROCA[[#This Row],[Trenes Programados]]+SM[[#This Row],[Trenes Programados]]+BN[[#This Row],[Trenes Programados]]+BS[[#This Row],[Trenes Programados]]+TDC[[#This Row],[Trenes Programados]]</f>
        <v>62116</v>
      </c>
      <c r="I211" s="62">
        <f t="shared" si="18"/>
        <v>2185</v>
      </c>
      <c r="J211" s="62">
        <f>+MITRE[[#This Row],[Trenes Corridos]]+SARM[[#This Row],[Trenes Corridos]]+URQ[[#This Row],[Trenes Corridos]]+ROCA[[#This Row],[Trenes Corridos]]+SM[[#This Row],[Trenes Corridos]]+BN[[#This Row],[Trenes Corridos]]+BS[[#This Row],[Trenes Corridos]]+TDC[[#This Row],[Trenes Corridos]]</f>
        <v>59931</v>
      </c>
      <c r="K211" s="62">
        <f>+MITRE[[#This Row],[Trenes Puntuales]]+SARM[[#This Row],[Trenes Puntuales]]+URQ[[#This Row],[Trenes Puntuales]]+ROCA[[#This Row],[Trenes Puntuales]]+SM[[#This Row],[Trenes Puntuales]]+BN[[#This Row],[Trenes Puntuales]]+BS[[#This Row],[Trenes Puntuales]]+TDC[[#This Row],[Trenes Puntuales]]</f>
        <v>53376</v>
      </c>
      <c r="L211" s="62">
        <f t="shared" si="19"/>
        <v>6555</v>
      </c>
    </row>
    <row r="212" spans="1:12" s="18" customFormat="1" ht="15" customHeight="1">
      <c r="A212" s="18">
        <v>2010</v>
      </c>
      <c r="B212" s="18" t="s">
        <v>38</v>
      </c>
      <c r="C212" s="61">
        <f t="shared" si="15"/>
        <v>0.85582451492700251</v>
      </c>
      <c r="D212" s="61">
        <f t="shared" si="16"/>
        <v>0.88014011346795806</v>
      </c>
      <c r="E212" s="61">
        <f t="shared" si="17"/>
        <v>0.97237303678257958</v>
      </c>
      <c r="F21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2" s="62">
        <f>+MITRE[[#This Row],[Trenes Programados]]+SARM[[#This Row],[Trenes Programados]]+URQ[[#This Row],[Trenes Programados]]+ROCA[[#This Row],[Trenes Programados]]+SM[[#This Row],[Trenes Programados]]+BN[[#This Row],[Trenes Programados]]+BS[[#This Row],[Trenes Programados]]+TDC[[#This Row],[Trenes Programados]]</f>
        <v>68701</v>
      </c>
      <c r="I212" s="62">
        <f t="shared" si="18"/>
        <v>1898</v>
      </c>
      <c r="J212" s="62">
        <f>+MITRE[[#This Row],[Trenes Corridos]]+SARM[[#This Row],[Trenes Corridos]]+URQ[[#This Row],[Trenes Corridos]]+ROCA[[#This Row],[Trenes Corridos]]+SM[[#This Row],[Trenes Corridos]]+BN[[#This Row],[Trenes Corridos]]+BS[[#This Row],[Trenes Corridos]]+TDC[[#This Row],[Trenes Corridos]]</f>
        <v>66803</v>
      </c>
      <c r="K212" s="62">
        <f>+MITRE[[#This Row],[Trenes Puntuales]]+SARM[[#This Row],[Trenes Puntuales]]+URQ[[#This Row],[Trenes Puntuales]]+ROCA[[#This Row],[Trenes Puntuales]]+SM[[#This Row],[Trenes Puntuales]]+BN[[#This Row],[Trenes Puntuales]]+BS[[#This Row],[Trenes Puntuales]]+TDC[[#This Row],[Trenes Puntuales]]</f>
        <v>58796</v>
      </c>
      <c r="L212" s="62">
        <f t="shared" si="19"/>
        <v>8007</v>
      </c>
    </row>
    <row r="213" spans="1:12" s="18" customFormat="1" ht="15" customHeight="1">
      <c r="A213" s="18">
        <v>2010</v>
      </c>
      <c r="B213" s="18" t="s">
        <v>39</v>
      </c>
      <c r="C213" s="61">
        <f t="shared" si="15"/>
        <v>0.84138066822160962</v>
      </c>
      <c r="D213" s="61">
        <f t="shared" si="16"/>
        <v>0.86836839966236279</v>
      </c>
      <c r="E213" s="61">
        <f t="shared" si="17"/>
        <v>0.96892133401993152</v>
      </c>
      <c r="F21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3" s="62">
        <f>+MITRE[[#This Row],[Trenes Programados]]+SARM[[#This Row],[Trenes Programados]]+URQ[[#This Row],[Trenes Programados]]+ROCA[[#This Row],[Trenes Programados]]+SM[[#This Row],[Trenes Programados]]+BN[[#This Row],[Trenes Programados]]+BS[[#This Row],[Trenes Programados]]+TDC[[#This Row],[Trenes Programados]]</f>
        <v>66026</v>
      </c>
      <c r="I213" s="62">
        <f t="shared" si="18"/>
        <v>2052</v>
      </c>
      <c r="J213" s="62">
        <f>+MITRE[[#This Row],[Trenes Corridos]]+SARM[[#This Row],[Trenes Corridos]]+URQ[[#This Row],[Trenes Corridos]]+ROCA[[#This Row],[Trenes Corridos]]+SM[[#This Row],[Trenes Corridos]]+BN[[#This Row],[Trenes Corridos]]+BS[[#This Row],[Trenes Corridos]]+TDC[[#This Row],[Trenes Corridos]]</f>
        <v>63974</v>
      </c>
      <c r="K213" s="62">
        <f>+MITRE[[#This Row],[Trenes Puntuales]]+SARM[[#This Row],[Trenes Puntuales]]+URQ[[#This Row],[Trenes Puntuales]]+ROCA[[#This Row],[Trenes Puntuales]]+SM[[#This Row],[Trenes Puntuales]]+BN[[#This Row],[Trenes Puntuales]]+BS[[#This Row],[Trenes Puntuales]]+TDC[[#This Row],[Trenes Puntuales]]</f>
        <v>55553</v>
      </c>
      <c r="L213" s="62">
        <f t="shared" si="19"/>
        <v>8421</v>
      </c>
    </row>
    <row r="214" spans="1:12" s="18" customFormat="1" ht="15" customHeight="1">
      <c r="A214" s="18">
        <v>2010</v>
      </c>
      <c r="B214" s="18" t="s">
        <v>40</v>
      </c>
      <c r="C214" s="61">
        <f t="shared" si="15"/>
        <v>0.83035876889455473</v>
      </c>
      <c r="D214" s="61">
        <f t="shared" si="16"/>
        <v>0.86048596367067709</v>
      </c>
      <c r="E214" s="61">
        <f t="shared" si="17"/>
        <v>0.96498816244764163</v>
      </c>
      <c r="F21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4" s="62">
        <f>+MITRE[[#This Row],[Trenes Programados]]+SARM[[#This Row],[Trenes Programados]]+URQ[[#This Row],[Trenes Programados]]+ROCA[[#This Row],[Trenes Programados]]+SM[[#This Row],[Trenes Programados]]+BN[[#This Row],[Trenes Programados]]+BS[[#This Row],[Trenes Programados]]+TDC[[#This Row],[Trenes Programados]]</f>
        <v>65892</v>
      </c>
      <c r="I214" s="62">
        <f t="shared" si="18"/>
        <v>2307</v>
      </c>
      <c r="J214" s="62">
        <f>+MITRE[[#This Row],[Trenes Corridos]]+SARM[[#This Row],[Trenes Corridos]]+URQ[[#This Row],[Trenes Corridos]]+ROCA[[#This Row],[Trenes Corridos]]+SM[[#This Row],[Trenes Corridos]]+BN[[#This Row],[Trenes Corridos]]+BS[[#This Row],[Trenes Corridos]]+TDC[[#This Row],[Trenes Corridos]]</f>
        <v>63585</v>
      </c>
      <c r="K214" s="62">
        <f>+MITRE[[#This Row],[Trenes Puntuales]]+SARM[[#This Row],[Trenes Puntuales]]+URQ[[#This Row],[Trenes Puntuales]]+ROCA[[#This Row],[Trenes Puntuales]]+SM[[#This Row],[Trenes Puntuales]]+BN[[#This Row],[Trenes Puntuales]]+BS[[#This Row],[Trenes Puntuales]]+TDC[[#This Row],[Trenes Puntuales]]</f>
        <v>54714</v>
      </c>
      <c r="L214" s="62">
        <f t="shared" si="19"/>
        <v>8871</v>
      </c>
    </row>
    <row r="215" spans="1:12" s="18" customFormat="1" ht="15" customHeight="1">
      <c r="A215" s="18">
        <v>2010</v>
      </c>
      <c r="B215" s="18" t="s">
        <v>41</v>
      </c>
      <c r="C215" s="61">
        <f t="shared" si="15"/>
        <v>0.84861840225026697</v>
      </c>
      <c r="D215" s="61">
        <f t="shared" si="16"/>
        <v>0.87477710759307215</v>
      </c>
      <c r="E215" s="61">
        <f t="shared" si="17"/>
        <v>0.97009671936342712</v>
      </c>
      <c r="F21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5" s="62">
        <f>+MITRE[[#This Row],[Trenes Programados]]+SARM[[#This Row],[Trenes Programados]]+URQ[[#This Row],[Trenes Programados]]+ROCA[[#This Row],[Trenes Programados]]+SM[[#This Row],[Trenes Programados]]+BN[[#This Row],[Trenes Programados]]+BS[[#This Row],[Trenes Programados]]+TDC[[#This Row],[Trenes Programados]]</f>
        <v>66481</v>
      </c>
      <c r="I215" s="62">
        <f t="shared" si="18"/>
        <v>1988</v>
      </c>
      <c r="J215" s="62">
        <f>+MITRE[[#This Row],[Trenes Corridos]]+SARM[[#This Row],[Trenes Corridos]]+URQ[[#This Row],[Trenes Corridos]]+ROCA[[#This Row],[Trenes Corridos]]+SM[[#This Row],[Trenes Corridos]]+BN[[#This Row],[Trenes Corridos]]+BS[[#This Row],[Trenes Corridos]]+TDC[[#This Row],[Trenes Corridos]]</f>
        <v>64493</v>
      </c>
      <c r="K215" s="62">
        <f>+MITRE[[#This Row],[Trenes Puntuales]]+SARM[[#This Row],[Trenes Puntuales]]+URQ[[#This Row],[Trenes Puntuales]]+ROCA[[#This Row],[Trenes Puntuales]]+SM[[#This Row],[Trenes Puntuales]]+BN[[#This Row],[Trenes Puntuales]]+BS[[#This Row],[Trenes Puntuales]]+TDC[[#This Row],[Trenes Puntuales]]</f>
        <v>56417</v>
      </c>
      <c r="L215" s="62">
        <f t="shared" si="19"/>
        <v>8076</v>
      </c>
    </row>
    <row r="216" spans="1:12" s="18" customFormat="1" ht="15" customHeight="1">
      <c r="A216" s="18">
        <v>2010</v>
      </c>
      <c r="B216" s="18" t="s">
        <v>42</v>
      </c>
      <c r="C216" s="61">
        <f t="shared" si="15"/>
        <v>0.86387365842277186</v>
      </c>
      <c r="D216" s="61">
        <f t="shared" si="16"/>
        <v>0.89630077918148121</v>
      </c>
      <c r="E216" s="61">
        <f t="shared" si="17"/>
        <v>0.96382116192253853</v>
      </c>
      <c r="F21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6" s="62">
        <f>+MITRE[[#This Row],[Trenes Programados]]+SARM[[#This Row],[Trenes Programados]]+URQ[[#This Row],[Trenes Programados]]+ROCA[[#This Row],[Trenes Programados]]+SM[[#This Row],[Trenes Programados]]+BN[[#This Row],[Trenes Programados]]+BS[[#This Row],[Trenes Programados]]+TDC[[#This Row],[Trenes Programados]]</f>
        <v>68576</v>
      </c>
      <c r="I216" s="62">
        <f t="shared" si="18"/>
        <v>2481</v>
      </c>
      <c r="J216" s="62">
        <f>+MITRE[[#This Row],[Trenes Corridos]]+SARM[[#This Row],[Trenes Corridos]]+URQ[[#This Row],[Trenes Corridos]]+ROCA[[#This Row],[Trenes Corridos]]+SM[[#This Row],[Trenes Corridos]]+BN[[#This Row],[Trenes Corridos]]+BS[[#This Row],[Trenes Corridos]]+TDC[[#This Row],[Trenes Corridos]]</f>
        <v>66095</v>
      </c>
      <c r="K216" s="62">
        <f>+MITRE[[#This Row],[Trenes Puntuales]]+SARM[[#This Row],[Trenes Puntuales]]+URQ[[#This Row],[Trenes Puntuales]]+ROCA[[#This Row],[Trenes Puntuales]]+SM[[#This Row],[Trenes Puntuales]]+BN[[#This Row],[Trenes Puntuales]]+BS[[#This Row],[Trenes Puntuales]]+TDC[[#This Row],[Trenes Puntuales]]</f>
        <v>59241</v>
      </c>
      <c r="L216" s="62">
        <f t="shared" si="19"/>
        <v>6854</v>
      </c>
    </row>
    <row r="217" spans="1:12" s="18" customFormat="1" ht="15" customHeight="1">
      <c r="A217" s="18">
        <v>2010</v>
      </c>
      <c r="B217" s="18" t="s">
        <v>43</v>
      </c>
      <c r="C217" s="61">
        <f t="shared" si="15"/>
        <v>0.87273770636532177</v>
      </c>
      <c r="D217" s="61">
        <f t="shared" si="16"/>
        <v>0.8967524417163073</v>
      </c>
      <c r="E217" s="61">
        <f t="shared" si="17"/>
        <v>0.97322032900738653</v>
      </c>
      <c r="F21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7" s="62">
        <f>+MITRE[[#This Row],[Trenes Programados]]+SARM[[#This Row],[Trenes Programados]]+URQ[[#This Row],[Trenes Programados]]+ROCA[[#This Row],[Trenes Programados]]+SM[[#This Row],[Trenes Programados]]+BN[[#This Row],[Trenes Programados]]+BS[[#This Row],[Trenes Programados]]+TDC[[#This Row],[Trenes Programados]]</f>
        <v>67962</v>
      </c>
      <c r="I217" s="62">
        <f t="shared" si="18"/>
        <v>1820</v>
      </c>
      <c r="J217" s="62">
        <f>+MITRE[[#This Row],[Trenes Corridos]]+SARM[[#This Row],[Trenes Corridos]]+URQ[[#This Row],[Trenes Corridos]]+ROCA[[#This Row],[Trenes Corridos]]+SM[[#This Row],[Trenes Corridos]]+BN[[#This Row],[Trenes Corridos]]+BS[[#This Row],[Trenes Corridos]]+TDC[[#This Row],[Trenes Corridos]]</f>
        <v>66142</v>
      </c>
      <c r="K217" s="62">
        <f>+MITRE[[#This Row],[Trenes Puntuales]]+SARM[[#This Row],[Trenes Puntuales]]+URQ[[#This Row],[Trenes Puntuales]]+ROCA[[#This Row],[Trenes Puntuales]]+SM[[#This Row],[Trenes Puntuales]]+BN[[#This Row],[Trenes Puntuales]]+BS[[#This Row],[Trenes Puntuales]]+TDC[[#This Row],[Trenes Puntuales]]</f>
        <v>59313</v>
      </c>
      <c r="L217" s="62">
        <f t="shared" si="19"/>
        <v>6829</v>
      </c>
    </row>
    <row r="218" spans="1:12" s="18" customFormat="1" ht="15" customHeight="1">
      <c r="A218" s="18">
        <v>2010</v>
      </c>
      <c r="B218" s="18" t="s">
        <v>44</v>
      </c>
      <c r="C218" s="61">
        <f t="shared" si="15"/>
        <v>0.86565084635223666</v>
      </c>
      <c r="D218" s="61">
        <f t="shared" si="16"/>
        <v>0.89194679047604497</v>
      </c>
      <c r="E218" s="61">
        <f t="shared" si="17"/>
        <v>0.9705184833842232</v>
      </c>
      <c r="F21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8" s="62">
        <f>+MITRE[[#This Row],[Trenes Programados]]+SARM[[#This Row],[Trenes Programados]]+URQ[[#This Row],[Trenes Programados]]+ROCA[[#This Row],[Trenes Programados]]+SM[[#This Row],[Trenes Programados]]+BN[[#This Row],[Trenes Programados]]+BS[[#This Row],[Trenes Programados]]+TDC[[#This Row],[Trenes Programados]]</f>
        <v>67466</v>
      </c>
      <c r="I218" s="62">
        <f t="shared" si="18"/>
        <v>1989</v>
      </c>
      <c r="J218" s="62">
        <f>+MITRE[[#This Row],[Trenes Corridos]]+SARM[[#This Row],[Trenes Corridos]]+URQ[[#This Row],[Trenes Corridos]]+ROCA[[#This Row],[Trenes Corridos]]+SM[[#This Row],[Trenes Corridos]]+BN[[#This Row],[Trenes Corridos]]+BS[[#This Row],[Trenes Corridos]]+TDC[[#This Row],[Trenes Corridos]]</f>
        <v>65477</v>
      </c>
      <c r="K218" s="62">
        <f>+MITRE[[#This Row],[Trenes Puntuales]]+SARM[[#This Row],[Trenes Puntuales]]+URQ[[#This Row],[Trenes Puntuales]]+ROCA[[#This Row],[Trenes Puntuales]]+SM[[#This Row],[Trenes Puntuales]]+BN[[#This Row],[Trenes Puntuales]]+BS[[#This Row],[Trenes Puntuales]]+TDC[[#This Row],[Trenes Puntuales]]</f>
        <v>58402</v>
      </c>
      <c r="L218" s="62">
        <f t="shared" si="19"/>
        <v>7075</v>
      </c>
    </row>
    <row r="219" spans="1:12" s="18" customFormat="1" ht="15" customHeight="1">
      <c r="A219" s="18">
        <v>2010</v>
      </c>
      <c r="B219" s="18" t="s">
        <v>45</v>
      </c>
      <c r="C219" s="61">
        <f t="shared" si="15"/>
        <v>0.86657254854842825</v>
      </c>
      <c r="D219" s="61">
        <f t="shared" si="16"/>
        <v>0.903834706601084</v>
      </c>
      <c r="E219" s="61">
        <f t="shared" si="17"/>
        <v>0.95877326044185451</v>
      </c>
      <c r="F21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9" s="62">
        <f>+MITRE[[#This Row],[Trenes Programados]]+SARM[[#This Row],[Trenes Programados]]+URQ[[#This Row],[Trenes Programados]]+ROCA[[#This Row],[Trenes Programados]]+SM[[#This Row],[Trenes Programados]]+BN[[#This Row],[Trenes Programados]]+BS[[#This Row],[Trenes Programados]]+TDC[[#This Row],[Trenes Programados]]</f>
        <v>66583</v>
      </c>
      <c r="I219" s="62">
        <f t="shared" si="18"/>
        <v>2745</v>
      </c>
      <c r="J219" s="62">
        <f>+MITRE[[#This Row],[Trenes Corridos]]+SARM[[#This Row],[Trenes Corridos]]+URQ[[#This Row],[Trenes Corridos]]+ROCA[[#This Row],[Trenes Corridos]]+SM[[#This Row],[Trenes Corridos]]+BN[[#This Row],[Trenes Corridos]]+BS[[#This Row],[Trenes Corridos]]+TDC[[#This Row],[Trenes Corridos]]</f>
        <v>63838</v>
      </c>
      <c r="K219" s="62">
        <f>+MITRE[[#This Row],[Trenes Puntuales]]+SARM[[#This Row],[Trenes Puntuales]]+URQ[[#This Row],[Trenes Puntuales]]+ROCA[[#This Row],[Trenes Puntuales]]+SM[[#This Row],[Trenes Puntuales]]+BN[[#This Row],[Trenes Puntuales]]+BS[[#This Row],[Trenes Puntuales]]+TDC[[#This Row],[Trenes Puntuales]]</f>
        <v>57699</v>
      </c>
      <c r="L219" s="62">
        <f t="shared" si="19"/>
        <v>6139</v>
      </c>
    </row>
    <row r="220" spans="1:12" s="18" customFormat="1" ht="15" customHeight="1">
      <c r="A220" s="18">
        <v>2010</v>
      </c>
      <c r="B220" s="18" t="s">
        <v>46</v>
      </c>
      <c r="C220" s="61">
        <f t="shared" si="15"/>
        <v>0.85578079884504332</v>
      </c>
      <c r="D220" s="61">
        <f t="shared" si="16"/>
        <v>0.88688361074745958</v>
      </c>
      <c r="E220" s="61">
        <f t="shared" si="17"/>
        <v>0.9649302213666987</v>
      </c>
      <c r="F22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0" s="62">
        <f>+MITRE[[#This Row],[Trenes Programados]]+SARM[[#This Row],[Trenes Programados]]+URQ[[#This Row],[Trenes Programados]]+ROCA[[#This Row],[Trenes Programados]]+SM[[#This Row],[Trenes Programados]]+BN[[#This Row],[Trenes Programados]]+BS[[#This Row],[Trenes Programados]]+TDC[[#This Row],[Trenes Programados]]</f>
        <v>66496</v>
      </c>
      <c r="I220" s="62">
        <f t="shared" si="18"/>
        <v>2332</v>
      </c>
      <c r="J220" s="62">
        <f>+MITRE[[#This Row],[Trenes Corridos]]+SARM[[#This Row],[Trenes Corridos]]+URQ[[#This Row],[Trenes Corridos]]+ROCA[[#This Row],[Trenes Corridos]]+SM[[#This Row],[Trenes Corridos]]+BN[[#This Row],[Trenes Corridos]]+BS[[#This Row],[Trenes Corridos]]+TDC[[#This Row],[Trenes Corridos]]</f>
        <v>64164</v>
      </c>
      <c r="K220" s="62">
        <f>+MITRE[[#This Row],[Trenes Puntuales]]+SARM[[#This Row],[Trenes Puntuales]]+URQ[[#This Row],[Trenes Puntuales]]+ROCA[[#This Row],[Trenes Puntuales]]+SM[[#This Row],[Trenes Puntuales]]+BN[[#This Row],[Trenes Puntuales]]+BS[[#This Row],[Trenes Puntuales]]+TDC[[#This Row],[Trenes Puntuales]]</f>
        <v>56906</v>
      </c>
      <c r="L220" s="62">
        <f t="shared" si="19"/>
        <v>7258</v>
      </c>
    </row>
    <row r="221" spans="1:12" s="18" customFormat="1" ht="15" customHeight="1">
      <c r="A221" s="18">
        <v>2010</v>
      </c>
      <c r="B221" s="18" t="s">
        <v>47</v>
      </c>
      <c r="C221" s="61">
        <f t="shared" si="15"/>
        <v>0.81774803521834194</v>
      </c>
      <c r="D221" s="61">
        <f t="shared" si="16"/>
        <v>0.87757819807536819</v>
      </c>
      <c r="E221" s="61">
        <f t="shared" si="17"/>
        <v>0.93182355374342607</v>
      </c>
      <c r="F22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1" s="62">
        <f>+MITRE[[#This Row],[Trenes Programados]]+SARM[[#This Row],[Trenes Programados]]+URQ[[#This Row],[Trenes Programados]]+ROCA[[#This Row],[Trenes Programados]]+SM[[#This Row],[Trenes Programados]]+BN[[#This Row],[Trenes Programados]]+BS[[#This Row],[Trenes Programados]]+TDC[[#This Row],[Trenes Programados]]</f>
        <v>67692</v>
      </c>
      <c r="I221" s="62">
        <f t="shared" si="18"/>
        <v>4615</v>
      </c>
      <c r="J221" s="62">
        <f>+MITRE[[#This Row],[Trenes Corridos]]+SARM[[#This Row],[Trenes Corridos]]+URQ[[#This Row],[Trenes Corridos]]+ROCA[[#This Row],[Trenes Corridos]]+SM[[#This Row],[Trenes Corridos]]+BN[[#This Row],[Trenes Corridos]]+BS[[#This Row],[Trenes Corridos]]+TDC[[#This Row],[Trenes Corridos]]</f>
        <v>63077</v>
      </c>
      <c r="K221" s="62">
        <f>+MITRE[[#This Row],[Trenes Puntuales]]+SARM[[#This Row],[Trenes Puntuales]]+URQ[[#This Row],[Trenes Puntuales]]+ROCA[[#This Row],[Trenes Puntuales]]+SM[[#This Row],[Trenes Puntuales]]+BN[[#This Row],[Trenes Puntuales]]+BS[[#This Row],[Trenes Puntuales]]+TDC[[#This Row],[Trenes Puntuales]]</f>
        <v>55355</v>
      </c>
      <c r="L221" s="62">
        <f t="shared" si="19"/>
        <v>7722</v>
      </c>
    </row>
    <row r="222" spans="1:12" s="18" customFormat="1" ht="15" customHeight="1">
      <c r="A222" s="18">
        <v>2011</v>
      </c>
      <c r="B222" s="18" t="s">
        <v>36</v>
      </c>
      <c r="C222" s="61">
        <f t="shared" si="15"/>
        <v>0.7769652921981608</v>
      </c>
      <c r="D222" s="61">
        <f t="shared" si="16"/>
        <v>0.82871381110583764</v>
      </c>
      <c r="E222" s="61">
        <f t="shared" si="17"/>
        <v>0.93755562147730642</v>
      </c>
      <c r="F22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2" s="62">
        <f>+MITRE[[#This Row],[Trenes Programados]]+SARM[[#This Row],[Trenes Programados]]+URQ[[#This Row],[Trenes Programados]]+ROCA[[#This Row],[Trenes Programados]]+SM[[#This Row],[Trenes Programados]]+BN[[#This Row],[Trenes Programados]]+BS[[#This Row],[Trenes Programados]]+TDC[[#This Row],[Trenes Programados]]</f>
        <v>67420</v>
      </c>
      <c r="I222" s="62">
        <f t="shared" si="18"/>
        <v>4210</v>
      </c>
      <c r="J222" s="62">
        <f>+MITRE[[#This Row],[Trenes Corridos]]+SARM[[#This Row],[Trenes Corridos]]+URQ[[#This Row],[Trenes Corridos]]+ROCA[[#This Row],[Trenes Corridos]]+SM[[#This Row],[Trenes Corridos]]+BN[[#This Row],[Trenes Corridos]]+BS[[#This Row],[Trenes Corridos]]+TDC[[#This Row],[Trenes Corridos]]</f>
        <v>63210</v>
      </c>
      <c r="K222" s="62">
        <f>+MITRE[[#This Row],[Trenes Puntuales]]+SARM[[#This Row],[Trenes Puntuales]]+URQ[[#This Row],[Trenes Puntuales]]+ROCA[[#This Row],[Trenes Puntuales]]+SM[[#This Row],[Trenes Puntuales]]+BN[[#This Row],[Trenes Puntuales]]+BS[[#This Row],[Trenes Puntuales]]+TDC[[#This Row],[Trenes Puntuales]]</f>
        <v>52383</v>
      </c>
      <c r="L222" s="62">
        <f t="shared" si="19"/>
        <v>10827</v>
      </c>
    </row>
    <row r="223" spans="1:12" s="18" customFormat="1" ht="15" customHeight="1">
      <c r="A223" s="18">
        <v>2011</v>
      </c>
      <c r="B223" s="18" t="s">
        <v>37</v>
      </c>
      <c r="C223" s="61">
        <f t="shared" si="15"/>
        <v>0.76130604913721212</v>
      </c>
      <c r="D223" s="61">
        <f t="shared" si="16"/>
        <v>0.82235349143381775</v>
      </c>
      <c r="E223" s="61">
        <f t="shared" si="17"/>
        <v>0.92576496247353901</v>
      </c>
      <c r="F22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3" s="62">
        <f>+MITRE[[#This Row],[Trenes Programados]]+SARM[[#This Row],[Trenes Programados]]+URQ[[#This Row],[Trenes Programados]]+ROCA[[#This Row],[Trenes Programados]]+SM[[#This Row],[Trenes Programados]]+BN[[#This Row],[Trenes Programados]]+BS[[#This Row],[Trenes Programados]]+TDC[[#This Row],[Trenes Programados]]</f>
        <v>62356</v>
      </c>
      <c r="I223" s="62">
        <f t="shared" si="18"/>
        <v>4629</v>
      </c>
      <c r="J223" s="62">
        <f>+MITRE[[#This Row],[Trenes Corridos]]+SARM[[#This Row],[Trenes Corridos]]+URQ[[#This Row],[Trenes Corridos]]+ROCA[[#This Row],[Trenes Corridos]]+SM[[#This Row],[Trenes Corridos]]+BN[[#This Row],[Trenes Corridos]]+BS[[#This Row],[Trenes Corridos]]+TDC[[#This Row],[Trenes Corridos]]</f>
        <v>57727</v>
      </c>
      <c r="K223" s="62">
        <f>+MITRE[[#This Row],[Trenes Puntuales]]+SARM[[#This Row],[Trenes Puntuales]]+URQ[[#This Row],[Trenes Puntuales]]+ROCA[[#This Row],[Trenes Puntuales]]+SM[[#This Row],[Trenes Puntuales]]+BN[[#This Row],[Trenes Puntuales]]+BS[[#This Row],[Trenes Puntuales]]+TDC[[#This Row],[Trenes Puntuales]]</f>
        <v>47472</v>
      </c>
      <c r="L223" s="62">
        <f t="shared" si="19"/>
        <v>10255</v>
      </c>
    </row>
    <row r="224" spans="1:12" s="18" customFormat="1" ht="15" customHeight="1">
      <c r="A224" s="18">
        <v>2011</v>
      </c>
      <c r="B224" s="18" t="s">
        <v>38</v>
      </c>
      <c r="C224" s="61">
        <f t="shared" si="15"/>
        <v>0.77045581845981503</v>
      </c>
      <c r="D224" s="61">
        <f t="shared" si="16"/>
        <v>0.81899520453155672</v>
      </c>
      <c r="E224" s="61">
        <f t="shared" si="17"/>
        <v>0.94073300331531862</v>
      </c>
      <c r="F22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4" s="62">
        <f>+MITRE[[#This Row],[Trenes Programados]]+SARM[[#This Row],[Trenes Programados]]+URQ[[#This Row],[Trenes Programados]]+ROCA[[#This Row],[Trenes Programados]]+SM[[#This Row],[Trenes Programados]]+BN[[#This Row],[Trenes Programados]]+BS[[#This Row],[Trenes Programados]]+TDC[[#This Row],[Trenes Programados]]</f>
        <v>66057</v>
      </c>
      <c r="I224" s="62">
        <f t="shared" si="18"/>
        <v>3915</v>
      </c>
      <c r="J224" s="62">
        <f>+MITRE[[#This Row],[Trenes Corridos]]+SARM[[#This Row],[Trenes Corridos]]+URQ[[#This Row],[Trenes Corridos]]+ROCA[[#This Row],[Trenes Corridos]]+SM[[#This Row],[Trenes Corridos]]+BN[[#This Row],[Trenes Corridos]]+BS[[#This Row],[Trenes Corridos]]+TDC[[#This Row],[Trenes Corridos]]</f>
        <v>62142</v>
      </c>
      <c r="K224" s="62">
        <f>+MITRE[[#This Row],[Trenes Puntuales]]+SARM[[#This Row],[Trenes Puntuales]]+URQ[[#This Row],[Trenes Puntuales]]+ROCA[[#This Row],[Trenes Puntuales]]+SM[[#This Row],[Trenes Puntuales]]+BN[[#This Row],[Trenes Puntuales]]+BS[[#This Row],[Trenes Puntuales]]+TDC[[#This Row],[Trenes Puntuales]]</f>
        <v>50894</v>
      </c>
      <c r="L224" s="62">
        <f t="shared" si="19"/>
        <v>11248</v>
      </c>
    </row>
    <row r="225" spans="1:12" s="18" customFormat="1" ht="15" customHeight="1">
      <c r="A225" s="18">
        <v>2011</v>
      </c>
      <c r="B225" s="18" t="s">
        <v>39</v>
      </c>
      <c r="C225" s="61">
        <f t="shared" si="15"/>
        <v>0.68044836457184854</v>
      </c>
      <c r="D225" s="61">
        <f t="shared" si="16"/>
        <v>0.73461290482567076</v>
      </c>
      <c r="E225" s="61">
        <f t="shared" si="17"/>
        <v>0.92626791620727678</v>
      </c>
      <c r="F22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5" s="62">
        <f>+MITRE[[#This Row],[Trenes Programados]]+SARM[[#This Row],[Trenes Programados]]+URQ[[#This Row],[Trenes Programados]]+ROCA[[#This Row],[Trenes Programados]]+SM[[#This Row],[Trenes Programados]]+BN[[#This Row],[Trenes Programados]]+BS[[#This Row],[Trenes Programados]]+TDC[[#This Row],[Trenes Programados]]</f>
        <v>65304</v>
      </c>
      <c r="I225" s="62">
        <f t="shared" si="18"/>
        <v>4815</v>
      </c>
      <c r="J225" s="62">
        <f>+MITRE[[#This Row],[Trenes Corridos]]+SARM[[#This Row],[Trenes Corridos]]+URQ[[#This Row],[Trenes Corridos]]+ROCA[[#This Row],[Trenes Corridos]]+SM[[#This Row],[Trenes Corridos]]+BN[[#This Row],[Trenes Corridos]]+BS[[#This Row],[Trenes Corridos]]+TDC[[#This Row],[Trenes Corridos]]</f>
        <v>60489</v>
      </c>
      <c r="K225" s="62">
        <f>+MITRE[[#This Row],[Trenes Puntuales]]+SARM[[#This Row],[Trenes Puntuales]]+URQ[[#This Row],[Trenes Puntuales]]+ROCA[[#This Row],[Trenes Puntuales]]+SM[[#This Row],[Trenes Puntuales]]+BN[[#This Row],[Trenes Puntuales]]+BS[[#This Row],[Trenes Puntuales]]+TDC[[#This Row],[Trenes Puntuales]]</f>
        <v>44436</v>
      </c>
      <c r="L225" s="62">
        <f t="shared" si="19"/>
        <v>16053</v>
      </c>
    </row>
    <row r="226" spans="1:12" s="18" customFormat="1" ht="15" customHeight="1">
      <c r="A226" s="18">
        <v>2011</v>
      </c>
      <c r="B226" s="18" t="s">
        <v>40</v>
      </c>
      <c r="C226" s="61">
        <f t="shared" si="15"/>
        <v>0.72607678384861019</v>
      </c>
      <c r="D226" s="61">
        <f t="shared" si="16"/>
        <v>0.77337345809626812</v>
      </c>
      <c r="E226" s="61">
        <f t="shared" si="17"/>
        <v>0.93884368056270873</v>
      </c>
      <c r="F22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6" s="62">
        <f>+MITRE[[#This Row],[Trenes Programados]]+SARM[[#This Row],[Trenes Programados]]+URQ[[#This Row],[Trenes Programados]]+ROCA[[#This Row],[Trenes Programados]]+SM[[#This Row],[Trenes Programados]]+BN[[#This Row],[Trenes Programados]]+BS[[#This Row],[Trenes Programados]]+TDC[[#This Row],[Trenes Programados]]</f>
        <v>67957</v>
      </c>
      <c r="I226" s="62">
        <f t="shared" si="18"/>
        <v>4156</v>
      </c>
      <c r="J226" s="62">
        <f>+MITRE[[#This Row],[Trenes Corridos]]+SARM[[#This Row],[Trenes Corridos]]+URQ[[#This Row],[Trenes Corridos]]+ROCA[[#This Row],[Trenes Corridos]]+SM[[#This Row],[Trenes Corridos]]+BN[[#This Row],[Trenes Corridos]]+BS[[#This Row],[Trenes Corridos]]+TDC[[#This Row],[Trenes Corridos]]</f>
        <v>63801</v>
      </c>
      <c r="K226" s="62">
        <f>+MITRE[[#This Row],[Trenes Puntuales]]+SARM[[#This Row],[Trenes Puntuales]]+URQ[[#This Row],[Trenes Puntuales]]+ROCA[[#This Row],[Trenes Puntuales]]+SM[[#This Row],[Trenes Puntuales]]+BN[[#This Row],[Trenes Puntuales]]+BS[[#This Row],[Trenes Puntuales]]+TDC[[#This Row],[Trenes Puntuales]]</f>
        <v>49342</v>
      </c>
      <c r="L226" s="62">
        <f t="shared" si="19"/>
        <v>14459</v>
      </c>
    </row>
    <row r="227" spans="1:12" s="18" customFormat="1" ht="15" customHeight="1">
      <c r="A227" s="18">
        <v>2011</v>
      </c>
      <c r="B227" s="18" t="s">
        <v>41</v>
      </c>
      <c r="C227" s="61">
        <f t="shared" si="15"/>
        <v>0.76990034818105413</v>
      </c>
      <c r="D227" s="61">
        <f t="shared" si="16"/>
        <v>0.80423910828225187</v>
      </c>
      <c r="E227" s="61">
        <f t="shared" si="17"/>
        <v>0.95730279745467639</v>
      </c>
      <c r="F22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7" s="62">
        <f>+MITRE[[#This Row],[Trenes Programados]]+SARM[[#This Row],[Trenes Programados]]+URQ[[#This Row],[Trenes Programados]]+ROCA[[#This Row],[Trenes Programados]]+SM[[#This Row],[Trenes Programados]]+BN[[#This Row],[Trenes Programados]]+BS[[#This Row],[Trenes Programados]]+TDC[[#This Row],[Trenes Programados]]</f>
        <v>66632</v>
      </c>
      <c r="I227" s="62">
        <f t="shared" si="18"/>
        <v>2845</v>
      </c>
      <c r="J227" s="62">
        <f>+MITRE[[#This Row],[Trenes Corridos]]+SARM[[#This Row],[Trenes Corridos]]+URQ[[#This Row],[Trenes Corridos]]+ROCA[[#This Row],[Trenes Corridos]]+SM[[#This Row],[Trenes Corridos]]+BN[[#This Row],[Trenes Corridos]]+BS[[#This Row],[Trenes Corridos]]+TDC[[#This Row],[Trenes Corridos]]</f>
        <v>63787</v>
      </c>
      <c r="K227" s="62">
        <f>+MITRE[[#This Row],[Trenes Puntuales]]+SARM[[#This Row],[Trenes Puntuales]]+URQ[[#This Row],[Trenes Puntuales]]+ROCA[[#This Row],[Trenes Puntuales]]+SM[[#This Row],[Trenes Puntuales]]+BN[[#This Row],[Trenes Puntuales]]+BS[[#This Row],[Trenes Puntuales]]+TDC[[#This Row],[Trenes Puntuales]]</f>
        <v>51300</v>
      </c>
      <c r="L227" s="62">
        <f t="shared" si="19"/>
        <v>12487</v>
      </c>
    </row>
    <row r="228" spans="1:12" s="18" customFormat="1" ht="15" customHeight="1">
      <c r="A228" s="18">
        <v>2011</v>
      </c>
      <c r="B228" s="18" t="s">
        <v>42</v>
      </c>
      <c r="C228" s="61">
        <f t="shared" si="15"/>
        <v>0.77454050573636146</v>
      </c>
      <c r="D228" s="61">
        <f t="shared" si="16"/>
        <v>0.82433653127336159</v>
      </c>
      <c r="E228" s="61">
        <f t="shared" si="17"/>
        <v>0.93959260126434085</v>
      </c>
      <c r="F22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8" s="62">
        <f>+MITRE[[#This Row],[Trenes Programados]]+SARM[[#This Row],[Trenes Programados]]+URQ[[#This Row],[Trenes Programados]]+ROCA[[#This Row],[Trenes Programados]]+SM[[#This Row],[Trenes Programados]]+BN[[#This Row],[Trenes Programados]]+BS[[#This Row],[Trenes Programados]]+TDC[[#This Row],[Trenes Programados]]</f>
        <v>68336</v>
      </c>
      <c r="I228" s="62">
        <f t="shared" si="18"/>
        <v>4128</v>
      </c>
      <c r="J228" s="62">
        <f>+MITRE[[#This Row],[Trenes Corridos]]+SARM[[#This Row],[Trenes Corridos]]+URQ[[#This Row],[Trenes Corridos]]+ROCA[[#This Row],[Trenes Corridos]]+SM[[#This Row],[Trenes Corridos]]+BN[[#This Row],[Trenes Corridos]]+BS[[#This Row],[Trenes Corridos]]+TDC[[#This Row],[Trenes Corridos]]</f>
        <v>64208</v>
      </c>
      <c r="K228" s="62">
        <f>+MITRE[[#This Row],[Trenes Puntuales]]+SARM[[#This Row],[Trenes Puntuales]]+URQ[[#This Row],[Trenes Puntuales]]+ROCA[[#This Row],[Trenes Puntuales]]+SM[[#This Row],[Trenes Puntuales]]+BN[[#This Row],[Trenes Puntuales]]+BS[[#This Row],[Trenes Puntuales]]+TDC[[#This Row],[Trenes Puntuales]]</f>
        <v>52929</v>
      </c>
      <c r="L228" s="62">
        <f t="shared" si="19"/>
        <v>11279</v>
      </c>
    </row>
    <row r="229" spans="1:12" s="18" customFormat="1" ht="15" customHeight="1">
      <c r="A229" s="18">
        <v>2011</v>
      </c>
      <c r="B229" s="18" t="s">
        <v>43</v>
      </c>
      <c r="C229" s="61">
        <f t="shared" si="15"/>
        <v>0.80288600288600287</v>
      </c>
      <c r="D229" s="61">
        <f t="shared" si="16"/>
        <v>0.84538713990519021</v>
      </c>
      <c r="E229" s="61">
        <f t="shared" si="17"/>
        <v>0.94972582972582975</v>
      </c>
      <c r="F22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9" s="62">
        <f>+MITRE[[#This Row],[Trenes Programados]]+SARM[[#This Row],[Trenes Programados]]+URQ[[#This Row],[Trenes Programados]]+ROCA[[#This Row],[Trenes Programados]]+SM[[#This Row],[Trenes Programados]]+BN[[#This Row],[Trenes Programados]]+BS[[#This Row],[Trenes Programados]]+TDC[[#This Row],[Trenes Programados]]</f>
        <v>69300</v>
      </c>
      <c r="I229" s="62">
        <f t="shared" si="18"/>
        <v>3484</v>
      </c>
      <c r="J229" s="62">
        <f>+MITRE[[#This Row],[Trenes Corridos]]+SARM[[#This Row],[Trenes Corridos]]+URQ[[#This Row],[Trenes Corridos]]+ROCA[[#This Row],[Trenes Corridos]]+SM[[#This Row],[Trenes Corridos]]+BN[[#This Row],[Trenes Corridos]]+BS[[#This Row],[Trenes Corridos]]+TDC[[#This Row],[Trenes Corridos]]</f>
        <v>65816</v>
      </c>
      <c r="K229" s="62">
        <f>+MITRE[[#This Row],[Trenes Puntuales]]+SARM[[#This Row],[Trenes Puntuales]]+URQ[[#This Row],[Trenes Puntuales]]+ROCA[[#This Row],[Trenes Puntuales]]+SM[[#This Row],[Trenes Puntuales]]+BN[[#This Row],[Trenes Puntuales]]+BS[[#This Row],[Trenes Puntuales]]+TDC[[#This Row],[Trenes Puntuales]]</f>
        <v>55640</v>
      </c>
      <c r="L229" s="62">
        <f t="shared" si="19"/>
        <v>10176</v>
      </c>
    </row>
    <row r="230" spans="1:12" s="18" customFormat="1" ht="15" customHeight="1">
      <c r="A230" s="18">
        <v>2011</v>
      </c>
      <c r="B230" s="18" t="s">
        <v>44</v>
      </c>
      <c r="C230" s="61">
        <f t="shared" si="15"/>
        <v>0.8224151655414369</v>
      </c>
      <c r="D230" s="61">
        <f t="shared" si="16"/>
        <v>0.87170713415205769</v>
      </c>
      <c r="E230" s="61">
        <f t="shared" si="17"/>
        <v>0.94345352162504792</v>
      </c>
      <c r="F23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0" s="62">
        <f>+MITRE[[#This Row],[Trenes Programados]]+SARM[[#This Row],[Trenes Programados]]+URQ[[#This Row],[Trenes Programados]]+ROCA[[#This Row],[Trenes Programados]]+SM[[#This Row],[Trenes Programados]]+BN[[#This Row],[Trenes Programados]]+BS[[#This Row],[Trenes Programados]]+TDC[[#This Row],[Trenes Programados]]</f>
        <v>67838</v>
      </c>
      <c r="I230" s="62">
        <f t="shared" si="18"/>
        <v>3836</v>
      </c>
      <c r="J230" s="62">
        <f>+MITRE[[#This Row],[Trenes Corridos]]+SARM[[#This Row],[Trenes Corridos]]+URQ[[#This Row],[Trenes Corridos]]+ROCA[[#This Row],[Trenes Corridos]]+SM[[#This Row],[Trenes Corridos]]+BN[[#This Row],[Trenes Corridos]]+BS[[#This Row],[Trenes Corridos]]+TDC[[#This Row],[Trenes Corridos]]</f>
        <v>64002</v>
      </c>
      <c r="K230" s="62">
        <f>+MITRE[[#This Row],[Trenes Puntuales]]+SARM[[#This Row],[Trenes Puntuales]]+URQ[[#This Row],[Trenes Puntuales]]+ROCA[[#This Row],[Trenes Puntuales]]+SM[[#This Row],[Trenes Puntuales]]+BN[[#This Row],[Trenes Puntuales]]+BS[[#This Row],[Trenes Puntuales]]+TDC[[#This Row],[Trenes Puntuales]]</f>
        <v>55791</v>
      </c>
      <c r="L230" s="62">
        <f t="shared" si="19"/>
        <v>8211</v>
      </c>
    </row>
    <row r="231" spans="1:12" s="18" customFormat="1" ht="15" customHeight="1">
      <c r="A231" s="18">
        <v>2011</v>
      </c>
      <c r="B231" s="18" t="s">
        <v>45</v>
      </c>
      <c r="C231" s="61">
        <f t="shared" si="15"/>
        <v>0.82462549161130672</v>
      </c>
      <c r="D231" s="61">
        <f t="shared" si="16"/>
        <v>0.86205940777012979</v>
      </c>
      <c r="E231" s="61">
        <f t="shared" si="17"/>
        <v>0.95657617581640619</v>
      </c>
      <c r="F23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1" s="62">
        <f>+MITRE[[#This Row],[Trenes Programados]]+SARM[[#This Row],[Trenes Programados]]+URQ[[#This Row],[Trenes Programados]]+ROCA[[#This Row],[Trenes Programados]]+SM[[#This Row],[Trenes Programados]]+BN[[#This Row],[Trenes Programados]]+BS[[#This Row],[Trenes Programados]]+TDC[[#This Row],[Trenes Programados]]</f>
        <v>67889</v>
      </c>
      <c r="I231" s="62">
        <f t="shared" si="18"/>
        <v>2948</v>
      </c>
      <c r="J231" s="62">
        <f>+MITRE[[#This Row],[Trenes Corridos]]+SARM[[#This Row],[Trenes Corridos]]+URQ[[#This Row],[Trenes Corridos]]+ROCA[[#This Row],[Trenes Corridos]]+SM[[#This Row],[Trenes Corridos]]+BN[[#This Row],[Trenes Corridos]]+BS[[#This Row],[Trenes Corridos]]+TDC[[#This Row],[Trenes Corridos]]</f>
        <v>64941</v>
      </c>
      <c r="K231" s="62">
        <f>+MITRE[[#This Row],[Trenes Puntuales]]+SARM[[#This Row],[Trenes Puntuales]]+URQ[[#This Row],[Trenes Puntuales]]+ROCA[[#This Row],[Trenes Puntuales]]+SM[[#This Row],[Trenes Puntuales]]+BN[[#This Row],[Trenes Puntuales]]+BS[[#This Row],[Trenes Puntuales]]+TDC[[#This Row],[Trenes Puntuales]]</f>
        <v>55983</v>
      </c>
      <c r="L231" s="62">
        <f t="shared" si="19"/>
        <v>8958</v>
      </c>
    </row>
    <row r="232" spans="1:12" s="18" customFormat="1" ht="15" customHeight="1">
      <c r="A232" s="18">
        <v>2011</v>
      </c>
      <c r="B232" s="18" t="s">
        <v>46</v>
      </c>
      <c r="C232" s="61">
        <f t="shared" si="15"/>
        <v>0.8168439000314085</v>
      </c>
      <c r="D232" s="61">
        <f t="shared" si="16"/>
        <v>0.85716303597212629</v>
      </c>
      <c r="E232" s="61">
        <f t="shared" si="17"/>
        <v>0.95296211543351128</v>
      </c>
      <c r="F23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2" s="62">
        <f>+MITRE[[#This Row],[Trenes Programados]]+SARM[[#This Row],[Trenes Programados]]+URQ[[#This Row],[Trenes Programados]]+ROCA[[#This Row],[Trenes Programados]]+SM[[#This Row],[Trenes Programados]]+BN[[#This Row],[Trenes Programados]]+BS[[#This Row],[Trenes Programados]]+TDC[[#This Row],[Trenes Programados]]</f>
        <v>66861</v>
      </c>
      <c r="I232" s="62">
        <f t="shared" si="18"/>
        <v>3145</v>
      </c>
      <c r="J232" s="62">
        <f>+MITRE[[#This Row],[Trenes Corridos]]+SARM[[#This Row],[Trenes Corridos]]+URQ[[#This Row],[Trenes Corridos]]+ROCA[[#This Row],[Trenes Corridos]]+SM[[#This Row],[Trenes Corridos]]+BN[[#This Row],[Trenes Corridos]]+BS[[#This Row],[Trenes Corridos]]+TDC[[#This Row],[Trenes Corridos]]</f>
        <v>63716</v>
      </c>
      <c r="K232" s="62">
        <f>+MITRE[[#This Row],[Trenes Puntuales]]+SARM[[#This Row],[Trenes Puntuales]]+URQ[[#This Row],[Trenes Puntuales]]+ROCA[[#This Row],[Trenes Puntuales]]+SM[[#This Row],[Trenes Puntuales]]+BN[[#This Row],[Trenes Puntuales]]+BS[[#This Row],[Trenes Puntuales]]+TDC[[#This Row],[Trenes Puntuales]]</f>
        <v>54615</v>
      </c>
      <c r="L232" s="62">
        <f t="shared" si="19"/>
        <v>9101</v>
      </c>
    </row>
    <row r="233" spans="1:12" s="18" customFormat="1" ht="15" customHeight="1">
      <c r="A233" s="18">
        <v>2011</v>
      </c>
      <c r="B233" s="18" t="s">
        <v>47</v>
      </c>
      <c r="C233" s="61">
        <f t="shared" si="15"/>
        <v>0.81082967098230196</v>
      </c>
      <c r="D233" s="61">
        <f t="shared" si="16"/>
        <v>0.85720788597978281</v>
      </c>
      <c r="E233" s="61">
        <f t="shared" si="17"/>
        <v>0.94589618719562896</v>
      </c>
      <c r="F23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3" s="62">
        <f>+MITRE[[#This Row],[Trenes Programados]]+SARM[[#This Row],[Trenes Programados]]+URQ[[#This Row],[Trenes Programados]]+ROCA[[#This Row],[Trenes Programados]]+SM[[#This Row],[Trenes Programados]]+BN[[#This Row],[Trenes Programados]]+BS[[#This Row],[Trenes Programados]]+TDC[[#This Row],[Trenes Programados]]</f>
        <v>67352</v>
      </c>
      <c r="I233" s="62">
        <f t="shared" si="18"/>
        <v>3644</v>
      </c>
      <c r="J233" s="62">
        <f>+MITRE[[#This Row],[Trenes Corridos]]+SARM[[#This Row],[Trenes Corridos]]+URQ[[#This Row],[Trenes Corridos]]+ROCA[[#This Row],[Trenes Corridos]]+SM[[#This Row],[Trenes Corridos]]+BN[[#This Row],[Trenes Corridos]]+BS[[#This Row],[Trenes Corridos]]+TDC[[#This Row],[Trenes Corridos]]</f>
        <v>63708</v>
      </c>
      <c r="K233" s="62">
        <f>+MITRE[[#This Row],[Trenes Puntuales]]+SARM[[#This Row],[Trenes Puntuales]]+URQ[[#This Row],[Trenes Puntuales]]+ROCA[[#This Row],[Trenes Puntuales]]+SM[[#This Row],[Trenes Puntuales]]+BN[[#This Row],[Trenes Puntuales]]+BS[[#This Row],[Trenes Puntuales]]+TDC[[#This Row],[Trenes Puntuales]]</f>
        <v>54611</v>
      </c>
      <c r="L233" s="62">
        <f t="shared" si="19"/>
        <v>9097</v>
      </c>
    </row>
    <row r="234" spans="1:12" s="18" customFormat="1" ht="15" customHeight="1">
      <c r="A234" s="18">
        <v>2012</v>
      </c>
      <c r="B234" s="18" t="s">
        <v>36</v>
      </c>
      <c r="C234" s="61">
        <f t="shared" si="15"/>
        <v>0.81716987995634771</v>
      </c>
      <c r="D234" s="61">
        <f t="shared" si="16"/>
        <v>0.86670679198111023</v>
      </c>
      <c r="E234" s="61">
        <f t="shared" si="17"/>
        <v>0.94284467078937795</v>
      </c>
      <c r="F23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4" s="62">
        <f>+MITRE[[#This Row],[Trenes Programados]]+SARM[[#This Row],[Trenes Programados]]+URQ[[#This Row],[Trenes Programados]]+ROCA[[#This Row],[Trenes Programados]]+SM[[#This Row],[Trenes Programados]]+BN[[#This Row],[Trenes Programados]]+BS[[#This Row],[Trenes Programados]]+TDC[[#This Row],[Trenes Programados]]</f>
        <v>68725</v>
      </c>
      <c r="I234" s="62">
        <f t="shared" si="18"/>
        <v>3928</v>
      </c>
      <c r="J234" s="62">
        <f>+MITRE[[#This Row],[Trenes Corridos]]+SARM[[#This Row],[Trenes Corridos]]+URQ[[#This Row],[Trenes Corridos]]+ROCA[[#This Row],[Trenes Corridos]]+SM[[#This Row],[Trenes Corridos]]+BN[[#This Row],[Trenes Corridos]]+BS[[#This Row],[Trenes Corridos]]+TDC[[#This Row],[Trenes Corridos]]</f>
        <v>64797</v>
      </c>
      <c r="K234" s="62">
        <f>+MITRE[[#This Row],[Trenes Puntuales]]+SARM[[#This Row],[Trenes Puntuales]]+URQ[[#This Row],[Trenes Puntuales]]+ROCA[[#This Row],[Trenes Puntuales]]+SM[[#This Row],[Trenes Puntuales]]+BN[[#This Row],[Trenes Puntuales]]+BS[[#This Row],[Trenes Puntuales]]+TDC[[#This Row],[Trenes Puntuales]]</f>
        <v>56160</v>
      </c>
      <c r="L234" s="62">
        <f t="shared" si="19"/>
        <v>8637</v>
      </c>
    </row>
    <row r="235" spans="1:12" s="18" customFormat="1" ht="15" customHeight="1">
      <c r="A235" s="18">
        <v>2012</v>
      </c>
      <c r="B235" s="18" t="s">
        <v>37</v>
      </c>
      <c r="C235" s="61">
        <f t="shared" si="15"/>
        <v>0.76632390745501289</v>
      </c>
      <c r="D235" s="61">
        <f t="shared" si="16"/>
        <v>0.81870301074530538</v>
      </c>
      <c r="E235" s="61">
        <f t="shared" si="17"/>
        <v>0.93602185089974288</v>
      </c>
      <c r="F23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5" s="62">
        <f>+MITRE[[#This Row],[Trenes Programados]]+SARM[[#This Row],[Trenes Programados]]+URQ[[#This Row],[Trenes Programados]]+ROCA[[#This Row],[Trenes Programados]]+SM[[#This Row],[Trenes Programados]]+BN[[#This Row],[Trenes Programados]]+BS[[#This Row],[Trenes Programados]]+TDC[[#This Row],[Trenes Programados]]</f>
        <v>62240</v>
      </c>
      <c r="I235" s="62">
        <f t="shared" si="18"/>
        <v>3982</v>
      </c>
      <c r="J235" s="62">
        <f>+MITRE[[#This Row],[Trenes Corridos]]+SARM[[#This Row],[Trenes Corridos]]+URQ[[#This Row],[Trenes Corridos]]+ROCA[[#This Row],[Trenes Corridos]]+SM[[#This Row],[Trenes Corridos]]+BN[[#This Row],[Trenes Corridos]]+BS[[#This Row],[Trenes Corridos]]+TDC[[#This Row],[Trenes Corridos]]</f>
        <v>58258</v>
      </c>
      <c r="K235" s="62">
        <f>+MITRE[[#This Row],[Trenes Puntuales]]+SARM[[#This Row],[Trenes Puntuales]]+URQ[[#This Row],[Trenes Puntuales]]+ROCA[[#This Row],[Trenes Puntuales]]+SM[[#This Row],[Trenes Puntuales]]+BN[[#This Row],[Trenes Puntuales]]+BS[[#This Row],[Trenes Puntuales]]+TDC[[#This Row],[Trenes Puntuales]]</f>
        <v>47696</v>
      </c>
      <c r="L235" s="62">
        <f t="shared" si="19"/>
        <v>10562</v>
      </c>
    </row>
    <row r="236" spans="1:12" s="18" customFormat="1" ht="15" customHeight="1">
      <c r="A236" s="18">
        <v>2012</v>
      </c>
      <c r="B236" s="18" t="s">
        <v>38</v>
      </c>
      <c r="C236" s="61">
        <f t="shared" si="15"/>
        <v>0.71806047006702911</v>
      </c>
      <c r="D236" s="61">
        <f t="shared" si="16"/>
        <v>0.78576150601271799</v>
      </c>
      <c r="E236" s="61">
        <f t="shared" si="17"/>
        <v>0.91384022323868708</v>
      </c>
      <c r="F23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6" s="62">
        <f>+MITRE[[#This Row],[Trenes Programados]]+SARM[[#This Row],[Trenes Programados]]+URQ[[#This Row],[Trenes Programados]]+ROCA[[#This Row],[Trenes Programados]]+SM[[#This Row],[Trenes Programados]]+BN[[#This Row],[Trenes Programados]]+BS[[#This Row],[Trenes Programados]]+TDC[[#This Row],[Trenes Programados]]</f>
        <v>69522</v>
      </c>
      <c r="I236" s="62">
        <f t="shared" si="18"/>
        <v>5990</v>
      </c>
      <c r="J236" s="62">
        <f>+MITRE[[#This Row],[Trenes Corridos]]+SARM[[#This Row],[Trenes Corridos]]+URQ[[#This Row],[Trenes Corridos]]+ROCA[[#This Row],[Trenes Corridos]]+SM[[#This Row],[Trenes Corridos]]+BN[[#This Row],[Trenes Corridos]]+BS[[#This Row],[Trenes Corridos]]+TDC[[#This Row],[Trenes Corridos]]</f>
        <v>63532</v>
      </c>
      <c r="K236" s="62">
        <f>+MITRE[[#This Row],[Trenes Puntuales]]+SARM[[#This Row],[Trenes Puntuales]]+URQ[[#This Row],[Trenes Puntuales]]+ROCA[[#This Row],[Trenes Puntuales]]+SM[[#This Row],[Trenes Puntuales]]+BN[[#This Row],[Trenes Puntuales]]+BS[[#This Row],[Trenes Puntuales]]+TDC[[#This Row],[Trenes Puntuales]]</f>
        <v>49921</v>
      </c>
      <c r="L236" s="62">
        <f t="shared" si="19"/>
        <v>13611</v>
      </c>
    </row>
    <row r="237" spans="1:12" s="18" customFormat="1" ht="15" customHeight="1">
      <c r="A237" s="18">
        <v>2012</v>
      </c>
      <c r="B237" s="18" t="s">
        <v>39</v>
      </c>
      <c r="C237" s="61">
        <f t="shared" si="15"/>
        <v>0.6997449099359927</v>
      </c>
      <c r="D237" s="61">
        <f t="shared" si="16"/>
        <v>0.78897868435911911</v>
      </c>
      <c r="E237" s="61">
        <f t="shared" si="17"/>
        <v>0.88689963849199516</v>
      </c>
      <c r="F23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7" s="62">
        <f>+MITRE[[#This Row],[Trenes Programados]]+SARM[[#This Row],[Trenes Programados]]+URQ[[#This Row],[Trenes Programados]]+ROCA[[#This Row],[Trenes Programados]]+SM[[#This Row],[Trenes Programados]]+BN[[#This Row],[Trenes Programados]]+BS[[#This Row],[Trenes Programados]]+TDC[[#This Row],[Trenes Programados]]</f>
        <v>63899</v>
      </c>
      <c r="I237" s="62">
        <f t="shared" si="18"/>
        <v>7227</v>
      </c>
      <c r="J237" s="62">
        <f>+MITRE[[#This Row],[Trenes Corridos]]+SARM[[#This Row],[Trenes Corridos]]+URQ[[#This Row],[Trenes Corridos]]+ROCA[[#This Row],[Trenes Corridos]]+SM[[#This Row],[Trenes Corridos]]+BN[[#This Row],[Trenes Corridos]]+BS[[#This Row],[Trenes Corridos]]+TDC[[#This Row],[Trenes Corridos]]</f>
        <v>56672</v>
      </c>
      <c r="K237" s="62">
        <f>+MITRE[[#This Row],[Trenes Puntuales]]+SARM[[#This Row],[Trenes Puntuales]]+URQ[[#This Row],[Trenes Puntuales]]+ROCA[[#This Row],[Trenes Puntuales]]+SM[[#This Row],[Trenes Puntuales]]+BN[[#This Row],[Trenes Puntuales]]+BS[[#This Row],[Trenes Puntuales]]+TDC[[#This Row],[Trenes Puntuales]]</f>
        <v>44713</v>
      </c>
      <c r="L237" s="62">
        <f t="shared" si="19"/>
        <v>11959</v>
      </c>
    </row>
    <row r="238" spans="1:12" s="18" customFormat="1" ht="15" customHeight="1">
      <c r="A238" s="18">
        <v>2012</v>
      </c>
      <c r="B238" s="18" t="s">
        <v>40</v>
      </c>
      <c r="C238" s="61">
        <f t="shared" si="15"/>
        <v>0.69417702316354513</v>
      </c>
      <c r="D238" s="61">
        <f t="shared" si="16"/>
        <v>0.7659252583126791</v>
      </c>
      <c r="E238" s="61">
        <f t="shared" si="17"/>
        <v>0.90632475640352417</v>
      </c>
      <c r="F23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8" s="62">
        <f>+MITRE[[#This Row],[Trenes Programados]]+SARM[[#This Row],[Trenes Programados]]+URQ[[#This Row],[Trenes Programados]]+ROCA[[#This Row],[Trenes Programados]]+SM[[#This Row],[Trenes Programados]]+BN[[#This Row],[Trenes Programados]]+BS[[#This Row],[Trenes Programados]]+TDC[[#This Row],[Trenes Programados]]</f>
        <v>68556</v>
      </c>
      <c r="I238" s="62">
        <f t="shared" si="18"/>
        <v>6422</v>
      </c>
      <c r="J238" s="62">
        <f>+MITRE[[#This Row],[Trenes Corridos]]+SARM[[#This Row],[Trenes Corridos]]+URQ[[#This Row],[Trenes Corridos]]+ROCA[[#This Row],[Trenes Corridos]]+SM[[#This Row],[Trenes Corridos]]+BN[[#This Row],[Trenes Corridos]]+BS[[#This Row],[Trenes Corridos]]+TDC[[#This Row],[Trenes Corridos]]</f>
        <v>62134</v>
      </c>
      <c r="K238" s="62">
        <f>+MITRE[[#This Row],[Trenes Puntuales]]+SARM[[#This Row],[Trenes Puntuales]]+URQ[[#This Row],[Trenes Puntuales]]+ROCA[[#This Row],[Trenes Puntuales]]+SM[[#This Row],[Trenes Puntuales]]+BN[[#This Row],[Trenes Puntuales]]+BS[[#This Row],[Trenes Puntuales]]+TDC[[#This Row],[Trenes Puntuales]]</f>
        <v>47590</v>
      </c>
      <c r="L238" s="62">
        <f t="shared" si="19"/>
        <v>14544</v>
      </c>
    </row>
    <row r="239" spans="1:12" s="18" customFormat="1" ht="15" customHeight="1">
      <c r="A239" s="18">
        <v>2012</v>
      </c>
      <c r="B239" s="18" t="s">
        <v>41</v>
      </c>
      <c r="C239" s="61">
        <f t="shared" si="15"/>
        <v>0.7286220247921481</v>
      </c>
      <c r="D239" s="61">
        <f t="shared" si="16"/>
        <v>0.78608552045723168</v>
      </c>
      <c r="E239" s="61">
        <f t="shared" si="17"/>
        <v>0.9268991805984933</v>
      </c>
      <c r="F23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9" s="62">
        <f>+MITRE[[#This Row],[Trenes Programados]]+SARM[[#This Row],[Trenes Programados]]+URQ[[#This Row],[Trenes Programados]]+ROCA[[#This Row],[Trenes Programados]]+SM[[#This Row],[Trenes Programados]]+BN[[#This Row],[Trenes Programados]]+BS[[#This Row],[Trenes Programados]]+TDC[[#This Row],[Trenes Programados]]</f>
        <v>66634</v>
      </c>
      <c r="I239" s="62">
        <f t="shared" si="18"/>
        <v>4871</v>
      </c>
      <c r="J239" s="62">
        <f>+MITRE[[#This Row],[Trenes Corridos]]+SARM[[#This Row],[Trenes Corridos]]+URQ[[#This Row],[Trenes Corridos]]+ROCA[[#This Row],[Trenes Corridos]]+SM[[#This Row],[Trenes Corridos]]+BN[[#This Row],[Trenes Corridos]]+BS[[#This Row],[Trenes Corridos]]+TDC[[#This Row],[Trenes Corridos]]</f>
        <v>61763</v>
      </c>
      <c r="K239" s="62">
        <f>+MITRE[[#This Row],[Trenes Puntuales]]+SARM[[#This Row],[Trenes Puntuales]]+URQ[[#This Row],[Trenes Puntuales]]+ROCA[[#This Row],[Trenes Puntuales]]+SM[[#This Row],[Trenes Puntuales]]+BN[[#This Row],[Trenes Puntuales]]+BS[[#This Row],[Trenes Puntuales]]+TDC[[#This Row],[Trenes Puntuales]]</f>
        <v>48551</v>
      </c>
      <c r="L239" s="62">
        <f t="shared" si="19"/>
        <v>13212</v>
      </c>
    </row>
    <row r="240" spans="1:12" s="18" customFormat="1" ht="15" customHeight="1">
      <c r="A240" s="18">
        <v>2012</v>
      </c>
      <c r="B240" s="18" t="s">
        <v>42</v>
      </c>
      <c r="C240" s="61">
        <f t="shared" si="15"/>
        <v>0.73888880785331912</v>
      </c>
      <c r="D240" s="61">
        <f t="shared" si="16"/>
        <v>0.80769169443691502</v>
      </c>
      <c r="E240" s="61">
        <f t="shared" si="17"/>
        <v>0.91481540907565972</v>
      </c>
      <c r="F24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0" s="62">
        <f>+MITRE[[#This Row],[Trenes Programados]]+SARM[[#This Row],[Trenes Programados]]+URQ[[#This Row],[Trenes Programados]]+ROCA[[#This Row],[Trenes Programados]]+SM[[#This Row],[Trenes Programados]]+BN[[#This Row],[Trenes Programados]]+BS[[#This Row],[Trenes Programados]]+TDC[[#This Row],[Trenes Programados]]</f>
        <v>68557</v>
      </c>
      <c r="I240" s="62">
        <f t="shared" si="18"/>
        <v>5840</v>
      </c>
      <c r="J240" s="62">
        <f>+MITRE[[#This Row],[Trenes Corridos]]+SARM[[#This Row],[Trenes Corridos]]+URQ[[#This Row],[Trenes Corridos]]+ROCA[[#This Row],[Trenes Corridos]]+SM[[#This Row],[Trenes Corridos]]+BN[[#This Row],[Trenes Corridos]]+BS[[#This Row],[Trenes Corridos]]+TDC[[#This Row],[Trenes Corridos]]</f>
        <v>62717</v>
      </c>
      <c r="K240" s="62">
        <f>+MITRE[[#This Row],[Trenes Puntuales]]+SARM[[#This Row],[Trenes Puntuales]]+URQ[[#This Row],[Trenes Puntuales]]+ROCA[[#This Row],[Trenes Puntuales]]+SM[[#This Row],[Trenes Puntuales]]+BN[[#This Row],[Trenes Puntuales]]+BS[[#This Row],[Trenes Puntuales]]+TDC[[#This Row],[Trenes Puntuales]]</f>
        <v>50656</v>
      </c>
      <c r="L240" s="62">
        <f t="shared" si="19"/>
        <v>12061</v>
      </c>
    </row>
    <row r="241" spans="1:12" s="18" customFormat="1" ht="15" customHeight="1">
      <c r="A241" s="18">
        <v>2012</v>
      </c>
      <c r="B241" s="18" t="s">
        <v>43</v>
      </c>
      <c r="C241" s="61">
        <f t="shared" si="15"/>
        <v>0.66708351300848068</v>
      </c>
      <c r="D241" s="61">
        <f t="shared" si="16"/>
        <v>0.76700216503875585</v>
      </c>
      <c r="E241" s="61">
        <f t="shared" si="17"/>
        <v>0.86972833117723158</v>
      </c>
      <c r="F24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1" s="62">
        <f>+MITRE[[#This Row],[Trenes Programados]]+SARM[[#This Row],[Trenes Programados]]+URQ[[#This Row],[Trenes Programados]]+ROCA[[#This Row],[Trenes Programados]]+SM[[#This Row],[Trenes Programados]]+BN[[#This Row],[Trenes Programados]]+BS[[#This Row],[Trenes Programados]]+TDC[[#This Row],[Trenes Programados]]</f>
        <v>69570</v>
      </c>
      <c r="I241" s="62">
        <f t="shared" si="18"/>
        <v>9063</v>
      </c>
      <c r="J241" s="62">
        <f>+MITRE[[#This Row],[Trenes Corridos]]+SARM[[#This Row],[Trenes Corridos]]+URQ[[#This Row],[Trenes Corridos]]+ROCA[[#This Row],[Trenes Corridos]]+SM[[#This Row],[Trenes Corridos]]+BN[[#This Row],[Trenes Corridos]]+BS[[#This Row],[Trenes Corridos]]+TDC[[#This Row],[Trenes Corridos]]</f>
        <v>60507</v>
      </c>
      <c r="K241" s="62">
        <f>+MITRE[[#This Row],[Trenes Puntuales]]+SARM[[#This Row],[Trenes Puntuales]]+URQ[[#This Row],[Trenes Puntuales]]+ROCA[[#This Row],[Trenes Puntuales]]+SM[[#This Row],[Trenes Puntuales]]+BN[[#This Row],[Trenes Puntuales]]+BS[[#This Row],[Trenes Puntuales]]+TDC[[#This Row],[Trenes Puntuales]]</f>
        <v>46409</v>
      </c>
      <c r="L241" s="62">
        <f t="shared" si="19"/>
        <v>14098</v>
      </c>
    </row>
    <row r="242" spans="1:12" s="18" customFormat="1" ht="15" customHeight="1">
      <c r="A242" s="18">
        <v>2012</v>
      </c>
      <c r="B242" s="18" t="s">
        <v>44</v>
      </c>
      <c r="C242" s="61">
        <f t="shared" si="15"/>
        <v>0.62049751849709223</v>
      </c>
      <c r="D242" s="61">
        <f t="shared" si="16"/>
        <v>0.73249105907301904</v>
      </c>
      <c r="E242" s="61">
        <f t="shared" si="17"/>
        <v>0.84710592820387909</v>
      </c>
      <c r="F24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2" s="62">
        <f>+MITRE[[#This Row],[Trenes Programados]]+SARM[[#This Row],[Trenes Programados]]+URQ[[#This Row],[Trenes Programados]]+ROCA[[#This Row],[Trenes Programados]]+SM[[#This Row],[Trenes Programados]]+BN[[#This Row],[Trenes Programados]]+BS[[#This Row],[Trenes Programados]]+TDC[[#This Row],[Trenes Programados]]</f>
        <v>65686</v>
      </c>
      <c r="I242" s="62">
        <f t="shared" si="18"/>
        <v>10043</v>
      </c>
      <c r="J242" s="62">
        <f>+MITRE[[#This Row],[Trenes Corridos]]+SARM[[#This Row],[Trenes Corridos]]+URQ[[#This Row],[Trenes Corridos]]+ROCA[[#This Row],[Trenes Corridos]]+SM[[#This Row],[Trenes Corridos]]+BN[[#This Row],[Trenes Corridos]]+BS[[#This Row],[Trenes Corridos]]+TDC[[#This Row],[Trenes Corridos]]</f>
        <v>55643</v>
      </c>
      <c r="K242" s="62">
        <f>+MITRE[[#This Row],[Trenes Puntuales]]+SARM[[#This Row],[Trenes Puntuales]]+URQ[[#This Row],[Trenes Puntuales]]+ROCA[[#This Row],[Trenes Puntuales]]+SM[[#This Row],[Trenes Puntuales]]+BN[[#This Row],[Trenes Puntuales]]+BS[[#This Row],[Trenes Puntuales]]+TDC[[#This Row],[Trenes Puntuales]]</f>
        <v>40758</v>
      </c>
      <c r="L242" s="62">
        <f t="shared" si="19"/>
        <v>14885</v>
      </c>
    </row>
    <row r="243" spans="1:12" s="18" customFormat="1" ht="15" customHeight="1">
      <c r="A243" s="18">
        <v>2012</v>
      </c>
      <c r="B243" s="18" t="s">
        <v>45</v>
      </c>
      <c r="C243" s="61">
        <f t="shared" si="15"/>
        <v>0.63351447712700193</v>
      </c>
      <c r="D243" s="61">
        <f t="shared" si="16"/>
        <v>0.73418860379873374</v>
      </c>
      <c r="E243" s="61">
        <f t="shared" si="17"/>
        <v>0.86287702349118722</v>
      </c>
      <c r="F24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3" s="62">
        <f>+MITRE[[#This Row],[Trenes Programados]]+SARM[[#This Row],[Trenes Programados]]+URQ[[#This Row],[Trenes Programados]]+ROCA[[#This Row],[Trenes Programados]]+SM[[#This Row],[Trenes Programados]]+BN[[#This Row],[Trenes Programados]]+BS[[#This Row],[Trenes Programados]]+TDC[[#This Row],[Trenes Programados]]</f>
        <v>69558</v>
      </c>
      <c r="I243" s="62">
        <f t="shared" si="18"/>
        <v>9538</v>
      </c>
      <c r="J243" s="62">
        <f>+MITRE[[#This Row],[Trenes Corridos]]+SARM[[#This Row],[Trenes Corridos]]+URQ[[#This Row],[Trenes Corridos]]+ROCA[[#This Row],[Trenes Corridos]]+SM[[#This Row],[Trenes Corridos]]+BN[[#This Row],[Trenes Corridos]]+BS[[#This Row],[Trenes Corridos]]+TDC[[#This Row],[Trenes Corridos]]</f>
        <v>60020</v>
      </c>
      <c r="K243" s="62">
        <f>+MITRE[[#This Row],[Trenes Puntuales]]+SARM[[#This Row],[Trenes Puntuales]]+URQ[[#This Row],[Trenes Puntuales]]+ROCA[[#This Row],[Trenes Puntuales]]+SM[[#This Row],[Trenes Puntuales]]+BN[[#This Row],[Trenes Puntuales]]+BS[[#This Row],[Trenes Puntuales]]+TDC[[#This Row],[Trenes Puntuales]]</f>
        <v>44066</v>
      </c>
      <c r="L243" s="62">
        <f t="shared" si="19"/>
        <v>15954</v>
      </c>
    </row>
    <row r="244" spans="1:12" s="18" customFormat="1" ht="15" customHeight="1">
      <c r="A244" s="18">
        <v>2012</v>
      </c>
      <c r="B244" s="18" t="s">
        <v>46</v>
      </c>
      <c r="C244" s="61">
        <f t="shared" si="15"/>
        <v>0.57755293626786275</v>
      </c>
      <c r="D244" s="61">
        <f t="shared" si="16"/>
        <v>0.71049640709781492</v>
      </c>
      <c r="E244" s="61">
        <f t="shared" si="17"/>
        <v>0.81288649808520463</v>
      </c>
      <c r="F24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4" s="62">
        <f>+MITRE[[#This Row],[Trenes Programados]]+SARM[[#This Row],[Trenes Programados]]+URQ[[#This Row],[Trenes Programados]]+ROCA[[#This Row],[Trenes Programados]]+SM[[#This Row],[Trenes Programados]]+BN[[#This Row],[Trenes Programados]]+BS[[#This Row],[Trenes Programados]]+TDC[[#This Row],[Trenes Programados]]</f>
        <v>67109</v>
      </c>
      <c r="I244" s="62">
        <f t="shared" si="18"/>
        <v>12557</v>
      </c>
      <c r="J244" s="62">
        <f>+MITRE[[#This Row],[Trenes Corridos]]+SARM[[#This Row],[Trenes Corridos]]+URQ[[#This Row],[Trenes Corridos]]+ROCA[[#This Row],[Trenes Corridos]]+SM[[#This Row],[Trenes Corridos]]+BN[[#This Row],[Trenes Corridos]]+BS[[#This Row],[Trenes Corridos]]+TDC[[#This Row],[Trenes Corridos]]</f>
        <v>54552</v>
      </c>
      <c r="K244" s="62">
        <f>+MITRE[[#This Row],[Trenes Puntuales]]+SARM[[#This Row],[Trenes Puntuales]]+URQ[[#This Row],[Trenes Puntuales]]+ROCA[[#This Row],[Trenes Puntuales]]+SM[[#This Row],[Trenes Puntuales]]+BN[[#This Row],[Trenes Puntuales]]+BS[[#This Row],[Trenes Puntuales]]+TDC[[#This Row],[Trenes Puntuales]]</f>
        <v>38759</v>
      </c>
      <c r="L244" s="62">
        <f t="shared" si="19"/>
        <v>15793</v>
      </c>
    </row>
    <row r="245" spans="1:12" s="18" customFormat="1" ht="15" customHeight="1">
      <c r="A245" s="18">
        <v>2012</v>
      </c>
      <c r="B245" s="18" t="s">
        <v>47</v>
      </c>
      <c r="C245" s="61">
        <f t="shared" si="15"/>
        <v>0.61317655727135967</v>
      </c>
      <c r="D245" s="61">
        <f t="shared" si="16"/>
        <v>0.73177255074375325</v>
      </c>
      <c r="E245" s="61">
        <f t="shared" si="17"/>
        <v>0.83793325760599269</v>
      </c>
      <c r="F24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5" s="62">
        <f>+MITRE[[#This Row],[Trenes Programados]]+SARM[[#This Row],[Trenes Programados]]+URQ[[#This Row],[Trenes Programados]]+ROCA[[#This Row],[Trenes Programados]]+SM[[#This Row],[Trenes Programados]]+BN[[#This Row],[Trenes Programados]]+BS[[#This Row],[Trenes Programados]]+TDC[[#This Row],[Trenes Programados]]</f>
        <v>65146</v>
      </c>
      <c r="I245" s="62">
        <f t="shared" si="18"/>
        <v>10558</v>
      </c>
      <c r="J245" s="62">
        <f>+MITRE[[#This Row],[Trenes Corridos]]+SARM[[#This Row],[Trenes Corridos]]+URQ[[#This Row],[Trenes Corridos]]+ROCA[[#This Row],[Trenes Corridos]]+SM[[#This Row],[Trenes Corridos]]+BN[[#This Row],[Trenes Corridos]]+BS[[#This Row],[Trenes Corridos]]+TDC[[#This Row],[Trenes Corridos]]</f>
        <v>54588</v>
      </c>
      <c r="K245" s="62">
        <f>+MITRE[[#This Row],[Trenes Puntuales]]+SARM[[#This Row],[Trenes Puntuales]]+URQ[[#This Row],[Trenes Puntuales]]+ROCA[[#This Row],[Trenes Puntuales]]+SM[[#This Row],[Trenes Puntuales]]+BN[[#This Row],[Trenes Puntuales]]+BS[[#This Row],[Trenes Puntuales]]+TDC[[#This Row],[Trenes Puntuales]]</f>
        <v>39946</v>
      </c>
      <c r="L245" s="62">
        <f t="shared" si="19"/>
        <v>14642</v>
      </c>
    </row>
    <row r="246" spans="1:12" s="18" customFormat="1" ht="15" customHeight="1">
      <c r="A246" s="18">
        <v>2013</v>
      </c>
      <c r="B246" s="18" t="s">
        <v>36</v>
      </c>
      <c r="C246" s="61">
        <f t="shared" si="15"/>
        <v>0.69106854654526628</v>
      </c>
      <c r="D246" s="61">
        <f t="shared" si="16"/>
        <v>0.80053618357232303</v>
      </c>
      <c r="E246" s="61">
        <f t="shared" si="17"/>
        <v>0.86325710283504364</v>
      </c>
      <c r="F24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6" s="62">
        <f>+MITRE[[#This Row],[Trenes Programados]]+SARM[[#This Row],[Trenes Programados]]+URQ[[#This Row],[Trenes Programados]]+ROCA[[#This Row],[Trenes Programados]]+SM[[#This Row],[Trenes Programados]]+BN[[#This Row],[Trenes Programados]]+BS[[#This Row],[Trenes Programados]]+TDC[[#This Row],[Trenes Programados]]</f>
        <v>65678</v>
      </c>
      <c r="I246" s="62">
        <f t="shared" si="18"/>
        <v>8981</v>
      </c>
      <c r="J246" s="62">
        <f>+MITRE[[#This Row],[Trenes Corridos]]+SARM[[#This Row],[Trenes Corridos]]+URQ[[#This Row],[Trenes Corridos]]+ROCA[[#This Row],[Trenes Corridos]]+SM[[#This Row],[Trenes Corridos]]+BN[[#This Row],[Trenes Corridos]]+BS[[#This Row],[Trenes Corridos]]+TDC[[#This Row],[Trenes Corridos]]</f>
        <v>56697</v>
      </c>
      <c r="K246" s="62">
        <f>+MITRE[[#This Row],[Trenes Puntuales]]+SARM[[#This Row],[Trenes Puntuales]]+URQ[[#This Row],[Trenes Puntuales]]+ROCA[[#This Row],[Trenes Puntuales]]+SM[[#This Row],[Trenes Puntuales]]+BN[[#This Row],[Trenes Puntuales]]+BS[[#This Row],[Trenes Puntuales]]+TDC[[#This Row],[Trenes Puntuales]]</f>
        <v>45388</v>
      </c>
      <c r="L246" s="62">
        <f t="shared" si="19"/>
        <v>11309</v>
      </c>
    </row>
    <row r="247" spans="1:12" s="18" customFormat="1" ht="15" customHeight="1">
      <c r="A247" s="18">
        <v>2013</v>
      </c>
      <c r="B247" s="18" t="s">
        <v>37</v>
      </c>
      <c r="C247" s="61">
        <f t="shared" si="15"/>
        <v>0.65659227113039886</v>
      </c>
      <c r="D247" s="61">
        <f t="shared" si="16"/>
        <v>0.75941122574991038</v>
      </c>
      <c r="E247" s="61">
        <f t="shared" si="17"/>
        <v>0.86460701246814076</v>
      </c>
      <c r="F24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7" s="62">
        <f>+MITRE[[#This Row],[Trenes Programados]]+SARM[[#This Row],[Trenes Programados]]+URQ[[#This Row],[Trenes Programados]]+ROCA[[#This Row],[Trenes Programados]]+SM[[#This Row],[Trenes Programados]]+BN[[#This Row],[Trenes Programados]]+BS[[#This Row],[Trenes Programados]]+TDC[[#This Row],[Trenes Programados]]</f>
        <v>58068</v>
      </c>
      <c r="I247" s="62">
        <f t="shared" si="18"/>
        <v>7862</v>
      </c>
      <c r="J247" s="62">
        <f>+MITRE[[#This Row],[Trenes Corridos]]+SARM[[#This Row],[Trenes Corridos]]+URQ[[#This Row],[Trenes Corridos]]+ROCA[[#This Row],[Trenes Corridos]]+SM[[#This Row],[Trenes Corridos]]+BN[[#This Row],[Trenes Corridos]]+BS[[#This Row],[Trenes Corridos]]+TDC[[#This Row],[Trenes Corridos]]</f>
        <v>50206</v>
      </c>
      <c r="K247" s="62">
        <f>+MITRE[[#This Row],[Trenes Puntuales]]+SARM[[#This Row],[Trenes Puntuales]]+URQ[[#This Row],[Trenes Puntuales]]+ROCA[[#This Row],[Trenes Puntuales]]+SM[[#This Row],[Trenes Puntuales]]+BN[[#This Row],[Trenes Puntuales]]+BS[[#This Row],[Trenes Puntuales]]+TDC[[#This Row],[Trenes Puntuales]]</f>
        <v>38127</v>
      </c>
      <c r="L247" s="62">
        <f t="shared" si="19"/>
        <v>12079</v>
      </c>
    </row>
    <row r="248" spans="1:12" s="18" customFormat="1" ht="15" customHeight="1">
      <c r="A248" s="18">
        <v>2013</v>
      </c>
      <c r="B248" s="18" t="s">
        <v>38</v>
      </c>
      <c r="C248" s="61">
        <f t="shared" si="15"/>
        <v>0.62436292611468858</v>
      </c>
      <c r="D248" s="61">
        <f t="shared" si="16"/>
        <v>0.72422032638323486</v>
      </c>
      <c r="E248" s="61">
        <f t="shared" si="17"/>
        <v>0.86211737418744472</v>
      </c>
      <c r="F24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8" s="62">
        <f>+MITRE[[#This Row],[Trenes Programados]]+SARM[[#This Row],[Trenes Programados]]+URQ[[#This Row],[Trenes Programados]]+ROCA[[#This Row],[Trenes Programados]]+SM[[#This Row],[Trenes Programados]]+BN[[#This Row],[Trenes Programados]]+BS[[#This Row],[Trenes Programados]]+TDC[[#This Row],[Trenes Programados]]</f>
        <v>65534</v>
      </c>
      <c r="I248" s="62">
        <f t="shared" si="18"/>
        <v>9036</v>
      </c>
      <c r="J248" s="62">
        <f>+MITRE[[#This Row],[Trenes Corridos]]+SARM[[#This Row],[Trenes Corridos]]+URQ[[#This Row],[Trenes Corridos]]+ROCA[[#This Row],[Trenes Corridos]]+SM[[#This Row],[Trenes Corridos]]+BN[[#This Row],[Trenes Corridos]]+BS[[#This Row],[Trenes Corridos]]+TDC[[#This Row],[Trenes Corridos]]</f>
        <v>56498</v>
      </c>
      <c r="K248" s="62">
        <f>+MITRE[[#This Row],[Trenes Puntuales]]+SARM[[#This Row],[Trenes Puntuales]]+URQ[[#This Row],[Trenes Puntuales]]+ROCA[[#This Row],[Trenes Puntuales]]+SM[[#This Row],[Trenes Puntuales]]+BN[[#This Row],[Trenes Puntuales]]+BS[[#This Row],[Trenes Puntuales]]+TDC[[#This Row],[Trenes Puntuales]]</f>
        <v>40917</v>
      </c>
      <c r="L248" s="62">
        <f t="shared" si="19"/>
        <v>15581</v>
      </c>
    </row>
    <row r="249" spans="1:12" s="18" customFormat="1" ht="15" customHeight="1">
      <c r="A249" s="18">
        <v>2013</v>
      </c>
      <c r="B249" s="18" t="s">
        <v>39</v>
      </c>
      <c r="C249" s="61">
        <f t="shared" si="15"/>
        <v>0.64971760634651166</v>
      </c>
      <c r="D249" s="61">
        <f t="shared" si="16"/>
        <v>0.76576628573627303</v>
      </c>
      <c r="E249" s="61">
        <f t="shared" si="17"/>
        <v>0.8484541804054716</v>
      </c>
      <c r="F24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9" s="62">
        <f>+MITRE[[#This Row],[Trenes Programados]]+SARM[[#This Row],[Trenes Programados]]+URQ[[#This Row],[Trenes Programados]]+ROCA[[#This Row],[Trenes Programados]]+SM[[#This Row],[Trenes Programados]]+BN[[#This Row],[Trenes Programados]]+BS[[#This Row],[Trenes Programados]]+TDC[[#This Row],[Trenes Programados]]</f>
        <v>61262</v>
      </c>
      <c r="I249" s="62">
        <f t="shared" si="18"/>
        <v>9284</v>
      </c>
      <c r="J249" s="62">
        <f>+MITRE[[#This Row],[Trenes Corridos]]+SARM[[#This Row],[Trenes Corridos]]+URQ[[#This Row],[Trenes Corridos]]+ROCA[[#This Row],[Trenes Corridos]]+SM[[#This Row],[Trenes Corridos]]+BN[[#This Row],[Trenes Corridos]]+BS[[#This Row],[Trenes Corridos]]+TDC[[#This Row],[Trenes Corridos]]</f>
        <v>51978</v>
      </c>
      <c r="K249" s="62">
        <f>+MITRE[[#This Row],[Trenes Puntuales]]+SARM[[#This Row],[Trenes Puntuales]]+URQ[[#This Row],[Trenes Puntuales]]+ROCA[[#This Row],[Trenes Puntuales]]+SM[[#This Row],[Trenes Puntuales]]+BN[[#This Row],[Trenes Puntuales]]+BS[[#This Row],[Trenes Puntuales]]+TDC[[#This Row],[Trenes Puntuales]]</f>
        <v>39803</v>
      </c>
      <c r="L249" s="62">
        <f t="shared" si="19"/>
        <v>12175</v>
      </c>
    </row>
    <row r="250" spans="1:12" s="18" customFormat="1" ht="15" customHeight="1">
      <c r="A250" s="18">
        <v>2013</v>
      </c>
      <c r="B250" s="18" t="s">
        <v>40</v>
      </c>
      <c r="C250" s="61">
        <f t="shared" si="15"/>
        <v>0.70662633154185306</v>
      </c>
      <c r="D250" s="61">
        <f t="shared" si="16"/>
        <v>0.81231964483906771</v>
      </c>
      <c r="E250" s="61">
        <f t="shared" si="17"/>
        <v>0.86988704019566832</v>
      </c>
      <c r="F25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0" s="62">
        <f>+MITRE[[#This Row],[Trenes Programados]]+SARM[[#This Row],[Trenes Programados]]+URQ[[#This Row],[Trenes Programados]]+ROCA[[#This Row],[Trenes Programados]]+SM[[#This Row],[Trenes Programados]]+BN[[#This Row],[Trenes Programados]]+BS[[#This Row],[Trenes Programados]]+TDC[[#This Row],[Trenes Programados]]</f>
        <v>62146</v>
      </c>
      <c r="I250" s="62">
        <f t="shared" si="18"/>
        <v>8086</v>
      </c>
      <c r="J250" s="62">
        <f>+MITRE[[#This Row],[Trenes Corridos]]+SARM[[#This Row],[Trenes Corridos]]+URQ[[#This Row],[Trenes Corridos]]+ROCA[[#This Row],[Trenes Corridos]]+SM[[#This Row],[Trenes Corridos]]+BN[[#This Row],[Trenes Corridos]]+BS[[#This Row],[Trenes Corridos]]+TDC[[#This Row],[Trenes Corridos]]</f>
        <v>54060</v>
      </c>
      <c r="K250" s="62">
        <f>+MITRE[[#This Row],[Trenes Puntuales]]+SARM[[#This Row],[Trenes Puntuales]]+URQ[[#This Row],[Trenes Puntuales]]+ROCA[[#This Row],[Trenes Puntuales]]+SM[[#This Row],[Trenes Puntuales]]+BN[[#This Row],[Trenes Puntuales]]+BS[[#This Row],[Trenes Puntuales]]+TDC[[#This Row],[Trenes Puntuales]]</f>
        <v>43914</v>
      </c>
      <c r="L250" s="62">
        <f t="shared" si="19"/>
        <v>10146</v>
      </c>
    </row>
    <row r="251" spans="1:12" s="18" customFormat="1" ht="15" customHeight="1">
      <c r="A251" s="18">
        <v>2013</v>
      </c>
      <c r="B251" s="18" t="s">
        <v>41</v>
      </c>
      <c r="C251" s="61">
        <f t="shared" si="15"/>
        <v>0.66987074958375525</v>
      </c>
      <c r="D251" s="61">
        <f t="shared" si="16"/>
        <v>0.79237391374969546</v>
      </c>
      <c r="E251" s="61">
        <f t="shared" si="17"/>
        <v>0.84539727767383577</v>
      </c>
      <c r="F25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1" s="62">
        <f>+MITRE[[#This Row],[Trenes Programados]]+SARM[[#This Row],[Trenes Programados]]+URQ[[#This Row],[Trenes Programados]]+ROCA[[#This Row],[Trenes Programados]]+SM[[#This Row],[Trenes Programados]]+BN[[#This Row],[Trenes Programados]]+BS[[#This Row],[Trenes Programados]]+TDC[[#This Row],[Trenes Programados]]</f>
        <v>58259</v>
      </c>
      <c r="I251" s="62">
        <f t="shared" si="18"/>
        <v>9007</v>
      </c>
      <c r="J251" s="62">
        <f>+MITRE[[#This Row],[Trenes Corridos]]+SARM[[#This Row],[Trenes Corridos]]+URQ[[#This Row],[Trenes Corridos]]+ROCA[[#This Row],[Trenes Corridos]]+SM[[#This Row],[Trenes Corridos]]+BN[[#This Row],[Trenes Corridos]]+BS[[#This Row],[Trenes Corridos]]+TDC[[#This Row],[Trenes Corridos]]</f>
        <v>49252</v>
      </c>
      <c r="K251" s="62">
        <f>+MITRE[[#This Row],[Trenes Puntuales]]+SARM[[#This Row],[Trenes Puntuales]]+URQ[[#This Row],[Trenes Puntuales]]+ROCA[[#This Row],[Trenes Puntuales]]+SM[[#This Row],[Trenes Puntuales]]+BN[[#This Row],[Trenes Puntuales]]+BS[[#This Row],[Trenes Puntuales]]+TDC[[#This Row],[Trenes Puntuales]]</f>
        <v>39026</v>
      </c>
      <c r="L251" s="62">
        <f t="shared" si="19"/>
        <v>10226</v>
      </c>
    </row>
    <row r="252" spans="1:12" s="18" customFormat="1" ht="15" customHeight="1">
      <c r="A252" s="18">
        <v>2013</v>
      </c>
      <c r="B252" s="18" t="s">
        <v>42</v>
      </c>
      <c r="C252" s="61">
        <f t="shared" si="15"/>
        <v>0.61044744923388583</v>
      </c>
      <c r="D252" s="61">
        <f t="shared" si="16"/>
        <v>0.7315325035644098</v>
      </c>
      <c r="E252" s="61">
        <f t="shared" si="17"/>
        <v>0.83447754714857625</v>
      </c>
      <c r="F25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2" s="62">
        <f>+MITRE[[#This Row],[Trenes Programados]]+SARM[[#This Row],[Trenes Programados]]+URQ[[#This Row],[Trenes Programados]]+ROCA[[#This Row],[Trenes Programados]]+SM[[#This Row],[Trenes Programados]]+BN[[#This Row],[Trenes Programados]]+BS[[#This Row],[Trenes Programados]]+TDC[[#This Row],[Trenes Programados]]</f>
        <v>62197</v>
      </c>
      <c r="I252" s="62">
        <f t="shared" si="18"/>
        <v>10295</v>
      </c>
      <c r="J252" s="62">
        <f>+MITRE[[#This Row],[Trenes Corridos]]+SARM[[#This Row],[Trenes Corridos]]+URQ[[#This Row],[Trenes Corridos]]+ROCA[[#This Row],[Trenes Corridos]]+SM[[#This Row],[Trenes Corridos]]+BN[[#This Row],[Trenes Corridos]]+BS[[#This Row],[Trenes Corridos]]+TDC[[#This Row],[Trenes Corridos]]</f>
        <v>51902</v>
      </c>
      <c r="K252" s="62">
        <f>+MITRE[[#This Row],[Trenes Puntuales]]+SARM[[#This Row],[Trenes Puntuales]]+URQ[[#This Row],[Trenes Puntuales]]+ROCA[[#This Row],[Trenes Puntuales]]+SM[[#This Row],[Trenes Puntuales]]+BN[[#This Row],[Trenes Puntuales]]+BS[[#This Row],[Trenes Puntuales]]+TDC[[#This Row],[Trenes Puntuales]]</f>
        <v>37968</v>
      </c>
      <c r="L252" s="62">
        <f t="shared" si="19"/>
        <v>13934</v>
      </c>
    </row>
    <row r="253" spans="1:12" s="18" customFormat="1" ht="15" customHeight="1">
      <c r="A253" s="18">
        <v>2013</v>
      </c>
      <c r="B253" s="18" t="s">
        <v>43</v>
      </c>
      <c r="C253" s="61">
        <f t="shared" si="15"/>
        <v>0.60220115576910593</v>
      </c>
      <c r="D253" s="61">
        <f t="shared" si="16"/>
        <v>0.71402725383016397</v>
      </c>
      <c r="E253" s="61">
        <f t="shared" si="17"/>
        <v>0.84338679306538533</v>
      </c>
      <c r="F25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3" s="62">
        <f>+MITRE[[#This Row],[Trenes Programados]]+SARM[[#This Row],[Trenes Programados]]+URQ[[#This Row],[Trenes Programados]]+ROCA[[#This Row],[Trenes Programados]]+SM[[#This Row],[Trenes Programados]]+BN[[#This Row],[Trenes Programados]]+BS[[#This Row],[Trenes Programados]]+TDC[[#This Row],[Trenes Programados]]</f>
        <v>61604</v>
      </c>
      <c r="I253" s="62">
        <f t="shared" si="18"/>
        <v>9648</v>
      </c>
      <c r="J253" s="62">
        <f>+MITRE[[#This Row],[Trenes Corridos]]+SARM[[#This Row],[Trenes Corridos]]+URQ[[#This Row],[Trenes Corridos]]+ROCA[[#This Row],[Trenes Corridos]]+SM[[#This Row],[Trenes Corridos]]+BN[[#This Row],[Trenes Corridos]]+BS[[#This Row],[Trenes Corridos]]+TDC[[#This Row],[Trenes Corridos]]</f>
        <v>51956</v>
      </c>
      <c r="K253" s="62">
        <f>+MITRE[[#This Row],[Trenes Puntuales]]+SARM[[#This Row],[Trenes Puntuales]]+URQ[[#This Row],[Trenes Puntuales]]+ROCA[[#This Row],[Trenes Puntuales]]+SM[[#This Row],[Trenes Puntuales]]+BN[[#This Row],[Trenes Puntuales]]+BS[[#This Row],[Trenes Puntuales]]+TDC[[#This Row],[Trenes Puntuales]]</f>
        <v>37098</v>
      </c>
      <c r="L253" s="62">
        <f t="shared" si="19"/>
        <v>14858</v>
      </c>
    </row>
    <row r="254" spans="1:12" s="18" customFormat="1" ht="15" customHeight="1">
      <c r="A254" s="18">
        <v>2013</v>
      </c>
      <c r="B254" s="18" t="s">
        <v>44</v>
      </c>
      <c r="C254" s="61">
        <f t="shared" si="15"/>
        <v>0.60735709095824675</v>
      </c>
      <c r="D254" s="61">
        <f t="shared" si="16"/>
        <v>0.72963481720561074</v>
      </c>
      <c r="E254" s="61">
        <f t="shared" si="17"/>
        <v>0.83241242966492623</v>
      </c>
      <c r="F25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4" s="62">
        <f>+MITRE[[#This Row],[Trenes Programados]]+SARM[[#This Row],[Trenes Programados]]+URQ[[#This Row],[Trenes Programados]]+ROCA[[#This Row],[Trenes Programados]]+SM[[#This Row],[Trenes Programados]]+BN[[#This Row],[Trenes Programados]]+BS[[#This Row],[Trenes Programados]]+TDC[[#This Row],[Trenes Programados]]</f>
        <v>59181</v>
      </c>
      <c r="I254" s="62">
        <f t="shared" si="18"/>
        <v>9918</v>
      </c>
      <c r="J254" s="62">
        <f>+MITRE[[#This Row],[Trenes Corridos]]+SARM[[#This Row],[Trenes Corridos]]+URQ[[#This Row],[Trenes Corridos]]+ROCA[[#This Row],[Trenes Corridos]]+SM[[#This Row],[Trenes Corridos]]+BN[[#This Row],[Trenes Corridos]]+BS[[#This Row],[Trenes Corridos]]+TDC[[#This Row],[Trenes Corridos]]</f>
        <v>49263</v>
      </c>
      <c r="K254" s="62">
        <f>+MITRE[[#This Row],[Trenes Puntuales]]+SARM[[#This Row],[Trenes Puntuales]]+URQ[[#This Row],[Trenes Puntuales]]+ROCA[[#This Row],[Trenes Puntuales]]+SM[[#This Row],[Trenes Puntuales]]+BN[[#This Row],[Trenes Puntuales]]+BS[[#This Row],[Trenes Puntuales]]+TDC[[#This Row],[Trenes Puntuales]]</f>
        <v>35944</v>
      </c>
      <c r="L254" s="62">
        <f t="shared" si="19"/>
        <v>13319</v>
      </c>
    </row>
    <row r="255" spans="1:12" s="18" customFormat="1" ht="15" customHeight="1">
      <c r="A255" s="18">
        <v>2013</v>
      </c>
      <c r="B255" s="18" t="s">
        <v>45</v>
      </c>
      <c r="C255" s="61">
        <f t="shared" si="15"/>
        <v>0.61000924379287413</v>
      </c>
      <c r="D255" s="61">
        <f t="shared" si="16"/>
        <v>0.7177613250391176</v>
      </c>
      <c r="E255" s="61">
        <f t="shared" si="17"/>
        <v>0.84987756028736838</v>
      </c>
      <c r="F25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5" s="62">
        <f>+MITRE[[#This Row],[Trenes Programados]]+SARM[[#This Row],[Trenes Programados]]+URQ[[#This Row],[Trenes Programados]]+ROCA[[#This Row],[Trenes Programados]]+SM[[#This Row],[Trenes Programados]]+BN[[#This Row],[Trenes Programados]]+BS[[#This Row],[Trenes Programados]]+TDC[[#This Row],[Trenes Programados]]</f>
        <v>61663</v>
      </c>
      <c r="I255" s="62">
        <f t="shared" si="18"/>
        <v>9257</v>
      </c>
      <c r="J255" s="62">
        <f>+MITRE[[#This Row],[Trenes Corridos]]+SARM[[#This Row],[Trenes Corridos]]+URQ[[#This Row],[Trenes Corridos]]+ROCA[[#This Row],[Trenes Corridos]]+SM[[#This Row],[Trenes Corridos]]+BN[[#This Row],[Trenes Corridos]]+BS[[#This Row],[Trenes Corridos]]+TDC[[#This Row],[Trenes Corridos]]</f>
        <v>52406</v>
      </c>
      <c r="K255" s="62">
        <f>+MITRE[[#This Row],[Trenes Puntuales]]+SARM[[#This Row],[Trenes Puntuales]]+URQ[[#This Row],[Trenes Puntuales]]+ROCA[[#This Row],[Trenes Puntuales]]+SM[[#This Row],[Trenes Puntuales]]+BN[[#This Row],[Trenes Puntuales]]+BS[[#This Row],[Trenes Puntuales]]+TDC[[#This Row],[Trenes Puntuales]]</f>
        <v>37615</v>
      </c>
      <c r="L255" s="62">
        <f t="shared" si="19"/>
        <v>14791</v>
      </c>
    </row>
    <row r="256" spans="1:12" s="18" customFormat="1" ht="15" customHeight="1">
      <c r="A256" s="18">
        <v>2013</v>
      </c>
      <c r="B256" s="18" t="s">
        <v>46</v>
      </c>
      <c r="C256" s="61">
        <f t="shared" si="15"/>
        <v>0.55163217769976036</v>
      </c>
      <c r="D256" s="61">
        <f t="shared" si="16"/>
        <v>0.65518623952527966</v>
      </c>
      <c r="E256" s="61">
        <f t="shared" si="17"/>
        <v>0.84194713567160651</v>
      </c>
      <c r="F25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6" s="62">
        <f>+MITRE[[#This Row],[Trenes Programados]]+SARM[[#This Row],[Trenes Programados]]+URQ[[#This Row],[Trenes Programados]]+ROCA[[#This Row],[Trenes Programados]]+SM[[#This Row],[Trenes Programados]]+BN[[#This Row],[Trenes Programados]]+BS[[#This Row],[Trenes Programados]]+TDC[[#This Row],[Trenes Programados]]</f>
        <v>59246</v>
      </c>
      <c r="I256" s="62">
        <f t="shared" si="18"/>
        <v>9364</v>
      </c>
      <c r="J256" s="62">
        <f>+MITRE[[#This Row],[Trenes Corridos]]+SARM[[#This Row],[Trenes Corridos]]+URQ[[#This Row],[Trenes Corridos]]+ROCA[[#This Row],[Trenes Corridos]]+SM[[#This Row],[Trenes Corridos]]+BN[[#This Row],[Trenes Corridos]]+BS[[#This Row],[Trenes Corridos]]+TDC[[#This Row],[Trenes Corridos]]</f>
        <v>49882</v>
      </c>
      <c r="K256" s="62">
        <f>+MITRE[[#This Row],[Trenes Puntuales]]+SARM[[#This Row],[Trenes Puntuales]]+URQ[[#This Row],[Trenes Puntuales]]+ROCA[[#This Row],[Trenes Puntuales]]+SM[[#This Row],[Trenes Puntuales]]+BN[[#This Row],[Trenes Puntuales]]+BS[[#This Row],[Trenes Puntuales]]+TDC[[#This Row],[Trenes Puntuales]]</f>
        <v>32682</v>
      </c>
      <c r="L256" s="62">
        <f t="shared" si="19"/>
        <v>17200</v>
      </c>
    </row>
    <row r="257" spans="1:12" s="18" customFormat="1" ht="15" customHeight="1">
      <c r="A257" s="18">
        <v>2013</v>
      </c>
      <c r="B257" s="18" t="s">
        <v>47</v>
      </c>
      <c r="C257" s="61">
        <f t="shared" si="15"/>
        <v>0.59935924601223878</v>
      </c>
      <c r="D257" s="61">
        <f t="shared" si="16"/>
        <v>0.71743364986608227</v>
      </c>
      <c r="E257" s="61">
        <f t="shared" si="17"/>
        <v>0.83542115166206155</v>
      </c>
      <c r="F25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7" s="62">
        <f>+MITRE[[#This Row],[Trenes Programados]]+SARM[[#This Row],[Trenes Programados]]+URQ[[#This Row],[Trenes Programados]]+ROCA[[#This Row],[Trenes Programados]]+SM[[#This Row],[Trenes Programados]]+BN[[#This Row],[Trenes Programados]]+BS[[#This Row],[Trenes Programados]]+TDC[[#This Row],[Trenes Programados]]</f>
        <v>58993</v>
      </c>
      <c r="I257" s="62">
        <f t="shared" si="18"/>
        <v>9709</v>
      </c>
      <c r="J257" s="62">
        <f>+MITRE[[#This Row],[Trenes Corridos]]+SARM[[#This Row],[Trenes Corridos]]+URQ[[#This Row],[Trenes Corridos]]+ROCA[[#This Row],[Trenes Corridos]]+SM[[#This Row],[Trenes Corridos]]+BN[[#This Row],[Trenes Corridos]]+BS[[#This Row],[Trenes Corridos]]+TDC[[#This Row],[Trenes Corridos]]</f>
        <v>49284</v>
      </c>
      <c r="K257" s="62">
        <f>+MITRE[[#This Row],[Trenes Puntuales]]+SARM[[#This Row],[Trenes Puntuales]]+URQ[[#This Row],[Trenes Puntuales]]+ROCA[[#This Row],[Trenes Puntuales]]+SM[[#This Row],[Trenes Puntuales]]+BN[[#This Row],[Trenes Puntuales]]+BS[[#This Row],[Trenes Puntuales]]+TDC[[#This Row],[Trenes Puntuales]]</f>
        <v>35358</v>
      </c>
      <c r="L257" s="62">
        <f t="shared" si="19"/>
        <v>13926</v>
      </c>
    </row>
    <row r="258" spans="1:12" s="18" customFormat="1" ht="15" customHeight="1">
      <c r="A258" s="18">
        <v>2014</v>
      </c>
      <c r="B258" s="18" t="s">
        <v>36</v>
      </c>
      <c r="C258" s="61">
        <f t="shared" si="15"/>
        <v>0.70952851400149897</v>
      </c>
      <c r="D258" s="61">
        <f t="shared" si="16"/>
        <v>0.80850526969585212</v>
      </c>
      <c r="E258" s="61">
        <f t="shared" si="17"/>
        <v>0.87758056823601549</v>
      </c>
      <c r="F25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8" s="62">
        <f>+MITRE[[#This Row],[Trenes Programados]]+SARM[[#This Row],[Trenes Programados]]+URQ[[#This Row],[Trenes Programados]]+ROCA[[#This Row],[Trenes Programados]]+SM[[#This Row],[Trenes Programados]]+BN[[#This Row],[Trenes Programados]]+BS[[#This Row],[Trenes Programados]]+TDC[[#This Row],[Trenes Programados]]</f>
        <v>58708</v>
      </c>
      <c r="I258" s="62">
        <f t="shared" si="18"/>
        <v>7187</v>
      </c>
      <c r="J258" s="62">
        <f>+MITRE[[#This Row],[Trenes Corridos]]+SARM[[#This Row],[Trenes Corridos]]+URQ[[#This Row],[Trenes Corridos]]+ROCA[[#This Row],[Trenes Corridos]]+SM[[#This Row],[Trenes Corridos]]+BN[[#This Row],[Trenes Corridos]]+BS[[#This Row],[Trenes Corridos]]+TDC[[#This Row],[Trenes Corridos]]</f>
        <v>51521</v>
      </c>
      <c r="K258" s="62">
        <f>+MITRE[[#This Row],[Trenes Puntuales]]+SARM[[#This Row],[Trenes Puntuales]]+URQ[[#This Row],[Trenes Puntuales]]+ROCA[[#This Row],[Trenes Puntuales]]+SM[[#This Row],[Trenes Puntuales]]+BN[[#This Row],[Trenes Puntuales]]+BS[[#This Row],[Trenes Puntuales]]+TDC[[#This Row],[Trenes Puntuales]]</f>
        <v>41655</v>
      </c>
      <c r="L258" s="62">
        <f t="shared" si="19"/>
        <v>9866</v>
      </c>
    </row>
    <row r="259" spans="1:12" s="18" customFormat="1" ht="15" customHeight="1">
      <c r="A259" s="18">
        <v>2014</v>
      </c>
      <c r="B259" s="18" t="s">
        <v>37</v>
      </c>
      <c r="C259" s="61">
        <f t="shared" si="15"/>
        <v>0.68708152071117834</v>
      </c>
      <c r="D259" s="61">
        <f t="shared" si="16"/>
        <v>0.77722623989045314</v>
      </c>
      <c r="E259" s="61">
        <f t="shared" si="17"/>
        <v>0.88401740117268768</v>
      </c>
      <c r="F25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9" s="62">
        <f>+MITRE[[#This Row],[Trenes Programados]]+SARM[[#This Row],[Trenes Programados]]+URQ[[#This Row],[Trenes Programados]]+ROCA[[#This Row],[Trenes Programados]]+SM[[#This Row],[Trenes Programados]]+BN[[#This Row],[Trenes Programados]]+BS[[#This Row],[Trenes Programados]]+TDC[[#This Row],[Trenes Programados]]</f>
        <v>52870</v>
      </c>
      <c r="I259" s="62">
        <f t="shared" si="18"/>
        <v>6132</v>
      </c>
      <c r="J259" s="62">
        <f>+MITRE[[#This Row],[Trenes Corridos]]+SARM[[#This Row],[Trenes Corridos]]+URQ[[#This Row],[Trenes Corridos]]+ROCA[[#This Row],[Trenes Corridos]]+SM[[#This Row],[Trenes Corridos]]+BN[[#This Row],[Trenes Corridos]]+BS[[#This Row],[Trenes Corridos]]+TDC[[#This Row],[Trenes Corridos]]</f>
        <v>46738</v>
      </c>
      <c r="K259" s="62">
        <f>+MITRE[[#This Row],[Trenes Puntuales]]+SARM[[#This Row],[Trenes Puntuales]]+URQ[[#This Row],[Trenes Puntuales]]+ROCA[[#This Row],[Trenes Puntuales]]+SM[[#This Row],[Trenes Puntuales]]+BN[[#This Row],[Trenes Puntuales]]+BS[[#This Row],[Trenes Puntuales]]+TDC[[#This Row],[Trenes Puntuales]]</f>
        <v>36326</v>
      </c>
      <c r="L259" s="62">
        <f t="shared" si="19"/>
        <v>10412</v>
      </c>
    </row>
    <row r="260" spans="1:12" s="18" customFormat="1" ht="15" customHeight="1">
      <c r="A260" s="18">
        <v>2014</v>
      </c>
      <c r="B260" s="18" t="s">
        <v>38</v>
      </c>
      <c r="C260" s="61">
        <f t="shared" si="15"/>
        <v>0.71603489349775784</v>
      </c>
      <c r="D260" s="61">
        <f t="shared" si="16"/>
        <v>0.79437599595786856</v>
      </c>
      <c r="E260" s="61">
        <f t="shared" si="17"/>
        <v>0.90138032511210764</v>
      </c>
      <c r="F26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0" s="62">
        <f>+MITRE[[#This Row],[Trenes Programados]]+SARM[[#This Row],[Trenes Programados]]+URQ[[#This Row],[Trenes Programados]]+ROCA[[#This Row],[Trenes Programados]]+SM[[#This Row],[Trenes Programados]]+BN[[#This Row],[Trenes Programados]]+BS[[#This Row],[Trenes Programados]]+TDC[[#This Row],[Trenes Programados]]</f>
        <v>57088</v>
      </c>
      <c r="I260" s="62">
        <f t="shared" si="18"/>
        <v>5630</v>
      </c>
      <c r="J260" s="62">
        <f>+MITRE[[#This Row],[Trenes Corridos]]+SARM[[#This Row],[Trenes Corridos]]+URQ[[#This Row],[Trenes Corridos]]+ROCA[[#This Row],[Trenes Corridos]]+SM[[#This Row],[Trenes Corridos]]+BN[[#This Row],[Trenes Corridos]]+BS[[#This Row],[Trenes Corridos]]+TDC[[#This Row],[Trenes Corridos]]</f>
        <v>51458</v>
      </c>
      <c r="K260" s="62">
        <f>+MITRE[[#This Row],[Trenes Puntuales]]+SARM[[#This Row],[Trenes Puntuales]]+URQ[[#This Row],[Trenes Puntuales]]+ROCA[[#This Row],[Trenes Puntuales]]+SM[[#This Row],[Trenes Puntuales]]+BN[[#This Row],[Trenes Puntuales]]+BS[[#This Row],[Trenes Puntuales]]+TDC[[#This Row],[Trenes Puntuales]]</f>
        <v>40877</v>
      </c>
      <c r="L260" s="62">
        <f t="shared" si="19"/>
        <v>10581</v>
      </c>
    </row>
    <row r="261" spans="1:12" s="18" customFormat="1" ht="15" customHeight="1">
      <c r="A261" s="18">
        <v>2014</v>
      </c>
      <c r="B261" s="18" t="s">
        <v>39</v>
      </c>
      <c r="C261" s="61">
        <f t="shared" si="15"/>
        <v>0.65509554140127391</v>
      </c>
      <c r="D261" s="61">
        <f t="shared" si="16"/>
        <v>0.76913169921063562</v>
      </c>
      <c r="E261" s="61">
        <f t="shared" si="17"/>
        <v>0.8517338995046001</v>
      </c>
      <c r="F26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1" s="62">
        <f>+MITRE[[#This Row],[Trenes Programados]]+SARM[[#This Row],[Trenes Programados]]+URQ[[#This Row],[Trenes Programados]]+ROCA[[#This Row],[Trenes Programados]]+SM[[#This Row],[Trenes Programados]]+BN[[#This Row],[Trenes Programados]]+BS[[#This Row],[Trenes Programados]]+TDC[[#This Row],[Trenes Programados]]</f>
        <v>56520</v>
      </c>
      <c r="I261" s="62">
        <f t="shared" si="18"/>
        <v>8380</v>
      </c>
      <c r="J261" s="62">
        <f>+MITRE[[#This Row],[Trenes Corridos]]+SARM[[#This Row],[Trenes Corridos]]+URQ[[#This Row],[Trenes Corridos]]+ROCA[[#This Row],[Trenes Corridos]]+SM[[#This Row],[Trenes Corridos]]+BN[[#This Row],[Trenes Corridos]]+BS[[#This Row],[Trenes Corridos]]+TDC[[#This Row],[Trenes Corridos]]</f>
        <v>48140</v>
      </c>
      <c r="K261" s="62">
        <f>+MITRE[[#This Row],[Trenes Puntuales]]+SARM[[#This Row],[Trenes Puntuales]]+URQ[[#This Row],[Trenes Puntuales]]+ROCA[[#This Row],[Trenes Puntuales]]+SM[[#This Row],[Trenes Puntuales]]+BN[[#This Row],[Trenes Puntuales]]+BS[[#This Row],[Trenes Puntuales]]+TDC[[#This Row],[Trenes Puntuales]]</f>
        <v>37026</v>
      </c>
      <c r="L261" s="62">
        <f t="shared" si="19"/>
        <v>11114</v>
      </c>
    </row>
    <row r="262" spans="1:12" s="18" customFormat="1" ht="15" customHeight="1">
      <c r="A262" s="18">
        <v>2014</v>
      </c>
      <c r="B262" s="18" t="s">
        <v>40</v>
      </c>
      <c r="C262" s="61">
        <f t="shared" si="15"/>
        <v>0.68785335533939673</v>
      </c>
      <c r="D262" s="61">
        <f t="shared" si="16"/>
        <v>0.75734611815651098</v>
      </c>
      <c r="E262" s="61">
        <f t="shared" si="17"/>
        <v>0.9082417389472206</v>
      </c>
      <c r="F26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2" s="62">
        <f>+MITRE[[#This Row],[Trenes Programados]]+SARM[[#This Row],[Trenes Programados]]+URQ[[#This Row],[Trenes Programados]]+ROCA[[#This Row],[Trenes Programados]]+SM[[#This Row],[Trenes Programados]]+BN[[#This Row],[Trenes Programados]]+BS[[#This Row],[Trenes Programados]]+TDC[[#This Row],[Trenes Programados]]</f>
        <v>56954</v>
      </c>
      <c r="I262" s="62">
        <f t="shared" si="18"/>
        <v>5226</v>
      </c>
      <c r="J262" s="62">
        <f>+MITRE[[#This Row],[Trenes Corridos]]+SARM[[#This Row],[Trenes Corridos]]+URQ[[#This Row],[Trenes Corridos]]+ROCA[[#This Row],[Trenes Corridos]]+SM[[#This Row],[Trenes Corridos]]+BN[[#This Row],[Trenes Corridos]]+BS[[#This Row],[Trenes Corridos]]+TDC[[#This Row],[Trenes Corridos]]</f>
        <v>51728</v>
      </c>
      <c r="K262" s="62">
        <f>+MITRE[[#This Row],[Trenes Puntuales]]+SARM[[#This Row],[Trenes Puntuales]]+URQ[[#This Row],[Trenes Puntuales]]+ROCA[[#This Row],[Trenes Puntuales]]+SM[[#This Row],[Trenes Puntuales]]+BN[[#This Row],[Trenes Puntuales]]+BS[[#This Row],[Trenes Puntuales]]+TDC[[#This Row],[Trenes Puntuales]]</f>
        <v>39176</v>
      </c>
      <c r="L262" s="62">
        <f t="shared" si="19"/>
        <v>12552</v>
      </c>
    </row>
    <row r="263" spans="1:12" s="18" customFormat="1" ht="15" customHeight="1">
      <c r="A263" s="18">
        <v>2014</v>
      </c>
      <c r="B263" s="18" t="s">
        <v>41</v>
      </c>
      <c r="C263" s="61">
        <f t="shared" ref="C263:C326" si="20">+K263/H263</f>
        <v>0.69763033175355449</v>
      </c>
      <c r="D263" s="61">
        <f t="shared" ref="D263:D326" si="21">+K263/J263</f>
        <v>0.75986260845394804</v>
      </c>
      <c r="E263" s="61">
        <f t="shared" ref="E263:E326" si="22">+J263/H263</f>
        <v>0.9181006197593875</v>
      </c>
      <c r="F26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3" s="62">
        <f>+MITRE[[#This Row],[Trenes Programados]]+SARM[[#This Row],[Trenes Programados]]+URQ[[#This Row],[Trenes Programados]]+ROCA[[#This Row],[Trenes Programados]]+SM[[#This Row],[Trenes Programados]]+BN[[#This Row],[Trenes Programados]]+BS[[#This Row],[Trenes Programados]]+TDC[[#This Row],[Trenes Programados]]</f>
        <v>54860</v>
      </c>
      <c r="I263" s="62">
        <f t="shared" ref="I263:I326" si="23">+H263-J263</f>
        <v>4493</v>
      </c>
      <c r="J263" s="62">
        <f>+MITRE[[#This Row],[Trenes Corridos]]+SARM[[#This Row],[Trenes Corridos]]+URQ[[#This Row],[Trenes Corridos]]+ROCA[[#This Row],[Trenes Corridos]]+SM[[#This Row],[Trenes Corridos]]+BN[[#This Row],[Trenes Corridos]]+BS[[#This Row],[Trenes Corridos]]+TDC[[#This Row],[Trenes Corridos]]</f>
        <v>50367</v>
      </c>
      <c r="K263" s="62">
        <f>+MITRE[[#This Row],[Trenes Puntuales]]+SARM[[#This Row],[Trenes Puntuales]]+URQ[[#This Row],[Trenes Puntuales]]+ROCA[[#This Row],[Trenes Puntuales]]+SM[[#This Row],[Trenes Puntuales]]+BN[[#This Row],[Trenes Puntuales]]+BS[[#This Row],[Trenes Puntuales]]+TDC[[#This Row],[Trenes Puntuales]]</f>
        <v>38272</v>
      </c>
      <c r="L263" s="62">
        <f t="shared" ref="L263:L326" si="24">+J263-K263</f>
        <v>12095</v>
      </c>
    </row>
    <row r="264" spans="1:12" s="18" customFormat="1" ht="15" customHeight="1">
      <c r="A264" s="18">
        <v>2014</v>
      </c>
      <c r="B264" s="18" t="s">
        <v>42</v>
      </c>
      <c r="C264" s="61">
        <f t="shared" si="20"/>
        <v>0.6874560455582428</v>
      </c>
      <c r="D264" s="61">
        <f t="shared" si="21"/>
        <v>0.75307690862286025</v>
      </c>
      <c r="E264" s="61">
        <f t="shared" si="22"/>
        <v>0.91286299936534077</v>
      </c>
      <c r="F26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4" s="62">
        <f>+MITRE[[#This Row],[Trenes Programados]]+SARM[[#This Row],[Trenes Programados]]+URQ[[#This Row],[Trenes Programados]]+ROCA[[#This Row],[Trenes Programados]]+SM[[#This Row],[Trenes Programados]]+BN[[#This Row],[Trenes Programados]]+BS[[#This Row],[Trenes Programados]]+TDC[[#This Row],[Trenes Programados]]</f>
        <v>58299</v>
      </c>
      <c r="I264" s="62">
        <f t="shared" si="23"/>
        <v>5080</v>
      </c>
      <c r="J264" s="62">
        <f>+MITRE[[#This Row],[Trenes Corridos]]+SARM[[#This Row],[Trenes Corridos]]+URQ[[#This Row],[Trenes Corridos]]+ROCA[[#This Row],[Trenes Corridos]]+SM[[#This Row],[Trenes Corridos]]+BN[[#This Row],[Trenes Corridos]]+BS[[#This Row],[Trenes Corridos]]+TDC[[#This Row],[Trenes Corridos]]</f>
        <v>53219</v>
      </c>
      <c r="K264" s="62">
        <f>+MITRE[[#This Row],[Trenes Puntuales]]+SARM[[#This Row],[Trenes Puntuales]]+URQ[[#This Row],[Trenes Puntuales]]+ROCA[[#This Row],[Trenes Puntuales]]+SM[[#This Row],[Trenes Puntuales]]+BN[[#This Row],[Trenes Puntuales]]+BS[[#This Row],[Trenes Puntuales]]+TDC[[#This Row],[Trenes Puntuales]]</f>
        <v>40078</v>
      </c>
      <c r="L264" s="62">
        <f t="shared" si="24"/>
        <v>13141</v>
      </c>
    </row>
    <row r="265" spans="1:12" s="18" customFormat="1" ht="15" customHeight="1">
      <c r="A265" s="18">
        <v>2014</v>
      </c>
      <c r="B265" s="18" t="s">
        <v>43</v>
      </c>
      <c r="C265" s="61">
        <f t="shared" si="20"/>
        <v>0.67461867402942866</v>
      </c>
      <c r="D265" s="61">
        <f t="shared" si="21"/>
        <v>0.76362077179609333</v>
      </c>
      <c r="E265" s="61">
        <f t="shared" si="22"/>
        <v>0.88344725411630021</v>
      </c>
      <c r="F26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5" s="62">
        <f>+MITRE[[#This Row],[Trenes Programados]]+SARM[[#This Row],[Trenes Programados]]+URQ[[#This Row],[Trenes Programados]]+ROCA[[#This Row],[Trenes Programados]]+SM[[#This Row],[Trenes Programados]]+BN[[#This Row],[Trenes Programados]]+BS[[#This Row],[Trenes Programados]]+TDC[[#This Row],[Trenes Programados]]</f>
        <v>59398</v>
      </c>
      <c r="I265" s="62">
        <f t="shared" si="23"/>
        <v>6923</v>
      </c>
      <c r="J265" s="62">
        <f>+MITRE[[#This Row],[Trenes Corridos]]+SARM[[#This Row],[Trenes Corridos]]+URQ[[#This Row],[Trenes Corridos]]+ROCA[[#This Row],[Trenes Corridos]]+SM[[#This Row],[Trenes Corridos]]+BN[[#This Row],[Trenes Corridos]]+BS[[#This Row],[Trenes Corridos]]+TDC[[#This Row],[Trenes Corridos]]</f>
        <v>52475</v>
      </c>
      <c r="K265" s="62">
        <f>+MITRE[[#This Row],[Trenes Puntuales]]+SARM[[#This Row],[Trenes Puntuales]]+URQ[[#This Row],[Trenes Puntuales]]+ROCA[[#This Row],[Trenes Puntuales]]+SM[[#This Row],[Trenes Puntuales]]+BN[[#This Row],[Trenes Puntuales]]+BS[[#This Row],[Trenes Puntuales]]+TDC[[#This Row],[Trenes Puntuales]]</f>
        <v>40071</v>
      </c>
      <c r="L265" s="62">
        <f t="shared" si="24"/>
        <v>12404</v>
      </c>
    </row>
    <row r="266" spans="1:12" s="18" customFormat="1" ht="15" customHeight="1">
      <c r="A266" s="18">
        <v>2014</v>
      </c>
      <c r="B266" s="18" t="s">
        <v>44</v>
      </c>
      <c r="C266" s="61">
        <f t="shared" si="20"/>
        <v>0.7267713194739075</v>
      </c>
      <c r="D266" s="61">
        <f t="shared" si="21"/>
        <v>0.77706809892761886</v>
      </c>
      <c r="E266" s="61">
        <f t="shared" si="22"/>
        <v>0.9352736529486636</v>
      </c>
      <c r="F26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6" s="62">
        <f>+MITRE[[#This Row],[Trenes Programados]]+SARM[[#This Row],[Trenes Programados]]+URQ[[#This Row],[Trenes Programados]]+ROCA[[#This Row],[Trenes Programados]]+SM[[#This Row],[Trenes Programados]]+BN[[#This Row],[Trenes Programados]]+BS[[#This Row],[Trenes Programados]]+TDC[[#This Row],[Trenes Programados]]</f>
        <v>58925</v>
      </c>
      <c r="I266" s="62">
        <f t="shared" si="23"/>
        <v>3814</v>
      </c>
      <c r="J266" s="62">
        <f>+MITRE[[#This Row],[Trenes Corridos]]+SARM[[#This Row],[Trenes Corridos]]+URQ[[#This Row],[Trenes Corridos]]+ROCA[[#This Row],[Trenes Corridos]]+SM[[#This Row],[Trenes Corridos]]+BN[[#This Row],[Trenes Corridos]]+BS[[#This Row],[Trenes Corridos]]+TDC[[#This Row],[Trenes Corridos]]</f>
        <v>55111</v>
      </c>
      <c r="K266" s="62">
        <f>+MITRE[[#This Row],[Trenes Puntuales]]+SARM[[#This Row],[Trenes Puntuales]]+URQ[[#This Row],[Trenes Puntuales]]+ROCA[[#This Row],[Trenes Puntuales]]+SM[[#This Row],[Trenes Puntuales]]+BN[[#This Row],[Trenes Puntuales]]+BS[[#This Row],[Trenes Puntuales]]+TDC[[#This Row],[Trenes Puntuales]]</f>
        <v>42825</v>
      </c>
      <c r="L266" s="62">
        <f t="shared" si="24"/>
        <v>12286</v>
      </c>
    </row>
    <row r="267" spans="1:12" s="18" customFormat="1" ht="15" customHeight="1">
      <c r="A267" s="18">
        <v>2014</v>
      </c>
      <c r="B267" s="18" t="s">
        <v>45</v>
      </c>
      <c r="C267" s="61">
        <f t="shared" si="20"/>
        <v>0.69503205393675349</v>
      </c>
      <c r="D267" s="61">
        <f t="shared" si="21"/>
        <v>0.7736148243754033</v>
      </c>
      <c r="E267" s="61">
        <f t="shared" si="22"/>
        <v>0.89842132290821142</v>
      </c>
      <c r="F26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7" s="62">
        <f>+MITRE[[#This Row],[Trenes Programados]]+SARM[[#This Row],[Trenes Programados]]+URQ[[#This Row],[Trenes Programados]]+ROCA[[#This Row],[Trenes Programados]]+SM[[#This Row],[Trenes Programados]]+BN[[#This Row],[Trenes Programados]]+BS[[#This Row],[Trenes Programados]]+TDC[[#This Row],[Trenes Programados]]</f>
        <v>60367</v>
      </c>
      <c r="I267" s="62">
        <f t="shared" si="23"/>
        <v>6132</v>
      </c>
      <c r="J267" s="62">
        <f>+MITRE[[#This Row],[Trenes Corridos]]+SARM[[#This Row],[Trenes Corridos]]+URQ[[#This Row],[Trenes Corridos]]+ROCA[[#This Row],[Trenes Corridos]]+SM[[#This Row],[Trenes Corridos]]+BN[[#This Row],[Trenes Corridos]]+BS[[#This Row],[Trenes Corridos]]+TDC[[#This Row],[Trenes Corridos]]</f>
        <v>54235</v>
      </c>
      <c r="K267" s="62">
        <f>+MITRE[[#This Row],[Trenes Puntuales]]+SARM[[#This Row],[Trenes Puntuales]]+URQ[[#This Row],[Trenes Puntuales]]+ROCA[[#This Row],[Trenes Puntuales]]+SM[[#This Row],[Trenes Puntuales]]+BN[[#This Row],[Trenes Puntuales]]+BS[[#This Row],[Trenes Puntuales]]+TDC[[#This Row],[Trenes Puntuales]]</f>
        <v>41957</v>
      </c>
      <c r="L267" s="62">
        <f t="shared" si="24"/>
        <v>12278</v>
      </c>
    </row>
    <row r="268" spans="1:12" s="18" customFormat="1" ht="15" customHeight="1">
      <c r="A268" s="18">
        <v>2014</v>
      </c>
      <c r="B268" s="18" t="s">
        <v>46</v>
      </c>
      <c r="C268" s="61">
        <f t="shared" si="20"/>
        <v>0.67765269128692607</v>
      </c>
      <c r="D268" s="61">
        <f t="shared" si="21"/>
        <v>0.76553467500146966</v>
      </c>
      <c r="E268" s="61">
        <f t="shared" si="22"/>
        <v>0.88520182483651055</v>
      </c>
      <c r="F26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8" s="62">
        <f>+MITRE[[#This Row],[Trenes Programados]]+SARM[[#This Row],[Trenes Programados]]+URQ[[#This Row],[Trenes Programados]]+ROCA[[#This Row],[Trenes Programados]]+SM[[#This Row],[Trenes Programados]]+BN[[#This Row],[Trenes Programados]]+BS[[#This Row],[Trenes Programados]]+TDC[[#This Row],[Trenes Programados]]</f>
        <v>57649</v>
      </c>
      <c r="I268" s="62">
        <f t="shared" si="23"/>
        <v>6618</v>
      </c>
      <c r="J268" s="62">
        <f>+MITRE[[#This Row],[Trenes Corridos]]+SARM[[#This Row],[Trenes Corridos]]+URQ[[#This Row],[Trenes Corridos]]+ROCA[[#This Row],[Trenes Corridos]]+SM[[#This Row],[Trenes Corridos]]+BN[[#This Row],[Trenes Corridos]]+BS[[#This Row],[Trenes Corridos]]+TDC[[#This Row],[Trenes Corridos]]</f>
        <v>51031</v>
      </c>
      <c r="K268" s="62">
        <f>+MITRE[[#This Row],[Trenes Puntuales]]+SARM[[#This Row],[Trenes Puntuales]]+URQ[[#This Row],[Trenes Puntuales]]+ROCA[[#This Row],[Trenes Puntuales]]+SM[[#This Row],[Trenes Puntuales]]+BN[[#This Row],[Trenes Puntuales]]+BS[[#This Row],[Trenes Puntuales]]+TDC[[#This Row],[Trenes Puntuales]]</f>
        <v>39066</v>
      </c>
      <c r="L268" s="62">
        <f t="shared" si="24"/>
        <v>11965</v>
      </c>
    </row>
    <row r="269" spans="1:12" s="18" customFormat="1" ht="15" customHeight="1">
      <c r="A269" s="18">
        <v>2014</v>
      </c>
      <c r="B269" s="18" t="s">
        <v>47</v>
      </c>
      <c r="C269" s="61">
        <f t="shared" si="20"/>
        <v>0.75396096831225345</v>
      </c>
      <c r="D269" s="61">
        <f t="shared" si="21"/>
        <v>0.83054307116104864</v>
      </c>
      <c r="E269" s="61">
        <f t="shared" si="22"/>
        <v>0.90779273765809876</v>
      </c>
      <c r="F26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9" s="62">
        <f>+MITRE[[#This Row],[Trenes Programados]]+SARM[[#This Row],[Trenes Programados]]+URQ[[#This Row],[Trenes Programados]]+ROCA[[#This Row],[Trenes Programados]]+SM[[#This Row],[Trenes Programados]]+BN[[#This Row],[Trenes Programados]]+BS[[#This Row],[Trenes Programados]]+TDC[[#This Row],[Trenes Programados]]</f>
        <v>58824</v>
      </c>
      <c r="I269" s="62">
        <f t="shared" si="23"/>
        <v>5424</v>
      </c>
      <c r="J269" s="62">
        <f>+MITRE[[#This Row],[Trenes Corridos]]+SARM[[#This Row],[Trenes Corridos]]+URQ[[#This Row],[Trenes Corridos]]+ROCA[[#This Row],[Trenes Corridos]]+SM[[#This Row],[Trenes Corridos]]+BN[[#This Row],[Trenes Corridos]]+BS[[#This Row],[Trenes Corridos]]+TDC[[#This Row],[Trenes Corridos]]</f>
        <v>53400</v>
      </c>
      <c r="K269" s="62">
        <f>+MITRE[[#This Row],[Trenes Puntuales]]+SARM[[#This Row],[Trenes Puntuales]]+URQ[[#This Row],[Trenes Puntuales]]+ROCA[[#This Row],[Trenes Puntuales]]+SM[[#This Row],[Trenes Puntuales]]+BN[[#This Row],[Trenes Puntuales]]+BS[[#This Row],[Trenes Puntuales]]+TDC[[#This Row],[Trenes Puntuales]]</f>
        <v>44351</v>
      </c>
      <c r="L269" s="62">
        <f t="shared" si="24"/>
        <v>9049</v>
      </c>
    </row>
    <row r="270" spans="1:12" s="18" customFormat="1" ht="15" customHeight="1">
      <c r="A270" s="18">
        <v>2015</v>
      </c>
      <c r="B270" s="18" t="s">
        <v>36</v>
      </c>
      <c r="C270" s="61">
        <f t="shared" si="20"/>
        <v>0.79814286684321312</v>
      </c>
      <c r="D270" s="61">
        <f t="shared" si="21"/>
        <v>0.88137594901115379</v>
      </c>
      <c r="E270" s="61">
        <f t="shared" si="22"/>
        <v>0.90556460922115845</v>
      </c>
      <c r="F27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0" s="62">
        <f>+MITRE[[#This Row],[Trenes Programados]]+SARM[[#This Row],[Trenes Programados]]+URQ[[#This Row],[Trenes Programados]]+ROCA[[#This Row],[Trenes Programados]]+SM[[#This Row],[Trenes Programados]]+BN[[#This Row],[Trenes Programados]]+BS[[#This Row],[Trenes Programados]]+TDC[[#This Row],[Trenes Programados]]</f>
        <v>58908</v>
      </c>
      <c r="I270" s="62">
        <f t="shared" si="23"/>
        <v>5563</v>
      </c>
      <c r="J270" s="62">
        <f>+MITRE[[#This Row],[Trenes Corridos]]+SARM[[#This Row],[Trenes Corridos]]+URQ[[#This Row],[Trenes Corridos]]+ROCA[[#This Row],[Trenes Corridos]]+SM[[#This Row],[Trenes Corridos]]+BN[[#This Row],[Trenes Corridos]]+BS[[#This Row],[Trenes Corridos]]+TDC[[#This Row],[Trenes Corridos]]</f>
        <v>53345</v>
      </c>
      <c r="K270" s="62">
        <f>+MITRE[[#This Row],[Trenes Puntuales]]+SARM[[#This Row],[Trenes Puntuales]]+URQ[[#This Row],[Trenes Puntuales]]+ROCA[[#This Row],[Trenes Puntuales]]+SM[[#This Row],[Trenes Puntuales]]+BN[[#This Row],[Trenes Puntuales]]+BS[[#This Row],[Trenes Puntuales]]+TDC[[#This Row],[Trenes Puntuales]]</f>
        <v>47017</v>
      </c>
      <c r="L270" s="62">
        <f t="shared" si="24"/>
        <v>6328</v>
      </c>
    </row>
    <row r="271" spans="1:12" s="18" customFormat="1" ht="15" customHeight="1">
      <c r="A271" s="18">
        <v>2015</v>
      </c>
      <c r="B271" s="18" t="s">
        <v>37</v>
      </c>
      <c r="C271" s="61">
        <f t="shared" si="20"/>
        <v>0.80146153695851818</v>
      </c>
      <c r="D271" s="61">
        <f t="shared" si="21"/>
        <v>0.86607124004983005</v>
      </c>
      <c r="E271" s="61">
        <f t="shared" si="22"/>
        <v>0.92539908947029059</v>
      </c>
      <c r="F27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1" s="62">
        <f>+MITRE[[#This Row],[Trenes Programados]]+SARM[[#This Row],[Trenes Programados]]+URQ[[#This Row],[Trenes Programados]]+ROCA[[#This Row],[Trenes Programados]]+SM[[#This Row],[Trenes Programados]]+BN[[#This Row],[Trenes Programados]]+BS[[#This Row],[Trenes Programados]]+TDC[[#This Row],[Trenes Programados]]</f>
        <v>51179</v>
      </c>
      <c r="I271" s="62">
        <f t="shared" si="23"/>
        <v>3818</v>
      </c>
      <c r="J271" s="62">
        <f>+MITRE[[#This Row],[Trenes Corridos]]+SARM[[#This Row],[Trenes Corridos]]+URQ[[#This Row],[Trenes Corridos]]+ROCA[[#This Row],[Trenes Corridos]]+SM[[#This Row],[Trenes Corridos]]+BN[[#This Row],[Trenes Corridos]]+BS[[#This Row],[Trenes Corridos]]+TDC[[#This Row],[Trenes Corridos]]</f>
        <v>47361</v>
      </c>
      <c r="K271" s="62">
        <f>+MITRE[[#This Row],[Trenes Puntuales]]+SARM[[#This Row],[Trenes Puntuales]]+URQ[[#This Row],[Trenes Puntuales]]+ROCA[[#This Row],[Trenes Puntuales]]+SM[[#This Row],[Trenes Puntuales]]+BN[[#This Row],[Trenes Puntuales]]+BS[[#This Row],[Trenes Puntuales]]+TDC[[#This Row],[Trenes Puntuales]]</f>
        <v>41018</v>
      </c>
      <c r="L271" s="62">
        <f t="shared" si="24"/>
        <v>6343</v>
      </c>
    </row>
    <row r="272" spans="1:12" s="18" customFormat="1" ht="15" customHeight="1">
      <c r="A272" s="18">
        <v>2015</v>
      </c>
      <c r="B272" s="18" t="s">
        <v>38</v>
      </c>
      <c r="C272" s="61">
        <f t="shared" si="20"/>
        <v>0.75539746147192266</v>
      </c>
      <c r="D272" s="61">
        <f t="shared" si="21"/>
        <v>0.84568864997331961</v>
      </c>
      <c r="E272" s="61">
        <f t="shared" si="22"/>
        <v>0.89323353399120875</v>
      </c>
      <c r="F27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2" s="62">
        <f>+MITRE[[#This Row],[Trenes Programados]]+SARM[[#This Row],[Trenes Programados]]+URQ[[#This Row],[Trenes Programados]]+ROCA[[#This Row],[Trenes Programados]]+SM[[#This Row],[Trenes Programados]]+BN[[#This Row],[Trenes Programados]]+BS[[#This Row],[Trenes Programados]]+TDC[[#This Row],[Trenes Programados]]</f>
        <v>56647</v>
      </c>
      <c r="I272" s="62">
        <f t="shared" si="23"/>
        <v>6048</v>
      </c>
      <c r="J272" s="62">
        <f>+MITRE[[#This Row],[Trenes Corridos]]+SARM[[#This Row],[Trenes Corridos]]+URQ[[#This Row],[Trenes Corridos]]+ROCA[[#This Row],[Trenes Corridos]]+SM[[#This Row],[Trenes Corridos]]+BN[[#This Row],[Trenes Corridos]]+BS[[#This Row],[Trenes Corridos]]+TDC[[#This Row],[Trenes Corridos]]</f>
        <v>50599</v>
      </c>
      <c r="K272" s="62">
        <f>+MITRE[[#This Row],[Trenes Puntuales]]+SARM[[#This Row],[Trenes Puntuales]]+URQ[[#This Row],[Trenes Puntuales]]+ROCA[[#This Row],[Trenes Puntuales]]+SM[[#This Row],[Trenes Puntuales]]+BN[[#This Row],[Trenes Puntuales]]+BS[[#This Row],[Trenes Puntuales]]+TDC[[#This Row],[Trenes Puntuales]]</f>
        <v>42791</v>
      </c>
      <c r="L272" s="62">
        <f t="shared" si="24"/>
        <v>7808</v>
      </c>
    </row>
    <row r="273" spans="1:13" s="18" customFormat="1" ht="15" customHeight="1">
      <c r="A273" s="18">
        <v>2015</v>
      </c>
      <c r="B273" s="18" t="s">
        <v>39</v>
      </c>
      <c r="C273" s="61">
        <f t="shared" si="20"/>
        <v>0.76058499593752826</v>
      </c>
      <c r="D273" s="61">
        <f t="shared" si="21"/>
        <v>0.81637596899224807</v>
      </c>
      <c r="E273" s="61">
        <f t="shared" si="22"/>
        <v>0.93166019680418888</v>
      </c>
      <c r="F27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3" s="62">
        <f>+MITRE[[#This Row],[Trenes Programados]]+SARM[[#This Row],[Trenes Programados]]+URQ[[#This Row],[Trenes Programados]]+ROCA[[#This Row],[Trenes Programados]]+SM[[#This Row],[Trenes Programados]]+BN[[#This Row],[Trenes Programados]]+BS[[#This Row],[Trenes Programados]]+TDC[[#This Row],[Trenes Programados]]</f>
        <v>55385</v>
      </c>
      <c r="I273" s="62">
        <f t="shared" si="23"/>
        <v>3785</v>
      </c>
      <c r="J273" s="62">
        <f>+MITRE[[#This Row],[Trenes Corridos]]+SARM[[#This Row],[Trenes Corridos]]+URQ[[#This Row],[Trenes Corridos]]+ROCA[[#This Row],[Trenes Corridos]]+SM[[#This Row],[Trenes Corridos]]+BN[[#This Row],[Trenes Corridos]]+BS[[#This Row],[Trenes Corridos]]+TDC[[#This Row],[Trenes Corridos]]</f>
        <v>51600</v>
      </c>
      <c r="K273" s="62">
        <f>+MITRE[[#This Row],[Trenes Puntuales]]+SARM[[#This Row],[Trenes Puntuales]]+URQ[[#This Row],[Trenes Puntuales]]+ROCA[[#This Row],[Trenes Puntuales]]+SM[[#This Row],[Trenes Puntuales]]+BN[[#This Row],[Trenes Puntuales]]+BS[[#This Row],[Trenes Puntuales]]+TDC[[#This Row],[Trenes Puntuales]]</f>
        <v>42125</v>
      </c>
      <c r="L273" s="62">
        <f t="shared" si="24"/>
        <v>9475</v>
      </c>
    </row>
    <row r="274" spans="1:13" s="18" customFormat="1" ht="15" customHeight="1">
      <c r="A274" s="18">
        <v>2015</v>
      </c>
      <c r="B274" s="18" t="s">
        <v>40</v>
      </c>
      <c r="C274" s="61">
        <f t="shared" si="20"/>
        <v>0.71483984415405299</v>
      </c>
      <c r="D274" s="61">
        <f t="shared" si="21"/>
        <v>0.78388188366069911</v>
      </c>
      <c r="E274" s="61">
        <f t="shared" si="22"/>
        <v>0.91192290452711788</v>
      </c>
      <c r="F27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4" s="62">
        <f>+MITRE[[#This Row],[Trenes Programados]]+SARM[[#This Row],[Trenes Programados]]+URQ[[#This Row],[Trenes Programados]]+ROCA[[#This Row],[Trenes Programados]]+SM[[#This Row],[Trenes Programados]]+BN[[#This Row],[Trenes Programados]]+BS[[#This Row],[Trenes Programados]]+TDC[[#This Row],[Trenes Programados]]</f>
        <v>58006</v>
      </c>
      <c r="I274" s="62">
        <f t="shared" si="23"/>
        <v>5109</v>
      </c>
      <c r="J274" s="62">
        <f>+MITRE[[#This Row],[Trenes Corridos]]+SARM[[#This Row],[Trenes Corridos]]+URQ[[#This Row],[Trenes Corridos]]+ROCA[[#This Row],[Trenes Corridos]]+SM[[#This Row],[Trenes Corridos]]+BN[[#This Row],[Trenes Corridos]]+BS[[#This Row],[Trenes Corridos]]+TDC[[#This Row],[Trenes Corridos]]</f>
        <v>52897</v>
      </c>
      <c r="K274" s="62">
        <f>+MITRE[[#This Row],[Trenes Puntuales]]+SARM[[#This Row],[Trenes Puntuales]]+URQ[[#This Row],[Trenes Puntuales]]+ROCA[[#This Row],[Trenes Puntuales]]+SM[[#This Row],[Trenes Puntuales]]+BN[[#This Row],[Trenes Puntuales]]+BS[[#This Row],[Trenes Puntuales]]+TDC[[#This Row],[Trenes Puntuales]]</f>
        <v>41465</v>
      </c>
      <c r="L274" s="62">
        <f t="shared" si="24"/>
        <v>11432</v>
      </c>
      <c r="M274" s="18" t="s">
        <v>79</v>
      </c>
    </row>
    <row r="275" spans="1:13" s="18" customFormat="1" ht="15" customHeight="1">
      <c r="A275" s="18">
        <v>2015</v>
      </c>
      <c r="B275" s="18" t="s">
        <v>41</v>
      </c>
      <c r="C275" s="61">
        <f t="shared" si="20"/>
        <v>0.67164102034493445</v>
      </c>
      <c r="D275" s="61">
        <f t="shared" si="21"/>
        <v>0.76953872246435406</v>
      </c>
      <c r="E275" s="61">
        <f t="shared" si="22"/>
        <v>0.87278391683018353</v>
      </c>
      <c r="F27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5" s="62">
        <f>+MITRE[[#This Row],[Trenes Programados]]+SARM[[#This Row],[Trenes Programados]]+URQ[[#This Row],[Trenes Programados]]+ROCA[[#This Row],[Trenes Programados]]+SM[[#This Row],[Trenes Programados]]+BN[[#This Row],[Trenes Programados]]+BS[[#This Row],[Trenes Programados]]+TDC[[#This Row],[Trenes Programados]]</f>
        <v>58098</v>
      </c>
      <c r="I275" s="62">
        <f t="shared" si="23"/>
        <v>7391</v>
      </c>
      <c r="J275" s="62">
        <f>+MITRE[[#This Row],[Trenes Corridos]]+SARM[[#This Row],[Trenes Corridos]]+URQ[[#This Row],[Trenes Corridos]]+ROCA[[#This Row],[Trenes Corridos]]+SM[[#This Row],[Trenes Corridos]]+BN[[#This Row],[Trenes Corridos]]+BS[[#This Row],[Trenes Corridos]]+TDC[[#This Row],[Trenes Corridos]]</f>
        <v>50707</v>
      </c>
      <c r="K275" s="62">
        <f>+MITRE[[#This Row],[Trenes Puntuales]]+SARM[[#This Row],[Trenes Puntuales]]+URQ[[#This Row],[Trenes Puntuales]]+ROCA[[#This Row],[Trenes Puntuales]]+SM[[#This Row],[Trenes Puntuales]]+BN[[#This Row],[Trenes Puntuales]]+BS[[#This Row],[Trenes Puntuales]]+TDC[[#This Row],[Trenes Puntuales]]</f>
        <v>39021</v>
      </c>
      <c r="L275" s="62">
        <f t="shared" si="24"/>
        <v>11686</v>
      </c>
    </row>
    <row r="276" spans="1:13" s="18" customFormat="1" ht="15" customHeight="1">
      <c r="A276" s="18">
        <v>2015</v>
      </c>
      <c r="B276" s="18" t="s">
        <v>42</v>
      </c>
      <c r="C276" s="61">
        <f t="shared" si="20"/>
        <v>0.71740157352054856</v>
      </c>
      <c r="D276" s="61">
        <f t="shared" si="21"/>
        <v>0.79108364916566376</v>
      </c>
      <c r="E276" s="61">
        <f t="shared" si="22"/>
        <v>0.90685931162548261</v>
      </c>
      <c r="F27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6" s="62">
        <f>+MITRE[[#This Row],[Trenes Programados]]+SARM[[#This Row],[Trenes Programados]]+URQ[[#This Row],[Trenes Programados]]+ROCA[[#This Row],[Trenes Programados]]+SM[[#This Row],[Trenes Programados]]+BN[[#This Row],[Trenes Programados]]+BS[[#This Row],[Trenes Programados]]+TDC[[#This Row],[Trenes Programados]]</f>
        <v>61391</v>
      </c>
      <c r="I276" s="62">
        <f t="shared" si="23"/>
        <v>5718</v>
      </c>
      <c r="J276" s="62">
        <f>+MITRE[[#This Row],[Trenes Corridos]]+SARM[[#This Row],[Trenes Corridos]]+URQ[[#This Row],[Trenes Corridos]]+ROCA[[#This Row],[Trenes Corridos]]+SM[[#This Row],[Trenes Corridos]]+BN[[#This Row],[Trenes Corridos]]+BS[[#This Row],[Trenes Corridos]]+TDC[[#This Row],[Trenes Corridos]]</f>
        <v>55673</v>
      </c>
      <c r="K276" s="62">
        <f>+MITRE[[#This Row],[Trenes Puntuales]]+SARM[[#This Row],[Trenes Puntuales]]+URQ[[#This Row],[Trenes Puntuales]]+ROCA[[#This Row],[Trenes Puntuales]]+SM[[#This Row],[Trenes Puntuales]]+BN[[#This Row],[Trenes Puntuales]]+BS[[#This Row],[Trenes Puntuales]]+TDC[[#This Row],[Trenes Puntuales]]</f>
        <v>44042</v>
      </c>
      <c r="L276" s="62">
        <f t="shared" si="24"/>
        <v>11631</v>
      </c>
    </row>
    <row r="277" spans="1:13" s="18" customFormat="1" ht="15" customHeight="1">
      <c r="A277" s="18">
        <v>2015</v>
      </c>
      <c r="B277" s="18" t="s">
        <v>43</v>
      </c>
      <c r="C277" s="61">
        <f t="shared" si="20"/>
        <v>0.74582154372573539</v>
      </c>
      <c r="D277" s="61">
        <f t="shared" si="21"/>
        <v>0.81490069201042514</v>
      </c>
      <c r="E277" s="61">
        <f t="shared" si="22"/>
        <v>0.91522997960123709</v>
      </c>
      <c r="F27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7" s="62">
        <f>+MITRE[[#This Row],[Trenes Programados]]+SARM[[#This Row],[Trenes Programados]]+URQ[[#This Row],[Trenes Programados]]+ROCA[[#This Row],[Trenes Programados]]+SM[[#This Row],[Trenes Programados]]+BN[[#This Row],[Trenes Programados]]+BS[[#This Row],[Trenes Programados]]+TDC[[#This Row],[Trenes Programados]]</f>
        <v>60788</v>
      </c>
      <c r="I277" s="62">
        <f t="shared" si="23"/>
        <v>5153</v>
      </c>
      <c r="J277" s="62">
        <f>+MITRE[[#This Row],[Trenes Corridos]]+SARM[[#This Row],[Trenes Corridos]]+URQ[[#This Row],[Trenes Corridos]]+ROCA[[#This Row],[Trenes Corridos]]+SM[[#This Row],[Trenes Corridos]]+BN[[#This Row],[Trenes Corridos]]+BS[[#This Row],[Trenes Corridos]]+TDC[[#This Row],[Trenes Corridos]]</f>
        <v>55635</v>
      </c>
      <c r="K277" s="62">
        <f>+MITRE[[#This Row],[Trenes Puntuales]]+SARM[[#This Row],[Trenes Puntuales]]+URQ[[#This Row],[Trenes Puntuales]]+ROCA[[#This Row],[Trenes Puntuales]]+SM[[#This Row],[Trenes Puntuales]]+BN[[#This Row],[Trenes Puntuales]]+BS[[#This Row],[Trenes Puntuales]]+TDC[[#This Row],[Trenes Puntuales]]</f>
        <v>45337</v>
      </c>
      <c r="L277" s="62">
        <f t="shared" si="24"/>
        <v>10298</v>
      </c>
    </row>
    <row r="278" spans="1:13" s="18" customFormat="1" ht="15" customHeight="1">
      <c r="A278" s="18">
        <v>2015</v>
      </c>
      <c r="B278" s="18" t="s">
        <v>44</v>
      </c>
      <c r="C278" s="61">
        <f t="shared" si="20"/>
        <v>0.76342166464672934</v>
      </c>
      <c r="D278" s="61">
        <f t="shared" si="21"/>
        <v>0.86272441236350172</v>
      </c>
      <c r="E278" s="61">
        <f t="shared" si="22"/>
        <v>0.88489632808149632</v>
      </c>
      <c r="F27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8" s="62">
        <f>+MITRE[[#This Row],[Trenes Programados]]+SARM[[#This Row],[Trenes Programados]]+URQ[[#This Row],[Trenes Programados]]+ROCA[[#This Row],[Trenes Programados]]+SM[[#This Row],[Trenes Programados]]+BN[[#This Row],[Trenes Programados]]+BS[[#This Row],[Trenes Programados]]+TDC[[#This Row],[Trenes Programados]]</f>
        <v>61058</v>
      </c>
      <c r="I278" s="62">
        <f t="shared" si="23"/>
        <v>7028</v>
      </c>
      <c r="J278" s="62">
        <f>+MITRE[[#This Row],[Trenes Corridos]]+SARM[[#This Row],[Trenes Corridos]]+URQ[[#This Row],[Trenes Corridos]]+ROCA[[#This Row],[Trenes Corridos]]+SM[[#This Row],[Trenes Corridos]]+BN[[#This Row],[Trenes Corridos]]+BS[[#This Row],[Trenes Corridos]]+TDC[[#This Row],[Trenes Corridos]]</f>
        <v>54030</v>
      </c>
      <c r="K278" s="62">
        <f>+MITRE[[#This Row],[Trenes Puntuales]]+SARM[[#This Row],[Trenes Puntuales]]+URQ[[#This Row],[Trenes Puntuales]]+ROCA[[#This Row],[Trenes Puntuales]]+SM[[#This Row],[Trenes Puntuales]]+BN[[#This Row],[Trenes Puntuales]]+BS[[#This Row],[Trenes Puntuales]]+TDC[[#This Row],[Trenes Puntuales]]</f>
        <v>46613</v>
      </c>
      <c r="L278" s="62">
        <f t="shared" si="24"/>
        <v>7417</v>
      </c>
    </row>
    <row r="279" spans="1:13" s="18" customFormat="1" ht="15" customHeight="1">
      <c r="A279" s="18">
        <v>2015</v>
      </c>
      <c r="B279" s="18" t="s">
        <v>45</v>
      </c>
      <c r="C279" s="61">
        <f t="shared" si="20"/>
        <v>0.78156955180422194</v>
      </c>
      <c r="D279" s="61">
        <f t="shared" si="21"/>
        <v>0.85598496640218669</v>
      </c>
      <c r="E279" s="61">
        <f t="shared" si="22"/>
        <v>0.9130645776283407</v>
      </c>
      <c r="F27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9" s="62">
        <f>+MITRE[[#This Row],[Trenes Programados]]+SARM[[#This Row],[Trenes Programados]]+URQ[[#This Row],[Trenes Programados]]+ROCA[[#This Row],[Trenes Programados]]+SM[[#This Row],[Trenes Programados]]+BN[[#This Row],[Trenes Programados]]+BS[[#This Row],[Trenes Programados]]+TDC[[#This Row],[Trenes Programados]]</f>
        <v>57698</v>
      </c>
      <c r="I279" s="62">
        <f t="shared" si="23"/>
        <v>5016</v>
      </c>
      <c r="J279" s="62">
        <f>+MITRE[[#This Row],[Trenes Corridos]]+SARM[[#This Row],[Trenes Corridos]]+URQ[[#This Row],[Trenes Corridos]]+ROCA[[#This Row],[Trenes Corridos]]+SM[[#This Row],[Trenes Corridos]]+BN[[#This Row],[Trenes Corridos]]+BS[[#This Row],[Trenes Corridos]]+TDC[[#This Row],[Trenes Corridos]]</f>
        <v>52682</v>
      </c>
      <c r="K279" s="62">
        <f>+MITRE[[#This Row],[Trenes Puntuales]]+SARM[[#This Row],[Trenes Puntuales]]+URQ[[#This Row],[Trenes Puntuales]]+ROCA[[#This Row],[Trenes Puntuales]]+SM[[#This Row],[Trenes Puntuales]]+BN[[#This Row],[Trenes Puntuales]]+BS[[#This Row],[Trenes Puntuales]]+TDC[[#This Row],[Trenes Puntuales]]</f>
        <v>45095</v>
      </c>
      <c r="L279" s="62">
        <f t="shared" si="24"/>
        <v>7587</v>
      </c>
    </row>
    <row r="280" spans="1:13" s="18" customFormat="1" ht="15" customHeight="1">
      <c r="A280" s="18">
        <v>2015</v>
      </c>
      <c r="B280" s="18" t="s">
        <v>46</v>
      </c>
      <c r="C280" s="61">
        <f t="shared" si="20"/>
        <v>0.78182241818116638</v>
      </c>
      <c r="D280" s="61">
        <f t="shared" si="21"/>
        <v>0.84208799057933248</v>
      </c>
      <c r="E280" s="61">
        <f t="shared" si="22"/>
        <v>0.92843316485643612</v>
      </c>
      <c r="F28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0" s="62">
        <f>+MITRE[[#This Row],[Trenes Programados]]+SARM[[#This Row],[Trenes Programados]]+URQ[[#This Row],[Trenes Programados]]+ROCA[[#This Row],[Trenes Programados]]+SM[[#This Row],[Trenes Programados]]+BN[[#This Row],[Trenes Programados]]+BS[[#This Row],[Trenes Programados]]+TDC[[#This Row],[Trenes Programados]]</f>
        <v>55794</v>
      </c>
      <c r="I280" s="62">
        <f t="shared" si="23"/>
        <v>3993</v>
      </c>
      <c r="J280" s="62">
        <f>+MITRE[[#This Row],[Trenes Corridos]]+SARM[[#This Row],[Trenes Corridos]]+URQ[[#This Row],[Trenes Corridos]]+ROCA[[#This Row],[Trenes Corridos]]+SM[[#This Row],[Trenes Corridos]]+BN[[#This Row],[Trenes Corridos]]+BS[[#This Row],[Trenes Corridos]]+TDC[[#This Row],[Trenes Corridos]]</f>
        <v>51801</v>
      </c>
      <c r="K280" s="62">
        <f>+MITRE[[#This Row],[Trenes Puntuales]]+SARM[[#This Row],[Trenes Puntuales]]+URQ[[#This Row],[Trenes Puntuales]]+ROCA[[#This Row],[Trenes Puntuales]]+SM[[#This Row],[Trenes Puntuales]]+BN[[#This Row],[Trenes Puntuales]]+BS[[#This Row],[Trenes Puntuales]]+TDC[[#This Row],[Trenes Puntuales]]</f>
        <v>43621</v>
      </c>
      <c r="L280" s="62">
        <f t="shared" si="24"/>
        <v>8180</v>
      </c>
    </row>
    <row r="281" spans="1:13" s="18" customFormat="1" ht="15" customHeight="1">
      <c r="A281" s="18">
        <v>2015</v>
      </c>
      <c r="B281" s="18" t="s">
        <v>47</v>
      </c>
      <c r="C281" s="61">
        <f t="shared" si="20"/>
        <v>0.75993776876551411</v>
      </c>
      <c r="D281" s="61">
        <f t="shared" si="21"/>
        <v>0.82540014050010446</v>
      </c>
      <c r="E281" s="61">
        <f t="shared" si="22"/>
        <v>0.92069013739817507</v>
      </c>
      <c r="F28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1" s="62">
        <f>+MITRE[[#This Row],[Trenes Programados]]+SARM[[#This Row],[Trenes Programados]]+URQ[[#This Row],[Trenes Programados]]+ROCA[[#This Row],[Trenes Programados]]+SM[[#This Row],[Trenes Programados]]+BN[[#This Row],[Trenes Programados]]+BS[[#This Row],[Trenes Programados]]+TDC[[#This Row],[Trenes Programados]]</f>
        <v>57206</v>
      </c>
      <c r="I281" s="62">
        <f t="shared" si="23"/>
        <v>4537</v>
      </c>
      <c r="J281" s="62">
        <f>+MITRE[[#This Row],[Trenes Corridos]]+SARM[[#This Row],[Trenes Corridos]]+URQ[[#This Row],[Trenes Corridos]]+ROCA[[#This Row],[Trenes Corridos]]+SM[[#This Row],[Trenes Corridos]]+BN[[#This Row],[Trenes Corridos]]+BS[[#This Row],[Trenes Corridos]]+TDC[[#This Row],[Trenes Corridos]]</f>
        <v>52669</v>
      </c>
      <c r="K281" s="62">
        <f>+MITRE[[#This Row],[Trenes Puntuales]]+SARM[[#This Row],[Trenes Puntuales]]+URQ[[#This Row],[Trenes Puntuales]]+ROCA[[#This Row],[Trenes Puntuales]]+SM[[#This Row],[Trenes Puntuales]]+BN[[#This Row],[Trenes Puntuales]]+BS[[#This Row],[Trenes Puntuales]]+TDC[[#This Row],[Trenes Puntuales]]</f>
        <v>43473</v>
      </c>
      <c r="L281" s="62">
        <f t="shared" si="24"/>
        <v>9196</v>
      </c>
    </row>
    <row r="282" spans="1:13" s="18" customFormat="1" ht="15" customHeight="1">
      <c r="A282" s="18">
        <v>2016</v>
      </c>
      <c r="B282" s="18" t="s">
        <v>36</v>
      </c>
      <c r="C282" s="61">
        <f t="shared" si="20"/>
        <v>0.77962451588252657</v>
      </c>
      <c r="D282" s="61">
        <f t="shared" si="21"/>
        <v>0.8532436182547376</v>
      </c>
      <c r="E282" s="61">
        <f t="shared" si="22"/>
        <v>0.91371854321888191</v>
      </c>
      <c r="F28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2" s="62">
        <f>+MITRE[[#This Row],[Trenes Programados]]+SARM[[#This Row],[Trenes Programados]]+URQ[[#This Row],[Trenes Programados]]+ROCA[[#This Row],[Trenes Programados]]+SM[[#This Row],[Trenes Programados]]+BN[[#This Row],[Trenes Programados]]+BS[[#This Row],[Trenes Programados]]+TDC[[#This Row],[Trenes Programados]]</f>
        <v>57579</v>
      </c>
      <c r="I282" s="62">
        <f t="shared" si="23"/>
        <v>4968</v>
      </c>
      <c r="J282" s="62">
        <f>+MITRE[[#This Row],[Trenes Corridos]]+SARM[[#This Row],[Trenes Corridos]]+URQ[[#This Row],[Trenes Corridos]]+ROCA[[#This Row],[Trenes Corridos]]+SM[[#This Row],[Trenes Corridos]]+BN[[#This Row],[Trenes Corridos]]+BS[[#This Row],[Trenes Corridos]]+TDC[[#This Row],[Trenes Corridos]]</f>
        <v>52611</v>
      </c>
      <c r="K282" s="62">
        <f>+MITRE[[#This Row],[Trenes Puntuales]]+SARM[[#This Row],[Trenes Puntuales]]+URQ[[#This Row],[Trenes Puntuales]]+ROCA[[#This Row],[Trenes Puntuales]]+SM[[#This Row],[Trenes Puntuales]]+BN[[#This Row],[Trenes Puntuales]]+BS[[#This Row],[Trenes Puntuales]]+TDC[[#This Row],[Trenes Puntuales]]</f>
        <v>44890</v>
      </c>
      <c r="L282" s="62">
        <f t="shared" si="24"/>
        <v>7721</v>
      </c>
    </row>
    <row r="283" spans="1:13" s="18" customFormat="1" ht="15" customHeight="1">
      <c r="A283" s="18">
        <v>2016</v>
      </c>
      <c r="B283" s="18" t="s">
        <v>37</v>
      </c>
      <c r="C283" s="61">
        <f t="shared" si="20"/>
        <v>0.77754526081363873</v>
      </c>
      <c r="D283" s="61">
        <f t="shared" si="21"/>
        <v>0.8406326539084229</v>
      </c>
      <c r="E283" s="61">
        <f t="shared" si="22"/>
        <v>0.92495248334517255</v>
      </c>
      <c r="F28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3" s="62">
        <f>+MITRE[[#This Row],[Trenes Programados]]+SARM[[#This Row],[Trenes Programados]]+URQ[[#This Row],[Trenes Programados]]+ROCA[[#This Row],[Trenes Programados]]+SM[[#This Row],[Trenes Programados]]+BN[[#This Row],[Trenes Programados]]+BS[[#This Row],[Trenes Programados]]+TDC[[#This Row],[Trenes Programados]]</f>
        <v>52087</v>
      </c>
      <c r="I283" s="62">
        <f t="shared" si="23"/>
        <v>3909</v>
      </c>
      <c r="J283" s="62">
        <f>+MITRE[[#This Row],[Trenes Corridos]]+SARM[[#This Row],[Trenes Corridos]]+URQ[[#This Row],[Trenes Corridos]]+ROCA[[#This Row],[Trenes Corridos]]+SM[[#This Row],[Trenes Corridos]]+BN[[#This Row],[Trenes Corridos]]+BS[[#This Row],[Trenes Corridos]]+TDC[[#This Row],[Trenes Corridos]]</f>
        <v>48178</v>
      </c>
      <c r="K283" s="62">
        <f>+MITRE[[#This Row],[Trenes Puntuales]]+SARM[[#This Row],[Trenes Puntuales]]+URQ[[#This Row],[Trenes Puntuales]]+ROCA[[#This Row],[Trenes Puntuales]]+SM[[#This Row],[Trenes Puntuales]]+BN[[#This Row],[Trenes Puntuales]]+BS[[#This Row],[Trenes Puntuales]]+TDC[[#This Row],[Trenes Puntuales]]</f>
        <v>40500</v>
      </c>
      <c r="L283" s="62">
        <f t="shared" si="24"/>
        <v>7678</v>
      </c>
    </row>
    <row r="284" spans="1:13" s="18" customFormat="1" ht="15" customHeight="1">
      <c r="A284" s="18">
        <v>2016</v>
      </c>
      <c r="B284" s="18" t="s">
        <v>38</v>
      </c>
      <c r="C284" s="61">
        <f t="shared" si="20"/>
        <v>0.81348013591217982</v>
      </c>
      <c r="D284" s="61">
        <f t="shared" si="21"/>
        <v>0.86318489885770744</v>
      </c>
      <c r="E284" s="61">
        <f t="shared" si="22"/>
        <v>0.94241701515943543</v>
      </c>
      <c r="F28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4" s="62">
        <f>+MITRE[[#This Row],[Trenes Programados]]+SARM[[#This Row],[Trenes Programados]]+URQ[[#This Row],[Trenes Programados]]+ROCA[[#This Row],[Trenes Programados]]+SM[[#This Row],[Trenes Programados]]+BN[[#This Row],[Trenes Programados]]+BS[[#This Row],[Trenes Programados]]+TDC[[#This Row],[Trenes Programados]]</f>
        <v>61216</v>
      </c>
      <c r="I284" s="62">
        <f t="shared" si="23"/>
        <v>3525</v>
      </c>
      <c r="J284" s="62">
        <f>+MITRE[[#This Row],[Trenes Corridos]]+SARM[[#This Row],[Trenes Corridos]]+URQ[[#This Row],[Trenes Corridos]]+ROCA[[#This Row],[Trenes Corridos]]+SM[[#This Row],[Trenes Corridos]]+BN[[#This Row],[Trenes Corridos]]+BS[[#This Row],[Trenes Corridos]]+TDC[[#This Row],[Trenes Corridos]]</f>
        <v>57691</v>
      </c>
      <c r="K284" s="62">
        <f>+MITRE[[#This Row],[Trenes Puntuales]]+SARM[[#This Row],[Trenes Puntuales]]+URQ[[#This Row],[Trenes Puntuales]]+ROCA[[#This Row],[Trenes Puntuales]]+SM[[#This Row],[Trenes Puntuales]]+BN[[#This Row],[Trenes Puntuales]]+BS[[#This Row],[Trenes Puntuales]]+TDC[[#This Row],[Trenes Puntuales]]</f>
        <v>49798</v>
      </c>
      <c r="L284" s="62">
        <f t="shared" si="24"/>
        <v>7893</v>
      </c>
    </row>
    <row r="285" spans="1:13" s="18" customFormat="1" ht="15" customHeight="1">
      <c r="A285" s="18">
        <v>2016</v>
      </c>
      <c r="B285" s="18" t="s">
        <v>39</v>
      </c>
      <c r="C285" s="61">
        <f t="shared" si="20"/>
        <v>0.76545898501946807</v>
      </c>
      <c r="D285" s="61">
        <f t="shared" si="21"/>
        <v>0.82370486098782092</v>
      </c>
      <c r="E285" s="61">
        <f t="shared" si="22"/>
        <v>0.92928792978288133</v>
      </c>
      <c r="F28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5" s="62">
        <f>+MITRE[[#This Row],[Trenes Programados]]+SARM[[#This Row],[Trenes Programados]]+URQ[[#This Row],[Trenes Programados]]+ROCA[[#This Row],[Trenes Programados]]+SM[[#This Row],[Trenes Programados]]+BN[[#This Row],[Trenes Programados]]+BS[[#This Row],[Trenes Programados]]+TDC[[#This Row],[Trenes Programados]]</f>
        <v>60612</v>
      </c>
      <c r="I285" s="62">
        <f t="shared" si="23"/>
        <v>4286</v>
      </c>
      <c r="J285" s="62">
        <f>+MITRE[[#This Row],[Trenes Corridos]]+SARM[[#This Row],[Trenes Corridos]]+URQ[[#This Row],[Trenes Corridos]]+ROCA[[#This Row],[Trenes Corridos]]+SM[[#This Row],[Trenes Corridos]]+BN[[#This Row],[Trenes Corridos]]+BS[[#This Row],[Trenes Corridos]]+TDC[[#This Row],[Trenes Corridos]]</f>
        <v>56326</v>
      </c>
      <c r="K285" s="62">
        <f>+MITRE[[#This Row],[Trenes Puntuales]]+SARM[[#This Row],[Trenes Puntuales]]+URQ[[#This Row],[Trenes Puntuales]]+ROCA[[#This Row],[Trenes Puntuales]]+SM[[#This Row],[Trenes Puntuales]]+BN[[#This Row],[Trenes Puntuales]]+BS[[#This Row],[Trenes Puntuales]]+TDC[[#This Row],[Trenes Puntuales]]</f>
        <v>46396</v>
      </c>
      <c r="L285" s="62">
        <f t="shared" si="24"/>
        <v>9930</v>
      </c>
    </row>
    <row r="286" spans="1:13" s="18" customFormat="1" ht="15" customHeight="1">
      <c r="A286" s="18">
        <v>2016</v>
      </c>
      <c r="B286" s="18" t="s">
        <v>40</v>
      </c>
      <c r="C286" s="61">
        <f t="shared" si="20"/>
        <v>0.77474688850196682</v>
      </c>
      <c r="D286" s="61">
        <f t="shared" si="21"/>
        <v>0.83032690579860391</v>
      </c>
      <c r="E286" s="61">
        <f t="shared" si="22"/>
        <v>0.9330624879086864</v>
      </c>
      <c r="F28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6" s="62">
        <f>+MITRE[[#This Row],[Trenes Programados]]+SARM[[#This Row],[Trenes Programados]]+URQ[[#This Row],[Trenes Programados]]+ROCA[[#This Row],[Trenes Programados]]+SM[[#This Row],[Trenes Programados]]+BN[[#This Row],[Trenes Programados]]+BS[[#This Row],[Trenes Programados]]+TDC[[#This Row],[Trenes Programados]]</f>
        <v>62028</v>
      </c>
      <c r="I286" s="62">
        <f t="shared" si="23"/>
        <v>4152</v>
      </c>
      <c r="J286" s="62">
        <f>+MITRE[[#This Row],[Trenes Corridos]]+SARM[[#This Row],[Trenes Corridos]]+URQ[[#This Row],[Trenes Corridos]]+ROCA[[#This Row],[Trenes Corridos]]+SM[[#This Row],[Trenes Corridos]]+BN[[#This Row],[Trenes Corridos]]+BS[[#This Row],[Trenes Corridos]]+TDC[[#This Row],[Trenes Corridos]]</f>
        <v>57876</v>
      </c>
      <c r="K286" s="62">
        <f>+MITRE[[#This Row],[Trenes Puntuales]]+SARM[[#This Row],[Trenes Puntuales]]+URQ[[#This Row],[Trenes Puntuales]]+ROCA[[#This Row],[Trenes Puntuales]]+SM[[#This Row],[Trenes Puntuales]]+BN[[#This Row],[Trenes Puntuales]]+BS[[#This Row],[Trenes Puntuales]]+TDC[[#This Row],[Trenes Puntuales]]</f>
        <v>48056</v>
      </c>
      <c r="L286" s="62">
        <f t="shared" si="24"/>
        <v>9820</v>
      </c>
    </row>
    <row r="287" spans="1:13" s="18" customFormat="1" ht="15" customHeight="1">
      <c r="A287" s="18">
        <v>2016</v>
      </c>
      <c r="B287" s="18" t="s">
        <v>41</v>
      </c>
      <c r="C287" s="61">
        <f t="shared" si="20"/>
        <v>0.77925540779255409</v>
      </c>
      <c r="D287" s="61">
        <f t="shared" si="21"/>
        <v>0.83770759060534938</v>
      </c>
      <c r="E287" s="61">
        <f t="shared" si="22"/>
        <v>0.93022364430223647</v>
      </c>
      <c r="F28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7" s="62">
        <f>+MITRE[[#This Row],[Trenes Programados]]+SARM[[#This Row],[Trenes Programados]]+URQ[[#This Row],[Trenes Programados]]+ROCA[[#This Row],[Trenes Programados]]+SM[[#This Row],[Trenes Programados]]+BN[[#This Row],[Trenes Programados]]+BS[[#This Row],[Trenes Programados]]+TDC[[#This Row],[Trenes Programados]]</f>
        <v>60006</v>
      </c>
      <c r="I287" s="62">
        <f t="shared" si="23"/>
        <v>4187</v>
      </c>
      <c r="J287" s="62">
        <f>+MITRE[[#This Row],[Trenes Corridos]]+SARM[[#This Row],[Trenes Corridos]]+URQ[[#This Row],[Trenes Corridos]]+ROCA[[#This Row],[Trenes Corridos]]+SM[[#This Row],[Trenes Corridos]]+BN[[#This Row],[Trenes Corridos]]+BS[[#This Row],[Trenes Corridos]]+TDC[[#This Row],[Trenes Corridos]]</f>
        <v>55819</v>
      </c>
      <c r="K287" s="62">
        <f>+MITRE[[#This Row],[Trenes Puntuales]]+SARM[[#This Row],[Trenes Puntuales]]+URQ[[#This Row],[Trenes Puntuales]]+ROCA[[#This Row],[Trenes Puntuales]]+SM[[#This Row],[Trenes Puntuales]]+BN[[#This Row],[Trenes Puntuales]]+BS[[#This Row],[Trenes Puntuales]]+TDC[[#This Row],[Trenes Puntuales]]</f>
        <v>46760</v>
      </c>
      <c r="L287" s="62">
        <f t="shared" si="24"/>
        <v>9059</v>
      </c>
    </row>
    <row r="288" spans="1:13" s="18" customFormat="1" ht="15" customHeight="1">
      <c r="A288" s="18">
        <v>2016</v>
      </c>
      <c r="B288" s="18" t="s">
        <v>42</v>
      </c>
      <c r="C288" s="61">
        <f t="shared" si="20"/>
        <v>0.79502822652805571</v>
      </c>
      <c r="D288" s="61">
        <f t="shared" si="21"/>
        <v>0.84980436483784016</v>
      </c>
      <c r="E288" s="61">
        <f t="shared" si="22"/>
        <v>0.93554264890103633</v>
      </c>
      <c r="F28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8" s="62">
        <f>+MITRE[[#This Row],[Trenes Programados]]+SARM[[#This Row],[Trenes Programados]]+URQ[[#This Row],[Trenes Programados]]+ROCA[[#This Row],[Trenes Programados]]+SM[[#This Row],[Trenes Programados]]+BN[[#This Row],[Trenes Programados]]+BS[[#This Row],[Trenes Programados]]+TDC[[#This Row],[Trenes Programados]]</f>
        <v>61467</v>
      </c>
      <c r="I288" s="62">
        <f t="shared" si="23"/>
        <v>3962</v>
      </c>
      <c r="J288" s="62">
        <f>+MITRE[[#This Row],[Trenes Corridos]]+SARM[[#This Row],[Trenes Corridos]]+URQ[[#This Row],[Trenes Corridos]]+ROCA[[#This Row],[Trenes Corridos]]+SM[[#This Row],[Trenes Corridos]]+BN[[#This Row],[Trenes Corridos]]+BS[[#This Row],[Trenes Corridos]]+TDC[[#This Row],[Trenes Corridos]]</f>
        <v>57505</v>
      </c>
      <c r="K288" s="62">
        <f>+MITRE[[#This Row],[Trenes Puntuales]]+SARM[[#This Row],[Trenes Puntuales]]+URQ[[#This Row],[Trenes Puntuales]]+ROCA[[#This Row],[Trenes Puntuales]]+SM[[#This Row],[Trenes Puntuales]]+BN[[#This Row],[Trenes Puntuales]]+BS[[#This Row],[Trenes Puntuales]]+TDC[[#This Row],[Trenes Puntuales]]</f>
        <v>48868</v>
      </c>
      <c r="L288" s="62">
        <f t="shared" si="24"/>
        <v>8637</v>
      </c>
    </row>
    <row r="289" spans="1:12" s="18" customFormat="1" ht="15" customHeight="1">
      <c r="A289" s="18">
        <v>2016</v>
      </c>
      <c r="B289" s="18" t="s">
        <v>43</v>
      </c>
      <c r="C289" s="61">
        <f t="shared" si="20"/>
        <v>0.81183746991216743</v>
      </c>
      <c r="D289" s="61">
        <f t="shared" si="21"/>
        <v>0.8539832654224726</v>
      </c>
      <c r="E289" s="61">
        <f t="shared" si="22"/>
        <v>0.95064798431447561</v>
      </c>
      <c r="F28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9" s="62">
        <f>+MITRE[[#This Row],[Trenes Programados]]+SARM[[#This Row],[Trenes Programados]]+URQ[[#This Row],[Trenes Programados]]+ROCA[[#This Row],[Trenes Programados]]+SM[[#This Row],[Trenes Programados]]+BN[[#This Row],[Trenes Programados]]+BS[[#This Row],[Trenes Programados]]+TDC[[#This Row],[Trenes Programados]]</f>
        <v>62733</v>
      </c>
      <c r="I289" s="62">
        <f t="shared" si="23"/>
        <v>3096</v>
      </c>
      <c r="J289" s="62">
        <f>+MITRE[[#This Row],[Trenes Corridos]]+SARM[[#This Row],[Trenes Corridos]]+URQ[[#This Row],[Trenes Corridos]]+ROCA[[#This Row],[Trenes Corridos]]+SM[[#This Row],[Trenes Corridos]]+BN[[#This Row],[Trenes Corridos]]+BS[[#This Row],[Trenes Corridos]]+TDC[[#This Row],[Trenes Corridos]]</f>
        <v>59637</v>
      </c>
      <c r="K289" s="62">
        <f>+MITRE[[#This Row],[Trenes Puntuales]]+SARM[[#This Row],[Trenes Puntuales]]+URQ[[#This Row],[Trenes Puntuales]]+ROCA[[#This Row],[Trenes Puntuales]]+SM[[#This Row],[Trenes Puntuales]]+BN[[#This Row],[Trenes Puntuales]]+BS[[#This Row],[Trenes Puntuales]]+TDC[[#This Row],[Trenes Puntuales]]</f>
        <v>50929</v>
      </c>
      <c r="L289" s="62">
        <f t="shared" si="24"/>
        <v>8708</v>
      </c>
    </row>
    <row r="290" spans="1:12" s="18" customFormat="1" ht="15" customHeight="1">
      <c r="A290" s="18">
        <v>2016</v>
      </c>
      <c r="B290" s="18" t="s">
        <v>44</v>
      </c>
      <c r="C290" s="61">
        <f t="shared" si="20"/>
        <v>0.8046263228596704</v>
      </c>
      <c r="D290" s="61">
        <f t="shared" si="21"/>
        <v>0.8439175257731959</v>
      </c>
      <c r="E290" s="61">
        <f t="shared" si="22"/>
        <v>0.95344189246748146</v>
      </c>
      <c r="F29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0" s="62">
        <f>+MITRE[[#This Row],[Trenes Programados]]+SARM[[#This Row],[Trenes Programados]]+URQ[[#This Row],[Trenes Programados]]+ROCA[[#This Row],[Trenes Programados]]+SM[[#This Row],[Trenes Programados]]+BN[[#This Row],[Trenes Programados]]+BS[[#This Row],[Trenes Programados]]+TDC[[#This Row],[Trenes Programados]]</f>
        <v>61042</v>
      </c>
      <c r="I290" s="62">
        <f t="shared" si="23"/>
        <v>2842</v>
      </c>
      <c r="J290" s="62">
        <f>+MITRE[[#This Row],[Trenes Corridos]]+SARM[[#This Row],[Trenes Corridos]]+URQ[[#This Row],[Trenes Corridos]]+ROCA[[#This Row],[Trenes Corridos]]+SM[[#This Row],[Trenes Corridos]]+BN[[#This Row],[Trenes Corridos]]+BS[[#This Row],[Trenes Corridos]]+TDC[[#This Row],[Trenes Corridos]]</f>
        <v>58200</v>
      </c>
      <c r="K290" s="62">
        <f>+MITRE[[#This Row],[Trenes Puntuales]]+SARM[[#This Row],[Trenes Puntuales]]+URQ[[#This Row],[Trenes Puntuales]]+ROCA[[#This Row],[Trenes Puntuales]]+SM[[#This Row],[Trenes Puntuales]]+BN[[#This Row],[Trenes Puntuales]]+BS[[#This Row],[Trenes Puntuales]]+TDC[[#This Row],[Trenes Puntuales]]</f>
        <v>49116</v>
      </c>
      <c r="L290" s="62">
        <f t="shared" si="24"/>
        <v>9084</v>
      </c>
    </row>
    <row r="291" spans="1:12" s="18" customFormat="1" ht="15" customHeight="1">
      <c r="A291" s="18">
        <v>2016</v>
      </c>
      <c r="B291" s="18" t="s">
        <v>45</v>
      </c>
      <c r="C291" s="61">
        <f t="shared" si="20"/>
        <v>0.82081300813008129</v>
      </c>
      <c r="D291" s="61">
        <f t="shared" si="21"/>
        <v>0.86131586131586135</v>
      </c>
      <c r="E291" s="61">
        <f t="shared" si="22"/>
        <v>0.95297560975609752</v>
      </c>
      <c r="F29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1" s="62">
        <f>+MITRE[[#This Row],[Trenes Programados]]+SARM[[#This Row],[Trenes Programados]]+URQ[[#This Row],[Trenes Programados]]+ROCA[[#This Row],[Trenes Programados]]+SM[[#This Row],[Trenes Programados]]+BN[[#This Row],[Trenes Programados]]+BS[[#This Row],[Trenes Programados]]+TDC[[#This Row],[Trenes Programados]]</f>
        <v>61500</v>
      </c>
      <c r="I291" s="62">
        <f t="shared" si="23"/>
        <v>2892</v>
      </c>
      <c r="J291" s="62">
        <f>+MITRE[[#This Row],[Trenes Corridos]]+SARM[[#This Row],[Trenes Corridos]]+URQ[[#This Row],[Trenes Corridos]]+ROCA[[#This Row],[Trenes Corridos]]+SM[[#This Row],[Trenes Corridos]]+BN[[#This Row],[Trenes Corridos]]+BS[[#This Row],[Trenes Corridos]]+TDC[[#This Row],[Trenes Corridos]]</f>
        <v>58608</v>
      </c>
      <c r="K291" s="62">
        <f>+MITRE[[#This Row],[Trenes Puntuales]]+SARM[[#This Row],[Trenes Puntuales]]+URQ[[#This Row],[Trenes Puntuales]]+ROCA[[#This Row],[Trenes Puntuales]]+SM[[#This Row],[Trenes Puntuales]]+BN[[#This Row],[Trenes Puntuales]]+BS[[#This Row],[Trenes Puntuales]]+TDC[[#This Row],[Trenes Puntuales]]</f>
        <v>50480</v>
      </c>
      <c r="L291" s="62">
        <f t="shared" si="24"/>
        <v>8128</v>
      </c>
    </row>
    <row r="292" spans="1:12" s="18" customFormat="1" ht="15" customHeight="1">
      <c r="A292" s="18">
        <v>2016</v>
      </c>
      <c r="B292" s="18" t="s">
        <v>46</v>
      </c>
      <c r="C292" s="61">
        <f t="shared" si="20"/>
        <v>0.84167233287450871</v>
      </c>
      <c r="D292" s="61">
        <f t="shared" si="21"/>
        <v>0.87289738915070003</v>
      </c>
      <c r="E292" s="61">
        <f t="shared" si="22"/>
        <v>0.96422826249191529</v>
      </c>
      <c r="F29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2" s="62">
        <f>+MITRE[[#This Row],[Trenes Programados]]+SARM[[#This Row],[Trenes Programados]]+URQ[[#This Row],[Trenes Programados]]+ROCA[[#This Row],[Trenes Programados]]+SM[[#This Row],[Trenes Programados]]+BN[[#This Row],[Trenes Programados]]+BS[[#This Row],[Trenes Programados]]+TDC[[#This Row],[Trenes Programados]]</f>
        <v>60299</v>
      </c>
      <c r="I292" s="62">
        <f t="shared" si="23"/>
        <v>2157</v>
      </c>
      <c r="J292" s="62">
        <f>+MITRE[[#This Row],[Trenes Corridos]]+SARM[[#This Row],[Trenes Corridos]]+URQ[[#This Row],[Trenes Corridos]]+ROCA[[#This Row],[Trenes Corridos]]+SM[[#This Row],[Trenes Corridos]]+BN[[#This Row],[Trenes Corridos]]+BS[[#This Row],[Trenes Corridos]]+TDC[[#This Row],[Trenes Corridos]]</f>
        <v>58142</v>
      </c>
      <c r="K292" s="62">
        <f>+MITRE[[#This Row],[Trenes Puntuales]]+SARM[[#This Row],[Trenes Puntuales]]+URQ[[#This Row],[Trenes Puntuales]]+ROCA[[#This Row],[Trenes Puntuales]]+SM[[#This Row],[Trenes Puntuales]]+BN[[#This Row],[Trenes Puntuales]]+BS[[#This Row],[Trenes Puntuales]]+TDC[[#This Row],[Trenes Puntuales]]</f>
        <v>50752</v>
      </c>
      <c r="L292" s="62">
        <f t="shared" si="24"/>
        <v>7390</v>
      </c>
    </row>
    <row r="293" spans="1:12" s="18" customFormat="1" ht="15" customHeight="1">
      <c r="A293" s="18">
        <v>2016</v>
      </c>
      <c r="B293" s="18" t="s">
        <v>47</v>
      </c>
      <c r="C293" s="61">
        <f t="shared" si="20"/>
        <v>0.80696530508167863</v>
      </c>
      <c r="D293" s="61">
        <f t="shared" si="21"/>
        <v>0.86103212216956293</v>
      </c>
      <c r="E293" s="61">
        <f t="shared" si="22"/>
        <v>0.93720696859525887</v>
      </c>
      <c r="F29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3" s="62">
        <f>+MITRE[[#This Row],[Trenes Programados]]+SARM[[#This Row],[Trenes Programados]]+URQ[[#This Row],[Trenes Programados]]+ROCA[[#This Row],[Trenes Programados]]+SM[[#This Row],[Trenes Programados]]+BN[[#This Row],[Trenes Programados]]+BS[[#This Row],[Trenes Programados]]+TDC[[#This Row],[Trenes Programados]]</f>
        <v>60787</v>
      </c>
      <c r="I293" s="62">
        <f t="shared" si="23"/>
        <v>3817</v>
      </c>
      <c r="J293" s="62">
        <f>+MITRE[[#This Row],[Trenes Corridos]]+SARM[[#This Row],[Trenes Corridos]]+URQ[[#This Row],[Trenes Corridos]]+ROCA[[#This Row],[Trenes Corridos]]+SM[[#This Row],[Trenes Corridos]]+BN[[#This Row],[Trenes Corridos]]+BS[[#This Row],[Trenes Corridos]]+TDC[[#This Row],[Trenes Corridos]]</f>
        <v>56970</v>
      </c>
      <c r="K293" s="62">
        <f>+MITRE[[#This Row],[Trenes Puntuales]]+SARM[[#This Row],[Trenes Puntuales]]+URQ[[#This Row],[Trenes Puntuales]]+ROCA[[#This Row],[Trenes Puntuales]]+SM[[#This Row],[Trenes Puntuales]]+BN[[#This Row],[Trenes Puntuales]]+BS[[#This Row],[Trenes Puntuales]]+TDC[[#This Row],[Trenes Puntuales]]</f>
        <v>49053</v>
      </c>
      <c r="L293" s="62">
        <f t="shared" si="24"/>
        <v>7917</v>
      </c>
    </row>
    <row r="294" spans="1:12" s="18" customFormat="1" ht="15" customHeight="1">
      <c r="A294" s="18">
        <v>2017</v>
      </c>
      <c r="B294" s="18" t="s">
        <v>36</v>
      </c>
      <c r="C294" s="61">
        <f t="shared" si="20"/>
        <v>0.85664163688231632</v>
      </c>
      <c r="D294" s="61">
        <f t="shared" si="21"/>
        <v>0.8964570644248091</v>
      </c>
      <c r="E294" s="61">
        <f t="shared" si="22"/>
        <v>0.95558579532413024</v>
      </c>
      <c r="F29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4" s="62">
        <f>+MITRE[[#This Row],[Trenes Programados]]+SARM[[#This Row],[Trenes Programados]]+URQ[[#This Row],[Trenes Programados]]+ROCA[[#This Row],[Trenes Programados]]+SM[[#This Row],[Trenes Programados]]+BN[[#This Row],[Trenes Programados]]+BS[[#This Row],[Trenes Programados]]+TDC[[#This Row],[Trenes Programados]]</f>
        <v>60994</v>
      </c>
      <c r="I294" s="62">
        <f t="shared" si="23"/>
        <v>2709</v>
      </c>
      <c r="J294" s="62">
        <f>+MITRE[[#This Row],[Trenes Corridos]]+SARM[[#This Row],[Trenes Corridos]]+URQ[[#This Row],[Trenes Corridos]]+ROCA[[#This Row],[Trenes Corridos]]+SM[[#This Row],[Trenes Corridos]]+BN[[#This Row],[Trenes Corridos]]+BS[[#This Row],[Trenes Corridos]]+TDC[[#This Row],[Trenes Corridos]]</f>
        <v>58285</v>
      </c>
      <c r="K294" s="62">
        <f>+MITRE[[#This Row],[Trenes Puntuales]]+SARM[[#This Row],[Trenes Puntuales]]+URQ[[#This Row],[Trenes Puntuales]]+ROCA[[#This Row],[Trenes Puntuales]]+SM[[#This Row],[Trenes Puntuales]]+BN[[#This Row],[Trenes Puntuales]]+BS[[#This Row],[Trenes Puntuales]]+TDC[[#This Row],[Trenes Puntuales]]</f>
        <v>52250</v>
      </c>
      <c r="L294" s="62">
        <f t="shared" si="24"/>
        <v>6035</v>
      </c>
    </row>
    <row r="295" spans="1:12" s="18" customFormat="1" ht="15" customHeight="1">
      <c r="A295" s="18">
        <v>2017</v>
      </c>
      <c r="B295" s="18" t="s">
        <v>37</v>
      </c>
      <c r="C295" s="61">
        <f t="shared" si="20"/>
        <v>0.84794282116801833</v>
      </c>
      <c r="D295" s="61">
        <f t="shared" si="21"/>
        <v>0.8878935939196525</v>
      </c>
      <c r="E295" s="61">
        <f t="shared" si="22"/>
        <v>0.95500499944450612</v>
      </c>
      <c r="F29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5" s="62">
        <f>+MITRE[[#This Row],[Trenes Programados]]+SARM[[#This Row],[Trenes Programados]]+URQ[[#This Row],[Trenes Programados]]+ROCA[[#This Row],[Trenes Programados]]+SM[[#This Row],[Trenes Programados]]+BN[[#This Row],[Trenes Programados]]+BS[[#This Row],[Trenes Programados]]+TDC[[#This Row],[Trenes Programados]]</f>
        <v>54006</v>
      </c>
      <c r="I295" s="62">
        <f t="shared" si="23"/>
        <v>2430</v>
      </c>
      <c r="J295" s="62">
        <f>+MITRE[[#This Row],[Trenes Corridos]]+SARM[[#This Row],[Trenes Corridos]]+URQ[[#This Row],[Trenes Corridos]]+ROCA[[#This Row],[Trenes Corridos]]+SM[[#This Row],[Trenes Corridos]]+BN[[#This Row],[Trenes Corridos]]+BS[[#This Row],[Trenes Corridos]]+TDC[[#This Row],[Trenes Corridos]]</f>
        <v>51576</v>
      </c>
      <c r="K295" s="62">
        <f>+MITRE[[#This Row],[Trenes Puntuales]]+SARM[[#This Row],[Trenes Puntuales]]+URQ[[#This Row],[Trenes Puntuales]]+ROCA[[#This Row],[Trenes Puntuales]]+SM[[#This Row],[Trenes Puntuales]]+BN[[#This Row],[Trenes Puntuales]]+BS[[#This Row],[Trenes Puntuales]]+TDC[[#This Row],[Trenes Puntuales]]</f>
        <v>45794</v>
      </c>
      <c r="L295" s="62">
        <f t="shared" si="24"/>
        <v>5782</v>
      </c>
    </row>
    <row r="296" spans="1:12" s="18" customFormat="1" ht="15" customHeight="1">
      <c r="A296" s="18">
        <v>2017</v>
      </c>
      <c r="B296" s="18" t="s">
        <v>38</v>
      </c>
      <c r="C296" s="61">
        <f t="shared" si="20"/>
        <v>0.78061640224320572</v>
      </c>
      <c r="D296" s="61">
        <f t="shared" si="21"/>
        <v>0.83965766137347908</v>
      </c>
      <c r="E296" s="61">
        <f t="shared" si="22"/>
        <v>0.92968412979916604</v>
      </c>
      <c r="F29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6" s="62">
        <f>+MITRE[[#This Row],[Trenes Programados]]+SARM[[#This Row],[Trenes Programados]]+URQ[[#This Row],[Trenes Programados]]+ROCA[[#This Row],[Trenes Programados]]+SM[[#This Row],[Trenes Programados]]+BN[[#This Row],[Trenes Programados]]+BS[[#This Row],[Trenes Programados]]+TDC[[#This Row],[Trenes Programados]]</f>
        <v>62589</v>
      </c>
      <c r="I296" s="62">
        <f t="shared" si="23"/>
        <v>4401</v>
      </c>
      <c r="J296" s="62">
        <f>+MITRE[[#This Row],[Trenes Corridos]]+SARM[[#This Row],[Trenes Corridos]]+URQ[[#This Row],[Trenes Corridos]]+ROCA[[#This Row],[Trenes Corridos]]+SM[[#This Row],[Trenes Corridos]]+BN[[#This Row],[Trenes Corridos]]+BS[[#This Row],[Trenes Corridos]]+TDC[[#This Row],[Trenes Corridos]]</f>
        <v>58188</v>
      </c>
      <c r="K296" s="62">
        <f>+MITRE[[#This Row],[Trenes Puntuales]]+SARM[[#This Row],[Trenes Puntuales]]+URQ[[#This Row],[Trenes Puntuales]]+ROCA[[#This Row],[Trenes Puntuales]]+SM[[#This Row],[Trenes Puntuales]]+BN[[#This Row],[Trenes Puntuales]]+BS[[#This Row],[Trenes Puntuales]]+TDC[[#This Row],[Trenes Puntuales]]</f>
        <v>48858</v>
      </c>
      <c r="L296" s="62">
        <f t="shared" si="24"/>
        <v>9330</v>
      </c>
    </row>
    <row r="297" spans="1:12" s="18" customFormat="1" ht="15" customHeight="1">
      <c r="A297" s="18">
        <v>2017</v>
      </c>
      <c r="B297" s="18" t="s">
        <v>39</v>
      </c>
      <c r="C297" s="61">
        <f t="shared" si="20"/>
        <v>0.74879227053140096</v>
      </c>
      <c r="D297" s="61">
        <f t="shared" si="21"/>
        <v>0.84439208294062207</v>
      </c>
      <c r="E297" s="61">
        <f t="shared" si="22"/>
        <v>0.88678267555956736</v>
      </c>
      <c r="F29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7" s="62">
        <f>+MITRE[[#This Row],[Trenes Programados]]+SARM[[#This Row],[Trenes Programados]]+URQ[[#This Row],[Trenes Programados]]+ROCA[[#This Row],[Trenes Programados]]+SM[[#This Row],[Trenes Programados]]+BN[[#This Row],[Trenes Programados]]+BS[[#This Row],[Trenes Programados]]+TDC[[#This Row],[Trenes Programados]]</f>
        <v>59823</v>
      </c>
      <c r="I297" s="62">
        <f t="shared" si="23"/>
        <v>6773</v>
      </c>
      <c r="J297" s="62">
        <f>+MITRE[[#This Row],[Trenes Corridos]]+SARM[[#This Row],[Trenes Corridos]]+URQ[[#This Row],[Trenes Corridos]]+ROCA[[#This Row],[Trenes Corridos]]+SM[[#This Row],[Trenes Corridos]]+BN[[#This Row],[Trenes Corridos]]+BS[[#This Row],[Trenes Corridos]]+TDC[[#This Row],[Trenes Corridos]]</f>
        <v>53050</v>
      </c>
      <c r="K297" s="62">
        <f>+MITRE[[#This Row],[Trenes Puntuales]]+SARM[[#This Row],[Trenes Puntuales]]+URQ[[#This Row],[Trenes Puntuales]]+ROCA[[#This Row],[Trenes Puntuales]]+SM[[#This Row],[Trenes Puntuales]]+BN[[#This Row],[Trenes Puntuales]]+BS[[#This Row],[Trenes Puntuales]]+TDC[[#This Row],[Trenes Puntuales]]</f>
        <v>44795</v>
      </c>
      <c r="L297" s="62">
        <f t="shared" si="24"/>
        <v>8255</v>
      </c>
    </row>
    <row r="298" spans="1:12" s="18" customFormat="1" ht="15" customHeight="1">
      <c r="A298" s="18">
        <v>2017</v>
      </c>
      <c r="B298" s="18" t="s">
        <v>40</v>
      </c>
      <c r="C298" s="61">
        <f t="shared" si="20"/>
        <v>0.79171665786821521</v>
      </c>
      <c r="D298" s="61">
        <f t="shared" si="21"/>
        <v>0.83939959294436906</v>
      </c>
      <c r="E298" s="61">
        <f t="shared" si="22"/>
        <v>0.94319399785637725</v>
      </c>
      <c r="F29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8" s="62">
        <f>+MITRE[[#This Row],[Trenes Programados]]+SARM[[#This Row],[Trenes Programados]]+URQ[[#This Row],[Trenes Programados]]+ROCA[[#This Row],[Trenes Programados]]+SM[[#This Row],[Trenes Programados]]+BN[[#This Row],[Trenes Programados]]+BS[[#This Row],[Trenes Programados]]+TDC[[#This Row],[Trenes Programados]]</f>
        <v>62511</v>
      </c>
      <c r="I298" s="62">
        <f t="shared" si="23"/>
        <v>3551</v>
      </c>
      <c r="J298" s="62">
        <f>+MITRE[[#This Row],[Trenes Corridos]]+SARM[[#This Row],[Trenes Corridos]]+URQ[[#This Row],[Trenes Corridos]]+ROCA[[#This Row],[Trenes Corridos]]+SM[[#This Row],[Trenes Corridos]]+BN[[#This Row],[Trenes Corridos]]+BS[[#This Row],[Trenes Corridos]]+TDC[[#This Row],[Trenes Corridos]]</f>
        <v>58960</v>
      </c>
      <c r="K298" s="62">
        <f>+MITRE[[#This Row],[Trenes Puntuales]]+SARM[[#This Row],[Trenes Puntuales]]+URQ[[#This Row],[Trenes Puntuales]]+ROCA[[#This Row],[Trenes Puntuales]]+SM[[#This Row],[Trenes Puntuales]]+BN[[#This Row],[Trenes Puntuales]]+BS[[#This Row],[Trenes Puntuales]]+TDC[[#This Row],[Trenes Puntuales]]</f>
        <v>49491</v>
      </c>
      <c r="L298" s="62">
        <f t="shared" si="24"/>
        <v>9469</v>
      </c>
    </row>
    <row r="299" spans="1:12" s="18" customFormat="1" ht="15" customHeight="1">
      <c r="A299" s="18">
        <v>2017</v>
      </c>
      <c r="B299" s="18" t="s">
        <v>41</v>
      </c>
      <c r="C299" s="61">
        <f t="shared" si="20"/>
        <v>0.78007902535396778</v>
      </c>
      <c r="D299" s="61">
        <f t="shared" si="21"/>
        <v>0.82600282412007742</v>
      </c>
      <c r="E299" s="61">
        <f t="shared" si="22"/>
        <v>0.94440237076061906</v>
      </c>
      <c r="F29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9" s="62">
        <f>+MITRE[[#This Row],[Trenes Programados]]+SARM[[#This Row],[Trenes Programados]]+URQ[[#This Row],[Trenes Programados]]+ROCA[[#This Row],[Trenes Programados]]+SM[[#This Row],[Trenes Programados]]+BN[[#This Row],[Trenes Programados]]+BS[[#This Row],[Trenes Programados]]+TDC[[#This Row],[Trenes Programados]]</f>
        <v>60740</v>
      </c>
      <c r="I299" s="62">
        <f t="shared" si="23"/>
        <v>3377</v>
      </c>
      <c r="J299" s="62">
        <f>+MITRE[[#This Row],[Trenes Corridos]]+SARM[[#This Row],[Trenes Corridos]]+URQ[[#This Row],[Trenes Corridos]]+ROCA[[#This Row],[Trenes Corridos]]+SM[[#This Row],[Trenes Corridos]]+BN[[#This Row],[Trenes Corridos]]+BS[[#This Row],[Trenes Corridos]]+TDC[[#This Row],[Trenes Corridos]]</f>
        <v>57363</v>
      </c>
      <c r="K299" s="62">
        <f>+MITRE[[#This Row],[Trenes Puntuales]]+SARM[[#This Row],[Trenes Puntuales]]+URQ[[#This Row],[Trenes Puntuales]]+ROCA[[#This Row],[Trenes Puntuales]]+SM[[#This Row],[Trenes Puntuales]]+BN[[#This Row],[Trenes Puntuales]]+BS[[#This Row],[Trenes Puntuales]]+TDC[[#This Row],[Trenes Puntuales]]</f>
        <v>47382</v>
      </c>
      <c r="L299" s="62">
        <f t="shared" si="24"/>
        <v>9981</v>
      </c>
    </row>
    <row r="300" spans="1:12" s="18" customFormat="1" ht="15" customHeight="1">
      <c r="A300" s="18">
        <v>2017</v>
      </c>
      <c r="B300" s="18" t="s">
        <v>42</v>
      </c>
      <c r="C300" s="61">
        <f t="shared" si="20"/>
        <v>0.81072590066622463</v>
      </c>
      <c r="D300" s="61">
        <f t="shared" si="21"/>
        <v>0.85594039602640171</v>
      </c>
      <c r="E300" s="61">
        <f t="shared" si="22"/>
        <v>0.94717564964794287</v>
      </c>
      <c r="F30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0" s="62">
        <f>+MITRE[[#This Row],[Trenes Programados]]+SARM[[#This Row],[Trenes Programados]]+URQ[[#This Row],[Trenes Programados]]+ROCA[[#This Row],[Trenes Programados]]+SM[[#This Row],[Trenes Programados]]+BN[[#This Row],[Trenes Programados]]+BS[[#This Row],[Trenes Programados]]+TDC[[#This Row],[Trenes Programados]]</f>
        <v>63342</v>
      </c>
      <c r="I300" s="62">
        <f t="shared" si="23"/>
        <v>3346</v>
      </c>
      <c r="J300" s="62">
        <f>+MITRE[[#This Row],[Trenes Corridos]]+SARM[[#This Row],[Trenes Corridos]]+URQ[[#This Row],[Trenes Corridos]]+ROCA[[#This Row],[Trenes Corridos]]+SM[[#This Row],[Trenes Corridos]]+BN[[#This Row],[Trenes Corridos]]+BS[[#This Row],[Trenes Corridos]]+TDC[[#This Row],[Trenes Corridos]]</f>
        <v>59996</v>
      </c>
      <c r="K300" s="62">
        <f>+MITRE[[#This Row],[Trenes Puntuales]]+SARM[[#This Row],[Trenes Puntuales]]+URQ[[#This Row],[Trenes Puntuales]]+ROCA[[#This Row],[Trenes Puntuales]]+SM[[#This Row],[Trenes Puntuales]]+BN[[#This Row],[Trenes Puntuales]]+BS[[#This Row],[Trenes Puntuales]]+TDC[[#This Row],[Trenes Puntuales]]</f>
        <v>51353</v>
      </c>
      <c r="L300" s="62">
        <f t="shared" si="24"/>
        <v>8643</v>
      </c>
    </row>
    <row r="301" spans="1:12" s="18" customFormat="1" ht="15" customHeight="1">
      <c r="A301" s="18">
        <v>2017</v>
      </c>
      <c r="B301" s="18" t="s">
        <v>43</v>
      </c>
      <c r="C301" s="61">
        <f t="shared" si="20"/>
        <v>0.82440345022980543</v>
      </c>
      <c r="D301" s="61">
        <f t="shared" si="21"/>
        <v>0.86649240644542236</v>
      </c>
      <c r="E301" s="61">
        <f t="shared" si="22"/>
        <v>0.95142605301265504</v>
      </c>
      <c r="F30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1" s="62">
        <f>+MITRE[[#This Row],[Trenes Programados]]+SARM[[#This Row],[Trenes Programados]]+URQ[[#This Row],[Trenes Programados]]+ROCA[[#This Row],[Trenes Programados]]+SM[[#This Row],[Trenes Programados]]+BN[[#This Row],[Trenes Programados]]+BS[[#This Row],[Trenes Programados]]+TDC[[#This Row],[Trenes Programados]]</f>
        <v>63532</v>
      </c>
      <c r="I301" s="62">
        <f t="shared" si="23"/>
        <v>3086</v>
      </c>
      <c r="J301" s="62">
        <f>+MITRE[[#This Row],[Trenes Corridos]]+SARM[[#This Row],[Trenes Corridos]]+URQ[[#This Row],[Trenes Corridos]]+ROCA[[#This Row],[Trenes Corridos]]+SM[[#This Row],[Trenes Corridos]]+BN[[#This Row],[Trenes Corridos]]+BS[[#This Row],[Trenes Corridos]]+TDC[[#This Row],[Trenes Corridos]]</f>
        <v>60446</v>
      </c>
      <c r="K301" s="62">
        <f>+MITRE[[#This Row],[Trenes Puntuales]]+SARM[[#This Row],[Trenes Puntuales]]+URQ[[#This Row],[Trenes Puntuales]]+ROCA[[#This Row],[Trenes Puntuales]]+SM[[#This Row],[Trenes Puntuales]]+BN[[#This Row],[Trenes Puntuales]]+BS[[#This Row],[Trenes Puntuales]]+TDC[[#This Row],[Trenes Puntuales]]</f>
        <v>52376</v>
      </c>
      <c r="L301" s="62">
        <f t="shared" si="24"/>
        <v>8070</v>
      </c>
    </row>
    <row r="302" spans="1:12" s="18" customFormat="1" ht="15" customHeight="1">
      <c r="A302" s="18">
        <v>2017</v>
      </c>
      <c r="B302" s="18" t="s">
        <v>44</v>
      </c>
      <c r="C302" s="61">
        <f t="shared" si="20"/>
        <v>0.81065859977150945</v>
      </c>
      <c r="D302" s="61">
        <f t="shared" si="21"/>
        <v>0.85699219215132594</v>
      </c>
      <c r="E302" s="61">
        <f t="shared" si="22"/>
        <v>0.94593463884016926</v>
      </c>
      <c r="F30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2" s="62">
        <f>+MITRE[[#This Row],[Trenes Programados]]+SARM[[#This Row],[Trenes Programados]]+URQ[[#This Row],[Trenes Programados]]+ROCA[[#This Row],[Trenes Programados]]+SM[[#This Row],[Trenes Programados]]+BN[[#This Row],[Trenes Programados]]+BS[[#This Row],[Trenes Programados]]+TDC[[#This Row],[Trenes Programados]]</f>
        <v>62147</v>
      </c>
      <c r="I302" s="62">
        <f t="shared" si="23"/>
        <v>3360</v>
      </c>
      <c r="J302" s="62">
        <f>+MITRE[[#This Row],[Trenes Corridos]]+SARM[[#This Row],[Trenes Corridos]]+URQ[[#This Row],[Trenes Corridos]]+ROCA[[#This Row],[Trenes Corridos]]+SM[[#This Row],[Trenes Corridos]]+BN[[#This Row],[Trenes Corridos]]+BS[[#This Row],[Trenes Corridos]]+TDC[[#This Row],[Trenes Corridos]]</f>
        <v>58787</v>
      </c>
      <c r="K302" s="62">
        <f>+MITRE[[#This Row],[Trenes Puntuales]]+SARM[[#This Row],[Trenes Puntuales]]+URQ[[#This Row],[Trenes Puntuales]]+ROCA[[#This Row],[Trenes Puntuales]]+SM[[#This Row],[Trenes Puntuales]]+BN[[#This Row],[Trenes Puntuales]]+BS[[#This Row],[Trenes Puntuales]]+TDC[[#This Row],[Trenes Puntuales]]</f>
        <v>50380</v>
      </c>
      <c r="L302" s="62">
        <f t="shared" si="24"/>
        <v>8407</v>
      </c>
    </row>
    <row r="303" spans="1:12" s="18" customFormat="1" ht="15" customHeight="1">
      <c r="A303" s="18">
        <v>2017</v>
      </c>
      <c r="B303" s="18" t="s">
        <v>45</v>
      </c>
      <c r="C303" s="61">
        <f t="shared" si="20"/>
        <v>0.81298581807798476</v>
      </c>
      <c r="D303" s="61">
        <f t="shared" si="21"/>
        <v>0.85650538982201052</v>
      </c>
      <c r="E303" s="61">
        <f t="shared" si="22"/>
        <v>0.94918937783559121</v>
      </c>
      <c r="F30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3" s="62">
        <f>+MITRE[[#This Row],[Trenes Programados]]+SARM[[#This Row],[Trenes Programados]]+URQ[[#This Row],[Trenes Programados]]+ROCA[[#This Row],[Trenes Programados]]+SM[[#This Row],[Trenes Programados]]+BN[[#This Row],[Trenes Programados]]+BS[[#This Row],[Trenes Programados]]+TDC[[#This Row],[Trenes Programados]]</f>
        <v>63038</v>
      </c>
      <c r="I303" s="62">
        <f t="shared" si="23"/>
        <v>3203</v>
      </c>
      <c r="J303" s="62">
        <f>+MITRE[[#This Row],[Trenes Corridos]]+SARM[[#This Row],[Trenes Corridos]]+URQ[[#This Row],[Trenes Corridos]]+ROCA[[#This Row],[Trenes Corridos]]+SM[[#This Row],[Trenes Corridos]]+BN[[#This Row],[Trenes Corridos]]+BS[[#This Row],[Trenes Corridos]]+TDC[[#This Row],[Trenes Corridos]]</f>
        <v>59835</v>
      </c>
      <c r="K303" s="62">
        <f>+MITRE[[#This Row],[Trenes Puntuales]]+SARM[[#This Row],[Trenes Puntuales]]+URQ[[#This Row],[Trenes Puntuales]]+ROCA[[#This Row],[Trenes Puntuales]]+SM[[#This Row],[Trenes Puntuales]]+BN[[#This Row],[Trenes Puntuales]]+BS[[#This Row],[Trenes Puntuales]]+TDC[[#This Row],[Trenes Puntuales]]</f>
        <v>51249</v>
      </c>
      <c r="L303" s="62">
        <f t="shared" si="24"/>
        <v>8586</v>
      </c>
    </row>
    <row r="304" spans="1:12" s="18" customFormat="1" ht="15" customHeight="1">
      <c r="A304" s="18">
        <v>2017</v>
      </c>
      <c r="B304" s="18" t="s">
        <v>46</v>
      </c>
      <c r="C304" s="61">
        <f t="shared" si="20"/>
        <v>0.80003219315895369</v>
      </c>
      <c r="D304" s="61">
        <f t="shared" si="21"/>
        <v>0.84982474138668029</v>
      </c>
      <c r="E304" s="61">
        <f t="shared" si="22"/>
        <v>0.9414084507042253</v>
      </c>
      <c r="F30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4" s="62">
        <f>+MITRE[[#This Row],[Trenes Programados]]+SARM[[#This Row],[Trenes Programados]]+URQ[[#This Row],[Trenes Programados]]+ROCA[[#This Row],[Trenes Programados]]+SM[[#This Row],[Trenes Programados]]+BN[[#This Row],[Trenes Programados]]+BS[[#This Row],[Trenes Programados]]+TDC[[#This Row],[Trenes Programados]]</f>
        <v>62125</v>
      </c>
      <c r="I304" s="62">
        <f t="shared" si="23"/>
        <v>3640</v>
      </c>
      <c r="J304" s="62">
        <f>+MITRE[[#This Row],[Trenes Corridos]]+SARM[[#This Row],[Trenes Corridos]]+URQ[[#This Row],[Trenes Corridos]]+ROCA[[#This Row],[Trenes Corridos]]+SM[[#This Row],[Trenes Corridos]]+BN[[#This Row],[Trenes Corridos]]+BS[[#This Row],[Trenes Corridos]]+TDC[[#This Row],[Trenes Corridos]]</f>
        <v>58485</v>
      </c>
      <c r="K304" s="62">
        <f>+MITRE[[#This Row],[Trenes Puntuales]]+SARM[[#This Row],[Trenes Puntuales]]+URQ[[#This Row],[Trenes Puntuales]]+ROCA[[#This Row],[Trenes Puntuales]]+SM[[#This Row],[Trenes Puntuales]]+BN[[#This Row],[Trenes Puntuales]]+BS[[#This Row],[Trenes Puntuales]]+TDC[[#This Row],[Trenes Puntuales]]</f>
        <v>49702</v>
      </c>
      <c r="L304" s="62">
        <f t="shared" si="24"/>
        <v>8783</v>
      </c>
    </row>
    <row r="305" spans="1:12" s="18" customFormat="1" ht="15" customHeight="1">
      <c r="A305" s="18">
        <v>2017</v>
      </c>
      <c r="B305" s="18" t="s">
        <v>47</v>
      </c>
      <c r="C305" s="61">
        <f t="shared" si="20"/>
        <v>0.78531082461067148</v>
      </c>
      <c r="D305" s="61">
        <f t="shared" si="21"/>
        <v>0.86292627334093097</v>
      </c>
      <c r="E305" s="61">
        <f t="shared" si="22"/>
        <v>0.91005552718917537</v>
      </c>
      <c r="F30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5" s="62">
        <f>+MITRE[[#This Row],[Trenes Programados]]+SARM[[#This Row],[Trenes Programados]]+URQ[[#This Row],[Trenes Programados]]+ROCA[[#This Row],[Trenes Programados]]+SM[[#This Row],[Trenes Programados]]+BN[[#This Row],[Trenes Programados]]+BS[[#This Row],[Trenes Programados]]+TDC[[#This Row],[Trenes Programados]]</f>
        <v>62672</v>
      </c>
      <c r="I305" s="62">
        <f t="shared" si="23"/>
        <v>5637</v>
      </c>
      <c r="J305" s="62">
        <f>+MITRE[[#This Row],[Trenes Corridos]]+SARM[[#This Row],[Trenes Corridos]]+URQ[[#This Row],[Trenes Corridos]]+ROCA[[#This Row],[Trenes Corridos]]+SM[[#This Row],[Trenes Corridos]]+BN[[#This Row],[Trenes Corridos]]+BS[[#This Row],[Trenes Corridos]]+TDC[[#This Row],[Trenes Corridos]]</f>
        <v>57035</v>
      </c>
      <c r="K305" s="62">
        <f>+MITRE[[#This Row],[Trenes Puntuales]]+SARM[[#This Row],[Trenes Puntuales]]+URQ[[#This Row],[Trenes Puntuales]]+ROCA[[#This Row],[Trenes Puntuales]]+SM[[#This Row],[Trenes Puntuales]]+BN[[#This Row],[Trenes Puntuales]]+BS[[#This Row],[Trenes Puntuales]]+TDC[[#This Row],[Trenes Puntuales]]</f>
        <v>49217</v>
      </c>
      <c r="L305" s="62">
        <f t="shared" si="24"/>
        <v>7818</v>
      </c>
    </row>
    <row r="306" spans="1:12" s="18" customFormat="1" ht="15" customHeight="1">
      <c r="A306" s="18">
        <v>2018</v>
      </c>
      <c r="B306" s="18" t="s">
        <v>36</v>
      </c>
      <c r="C306" s="61">
        <f t="shared" si="20"/>
        <v>0.83064845344638094</v>
      </c>
      <c r="D306" s="61">
        <f t="shared" si="21"/>
        <v>0.88336756332548549</v>
      </c>
      <c r="E306" s="61">
        <f t="shared" si="22"/>
        <v>0.94032030146019785</v>
      </c>
      <c r="F30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6" s="62">
        <f>+MITRE[[#This Row],[Trenes Programados]]+SARM[[#This Row],[Trenes Programados]]+URQ[[#This Row],[Trenes Programados]]+ROCA[[#This Row],[Trenes Programados]]+SM[[#This Row],[Trenes Programados]]+BN[[#This Row],[Trenes Programados]]+BS[[#This Row],[Trenes Programados]]+TDC[[#This Row],[Trenes Programados]]</f>
        <v>63690</v>
      </c>
      <c r="I306" s="62">
        <f t="shared" si="23"/>
        <v>3801</v>
      </c>
      <c r="J306" s="62">
        <f>+MITRE[[#This Row],[Trenes Corridos]]+SARM[[#This Row],[Trenes Corridos]]+URQ[[#This Row],[Trenes Corridos]]+ROCA[[#This Row],[Trenes Corridos]]+SM[[#This Row],[Trenes Corridos]]+BN[[#This Row],[Trenes Corridos]]+BS[[#This Row],[Trenes Corridos]]+TDC[[#This Row],[Trenes Corridos]]</f>
        <v>59889</v>
      </c>
      <c r="K306" s="62">
        <f>+MITRE[[#This Row],[Trenes Puntuales]]+SARM[[#This Row],[Trenes Puntuales]]+URQ[[#This Row],[Trenes Puntuales]]+ROCA[[#This Row],[Trenes Puntuales]]+SM[[#This Row],[Trenes Puntuales]]+BN[[#This Row],[Trenes Puntuales]]+BS[[#This Row],[Trenes Puntuales]]+TDC[[#This Row],[Trenes Puntuales]]</f>
        <v>52904</v>
      </c>
      <c r="L306" s="62">
        <f t="shared" si="24"/>
        <v>6985</v>
      </c>
    </row>
    <row r="307" spans="1:12" s="18" customFormat="1" ht="15" customHeight="1">
      <c r="A307" s="18">
        <v>2018</v>
      </c>
      <c r="B307" s="18" t="s">
        <v>37</v>
      </c>
      <c r="C307" s="61">
        <f t="shared" si="20"/>
        <v>0.8254287149314774</v>
      </c>
      <c r="D307" s="61">
        <f t="shared" si="21"/>
        <v>0.87739770430538078</v>
      </c>
      <c r="E307" s="61">
        <f t="shared" si="22"/>
        <v>0.94076917557580542</v>
      </c>
      <c r="F30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7" s="62">
        <f>+MITRE[[#This Row],[Trenes Programados]]+SARM[[#This Row],[Trenes Programados]]+URQ[[#This Row],[Trenes Programados]]+ROCA[[#This Row],[Trenes Programados]]+SM[[#This Row],[Trenes Programados]]+BN[[#This Row],[Trenes Programados]]+BS[[#This Row],[Trenes Programados]]+TDC[[#This Row],[Trenes Programados]]</f>
        <v>55748</v>
      </c>
      <c r="I307" s="62">
        <f t="shared" si="23"/>
        <v>3302</v>
      </c>
      <c r="J307" s="62">
        <f>+MITRE[[#This Row],[Trenes Corridos]]+SARM[[#This Row],[Trenes Corridos]]+URQ[[#This Row],[Trenes Corridos]]+ROCA[[#This Row],[Trenes Corridos]]+SM[[#This Row],[Trenes Corridos]]+BN[[#This Row],[Trenes Corridos]]+BS[[#This Row],[Trenes Corridos]]+TDC[[#This Row],[Trenes Corridos]]</f>
        <v>52446</v>
      </c>
      <c r="K307" s="62">
        <f>+MITRE[[#This Row],[Trenes Puntuales]]+SARM[[#This Row],[Trenes Puntuales]]+URQ[[#This Row],[Trenes Puntuales]]+ROCA[[#This Row],[Trenes Puntuales]]+SM[[#This Row],[Trenes Puntuales]]+BN[[#This Row],[Trenes Puntuales]]+BS[[#This Row],[Trenes Puntuales]]+TDC[[#This Row],[Trenes Puntuales]]</f>
        <v>46016</v>
      </c>
      <c r="L307" s="62">
        <f t="shared" si="24"/>
        <v>6430</v>
      </c>
    </row>
    <row r="308" spans="1:12" s="18" customFormat="1" ht="15" customHeight="1">
      <c r="A308" s="18">
        <v>2018</v>
      </c>
      <c r="B308" s="18" t="s">
        <v>38</v>
      </c>
      <c r="C308" s="61">
        <f t="shared" si="20"/>
        <v>0.75065880668403173</v>
      </c>
      <c r="D308" s="61">
        <f t="shared" si="21"/>
        <v>0.8085581151145238</v>
      </c>
      <c r="E308" s="61">
        <f t="shared" si="22"/>
        <v>0.92839190238998304</v>
      </c>
      <c r="F30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8" s="62">
        <f>+MITRE[[#This Row],[Trenes Programados]]+SARM[[#This Row],[Trenes Programados]]+URQ[[#This Row],[Trenes Programados]]+ROCA[[#This Row],[Trenes Programados]]+SM[[#This Row],[Trenes Programados]]+BN[[#This Row],[Trenes Programados]]+BS[[#This Row],[Trenes Programados]]+TDC[[#This Row],[Trenes Programados]]</f>
        <v>65649</v>
      </c>
      <c r="I308" s="62">
        <f t="shared" si="23"/>
        <v>4701</v>
      </c>
      <c r="J308" s="62">
        <f>+MITRE[[#This Row],[Trenes Corridos]]+SARM[[#This Row],[Trenes Corridos]]+URQ[[#This Row],[Trenes Corridos]]+ROCA[[#This Row],[Trenes Corridos]]+SM[[#This Row],[Trenes Corridos]]+BN[[#This Row],[Trenes Corridos]]+BS[[#This Row],[Trenes Corridos]]+TDC[[#This Row],[Trenes Corridos]]</f>
        <v>60948</v>
      </c>
      <c r="K308" s="62">
        <f>+MITRE[[#This Row],[Trenes Puntuales]]+SARM[[#This Row],[Trenes Puntuales]]+URQ[[#This Row],[Trenes Puntuales]]+ROCA[[#This Row],[Trenes Puntuales]]+SM[[#This Row],[Trenes Puntuales]]+BN[[#This Row],[Trenes Puntuales]]+BS[[#This Row],[Trenes Puntuales]]+TDC[[#This Row],[Trenes Puntuales]]</f>
        <v>49280</v>
      </c>
      <c r="L308" s="62">
        <f t="shared" si="24"/>
        <v>11668</v>
      </c>
    </row>
    <row r="309" spans="1:12" s="18" customFormat="1" ht="15" customHeight="1">
      <c r="A309" s="18">
        <v>2018</v>
      </c>
      <c r="B309" s="18" t="s">
        <v>39</v>
      </c>
      <c r="C309" s="61">
        <f t="shared" si="20"/>
        <v>0.73708413941835016</v>
      </c>
      <c r="D309" s="61">
        <f t="shared" si="21"/>
        <v>0.78813774861386643</v>
      </c>
      <c r="E309" s="61">
        <f t="shared" si="22"/>
        <v>0.93522247946465387</v>
      </c>
      <c r="F30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9" s="62">
        <f>+MITRE[[#This Row],[Trenes Programados]]+SARM[[#This Row],[Trenes Programados]]+URQ[[#This Row],[Trenes Programados]]+ROCA[[#This Row],[Trenes Programados]]+SM[[#This Row],[Trenes Programados]]+BN[[#This Row],[Trenes Programados]]+BS[[#This Row],[Trenes Programados]]+TDC[[#This Row],[Trenes Programados]]</f>
        <v>63062</v>
      </c>
      <c r="I309" s="62">
        <f t="shared" si="23"/>
        <v>4085</v>
      </c>
      <c r="J309" s="62">
        <f>+MITRE[[#This Row],[Trenes Corridos]]+SARM[[#This Row],[Trenes Corridos]]+URQ[[#This Row],[Trenes Corridos]]+ROCA[[#This Row],[Trenes Corridos]]+SM[[#This Row],[Trenes Corridos]]+BN[[#This Row],[Trenes Corridos]]+BS[[#This Row],[Trenes Corridos]]+TDC[[#This Row],[Trenes Corridos]]</f>
        <v>58977</v>
      </c>
      <c r="K309" s="62">
        <f>+MITRE[[#This Row],[Trenes Puntuales]]+SARM[[#This Row],[Trenes Puntuales]]+URQ[[#This Row],[Trenes Puntuales]]+ROCA[[#This Row],[Trenes Puntuales]]+SM[[#This Row],[Trenes Puntuales]]+BN[[#This Row],[Trenes Puntuales]]+BS[[#This Row],[Trenes Puntuales]]+TDC[[#This Row],[Trenes Puntuales]]</f>
        <v>46482</v>
      </c>
      <c r="L309" s="62">
        <f t="shared" si="24"/>
        <v>12495</v>
      </c>
    </row>
    <row r="310" spans="1:12" s="18" customFormat="1" ht="15" customHeight="1">
      <c r="A310" s="18">
        <v>2018</v>
      </c>
      <c r="B310" s="18" t="s">
        <v>40</v>
      </c>
      <c r="C310" s="61">
        <f t="shared" si="20"/>
        <v>0.72797755520695062</v>
      </c>
      <c r="D310" s="61">
        <f t="shared" si="21"/>
        <v>0.78995007774776982</v>
      </c>
      <c r="E310" s="61">
        <f t="shared" si="22"/>
        <v>0.92154881139133582</v>
      </c>
      <c r="F31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0" s="62">
        <f>+MITRE[[#This Row],[Trenes Programados]]+SARM[[#This Row],[Trenes Programados]]+URQ[[#This Row],[Trenes Programados]]+ROCA[[#This Row],[Trenes Programados]]+SM[[#This Row],[Trenes Programados]]+BN[[#This Row],[Trenes Programados]]+BS[[#This Row],[Trenes Programados]]+TDC[[#This Row],[Trenes Programados]]</f>
        <v>66296</v>
      </c>
      <c r="I310" s="62">
        <f t="shared" si="23"/>
        <v>5201</v>
      </c>
      <c r="J310" s="62">
        <f>+MITRE[[#This Row],[Trenes Corridos]]+SARM[[#This Row],[Trenes Corridos]]+URQ[[#This Row],[Trenes Corridos]]+ROCA[[#This Row],[Trenes Corridos]]+SM[[#This Row],[Trenes Corridos]]+BN[[#This Row],[Trenes Corridos]]+BS[[#This Row],[Trenes Corridos]]+TDC[[#This Row],[Trenes Corridos]]</f>
        <v>61095</v>
      </c>
      <c r="K310" s="62">
        <f>+MITRE[[#This Row],[Trenes Puntuales]]+SARM[[#This Row],[Trenes Puntuales]]+URQ[[#This Row],[Trenes Puntuales]]+ROCA[[#This Row],[Trenes Puntuales]]+SM[[#This Row],[Trenes Puntuales]]+BN[[#This Row],[Trenes Puntuales]]+BS[[#This Row],[Trenes Puntuales]]+TDC[[#This Row],[Trenes Puntuales]]</f>
        <v>48262</v>
      </c>
      <c r="L310" s="62">
        <f t="shared" si="24"/>
        <v>12833</v>
      </c>
    </row>
    <row r="311" spans="1:12" s="18" customFormat="1" ht="15" customHeight="1">
      <c r="A311" s="18">
        <v>2018</v>
      </c>
      <c r="B311" s="18" t="s">
        <v>41</v>
      </c>
      <c r="C311" s="61">
        <f t="shared" si="20"/>
        <v>0.74959127606141818</v>
      </c>
      <c r="D311" s="61">
        <f t="shared" si="21"/>
        <v>0.77035266403381142</v>
      </c>
      <c r="E311" s="61">
        <f t="shared" si="22"/>
        <v>0.97304950194670581</v>
      </c>
      <c r="F31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1" s="62">
        <f>+MITRE[[#This Row],[Trenes Programados]]+SARM[[#This Row],[Trenes Programados]]+URQ[[#This Row],[Trenes Programados]]+ROCA[[#This Row],[Trenes Programados]]+SM[[#This Row],[Trenes Programados]]+BN[[#This Row],[Trenes Programados]]+BS[[#This Row],[Trenes Programados]]+TDC[[#This Row],[Trenes Programados]]</f>
        <v>59331</v>
      </c>
      <c r="I311" s="62">
        <f t="shared" si="23"/>
        <v>1599</v>
      </c>
      <c r="J311" s="62">
        <f>+MITRE[[#This Row],[Trenes Corridos]]+SARM[[#This Row],[Trenes Corridos]]+URQ[[#This Row],[Trenes Corridos]]+ROCA[[#This Row],[Trenes Corridos]]+SM[[#This Row],[Trenes Corridos]]+BN[[#This Row],[Trenes Corridos]]+BS[[#This Row],[Trenes Corridos]]+TDC[[#This Row],[Trenes Corridos]]</f>
        <v>57732</v>
      </c>
      <c r="K311" s="62">
        <f>+MITRE[[#This Row],[Trenes Puntuales]]+SARM[[#This Row],[Trenes Puntuales]]+URQ[[#This Row],[Trenes Puntuales]]+ROCA[[#This Row],[Trenes Puntuales]]+SM[[#This Row],[Trenes Puntuales]]+BN[[#This Row],[Trenes Puntuales]]+BS[[#This Row],[Trenes Puntuales]]+TDC[[#This Row],[Trenes Puntuales]]</f>
        <v>44474</v>
      </c>
      <c r="L311" s="62">
        <f t="shared" si="24"/>
        <v>13258</v>
      </c>
    </row>
    <row r="312" spans="1:12" s="18" customFormat="1" ht="15" customHeight="1">
      <c r="A312" s="18">
        <v>2018</v>
      </c>
      <c r="B312" s="18" t="s">
        <v>42</v>
      </c>
      <c r="C312" s="61">
        <f t="shared" si="20"/>
        <v>0.82765352138252479</v>
      </c>
      <c r="D312" s="61">
        <f t="shared" si="21"/>
        <v>0.86534080121511292</v>
      </c>
      <c r="E312" s="61">
        <f t="shared" si="22"/>
        <v>0.95644804939317818</v>
      </c>
      <c r="F31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2" s="62">
        <f>+MITRE[[#This Row],[Trenes Programados]]+SARM[[#This Row],[Trenes Programados]]+URQ[[#This Row],[Trenes Programados]]+ROCA[[#This Row],[Trenes Programados]]+SM[[#This Row],[Trenes Programados]]+BN[[#This Row],[Trenes Programados]]+BS[[#This Row],[Trenes Programados]]+TDC[[#This Row],[Trenes Programados]]</f>
        <v>66082</v>
      </c>
      <c r="I312" s="62">
        <f t="shared" si="23"/>
        <v>2878</v>
      </c>
      <c r="J312" s="62">
        <f>+MITRE[[#This Row],[Trenes Corridos]]+SARM[[#This Row],[Trenes Corridos]]+URQ[[#This Row],[Trenes Corridos]]+ROCA[[#This Row],[Trenes Corridos]]+SM[[#This Row],[Trenes Corridos]]+BN[[#This Row],[Trenes Corridos]]+BS[[#This Row],[Trenes Corridos]]+TDC[[#This Row],[Trenes Corridos]]</f>
        <v>63204</v>
      </c>
      <c r="K312" s="62">
        <f>+MITRE[[#This Row],[Trenes Puntuales]]+SARM[[#This Row],[Trenes Puntuales]]+URQ[[#This Row],[Trenes Puntuales]]+ROCA[[#This Row],[Trenes Puntuales]]+SM[[#This Row],[Trenes Puntuales]]+BN[[#This Row],[Trenes Puntuales]]+BS[[#This Row],[Trenes Puntuales]]+TDC[[#This Row],[Trenes Puntuales]]</f>
        <v>54693</v>
      </c>
      <c r="L312" s="62">
        <f t="shared" si="24"/>
        <v>8511</v>
      </c>
    </row>
    <row r="313" spans="1:12" s="18" customFormat="1" ht="15" customHeight="1">
      <c r="A313" s="18">
        <v>2018</v>
      </c>
      <c r="B313" s="18" t="s">
        <v>43</v>
      </c>
      <c r="C313" s="61">
        <f t="shared" si="20"/>
        <v>0.84300856643095279</v>
      </c>
      <c r="D313" s="61">
        <f t="shared" si="21"/>
        <v>0.86716082797650174</v>
      </c>
      <c r="E313" s="61">
        <f t="shared" si="22"/>
        <v>0.97214788679753028</v>
      </c>
      <c r="F31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3" s="62">
        <f>+MITRE[[#This Row],[Trenes Programados]]+SARM[[#This Row],[Trenes Programados]]+URQ[[#This Row],[Trenes Programados]]+ROCA[[#This Row],[Trenes Programados]]+SM[[#This Row],[Trenes Programados]]+BN[[#This Row],[Trenes Programados]]+BS[[#This Row],[Trenes Programados]]+TDC[[#This Row],[Trenes Programados]]</f>
        <v>66889</v>
      </c>
      <c r="I313" s="62">
        <f t="shared" si="23"/>
        <v>1863</v>
      </c>
      <c r="J313" s="62">
        <f>+MITRE[[#This Row],[Trenes Corridos]]+SARM[[#This Row],[Trenes Corridos]]+URQ[[#This Row],[Trenes Corridos]]+ROCA[[#This Row],[Trenes Corridos]]+SM[[#This Row],[Trenes Corridos]]+BN[[#This Row],[Trenes Corridos]]+BS[[#This Row],[Trenes Corridos]]+TDC[[#This Row],[Trenes Corridos]]</f>
        <v>65026</v>
      </c>
      <c r="K313" s="62">
        <f>+MITRE[[#This Row],[Trenes Puntuales]]+SARM[[#This Row],[Trenes Puntuales]]+URQ[[#This Row],[Trenes Puntuales]]+ROCA[[#This Row],[Trenes Puntuales]]+SM[[#This Row],[Trenes Puntuales]]+BN[[#This Row],[Trenes Puntuales]]+BS[[#This Row],[Trenes Puntuales]]+TDC[[#This Row],[Trenes Puntuales]]</f>
        <v>56388</v>
      </c>
      <c r="L313" s="62">
        <f t="shared" si="24"/>
        <v>8638</v>
      </c>
    </row>
    <row r="314" spans="1:12" s="18" customFormat="1" ht="15" customHeight="1">
      <c r="A314" s="18">
        <v>2018</v>
      </c>
      <c r="B314" s="18" t="s">
        <v>44</v>
      </c>
      <c r="C314" s="61">
        <f t="shared" si="20"/>
        <v>0.82192911423944193</v>
      </c>
      <c r="D314" s="61">
        <f t="shared" si="21"/>
        <v>0.87737291798264572</v>
      </c>
      <c r="E314" s="61">
        <f t="shared" si="22"/>
        <v>0.93680702628628376</v>
      </c>
      <c r="F31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4" s="62">
        <f>+MITRE[[#This Row],[Trenes Programados]]+SARM[[#This Row],[Trenes Programados]]+URQ[[#This Row],[Trenes Programados]]+ROCA[[#This Row],[Trenes Programados]]+SM[[#This Row],[Trenes Programados]]+BN[[#This Row],[Trenes Programados]]+BS[[#This Row],[Trenes Programados]]+TDC[[#This Row],[Trenes Programados]]</f>
        <v>64216</v>
      </c>
      <c r="I314" s="62">
        <f t="shared" si="23"/>
        <v>4058</v>
      </c>
      <c r="J314" s="62">
        <f>+MITRE[[#This Row],[Trenes Corridos]]+SARM[[#This Row],[Trenes Corridos]]+URQ[[#This Row],[Trenes Corridos]]+ROCA[[#This Row],[Trenes Corridos]]+SM[[#This Row],[Trenes Corridos]]+BN[[#This Row],[Trenes Corridos]]+BS[[#This Row],[Trenes Corridos]]+TDC[[#This Row],[Trenes Corridos]]</f>
        <v>60158</v>
      </c>
      <c r="K314" s="62">
        <f>+MITRE[[#This Row],[Trenes Puntuales]]+SARM[[#This Row],[Trenes Puntuales]]+URQ[[#This Row],[Trenes Puntuales]]+ROCA[[#This Row],[Trenes Puntuales]]+SM[[#This Row],[Trenes Puntuales]]+BN[[#This Row],[Trenes Puntuales]]+BS[[#This Row],[Trenes Puntuales]]+TDC[[#This Row],[Trenes Puntuales]]</f>
        <v>52781</v>
      </c>
      <c r="L314" s="62">
        <f t="shared" si="24"/>
        <v>7377</v>
      </c>
    </row>
    <row r="315" spans="1:12" s="18" customFormat="1" ht="15" customHeight="1">
      <c r="A315" s="18">
        <v>2018</v>
      </c>
      <c r="B315" s="18" t="s">
        <v>45</v>
      </c>
      <c r="C315" s="61">
        <f t="shared" si="20"/>
        <v>0.83240090110250786</v>
      </c>
      <c r="D315" s="61">
        <f t="shared" si="21"/>
        <v>0.87896594095592173</v>
      </c>
      <c r="E315" s="61">
        <f t="shared" si="22"/>
        <v>0.94702293037342045</v>
      </c>
      <c r="F31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5" s="62">
        <f>+MITRE[[#This Row],[Trenes Programados]]+SARM[[#This Row],[Trenes Programados]]+URQ[[#This Row],[Trenes Programados]]+ROCA[[#This Row],[Trenes Programados]]+SM[[#This Row],[Trenes Programados]]+BN[[#This Row],[Trenes Programados]]+BS[[#This Row],[Trenes Programados]]+TDC[[#This Row],[Trenes Programados]]</f>
        <v>67029</v>
      </c>
      <c r="I315" s="62">
        <f t="shared" si="23"/>
        <v>3551</v>
      </c>
      <c r="J315" s="62">
        <f>+MITRE[[#This Row],[Trenes Corridos]]+SARM[[#This Row],[Trenes Corridos]]+URQ[[#This Row],[Trenes Corridos]]+ROCA[[#This Row],[Trenes Corridos]]+SM[[#This Row],[Trenes Corridos]]+BN[[#This Row],[Trenes Corridos]]+BS[[#This Row],[Trenes Corridos]]+TDC[[#This Row],[Trenes Corridos]]</f>
        <v>63478</v>
      </c>
      <c r="K315" s="62">
        <f>+MITRE[[#This Row],[Trenes Puntuales]]+SARM[[#This Row],[Trenes Puntuales]]+URQ[[#This Row],[Trenes Puntuales]]+ROCA[[#This Row],[Trenes Puntuales]]+SM[[#This Row],[Trenes Puntuales]]+BN[[#This Row],[Trenes Puntuales]]+BS[[#This Row],[Trenes Puntuales]]+TDC[[#This Row],[Trenes Puntuales]]</f>
        <v>55795</v>
      </c>
      <c r="L315" s="62">
        <f t="shared" si="24"/>
        <v>7683</v>
      </c>
    </row>
    <row r="316" spans="1:12" s="18" customFormat="1" ht="15" customHeight="1">
      <c r="A316" s="18">
        <v>2018</v>
      </c>
      <c r="B316" s="18" t="s">
        <v>46</v>
      </c>
      <c r="C316" s="61">
        <f t="shared" si="20"/>
        <v>0.77407996540700819</v>
      </c>
      <c r="D316" s="61">
        <f t="shared" si="21"/>
        <v>0.84362534713456194</v>
      </c>
      <c r="E316" s="61">
        <f t="shared" si="22"/>
        <v>0.91756366500393804</v>
      </c>
      <c r="F31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6" s="62">
        <f>+MITRE[[#This Row],[Trenes Programados]]+SARM[[#This Row],[Trenes Programados]]+URQ[[#This Row],[Trenes Programados]]+ROCA[[#This Row],[Trenes Programados]]+SM[[#This Row],[Trenes Programados]]+BN[[#This Row],[Trenes Programados]]+BS[[#This Row],[Trenes Programados]]+TDC[[#This Row],[Trenes Programados]]</f>
        <v>64753</v>
      </c>
      <c r="I316" s="62">
        <f t="shared" si="23"/>
        <v>5338</v>
      </c>
      <c r="J316" s="62">
        <f>+MITRE[[#This Row],[Trenes Corridos]]+SARM[[#This Row],[Trenes Corridos]]+URQ[[#This Row],[Trenes Corridos]]+ROCA[[#This Row],[Trenes Corridos]]+SM[[#This Row],[Trenes Corridos]]+BN[[#This Row],[Trenes Corridos]]+BS[[#This Row],[Trenes Corridos]]+TDC[[#This Row],[Trenes Corridos]]</f>
        <v>59415</v>
      </c>
      <c r="K316" s="62">
        <f>+MITRE[[#This Row],[Trenes Puntuales]]+SARM[[#This Row],[Trenes Puntuales]]+URQ[[#This Row],[Trenes Puntuales]]+ROCA[[#This Row],[Trenes Puntuales]]+SM[[#This Row],[Trenes Puntuales]]+BN[[#This Row],[Trenes Puntuales]]+BS[[#This Row],[Trenes Puntuales]]+TDC[[#This Row],[Trenes Puntuales]]</f>
        <v>50124</v>
      </c>
      <c r="L316" s="62">
        <f t="shared" si="24"/>
        <v>9291</v>
      </c>
    </row>
    <row r="317" spans="1:12" s="18" customFormat="1" ht="15" customHeight="1">
      <c r="A317" s="18">
        <v>2018</v>
      </c>
      <c r="B317" s="18" t="s">
        <v>47</v>
      </c>
      <c r="C317" s="61">
        <f t="shared" si="20"/>
        <v>0.76702865807894371</v>
      </c>
      <c r="D317" s="61">
        <f t="shared" si="21"/>
        <v>0.8364149588281472</v>
      </c>
      <c r="E317" s="61">
        <f t="shared" si="22"/>
        <v>0.91704320921469817</v>
      </c>
      <c r="F31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7" s="62">
        <f>+MITRE[[#This Row],[Trenes Programados]]+SARM[[#This Row],[Trenes Programados]]+URQ[[#This Row],[Trenes Programados]]+ROCA[[#This Row],[Trenes Programados]]+SM[[#This Row],[Trenes Programados]]+BN[[#This Row],[Trenes Programados]]+BS[[#This Row],[Trenes Programados]]+TDC[[#This Row],[Trenes Programados]]</f>
        <v>65287</v>
      </c>
      <c r="I317" s="62">
        <f t="shared" si="23"/>
        <v>5416</v>
      </c>
      <c r="J317" s="62">
        <f>+MITRE[[#This Row],[Trenes Corridos]]+SARM[[#This Row],[Trenes Corridos]]+URQ[[#This Row],[Trenes Corridos]]+ROCA[[#This Row],[Trenes Corridos]]+SM[[#This Row],[Trenes Corridos]]+BN[[#This Row],[Trenes Corridos]]+BS[[#This Row],[Trenes Corridos]]+TDC[[#This Row],[Trenes Corridos]]</f>
        <v>59871</v>
      </c>
      <c r="K317" s="62">
        <f>+MITRE[[#This Row],[Trenes Puntuales]]+SARM[[#This Row],[Trenes Puntuales]]+URQ[[#This Row],[Trenes Puntuales]]+ROCA[[#This Row],[Trenes Puntuales]]+SM[[#This Row],[Trenes Puntuales]]+BN[[#This Row],[Trenes Puntuales]]+BS[[#This Row],[Trenes Puntuales]]+TDC[[#This Row],[Trenes Puntuales]]</f>
        <v>50077</v>
      </c>
      <c r="L317" s="62">
        <f t="shared" si="24"/>
        <v>9794</v>
      </c>
    </row>
    <row r="318" spans="1:12" s="18" customFormat="1" ht="15" customHeight="1">
      <c r="A318" s="18">
        <v>2019</v>
      </c>
      <c r="B318" s="18" t="s">
        <v>36</v>
      </c>
      <c r="C318" s="61">
        <f t="shared" si="20"/>
        <v>0.83001041620820681</v>
      </c>
      <c r="D318" s="61">
        <f t="shared" si="21"/>
        <v>0.87056071890195108</v>
      </c>
      <c r="E318" s="61">
        <f t="shared" si="22"/>
        <v>0.95342047738509161</v>
      </c>
      <c r="F31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8" s="62">
        <f>+MITRE[[#This Row],[Trenes Programados]]+SARM[[#This Row],[Trenes Programados]]+URQ[[#This Row],[Trenes Programados]]+ROCA[[#This Row],[Trenes Programados]]+SM[[#This Row],[Trenes Programados]]+BN[[#This Row],[Trenes Programados]]+BS[[#This Row],[Trenes Programados]]+TDC[[#This Row],[Trenes Programados]]</f>
        <v>68163</v>
      </c>
      <c r="I318" s="62">
        <f t="shared" si="23"/>
        <v>3175</v>
      </c>
      <c r="J318" s="62">
        <f>+MITRE[[#This Row],[Trenes Corridos]]+SARM[[#This Row],[Trenes Corridos]]+URQ[[#This Row],[Trenes Corridos]]+ROCA[[#This Row],[Trenes Corridos]]+SM[[#This Row],[Trenes Corridos]]+BN[[#This Row],[Trenes Corridos]]+BS[[#This Row],[Trenes Corridos]]+TDC[[#This Row],[Trenes Corridos]]</f>
        <v>64988</v>
      </c>
      <c r="K318" s="62">
        <f>+MITRE[[#This Row],[Trenes Puntuales]]+SARM[[#This Row],[Trenes Puntuales]]+URQ[[#This Row],[Trenes Puntuales]]+ROCA[[#This Row],[Trenes Puntuales]]+SM[[#This Row],[Trenes Puntuales]]+BN[[#This Row],[Trenes Puntuales]]+BS[[#This Row],[Trenes Puntuales]]+TDC[[#This Row],[Trenes Puntuales]]</f>
        <v>56576</v>
      </c>
      <c r="L318" s="62">
        <f t="shared" si="24"/>
        <v>8412</v>
      </c>
    </row>
    <row r="319" spans="1:12" s="18" customFormat="1" ht="15" customHeight="1">
      <c r="A319" s="18">
        <v>2019</v>
      </c>
      <c r="B319" s="18" t="s">
        <v>37</v>
      </c>
      <c r="C319" s="61">
        <f t="shared" si="20"/>
        <v>0.82562397610099258</v>
      </c>
      <c r="D319" s="61">
        <f t="shared" si="21"/>
        <v>0.87043026228897502</v>
      </c>
      <c r="E319" s="61">
        <f t="shared" si="22"/>
        <v>0.94852397931322474</v>
      </c>
      <c r="F31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9" s="62">
        <f>+MITRE[[#This Row],[Trenes Programados]]+SARM[[#This Row],[Trenes Programados]]+URQ[[#This Row],[Trenes Programados]]+ROCA[[#This Row],[Trenes Programados]]+SM[[#This Row],[Trenes Programados]]+BN[[#This Row],[Trenes Programados]]+BS[[#This Row],[Trenes Programados]]+TDC[[#This Row],[Trenes Programados]]</f>
        <v>62262</v>
      </c>
      <c r="I319" s="62">
        <f t="shared" si="23"/>
        <v>3205</v>
      </c>
      <c r="J319" s="62">
        <f>+MITRE[[#This Row],[Trenes Corridos]]+SARM[[#This Row],[Trenes Corridos]]+URQ[[#This Row],[Trenes Corridos]]+ROCA[[#This Row],[Trenes Corridos]]+SM[[#This Row],[Trenes Corridos]]+BN[[#This Row],[Trenes Corridos]]+BS[[#This Row],[Trenes Corridos]]+TDC[[#This Row],[Trenes Corridos]]</f>
        <v>59057</v>
      </c>
      <c r="K319" s="62">
        <f>+MITRE[[#This Row],[Trenes Puntuales]]+SARM[[#This Row],[Trenes Puntuales]]+URQ[[#This Row],[Trenes Puntuales]]+ROCA[[#This Row],[Trenes Puntuales]]+SM[[#This Row],[Trenes Puntuales]]+BN[[#This Row],[Trenes Puntuales]]+BS[[#This Row],[Trenes Puntuales]]+TDC[[#This Row],[Trenes Puntuales]]</f>
        <v>51405</v>
      </c>
      <c r="L319" s="62">
        <f t="shared" si="24"/>
        <v>7652</v>
      </c>
    </row>
    <row r="320" spans="1:12" s="18" customFormat="1" ht="15" customHeight="1">
      <c r="A320" s="18">
        <v>2019</v>
      </c>
      <c r="B320" s="18" t="s">
        <v>38</v>
      </c>
      <c r="C320" s="61">
        <f t="shared" si="20"/>
        <v>0.77439653393851871</v>
      </c>
      <c r="D320" s="61">
        <f t="shared" si="21"/>
        <v>0.83690078037904125</v>
      </c>
      <c r="E320" s="61">
        <f t="shared" si="22"/>
        <v>0.92531462760470395</v>
      </c>
      <c r="F32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0" s="62">
        <f>+MITRE[[#This Row],[Trenes Programados]]+SARM[[#This Row],[Trenes Programados]]+URQ[[#This Row],[Trenes Programados]]+ROCA[[#This Row],[Trenes Programados]]+SM[[#This Row],[Trenes Programados]]+BN[[#This Row],[Trenes Programados]]+BS[[#This Row],[Trenes Programados]]+TDC[[#This Row],[Trenes Programados]]</f>
        <v>67858</v>
      </c>
      <c r="I320" s="62">
        <f t="shared" si="23"/>
        <v>5068</v>
      </c>
      <c r="J320" s="62">
        <f>+MITRE[[#This Row],[Trenes Corridos]]+SARM[[#This Row],[Trenes Corridos]]+URQ[[#This Row],[Trenes Corridos]]+ROCA[[#This Row],[Trenes Corridos]]+SM[[#This Row],[Trenes Corridos]]+BN[[#This Row],[Trenes Corridos]]+BS[[#This Row],[Trenes Corridos]]+TDC[[#This Row],[Trenes Corridos]]</f>
        <v>62790</v>
      </c>
      <c r="K320" s="62">
        <f>+MITRE[[#This Row],[Trenes Puntuales]]+SARM[[#This Row],[Trenes Puntuales]]+URQ[[#This Row],[Trenes Puntuales]]+ROCA[[#This Row],[Trenes Puntuales]]+SM[[#This Row],[Trenes Puntuales]]+BN[[#This Row],[Trenes Puntuales]]+BS[[#This Row],[Trenes Puntuales]]+TDC[[#This Row],[Trenes Puntuales]]</f>
        <v>52549</v>
      </c>
      <c r="L320" s="62">
        <f t="shared" si="24"/>
        <v>10241</v>
      </c>
    </row>
    <row r="321" spans="1:12" s="18" customFormat="1" ht="15" customHeight="1">
      <c r="A321" s="18">
        <v>2019</v>
      </c>
      <c r="B321" s="18" t="s">
        <v>39</v>
      </c>
      <c r="C321" s="61">
        <f t="shared" si="20"/>
        <v>0.79526443503293187</v>
      </c>
      <c r="D321" s="61">
        <f t="shared" si="21"/>
        <v>0.8540098729465081</v>
      </c>
      <c r="E321" s="61">
        <f t="shared" si="22"/>
        <v>0.93121222625811995</v>
      </c>
      <c r="F32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1" s="62">
        <f>+MITRE[[#This Row],[Trenes Programados]]+SARM[[#This Row],[Trenes Programados]]+URQ[[#This Row],[Trenes Programados]]+ROCA[[#This Row],[Trenes Programados]]+SM[[#This Row],[Trenes Programados]]+BN[[#This Row],[Trenes Programados]]+BS[[#This Row],[Trenes Programados]]+TDC[[#This Row],[Trenes Programados]]</f>
        <v>66349</v>
      </c>
      <c r="I321" s="62">
        <f t="shared" si="23"/>
        <v>4564</v>
      </c>
      <c r="J321" s="62">
        <f>+MITRE[[#This Row],[Trenes Corridos]]+SARM[[#This Row],[Trenes Corridos]]+URQ[[#This Row],[Trenes Corridos]]+ROCA[[#This Row],[Trenes Corridos]]+SM[[#This Row],[Trenes Corridos]]+BN[[#This Row],[Trenes Corridos]]+BS[[#This Row],[Trenes Corridos]]+TDC[[#This Row],[Trenes Corridos]]</f>
        <v>61785</v>
      </c>
      <c r="K321" s="62">
        <f>+MITRE[[#This Row],[Trenes Puntuales]]+SARM[[#This Row],[Trenes Puntuales]]+URQ[[#This Row],[Trenes Puntuales]]+ROCA[[#This Row],[Trenes Puntuales]]+SM[[#This Row],[Trenes Puntuales]]+BN[[#This Row],[Trenes Puntuales]]+BS[[#This Row],[Trenes Puntuales]]+TDC[[#This Row],[Trenes Puntuales]]</f>
        <v>52765</v>
      </c>
      <c r="L321" s="62">
        <f t="shared" si="24"/>
        <v>9020</v>
      </c>
    </row>
    <row r="322" spans="1:12" s="18" customFormat="1" ht="15" customHeight="1">
      <c r="A322" s="18">
        <v>2019</v>
      </c>
      <c r="B322" s="18" t="s">
        <v>40</v>
      </c>
      <c r="C322" s="61">
        <f t="shared" si="20"/>
        <v>0.72953612300165982</v>
      </c>
      <c r="D322" s="61">
        <f t="shared" si="21"/>
        <v>0.81946193474527762</v>
      </c>
      <c r="E322" s="61">
        <f t="shared" si="22"/>
        <v>0.89026236859730357</v>
      </c>
      <c r="F32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2" s="62">
        <f>+MITRE[[#This Row],[Trenes Programados]]+SARM[[#This Row],[Trenes Programados]]+URQ[[#This Row],[Trenes Programados]]+ROCA[[#This Row],[Trenes Programados]]+SM[[#This Row],[Trenes Programados]]+BN[[#This Row],[Trenes Programados]]+BS[[#This Row],[Trenes Programados]]+TDC[[#This Row],[Trenes Programados]]</f>
        <v>68682</v>
      </c>
      <c r="I322" s="62">
        <f t="shared" si="23"/>
        <v>7537</v>
      </c>
      <c r="J322" s="62">
        <f>+MITRE[[#This Row],[Trenes Corridos]]+SARM[[#This Row],[Trenes Corridos]]+URQ[[#This Row],[Trenes Corridos]]+ROCA[[#This Row],[Trenes Corridos]]+SM[[#This Row],[Trenes Corridos]]+BN[[#This Row],[Trenes Corridos]]+BS[[#This Row],[Trenes Corridos]]+TDC[[#This Row],[Trenes Corridos]]</f>
        <v>61145</v>
      </c>
      <c r="K322" s="62">
        <f>+MITRE[[#This Row],[Trenes Puntuales]]+SARM[[#This Row],[Trenes Puntuales]]+URQ[[#This Row],[Trenes Puntuales]]+ROCA[[#This Row],[Trenes Puntuales]]+SM[[#This Row],[Trenes Puntuales]]+BN[[#This Row],[Trenes Puntuales]]+BS[[#This Row],[Trenes Puntuales]]+TDC[[#This Row],[Trenes Puntuales]]</f>
        <v>50106</v>
      </c>
      <c r="L322" s="62">
        <f t="shared" si="24"/>
        <v>11039</v>
      </c>
    </row>
    <row r="323" spans="1:12" s="18" customFormat="1" ht="15" customHeight="1">
      <c r="A323" s="18">
        <v>2019</v>
      </c>
      <c r="B323" s="18" t="s">
        <v>41</v>
      </c>
      <c r="C323" s="61">
        <f t="shared" si="20"/>
        <v>0.75207010334952062</v>
      </c>
      <c r="D323" s="61">
        <f t="shared" si="21"/>
        <v>0.81852215747391244</v>
      </c>
      <c r="E323" s="61">
        <f t="shared" si="22"/>
        <v>0.91881459345037975</v>
      </c>
      <c r="F32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3" s="62">
        <f>+MITRE[[#This Row],[Trenes Programados]]+SARM[[#This Row],[Trenes Programados]]+URQ[[#This Row],[Trenes Programados]]+ROCA[[#This Row],[Trenes Programados]]+SM[[#This Row],[Trenes Programados]]+BN[[#This Row],[Trenes Programados]]+BS[[#This Row],[Trenes Programados]]+TDC[[#This Row],[Trenes Programados]]</f>
        <v>64248</v>
      </c>
      <c r="I323" s="62">
        <f t="shared" si="23"/>
        <v>5216</v>
      </c>
      <c r="J323" s="62">
        <f>+MITRE[[#This Row],[Trenes Corridos]]+SARM[[#This Row],[Trenes Corridos]]+URQ[[#This Row],[Trenes Corridos]]+ROCA[[#This Row],[Trenes Corridos]]+SM[[#This Row],[Trenes Corridos]]+BN[[#This Row],[Trenes Corridos]]+BS[[#This Row],[Trenes Corridos]]+TDC[[#This Row],[Trenes Corridos]]</f>
        <v>59032</v>
      </c>
      <c r="K323" s="62">
        <f>+MITRE[[#This Row],[Trenes Puntuales]]+SARM[[#This Row],[Trenes Puntuales]]+URQ[[#This Row],[Trenes Puntuales]]+ROCA[[#This Row],[Trenes Puntuales]]+SM[[#This Row],[Trenes Puntuales]]+BN[[#This Row],[Trenes Puntuales]]+BS[[#This Row],[Trenes Puntuales]]+TDC[[#This Row],[Trenes Puntuales]]</f>
        <v>48319</v>
      </c>
      <c r="L323" s="62">
        <f t="shared" si="24"/>
        <v>10713</v>
      </c>
    </row>
    <row r="324" spans="1:12" s="18" customFormat="1" ht="15" customHeight="1">
      <c r="A324" s="18">
        <v>2019</v>
      </c>
      <c r="B324" s="18" t="s">
        <v>42</v>
      </c>
      <c r="C324" s="61">
        <f t="shared" si="20"/>
        <v>0.78714089883996874</v>
      </c>
      <c r="D324" s="61">
        <f t="shared" si="21"/>
        <v>0.84579809306598241</v>
      </c>
      <c r="E324" s="61">
        <f t="shared" si="22"/>
        <v>0.93064870362454488</v>
      </c>
      <c r="F32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2360</v>
      </c>
      <c r="G32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6.1609965472457153</v>
      </c>
      <c r="H324" s="62">
        <f>+MITRE[[#This Row],[Trenes Programados]]+SARM[[#This Row],[Trenes Programados]]+URQ[[#This Row],[Trenes Programados]]+ROCA[[#This Row],[Trenes Programados]]+SM[[#This Row],[Trenes Programados]]+BN[[#This Row],[Trenes Programados]]+BS[[#This Row],[Trenes Programados]]+TDC[[#This Row],[Trenes Programados]]</f>
        <v>67843</v>
      </c>
      <c r="I324" s="62">
        <f t="shared" si="23"/>
        <v>4705</v>
      </c>
      <c r="J324" s="62">
        <f>+MITRE[[#This Row],[Trenes Corridos]]+SARM[[#This Row],[Trenes Corridos]]+URQ[[#This Row],[Trenes Corridos]]+ROCA[[#This Row],[Trenes Corridos]]+SM[[#This Row],[Trenes Corridos]]+BN[[#This Row],[Trenes Corridos]]+BS[[#This Row],[Trenes Corridos]]+TDC[[#This Row],[Trenes Corridos]]</f>
        <v>63138</v>
      </c>
      <c r="K324" s="62">
        <f>+MITRE[[#This Row],[Trenes Puntuales]]+SARM[[#This Row],[Trenes Puntuales]]+URQ[[#This Row],[Trenes Puntuales]]+ROCA[[#This Row],[Trenes Puntuales]]+SM[[#This Row],[Trenes Puntuales]]+BN[[#This Row],[Trenes Puntuales]]+BS[[#This Row],[Trenes Puntuales]]+TDC[[#This Row],[Trenes Puntuales]]</f>
        <v>53402</v>
      </c>
      <c r="L324" s="62">
        <f t="shared" si="24"/>
        <v>9736</v>
      </c>
    </row>
    <row r="325" spans="1:12" s="18" customFormat="1" ht="15" customHeight="1">
      <c r="A325" s="18">
        <v>2019</v>
      </c>
      <c r="B325" s="18" t="s">
        <v>43</v>
      </c>
      <c r="C325" s="61">
        <f t="shared" si="20"/>
        <v>0.81781979616819811</v>
      </c>
      <c r="D325" s="61">
        <f t="shared" si="21"/>
        <v>0.86084891014096754</v>
      </c>
      <c r="E325" s="61">
        <f t="shared" si="22"/>
        <v>0.95001548649724932</v>
      </c>
      <c r="F32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2360</v>
      </c>
      <c r="G32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6.1183785630006833</v>
      </c>
      <c r="H325" s="62">
        <f>+MITRE[[#This Row],[Trenes Programados]]+SARM[[#This Row],[Trenes Programados]]+URQ[[#This Row],[Trenes Programados]]+ROCA[[#This Row],[Trenes Programados]]+SM[[#This Row],[Trenes Programados]]+BN[[#This Row],[Trenes Programados]]+BS[[#This Row],[Trenes Programados]]+TDC[[#This Row],[Trenes Programados]]</f>
        <v>67801</v>
      </c>
      <c r="I325" s="62">
        <f t="shared" si="23"/>
        <v>3389</v>
      </c>
      <c r="J325" s="62">
        <f>+MITRE[[#This Row],[Trenes Corridos]]+SARM[[#This Row],[Trenes Corridos]]+URQ[[#This Row],[Trenes Corridos]]+ROCA[[#This Row],[Trenes Corridos]]+SM[[#This Row],[Trenes Corridos]]+BN[[#This Row],[Trenes Corridos]]+BS[[#This Row],[Trenes Corridos]]+TDC[[#This Row],[Trenes Corridos]]</f>
        <v>64412</v>
      </c>
      <c r="K325" s="62">
        <f>+MITRE[[#This Row],[Trenes Puntuales]]+SARM[[#This Row],[Trenes Puntuales]]+URQ[[#This Row],[Trenes Puntuales]]+ROCA[[#This Row],[Trenes Puntuales]]+SM[[#This Row],[Trenes Puntuales]]+BN[[#This Row],[Trenes Puntuales]]+BS[[#This Row],[Trenes Puntuales]]+TDC[[#This Row],[Trenes Puntuales]]</f>
        <v>55449</v>
      </c>
      <c r="L325" s="62">
        <f t="shared" si="24"/>
        <v>8963</v>
      </c>
    </row>
    <row r="326" spans="1:12" s="18" customFormat="1" ht="15" customHeight="1">
      <c r="A326" s="18">
        <v>2019</v>
      </c>
      <c r="B326" s="18" t="s">
        <v>44</v>
      </c>
      <c r="C326" s="61">
        <f t="shared" si="20"/>
        <v>0.83236142748671227</v>
      </c>
      <c r="D326" s="61">
        <f t="shared" si="21"/>
        <v>0.87990432158222565</v>
      </c>
      <c r="E326" s="61">
        <f t="shared" si="22"/>
        <v>0.94596810933940778</v>
      </c>
      <c r="F32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2360</v>
      </c>
      <c r="G32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6.1476594105182043</v>
      </c>
      <c r="H326" s="62">
        <f>+MITRE[[#This Row],[Trenes Programados]]+SARM[[#This Row],[Trenes Programados]]+URQ[[#This Row],[Trenes Programados]]+ROCA[[#This Row],[Trenes Programados]]+SM[[#This Row],[Trenes Programados]]+BN[[#This Row],[Trenes Programados]]+BS[[#This Row],[Trenes Programados]]+TDC[[#This Row],[Trenes Programados]]</f>
        <v>65850</v>
      </c>
      <c r="I326" s="62">
        <f t="shared" si="23"/>
        <v>3558</v>
      </c>
      <c r="J326" s="62">
        <f>+MITRE[[#This Row],[Trenes Corridos]]+SARM[[#This Row],[Trenes Corridos]]+URQ[[#This Row],[Trenes Corridos]]+ROCA[[#This Row],[Trenes Corridos]]+SM[[#This Row],[Trenes Corridos]]+BN[[#This Row],[Trenes Corridos]]+BS[[#This Row],[Trenes Corridos]]+TDC[[#This Row],[Trenes Corridos]]</f>
        <v>62292</v>
      </c>
      <c r="K326" s="62">
        <f>+MITRE[[#This Row],[Trenes Puntuales]]+SARM[[#This Row],[Trenes Puntuales]]+URQ[[#This Row],[Trenes Puntuales]]+ROCA[[#This Row],[Trenes Puntuales]]+SM[[#This Row],[Trenes Puntuales]]+BN[[#This Row],[Trenes Puntuales]]+BS[[#This Row],[Trenes Puntuales]]+TDC[[#This Row],[Trenes Puntuales]]</f>
        <v>54811</v>
      </c>
      <c r="L326" s="62">
        <f t="shared" si="24"/>
        <v>7481</v>
      </c>
    </row>
    <row r="327" spans="1:12" s="18" customFormat="1" ht="15" customHeight="1">
      <c r="A327" s="18">
        <v>2019</v>
      </c>
      <c r="B327" s="18" t="s">
        <v>45</v>
      </c>
      <c r="C327" s="61">
        <f t="shared" ref="C327:C334" si="25">+K327/H327</f>
        <v>0.82173473425067045</v>
      </c>
      <c r="D327" s="61">
        <f t="shared" ref="D327:D334" si="26">+K327/J327</f>
        <v>0.87204528489674049</v>
      </c>
      <c r="E327" s="61">
        <f t="shared" ref="E327:E334" si="27">+J327/H327</f>
        <v>0.94230741050101841</v>
      </c>
      <c r="F32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2360</v>
      </c>
      <c r="G32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6.1577351331176908</v>
      </c>
      <c r="H327" s="62">
        <f>+MITRE[[#This Row],[Trenes Programados]]+SARM[[#This Row],[Trenes Programados]]+URQ[[#This Row],[Trenes Programados]]+ROCA[[#This Row],[Trenes Programados]]+SM[[#This Row],[Trenes Programados]]+BN[[#This Row],[Trenes Programados]]+BS[[#This Row],[Trenes Programados]]+TDC[[#This Row],[Trenes Programados]]</f>
        <v>68241</v>
      </c>
      <c r="I327" s="62">
        <f t="shared" ref="I327:I334" si="28">+H327-J327</f>
        <v>3937</v>
      </c>
      <c r="J327" s="62">
        <f>+MITRE[[#This Row],[Trenes Corridos]]+SARM[[#This Row],[Trenes Corridos]]+URQ[[#This Row],[Trenes Corridos]]+ROCA[[#This Row],[Trenes Corridos]]+SM[[#This Row],[Trenes Corridos]]+BN[[#This Row],[Trenes Corridos]]+BS[[#This Row],[Trenes Corridos]]+TDC[[#This Row],[Trenes Corridos]]</f>
        <v>64304</v>
      </c>
      <c r="K327" s="62">
        <f>+MITRE[[#This Row],[Trenes Puntuales]]+SARM[[#This Row],[Trenes Puntuales]]+URQ[[#This Row],[Trenes Puntuales]]+ROCA[[#This Row],[Trenes Puntuales]]+SM[[#This Row],[Trenes Puntuales]]+BN[[#This Row],[Trenes Puntuales]]+BS[[#This Row],[Trenes Puntuales]]+TDC[[#This Row],[Trenes Puntuales]]</f>
        <v>56076</v>
      </c>
      <c r="L327" s="62">
        <f t="shared" ref="L327:L334" si="29">+J327-K327</f>
        <v>8228</v>
      </c>
    </row>
    <row r="328" spans="1:12" s="18" customFormat="1" ht="15" customHeight="1">
      <c r="A328" s="18">
        <v>2019</v>
      </c>
      <c r="B328" s="18" t="s">
        <v>46</v>
      </c>
      <c r="C328" s="61">
        <f t="shared" si="25"/>
        <v>0.80238456066557384</v>
      </c>
      <c r="D328" s="61">
        <f t="shared" si="26"/>
        <v>0.86589456469135395</v>
      </c>
      <c r="E328" s="61">
        <f t="shared" si="27"/>
        <v>0.92665388302972196</v>
      </c>
      <c r="F32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2340</v>
      </c>
      <c r="G32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6.1767101113095135</v>
      </c>
      <c r="H328" s="62">
        <f>+MITRE[[#This Row],[Trenes Programados]]+SARM[[#This Row],[Trenes Programados]]+URQ[[#This Row],[Trenes Programados]]+ROCA[[#This Row],[Trenes Programados]]+SM[[#This Row],[Trenes Programados]]+BN[[#This Row],[Trenes Programados]]+BS[[#This Row],[Trenes Programados]]+TDC[[#This Row],[Trenes Programados]]</f>
        <v>64666</v>
      </c>
      <c r="I328" s="62">
        <f t="shared" si="28"/>
        <v>4743</v>
      </c>
      <c r="J328" s="62">
        <f>+MITRE[[#This Row],[Trenes Corridos]]+SARM[[#This Row],[Trenes Corridos]]+URQ[[#This Row],[Trenes Corridos]]+ROCA[[#This Row],[Trenes Corridos]]+SM[[#This Row],[Trenes Corridos]]+BN[[#This Row],[Trenes Corridos]]+BS[[#This Row],[Trenes Corridos]]+TDC[[#This Row],[Trenes Corridos]]</f>
        <v>59923</v>
      </c>
      <c r="K328" s="62">
        <f>+MITRE[[#This Row],[Trenes Puntuales]]+SARM[[#This Row],[Trenes Puntuales]]+URQ[[#This Row],[Trenes Puntuales]]+ROCA[[#This Row],[Trenes Puntuales]]+SM[[#This Row],[Trenes Puntuales]]+BN[[#This Row],[Trenes Puntuales]]+BS[[#This Row],[Trenes Puntuales]]+TDC[[#This Row],[Trenes Puntuales]]</f>
        <v>51887</v>
      </c>
      <c r="L328" s="62">
        <f t="shared" si="29"/>
        <v>8036</v>
      </c>
    </row>
    <row r="329" spans="1:12" s="18" customFormat="1" ht="15" customHeight="1">
      <c r="A329" s="18">
        <v>2019</v>
      </c>
      <c r="B329" s="18" t="s">
        <v>47</v>
      </c>
      <c r="C329" s="61">
        <f t="shared" si="25"/>
        <v>0.81849216779202727</v>
      </c>
      <c r="D329" s="61">
        <f t="shared" si="26"/>
        <v>0.87276915147219891</v>
      </c>
      <c r="E329" s="61">
        <f t="shared" si="27"/>
        <v>0.93781060709052733</v>
      </c>
      <c r="F32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2383</v>
      </c>
      <c r="G32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6.1520359512917979</v>
      </c>
      <c r="H329" s="62">
        <f>+MITRE[[#This Row],[Trenes Programados]]+SARM[[#This Row],[Trenes Programados]]+URQ[[#This Row],[Trenes Programados]]+ROCA[[#This Row],[Trenes Programados]]+SM[[#This Row],[Trenes Programados]]+BN[[#This Row],[Trenes Programados]]+BS[[#This Row],[Trenes Programados]]+TDC[[#This Row],[Trenes Programados]]</f>
        <v>66201</v>
      </c>
      <c r="I329" s="62">
        <f t="shared" si="28"/>
        <v>4117</v>
      </c>
      <c r="J329" s="62">
        <f>+MITRE[[#This Row],[Trenes Corridos]]+SARM[[#This Row],[Trenes Corridos]]+URQ[[#This Row],[Trenes Corridos]]+ROCA[[#This Row],[Trenes Corridos]]+SM[[#This Row],[Trenes Corridos]]+BN[[#This Row],[Trenes Corridos]]+BS[[#This Row],[Trenes Corridos]]+TDC[[#This Row],[Trenes Corridos]]</f>
        <v>62084</v>
      </c>
      <c r="K329" s="62">
        <f>+MITRE[[#This Row],[Trenes Puntuales]]+SARM[[#This Row],[Trenes Puntuales]]+URQ[[#This Row],[Trenes Puntuales]]+ROCA[[#This Row],[Trenes Puntuales]]+SM[[#This Row],[Trenes Puntuales]]+BN[[#This Row],[Trenes Puntuales]]+BS[[#This Row],[Trenes Puntuales]]+TDC[[#This Row],[Trenes Puntuales]]</f>
        <v>54185</v>
      </c>
      <c r="L329" s="62">
        <f t="shared" si="29"/>
        <v>7899</v>
      </c>
    </row>
    <row r="330" spans="1:12" s="18" customFormat="1" ht="15" customHeight="1">
      <c r="A330" s="18">
        <v>2020</v>
      </c>
      <c r="B330" s="18" t="s">
        <v>36</v>
      </c>
      <c r="C330" s="61">
        <f t="shared" si="25"/>
        <v>0.87300753196706959</v>
      </c>
      <c r="D330" s="61">
        <f t="shared" si="26"/>
        <v>0.90332130072950811</v>
      </c>
      <c r="E330" s="61">
        <f t="shared" si="27"/>
        <v>0.96644187540141302</v>
      </c>
      <c r="F33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2383</v>
      </c>
      <c r="G33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6.1716382969082755</v>
      </c>
      <c r="H330" s="62">
        <f>+MITRE[[#This Row],[Trenes Programados]]+SARM[[#This Row],[Trenes Programados]]+URQ[[#This Row],[Trenes Programados]]+ROCA[[#This Row],[Trenes Programados]]+SM[[#This Row],[Trenes Programados]]+BN[[#This Row],[Trenes Programados]]+BS[[#This Row],[Trenes Programados]]+TDC[[#This Row],[Trenes Programados]]</f>
        <v>68508</v>
      </c>
      <c r="I330" s="62">
        <f t="shared" si="28"/>
        <v>2299</v>
      </c>
      <c r="J330" s="62">
        <f>+MITRE[[#This Row],[Trenes Corridos]]+SARM[[#This Row],[Trenes Corridos]]+URQ[[#This Row],[Trenes Corridos]]+ROCA[[#This Row],[Trenes Corridos]]+SM[[#This Row],[Trenes Corridos]]+BN[[#This Row],[Trenes Corridos]]+BS[[#This Row],[Trenes Corridos]]+TDC[[#This Row],[Trenes Corridos]]</f>
        <v>66209</v>
      </c>
      <c r="K330" s="62">
        <f>+MITRE[[#This Row],[Trenes Puntuales]]+SARM[[#This Row],[Trenes Puntuales]]+URQ[[#This Row],[Trenes Puntuales]]+ROCA[[#This Row],[Trenes Puntuales]]+SM[[#This Row],[Trenes Puntuales]]+BN[[#This Row],[Trenes Puntuales]]+BS[[#This Row],[Trenes Puntuales]]+TDC[[#This Row],[Trenes Puntuales]]</f>
        <v>59808</v>
      </c>
      <c r="L330" s="62">
        <f t="shared" si="29"/>
        <v>6401</v>
      </c>
    </row>
    <row r="331" spans="1:12" s="18" customFormat="1" ht="15" customHeight="1">
      <c r="A331" s="18">
        <v>2020</v>
      </c>
      <c r="B331" s="18" t="s">
        <v>37</v>
      </c>
      <c r="C331" s="61">
        <f t="shared" si="25"/>
        <v>0.85458390745666035</v>
      </c>
      <c r="D331" s="61">
        <f t="shared" si="26"/>
        <v>0.89171612471788009</v>
      </c>
      <c r="E331" s="61">
        <f t="shared" si="27"/>
        <v>0.958358701573365</v>
      </c>
      <c r="F33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2383</v>
      </c>
      <c r="G33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6.1722812003678005</v>
      </c>
      <c r="H331" s="62">
        <f>+MITRE[[#This Row],[Trenes Programados]]+SARM[[#This Row],[Trenes Programados]]+URQ[[#This Row],[Trenes Programados]]+ROCA[[#This Row],[Trenes Programados]]+SM[[#This Row],[Trenes Programados]]+BN[[#This Row],[Trenes Programados]]+BS[[#This Row],[Trenes Programados]]+TDC[[#This Row],[Trenes Programados]]</f>
        <v>62414</v>
      </c>
      <c r="I331" s="62">
        <f t="shared" si="28"/>
        <v>2599</v>
      </c>
      <c r="J331" s="62">
        <f>+MITRE[[#This Row],[Trenes Corridos]]+SARM[[#This Row],[Trenes Corridos]]+URQ[[#This Row],[Trenes Corridos]]+ROCA[[#This Row],[Trenes Corridos]]+SM[[#This Row],[Trenes Corridos]]+BN[[#This Row],[Trenes Corridos]]+BS[[#This Row],[Trenes Corridos]]+TDC[[#This Row],[Trenes Corridos]]</f>
        <v>59815</v>
      </c>
      <c r="K331" s="62">
        <f>+MITRE[[#This Row],[Trenes Puntuales]]+SARM[[#This Row],[Trenes Puntuales]]+URQ[[#This Row],[Trenes Puntuales]]+ROCA[[#This Row],[Trenes Puntuales]]+SM[[#This Row],[Trenes Puntuales]]+BN[[#This Row],[Trenes Puntuales]]+BS[[#This Row],[Trenes Puntuales]]+TDC[[#This Row],[Trenes Puntuales]]</f>
        <v>53338</v>
      </c>
      <c r="L331" s="62">
        <f t="shared" si="29"/>
        <v>6477</v>
      </c>
    </row>
    <row r="332" spans="1:12" s="18" customFormat="1" ht="15" customHeight="1">
      <c r="A332" s="18">
        <v>2020</v>
      </c>
      <c r="B332" s="18" t="s">
        <v>38</v>
      </c>
      <c r="C332" s="61">
        <f t="shared" si="25"/>
        <v>0.74980983451376804</v>
      </c>
      <c r="D332" s="61">
        <f t="shared" si="26"/>
        <v>0.8791770721845642</v>
      </c>
      <c r="E332" s="61">
        <f t="shared" si="27"/>
        <v>0.85285417265335794</v>
      </c>
      <c r="F33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2383</v>
      </c>
      <c r="G33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6.1396519602013715</v>
      </c>
      <c r="H332" s="62">
        <f>+MITRE[[#This Row],[Trenes Programados]]+SARM[[#This Row],[Trenes Programados]]+URQ[[#This Row],[Trenes Programados]]+ROCA[[#This Row],[Trenes Programados]]+SM[[#This Row],[Trenes Programados]]+BN[[#This Row],[Trenes Programados]]+BS[[#This Row],[Trenes Programados]]+TDC[[#This Row],[Trenes Programados]]</f>
        <v>59159</v>
      </c>
      <c r="I332" s="62">
        <f t="shared" si="28"/>
        <v>8705</v>
      </c>
      <c r="J332" s="62">
        <f>+MITRE[[#This Row],[Trenes Corridos]]+SARM[[#This Row],[Trenes Corridos]]+URQ[[#This Row],[Trenes Corridos]]+ROCA[[#This Row],[Trenes Corridos]]+SM[[#This Row],[Trenes Corridos]]+BN[[#This Row],[Trenes Corridos]]+BS[[#This Row],[Trenes Corridos]]+TDC[[#This Row],[Trenes Corridos]]</f>
        <v>50454</v>
      </c>
      <c r="K332" s="62">
        <f>+MITRE[[#This Row],[Trenes Puntuales]]+SARM[[#This Row],[Trenes Puntuales]]+URQ[[#This Row],[Trenes Puntuales]]+ROCA[[#This Row],[Trenes Puntuales]]+SM[[#This Row],[Trenes Puntuales]]+BN[[#This Row],[Trenes Puntuales]]+BS[[#This Row],[Trenes Puntuales]]+TDC[[#This Row],[Trenes Puntuales]]</f>
        <v>44358</v>
      </c>
      <c r="L332" s="62">
        <f t="shared" si="29"/>
        <v>6096</v>
      </c>
    </row>
    <row r="333" spans="1:12" s="18" customFormat="1" ht="15" customHeight="1">
      <c r="A333" s="18">
        <v>2020</v>
      </c>
      <c r="B333" s="18" t="s">
        <v>39</v>
      </c>
      <c r="C333" s="61">
        <f t="shared" si="25"/>
        <v>0.78375725503584837</v>
      </c>
      <c r="D333" s="61">
        <f t="shared" si="26"/>
        <v>0.93641647970630226</v>
      </c>
      <c r="E333" s="61">
        <f t="shared" si="27"/>
        <v>0.83697507681802663</v>
      </c>
      <c r="F33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2333</v>
      </c>
      <c r="G33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6.3798439730777075</v>
      </c>
      <c r="H333" s="62">
        <f>+MITRE[[#This Row],[Trenes Programados]]+SARM[[#This Row],[Trenes Programados]]+URQ[[#This Row],[Trenes Programados]]+ROCA[[#This Row],[Trenes Programados]]+SM[[#This Row],[Trenes Programados]]+BN[[#This Row],[Trenes Programados]]+BS[[#This Row],[Trenes Programados]]+TDC[[#This Row],[Trenes Programados]]</f>
        <v>46864</v>
      </c>
      <c r="I333" s="62">
        <f t="shared" si="28"/>
        <v>7640</v>
      </c>
      <c r="J333" s="62">
        <f>+MITRE[[#This Row],[Trenes Corridos]]+SARM[[#This Row],[Trenes Corridos]]+URQ[[#This Row],[Trenes Corridos]]+ROCA[[#This Row],[Trenes Corridos]]+SM[[#This Row],[Trenes Corridos]]+BN[[#This Row],[Trenes Corridos]]+BS[[#This Row],[Trenes Corridos]]+TDC[[#This Row],[Trenes Corridos]]</f>
        <v>39224</v>
      </c>
      <c r="K333" s="62">
        <f>+MITRE[[#This Row],[Trenes Puntuales]]+SARM[[#This Row],[Trenes Puntuales]]+URQ[[#This Row],[Trenes Puntuales]]+ROCA[[#This Row],[Trenes Puntuales]]+SM[[#This Row],[Trenes Puntuales]]+BN[[#This Row],[Trenes Puntuales]]+BS[[#This Row],[Trenes Puntuales]]+TDC[[#This Row],[Trenes Puntuales]]</f>
        <v>36730</v>
      </c>
      <c r="L333" s="62">
        <f t="shared" si="29"/>
        <v>2494</v>
      </c>
    </row>
    <row r="334" spans="1:12" s="18" customFormat="1" ht="15" customHeight="1">
      <c r="A334" s="18">
        <v>2020</v>
      </c>
      <c r="B334" s="18" t="s">
        <v>40</v>
      </c>
      <c r="C334" s="61">
        <f t="shared" si="25"/>
        <v>0.83630924903521242</v>
      </c>
      <c r="D334" s="61">
        <f t="shared" si="26"/>
        <v>0.94395698297242658</v>
      </c>
      <c r="E334" s="61">
        <f t="shared" si="27"/>
        <v>0.88596118691951176</v>
      </c>
      <c r="F33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2325</v>
      </c>
      <c r="G33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6.5469873491590418</v>
      </c>
      <c r="H334" s="62">
        <f>+MITRE[[#This Row],[Trenes Programados]]+SARM[[#This Row],[Trenes Programados]]+URQ[[#This Row],[Trenes Programados]]+ROCA[[#This Row],[Trenes Programados]]+SM[[#This Row],[Trenes Programados]]+BN[[#This Row],[Trenes Programados]]+BS[[#This Row],[Trenes Programados]]+TDC[[#This Row],[Trenes Programados]]</f>
        <v>54157</v>
      </c>
      <c r="I334" s="62">
        <f t="shared" si="28"/>
        <v>6176</v>
      </c>
      <c r="J334" s="62">
        <f>+MITRE[[#This Row],[Trenes Corridos]]+SARM[[#This Row],[Trenes Corridos]]+URQ[[#This Row],[Trenes Corridos]]+ROCA[[#This Row],[Trenes Corridos]]+SM[[#This Row],[Trenes Corridos]]+BN[[#This Row],[Trenes Corridos]]+BS[[#This Row],[Trenes Corridos]]+TDC[[#This Row],[Trenes Corridos]]</f>
        <v>47981</v>
      </c>
      <c r="K334" s="62">
        <f>+MITRE[[#This Row],[Trenes Puntuales]]+SARM[[#This Row],[Trenes Puntuales]]+URQ[[#This Row],[Trenes Puntuales]]+ROCA[[#This Row],[Trenes Puntuales]]+SM[[#This Row],[Trenes Puntuales]]+BN[[#This Row],[Trenes Puntuales]]+BS[[#This Row],[Trenes Puntuales]]+TDC[[#This Row],[Trenes Puntuales]]</f>
        <v>45292</v>
      </c>
      <c r="L334" s="62">
        <f t="shared" si="29"/>
        <v>2689</v>
      </c>
    </row>
    <row r="335" spans="1:12" s="18" customFormat="1" ht="15" customHeight="1">
      <c r="A335" s="18">
        <v>2020</v>
      </c>
      <c r="B335" s="18" t="s">
        <v>41</v>
      </c>
      <c r="C335" s="61">
        <f t="shared" ref="C335:C365" si="30">+K335/H335</f>
        <v>0.85221123686189626</v>
      </c>
      <c r="D335" s="61">
        <f t="shared" ref="D335:D365" si="31">+K335/J335</f>
        <v>0.94849233407508726</v>
      </c>
      <c r="E335" s="61">
        <f t="shared" ref="E335:E365" si="32">+J335/H335</f>
        <v>0.89849037914778873</v>
      </c>
      <c r="F33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2325</v>
      </c>
      <c r="G33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6.5095237123083516</v>
      </c>
      <c r="H335" s="62">
        <f>+MITRE[[#This Row],[Trenes Programados]]+SARM[[#This Row],[Trenes Programados]]+URQ[[#This Row],[Trenes Programados]]+ROCA[[#This Row],[Trenes Programados]]+SM[[#This Row],[Trenes Programados]]+BN[[#This Row],[Trenes Programados]]+BS[[#This Row],[Trenes Programados]]+TDC[[#This Row],[Trenes Programados]]</f>
        <v>54517</v>
      </c>
      <c r="I335" s="62">
        <f t="shared" ref="I335:I365" si="33">+H335-J335</f>
        <v>5534</v>
      </c>
      <c r="J335" s="62">
        <f>+MITRE[[#This Row],[Trenes Corridos]]+SARM[[#This Row],[Trenes Corridos]]+URQ[[#This Row],[Trenes Corridos]]+ROCA[[#This Row],[Trenes Corridos]]+SM[[#This Row],[Trenes Corridos]]+BN[[#This Row],[Trenes Corridos]]+BS[[#This Row],[Trenes Corridos]]+TDC[[#This Row],[Trenes Corridos]]</f>
        <v>48983</v>
      </c>
      <c r="K335" s="62">
        <f>+MITRE[[#This Row],[Trenes Puntuales]]+SARM[[#This Row],[Trenes Puntuales]]+URQ[[#This Row],[Trenes Puntuales]]+ROCA[[#This Row],[Trenes Puntuales]]+SM[[#This Row],[Trenes Puntuales]]+BN[[#This Row],[Trenes Puntuales]]+BS[[#This Row],[Trenes Puntuales]]+TDC[[#This Row],[Trenes Puntuales]]</f>
        <v>46460</v>
      </c>
      <c r="L335" s="62">
        <f t="shared" ref="L335:L365" si="34">+J335-K335</f>
        <v>2523</v>
      </c>
    </row>
    <row r="336" spans="1:12" s="18" customFormat="1" ht="15" customHeight="1">
      <c r="A336" s="18">
        <v>2020</v>
      </c>
      <c r="B336" s="18" t="s">
        <v>42</v>
      </c>
      <c r="C336" s="61">
        <f t="shared" si="30"/>
        <v>0.81645592550994528</v>
      </c>
      <c r="D336" s="61">
        <f t="shared" si="31"/>
        <v>0.95463017876810985</v>
      </c>
      <c r="E336" s="61">
        <f t="shared" si="32"/>
        <v>0.85525886743233936</v>
      </c>
      <c r="F33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2325</v>
      </c>
      <c r="G33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6.4585274930102514</v>
      </c>
      <c r="H336" s="62">
        <f>+MITRE[[#This Row],[Trenes Programados]]+SARM[[#This Row],[Trenes Programados]]+URQ[[#This Row],[Trenes Programados]]+ROCA[[#This Row],[Trenes Programados]]+SM[[#This Row],[Trenes Programados]]+BN[[#This Row],[Trenes Programados]]+BS[[#This Row],[Trenes Programados]]+TDC[[#This Row],[Trenes Programados]]</f>
        <v>55202</v>
      </c>
      <c r="I336" s="62">
        <f t="shared" si="33"/>
        <v>7990</v>
      </c>
      <c r="J336" s="62">
        <f>+MITRE[[#This Row],[Trenes Corridos]]+SARM[[#This Row],[Trenes Corridos]]+URQ[[#This Row],[Trenes Corridos]]+ROCA[[#This Row],[Trenes Corridos]]+SM[[#This Row],[Trenes Corridos]]+BN[[#This Row],[Trenes Corridos]]+BS[[#This Row],[Trenes Corridos]]+TDC[[#This Row],[Trenes Corridos]]</f>
        <v>47212</v>
      </c>
      <c r="K336" s="62">
        <f>+MITRE[[#This Row],[Trenes Puntuales]]+SARM[[#This Row],[Trenes Puntuales]]+URQ[[#This Row],[Trenes Puntuales]]+ROCA[[#This Row],[Trenes Puntuales]]+SM[[#This Row],[Trenes Puntuales]]+BN[[#This Row],[Trenes Puntuales]]+BS[[#This Row],[Trenes Puntuales]]+TDC[[#This Row],[Trenes Puntuales]]</f>
        <v>45070</v>
      </c>
      <c r="L336" s="62">
        <f t="shared" si="34"/>
        <v>2142</v>
      </c>
    </row>
    <row r="337" spans="1:16" s="18" customFormat="1" ht="15" customHeight="1">
      <c r="A337" s="18">
        <v>2020</v>
      </c>
      <c r="B337" s="18" t="s">
        <v>43</v>
      </c>
      <c r="C337" s="61">
        <f t="shared" si="30"/>
        <v>0.83543743895022027</v>
      </c>
      <c r="D337" s="61">
        <f t="shared" si="31"/>
        <v>0.95681357649442755</v>
      </c>
      <c r="E337" s="61">
        <f t="shared" si="32"/>
        <v>0.87314546895445921</v>
      </c>
      <c r="F33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2325</v>
      </c>
      <c r="G33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6.4586077338736914</v>
      </c>
      <c r="H337" s="62">
        <f>+MITRE[[#This Row],[Trenes Programados]]+SARM[[#This Row],[Trenes Programados]]+URQ[[#This Row],[Trenes Programados]]+ROCA[[#This Row],[Trenes Programados]]+SM[[#This Row],[Trenes Programados]]+BN[[#This Row],[Trenes Programados]]+BS[[#This Row],[Trenes Programados]]+TDC[[#This Row],[Trenes Programados]]</f>
        <v>54259</v>
      </c>
      <c r="I337" s="62">
        <f t="shared" si="33"/>
        <v>6883</v>
      </c>
      <c r="J337" s="62">
        <f>+MITRE[[#This Row],[Trenes Corridos]]+SARM[[#This Row],[Trenes Corridos]]+URQ[[#This Row],[Trenes Corridos]]+ROCA[[#This Row],[Trenes Corridos]]+SM[[#This Row],[Trenes Corridos]]+BN[[#This Row],[Trenes Corridos]]+BS[[#This Row],[Trenes Corridos]]+TDC[[#This Row],[Trenes Corridos]]</f>
        <v>47376</v>
      </c>
      <c r="K337" s="62">
        <f>+MITRE[[#This Row],[Trenes Puntuales]]+SARM[[#This Row],[Trenes Puntuales]]+URQ[[#This Row],[Trenes Puntuales]]+ROCA[[#This Row],[Trenes Puntuales]]+SM[[#This Row],[Trenes Puntuales]]+BN[[#This Row],[Trenes Puntuales]]+BS[[#This Row],[Trenes Puntuales]]+TDC[[#This Row],[Trenes Puntuales]]</f>
        <v>45330</v>
      </c>
      <c r="L337" s="62">
        <f t="shared" si="34"/>
        <v>2046</v>
      </c>
    </row>
    <row r="338" spans="1:16" s="18" customFormat="1" ht="15" customHeight="1">
      <c r="A338" s="18">
        <v>2020</v>
      </c>
      <c r="B338" s="18" t="s">
        <v>44</v>
      </c>
      <c r="C338" s="61">
        <f t="shared" si="30"/>
        <v>0.83295380912709438</v>
      </c>
      <c r="D338" s="61">
        <f t="shared" si="31"/>
        <v>0.94190549961270331</v>
      </c>
      <c r="E338" s="61">
        <f t="shared" si="32"/>
        <v>0.88432842728871608</v>
      </c>
      <c r="F33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2325</v>
      </c>
      <c r="G33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6.5079238805032764</v>
      </c>
      <c r="H338" s="62">
        <f>+MITRE[[#This Row],[Trenes Programados]]+SARM[[#This Row],[Trenes Programados]]+URQ[[#This Row],[Trenes Programados]]+ROCA[[#This Row],[Trenes Programados]]+SM[[#This Row],[Trenes Programados]]+BN[[#This Row],[Trenes Programados]]+BS[[#This Row],[Trenes Programados]]+TDC[[#This Row],[Trenes Programados]]</f>
        <v>54015</v>
      </c>
      <c r="I338" s="62">
        <f t="shared" si="33"/>
        <v>6248</v>
      </c>
      <c r="J338" s="62">
        <f>+MITRE[[#This Row],[Trenes Corridos]]+SARM[[#This Row],[Trenes Corridos]]+URQ[[#This Row],[Trenes Corridos]]+ROCA[[#This Row],[Trenes Corridos]]+SM[[#This Row],[Trenes Corridos]]+BN[[#This Row],[Trenes Corridos]]+BS[[#This Row],[Trenes Corridos]]+TDC[[#This Row],[Trenes Corridos]]</f>
        <v>47767</v>
      </c>
      <c r="K338" s="62">
        <f>+MITRE[[#This Row],[Trenes Puntuales]]+SARM[[#This Row],[Trenes Puntuales]]+URQ[[#This Row],[Trenes Puntuales]]+ROCA[[#This Row],[Trenes Puntuales]]+SM[[#This Row],[Trenes Puntuales]]+BN[[#This Row],[Trenes Puntuales]]+BS[[#This Row],[Trenes Puntuales]]+TDC[[#This Row],[Trenes Puntuales]]</f>
        <v>44992</v>
      </c>
      <c r="L338" s="62">
        <f t="shared" si="34"/>
        <v>2775</v>
      </c>
    </row>
    <row r="339" spans="1:16" s="18" customFormat="1" ht="15" customHeight="1">
      <c r="A339" s="18">
        <v>2020</v>
      </c>
      <c r="B339" s="18" t="s">
        <v>45</v>
      </c>
      <c r="C339" s="61">
        <f t="shared" si="30"/>
        <v>0.82625193833804611</v>
      </c>
      <c r="D339" s="61">
        <f t="shared" si="31"/>
        <v>0.93241240169638073</v>
      </c>
      <c r="E339" s="61">
        <f t="shared" si="32"/>
        <v>0.88614430356654206</v>
      </c>
      <c r="F33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2254</v>
      </c>
      <c r="G33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6.4852801910487088</v>
      </c>
      <c r="H339" s="62">
        <f>+MITRE[[#This Row],[Trenes Programados]]+SARM[[#This Row],[Trenes Programados]]+URQ[[#This Row],[Trenes Programados]]+ROCA[[#This Row],[Trenes Programados]]+SM[[#This Row],[Trenes Programados]]+BN[[#This Row],[Trenes Programados]]+BS[[#This Row],[Trenes Programados]]+TDC[[#This Row],[Trenes Programados]]</f>
        <v>54815</v>
      </c>
      <c r="I339" s="62">
        <f t="shared" si="33"/>
        <v>6241</v>
      </c>
      <c r="J339" s="62">
        <f>+MITRE[[#This Row],[Trenes Corridos]]+SARM[[#This Row],[Trenes Corridos]]+URQ[[#This Row],[Trenes Corridos]]+ROCA[[#This Row],[Trenes Corridos]]+SM[[#This Row],[Trenes Corridos]]+BN[[#This Row],[Trenes Corridos]]+BS[[#This Row],[Trenes Corridos]]+TDC[[#This Row],[Trenes Corridos]]</f>
        <v>48574</v>
      </c>
      <c r="K339" s="62">
        <f>+MITRE[[#This Row],[Trenes Puntuales]]+SARM[[#This Row],[Trenes Puntuales]]+URQ[[#This Row],[Trenes Puntuales]]+ROCA[[#This Row],[Trenes Puntuales]]+SM[[#This Row],[Trenes Puntuales]]+BN[[#This Row],[Trenes Puntuales]]+BS[[#This Row],[Trenes Puntuales]]+TDC[[#This Row],[Trenes Puntuales]]</f>
        <v>45291</v>
      </c>
      <c r="L339" s="62">
        <f t="shared" si="34"/>
        <v>3283</v>
      </c>
    </row>
    <row r="340" spans="1:16" s="18" customFormat="1" ht="15" customHeight="1">
      <c r="A340" s="18">
        <v>2020</v>
      </c>
      <c r="B340" s="18" t="s">
        <v>46</v>
      </c>
      <c r="C340" s="61">
        <f t="shared" si="30"/>
        <v>0.81478171585031944</v>
      </c>
      <c r="D340" s="61">
        <f t="shared" si="31"/>
        <v>0.92861631812764112</v>
      </c>
      <c r="E340" s="61">
        <f t="shared" si="32"/>
        <v>0.8774148159415881</v>
      </c>
      <c r="F34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2254</v>
      </c>
      <c r="G34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6.4500379239354206</v>
      </c>
      <c r="H340" s="62">
        <f>+MITRE[[#This Row],[Trenes Programados]]+SARM[[#This Row],[Trenes Programados]]+URQ[[#This Row],[Trenes Programados]]+ROCA[[#This Row],[Trenes Programados]]+SM[[#This Row],[Trenes Programados]]+BN[[#This Row],[Trenes Programados]]+BS[[#This Row],[Trenes Programados]]+TDC[[#This Row],[Trenes Programados]]</f>
        <v>52592</v>
      </c>
      <c r="I340" s="62">
        <f t="shared" si="33"/>
        <v>6447</v>
      </c>
      <c r="J340" s="62">
        <f>+MITRE[[#This Row],[Trenes Corridos]]+SARM[[#This Row],[Trenes Corridos]]+URQ[[#This Row],[Trenes Corridos]]+ROCA[[#This Row],[Trenes Corridos]]+SM[[#This Row],[Trenes Corridos]]+BN[[#This Row],[Trenes Corridos]]+BS[[#This Row],[Trenes Corridos]]+TDC[[#This Row],[Trenes Corridos]]</f>
        <v>46145</v>
      </c>
      <c r="K340" s="62">
        <f>+MITRE[[#This Row],[Trenes Puntuales]]+SARM[[#This Row],[Trenes Puntuales]]+URQ[[#This Row],[Trenes Puntuales]]+ROCA[[#This Row],[Trenes Puntuales]]+SM[[#This Row],[Trenes Puntuales]]+BN[[#This Row],[Trenes Puntuales]]+BS[[#This Row],[Trenes Puntuales]]+TDC[[#This Row],[Trenes Puntuales]]</f>
        <v>42851</v>
      </c>
      <c r="L340" s="62">
        <f t="shared" si="34"/>
        <v>3294</v>
      </c>
    </row>
    <row r="341" spans="1:16" s="18" customFormat="1" ht="15" customHeight="1">
      <c r="A341" s="18">
        <v>2020</v>
      </c>
      <c r="B341" s="18" t="s">
        <v>47</v>
      </c>
      <c r="C341" s="61">
        <f t="shared" si="30"/>
        <v>0.78969771164893121</v>
      </c>
      <c r="D341" s="61">
        <f t="shared" si="31"/>
        <v>0.90342806662213704</v>
      </c>
      <c r="E341" s="61">
        <f t="shared" si="32"/>
        <v>0.87411243996609855</v>
      </c>
      <c r="F34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2260</v>
      </c>
      <c r="G34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6.4013272715520024</v>
      </c>
      <c r="H341" s="62">
        <f>+MITRE[[#This Row],[Trenes Programados]]+SARM[[#This Row],[Trenes Programados]]+URQ[[#This Row],[Trenes Programados]]+ROCA[[#This Row],[Trenes Programados]]+SM[[#This Row],[Trenes Programados]]+BN[[#This Row],[Trenes Programados]]+BS[[#This Row],[Trenes Programados]]+TDC[[#This Row],[Trenes Programados]]</f>
        <v>53095</v>
      </c>
      <c r="I341" s="62">
        <f t="shared" si="33"/>
        <v>6684</v>
      </c>
      <c r="J341" s="62">
        <f>+MITRE[[#This Row],[Trenes Corridos]]+SARM[[#This Row],[Trenes Corridos]]+URQ[[#This Row],[Trenes Corridos]]+ROCA[[#This Row],[Trenes Corridos]]+SM[[#This Row],[Trenes Corridos]]+BN[[#This Row],[Trenes Corridos]]+BS[[#This Row],[Trenes Corridos]]+TDC[[#This Row],[Trenes Corridos]]</f>
        <v>46411</v>
      </c>
      <c r="K341" s="62">
        <f>+MITRE[[#This Row],[Trenes Puntuales]]+SARM[[#This Row],[Trenes Puntuales]]+URQ[[#This Row],[Trenes Puntuales]]+ROCA[[#This Row],[Trenes Puntuales]]+SM[[#This Row],[Trenes Puntuales]]+BN[[#This Row],[Trenes Puntuales]]+BS[[#This Row],[Trenes Puntuales]]+TDC[[#This Row],[Trenes Puntuales]]</f>
        <v>41929</v>
      </c>
      <c r="L341" s="62">
        <f t="shared" si="34"/>
        <v>4482</v>
      </c>
    </row>
    <row r="342" spans="1:16" s="18" customFormat="1" ht="15" customHeight="1">
      <c r="A342" s="18">
        <v>2021</v>
      </c>
      <c r="B342" s="21" t="s">
        <v>36</v>
      </c>
      <c r="C342" s="61">
        <f t="shared" si="30"/>
        <v>0.82943925233644855</v>
      </c>
      <c r="D342" s="61">
        <f t="shared" si="31"/>
        <v>0.91105362853127481</v>
      </c>
      <c r="E342" s="61">
        <f t="shared" si="32"/>
        <v>0.91041759382880882</v>
      </c>
      <c r="F34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1927</v>
      </c>
      <c r="G34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6.4024074790720409</v>
      </c>
      <c r="H342" s="62">
        <f>+MITRE[[#This Row],[Trenes Programados]]+SARM[[#This Row],[Trenes Programados]]+URQ[[#This Row],[Trenes Programados]]+ROCA[[#This Row],[Trenes Programados]]+SM[[#This Row],[Trenes Programados]]+BN[[#This Row],[Trenes Programados]]+BS[[#This Row],[Trenes Programados]]+TDC[[#This Row],[Trenes Programados]]</f>
        <v>53928</v>
      </c>
      <c r="I342" s="62">
        <f t="shared" si="33"/>
        <v>4831</v>
      </c>
      <c r="J342" s="62">
        <f>+MITRE[[#This Row],[Trenes Corridos]]+SARM[[#This Row],[Trenes Corridos]]+URQ[[#This Row],[Trenes Corridos]]+ROCA[[#This Row],[Trenes Corridos]]+SM[[#This Row],[Trenes Corridos]]+BN[[#This Row],[Trenes Corridos]]+BS[[#This Row],[Trenes Corridos]]+TDC[[#This Row],[Trenes Corridos]]</f>
        <v>49097</v>
      </c>
      <c r="K342" s="62">
        <f>+MITRE[[#This Row],[Trenes Puntuales]]+SARM[[#This Row],[Trenes Puntuales]]+URQ[[#This Row],[Trenes Puntuales]]+ROCA[[#This Row],[Trenes Puntuales]]+SM[[#This Row],[Trenes Puntuales]]+BN[[#This Row],[Trenes Puntuales]]+BS[[#This Row],[Trenes Puntuales]]+TDC[[#This Row],[Trenes Puntuales]]</f>
        <v>44730</v>
      </c>
      <c r="L342" s="62">
        <f t="shared" si="34"/>
        <v>4367</v>
      </c>
    </row>
    <row r="343" spans="1:16" s="18" customFormat="1" ht="15" customHeight="1">
      <c r="A343" s="18">
        <v>2021</v>
      </c>
      <c r="B343" s="21" t="s">
        <v>37</v>
      </c>
      <c r="C343" s="61">
        <f t="shared" si="30"/>
        <v>0.81825679938965301</v>
      </c>
      <c r="D343" s="61">
        <f t="shared" si="31"/>
        <v>0.89872041671384895</v>
      </c>
      <c r="E343" s="61">
        <f t="shared" si="32"/>
        <v>0.9104686887848733</v>
      </c>
      <c r="F34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1927</v>
      </c>
      <c r="G34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6.4022873966708191</v>
      </c>
      <c r="H343" s="62">
        <f>+MITRE[[#This Row],[Trenes Programados]]+SARM[[#This Row],[Trenes Programados]]+URQ[[#This Row],[Trenes Programados]]+ROCA[[#This Row],[Trenes Programados]]+SM[[#This Row],[Trenes Programados]]+BN[[#This Row],[Trenes Programados]]+BS[[#This Row],[Trenes Programados]]+TDC[[#This Row],[Trenes Programados]]</f>
        <v>48497</v>
      </c>
      <c r="I343" s="62">
        <f t="shared" si="33"/>
        <v>4342</v>
      </c>
      <c r="J343" s="62">
        <f>+MITRE[[#This Row],[Trenes Corridos]]+SARM[[#This Row],[Trenes Corridos]]+URQ[[#This Row],[Trenes Corridos]]+ROCA[[#This Row],[Trenes Corridos]]+SM[[#This Row],[Trenes Corridos]]+BN[[#This Row],[Trenes Corridos]]+BS[[#This Row],[Trenes Corridos]]+TDC[[#This Row],[Trenes Corridos]]</f>
        <v>44155</v>
      </c>
      <c r="K343" s="62">
        <f>+MITRE[[#This Row],[Trenes Puntuales]]+SARM[[#This Row],[Trenes Puntuales]]+URQ[[#This Row],[Trenes Puntuales]]+ROCA[[#This Row],[Trenes Puntuales]]+SM[[#This Row],[Trenes Puntuales]]+BN[[#This Row],[Trenes Puntuales]]+BS[[#This Row],[Trenes Puntuales]]+TDC[[#This Row],[Trenes Puntuales]]</f>
        <v>39683</v>
      </c>
      <c r="L343" s="62">
        <f t="shared" si="34"/>
        <v>4472</v>
      </c>
    </row>
    <row r="344" spans="1:16" s="18" customFormat="1" ht="15" customHeight="1">
      <c r="A344" s="18">
        <v>2021</v>
      </c>
      <c r="B344" s="21" t="s">
        <v>38</v>
      </c>
      <c r="C344" s="61">
        <f t="shared" si="30"/>
        <v>0.82690141356880698</v>
      </c>
      <c r="D344" s="61">
        <f t="shared" si="31"/>
        <v>0.89073080987982933</v>
      </c>
      <c r="E344" s="61">
        <f t="shared" si="32"/>
        <v>0.92834041934663325</v>
      </c>
      <c r="F34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1927</v>
      </c>
      <c r="G34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6.4116530316671234</v>
      </c>
      <c r="H344" s="62">
        <f>+MITRE[[#This Row],[Trenes Programados]]+SARM[[#This Row],[Trenes Programados]]+URQ[[#This Row],[Trenes Programados]]+ROCA[[#This Row],[Trenes Programados]]+SM[[#This Row],[Trenes Programados]]+BN[[#This Row],[Trenes Programados]]+BS[[#This Row],[Trenes Programados]]+TDC[[#This Row],[Trenes Programados]]</f>
        <v>55038</v>
      </c>
      <c r="I344" s="62">
        <f t="shared" si="33"/>
        <v>3944</v>
      </c>
      <c r="J344" s="62">
        <f>+MITRE[[#This Row],[Trenes Corridos]]+SARM[[#This Row],[Trenes Corridos]]+URQ[[#This Row],[Trenes Corridos]]+ROCA[[#This Row],[Trenes Corridos]]+SM[[#This Row],[Trenes Corridos]]+BN[[#This Row],[Trenes Corridos]]+BS[[#This Row],[Trenes Corridos]]+TDC[[#This Row],[Trenes Corridos]]</f>
        <v>51094</v>
      </c>
      <c r="K344" s="62">
        <f>+MITRE[[#This Row],[Trenes Puntuales]]+SARM[[#This Row],[Trenes Puntuales]]+URQ[[#This Row],[Trenes Puntuales]]+ROCA[[#This Row],[Trenes Puntuales]]+SM[[#This Row],[Trenes Puntuales]]+BN[[#This Row],[Trenes Puntuales]]+BS[[#This Row],[Trenes Puntuales]]+TDC[[#This Row],[Trenes Puntuales]]</f>
        <v>45511</v>
      </c>
      <c r="L344" s="62">
        <f t="shared" si="34"/>
        <v>5583</v>
      </c>
    </row>
    <row r="345" spans="1:16" s="18" customFormat="1" ht="15" customHeight="1">
      <c r="A345" s="18">
        <v>2021</v>
      </c>
      <c r="B345" s="21" t="s">
        <v>39</v>
      </c>
      <c r="C345" s="61">
        <f t="shared" si="30"/>
        <v>0.78864732068640675</v>
      </c>
      <c r="D345" s="61">
        <f t="shared" si="31"/>
        <v>0.8766760436130675</v>
      </c>
      <c r="E345" s="61">
        <f t="shared" si="32"/>
        <v>0.89958808208803587</v>
      </c>
      <c r="F34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1947</v>
      </c>
      <c r="G34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6.3512248208455677</v>
      </c>
      <c r="H345" s="62">
        <f>+MITRE[[#This Row],[Trenes Programados]]+SARM[[#This Row],[Trenes Programados]]+URQ[[#This Row],[Trenes Programados]]+ROCA[[#This Row],[Trenes Programados]]+SM[[#This Row],[Trenes Programados]]+BN[[#This Row],[Trenes Programados]]+BS[[#This Row],[Trenes Programados]]+TDC[[#This Row],[Trenes Programados]]</f>
        <v>54137</v>
      </c>
      <c r="I345" s="62">
        <f t="shared" si="33"/>
        <v>5436</v>
      </c>
      <c r="J345" s="62">
        <f>+MITRE[[#This Row],[Trenes Corridos]]+SARM[[#This Row],[Trenes Corridos]]+URQ[[#This Row],[Trenes Corridos]]+ROCA[[#This Row],[Trenes Corridos]]+SM[[#This Row],[Trenes Corridos]]+BN[[#This Row],[Trenes Corridos]]+BS[[#This Row],[Trenes Corridos]]+TDC[[#This Row],[Trenes Corridos]]</f>
        <v>48701</v>
      </c>
      <c r="K345" s="62">
        <f>+MITRE[[#This Row],[Trenes Puntuales]]+SARM[[#This Row],[Trenes Puntuales]]+URQ[[#This Row],[Trenes Puntuales]]+ROCA[[#This Row],[Trenes Puntuales]]+SM[[#This Row],[Trenes Puntuales]]+BN[[#This Row],[Trenes Puntuales]]+BS[[#This Row],[Trenes Puntuales]]+TDC[[#This Row],[Trenes Puntuales]]</f>
        <v>42695</v>
      </c>
      <c r="L345" s="62">
        <f t="shared" si="34"/>
        <v>6006</v>
      </c>
      <c r="O345" s="64"/>
      <c r="P345" s="64"/>
    </row>
    <row r="346" spans="1:16" s="18" customFormat="1" ht="15" customHeight="1">
      <c r="A346" s="18">
        <v>2021</v>
      </c>
      <c r="B346" s="21" t="s">
        <v>40</v>
      </c>
      <c r="C346" s="61">
        <f t="shared" si="30"/>
        <v>0.83293138680756273</v>
      </c>
      <c r="D346" s="61">
        <f t="shared" si="31"/>
        <v>0.90247940478327648</v>
      </c>
      <c r="E346" s="61">
        <f t="shared" si="32"/>
        <v>0.92293672563927909</v>
      </c>
      <c r="F34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1947</v>
      </c>
      <c r="G34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6.2949753655276961</v>
      </c>
      <c r="H346" s="62">
        <f>+MITRE[[#This Row],[Trenes Programados]]+SARM[[#This Row],[Trenes Programados]]+URQ[[#This Row],[Trenes Programados]]+ROCA[[#This Row],[Trenes Programados]]+SM[[#This Row],[Trenes Programados]]+BN[[#This Row],[Trenes Programados]]+BS[[#This Row],[Trenes Programados]]+TDC[[#This Row],[Trenes Programados]]</f>
        <v>54319</v>
      </c>
      <c r="I346" s="62">
        <f t="shared" si="33"/>
        <v>4186</v>
      </c>
      <c r="J346" s="62">
        <f>+MITRE[[#This Row],[Trenes Corridos]]+SARM[[#This Row],[Trenes Corridos]]+URQ[[#This Row],[Trenes Corridos]]+ROCA[[#This Row],[Trenes Corridos]]+SM[[#This Row],[Trenes Corridos]]+BN[[#This Row],[Trenes Corridos]]+BS[[#This Row],[Trenes Corridos]]+TDC[[#This Row],[Trenes Corridos]]</f>
        <v>50133</v>
      </c>
      <c r="K346" s="62">
        <f>+MITRE[[#This Row],[Trenes Puntuales]]+SARM[[#This Row],[Trenes Puntuales]]+URQ[[#This Row],[Trenes Puntuales]]+ROCA[[#This Row],[Trenes Puntuales]]+SM[[#This Row],[Trenes Puntuales]]+BN[[#This Row],[Trenes Puntuales]]+BS[[#This Row],[Trenes Puntuales]]+TDC[[#This Row],[Trenes Puntuales]]</f>
        <v>45244</v>
      </c>
      <c r="L346" s="62">
        <f t="shared" si="34"/>
        <v>4889</v>
      </c>
    </row>
    <row r="347" spans="1:16" s="18" customFormat="1" ht="15" customHeight="1">
      <c r="A347" s="18">
        <v>2021</v>
      </c>
      <c r="B347" s="21" t="s">
        <v>41</v>
      </c>
      <c r="C347" s="61">
        <f t="shared" si="30"/>
        <v>0.81865765702681881</v>
      </c>
      <c r="D347" s="61">
        <f t="shared" si="31"/>
        <v>0.8972735470749631</v>
      </c>
      <c r="E347" s="61">
        <f t="shared" si="32"/>
        <v>0.91238358658357255</v>
      </c>
      <c r="F34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1977</v>
      </c>
      <c r="G34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6.2379362612482971</v>
      </c>
      <c r="H347" s="62">
        <f>+MITRE[[#This Row],[Trenes Programados]]+SARM[[#This Row],[Trenes Programados]]+URQ[[#This Row],[Trenes Programados]]+ROCA[[#This Row],[Trenes Programados]]+SM[[#This Row],[Trenes Programados]]+BN[[#This Row],[Trenes Programados]]+BS[[#This Row],[Trenes Programados]]+TDC[[#This Row],[Trenes Programados]]</f>
        <v>57124</v>
      </c>
      <c r="I347" s="62">
        <f t="shared" si="33"/>
        <v>5005</v>
      </c>
      <c r="J347" s="62">
        <f>+MITRE[[#This Row],[Trenes Corridos]]+SARM[[#This Row],[Trenes Corridos]]+URQ[[#This Row],[Trenes Corridos]]+ROCA[[#This Row],[Trenes Corridos]]+SM[[#This Row],[Trenes Corridos]]+BN[[#This Row],[Trenes Corridos]]+BS[[#This Row],[Trenes Corridos]]+TDC[[#This Row],[Trenes Corridos]]</f>
        <v>52119</v>
      </c>
      <c r="K347" s="62">
        <f>+MITRE[[#This Row],[Trenes Puntuales]]+SARM[[#This Row],[Trenes Puntuales]]+URQ[[#This Row],[Trenes Puntuales]]+ROCA[[#This Row],[Trenes Puntuales]]+SM[[#This Row],[Trenes Puntuales]]+BN[[#This Row],[Trenes Puntuales]]+BS[[#This Row],[Trenes Puntuales]]+TDC[[#This Row],[Trenes Puntuales]]</f>
        <v>46765</v>
      </c>
      <c r="L347" s="62">
        <f t="shared" si="34"/>
        <v>5354</v>
      </c>
    </row>
    <row r="348" spans="1:16" s="18" customFormat="1" ht="15" customHeight="1">
      <c r="A348" s="18">
        <v>2021</v>
      </c>
      <c r="B348" s="21" t="s">
        <v>42</v>
      </c>
      <c r="C348" s="61">
        <f t="shared" si="30"/>
        <v>0.81371649852236827</v>
      </c>
      <c r="D348" s="61">
        <f t="shared" si="31"/>
        <v>0.89339325339847464</v>
      </c>
      <c r="E348" s="61">
        <f t="shared" si="32"/>
        <v>0.91081558476850433</v>
      </c>
      <c r="F34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4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6.2536035952039084</v>
      </c>
      <c r="H348" s="62">
        <f>+MITRE[[#This Row],[Trenes Programados]]+SARM[[#This Row],[Trenes Programados]]+URQ[[#This Row],[Trenes Programados]]+ROCA[[#This Row],[Trenes Programados]]+SM[[#This Row],[Trenes Programados]]+BN[[#This Row],[Trenes Programados]]+BS[[#This Row],[Trenes Programados]]+TDC[[#This Row],[Trenes Programados]]</f>
        <v>58878</v>
      </c>
      <c r="I348" s="62">
        <f t="shared" si="33"/>
        <v>5251</v>
      </c>
      <c r="J348" s="62">
        <f>+MITRE[[#This Row],[Trenes Corridos]]+SARM[[#This Row],[Trenes Corridos]]+URQ[[#This Row],[Trenes Corridos]]+ROCA[[#This Row],[Trenes Corridos]]+SM[[#This Row],[Trenes Corridos]]+BN[[#This Row],[Trenes Corridos]]+BS[[#This Row],[Trenes Corridos]]+TDC[[#This Row],[Trenes Corridos]]</f>
        <v>53627</v>
      </c>
      <c r="K348" s="62">
        <f>+MITRE[[#This Row],[Trenes Puntuales]]+SARM[[#This Row],[Trenes Puntuales]]+URQ[[#This Row],[Trenes Puntuales]]+ROCA[[#This Row],[Trenes Puntuales]]+SM[[#This Row],[Trenes Puntuales]]+BN[[#This Row],[Trenes Puntuales]]+BS[[#This Row],[Trenes Puntuales]]+TDC[[#This Row],[Trenes Puntuales]]</f>
        <v>47910</v>
      </c>
      <c r="L348" s="62">
        <f t="shared" si="34"/>
        <v>5717</v>
      </c>
    </row>
    <row r="349" spans="1:16" s="18" customFormat="1" ht="15" customHeight="1">
      <c r="A349" s="18">
        <v>2021</v>
      </c>
      <c r="B349" s="21" t="s">
        <v>43</v>
      </c>
      <c r="C349" s="61">
        <f t="shared" si="30"/>
        <v>0.78127831244978552</v>
      </c>
      <c r="D349" s="61">
        <f t="shared" si="31"/>
        <v>0.85673046281890264</v>
      </c>
      <c r="E349" s="61">
        <f t="shared" si="32"/>
        <v>0.91193011846356353</v>
      </c>
      <c r="F34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4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6.2481114214482538</v>
      </c>
      <c r="H349" s="62">
        <f>+MITRE[[#This Row],[Trenes Programados]]+SARM[[#This Row],[Trenes Programados]]+URQ[[#This Row],[Trenes Programados]]+ROCA[[#This Row],[Trenes Programados]]+SM[[#This Row],[Trenes Programados]]+BN[[#This Row],[Trenes Programados]]+BS[[#This Row],[Trenes Programados]]+TDC[[#This Row],[Trenes Programados]]</f>
        <v>58499</v>
      </c>
      <c r="I349" s="62">
        <f t="shared" si="33"/>
        <v>5152</v>
      </c>
      <c r="J349" s="62">
        <f>+MITRE[[#This Row],[Trenes Corridos]]+SARM[[#This Row],[Trenes Corridos]]+URQ[[#This Row],[Trenes Corridos]]+ROCA[[#This Row],[Trenes Corridos]]+SM[[#This Row],[Trenes Corridos]]+BN[[#This Row],[Trenes Corridos]]+BS[[#This Row],[Trenes Corridos]]+TDC[[#This Row],[Trenes Corridos]]</f>
        <v>53347</v>
      </c>
      <c r="K349" s="62">
        <f>+MITRE[[#This Row],[Trenes Puntuales]]+SARM[[#This Row],[Trenes Puntuales]]+URQ[[#This Row],[Trenes Puntuales]]+ROCA[[#This Row],[Trenes Puntuales]]+SM[[#This Row],[Trenes Puntuales]]+BN[[#This Row],[Trenes Puntuales]]+BS[[#This Row],[Trenes Puntuales]]+TDC[[#This Row],[Trenes Puntuales]]</f>
        <v>45704</v>
      </c>
      <c r="L349" s="62">
        <f t="shared" si="34"/>
        <v>7643</v>
      </c>
    </row>
    <row r="350" spans="1:16" s="18" customFormat="1" ht="15" customHeight="1">
      <c r="A350" s="18">
        <v>2021</v>
      </c>
      <c r="B350" s="21" t="s">
        <v>44</v>
      </c>
      <c r="C350" s="61">
        <f t="shared" si="30"/>
        <v>0.8015721813157578</v>
      </c>
      <c r="D350" s="61">
        <f t="shared" si="31"/>
        <v>0.85411218200771777</v>
      </c>
      <c r="E350" s="61">
        <f t="shared" si="32"/>
        <v>0.9384858314882516</v>
      </c>
      <c r="F35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5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6.220468552826496</v>
      </c>
      <c r="H350" s="62">
        <f>+MITRE[[#This Row],[Trenes Programados]]+SARM[[#This Row],[Trenes Programados]]+URQ[[#This Row],[Trenes Programados]]+ROCA[[#This Row],[Trenes Programados]]+SM[[#This Row],[Trenes Programados]]+BN[[#This Row],[Trenes Programados]]+BS[[#This Row],[Trenes Programados]]+TDC[[#This Row],[Trenes Programados]]</f>
        <v>58263</v>
      </c>
      <c r="I350" s="62">
        <f t="shared" si="33"/>
        <v>3584</v>
      </c>
      <c r="J350" s="62">
        <f>+MITRE[[#This Row],[Trenes Corridos]]+SARM[[#This Row],[Trenes Corridos]]+URQ[[#This Row],[Trenes Corridos]]+ROCA[[#This Row],[Trenes Corridos]]+SM[[#This Row],[Trenes Corridos]]+BN[[#This Row],[Trenes Corridos]]+BS[[#This Row],[Trenes Corridos]]+TDC[[#This Row],[Trenes Corridos]]</f>
        <v>54679</v>
      </c>
      <c r="K350" s="62">
        <f>+MITRE[[#This Row],[Trenes Puntuales]]+SARM[[#This Row],[Trenes Puntuales]]+URQ[[#This Row],[Trenes Puntuales]]+ROCA[[#This Row],[Trenes Puntuales]]+SM[[#This Row],[Trenes Puntuales]]+BN[[#This Row],[Trenes Puntuales]]+BS[[#This Row],[Trenes Puntuales]]+TDC[[#This Row],[Trenes Puntuales]]</f>
        <v>46702</v>
      </c>
      <c r="L350" s="62">
        <f t="shared" si="34"/>
        <v>7977</v>
      </c>
    </row>
    <row r="351" spans="1:16" s="18" customFormat="1" ht="15" customHeight="1">
      <c r="A351" s="18">
        <v>2021</v>
      </c>
      <c r="B351" s="21" t="s">
        <v>45</v>
      </c>
      <c r="C351" s="61">
        <f t="shared" si="30"/>
        <v>0.81457264585688205</v>
      </c>
      <c r="D351" s="61">
        <f t="shared" si="31"/>
        <v>0.85882439221150675</v>
      </c>
      <c r="E351" s="61">
        <f t="shared" si="32"/>
        <v>0.94847404573515348</v>
      </c>
      <c r="F35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5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6.2029811888086241</v>
      </c>
      <c r="H351" s="62">
        <f>+MITRE[[#This Row],[Trenes Programados]]+SARM[[#This Row],[Trenes Programados]]+URQ[[#This Row],[Trenes Programados]]+ROCA[[#This Row],[Trenes Programados]]+SM[[#This Row],[Trenes Programados]]+BN[[#This Row],[Trenes Programados]]+BS[[#This Row],[Trenes Programados]]+TDC[[#This Row],[Trenes Programados]]</f>
        <v>57505</v>
      </c>
      <c r="I351" s="62">
        <f t="shared" si="33"/>
        <v>2963</v>
      </c>
      <c r="J351" s="62">
        <f>+MITRE[[#This Row],[Trenes Corridos]]+SARM[[#This Row],[Trenes Corridos]]+URQ[[#This Row],[Trenes Corridos]]+ROCA[[#This Row],[Trenes Corridos]]+SM[[#This Row],[Trenes Corridos]]+BN[[#This Row],[Trenes Corridos]]+BS[[#This Row],[Trenes Corridos]]+TDC[[#This Row],[Trenes Corridos]]</f>
        <v>54542</v>
      </c>
      <c r="K351" s="62">
        <f>+MITRE[[#This Row],[Trenes Puntuales]]+SARM[[#This Row],[Trenes Puntuales]]+URQ[[#This Row],[Trenes Puntuales]]+ROCA[[#This Row],[Trenes Puntuales]]+SM[[#This Row],[Trenes Puntuales]]+BN[[#This Row],[Trenes Puntuales]]+BS[[#This Row],[Trenes Puntuales]]+TDC[[#This Row],[Trenes Puntuales]]</f>
        <v>46842</v>
      </c>
      <c r="L351" s="62">
        <f t="shared" si="34"/>
        <v>7700</v>
      </c>
    </row>
    <row r="352" spans="1:16" s="18" customFormat="1" ht="15" customHeight="1">
      <c r="A352" s="18">
        <v>2021</v>
      </c>
      <c r="B352" s="21" t="s">
        <v>46</v>
      </c>
      <c r="C352" s="61">
        <f t="shared" si="30"/>
        <v>0.83224512878515244</v>
      </c>
      <c r="D352" s="61">
        <f t="shared" si="31"/>
        <v>0.87378326346281865</v>
      </c>
      <c r="E352" s="61">
        <f t="shared" si="32"/>
        <v>0.95246174147001872</v>
      </c>
      <c r="F35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2090</v>
      </c>
      <c r="G35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6.1989240540491917</v>
      </c>
      <c r="H352" s="62">
        <f>+MITRE[[#This Row],[Trenes Programados]]+SARM[[#This Row],[Trenes Programados]]+URQ[[#This Row],[Trenes Programados]]+ROCA[[#This Row],[Trenes Programados]]+SM[[#This Row],[Trenes Programados]]+BN[[#This Row],[Trenes Programados]]+BS[[#This Row],[Trenes Programados]]+TDC[[#This Row],[Trenes Programados]]</f>
        <v>58353</v>
      </c>
      <c r="I352" s="62">
        <f t="shared" si="33"/>
        <v>2774</v>
      </c>
      <c r="J352" s="62">
        <f>+MITRE[[#This Row],[Trenes Corridos]]+SARM[[#This Row],[Trenes Corridos]]+URQ[[#This Row],[Trenes Corridos]]+ROCA[[#This Row],[Trenes Corridos]]+SM[[#This Row],[Trenes Corridos]]+BN[[#This Row],[Trenes Corridos]]+BS[[#This Row],[Trenes Corridos]]+TDC[[#This Row],[Trenes Corridos]]</f>
        <v>55579</v>
      </c>
      <c r="K352" s="62">
        <f>+MITRE[[#This Row],[Trenes Puntuales]]+SARM[[#This Row],[Trenes Puntuales]]+URQ[[#This Row],[Trenes Puntuales]]+ROCA[[#This Row],[Trenes Puntuales]]+SM[[#This Row],[Trenes Puntuales]]+BN[[#This Row],[Trenes Puntuales]]+BS[[#This Row],[Trenes Puntuales]]+TDC[[#This Row],[Trenes Puntuales]]</f>
        <v>48564</v>
      </c>
      <c r="L352" s="62">
        <f t="shared" si="34"/>
        <v>7015</v>
      </c>
    </row>
    <row r="353" spans="1:12" s="18" customFormat="1" ht="15" customHeight="1">
      <c r="A353" s="18">
        <v>2021</v>
      </c>
      <c r="B353" s="21" t="s">
        <v>47</v>
      </c>
      <c r="C353" s="61">
        <f t="shared" si="30"/>
        <v>0.81722296615913637</v>
      </c>
      <c r="D353" s="61">
        <f t="shared" si="31"/>
        <v>0.87614540685205866</v>
      </c>
      <c r="E353" s="61">
        <f t="shared" si="32"/>
        <v>0.93274810296086896</v>
      </c>
      <c r="F35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2094</v>
      </c>
      <c r="G35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6.1770440084365754</v>
      </c>
      <c r="H353" s="62">
        <f>+MITRE[[#This Row],[Trenes Programados]]+SARM[[#This Row],[Trenes Programados]]+URQ[[#This Row],[Trenes Programados]]+ROCA[[#This Row],[Trenes Programados]]+SM[[#This Row],[Trenes Programados]]+BN[[#This Row],[Trenes Programados]]+BS[[#This Row],[Trenes Programados]]+TDC[[#This Row],[Trenes Programados]]</f>
        <v>60489</v>
      </c>
      <c r="I353" s="62">
        <f t="shared" si="33"/>
        <v>4068</v>
      </c>
      <c r="J353" s="62">
        <f>+MITRE[[#This Row],[Trenes Corridos]]+SARM[[#This Row],[Trenes Corridos]]+URQ[[#This Row],[Trenes Corridos]]+ROCA[[#This Row],[Trenes Corridos]]+SM[[#This Row],[Trenes Corridos]]+BN[[#This Row],[Trenes Corridos]]+BS[[#This Row],[Trenes Corridos]]+TDC[[#This Row],[Trenes Corridos]]</f>
        <v>56421</v>
      </c>
      <c r="K353" s="62">
        <f>+MITRE[[#This Row],[Trenes Puntuales]]+SARM[[#This Row],[Trenes Puntuales]]+URQ[[#This Row],[Trenes Puntuales]]+ROCA[[#This Row],[Trenes Puntuales]]+SM[[#This Row],[Trenes Puntuales]]+BN[[#This Row],[Trenes Puntuales]]+BS[[#This Row],[Trenes Puntuales]]+TDC[[#This Row],[Trenes Puntuales]]</f>
        <v>49433</v>
      </c>
      <c r="L353" s="62">
        <f t="shared" si="34"/>
        <v>6988</v>
      </c>
    </row>
    <row r="354" spans="1:12" s="18" customFormat="1" ht="15" customHeight="1">
      <c r="A354" s="18">
        <v>2022</v>
      </c>
      <c r="B354" s="18" t="s">
        <v>36</v>
      </c>
      <c r="C354" s="61">
        <f t="shared" si="30"/>
        <v>0.76485886562417171</v>
      </c>
      <c r="D354" s="61">
        <f t="shared" si="31"/>
        <v>0.87518480609575799</v>
      </c>
      <c r="E354" s="61">
        <f t="shared" si="32"/>
        <v>0.8739398356745296</v>
      </c>
      <c r="F35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6.0930854088479469</v>
      </c>
      <c r="H354" s="62">
        <f>+MITRE[[#This Row],[Trenes Programados]]+SARM[[#This Row],[Trenes Programados]]+URQ[[#This Row],[Trenes Programados]]+ROCA[[#This Row],[Trenes Programados]]+SM[[#This Row],[Trenes Programados]]+BN[[#This Row],[Trenes Programados]]+BS[[#This Row],[Trenes Programados]]+TDC[[#This Row],[Trenes Programados]]</f>
        <v>60368</v>
      </c>
      <c r="I354" s="62">
        <f t="shared" si="33"/>
        <v>7610</v>
      </c>
      <c r="J354" s="62">
        <f>+MITRE[[#This Row],[Trenes Corridos]]+SARM[[#This Row],[Trenes Corridos]]+URQ[[#This Row],[Trenes Corridos]]+ROCA[[#This Row],[Trenes Corridos]]+SM[[#This Row],[Trenes Corridos]]+BN[[#This Row],[Trenes Corridos]]+BS[[#This Row],[Trenes Corridos]]+TDC[[#This Row],[Trenes Corridos]]</f>
        <v>52758</v>
      </c>
      <c r="K354" s="62">
        <f>+MITRE[[#This Row],[Trenes Puntuales]]+SARM[[#This Row],[Trenes Puntuales]]+URQ[[#This Row],[Trenes Puntuales]]+ROCA[[#This Row],[Trenes Puntuales]]+SM[[#This Row],[Trenes Puntuales]]+BN[[#This Row],[Trenes Puntuales]]+BS[[#This Row],[Trenes Puntuales]]+TDC[[#This Row],[Trenes Puntuales]]</f>
        <v>46173</v>
      </c>
      <c r="L354" s="62">
        <f t="shared" si="34"/>
        <v>6585</v>
      </c>
    </row>
    <row r="355" spans="1:12" s="18" customFormat="1" ht="15" customHeight="1">
      <c r="A355" s="18">
        <v>2022</v>
      </c>
      <c r="B355" s="18" t="s">
        <v>37</v>
      </c>
      <c r="C355" s="61">
        <f t="shared" si="30"/>
        <v>0.84337589062895579</v>
      </c>
      <c r="D355" s="61">
        <f t="shared" si="31"/>
        <v>0.89105638242992802</v>
      </c>
      <c r="E355" s="61">
        <f t="shared" si="32"/>
        <v>0.94648992730297665</v>
      </c>
      <c r="F35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6.1350235961711155</v>
      </c>
      <c r="H355" s="62">
        <f>+MITRE[[#This Row],[Trenes Programados]]+SARM[[#This Row],[Trenes Programados]]+URQ[[#This Row],[Trenes Programados]]+ROCA[[#This Row],[Trenes Programados]]+SM[[#This Row],[Trenes Programados]]+BN[[#This Row],[Trenes Programados]]+BS[[#This Row],[Trenes Programados]]+TDC[[#This Row],[Trenes Programados]]</f>
        <v>55298</v>
      </c>
      <c r="I355" s="62">
        <f t="shared" si="33"/>
        <v>2959</v>
      </c>
      <c r="J355" s="62">
        <f>+MITRE[[#This Row],[Trenes Corridos]]+SARM[[#This Row],[Trenes Corridos]]+URQ[[#This Row],[Trenes Corridos]]+ROCA[[#This Row],[Trenes Corridos]]+SM[[#This Row],[Trenes Corridos]]+BN[[#This Row],[Trenes Corridos]]+BS[[#This Row],[Trenes Corridos]]+TDC[[#This Row],[Trenes Corridos]]</f>
        <v>52339</v>
      </c>
      <c r="K355" s="62">
        <f>+MITRE[[#This Row],[Trenes Puntuales]]+SARM[[#This Row],[Trenes Puntuales]]+URQ[[#This Row],[Trenes Puntuales]]+ROCA[[#This Row],[Trenes Puntuales]]+SM[[#This Row],[Trenes Puntuales]]+BN[[#This Row],[Trenes Puntuales]]+BS[[#This Row],[Trenes Puntuales]]+TDC[[#This Row],[Trenes Puntuales]]</f>
        <v>46637</v>
      </c>
      <c r="L355" s="62">
        <f t="shared" si="34"/>
        <v>5702</v>
      </c>
    </row>
    <row r="356" spans="1:12" s="18" customFormat="1" ht="15" customHeight="1">
      <c r="A356" s="18">
        <v>2022</v>
      </c>
      <c r="B356" s="18" t="s">
        <v>38</v>
      </c>
      <c r="C356" s="61">
        <f t="shared" si="30"/>
        <v>0.83800607863214527</v>
      </c>
      <c r="D356" s="61">
        <f t="shared" si="31"/>
        <v>0.88501347431298172</v>
      </c>
      <c r="E356" s="61">
        <f t="shared" si="32"/>
        <v>0.9468851073512442</v>
      </c>
      <c r="F35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6.1613312964520501</v>
      </c>
      <c r="H356" s="62">
        <f>+MITRE[[#This Row],[Trenes Programados]]+SARM[[#This Row],[Trenes Programados]]+URQ[[#This Row],[Trenes Programados]]+ROCA[[#This Row],[Trenes Programados]]+SM[[#This Row],[Trenes Programados]]+BN[[#This Row],[Trenes Programados]]+BS[[#This Row],[Trenes Programados]]+TDC[[#This Row],[Trenes Programados]]</f>
        <v>61527</v>
      </c>
      <c r="I356" s="62">
        <f t="shared" si="33"/>
        <v>3268</v>
      </c>
      <c r="J356" s="62">
        <f>+MITRE[[#This Row],[Trenes Corridos]]+SARM[[#This Row],[Trenes Corridos]]+URQ[[#This Row],[Trenes Corridos]]+ROCA[[#This Row],[Trenes Corridos]]+SM[[#This Row],[Trenes Corridos]]+BN[[#This Row],[Trenes Corridos]]+BS[[#This Row],[Trenes Corridos]]+TDC[[#This Row],[Trenes Corridos]]</f>
        <v>58259</v>
      </c>
      <c r="K356" s="62">
        <f>+MITRE[[#This Row],[Trenes Puntuales]]+SARM[[#This Row],[Trenes Puntuales]]+URQ[[#This Row],[Trenes Puntuales]]+ROCA[[#This Row],[Trenes Puntuales]]+SM[[#This Row],[Trenes Puntuales]]+BN[[#This Row],[Trenes Puntuales]]+BS[[#This Row],[Trenes Puntuales]]+TDC[[#This Row],[Trenes Puntuales]]</f>
        <v>51560</v>
      </c>
      <c r="L356" s="62">
        <f t="shared" si="34"/>
        <v>6699</v>
      </c>
    </row>
    <row r="357" spans="1:12" s="18" customFormat="1" ht="15" customHeight="1">
      <c r="A357" s="18">
        <v>2022</v>
      </c>
      <c r="B357" s="18" t="s">
        <v>39</v>
      </c>
      <c r="C357" s="61">
        <f t="shared" si="30"/>
        <v>0.81234371636279334</v>
      </c>
      <c r="D357" s="61">
        <f t="shared" si="31"/>
        <v>0.85797988631394839</v>
      </c>
      <c r="E357" s="61">
        <f t="shared" si="32"/>
        <v>0.94680974381903393</v>
      </c>
      <c r="F35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6.1785220813292527</v>
      </c>
      <c r="H357" s="62">
        <f>+MITRE[[#This Row],[Trenes Programados]]+SARM[[#This Row],[Trenes Programados]]+URQ[[#This Row],[Trenes Programados]]+ROCA[[#This Row],[Trenes Programados]]+SM[[#This Row],[Trenes Programados]]+BN[[#This Row],[Trenes Programados]]+BS[[#This Row],[Trenes Programados]]+TDC[[#This Row],[Trenes Programados]]</f>
        <v>60387</v>
      </c>
      <c r="I357" s="62">
        <f t="shared" si="33"/>
        <v>3212</v>
      </c>
      <c r="J357" s="62">
        <f>+MITRE[[#This Row],[Trenes Corridos]]+SARM[[#This Row],[Trenes Corridos]]+URQ[[#This Row],[Trenes Corridos]]+ROCA[[#This Row],[Trenes Corridos]]+SM[[#This Row],[Trenes Corridos]]+BN[[#This Row],[Trenes Corridos]]+BS[[#This Row],[Trenes Corridos]]+TDC[[#This Row],[Trenes Corridos]]</f>
        <v>57175</v>
      </c>
      <c r="K357" s="62">
        <f>+MITRE[[#This Row],[Trenes Puntuales]]+SARM[[#This Row],[Trenes Puntuales]]+URQ[[#This Row],[Trenes Puntuales]]+ROCA[[#This Row],[Trenes Puntuales]]+SM[[#This Row],[Trenes Puntuales]]+BN[[#This Row],[Trenes Puntuales]]+BS[[#This Row],[Trenes Puntuales]]+TDC[[#This Row],[Trenes Puntuales]]</f>
        <v>49055</v>
      </c>
      <c r="L357" s="62">
        <f t="shared" si="34"/>
        <v>8120</v>
      </c>
    </row>
    <row r="358" spans="1:12" s="18" customFormat="1" ht="15" customHeight="1">
      <c r="A358" s="18">
        <v>2022</v>
      </c>
      <c r="B358" s="18" t="s">
        <v>40</v>
      </c>
      <c r="C358" s="61">
        <f t="shared" si="30"/>
        <v>0.77465036643517782</v>
      </c>
      <c r="D358" s="61">
        <f t="shared" si="31"/>
        <v>0.81711845525436322</v>
      </c>
      <c r="E358" s="61">
        <f t="shared" si="32"/>
        <v>0.94802701059301697</v>
      </c>
      <c r="F35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6.168500827060055</v>
      </c>
      <c r="H358" s="62">
        <f>+MITRE[[#This Row],[Trenes Programados]]+SARM[[#This Row],[Trenes Programados]]+URQ[[#This Row],[Trenes Programados]]+ROCA[[#This Row],[Trenes Programados]]+SM[[#This Row],[Trenes Programados]]+BN[[#This Row],[Trenes Programados]]+BS[[#This Row],[Trenes Programados]]+TDC[[#This Row],[Trenes Programados]]</f>
        <v>62494</v>
      </c>
      <c r="I358" s="62">
        <f t="shared" si="33"/>
        <v>3248</v>
      </c>
      <c r="J358" s="62">
        <f>+MITRE[[#This Row],[Trenes Corridos]]+SARM[[#This Row],[Trenes Corridos]]+URQ[[#This Row],[Trenes Corridos]]+ROCA[[#This Row],[Trenes Corridos]]+SM[[#This Row],[Trenes Corridos]]+BN[[#This Row],[Trenes Corridos]]+BS[[#This Row],[Trenes Corridos]]+TDC[[#This Row],[Trenes Corridos]]</f>
        <v>59246</v>
      </c>
      <c r="K358" s="62">
        <f>+MITRE[[#This Row],[Trenes Puntuales]]+SARM[[#This Row],[Trenes Puntuales]]+URQ[[#This Row],[Trenes Puntuales]]+ROCA[[#This Row],[Trenes Puntuales]]+SM[[#This Row],[Trenes Puntuales]]+BN[[#This Row],[Trenes Puntuales]]+BS[[#This Row],[Trenes Puntuales]]+TDC[[#This Row],[Trenes Puntuales]]</f>
        <v>48411</v>
      </c>
      <c r="L358" s="62">
        <f t="shared" si="34"/>
        <v>10835</v>
      </c>
    </row>
    <row r="359" spans="1:12" s="18" customFormat="1" ht="15" customHeight="1">
      <c r="A359" s="18">
        <v>2022</v>
      </c>
      <c r="B359" s="18" t="s">
        <v>41</v>
      </c>
      <c r="C359" s="61">
        <f t="shared" si="30"/>
        <v>0.72120944820150934</v>
      </c>
      <c r="D359" s="61">
        <f t="shared" si="31"/>
        <v>0.77350689395399364</v>
      </c>
      <c r="E359" s="61">
        <f t="shared" si="32"/>
        <v>0.93238916658499138</v>
      </c>
      <c r="F35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6.1723751292068885</v>
      </c>
      <c r="H359" s="62">
        <f>+MITRE[[#This Row],[Trenes Programados]]+SARM[[#This Row],[Trenes Programados]]+URQ[[#This Row],[Trenes Programados]]+ROCA[[#This Row],[Trenes Programados]]+SM[[#This Row],[Trenes Programados]]+BN[[#This Row],[Trenes Programados]]+BS[[#This Row],[Trenes Programados]]+TDC[[#This Row],[Trenes Programados]]</f>
        <v>61218</v>
      </c>
      <c r="I359" s="62">
        <f t="shared" si="33"/>
        <v>4139</v>
      </c>
      <c r="J359" s="62">
        <f>+MITRE[[#This Row],[Trenes Corridos]]+SARM[[#This Row],[Trenes Corridos]]+URQ[[#This Row],[Trenes Corridos]]+ROCA[[#This Row],[Trenes Corridos]]+SM[[#This Row],[Trenes Corridos]]+BN[[#This Row],[Trenes Corridos]]+BS[[#This Row],[Trenes Corridos]]+TDC[[#This Row],[Trenes Corridos]]</f>
        <v>57079</v>
      </c>
      <c r="K359" s="62">
        <f>+MITRE[[#This Row],[Trenes Puntuales]]+SARM[[#This Row],[Trenes Puntuales]]+URQ[[#This Row],[Trenes Puntuales]]+ROCA[[#This Row],[Trenes Puntuales]]+SM[[#This Row],[Trenes Puntuales]]+BN[[#This Row],[Trenes Puntuales]]+BS[[#This Row],[Trenes Puntuales]]+TDC[[#This Row],[Trenes Puntuales]]</f>
        <v>44151</v>
      </c>
      <c r="L359" s="62">
        <f t="shared" si="34"/>
        <v>12928</v>
      </c>
    </row>
    <row r="360" spans="1:12" s="18" customFormat="1" ht="15" customHeight="1">
      <c r="A360" s="18">
        <v>2022</v>
      </c>
      <c r="B360" s="21" t="s">
        <v>42</v>
      </c>
      <c r="C360" s="61">
        <f t="shared" si="30"/>
        <v>0.73700690762041132</v>
      </c>
      <c r="D360" s="61">
        <f t="shared" si="31"/>
        <v>0.78536217303822942</v>
      </c>
      <c r="E360" s="61">
        <f t="shared" si="32"/>
        <v>0.93842934243859455</v>
      </c>
      <c r="F36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6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6.1852951039570758</v>
      </c>
      <c r="H360" s="62">
        <f>+MITRE[[#This Row],[Trenes Programados]]+SARM[[#This Row],[Trenes Programados]]+URQ[[#This Row],[Trenes Programados]]+ROCA[[#This Row],[Trenes Programados]]+SM[[#This Row],[Trenes Programados]]+BN[[#This Row],[Trenes Programados]]+BS[[#This Row],[Trenes Programados]]+TDC[[#This Row],[Trenes Programados]]</f>
        <v>63553</v>
      </c>
      <c r="I360" s="62">
        <f t="shared" si="33"/>
        <v>3913</v>
      </c>
      <c r="J360" s="62">
        <f>+MITRE[[#This Row],[Trenes Corridos]]+SARM[[#This Row],[Trenes Corridos]]+URQ[[#This Row],[Trenes Corridos]]+ROCA[[#This Row],[Trenes Corridos]]+SM[[#This Row],[Trenes Corridos]]+BN[[#This Row],[Trenes Corridos]]+BS[[#This Row],[Trenes Corridos]]+TDC[[#This Row],[Trenes Corridos]]</f>
        <v>59640</v>
      </c>
      <c r="K360" s="62">
        <f>+MITRE[[#This Row],[Trenes Puntuales]]+SARM[[#This Row],[Trenes Puntuales]]+URQ[[#This Row],[Trenes Puntuales]]+ROCA[[#This Row],[Trenes Puntuales]]+SM[[#This Row],[Trenes Puntuales]]+BN[[#This Row],[Trenes Puntuales]]+BS[[#This Row],[Trenes Puntuales]]+TDC[[#This Row],[Trenes Puntuales]]</f>
        <v>46839</v>
      </c>
      <c r="L360" s="62">
        <f t="shared" si="34"/>
        <v>12801</v>
      </c>
    </row>
    <row r="361" spans="1:12" s="18" customFormat="1" ht="15" customHeight="1">
      <c r="A361" s="18">
        <v>2022</v>
      </c>
      <c r="B361" s="21" t="s">
        <v>43</v>
      </c>
      <c r="C361" s="61">
        <f t="shared" si="30"/>
        <v>0.74917278421595335</v>
      </c>
      <c r="D361" s="61">
        <f t="shared" si="31"/>
        <v>0.81339081324042972</v>
      </c>
      <c r="E361" s="61">
        <f t="shared" si="32"/>
        <v>0.92104898656447665</v>
      </c>
      <c r="F36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6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6.1986398649890555</v>
      </c>
      <c r="H361" s="62">
        <f>+MITRE[[#This Row],[Trenes Programados]]+SARM[[#This Row],[Trenes Programados]]+URQ[[#This Row],[Trenes Programados]]+ROCA[[#This Row],[Trenes Programados]]+SM[[#This Row],[Trenes Programados]]+BN[[#This Row],[Trenes Programados]]+BS[[#This Row],[Trenes Programados]]+TDC[[#This Row],[Trenes Programados]]</f>
        <v>64977</v>
      </c>
      <c r="I361" s="62">
        <f t="shared" si="33"/>
        <v>5130</v>
      </c>
      <c r="J361" s="62">
        <f>+MITRE[[#This Row],[Trenes Corridos]]+SARM[[#This Row],[Trenes Corridos]]+URQ[[#This Row],[Trenes Corridos]]+ROCA[[#This Row],[Trenes Corridos]]+SM[[#This Row],[Trenes Corridos]]+BN[[#This Row],[Trenes Corridos]]+BS[[#This Row],[Trenes Corridos]]+TDC[[#This Row],[Trenes Corridos]]</f>
        <v>59847</v>
      </c>
      <c r="K361" s="62">
        <f>+MITRE[[#This Row],[Trenes Puntuales]]+SARM[[#This Row],[Trenes Puntuales]]+URQ[[#This Row],[Trenes Puntuales]]+ROCA[[#This Row],[Trenes Puntuales]]+SM[[#This Row],[Trenes Puntuales]]+BN[[#This Row],[Trenes Puntuales]]+BS[[#This Row],[Trenes Puntuales]]+TDC[[#This Row],[Trenes Puntuales]]</f>
        <v>48679</v>
      </c>
      <c r="L361" s="62">
        <f t="shared" si="34"/>
        <v>11168</v>
      </c>
    </row>
    <row r="362" spans="1:12" s="18" customFormat="1" ht="15" customHeight="1">
      <c r="A362" s="18">
        <v>2022</v>
      </c>
      <c r="B362" s="21" t="s">
        <v>44</v>
      </c>
      <c r="C362" s="61">
        <f t="shared" si="30"/>
        <v>0.78845849552201019</v>
      </c>
      <c r="D362" s="61">
        <f t="shared" si="31"/>
        <v>0.82878432546612779</v>
      </c>
      <c r="E362" s="61">
        <f t="shared" si="32"/>
        <v>0.95134339694294123</v>
      </c>
      <c r="F36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6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6.1934035227783042</v>
      </c>
      <c r="H362" s="62">
        <f>+MITRE[[#This Row],[Trenes Programados]]+SARM[[#This Row],[Trenes Programados]]+URQ[[#This Row],[Trenes Programados]]+ROCA[[#This Row],[Trenes Programados]]+SM[[#This Row],[Trenes Programados]]+BN[[#This Row],[Trenes Programados]]+BS[[#This Row],[Trenes Programados]]+TDC[[#This Row],[Trenes Programados]]</f>
        <v>63198</v>
      </c>
      <c r="I362" s="62">
        <f t="shared" si="33"/>
        <v>3075</v>
      </c>
      <c r="J362" s="62">
        <f>+MITRE[[#This Row],[Trenes Corridos]]+SARM[[#This Row],[Trenes Corridos]]+URQ[[#This Row],[Trenes Corridos]]+ROCA[[#This Row],[Trenes Corridos]]+SM[[#This Row],[Trenes Corridos]]+BN[[#This Row],[Trenes Corridos]]+BS[[#This Row],[Trenes Corridos]]+TDC[[#This Row],[Trenes Corridos]]</f>
        <v>60123</v>
      </c>
      <c r="K362" s="62">
        <f>+MITRE[[#This Row],[Trenes Puntuales]]+SARM[[#This Row],[Trenes Puntuales]]+URQ[[#This Row],[Trenes Puntuales]]+ROCA[[#This Row],[Trenes Puntuales]]+SM[[#This Row],[Trenes Puntuales]]+BN[[#This Row],[Trenes Puntuales]]+BS[[#This Row],[Trenes Puntuales]]+TDC[[#This Row],[Trenes Puntuales]]</f>
        <v>49829</v>
      </c>
      <c r="L362" s="62">
        <f t="shared" si="34"/>
        <v>10294</v>
      </c>
    </row>
    <row r="363" spans="1:12" s="18" customFormat="1" ht="15" customHeight="1">
      <c r="A363" s="18">
        <v>2022</v>
      </c>
      <c r="B363" s="18" t="s">
        <v>45</v>
      </c>
      <c r="C363" s="61">
        <f t="shared" si="30"/>
        <v>0.73254159023341137</v>
      </c>
      <c r="D363" s="61">
        <f t="shared" si="31"/>
        <v>0.79646154639707023</v>
      </c>
      <c r="E363" s="61">
        <f t="shared" si="32"/>
        <v>0.91974508191536464</v>
      </c>
      <c r="F36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2141</v>
      </c>
      <c r="G36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6.1738106291157306</v>
      </c>
      <c r="H363" s="62">
        <f>+MITRE[[#This Row],[Trenes Programados]]+SARM[[#This Row],[Trenes Programados]]+URQ[[#This Row],[Trenes Programados]]+ROCA[[#This Row],[Trenes Programados]]+SM[[#This Row],[Trenes Programados]]+BN[[#This Row],[Trenes Programados]]+BS[[#This Row],[Trenes Programados]]+TDC[[#This Row],[Trenes Programados]]</f>
        <v>63236</v>
      </c>
      <c r="I363" s="62">
        <f t="shared" si="33"/>
        <v>5075</v>
      </c>
      <c r="J363" s="62">
        <f>+MITRE[[#This Row],[Trenes Corridos]]+SARM[[#This Row],[Trenes Corridos]]+URQ[[#This Row],[Trenes Corridos]]+ROCA[[#This Row],[Trenes Corridos]]+SM[[#This Row],[Trenes Corridos]]+BN[[#This Row],[Trenes Corridos]]+BS[[#This Row],[Trenes Corridos]]+TDC[[#This Row],[Trenes Corridos]]</f>
        <v>58161</v>
      </c>
      <c r="K363" s="62">
        <f>+MITRE[[#This Row],[Trenes Puntuales]]+SARM[[#This Row],[Trenes Puntuales]]+URQ[[#This Row],[Trenes Puntuales]]+ROCA[[#This Row],[Trenes Puntuales]]+SM[[#This Row],[Trenes Puntuales]]+BN[[#This Row],[Trenes Puntuales]]+BS[[#This Row],[Trenes Puntuales]]+TDC[[#This Row],[Trenes Puntuales]]</f>
        <v>46323</v>
      </c>
      <c r="L363" s="62">
        <f t="shared" si="34"/>
        <v>11838</v>
      </c>
    </row>
    <row r="364" spans="1:12" s="18" customFormat="1" ht="15" customHeight="1">
      <c r="A364" s="18">
        <v>2022</v>
      </c>
      <c r="B364" s="18" t="s">
        <v>46</v>
      </c>
      <c r="C364" s="61">
        <f t="shared" si="30"/>
        <v>0.64326285141520689</v>
      </c>
      <c r="D364" s="61">
        <f t="shared" si="31"/>
        <v>0.73655541791153534</v>
      </c>
      <c r="E364" s="61">
        <f t="shared" si="32"/>
        <v>0.87333937918635551</v>
      </c>
      <c r="F36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2127</v>
      </c>
      <c r="G36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6.2001384536908839</v>
      </c>
      <c r="H364" s="62">
        <f>+MITRE[[#This Row],[Trenes Programados]]+SARM[[#This Row],[Trenes Programados]]+URQ[[#This Row],[Trenes Programados]]+ROCA[[#This Row],[Trenes Programados]]+SM[[#This Row],[Trenes Programados]]+BN[[#This Row],[Trenes Programados]]+BS[[#This Row],[Trenes Programados]]+TDC[[#This Row],[Trenes Programados]]</f>
        <v>62853</v>
      </c>
      <c r="I364" s="62">
        <f t="shared" si="33"/>
        <v>7961</v>
      </c>
      <c r="J364" s="62">
        <f>+MITRE[[#This Row],[Trenes Corridos]]+SARM[[#This Row],[Trenes Corridos]]+URQ[[#This Row],[Trenes Corridos]]+ROCA[[#This Row],[Trenes Corridos]]+SM[[#This Row],[Trenes Corridos]]+BN[[#This Row],[Trenes Corridos]]+BS[[#This Row],[Trenes Corridos]]+TDC[[#This Row],[Trenes Corridos]]</f>
        <v>54892</v>
      </c>
      <c r="K364" s="62">
        <f>+MITRE[[#This Row],[Trenes Puntuales]]+SARM[[#This Row],[Trenes Puntuales]]+URQ[[#This Row],[Trenes Puntuales]]+ROCA[[#This Row],[Trenes Puntuales]]+SM[[#This Row],[Trenes Puntuales]]+BN[[#This Row],[Trenes Puntuales]]+BS[[#This Row],[Trenes Puntuales]]+TDC[[#This Row],[Trenes Puntuales]]</f>
        <v>40431</v>
      </c>
      <c r="L364" s="62">
        <f t="shared" si="34"/>
        <v>14461</v>
      </c>
    </row>
    <row r="365" spans="1:12" s="18" customFormat="1" ht="15" customHeight="1">
      <c r="A365" s="18">
        <v>2022</v>
      </c>
      <c r="B365" s="18" t="s">
        <v>47</v>
      </c>
      <c r="C365" s="61">
        <f t="shared" si="30"/>
        <v>0.6733897202342225</v>
      </c>
      <c r="D365" s="61">
        <f t="shared" si="31"/>
        <v>0.76102941176470584</v>
      </c>
      <c r="E365" s="61">
        <f t="shared" si="32"/>
        <v>0.88484059856864017</v>
      </c>
      <c r="F36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2127</v>
      </c>
      <c r="G36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6.1470767575322816</v>
      </c>
      <c r="H365" s="62">
        <f>+MITRE[[#This Row],[Trenes Programados]]+SARM[[#This Row],[Trenes Programados]]+URQ[[#This Row],[Trenes Programados]]+ROCA[[#This Row],[Trenes Programados]]+SM[[#This Row],[Trenes Programados]]+BN[[#This Row],[Trenes Programados]]+BS[[#This Row],[Trenes Programados]]+TDC[[#This Row],[Trenes Programados]]</f>
        <v>63017</v>
      </c>
      <c r="I365" s="62">
        <f t="shared" si="33"/>
        <v>7257</v>
      </c>
      <c r="J365" s="62">
        <f>+MITRE[[#This Row],[Trenes Corridos]]+SARM[[#This Row],[Trenes Corridos]]+URQ[[#This Row],[Trenes Corridos]]+ROCA[[#This Row],[Trenes Corridos]]+SM[[#This Row],[Trenes Corridos]]+BN[[#This Row],[Trenes Corridos]]+BS[[#This Row],[Trenes Corridos]]+TDC[[#This Row],[Trenes Corridos]]</f>
        <v>55760</v>
      </c>
      <c r="K365" s="62">
        <f>+MITRE[[#This Row],[Trenes Puntuales]]+SARM[[#This Row],[Trenes Puntuales]]+URQ[[#This Row],[Trenes Puntuales]]+ROCA[[#This Row],[Trenes Puntuales]]+SM[[#This Row],[Trenes Puntuales]]+BN[[#This Row],[Trenes Puntuales]]+BS[[#This Row],[Trenes Puntuales]]+TDC[[#This Row],[Trenes Puntuales]]</f>
        <v>42435</v>
      </c>
      <c r="L365" s="62">
        <f t="shared" si="34"/>
        <v>13325</v>
      </c>
    </row>
    <row r="366" spans="1:12" s="18" customFormat="1" ht="15" customHeight="1">
      <c r="A366" s="18">
        <v>2023</v>
      </c>
      <c r="B366" s="21" t="s">
        <v>36</v>
      </c>
      <c r="C366" s="61">
        <f t="shared" ref="C366:C371" si="35">+K366/H366</f>
        <v>0.75227606683532033</v>
      </c>
      <c r="D366" s="61">
        <f t="shared" ref="D366:D371" si="36">+K366/J366</f>
        <v>0.8145523734540564</v>
      </c>
      <c r="E366" s="61">
        <f t="shared" ref="E366:E371" si="37">+J366/H366</f>
        <v>0.92354536227712725</v>
      </c>
      <c r="F36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2177</v>
      </c>
      <c r="G36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6.096365187153495</v>
      </c>
      <c r="H366" s="62">
        <f>+MITRE[[#This Row],[Trenes Programados]]+SARM[[#This Row],[Trenes Programados]]+URQ[[#This Row],[Trenes Programados]]+ROCA[[#This Row],[Trenes Programados]]+SM[[#This Row],[Trenes Programados]]+BN[[#This Row],[Trenes Programados]]+BS[[#This Row],[Trenes Programados]]+TDC[[#This Row],[Trenes Programados]]</f>
        <v>66013</v>
      </c>
      <c r="I366" s="62">
        <f t="shared" ref="I366:I371" si="38">+H366-J366</f>
        <v>5047</v>
      </c>
      <c r="J366" s="62">
        <f>+MITRE[[#This Row],[Trenes Corridos]]+SARM[[#This Row],[Trenes Corridos]]+URQ[[#This Row],[Trenes Corridos]]+ROCA[[#This Row],[Trenes Corridos]]+SM[[#This Row],[Trenes Corridos]]+BN[[#This Row],[Trenes Corridos]]+BS[[#This Row],[Trenes Corridos]]+TDC[[#This Row],[Trenes Corridos]]</f>
        <v>60966</v>
      </c>
      <c r="K366" s="62">
        <f>+MITRE[[#This Row],[Trenes Puntuales]]+SARM[[#This Row],[Trenes Puntuales]]+URQ[[#This Row],[Trenes Puntuales]]+ROCA[[#This Row],[Trenes Puntuales]]+SM[[#This Row],[Trenes Puntuales]]+BN[[#This Row],[Trenes Puntuales]]+BS[[#This Row],[Trenes Puntuales]]+TDC[[#This Row],[Trenes Puntuales]]</f>
        <v>49660</v>
      </c>
      <c r="L366" s="62">
        <f t="shared" ref="L366:L371" si="39">+J366-K366</f>
        <v>11306</v>
      </c>
    </row>
    <row r="367" spans="1:12" s="18" customFormat="1" ht="15" customHeight="1">
      <c r="A367" s="18">
        <v>2023</v>
      </c>
      <c r="B367" s="21" t="s">
        <v>37</v>
      </c>
      <c r="C367" s="61">
        <f t="shared" si="35"/>
        <v>0.72710105507527589</v>
      </c>
      <c r="D367" s="61">
        <f t="shared" si="36"/>
        <v>0.79778356492481994</v>
      </c>
      <c r="E367" s="61">
        <f t="shared" si="37"/>
        <v>0.91140139637220419</v>
      </c>
      <c r="F36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2177</v>
      </c>
      <c r="G36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6.0884292964814568</v>
      </c>
      <c r="H367" s="62">
        <f>+MITRE[[#This Row],[Trenes Programados]]+SARM[[#This Row],[Trenes Programados]]+URQ[[#This Row],[Trenes Programados]]+ROCA[[#This Row],[Trenes Programados]]+SM[[#This Row],[Trenes Programados]]+BN[[#This Row],[Trenes Programados]]+BS[[#This Row],[Trenes Programados]]+TDC[[#This Row],[Trenes Programados]]</f>
        <v>57721</v>
      </c>
      <c r="I367" s="62">
        <f t="shared" si="38"/>
        <v>5114</v>
      </c>
      <c r="J367" s="62">
        <f>+MITRE[[#This Row],[Trenes Corridos]]+SARM[[#This Row],[Trenes Corridos]]+URQ[[#This Row],[Trenes Corridos]]+ROCA[[#This Row],[Trenes Corridos]]+SM[[#This Row],[Trenes Corridos]]+BN[[#This Row],[Trenes Corridos]]+BS[[#This Row],[Trenes Corridos]]+TDC[[#This Row],[Trenes Corridos]]</f>
        <v>52607</v>
      </c>
      <c r="K367" s="62">
        <f>+MITRE[[#This Row],[Trenes Puntuales]]+SARM[[#This Row],[Trenes Puntuales]]+URQ[[#This Row],[Trenes Puntuales]]+ROCA[[#This Row],[Trenes Puntuales]]+SM[[#This Row],[Trenes Puntuales]]+BN[[#This Row],[Trenes Puntuales]]+BS[[#This Row],[Trenes Puntuales]]+TDC[[#This Row],[Trenes Puntuales]]</f>
        <v>41969</v>
      </c>
      <c r="L367" s="62">
        <f t="shared" si="39"/>
        <v>10638</v>
      </c>
    </row>
    <row r="368" spans="1:12" s="18" customFormat="1" ht="15" customHeight="1">
      <c r="A368" s="18">
        <v>2023</v>
      </c>
      <c r="B368" s="18" t="s">
        <v>38</v>
      </c>
      <c r="C368" s="61">
        <f t="shared" si="35"/>
        <v>0.69378579786906447</v>
      </c>
      <c r="D368" s="61">
        <f t="shared" si="36"/>
        <v>0.7630433678221259</v>
      </c>
      <c r="E368" s="61">
        <f t="shared" si="37"/>
        <v>0.90923508037198986</v>
      </c>
      <c r="F36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2176</v>
      </c>
      <c r="G36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6.095321152185325</v>
      </c>
      <c r="H368" s="62">
        <f>+MITRE[[#This Row],[Trenes Programados]]+SARM[[#This Row],[Trenes Programados]]+URQ[[#This Row],[Trenes Programados]]+ROCA[[#This Row],[Trenes Programados]]+SM[[#This Row],[Trenes Programados]]+BN[[#This Row],[Trenes Programados]]+BS[[#This Row],[Trenes Programados]]+TDC[[#This Row],[Trenes Programados]]</f>
        <v>64948</v>
      </c>
      <c r="I368" s="62">
        <f t="shared" si="38"/>
        <v>5895</v>
      </c>
      <c r="J368" s="62">
        <f>+MITRE[[#This Row],[Trenes Corridos]]+SARM[[#This Row],[Trenes Corridos]]+URQ[[#This Row],[Trenes Corridos]]+ROCA[[#This Row],[Trenes Corridos]]+SM[[#This Row],[Trenes Corridos]]+BN[[#This Row],[Trenes Corridos]]+BS[[#This Row],[Trenes Corridos]]+TDC[[#This Row],[Trenes Corridos]]</f>
        <v>59053</v>
      </c>
      <c r="K368" s="62">
        <f>+MITRE[[#This Row],[Trenes Puntuales]]+SARM[[#This Row],[Trenes Puntuales]]+URQ[[#This Row],[Trenes Puntuales]]+ROCA[[#This Row],[Trenes Puntuales]]+SM[[#This Row],[Trenes Puntuales]]+BN[[#This Row],[Trenes Puntuales]]+BS[[#This Row],[Trenes Puntuales]]+TDC[[#This Row],[Trenes Puntuales]]</f>
        <v>45060</v>
      </c>
      <c r="L368" s="62">
        <f t="shared" si="39"/>
        <v>13993</v>
      </c>
    </row>
    <row r="369" spans="1:13" s="18" customFormat="1" ht="15" customHeight="1">
      <c r="A369" s="18">
        <v>2023</v>
      </c>
      <c r="B369" s="18" t="s">
        <v>39</v>
      </c>
      <c r="C369" s="61">
        <f t="shared" si="35"/>
        <v>0.71502089650086043</v>
      </c>
      <c r="D369" s="61">
        <f t="shared" si="36"/>
        <v>0.77813648200335317</v>
      </c>
      <c r="E369" s="61">
        <f t="shared" si="37"/>
        <v>0.9188887978365976</v>
      </c>
      <c r="F36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2176</v>
      </c>
      <c r="G36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6.0659044697321018</v>
      </c>
      <c r="H369" s="62">
        <f>+MITRE[[#This Row],[Trenes Programados]]+SARM[[#This Row],[Trenes Programados]]+URQ[[#This Row],[Trenes Programados]]+ROCA[[#This Row],[Trenes Programados]]+SM[[#This Row],[Trenes Programados]]+BN[[#This Row],[Trenes Programados]]+BS[[#This Row],[Trenes Programados]]+TDC[[#This Row],[Trenes Programados]]</f>
        <v>61015</v>
      </c>
      <c r="I369" s="62">
        <f t="shared" si="38"/>
        <v>4949</v>
      </c>
      <c r="J369" s="62">
        <f>+MITRE[[#This Row],[Trenes Corridos]]+SARM[[#This Row],[Trenes Corridos]]+URQ[[#This Row],[Trenes Corridos]]+ROCA[[#This Row],[Trenes Corridos]]+SM[[#This Row],[Trenes Corridos]]+BN[[#This Row],[Trenes Corridos]]+BS[[#This Row],[Trenes Corridos]]+TDC[[#This Row],[Trenes Corridos]]</f>
        <v>56066</v>
      </c>
      <c r="K369" s="62">
        <f>+MITRE[[#This Row],[Trenes Puntuales]]+SARM[[#This Row],[Trenes Puntuales]]+URQ[[#This Row],[Trenes Puntuales]]+ROCA[[#This Row],[Trenes Puntuales]]+SM[[#This Row],[Trenes Puntuales]]+BN[[#This Row],[Trenes Puntuales]]+BS[[#This Row],[Trenes Puntuales]]+TDC[[#This Row],[Trenes Puntuales]]</f>
        <v>43627</v>
      </c>
      <c r="L369" s="62">
        <f t="shared" si="39"/>
        <v>12439</v>
      </c>
    </row>
    <row r="370" spans="1:13" s="18" customFormat="1" ht="15" customHeight="1">
      <c r="A370" s="18">
        <v>2023</v>
      </c>
      <c r="B370" s="18" t="s">
        <v>40</v>
      </c>
      <c r="C370" s="61">
        <f t="shared" si="35"/>
        <v>0.70347699484947634</v>
      </c>
      <c r="D370" s="61">
        <f t="shared" si="36"/>
        <v>0.77450490356607316</v>
      </c>
      <c r="E370" s="61">
        <f t="shared" si="37"/>
        <v>0.90829249964776049</v>
      </c>
      <c r="F37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2176</v>
      </c>
      <c r="G37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6.0736999948292798</v>
      </c>
      <c r="H370" s="62">
        <f>+MITRE[[#This Row],[Trenes Programados]]+SARM[[#This Row],[Trenes Programados]]+URQ[[#This Row],[Trenes Programados]]+ROCA[[#This Row],[Trenes Programados]]+SM[[#This Row],[Trenes Programados]]+BN[[#This Row],[Trenes Programados]]+BS[[#This Row],[Trenes Programados]]+TDC[[#This Row],[Trenes Programados]]</f>
        <v>63877</v>
      </c>
      <c r="I370" s="62">
        <f t="shared" si="38"/>
        <v>5858</v>
      </c>
      <c r="J370" s="62">
        <f>+MITRE[[#This Row],[Trenes Corridos]]+SARM[[#This Row],[Trenes Corridos]]+URQ[[#This Row],[Trenes Corridos]]+ROCA[[#This Row],[Trenes Corridos]]+SM[[#This Row],[Trenes Corridos]]+BN[[#This Row],[Trenes Corridos]]+BS[[#This Row],[Trenes Corridos]]+TDC[[#This Row],[Trenes Corridos]]</f>
        <v>58019</v>
      </c>
      <c r="K370" s="62">
        <f>+MITRE[[#This Row],[Trenes Puntuales]]+SARM[[#This Row],[Trenes Puntuales]]+URQ[[#This Row],[Trenes Puntuales]]+ROCA[[#This Row],[Trenes Puntuales]]+SM[[#This Row],[Trenes Puntuales]]+BN[[#This Row],[Trenes Puntuales]]+BS[[#This Row],[Trenes Puntuales]]+TDC[[#This Row],[Trenes Puntuales]]</f>
        <v>44936</v>
      </c>
      <c r="L370" s="62">
        <f t="shared" si="39"/>
        <v>13083</v>
      </c>
    </row>
    <row r="371" spans="1:13" s="18" customFormat="1" ht="15" customHeight="1">
      <c r="A371" s="18">
        <v>2023</v>
      </c>
      <c r="B371" s="18" t="s">
        <v>41</v>
      </c>
      <c r="C371" s="61">
        <f t="shared" si="35"/>
        <v>0.68978108112494119</v>
      </c>
      <c r="D371" s="61">
        <f t="shared" si="36"/>
        <v>0.76328406989063879</v>
      </c>
      <c r="E371" s="61">
        <f t="shared" si="37"/>
        <v>0.90370166014832609</v>
      </c>
      <c r="F37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2186.4545454545455</v>
      </c>
      <c r="G37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6.0828020902544582</v>
      </c>
      <c r="H371" s="62">
        <f>+MITRE[[#This Row],[Trenes Programados]]+SARM[[#This Row],[Trenes Programados]]+URQ[[#This Row],[Trenes Programados]]+ROCA[[#This Row],[Trenes Programados]]+SM[[#This Row],[Trenes Programados]]+BN[[#This Row],[Trenes Programados]]+BS[[#This Row],[Trenes Programados]]+TDC[[#This Row],[Trenes Programados]]</f>
        <v>61621</v>
      </c>
      <c r="I371" s="62">
        <f t="shared" si="38"/>
        <v>5934</v>
      </c>
      <c r="J371" s="62">
        <f>+MITRE[[#This Row],[Trenes Corridos]]+SARM[[#This Row],[Trenes Corridos]]+URQ[[#This Row],[Trenes Corridos]]+ROCA[[#This Row],[Trenes Corridos]]+SM[[#This Row],[Trenes Corridos]]+BN[[#This Row],[Trenes Corridos]]+BS[[#This Row],[Trenes Corridos]]+TDC[[#This Row],[Trenes Corridos]]</f>
        <v>55687</v>
      </c>
      <c r="K371" s="62">
        <f>+MITRE[[#This Row],[Trenes Puntuales]]+SARM[[#This Row],[Trenes Puntuales]]+URQ[[#This Row],[Trenes Puntuales]]+ROCA[[#This Row],[Trenes Puntuales]]+SM[[#This Row],[Trenes Puntuales]]+BN[[#This Row],[Trenes Puntuales]]+BS[[#This Row],[Trenes Puntuales]]+TDC[[#This Row],[Trenes Puntuales]]</f>
        <v>42505</v>
      </c>
      <c r="L371" s="62">
        <f t="shared" si="39"/>
        <v>13182</v>
      </c>
    </row>
    <row r="372" spans="1:13" s="18" customFormat="1" ht="15" customHeight="1">
      <c r="A372" s="18">
        <v>2023</v>
      </c>
      <c r="B372" s="18" t="s">
        <v>42</v>
      </c>
      <c r="C372" s="61">
        <f t="shared" ref="C372" si="40">+K372/H372</f>
        <v>0.72392981582877058</v>
      </c>
      <c r="D372" s="61">
        <f t="shared" ref="D372" si="41">+K372/J372</f>
        <v>0.7919006295729113</v>
      </c>
      <c r="E372" s="61">
        <f t="shared" ref="E372" si="42">+J372/H372</f>
        <v>0.91416749626679938</v>
      </c>
      <c r="F37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2212</v>
      </c>
      <c r="G37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6.0824059894503995</v>
      </c>
      <c r="H372" s="62">
        <f>+MITRE[[#This Row],[Trenes Programados]]+SARM[[#This Row],[Trenes Programados]]+URQ[[#This Row],[Trenes Programados]]+ROCA[[#This Row],[Trenes Programados]]+SM[[#This Row],[Trenes Programados]]+BN[[#This Row],[Trenes Programados]]+BS[[#This Row],[Trenes Programados]]+TDC[[#This Row],[Trenes Programados]]</f>
        <v>64288</v>
      </c>
      <c r="I372" s="62">
        <f t="shared" ref="I372" si="43">+H372-J372</f>
        <v>5518</v>
      </c>
      <c r="J372" s="62">
        <f>+MITRE[[#This Row],[Trenes Corridos]]+SARM[[#This Row],[Trenes Corridos]]+URQ[[#This Row],[Trenes Corridos]]+ROCA[[#This Row],[Trenes Corridos]]+SM[[#This Row],[Trenes Corridos]]+BN[[#This Row],[Trenes Corridos]]+BS[[#This Row],[Trenes Corridos]]+TDC[[#This Row],[Trenes Corridos]]</f>
        <v>58770</v>
      </c>
      <c r="K372" s="62">
        <f>+MITRE[[#This Row],[Trenes Puntuales]]+SARM[[#This Row],[Trenes Puntuales]]+URQ[[#This Row],[Trenes Puntuales]]+ROCA[[#This Row],[Trenes Puntuales]]+SM[[#This Row],[Trenes Puntuales]]+BN[[#This Row],[Trenes Puntuales]]+BS[[#This Row],[Trenes Puntuales]]+TDC[[#This Row],[Trenes Puntuales]]</f>
        <v>46540</v>
      </c>
      <c r="L372" s="62">
        <f t="shared" ref="L372" si="44">+J372-K372</f>
        <v>12230</v>
      </c>
    </row>
    <row r="373" spans="1:13" s="18" customFormat="1" ht="15" customHeight="1">
      <c r="A373" s="18">
        <v>2023</v>
      </c>
      <c r="B373" s="18" t="s">
        <v>43</v>
      </c>
      <c r="C373" s="61">
        <f t="shared" ref="C373:C378" si="45">+K373/H373</f>
        <v>0.71771712907117013</v>
      </c>
      <c r="D373" s="61">
        <f t="shared" ref="D373:D378" si="46">+K373/J373</f>
        <v>0.79412402609319477</v>
      </c>
      <c r="E373" s="61">
        <f t="shared" ref="E373:E378" si="47">+J373/H373</f>
        <v>0.90378468033775639</v>
      </c>
      <c r="F37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2212</v>
      </c>
      <c r="G37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6.0978494803049763</v>
      </c>
      <c r="H373" s="62">
        <f>+MITRE[[#This Row],[Trenes Programados]]+SARM[[#This Row],[Trenes Programados]]+URQ[[#This Row],[Trenes Programados]]+ROCA[[#This Row],[Trenes Programados]]+SM[[#This Row],[Trenes Programados]]+BN[[#This Row],[Trenes Programados]]+BS[[#This Row],[Trenes Programados]]+TDC[[#This Row],[Trenes Programados]]</f>
        <v>66320</v>
      </c>
      <c r="I373" s="62">
        <f t="shared" ref="I373:I378" si="48">+H373-J373</f>
        <v>6381</v>
      </c>
      <c r="J373" s="62">
        <f>+MITRE[[#This Row],[Trenes Corridos]]+SARM[[#This Row],[Trenes Corridos]]+URQ[[#This Row],[Trenes Corridos]]+ROCA[[#This Row],[Trenes Corridos]]+SM[[#This Row],[Trenes Corridos]]+BN[[#This Row],[Trenes Corridos]]+BS[[#This Row],[Trenes Corridos]]+TDC[[#This Row],[Trenes Corridos]]</f>
        <v>59939</v>
      </c>
      <c r="K373" s="62">
        <f>+MITRE[[#This Row],[Trenes Puntuales]]+SARM[[#This Row],[Trenes Puntuales]]+URQ[[#This Row],[Trenes Puntuales]]+ROCA[[#This Row],[Trenes Puntuales]]+SM[[#This Row],[Trenes Puntuales]]+BN[[#This Row],[Trenes Puntuales]]+BS[[#This Row],[Trenes Puntuales]]+TDC[[#This Row],[Trenes Puntuales]]</f>
        <v>47599</v>
      </c>
      <c r="L373" s="62">
        <f t="shared" ref="L373:L378" si="49">+J373-K373</f>
        <v>12340</v>
      </c>
    </row>
    <row r="374" spans="1:13" s="18" customFormat="1" ht="15" customHeight="1">
      <c r="A374" s="167">
        <v>2023</v>
      </c>
      <c r="B374" s="167" t="s">
        <v>44</v>
      </c>
      <c r="C374" s="180">
        <f t="shared" si="45"/>
        <v>0.78282585428655638</v>
      </c>
      <c r="D374" s="180">
        <f t="shared" si="46"/>
        <v>0.84830148084648616</v>
      </c>
      <c r="E374" s="180">
        <f t="shared" si="47"/>
        <v>0.92281561680807833</v>
      </c>
      <c r="F37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2212</v>
      </c>
      <c r="G37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6.0981291916696083</v>
      </c>
      <c r="H374" s="62">
        <f>+MITRE[[#This Row],[Trenes Programados]]+SARM[[#This Row],[Trenes Programados]]+URQ[[#This Row],[Trenes Programados]]+ROCA[[#This Row],[Trenes Programados]]+SM[[#This Row],[Trenes Programados]]+BN[[#This Row],[Trenes Programados]]+BS[[#This Row],[Trenes Programados]]+TDC[[#This Row],[Trenes Programados]]</f>
        <v>64469</v>
      </c>
      <c r="I374" s="62">
        <f t="shared" si="48"/>
        <v>4976</v>
      </c>
      <c r="J374" s="62">
        <f>+MITRE[[#This Row],[Trenes Corridos]]+SARM[[#This Row],[Trenes Corridos]]+URQ[[#This Row],[Trenes Corridos]]+ROCA[[#This Row],[Trenes Corridos]]+SM[[#This Row],[Trenes Corridos]]+BN[[#This Row],[Trenes Corridos]]+BS[[#This Row],[Trenes Corridos]]+TDC[[#This Row],[Trenes Corridos]]</f>
        <v>59493</v>
      </c>
      <c r="K374" s="62">
        <f>+MITRE[[#This Row],[Trenes Puntuales]]+SARM[[#This Row],[Trenes Puntuales]]+URQ[[#This Row],[Trenes Puntuales]]+ROCA[[#This Row],[Trenes Puntuales]]+SM[[#This Row],[Trenes Puntuales]]+BN[[#This Row],[Trenes Puntuales]]+BS[[#This Row],[Trenes Puntuales]]+TDC[[#This Row],[Trenes Puntuales]]</f>
        <v>50468</v>
      </c>
      <c r="L374" s="62">
        <f t="shared" si="49"/>
        <v>9025</v>
      </c>
      <c r="M374" s="167"/>
    </row>
    <row r="375" spans="1:13" s="18" customFormat="1" ht="15" customHeight="1">
      <c r="A375" s="18">
        <v>2023</v>
      </c>
      <c r="B375" s="18" t="s">
        <v>45</v>
      </c>
      <c r="C375" s="180">
        <f t="shared" si="45"/>
        <v>0.78399987675622385</v>
      </c>
      <c r="D375" s="180">
        <f t="shared" si="46"/>
        <v>0.8609687188076266</v>
      </c>
      <c r="E375" s="180">
        <f t="shared" si="47"/>
        <v>0.91060204584668469</v>
      </c>
      <c r="F375" s="181">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2212</v>
      </c>
      <c r="G375" s="182">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6.0888020436820112</v>
      </c>
      <c r="H375" s="181">
        <f>+MITRE[[#This Row],[Trenes Programados]]+SARM[[#This Row],[Trenes Programados]]+URQ[[#This Row],[Trenes Programados]]+ROCA[[#This Row],[Trenes Programados]]+SM[[#This Row],[Trenes Programados]]+BN[[#This Row],[Trenes Programados]]+BS[[#This Row],[Trenes Programados]]+TDC[[#This Row],[Trenes Programados]]</f>
        <v>64912</v>
      </c>
      <c r="I375" s="181">
        <f t="shared" si="48"/>
        <v>5803</v>
      </c>
      <c r="J375" s="181">
        <f>+MITRE[[#This Row],[Trenes Corridos]]+SARM[[#This Row],[Trenes Corridos]]+URQ[[#This Row],[Trenes Corridos]]+ROCA[[#This Row],[Trenes Corridos]]+SM[[#This Row],[Trenes Corridos]]+BN[[#This Row],[Trenes Corridos]]+BS[[#This Row],[Trenes Corridos]]+TDC[[#This Row],[Trenes Corridos]]</f>
        <v>59109</v>
      </c>
      <c r="K375" s="181">
        <f>+MITRE[[#This Row],[Trenes Puntuales]]+SARM[[#This Row],[Trenes Puntuales]]+URQ[[#This Row],[Trenes Puntuales]]+ROCA[[#This Row],[Trenes Puntuales]]+SM[[#This Row],[Trenes Puntuales]]+BN[[#This Row],[Trenes Puntuales]]+BS[[#This Row],[Trenes Puntuales]]+TDC[[#This Row],[Trenes Puntuales]]</f>
        <v>50891</v>
      </c>
      <c r="L375" s="181">
        <f t="shared" si="49"/>
        <v>8218</v>
      </c>
    </row>
    <row r="376" spans="1:13" s="18" customFormat="1" ht="15" customHeight="1">
      <c r="A376" s="18">
        <v>2023</v>
      </c>
      <c r="B376" s="18" t="s">
        <v>46</v>
      </c>
      <c r="C376" s="61">
        <f t="shared" si="45"/>
        <v>0.78692210552253061</v>
      </c>
      <c r="D376" s="61">
        <f t="shared" si="46"/>
        <v>0.85767997717239874</v>
      </c>
      <c r="E376" s="61">
        <f t="shared" si="47"/>
        <v>0.91750084701389101</v>
      </c>
      <c r="F37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2224</v>
      </c>
      <c r="G37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6.1073232959027814</v>
      </c>
      <c r="H376" s="62">
        <f>+MITRE[[#This Row],[Trenes Programados]]+SARM[[#This Row],[Trenes Programados]]+URQ[[#This Row],[Trenes Programados]]+ROCA[[#This Row],[Trenes Programados]]+SM[[#This Row],[Trenes Programados]]+BN[[#This Row],[Trenes Programados]]+BS[[#This Row],[Trenes Programados]]+TDC[[#This Row],[Trenes Programados]]</f>
        <v>64934</v>
      </c>
      <c r="I376" s="62">
        <f t="shared" si="48"/>
        <v>5357</v>
      </c>
      <c r="J376" s="62">
        <f>+MITRE[[#This Row],[Trenes Corridos]]+SARM[[#This Row],[Trenes Corridos]]+URQ[[#This Row],[Trenes Corridos]]+ROCA[[#This Row],[Trenes Corridos]]+SM[[#This Row],[Trenes Corridos]]+BN[[#This Row],[Trenes Corridos]]+BS[[#This Row],[Trenes Corridos]]+TDC[[#This Row],[Trenes Corridos]]</f>
        <v>59577</v>
      </c>
      <c r="K376" s="62">
        <f>+MITRE[[#This Row],[Trenes Puntuales]]+SARM[[#This Row],[Trenes Puntuales]]+URQ[[#This Row],[Trenes Puntuales]]+ROCA[[#This Row],[Trenes Puntuales]]+SM[[#This Row],[Trenes Puntuales]]+BN[[#This Row],[Trenes Puntuales]]+BS[[#This Row],[Trenes Puntuales]]+TDC[[#This Row],[Trenes Puntuales]]</f>
        <v>51098</v>
      </c>
      <c r="L376" s="62">
        <f t="shared" si="49"/>
        <v>8479</v>
      </c>
    </row>
    <row r="377" spans="1:13" s="18" customFormat="1" ht="15" customHeight="1">
      <c r="A377" s="18">
        <v>2023</v>
      </c>
      <c r="B377" s="18" t="s">
        <v>47</v>
      </c>
      <c r="C377" s="61">
        <f t="shared" si="45"/>
        <v>0.72451807412370195</v>
      </c>
      <c r="D377" s="61">
        <f t="shared" si="46"/>
        <v>0.827412315022519</v>
      </c>
      <c r="E377" s="61">
        <f t="shared" si="47"/>
        <v>0.87564332917136156</v>
      </c>
      <c r="F37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2282</v>
      </c>
      <c r="G37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6.0999704383814146</v>
      </c>
      <c r="H377" s="62">
        <f>+MITRE[[#This Row],[Trenes Programados]]+SARM[[#This Row],[Trenes Programados]]+URQ[[#This Row],[Trenes Programados]]+ROCA[[#This Row],[Trenes Programados]]+SM[[#This Row],[Trenes Programados]]+BN[[#This Row],[Trenes Programados]]+BS[[#This Row],[Trenes Programados]]+TDC[[#This Row],[Trenes Programados]]</f>
        <v>65674</v>
      </c>
      <c r="I377" s="62">
        <f t="shared" si="48"/>
        <v>8167</v>
      </c>
      <c r="J377" s="62">
        <f>+MITRE[[#This Row],[Trenes Corridos]]+SARM[[#This Row],[Trenes Corridos]]+URQ[[#This Row],[Trenes Corridos]]+ROCA[[#This Row],[Trenes Corridos]]+SM[[#This Row],[Trenes Corridos]]+BN[[#This Row],[Trenes Corridos]]+BS[[#This Row],[Trenes Corridos]]+TDC[[#This Row],[Trenes Corridos]]</f>
        <v>57507</v>
      </c>
      <c r="K377" s="62">
        <f>+MITRE[[#This Row],[Trenes Puntuales]]+SARM[[#This Row],[Trenes Puntuales]]+URQ[[#This Row],[Trenes Puntuales]]+ROCA[[#This Row],[Trenes Puntuales]]+SM[[#This Row],[Trenes Puntuales]]+BN[[#This Row],[Trenes Puntuales]]+BS[[#This Row],[Trenes Puntuales]]+TDC[[#This Row],[Trenes Puntuales]]</f>
        <v>47582</v>
      </c>
      <c r="L377" s="62">
        <f t="shared" si="49"/>
        <v>9925</v>
      </c>
    </row>
    <row r="378" spans="1:13" s="18" customFormat="1" ht="15" customHeight="1">
      <c r="A378" s="18">
        <v>2024</v>
      </c>
      <c r="B378" s="18" t="s">
        <v>36</v>
      </c>
      <c r="C378" s="61">
        <f t="shared" si="45"/>
        <v>0.80676711201840312</v>
      </c>
      <c r="D378" s="61">
        <f t="shared" si="46"/>
        <v>0.86608880529887966</v>
      </c>
      <c r="E378" s="61">
        <f t="shared" si="47"/>
        <v>0.9315062232446184</v>
      </c>
      <c r="F37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2252</v>
      </c>
      <c r="G37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6.0949873252105649</v>
      </c>
      <c r="H378" s="62">
        <f>+MITRE[[#This Row],[Trenes Programados]]+SARM[[#This Row],[Trenes Programados]]+URQ[[#This Row],[Trenes Programados]]+ROCA[[#This Row],[Trenes Programados]]+SM[[#This Row],[Trenes Programados]]+BN[[#This Row],[Trenes Programados]]+BS[[#This Row],[Trenes Programados]]+TDC[[#This Row],[Trenes Programados]]</f>
        <v>65641</v>
      </c>
      <c r="I378" s="62">
        <f t="shared" si="48"/>
        <v>4496</v>
      </c>
      <c r="J378" s="62">
        <f>+MITRE[[#This Row],[Trenes Corridos]]+SARM[[#This Row],[Trenes Corridos]]+URQ[[#This Row],[Trenes Corridos]]+ROCA[[#This Row],[Trenes Corridos]]+SM[[#This Row],[Trenes Corridos]]+BN[[#This Row],[Trenes Corridos]]+BS[[#This Row],[Trenes Corridos]]+TDC[[#This Row],[Trenes Corridos]]</f>
        <v>61145</v>
      </c>
      <c r="K378" s="62">
        <f>+MITRE[[#This Row],[Trenes Puntuales]]+SARM[[#This Row],[Trenes Puntuales]]+URQ[[#This Row],[Trenes Puntuales]]+ROCA[[#This Row],[Trenes Puntuales]]+SM[[#This Row],[Trenes Puntuales]]+BN[[#This Row],[Trenes Puntuales]]+BS[[#This Row],[Trenes Puntuales]]+TDC[[#This Row],[Trenes Puntuales]]</f>
        <v>52957</v>
      </c>
      <c r="L378" s="62">
        <f t="shared" si="49"/>
        <v>8188</v>
      </c>
    </row>
    <row r="379" spans="1:13" s="18" customFormat="1" ht="15" customHeight="1">
      <c r="A379" s="18">
        <v>2024</v>
      </c>
      <c r="B379" s="18" t="s">
        <v>37</v>
      </c>
      <c r="C379" s="61">
        <f t="shared" ref="C379" si="50">+K379/H379</f>
        <v>0.74593105324920495</v>
      </c>
      <c r="D379" s="61">
        <f t="shared" ref="D379" si="51">+K379/J379</f>
        <v>0.83422093730979918</v>
      </c>
      <c r="E379" s="61">
        <f t="shared" ref="E379" si="52">+J379/H379</f>
        <v>0.89416486674943452</v>
      </c>
      <c r="F37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2205</v>
      </c>
      <c r="G37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5.9195640596469872</v>
      </c>
      <c r="H379" s="62">
        <f>+MITRE[[#This Row],[Trenes Programados]]+SARM[[#This Row],[Trenes Programados]]+URQ[[#This Row],[Trenes Programados]]+ROCA[[#This Row],[Trenes Programados]]+SM[[#This Row],[Trenes Programados]]+BN[[#This Row],[Trenes Programados]]+BS[[#This Row],[Trenes Programados]]+TDC[[#This Row],[Trenes Programados]]</f>
        <v>58799</v>
      </c>
      <c r="I379" s="62">
        <f t="shared" ref="I379" si="53">+H379-J379</f>
        <v>6223</v>
      </c>
      <c r="J379" s="62">
        <f>+MITRE[[#This Row],[Trenes Corridos]]+SARM[[#This Row],[Trenes Corridos]]+URQ[[#This Row],[Trenes Corridos]]+ROCA[[#This Row],[Trenes Corridos]]+SM[[#This Row],[Trenes Corridos]]+BN[[#This Row],[Trenes Corridos]]+BS[[#This Row],[Trenes Corridos]]+TDC[[#This Row],[Trenes Corridos]]</f>
        <v>52576</v>
      </c>
      <c r="K379" s="62">
        <f>+MITRE[[#This Row],[Trenes Puntuales]]+SARM[[#This Row],[Trenes Puntuales]]+URQ[[#This Row],[Trenes Puntuales]]+ROCA[[#This Row],[Trenes Puntuales]]+SM[[#This Row],[Trenes Puntuales]]+BN[[#This Row],[Trenes Puntuales]]+BS[[#This Row],[Trenes Puntuales]]+TDC[[#This Row],[Trenes Puntuales]]</f>
        <v>43860</v>
      </c>
      <c r="L379" s="62">
        <f t="shared" ref="L379" si="54">+J379-K379</f>
        <v>8716</v>
      </c>
    </row>
    <row r="380" spans="1:13" s="18" customFormat="1" ht="15" customHeight="1">
      <c r="A380" s="18">
        <v>2024</v>
      </c>
      <c r="B380" s="18" t="s">
        <v>38</v>
      </c>
      <c r="C380" s="61">
        <f t="shared" ref="C380:C385" si="55">+K380/H380</f>
        <v>0.74616788615916396</v>
      </c>
      <c r="D380" s="61">
        <f t="shared" ref="D380:D385" si="56">+K380/J380</f>
        <v>0.79378662130350364</v>
      </c>
      <c r="E380" s="61">
        <f t="shared" ref="E380:E385" si="57">+J380/H380</f>
        <v>0.94001066046421478</v>
      </c>
      <c r="F38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2242</v>
      </c>
      <c r="G38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5.9233981133048097</v>
      </c>
      <c r="H380" s="62">
        <f>+MITRE[[#This Row],[Trenes Programados]]+SARM[[#This Row],[Trenes Programados]]+URQ[[#This Row],[Trenes Programados]]+ROCA[[#This Row],[Trenes Programados]]+SM[[#This Row],[Trenes Programados]]+BN[[#This Row],[Trenes Programados]]+BS[[#This Row],[Trenes Programados]]+TDC[[#This Row],[Trenes Programados]]</f>
        <v>61911</v>
      </c>
      <c r="I380" s="62">
        <f t="shared" ref="I380:I385" si="58">+H380-J380</f>
        <v>3714</v>
      </c>
      <c r="J380" s="62">
        <f>+MITRE[[#This Row],[Trenes Corridos]]+SARM[[#This Row],[Trenes Corridos]]+URQ[[#This Row],[Trenes Corridos]]+ROCA[[#This Row],[Trenes Corridos]]+SM[[#This Row],[Trenes Corridos]]+BN[[#This Row],[Trenes Corridos]]+BS[[#This Row],[Trenes Corridos]]+TDC[[#This Row],[Trenes Corridos]]</f>
        <v>58197</v>
      </c>
      <c r="K380" s="62">
        <f>+MITRE[[#This Row],[Trenes Puntuales]]+SARM[[#This Row],[Trenes Puntuales]]+URQ[[#This Row],[Trenes Puntuales]]+ROCA[[#This Row],[Trenes Puntuales]]+SM[[#This Row],[Trenes Puntuales]]+BN[[#This Row],[Trenes Puntuales]]+BS[[#This Row],[Trenes Puntuales]]+TDC[[#This Row],[Trenes Puntuales]]</f>
        <v>46196</v>
      </c>
      <c r="L380" s="62">
        <f t="shared" ref="L380:L385" si="59">+J380-K380</f>
        <v>12001</v>
      </c>
    </row>
    <row r="381" spans="1:13" s="18" customFormat="1" ht="15" customHeight="1">
      <c r="A381" s="18">
        <v>2024</v>
      </c>
      <c r="B381" s="18" t="s">
        <v>39</v>
      </c>
      <c r="C381" s="61">
        <f t="shared" si="55"/>
        <v>0.70122905772241284</v>
      </c>
      <c r="D381" s="61">
        <f t="shared" si="56"/>
        <v>0.74821856952465571</v>
      </c>
      <c r="E381" s="61">
        <f t="shared" si="57"/>
        <v>0.93719814808646706</v>
      </c>
      <c r="F38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2242</v>
      </c>
      <c r="G38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5.9543314082629939</v>
      </c>
      <c r="H381" s="62">
        <f>+MITRE[[#This Row],[Trenes Programados]]+SARM[[#This Row],[Trenes Programados]]+URQ[[#This Row],[Trenes Programados]]+ROCA[[#This Row],[Trenes Programados]]+SM[[#This Row],[Trenes Programados]]+BN[[#This Row],[Trenes Programados]]+BS[[#This Row],[Trenes Programados]]+TDC[[#This Row],[Trenes Programados]]</f>
        <v>60046</v>
      </c>
      <c r="I381" s="62">
        <f t="shared" si="58"/>
        <v>3771</v>
      </c>
      <c r="J381" s="62">
        <f>+MITRE[[#This Row],[Trenes Corridos]]+SARM[[#This Row],[Trenes Corridos]]+URQ[[#This Row],[Trenes Corridos]]+ROCA[[#This Row],[Trenes Corridos]]+SM[[#This Row],[Trenes Corridos]]+BN[[#This Row],[Trenes Corridos]]+BS[[#This Row],[Trenes Corridos]]+TDC[[#This Row],[Trenes Corridos]]</f>
        <v>56275</v>
      </c>
      <c r="K381" s="62">
        <f>+MITRE[[#This Row],[Trenes Puntuales]]+SARM[[#This Row],[Trenes Puntuales]]+URQ[[#This Row],[Trenes Puntuales]]+ROCA[[#This Row],[Trenes Puntuales]]+SM[[#This Row],[Trenes Puntuales]]+BN[[#This Row],[Trenes Puntuales]]+BS[[#This Row],[Trenes Puntuales]]+TDC[[#This Row],[Trenes Puntuales]]</f>
        <v>42106</v>
      </c>
      <c r="L381" s="62">
        <f t="shared" si="59"/>
        <v>14169</v>
      </c>
    </row>
    <row r="382" spans="1:13" s="18" customFormat="1" ht="15" customHeight="1">
      <c r="A382" s="18">
        <v>2024</v>
      </c>
      <c r="B382" s="18" t="s">
        <v>40</v>
      </c>
      <c r="C382" s="61">
        <f t="shared" si="55"/>
        <v>0.609893301030483</v>
      </c>
      <c r="D382" s="61">
        <f t="shared" si="56"/>
        <v>0.67992452271718218</v>
      </c>
      <c r="E382" s="61">
        <f t="shared" si="57"/>
        <v>0.89700147685976472</v>
      </c>
      <c r="F38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2236</v>
      </c>
      <c r="G38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5.9045434364362883</v>
      </c>
      <c r="H382" s="62">
        <f>+MITRE[[#This Row],[Trenes Programados]]+SARM[[#This Row],[Trenes Programados]]+URQ[[#This Row],[Trenes Programados]]+ROCA[[#This Row],[Trenes Programados]]+SM[[#This Row],[Trenes Programados]]+BN[[#This Row],[Trenes Programados]]+BS[[#This Row],[Trenes Programados]]+TDC[[#This Row],[Trenes Programados]]</f>
        <v>60263</v>
      </c>
      <c r="I382" s="62">
        <f t="shared" si="58"/>
        <v>6207</v>
      </c>
      <c r="J382" s="62">
        <f>+MITRE[[#This Row],[Trenes Corridos]]+SARM[[#This Row],[Trenes Corridos]]+URQ[[#This Row],[Trenes Corridos]]+ROCA[[#This Row],[Trenes Corridos]]+SM[[#This Row],[Trenes Corridos]]+BN[[#This Row],[Trenes Corridos]]+BS[[#This Row],[Trenes Corridos]]+TDC[[#This Row],[Trenes Corridos]]</f>
        <v>54056</v>
      </c>
      <c r="K382" s="62">
        <f>+MITRE[[#This Row],[Trenes Puntuales]]+SARM[[#This Row],[Trenes Puntuales]]+URQ[[#This Row],[Trenes Puntuales]]+ROCA[[#This Row],[Trenes Puntuales]]+SM[[#This Row],[Trenes Puntuales]]+BN[[#This Row],[Trenes Puntuales]]+BS[[#This Row],[Trenes Puntuales]]+TDC[[#This Row],[Trenes Puntuales]]</f>
        <v>36754</v>
      </c>
      <c r="L382" s="62">
        <f t="shared" si="59"/>
        <v>17302</v>
      </c>
    </row>
    <row r="383" spans="1:13" s="18" customFormat="1" ht="15" customHeight="1">
      <c r="A383" s="18">
        <v>2024</v>
      </c>
      <c r="B383" s="18" t="s">
        <v>41</v>
      </c>
      <c r="C383" s="61">
        <f t="shared" si="55"/>
        <v>0.69631683854753446</v>
      </c>
      <c r="D383" s="61">
        <f t="shared" si="56"/>
        <v>0.73612459917544659</v>
      </c>
      <c r="E383" s="61">
        <f t="shared" si="57"/>
        <v>0.94592252361556461</v>
      </c>
      <c r="F38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2236</v>
      </c>
      <c r="G38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5.9186990380210718</v>
      </c>
      <c r="H383" s="62">
        <f>+MITRE[[#This Row],[Trenes Programados]]+SARM[[#This Row],[Trenes Programados]]+URQ[[#This Row],[Trenes Programados]]+ROCA[[#This Row],[Trenes Programados]]+SM[[#This Row],[Trenes Programados]]+BN[[#This Row],[Trenes Programados]]+BS[[#This Row],[Trenes Programados]]+TDC[[#This Row],[Trenes Programados]]</f>
        <v>57695</v>
      </c>
      <c r="I383" s="62">
        <f t="shared" si="58"/>
        <v>3120</v>
      </c>
      <c r="J383" s="62">
        <f>+MITRE[[#This Row],[Trenes Corridos]]+SARM[[#This Row],[Trenes Corridos]]+URQ[[#This Row],[Trenes Corridos]]+ROCA[[#This Row],[Trenes Corridos]]+SM[[#This Row],[Trenes Corridos]]+BN[[#This Row],[Trenes Corridos]]+BS[[#This Row],[Trenes Corridos]]+TDC[[#This Row],[Trenes Corridos]]</f>
        <v>54575</v>
      </c>
      <c r="K383" s="62">
        <f>+MITRE[[#This Row],[Trenes Puntuales]]+SARM[[#This Row],[Trenes Puntuales]]+URQ[[#This Row],[Trenes Puntuales]]+ROCA[[#This Row],[Trenes Puntuales]]+SM[[#This Row],[Trenes Puntuales]]+BN[[#This Row],[Trenes Puntuales]]+BS[[#This Row],[Trenes Puntuales]]+TDC[[#This Row],[Trenes Puntuales]]</f>
        <v>40174</v>
      </c>
      <c r="L383" s="62">
        <f t="shared" si="59"/>
        <v>14401</v>
      </c>
    </row>
    <row r="384" spans="1:13" s="18" customFormat="1" ht="15" customHeight="1">
      <c r="A384" s="18">
        <v>2024</v>
      </c>
      <c r="B384" s="18" t="s">
        <v>42</v>
      </c>
      <c r="C384" s="61">
        <f t="shared" si="55"/>
        <v>0.68060441317556764</v>
      </c>
      <c r="D384" s="61">
        <f t="shared" si="56"/>
        <v>0.73329772938703786</v>
      </c>
      <c r="E384" s="61">
        <f t="shared" si="57"/>
        <v>0.92814198912695878</v>
      </c>
      <c r="F38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2160</v>
      </c>
      <c r="G38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5.9501085346104814</v>
      </c>
      <c r="H384" s="62">
        <f>+MITRE[[#This Row],[Trenes Programados]]+SARM[[#This Row],[Trenes Programados]]+URQ[[#This Row],[Trenes Programados]]+ROCA[[#This Row],[Trenes Programados]]+SM[[#This Row],[Trenes Programados]]+BN[[#This Row],[Trenes Programados]]+BS[[#This Row],[Trenes Programados]]+TDC[[#This Row],[Trenes Programados]]</f>
        <v>62540</v>
      </c>
      <c r="I384" s="62">
        <f t="shared" si="58"/>
        <v>4494</v>
      </c>
      <c r="J384" s="62">
        <f>+MITRE[[#This Row],[Trenes Corridos]]+SARM[[#This Row],[Trenes Corridos]]+URQ[[#This Row],[Trenes Corridos]]+ROCA[[#This Row],[Trenes Corridos]]+SM[[#This Row],[Trenes Corridos]]+BN[[#This Row],[Trenes Corridos]]+BS[[#This Row],[Trenes Corridos]]+TDC[[#This Row],[Trenes Corridos]]</f>
        <v>58046</v>
      </c>
      <c r="K384" s="62">
        <f>+MITRE[[#This Row],[Trenes Puntuales]]+SARM[[#This Row],[Trenes Puntuales]]+URQ[[#This Row],[Trenes Puntuales]]+ROCA[[#This Row],[Trenes Puntuales]]+SM[[#This Row],[Trenes Puntuales]]+BN[[#This Row],[Trenes Puntuales]]+BS[[#This Row],[Trenes Puntuales]]+TDC[[#This Row],[Trenes Puntuales]]</f>
        <v>42565</v>
      </c>
      <c r="L384" s="62">
        <f t="shared" si="59"/>
        <v>15481</v>
      </c>
    </row>
    <row r="385" spans="1:13" s="18" customFormat="1" ht="15" customHeight="1">
      <c r="A385" s="18">
        <v>2024</v>
      </c>
      <c r="B385" s="18" t="s">
        <v>43</v>
      </c>
      <c r="C385" s="61">
        <f t="shared" si="55"/>
        <v>0.68812273910008248</v>
      </c>
      <c r="D385" s="61">
        <f t="shared" si="56"/>
        <v>0.72908366533864544</v>
      </c>
      <c r="E385" s="61">
        <f t="shared" si="57"/>
        <v>0.94381862029574159</v>
      </c>
      <c r="F38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2161</v>
      </c>
      <c r="G38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5.9405248205490278</v>
      </c>
      <c r="H385" s="62">
        <f>+MITRE[[#This Row],[Trenes Programados]]+SARM[[#This Row],[Trenes Programados]]+URQ[[#This Row],[Trenes Programados]]+ROCA[[#This Row],[Trenes Programados]]+SM[[#This Row],[Trenes Programados]]+BN[[#This Row],[Trenes Programados]]+BS[[#This Row],[Trenes Programados]]+TDC[[#This Row],[Trenes Programados]]</f>
        <v>63028</v>
      </c>
      <c r="I385" s="62">
        <f t="shared" si="58"/>
        <v>3541</v>
      </c>
      <c r="J385" s="62">
        <f>+MITRE[[#This Row],[Trenes Corridos]]+SARM[[#This Row],[Trenes Corridos]]+URQ[[#This Row],[Trenes Corridos]]+ROCA[[#This Row],[Trenes Corridos]]+SM[[#This Row],[Trenes Corridos]]+BN[[#This Row],[Trenes Corridos]]+BS[[#This Row],[Trenes Corridos]]+TDC[[#This Row],[Trenes Corridos]]</f>
        <v>59487</v>
      </c>
      <c r="K385" s="62">
        <f>+MITRE[[#This Row],[Trenes Puntuales]]+SARM[[#This Row],[Trenes Puntuales]]+URQ[[#This Row],[Trenes Puntuales]]+ROCA[[#This Row],[Trenes Puntuales]]+SM[[#This Row],[Trenes Puntuales]]+BN[[#This Row],[Trenes Puntuales]]+BS[[#This Row],[Trenes Puntuales]]+TDC[[#This Row],[Trenes Puntuales]]</f>
        <v>43371</v>
      </c>
      <c r="L385" s="62">
        <f t="shared" si="59"/>
        <v>16116</v>
      </c>
    </row>
    <row r="386" spans="1:13" s="18" customFormat="1" ht="15" customHeight="1">
      <c r="A386" s="18">
        <v>2024</v>
      </c>
      <c r="B386" s="18" t="s">
        <v>44</v>
      </c>
      <c r="C386" s="61">
        <f>+K386/H386</f>
        <v>0.80934465820039758</v>
      </c>
      <c r="D386" s="61">
        <f>+K386/J386</f>
        <v>0.84553068790333652</v>
      </c>
      <c r="E386" s="61">
        <f>+J386/H386</f>
        <v>0.95720317402947308</v>
      </c>
      <c r="F38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2166</v>
      </c>
      <c r="G38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5.9543285733900868</v>
      </c>
      <c r="H386" s="62">
        <f>+MITRE[[#This Row],[Trenes Programados]]+SARM[[#This Row],[Trenes Programados]]+URQ[[#This Row],[Trenes Programados]]+ROCA[[#This Row],[Trenes Programados]]+SM[[#This Row],[Trenes Programados]]+BN[[#This Row],[Trenes Programados]]+BS[[#This Row],[Trenes Programados]]+TDC[[#This Row],[Trenes Programados]]</f>
        <v>60869</v>
      </c>
      <c r="I386" s="62">
        <f>+H386-J386</f>
        <v>2605</v>
      </c>
      <c r="J386" s="62">
        <f>+MITRE[[#This Row],[Trenes Corridos]]+SARM[[#This Row],[Trenes Corridos]]+URQ[[#This Row],[Trenes Corridos]]+ROCA[[#This Row],[Trenes Corridos]]+SM[[#This Row],[Trenes Corridos]]+BN[[#This Row],[Trenes Corridos]]+BS[[#This Row],[Trenes Corridos]]+TDC[[#This Row],[Trenes Corridos]]</f>
        <v>58264</v>
      </c>
      <c r="K386" s="62">
        <f>+MITRE[[#This Row],[Trenes Puntuales]]+SARM[[#This Row],[Trenes Puntuales]]+URQ[[#This Row],[Trenes Puntuales]]+ROCA[[#This Row],[Trenes Puntuales]]+SM[[#This Row],[Trenes Puntuales]]+BN[[#This Row],[Trenes Puntuales]]+BS[[#This Row],[Trenes Puntuales]]+TDC[[#This Row],[Trenes Puntuales]]</f>
        <v>49264</v>
      </c>
      <c r="L386" s="62">
        <f>+J386-K386</f>
        <v>9000</v>
      </c>
    </row>
    <row r="387" spans="1:13" s="18" customFormat="1" ht="15" customHeight="1">
      <c r="A387" s="2" t="s">
        <v>152</v>
      </c>
      <c r="B387" s="2"/>
      <c r="C387" s="195">
        <f>+RED[[#Totals],[Trenes Puntuales]]/RED[[#Totals],[Trenes Programados]]</f>
        <v>0.82706600021807819</v>
      </c>
      <c r="D387" s="195">
        <f>+RED[[#Totals],[Trenes Puntuales]]/RED[[#Totals],[Trenes Corridos]]</f>
        <v>0.88118595637885944</v>
      </c>
      <c r="E387" s="195">
        <f>+RED[[#Totals],[Trenes Corridos]]/RED[[#Totals],[Trenes Programados]]</f>
        <v>0.93858282038086327</v>
      </c>
      <c r="F387" s="197"/>
      <c r="G387" s="197"/>
      <c r="H387" s="197">
        <f>SUBTOTAL(109,RED[Trenes Programados])</f>
        <v>24147299</v>
      </c>
      <c r="I387" s="197">
        <f>SUBTOTAL(109,RED[Trenes Cancelados])</f>
        <v>1483059</v>
      </c>
      <c r="J387" s="197">
        <f>SUBTOTAL(109,RED[Trenes Corridos])</f>
        <v>22664240</v>
      </c>
      <c r="K387" s="197">
        <f>SUBTOTAL(109,RED[Trenes Puntuales])</f>
        <v>19971410</v>
      </c>
      <c r="L387" s="197">
        <f>SUBTOTAL(109,RED[Trenes Atrasados])</f>
        <v>2692830</v>
      </c>
      <c r="M387" s="2">
        <f>SUBTOTAL(103,RED[Observaciones])</f>
        <v>1</v>
      </c>
    </row>
    <row r="388" spans="1:13" s="18" customFormat="1" ht="15" customHeight="1">
      <c r="C388" s="40"/>
      <c r="D388" s="40"/>
      <c r="E388" s="40"/>
      <c r="F388" s="40"/>
      <c r="G388" s="40"/>
      <c r="H388" s="16"/>
      <c r="I388" s="16"/>
      <c r="J388" s="16"/>
      <c r="K388" s="16"/>
      <c r="L388" s="16"/>
    </row>
    <row r="389" spans="1:13" s="18" customFormat="1" ht="15" customHeight="1">
      <c r="C389" s="40"/>
      <c r="D389" s="40"/>
      <c r="E389" s="40"/>
      <c r="F389" s="40"/>
      <c r="G389" s="40"/>
      <c r="H389" s="16"/>
      <c r="I389" s="16"/>
      <c r="J389" s="16"/>
      <c r="K389" s="16"/>
      <c r="L389" s="16"/>
    </row>
    <row r="390" spans="1:13" s="18" customFormat="1" ht="15" customHeight="1">
      <c r="C390" s="40"/>
      <c r="D390" s="40"/>
      <c r="E390" s="40"/>
      <c r="F390" s="40"/>
      <c r="G390" s="40"/>
      <c r="H390" s="16"/>
      <c r="I390" s="16"/>
      <c r="J390" s="16"/>
      <c r="K390" s="16"/>
      <c r="L390" s="16"/>
    </row>
    <row r="391" spans="1:13" s="18" customFormat="1" ht="15" customHeight="1">
      <c r="C391" s="40"/>
      <c r="D391" s="40"/>
      <c r="E391" s="40"/>
      <c r="F391" s="40"/>
      <c r="G391" s="40"/>
      <c r="H391" s="16"/>
      <c r="I391" s="16"/>
      <c r="J391" s="16"/>
      <c r="K391" s="16"/>
      <c r="L391" s="16"/>
    </row>
    <row r="392" spans="1:13" s="18" customFormat="1" ht="15" customHeight="1">
      <c r="C392" s="40"/>
      <c r="D392" s="40"/>
      <c r="E392" s="40"/>
      <c r="F392" s="40"/>
      <c r="G392" s="40"/>
      <c r="H392" s="16"/>
      <c r="I392" s="16"/>
      <c r="J392" s="16"/>
      <c r="K392" s="16"/>
      <c r="L392" s="16"/>
    </row>
    <row r="393" spans="1:13" s="18" customFormat="1" ht="15" customHeight="1">
      <c r="C393" s="40"/>
      <c r="D393" s="40"/>
      <c r="E393" s="40"/>
      <c r="F393" s="40"/>
      <c r="G393" s="40"/>
      <c r="H393" s="16"/>
      <c r="I393" s="16"/>
      <c r="J393" s="16"/>
      <c r="K393" s="16"/>
      <c r="L393" s="16"/>
    </row>
    <row r="394" spans="1:13" s="18" customFormat="1" ht="15" customHeight="1">
      <c r="C394" s="40"/>
      <c r="D394" s="40"/>
      <c r="E394" s="40"/>
      <c r="F394" s="40"/>
      <c r="G394" s="40"/>
      <c r="H394" s="16"/>
      <c r="I394" s="16"/>
      <c r="J394" s="16"/>
      <c r="K394" s="16"/>
      <c r="L394" s="16"/>
    </row>
    <row r="395" spans="1:13" s="18" customFormat="1" ht="15" customHeight="1">
      <c r="C395" s="40"/>
      <c r="D395" s="40"/>
      <c r="E395" s="40"/>
      <c r="F395" s="40"/>
      <c r="G395" s="40"/>
      <c r="H395" s="16"/>
      <c r="I395" s="16"/>
      <c r="J395" s="16"/>
      <c r="K395" s="16"/>
      <c r="L395" s="16"/>
    </row>
    <row r="396" spans="1:13" s="18" customFormat="1" ht="15" customHeight="1">
      <c r="C396" s="40"/>
      <c r="D396" s="40"/>
      <c r="E396" s="40"/>
      <c r="F396" s="40"/>
      <c r="G396" s="40"/>
      <c r="H396" s="16"/>
      <c r="I396" s="16"/>
      <c r="J396" s="16"/>
      <c r="K396" s="16"/>
      <c r="L396" s="16"/>
    </row>
    <row r="397" spans="1:13" s="18" customFormat="1" ht="15" customHeight="1">
      <c r="C397" s="40"/>
      <c r="D397" s="40"/>
      <c r="E397" s="40"/>
      <c r="F397" s="40"/>
      <c r="G397" s="40"/>
      <c r="H397" s="16"/>
      <c r="I397" s="16"/>
      <c r="J397" s="16"/>
      <c r="K397" s="16"/>
      <c r="L397" s="16"/>
    </row>
    <row r="398" spans="1:13" s="18" customFormat="1" ht="15" customHeight="1">
      <c r="C398" s="40"/>
      <c r="D398" s="40"/>
      <c r="E398" s="40"/>
      <c r="F398" s="40"/>
      <c r="G398" s="40"/>
      <c r="H398" s="40"/>
      <c r="I398" s="40"/>
      <c r="J398" s="40"/>
      <c r="K398" s="40"/>
      <c r="L398" s="40"/>
    </row>
    <row r="399" spans="1:13" s="18" customFormat="1" ht="15" customHeight="1">
      <c r="C399" s="40"/>
      <c r="D399" s="40"/>
      <c r="E399" s="40"/>
      <c r="F399" s="40"/>
      <c r="G399" s="40"/>
      <c r="H399" s="40"/>
      <c r="I399" s="40"/>
      <c r="J399" s="40"/>
      <c r="K399" s="40"/>
      <c r="L399" s="40"/>
    </row>
    <row r="400" spans="1:13" s="18" customFormat="1" ht="15" customHeight="1">
      <c r="C400" s="40"/>
      <c r="D400" s="40"/>
      <c r="E400" s="40"/>
      <c r="F400" s="40"/>
      <c r="G400" s="40"/>
      <c r="H400" s="40"/>
      <c r="I400" s="40"/>
      <c r="J400" s="40"/>
      <c r="K400" s="40"/>
      <c r="L400" s="40"/>
    </row>
    <row r="401" spans="1:12" s="18" customFormat="1" ht="38.25">
      <c r="A401" s="284" t="s">
        <v>230</v>
      </c>
      <c r="B401" s="14" t="s">
        <v>116</v>
      </c>
      <c r="C401" s="14" t="s">
        <v>117</v>
      </c>
      <c r="D401" s="14" t="s">
        <v>118</v>
      </c>
      <c r="E401" s="14" t="s">
        <v>120</v>
      </c>
      <c r="F401" s="14" t="s">
        <v>119</v>
      </c>
      <c r="G401" s="14" t="s">
        <v>228</v>
      </c>
      <c r="H401" s="285" t="s">
        <v>229</v>
      </c>
      <c r="I401" s="40"/>
      <c r="J401" s="40"/>
      <c r="K401" s="40"/>
      <c r="L401" s="40"/>
    </row>
    <row r="402" spans="1:12" s="18" customFormat="1" ht="15" customHeight="1">
      <c r="A402" s="212">
        <v>1993</v>
      </c>
      <c r="B402" s="213">
        <v>652012</v>
      </c>
      <c r="C402" s="213">
        <v>83876</v>
      </c>
      <c r="D402" s="213">
        <v>568136</v>
      </c>
      <c r="E402" s="213">
        <v>503702</v>
      </c>
      <c r="F402" s="213">
        <v>64434</v>
      </c>
      <c r="G402" s="214">
        <v>0.77253486132157079</v>
      </c>
      <c r="H402" s="214">
        <v>0.87135819586142582</v>
      </c>
      <c r="I402" s="40"/>
      <c r="J402" s="40"/>
      <c r="K402" s="40"/>
      <c r="L402" s="40"/>
    </row>
    <row r="403" spans="1:12" s="18" customFormat="1" ht="15" customHeight="1">
      <c r="A403" s="212">
        <v>1994</v>
      </c>
      <c r="B403" s="213">
        <v>652692</v>
      </c>
      <c r="C403" s="213">
        <v>72192</v>
      </c>
      <c r="D403" s="213">
        <v>580500</v>
      </c>
      <c r="E403" s="213">
        <v>516271</v>
      </c>
      <c r="F403" s="213">
        <v>64229</v>
      </c>
      <c r="G403" s="214">
        <v>0.79098717312300437</v>
      </c>
      <c r="H403" s="214">
        <v>0.88939346583074408</v>
      </c>
      <c r="I403" s="40"/>
      <c r="J403" s="40"/>
      <c r="K403" s="40"/>
      <c r="L403" s="40"/>
    </row>
    <row r="404" spans="1:12" s="18" customFormat="1" ht="15" customHeight="1">
      <c r="A404" s="212">
        <v>1995</v>
      </c>
      <c r="B404" s="213">
        <v>670674</v>
      </c>
      <c r="C404" s="213">
        <v>20974</v>
      </c>
      <c r="D404" s="213">
        <v>649700</v>
      </c>
      <c r="E404" s="213">
        <v>609465</v>
      </c>
      <c r="F404" s="213">
        <v>40235</v>
      </c>
      <c r="G404" s="214">
        <v>0.90873509335385005</v>
      </c>
      <c r="H404" s="214">
        <v>0.96872698211053354</v>
      </c>
      <c r="I404" s="40"/>
      <c r="J404" s="40"/>
      <c r="K404" s="40"/>
      <c r="L404" s="40"/>
    </row>
    <row r="405" spans="1:12" s="18" customFormat="1" ht="15" customHeight="1">
      <c r="A405" s="212">
        <v>1996</v>
      </c>
      <c r="B405" s="213">
        <v>737955</v>
      </c>
      <c r="C405" s="213">
        <v>17877</v>
      </c>
      <c r="D405" s="213">
        <v>720078</v>
      </c>
      <c r="E405" s="213">
        <v>695885</v>
      </c>
      <c r="F405" s="213">
        <v>24193</v>
      </c>
      <c r="G405" s="214">
        <v>0.94299110379359175</v>
      </c>
      <c r="H405" s="214">
        <v>0.97577494562676581</v>
      </c>
      <c r="I405" s="40"/>
      <c r="J405" s="40"/>
      <c r="K405" s="40"/>
      <c r="L405" s="40"/>
    </row>
    <row r="406" spans="1:12" s="18" customFormat="1" ht="15" customHeight="1">
      <c r="A406" s="212">
        <v>1997</v>
      </c>
      <c r="B406" s="213">
        <v>790693</v>
      </c>
      <c r="C406" s="213">
        <v>8880</v>
      </c>
      <c r="D406" s="213">
        <v>781813</v>
      </c>
      <c r="E406" s="213">
        <v>757408</v>
      </c>
      <c r="F406" s="213">
        <v>24405</v>
      </c>
      <c r="G406" s="214">
        <v>0.95790401584432894</v>
      </c>
      <c r="H406" s="214">
        <v>0.98876934537171823</v>
      </c>
      <c r="I406" s="40"/>
      <c r="J406" s="40"/>
      <c r="K406" s="40"/>
      <c r="L406" s="40"/>
    </row>
    <row r="407" spans="1:12" s="18" customFormat="1" ht="15" customHeight="1">
      <c r="A407" s="212">
        <v>1998</v>
      </c>
      <c r="B407" s="213">
        <v>839883</v>
      </c>
      <c r="C407" s="213">
        <v>9864</v>
      </c>
      <c r="D407" s="213">
        <v>830019</v>
      </c>
      <c r="E407" s="213">
        <v>811433</v>
      </c>
      <c r="F407" s="213">
        <v>18586</v>
      </c>
      <c r="G407" s="214">
        <v>0.96612623424929422</v>
      </c>
      <c r="H407" s="214">
        <v>0.98825550701704878</v>
      </c>
      <c r="I407" s="40"/>
      <c r="J407" s="40"/>
      <c r="K407" s="40"/>
      <c r="L407" s="40"/>
    </row>
    <row r="408" spans="1:12" s="18" customFormat="1" ht="15" customHeight="1">
      <c r="A408" s="212">
        <v>1999</v>
      </c>
      <c r="B408" s="213">
        <v>870787</v>
      </c>
      <c r="C408" s="213">
        <v>8103</v>
      </c>
      <c r="D408" s="213">
        <v>862684</v>
      </c>
      <c r="E408" s="213">
        <v>840798</v>
      </c>
      <c r="F408" s="213">
        <v>21886</v>
      </c>
      <c r="G408" s="214">
        <v>0.96556103846290764</v>
      </c>
      <c r="H408" s="214">
        <v>0.9906946245178212</v>
      </c>
      <c r="I408" s="40"/>
      <c r="J408" s="40"/>
      <c r="K408" s="40"/>
      <c r="L408" s="40"/>
    </row>
    <row r="409" spans="1:12" s="18" customFormat="1" ht="15" customHeight="1">
      <c r="A409" s="212">
        <v>2000</v>
      </c>
      <c r="B409" s="213">
        <v>879270</v>
      </c>
      <c r="C409" s="213">
        <v>16645</v>
      </c>
      <c r="D409" s="213">
        <v>862625</v>
      </c>
      <c r="E409" s="213">
        <v>836846</v>
      </c>
      <c r="F409" s="213">
        <v>25779</v>
      </c>
      <c r="G409" s="214">
        <v>0.95175088425625798</v>
      </c>
      <c r="H409" s="214">
        <v>0.98106952358206234</v>
      </c>
      <c r="I409" s="40"/>
      <c r="J409" s="40"/>
      <c r="K409" s="40"/>
      <c r="L409" s="40"/>
    </row>
    <row r="410" spans="1:12" s="18" customFormat="1" ht="15" customHeight="1">
      <c r="A410" s="212">
        <v>2001</v>
      </c>
      <c r="B410" s="213">
        <v>910295</v>
      </c>
      <c r="C410" s="213">
        <v>27927</v>
      </c>
      <c r="D410" s="213">
        <v>882368</v>
      </c>
      <c r="E410" s="213">
        <v>853923</v>
      </c>
      <c r="F410" s="213">
        <v>28445</v>
      </c>
      <c r="G410" s="214">
        <v>0.93807282254653712</v>
      </c>
      <c r="H410" s="214">
        <v>0.96932093442235756</v>
      </c>
      <c r="I410" s="40"/>
      <c r="J410" s="40"/>
      <c r="K410" s="40"/>
      <c r="L410" s="40"/>
    </row>
    <row r="411" spans="1:12" s="18" customFormat="1" ht="15" customHeight="1">
      <c r="A411" s="212">
        <v>2002</v>
      </c>
      <c r="B411" s="213">
        <v>853464</v>
      </c>
      <c r="C411" s="213">
        <v>72550</v>
      </c>
      <c r="D411" s="213">
        <v>780914</v>
      </c>
      <c r="E411" s="213">
        <v>738588</v>
      </c>
      <c r="F411" s="213">
        <v>42326</v>
      </c>
      <c r="G411" s="214">
        <v>0.86540029807935659</v>
      </c>
      <c r="H411" s="214">
        <v>0.91499348537255232</v>
      </c>
      <c r="I411" s="40"/>
      <c r="J411" s="40"/>
      <c r="K411" s="40"/>
      <c r="L411" s="40"/>
    </row>
    <row r="412" spans="1:12" s="18" customFormat="1" ht="15" customHeight="1">
      <c r="A412" s="212">
        <v>2003</v>
      </c>
      <c r="B412" s="213">
        <v>764547</v>
      </c>
      <c r="C412" s="213">
        <v>47865</v>
      </c>
      <c r="D412" s="213">
        <v>716682</v>
      </c>
      <c r="E412" s="213">
        <v>656099</v>
      </c>
      <c r="F412" s="213">
        <v>60583</v>
      </c>
      <c r="G412" s="214">
        <v>0.85815391336307645</v>
      </c>
      <c r="H412" s="214">
        <v>0.93739430015420899</v>
      </c>
      <c r="I412" s="40"/>
      <c r="J412" s="40"/>
      <c r="K412" s="40"/>
      <c r="L412" s="40"/>
    </row>
    <row r="413" spans="1:12" s="18" customFormat="1" ht="15" customHeight="1">
      <c r="A413" s="212">
        <v>2004</v>
      </c>
      <c r="B413" s="213">
        <v>755783</v>
      </c>
      <c r="C413" s="213">
        <v>49959</v>
      </c>
      <c r="D413" s="213">
        <v>705824</v>
      </c>
      <c r="E413" s="213">
        <v>621487</v>
      </c>
      <c r="F413" s="213">
        <v>84337</v>
      </c>
      <c r="G413" s="214">
        <v>0.82230878439975497</v>
      </c>
      <c r="H413" s="214">
        <v>0.93389769285628277</v>
      </c>
      <c r="I413" s="40"/>
      <c r="J413" s="40"/>
      <c r="K413" s="40"/>
      <c r="L413" s="40"/>
    </row>
    <row r="414" spans="1:12" s="18" customFormat="1" ht="15" customHeight="1">
      <c r="A414" s="212">
        <v>2005</v>
      </c>
      <c r="B414" s="213">
        <v>744980</v>
      </c>
      <c r="C414" s="213">
        <v>33895</v>
      </c>
      <c r="D414" s="213">
        <v>711085</v>
      </c>
      <c r="E414" s="213">
        <v>615746</v>
      </c>
      <c r="F414" s="213">
        <v>95339</v>
      </c>
      <c r="G414" s="214">
        <v>0.82652688662782892</v>
      </c>
      <c r="H414" s="214">
        <v>0.95450213428548414</v>
      </c>
      <c r="I414" s="40"/>
      <c r="J414" s="40"/>
      <c r="K414" s="40"/>
      <c r="L414" s="40"/>
    </row>
    <row r="415" spans="1:12" s="18" customFormat="1" ht="15" customHeight="1">
      <c r="A415" s="212">
        <v>2006</v>
      </c>
      <c r="B415" s="213">
        <v>753933</v>
      </c>
      <c r="C415" s="213">
        <v>34004</v>
      </c>
      <c r="D415" s="213">
        <v>719929</v>
      </c>
      <c r="E415" s="213">
        <v>620087</v>
      </c>
      <c r="F415" s="213">
        <v>99842</v>
      </c>
      <c r="G415" s="214">
        <v>0.82246963589602795</v>
      </c>
      <c r="H415" s="214">
        <v>0.95489784901310859</v>
      </c>
      <c r="I415" s="40"/>
      <c r="J415" s="40"/>
      <c r="K415" s="40"/>
      <c r="L415" s="40"/>
    </row>
    <row r="416" spans="1:12" s="18" customFormat="1" ht="15" customHeight="1">
      <c r="A416" s="212">
        <v>2007</v>
      </c>
      <c r="B416" s="213">
        <v>758435</v>
      </c>
      <c r="C416" s="213">
        <v>39063</v>
      </c>
      <c r="D416" s="213">
        <v>719372</v>
      </c>
      <c r="E416" s="213">
        <v>597873</v>
      </c>
      <c r="F416" s="213">
        <v>121499</v>
      </c>
      <c r="G416" s="214">
        <v>0.78829827209978443</v>
      </c>
      <c r="H416" s="214">
        <v>0.94849525667987367</v>
      </c>
      <c r="I416" s="40"/>
      <c r="J416" s="40"/>
      <c r="K416" s="40"/>
      <c r="L416" s="40"/>
    </row>
    <row r="417" spans="1:12" s="18" customFormat="1" ht="15" customHeight="1">
      <c r="A417" s="212">
        <v>2008</v>
      </c>
      <c r="B417" s="213">
        <v>763306</v>
      </c>
      <c r="C417" s="213">
        <v>30333</v>
      </c>
      <c r="D417" s="213">
        <v>732973</v>
      </c>
      <c r="E417" s="213">
        <v>643587</v>
      </c>
      <c r="F417" s="213">
        <v>89386</v>
      </c>
      <c r="G417" s="214">
        <v>0.84315726589336382</v>
      </c>
      <c r="H417" s="214">
        <v>0.96026102244709199</v>
      </c>
      <c r="I417" s="40"/>
      <c r="J417" s="40"/>
      <c r="K417" s="40"/>
      <c r="L417" s="40"/>
    </row>
    <row r="418" spans="1:12" s="18" customFormat="1" ht="15" customHeight="1">
      <c r="A418" s="212">
        <v>2009</v>
      </c>
      <c r="B418" s="213">
        <v>794481</v>
      </c>
      <c r="C418" s="213">
        <v>22438</v>
      </c>
      <c r="D418" s="213">
        <v>772043</v>
      </c>
      <c r="E418" s="213">
        <v>686436</v>
      </c>
      <c r="F418" s="213">
        <v>85607</v>
      </c>
      <c r="G418" s="214">
        <v>0.86400555834563697</v>
      </c>
      <c r="H418" s="214">
        <v>0.97175766317885515</v>
      </c>
      <c r="I418" s="40"/>
      <c r="J418" s="40"/>
      <c r="K418" s="40"/>
      <c r="L418" s="40"/>
    </row>
    <row r="419" spans="1:12" s="18" customFormat="1" ht="15" customHeight="1">
      <c r="A419" s="212">
        <v>2010</v>
      </c>
      <c r="B419" s="213">
        <v>800746</v>
      </c>
      <c r="C419" s="213">
        <v>28883</v>
      </c>
      <c r="D419" s="213">
        <v>771863</v>
      </c>
      <c r="E419" s="213">
        <v>683829</v>
      </c>
      <c r="F419" s="213">
        <v>88034</v>
      </c>
      <c r="G419" s="214">
        <v>0.8539899044141338</v>
      </c>
      <c r="H419" s="214">
        <v>0.9639298853818814</v>
      </c>
      <c r="I419" s="40"/>
      <c r="J419" s="40"/>
      <c r="K419" s="40"/>
      <c r="L419" s="40"/>
    </row>
    <row r="420" spans="1:12" s="18" customFormat="1" ht="15" customHeight="1">
      <c r="A420" s="212">
        <v>2011</v>
      </c>
      <c r="B420" s="213">
        <v>803302</v>
      </c>
      <c r="C420" s="213">
        <v>45755</v>
      </c>
      <c r="D420" s="213">
        <v>757547</v>
      </c>
      <c r="E420" s="213">
        <v>625396</v>
      </c>
      <c r="F420" s="213">
        <v>132151</v>
      </c>
      <c r="G420" s="214">
        <v>0.77853161077651989</v>
      </c>
      <c r="H420" s="214">
        <v>0.94304134684091412</v>
      </c>
      <c r="I420" s="40"/>
      <c r="J420" s="40"/>
      <c r="K420" s="40"/>
      <c r="L420" s="40"/>
    </row>
    <row r="421" spans="1:12" s="18" customFormat="1" ht="15" customHeight="1">
      <c r="A421" s="212">
        <v>2012</v>
      </c>
      <c r="B421" s="213">
        <v>805202</v>
      </c>
      <c r="C421" s="213">
        <v>90019</v>
      </c>
      <c r="D421" s="213">
        <v>715183</v>
      </c>
      <c r="E421" s="213">
        <v>555225</v>
      </c>
      <c r="F421" s="213">
        <v>159958</v>
      </c>
      <c r="G421" s="214">
        <v>0.68954746759198315</v>
      </c>
      <c r="H421" s="214">
        <v>0.88820320863584545</v>
      </c>
      <c r="I421" s="40"/>
      <c r="J421" s="40"/>
      <c r="K421" s="40"/>
      <c r="L421" s="40"/>
    </row>
    <row r="422" spans="1:12" s="18" customFormat="1" ht="15" customHeight="1">
      <c r="A422" s="212">
        <v>2013</v>
      </c>
      <c r="B422" s="213">
        <v>733831</v>
      </c>
      <c r="C422" s="213">
        <v>110447</v>
      </c>
      <c r="D422" s="213">
        <v>623384</v>
      </c>
      <c r="E422" s="213">
        <v>463840</v>
      </c>
      <c r="F422" s="213">
        <v>159544</v>
      </c>
      <c r="G422" s="214">
        <v>0.63208013834247945</v>
      </c>
      <c r="H422" s="214">
        <v>0.84949259434392932</v>
      </c>
      <c r="I422" s="40"/>
      <c r="J422" s="40"/>
      <c r="K422" s="40"/>
      <c r="L422" s="40"/>
    </row>
    <row r="423" spans="1:12" s="18" customFormat="1" ht="15" customHeight="1">
      <c r="A423" s="212">
        <v>2014</v>
      </c>
      <c r="B423" s="213">
        <v>690462</v>
      </c>
      <c r="C423" s="213">
        <v>71039</v>
      </c>
      <c r="D423" s="213">
        <v>619423</v>
      </c>
      <c r="E423" s="213">
        <v>481680</v>
      </c>
      <c r="F423" s="213">
        <v>137743</v>
      </c>
      <c r="G423" s="214">
        <v>0.69761985453218278</v>
      </c>
      <c r="H423" s="214">
        <v>0.89711381654602285</v>
      </c>
      <c r="I423" s="40"/>
      <c r="J423" s="40"/>
      <c r="K423" s="40"/>
      <c r="L423" s="40"/>
    </row>
    <row r="424" spans="1:12" s="18" customFormat="1" ht="15" customHeight="1">
      <c r="A424" s="212">
        <v>2015</v>
      </c>
      <c r="B424" s="213">
        <v>692158</v>
      </c>
      <c r="C424" s="213">
        <v>63159</v>
      </c>
      <c r="D424" s="213">
        <v>628999</v>
      </c>
      <c r="E424" s="213">
        <v>521618</v>
      </c>
      <c r="F424" s="213">
        <v>107381</v>
      </c>
      <c r="G424" s="214">
        <v>0.75361116970402708</v>
      </c>
      <c r="H424" s="214">
        <v>0.90875060318597778</v>
      </c>
      <c r="I424" s="40"/>
      <c r="J424" s="40"/>
      <c r="K424" s="40"/>
      <c r="L424" s="40"/>
    </row>
    <row r="425" spans="1:12" s="18" customFormat="1" ht="15" customHeight="1">
      <c r="A425" s="212">
        <v>2016</v>
      </c>
      <c r="B425" s="213">
        <v>721356</v>
      </c>
      <c r="C425" s="213">
        <v>43793</v>
      </c>
      <c r="D425" s="213">
        <v>677563</v>
      </c>
      <c r="E425" s="213">
        <v>575598</v>
      </c>
      <c r="F425" s="213">
        <v>101965</v>
      </c>
      <c r="G425" s="214">
        <v>0.79793888177266148</v>
      </c>
      <c r="H425" s="214">
        <v>0.93929072469072139</v>
      </c>
      <c r="I425" s="40"/>
      <c r="J425" s="40"/>
      <c r="K425" s="40"/>
      <c r="L425" s="40"/>
    </row>
    <row r="426" spans="1:12" s="18" customFormat="1" ht="15" customHeight="1">
      <c r="A426" s="212">
        <v>2017</v>
      </c>
      <c r="B426" s="213">
        <v>737519</v>
      </c>
      <c r="C426" s="213">
        <v>45513</v>
      </c>
      <c r="D426" s="213">
        <v>692006</v>
      </c>
      <c r="E426" s="213">
        <v>592847</v>
      </c>
      <c r="F426" s="213">
        <v>99159</v>
      </c>
      <c r="G426" s="214">
        <v>0.80383962989428071</v>
      </c>
      <c r="H426" s="214">
        <v>0.93828904746860764</v>
      </c>
      <c r="I426" s="40"/>
      <c r="J426" s="40"/>
      <c r="K426" s="40"/>
      <c r="L426" s="40"/>
    </row>
    <row r="427" spans="1:12" s="18" customFormat="1" ht="15" customHeight="1">
      <c r="A427" s="212">
        <v>2018</v>
      </c>
      <c r="B427" s="213">
        <v>768032</v>
      </c>
      <c r="C427" s="213">
        <v>45793</v>
      </c>
      <c r="D427" s="213">
        <v>722239</v>
      </c>
      <c r="E427" s="213">
        <v>607276</v>
      </c>
      <c r="F427" s="213">
        <v>114963</v>
      </c>
      <c r="G427" s="214">
        <v>0.79069101287446353</v>
      </c>
      <c r="H427" s="214">
        <v>0.9403761822424066</v>
      </c>
      <c r="I427" s="40"/>
      <c r="J427" s="40"/>
      <c r="K427" s="40"/>
      <c r="L427" s="40"/>
    </row>
    <row r="428" spans="1:12" s="18" customFormat="1" ht="15" customHeight="1">
      <c r="A428" s="212">
        <v>2019</v>
      </c>
      <c r="B428" s="213">
        <v>798164</v>
      </c>
      <c r="C428" s="213">
        <v>53214</v>
      </c>
      <c r="D428" s="213">
        <v>744950</v>
      </c>
      <c r="E428" s="213">
        <v>637530</v>
      </c>
      <c r="F428" s="213">
        <v>107420</v>
      </c>
      <c r="G428" s="214">
        <v>0.79874562120065551</v>
      </c>
      <c r="H428" s="214">
        <v>0.93332949118226327</v>
      </c>
      <c r="I428" s="40"/>
      <c r="J428" s="40"/>
      <c r="K428" s="40"/>
      <c r="L428" s="40"/>
    </row>
    <row r="429" spans="1:12" s="18" customFormat="1" ht="15" customHeight="1">
      <c r="A429" s="212">
        <v>2020</v>
      </c>
      <c r="B429" s="213">
        <v>669597</v>
      </c>
      <c r="C429" s="213">
        <v>73446</v>
      </c>
      <c r="D429" s="213">
        <v>596151</v>
      </c>
      <c r="E429" s="213">
        <v>551449</v>
      </c>
      <c r="F429" s="213">
        <v>44702</v>
      </c>
      <c r="G429" s="214">
        <v>0.82355357028182619</v>
      </c>
      <c r="H429" s="214">
        <v>0.89031312864304946</v>
      </c>
      <c r="I429" s="40"/>
      <c r="J429" s="40"/>
      <c r="K429" s="40"/>
      <c r="L429" s="40"/>
    </row>
    <row r="430" spans="1:12" s="18" customFormat="1" ht="15" customHeight="1">
      <c r="A430" s="212">
        <v>2021</v>
      </c>
      <c r="B430" s="213">
        <v>675030</v>
      </c>
      <c r="C430" s="213">
        <v>51536</v>
      </c>
      <c r="D430" s="213">
        <v>623494</v>
      </c>
      <c r="E430" s="213">
        <v>549783</v>
      </c>
      <c r="F430" s="213">
        <v>73711</v>
      </c>
      <c r="G430" s="214">
        <v>0.81445713523843388</v>
      </c>
      <c r="H430" s="214">
        <v>0.92365376353643547</v>
      </c>
      <c r="I430" s="40"/>
      <c r="J430" s="40"/>
      <c r="K430" s="40"/>
      <c r="L430" s="40"/>
    </row>
    <row r="431" spans="1:12" s="18" customFormat="1" ht="15" customHeight="1">
      <c r="A431" s="212">
        <v>2022</v>
      </c>
      <c r="B431" s="213">
        <v>742126</v>
      </c>
      <c r="C431" s="213">
        <v>56847</v>
      </c>
      <c r="D431" s="213">
        <v>685279</v>
      </c>
      <c r="E431" s="213">
        <v>560523</v>
      </c>
      <c r="F431" s="213">
        <v>124756</v>
      </c>
      <c r="G431" s="214">
        <v>0.7552935754844865</v>
      </c>
      <c r="H431" s="214">
        <v>0.9233998000339565</v>
      </c>
      <c r="I431" s="40"/>
      <c r="J431" s="40"/>
      <c r="K431" s="40"/>
      <c r="L431" s="40"/>
    </row>
    <row r="432" spans="1:12" s="18" customFormat="1" ht="15" customHeight="1">
      <c r="A432" s="212">
        <v>2023</v>
      </c>
      <c r="B432" s="213">
        <v>765792</v>
      </c>
      <c r="C432" s="213">
        <v>68999</v>
      </c>
      <c r="D432" s="213">
        <v>696793</v>
      </c>
      <c r="E432" s="213">
        <v>561935</v>
      </c>
      <c r="F432" s="213">
        <v>134858</v>
      </c>
      <c r="G432" s="214">
        <v>0.73379586101709082</v>
      </c>
      <c r="H432" s="214">
        <v>0.90989851030044711</v>
      </c>
      <c r="I432" s="40"/>
      <c r="J432" s="40"/>
      <c r="K432" s="40"/>
      <c r="L432" s="40"/>
    </row>
    <row r="433" spans="1:12" s="18" customFormat="1" ht="15" customHeight="1">
      <c r="A433" s="212">
        <v>2024</v>
      </c>
      <c r="B433" s="213">
        <v>550792</v>
      </c>
      <c r="C433" s="213">
        <v>38171</v>
      </c>
      <c r="D433" s="213">
        <v>512621</v>
      </c>
      <c r="E433" s="213">
        <v>397247</v>
      </c>
      <c r="F433" s="213">
        <v>115374</v>
      </c>
      <c r="G433" s="214">
        <v>0.72122870339438483</v>
      </c>
      <c r="H433" s="214">
        <v>0.93069797673168819</v>
      </c>
      <c r="I433" s="40"/>
      <c r="J433" s="40"/>
      <c r="K433" s="40"/>
      <c r="L433" s="40"/>
    </row>
    <row r="434" spans="1:12" s="18" customFormat="1" ht="15" customHeight="1">
      <c r="A434"/>
      <c r="B434"/>
      <c r="C434"/>
      <c r="D434"/>
      <c r="E434"/>
      <c r="F434"/>
      <c r="G434"/>
      <c r="H434"/>
      <c r="I434" s="40"/>
      <c r="J434" s="40"/>
      <c r="K434" s="40"/>
      <c r="L434" s="40"/>
    </row>
    <row r="435" spans="1:12" s="18" customFormat="1" ht="15" customHeight="1">
      <c r="C435" s="40"/>
      <c r="D435" s="40"/>
      <c r="E435" s="40"/>
      <c r="F435" s="40"/>
      <c r="G435" s="40"/>
      <c r="H435" s="40"/>
      <c r="I435" s="40"/>
      <c r="J435" s="40"/>
      <c r="K435" s="40"/>
      <c r="L435" s="40"/>
    </row>
    <row r="436" spans="1:12" s="18" customFormat="1" ht="15" customHeight="1">
      <c r="C436" s="40"/>
      <c r="D436" s="40"/>
      <c r="E436" s="40"/>
      <c r="F436" s="40"/>
      <c r="G436" s="40"/>
      <c r="H436" s="40"/>
      <c r="I436" s="40"/>
      <c r="J436" s="40"/>
      <c r="K436" s="40"/>
      <c r="L436" s="40"/>
    </row>
    <row r="437" spans="1:12" s="18" customFormat="1" ht="15" customHeight="1">
      <c r="C437" s="40"/>
      <c r="D437" s="40"/>
      <c r="E437" s="40"/>
      <c r="F437" s="40"/>
      <c r="G437" s="40"/>
      <c r="H437" s="40"/>
      <c r="I437" s="40"/>
      <c r="J437" s="40"/>
      <c r="K437" s="40"/>
      <c r="L437" s="40"/>
    </row>
    <row r="438" spans="1:12" s="18" customFormat="1" ht="15" customHeight="1">
      <c r="C438" s="40"/>
      <c r="D438" s="40"/>
      <c r="E438" s="40"/>
      <c r="F438" s="40"/>
      <c r="G438" s="40"/>
      <c r="H438" s="40"/>
      <c r="I438" s="40"/>
      <c r="J438" s="40"/>
      <c r="K438" s="40"/>
      <c r="L438" s="40"/>
    </row>
    <row r="439" spans="1:12" s="18" customFormat="1" ht="15" customHeight="1">
      <c r="C439" s="40"/>
      <c r="D439" s="40"/>
      <c r="E439" s="40"/>
      <c r="F439" s="40"/>
      <c r="G439" s="40"/>
      <c r="H439" s="40"/>
      <c r="I439" s="40"/>
      <c r="J439" s="40"/>
      <c r="K439" s="40"/>
      <c r="L439" s="40"/>
    </row>
    <row r="440" spans="1:12" s="18" customFormat="1" ht="15" customHeight="1">
      <c r="C440" s="40"/>
      <c r="D440" s="40"/>
      <c r="E440" s="40"/>
      <c r="F440" s="40"/>
      <c r="G440" s="40"/>
      <c r="H440" s="40"/>
      <c r="I440" s="40"/>
      <c r="J440" s="40"/>
      <c r="K440" s="40"/>
      <c r="L440" s="40"/>
    </row>
    <row r="441" spans="1:12" s="18" customFormat="1" ht="15" customHeight="1">
      <c r="C441" s="40"/>
      <c r="D441" s="40"/>
      <c r="E441" s="40"/>
      <c r="F441" s="40"/>
      <c r="G441" s="40"/>
      <c r="H441" s="40"/>
      <c r="I441" s="40"/>
      <c r="J441" s="40"/>
      <c r="K441" s="40"/>
      <c r="L441" s="40"/>
    </row>
    <row r="442" spans="1:12" s="18" customFormat="1" ht="15" customHeight="1">
      <c r="C442" s="40"/>
      <c r="D442" s="40"/>
      <c r="E442" s="40"/>
      <c r="F442" s="40"/>
      <c r="G442" s="40"/>
      <c r="H442" s="40"/>
      <c r="I442" s="40"/>
      <c r="J442" s="40"/>
      <c r="K442" s="40"/>
      <c r="L442" s="40"/>
    </row>
    <row r="443" spans="1:12" s="18" customFormat="1" ht="15" customHeight="1">
      <c r="C443" s="40"/>
      <c r="D443" s="40"/>
      <c r="E443" s="40"/>
      <c r="F443" s="40"/>
      <c r="G443" s="40"/>
      <c r="H443" s="40"/>
      <c r="I443" s="40"/>
      <c r="J443" s="40"/>
      <c r="K443" s="40"/>
      <c r="L443" s="40"/>
    </row>
    <row r="444" spans="1:12" s="18" customFormat="1" ht="15" customHeight="1">
      <c r="C444" s="40"/>
      <c r="D444" s="40"/>
      <c r="E444" s="40"/>
      <c r="F444" s="40"/>
      <c r="G444" s="40"/>
      <c r="H444" s="40"/>
      <c r="I444" s="40"/>
      <c r="J444" s="40"/>
      <c r="K444" s="40"/>
      <c r="L444" s="40"/>
    </row>
    <row r="445" spans="1:12" s="18" customFormat="1" ht="15" customHeight="1">
      <c r="C445" s="40"/>
      <c r="D445" s="40"/>
      <c r="E445" s="40"/>
      <c r="F445" s="40"/>
      <c r="G445" s="40"/>
      <c r="H445" s="40"/>
      <c r="I445" s="40"/>
      <c r="J445" s="40"/>
      <c r="K445" s="40"/>
      <c r="L445" s="40"/>
    </row>
    <row r="446" spans="1:12" s="18" customFormat="1" ht="15" customHeight="1">
      <c r="C446" s="40"/>
      <c r="D446" s="40"/>
      <c r="E446" s="40"/>
      <c r="F446" s="40"/>
      <c r="G446" s="40"/>
      <c r="H446" s="40"/>
      <c r="I446" s="40"/>
      <c r="J446" s="40"/>
      <c r="K446" s="40"/>
      <c r="L446" s="40"/>
    </row>
    <row r="447" spans="1:12" s="18" customFormat="1" ht="15" customHeight="1">
      <c r="C447" s="40"/>
      <c r="D447" s="40"/>
      <c r="E447" s="40"/>
      <c r="F447" s="40"/>
      <c r="G447" s="40"/>
      <c r="H447" s="40"/>
      <c r="I447" s="40"/>
      <c r="J447" s="40"/>
      <c r="K447" s="40"/>
      <c r="L447" s="40"/>
    </row>
    <row r="448" spans="1:12" s="18" customFormat="1" ht="15" customHeight="1">
      <c r="C448" s="40"/>
      <c r="D448" s="40"/>
      <c r="E448" s="40"/>
      <c r="F448" s="40"/>
      <c r="G448" s="40"/>
      <c r="H448" s="40"/>
      <c r="I448" s="40"/>
      <c r="J448" s="40"/>
      <c r="K448" s="40"/>
      <c r="L448" s="40"/>
    </row>
    <row r="449" spans="3:12" s="18" customFormat="1" ht="15" customHeight="1">
      <c r="C449" s="40"/>
      <c r="D449" s="40"/>
      <c r="E449" s="40"/>
      <c r="F449" s="40"/>
      <c r="G449" s="40"/>
      <c r="H449" s="40"/>
      <c r="I449" s="40"/>
      <c r="J449" s="40"/>
      <c r="K449" s="40"/>
      <c r="L449" s="40"/>
    </row>
    <row r="450" spans="3:12" s="18" customFormat="1" ht="15" customHeight="1">
      <c r="C450" s="40"/>
      <c r="D450" s="40"/>
      <c r="E450" s="40"/>
      <c r="F450" s="40"/>
      <c r="G450" s="40"/>
      <c r="H450" s="40"/>
      <c r="I450" s="40"/>
      <c r="J450" s="40"/>
      <c r="K450" s="40"/>
      <c r="L450" s="40"/>
    </row>
    <row r="451" spans="3:12" s="18" customFormat="1" ht="15" customHeight="1">
      <c r="C451" s="40"/>
      <c r="D451" s="40"/>
      <c r="E451" s="40"/>
      <c r="F451" s="40"/>
      <c r="G451" s="40"/>
      <c r="H451" s="40"/>
      <c r="I451" s="40"/>
      <c r="J451" s="40"/>
      <c r="K451" s="40"/>
      <c r="L451" s="40"/>
    </row>
    <row r="452" spans="3:12" s="18" customFormat="1" ht="15" customHeight="1">
      <c r="C452" s="40"/>
      <c r="D452" s="40"/>
      <c r="E452" s="40"/>
      <c r="F452" s="40"/>
      <c r="G452" s="40"/>
      <c r="H452" s="40"/>
      <c r="I452" s="40"/>
      <c r="J452" s="40"/>
      <c r="K452" s="40"/>
      <c r="L452" s="40"/>
    </row>
    <row r="453" spans="3:12" s="18" customFormat="1" ht="15" customHeight="1">
      <c r="C453" s="40"/>
      <c r="D453" s="40"/>
      <c r="E453" s="40"/>
      <c r="F453" s="40"/>
      <c r="G453" s="40"/>
      <c r="H453" s="40"/>
      <c r="I453" s="40"/>
      <c r="J453" s="40"/>
      <c r="K453" s="40"/>
      <c r="L453" s="40"/>
    </row>
    <row r="454" spans="3:12" s="18" customFormat="1" ht="15" customHeight="1">
      <c r="C454" s="40"/>
      <c r="D454" s="40"/>
      <c r="E454" s="40"/>
      <c r="F454" s="40"/>
      <c r="G454" s="40"/>
      <c r="H454" s="40"/>
      <c r="I454" s="40"/>
      <c r="J454" s="40"/>
      <c r="K454" s="40"/>
      <c r="L454" s="40"/>
    </row>
    <row r="455" spans="3:12" s="18" customFormat="1" ht="15" customHeight="1">
      <c r="C455" s="40"/>
      <c r="D455" s="40"/>
      <c r="E455" s="40"/>
      <c r="F455" s="40"/>
      <c r="G455" s="40"/>
      <c r="H455" s="40"/>
      <c r="I455" s="40"/>
      <c r="J455" s="40"/>
      <c r="K455" s="40"/>
      <c r="L455" s="40"/>
    </row>
    <row r="456" spans="3:12" s="18" customFormat="1" ht="15" customHeight="1">
      <c r="C456" s="40"/>
      <c r="D456" s="40"/>
      <c r="E456" s="40"/>
      <c r="F456" s="40"/>
      <c r="G456" s="40"/>
      <c r="H456" s="40"/>
      <c r="I456" s="40"/>
      <c r="J456" s="40"/>
      <c r="K456" s="40"/>
      <c r="L456" s="40"/>
    </row>
    <row r="457" spans="3:12" s="18" customFormat="1" ht="15" customHeight="1">
      <c r="C457" s="40"/>
      <c r="D457" s="40"/>
      <c r="E457" s="40"/>
      <c r="F457" s="40"/>
      <c r="G457" s="40"/>
      <c r="H457" s="40"/>
      <c r="I457" s="40"/>
      <c r="J457" s="40"/>
      <c r="K457" s="40"/>
      <c r="L457" s="40"/>
    </row>
    <row r="458" spans="3:12" s="18" customFormat="1" ht="15" customHeight="1">
      <c r="C458" s="40"/>
      <c r="D458" s="40"/>
      <c r="E458" s="40"/>
      <c r="F458" s="40"/>
      <c r="G458" s="40"/>
      <c r="H458" s="40"/>
      <c r="I458" s="40"/>
      <c r="J458" s="40"/>
      <c r="K458" s="40"/>
      <c r="L458" s="40"/>
    </row>
    <row r="459" spans="3:12" s="18" customFormat="1" ht="15" customHeight="1">
      <c r="C459" s="40"/>
      <c r="D459" s="40"/>
      <c r="E459" s="40"/>
      <c r="F459" s="40"/>
      <c r="G459" s="40"/>
      <c r="H459" s="40"/>
      <c r="I459" s="40"/>
      <c r="J459" s="40"/>
      <c r="K459" s="40"/>
      <c r="L459" s="40"/>
    </row>
    <row r="460" spans="3:12" s="18" customFormat="1" ht="15" customHeight="1">
      <c r="C460" s="40"/>
      <c r="D460" s="40"/>
      <c r="E460" s="40"/>
      <c r="F460" s="40"/>
      <c r="G460" s="40"/>
      <c r="H460" s="40"/>
      <c r="I460" s="40"/>
      <c r="J460" s="40"/>
      <c r="K460" s="40"/>
      <c r="L460" s="40"/>
    </row>
    <row r="461" spans="3:12" s="18" customFormat="1" ht="15" customHeight="1">
      <c r="C461" s="40"/>
      <c r="D461" s="40"/>
      <c r="E461" s="40"/>
      <c r="F461" s="40"/>
      <c r="G461" s="40"/>
      <c r="H461" s="40"/>
      <c r="I461" s="40"/>
      <c r="J461" s="40"/>
      <c r="K461" s="40"/>
      <c r="L461" s="40"/>
    </row>
    <row r="462" spans="3:12" s="18" customFormat="1" ht="15" customHeight="1">
      <c r="C462" s="40"/>
      <c r="D462" s="40"/>
      <c r="E462" s="40"/>
      <c r="F462" s="40"/>
      <c r="G462" s="40"/>
      <c r="H462" s="40"/>
      <c r="I462" s="40"/>
      <c r="J462" s="40"/>
      <c r="K462" s="40"/>
      <c r="L462" s="40"/>
    </row>
    <row r="463" spans="3:12" s="18" customFormat="1" ht="15" customHeight="1">
      <c r="C463" s="40"/>
      <c r="D463" s="40"/>
      <c r="E463" s="40"/>
      <c r="F463" s="40"/>
      <c r="G463" s="40"/>
      <c r="H463" s="40"/>
      <c r="I463" s="40"/>
      <c r="J463" s="40"/>
      <c r="K463" s="40"/>
      <c r="L463" s="40"/>
    </row>
    <row r="464" spans="3:12" s="18" customFormat="1" ht="15" customHeight="1">
      <c r="C464" s="40"/>
      <c r="D464" s="40"/>
      <c r="E464" s="40"/>
      <c r="F464" s="40"/>
      <c r="G464" s="40"/>
      <c r="H464" s="40"/>
      <c r="I464" s="40"/>
      <c r="J464" s="40"/>
      <c r="K464" s="40"/>
      <c r="L464" s="40"/>
    </row>
    <row r="465" spans="3:12" s="18" customFormat="1" ht="15" customHeight="1">
      <c r="C465" s="40"/>
      <c r="D465" s="40"/>
      <c r="E465" s="40"/>
      <c r="F465" s="40"/>
      <c r="G465" s="40"/>
      <c r="H465" s="40"/>
      <c r="I465" s="40"/>
      <c r="J465" s="40"/>
      <c r="K465" s="40"/>
      <c r="L465" s="40"/>
    </row>
    <row r="466" spans="3:12" s="18" customFormat="1" ht="15" customHeight="1">
      <c r="C466" s="40"/>
      <c r="D466" s="40"/>
      <c r="E466" s="40"/>
      <c r="F466" s="40"/>
      <c r="G466" s="40"/>
      <c r="H466" s="40"/>
      <c r="I466" s="40"/>
      <c r="J466" s="40"/>
      <c r="K466" s="40"/>
      <c r="L466" s="40"/>
    </row>
    <row r="467" spans="3:12" s="18" customFormat="1" ht="15" customHeight="1">
      <c r="C467" s="40"/>
      <c r="D467" s="40"/>
      <c r="E467" s="40"/>
      <c r="F467" s="40"/>
      <c r="G467" s="40"/>
      <c r="H467" s="40"/>
      <c r="I467" s="40"/>
      <c r="J467" s="40"/>
      <c r="K467" s="40"/>
      <c r="L467" s="40"/>
    </row>
    <row r="468" spans="3:12" s="18" customFormat="1" ht="15" customHeight="1">
      <c r="C468" s="40"/>
      <c r="D468" s="40"/>
      <c r="E468" s="40"/>
      <c r="F468" s="40"/>
      <c r="G468" s="40"/>
      <c r="H468" s="40"/>
      <c r="I468" s="40"/>
      <c r="J468" s="40"/>
      <c r="K468" s="40"/>
      <c r="L468" s="40"/>
    </row>
    <row r="469" spans="3:12" s="18" customFormat="1" ht="15" customHeight="1">
      <c r="C469" s="40"/>
      <c r="D469" s="40"/>
      <c r="E469" s="40"/>
      <c r="F469" s="40"/>
      <c r="G469" s="40"/>
      <c r="H469" s="40"/>
      <c r="I469" s="40"/>
      <c r="J469" s="40"/>
      <c r="K469" s="40"/>
      <c r="L469" s="40"/>
    </row>
    <row r="470" spans="3:12" s="18" customFormat="1" ht="15" customHeight="1">
      <c r="C470" s="40"/>
      <c r="D470" s="40"/>
      <c r="E470" s="40"/>
      <c r="F470" s="40"/>
      <c r="G470" s="40"/>
      <c r="H470" s="40"/>
      <c r="I470" s="40"/>
      <c r="J470" s="40"/>
      <c r="K470" s="40"/>
      <c r="L470" s="40"/>
    </row>
    <row r="471" spans="3:12" s="18" customFormat="1" ht="15" customHeight="1">
      <c r="C471" s="40"/>
      <c r="D471" s="40"/>
      <c r="E471" s="40"/>
      <c r="F471" s="40"/>
      <c r="G471" s="40"/>
      <c r="H471" s="40"/>
      <c r="I471" s="40"/>
      <c r="J471" s="40"/>
      <c r="K471" s="40"/>
      <c r="L471" s="40"/>
    </row>
    <row r="472" spans="3:12" s="18" customFormat="1" ht="15" customHeight="1">
      <c r="C472" s="40"/>
      <c r="D472" s="40"/>
      <c r="E472" s="40"/>
      <c r="F472" s="40"/>
      <c r="G472" s="40"/>
      <c r="H472" s="40"/>
      <c r="I472" s="40"/>
      <c r="J472" s="40"/>
      <c r="K472" s="40"/>
      <c r="L472" s="40"/>
    </row>
    <row r="473" spans="3:12" s="18" customFormat="1" ht="15" customHeight="1">
      <c r="C473" s="40"/>
      <c r="D473" s="40"/>
      <c r="E473" s="40"/>
      <c r="F473" s="40"/>
      <c r="G473" s="40"/>
      <c r="H473" s="40"/>
      <c r="I473" s="40"/>
      <c r="J473" s="40"/>
      <c r="K473" s="40"/>
      <c r="L473" s="40"/>
    </row>
    <row r="474" spans="3:12" s="18" customFormat="1" ht="15" customHeight="1">
      <c r="C474" s="40"/>
      <c r="D474" s="40"/>
      <c r="E474" s="40"/>
      <c r="F474" s="40"/>
      <c r="G474" s="40"/>
      <c r="H474" s="40"/>
      <c r="I474" s="40"/>
      <c r="J474" s="40"/>
      <c r="K474" s="40"/>
      <c r="L474" s="40"/>
    </row>
    <row r="475" spans="3:12" s="18" customFormat="1" ht="15" customHeight="1">
      <c r="C475" s="40"/>
      <c r="D475" s="40"/>
      <c r="E475" s="40"/>
      <c r="F475" s="40"/>
      <c r="G475" s="40"/>
      <c r="H475" s="40"/>
      <c r="I475" s="40"/>
      <c r="J475" s="40"/>
      <c r="K475" s="40"/>
      <c r="L475" s="40"/>
    </row>
    <row r="476" spans="3:12" s="18" customFormat="1" ht="15" customHeight="1">
      <c r="C476" s="40"/>
      <c r="D476" s="40"/>
      <c r="E476" s="40"/>
      <c r="F476" s="40"/>
      <c r="G476" s="40"/>
      <c r="H476" s="40"/>
      <c r="I476" s="40"/>
      <c r="J476" s="40"/>
      <c r="K476" s="40"/>
      <c r="L476" s="40"/>
    </row>
    <row r="477" spans="3:12" s="18" customFormat="1" ht="15" customHeight="1">
      <c r="C477" s="40"/>
      <c r="D477" s="40"/>
      <c r="E477" s="40"/>
      <c r="F477" s="40"/>
      <c r="G477" s="40"/>
      <c r="H477" s="40"/>
      <c r="I477" s="40"/>
      <c r="J477" s="40"/>
      <c r="K477" s="40"/>
      <c r="L477" s="40"/>
    </row>
    <row r="478" spans="3:12" s="18" customFormat="1" ht="15" customHeight="1">
      <c r="C478" s="40"/>
      <c r="D478" s="40"/>
      <c r="E478" s="40"/>
      <c r="F478" s="40"/>
      <c r="G478" s="40"/>
      <c r="H478" s="40"/>
      <c r="I478" s="40"/>
      <c r="J478" s="40"/>
      <c r="K478" s="40"/>
      <c r="L478" s="40"/>
    </row>
    <row r="479" spans="3:12" s="18" customFormat="1" ht="15" customHeight="1">
      <c r="C479" s="40"/>
      <c r="D479" s="40"/>
      <c r="E479" s="40"/>
      <c r="F479" s="40"/>
      <c r="G479" s="40"/>
      <c r="H479" s="40"/>
      <c r="I479" s="40"/>
      <c r="J479" s="40"/>
      <c r="K479" s="40"/>
      <c r="L479" s="40"/>
    </row>
    <row r="480" spans="3:12" s="18" customFormat="1" ht="15" customHeight="1">
      <c r="C480" s="40"/>
      <c r="D480" s="40"/>
      <c r="E480" s="40"/>
      <c r="F480" s="40"/>
      <c r="G480" s="40"/>
      <c r="H480" s="40"/>
      <c r="I480" s="40"/>
      <c r="J480" s="40"/>
      <c r="K480" s="40"/>
      <c r="L480" s="40"/>
    </row>
    <row r="481" spans="3:12" s="18" customFormat="1" ht="15" customHeight="1">
      <c r="C481" s="40"/>
      <c r="D481" s="40"/>
      <c r="E481" s="40"/>
      <c r="F481" s="40"/>
      <c r="G481" s="40"/>
      <c r="H481" s="40"/>
      <c r="I481" s="40"/>
      <c r="J481" s="40"/>
      <c r="K481" s="40"/>
      <c r="L481" s="40"/>
    </row>
    <row r="482" spans="3:12" s="18" customFormat="1" ht="15" customHeight="1">
      <c r="C482" s="40"/>
      <c r="D482" s="40"/>
      <c r="E482" s="40"/>
      <c r="F482" s="40"/>
      <c r="G482" s="40"/>
      <c r="H482" s="40"/>
      <c r="I482" s="40"/>
      <c r="J482" s="40"/>
      <c r="K482" s="40"/>
      <c r="L482" s="40"/>
    </row>
    <row r="483" spans="3:12" s="18" customFormat="1" ht="15" customHeight="1">
      <c r="C483" s="40"/>
      <c r="D483" s="40"/>
      <c r="E483" s="40"/>
      <c r="F483" s="40"/>
      <c r="G483" s="40"/>
      <c r="H483" s="40"/>
      <c r="I483" s="40"/>
      <c r="J483" s="40"/>
      <c r="K483" s="40"/>
      <c r="L483" s="40"/>
    </row>
    <row r="484" spans="3:12" s="18" customFormat="1" ht="15" customHeight="1">
      <c r="C484" s="40"/>
      <c r="D484" s="40"/>
      <c r="E484" s="40"/>
      <c r="F484" s="40"/>
      <c r="G484" s="40"/>
      <c r="H484" s="40"/>
      <c r="I484" s="40"/>
      <c r="J484" s="40"/>
      <c r="K484" s="40"/>
      <c r="L484" s="40"/>
    </row>
    <row r="485" spans="3:12" s="18" customFormat="1" ht="15" customHeight="1">
      <c r="C485" s="40"/>
      <c r="D485" s="40"/>
      <c r="E485" s="40"/>
      <c r="F485" s="40"/>
      <c r="G485" s="40"/>
      <c r="H485" s="40"/>
      <c r="I485" s="40"/>
      <c r="J485" s="40"/>
      <c r="K485" s="40"/>
      <c r="L485" s="40"/>
    </row>
    <row r="486" spans="3:12" s="18" customFormat="1" ht="15" customHeight="1">
      <c r="C486" s="40"/>
      <c r="D486" s="40"/>
      <c r="E486" s="40"/>
      <c r="F486" s="40"/>
      <c r="G486" s="40"/>
      <c r="H486" s="40"/>
      <c r="I486" s="40"/>
      <c r="J486" s="40"/>
      <c r="K486" s="40"/>
      <c r="L486" s="40"/>
    </row>
    <row r="487" spans="3:12" s="18" customFormat="1" ht="15" customHeight="1">
      <c r="C487" s="40"/>
      <c r="D487" s="40"/>
      <c r="E487" s="40"/>
      <c r="F487" s="40"/>
      <c r="G487" s="40"/>
      <c r="H487" s="40"/>
      <c r="I487" s="40"/>
      <c r="J487" s="40"/>
      <c r="K487" s="40"/>
      <c r="L487" s="40"/>
    </row>
    <row r="488" spans="3:12" s="18" customFormat="1" ht="15" customHeight="1">
      <c r="C488" s="40"/>
      <c r="D488" s="40"/>
      <c r="E488" s="40"/>
      <c r="F488" s="40"/>
      <c r="G488" s="40"/>
      <c r="H488" s="40"/>
      <c r="I488" s="40"/>
      <c r="J488" s="40"/>
      <c r="K488" s="40"/>
      <c r="L488" s="40"/>
    </row>
    <row r="489" spans="3:12" s="18" customFormat="1" ht="15" customHeight="1">
      <c r="C489" s="40"/>
      <c r="D489" s="40"/>
      <c r="E489" s="40"/>
      <c r="F489" s="40"/>
      <c r="G489" s="40"/>
      <c r="H489" s="40"/>
      <c r="I489" s="40"/>
      <c r="J489" s="40"/>
      <c r="K489" s="40"/>
      <c r="L489" s="40"/>
    </row>
    <row r="490" spans="3:12" s="18" customFormat="1" ht="15" customHeight="1">
      <c r="C490" s="40"/>
      <c r="D490" s="40"/>
      <c r="E490" s="40"/>
      <c r="F490" s="40"/>
      <c r="G490" s="40"/>
      <c r="H490" s="40"/>
      <c r="I490" s="40"/>
      <c r="J490" s="40"/>
      <c r="K490" s="40"/>
      <c r="L490" s="40"/>
    </row>
    <row r="491" spans="3:12" s="18" customFormat="1" ht="15" customHeight="1">
      <c r="C491" s="40"/>
      <c r="D491" s="40"/>
      <c r="E491" s="40"/>
      <c r="F491" s="40"/>
      <c r="G491" s="40"/>
      <c r="H491" s="40"/>
      <c r="I491" s="40"/>
      <c r="J491" s="40"/>
      <c r="K491" s="40"/>
      <c r="L491" s="40"/>
    </row>
    <row r="492" spans="3:12" s="18" customFormat="1" ht="15" customHeight="1">
      <c r="C492" s="40"/>
      <c r="D492" s="40"/>
      <c r="E492" s="40"/>
      <c r="F492" s="40"/>
      <c r="G492" s="40"/>
      <c r="H492" s="40"/>
      <c r="I492" s="40"/>
      <c r="J492" s="40"/>
      <c r="K492" s="40"/>
      <c r="L492" s="40"/>
    </row>
    <row r="493" spans="3:12" s="18" customFormat="1" ht="15" customHeight="1">
      <c r="C493" s="40"/>
      <c r="D493" s="40"/>
      <c r="E493" s="40"/>
      <c r="F493" s="40"/>
      <c r="G493" s="40"/>
      <c r="H493" s="40"/>
      <c r="I493" s="40"/>
      <c r="J493" s="40"/>
      <c r="K493" s="40"/>
      <c r="L493" s="40"/>
    </row>
    <row r="494" spans="3:12" s="18" customFormat="1" ht="15" customHeight="1">
      <c r="C494" s="40"/>
      <c r="D494" s="40"/>
      <c r="E494" s="40"/>
      <c r="F494" s="40"/>
      <c r="G494" s="40"/>
      <c r="H494" s="40"/>
      <c r="I494" s="40"/>
      <c r="J494" s="40"/>
      <c r="K494" s="40"/>
      <c r="L494" s="40"/>
    </row>
    <row r="495" spans="3:12" s="18" customFormat="1" ht="15" customHeight="1">
      <c r="C495" s="40"/>
      <c r="D495" s="40"/>
      <c r="E495" s="40"/>
      <c r="F495" s="40"/>
      <c r="G495" s="40"/>
      <c r="H495" s="40"/>
      <c r="I495" s="40"/>
      <c r="J495" s="40"/>
      <c r="K495" s="40"/>
      <c r="L495" s="40"/>
    </row>
    <row r="496" spans="3:12" s="18" customFormat="1" ht="15" customHeight="1">
      <c r="C496" s="40"/>
      <c r="D496" s="40"/>
      <c r="E496" s="40"/>
      <c r="F496" s="40"/>
      <c r="G496" s="40"/>
      <c r="H496" s="40"/>
      <c r="I496" s="40"/>
      <c r="J496" s="40"/>
      <c r="K496" s="40"/>
      <c r="L496" s="40"/>
    </row>
    <row r="497" spans="3:12" s="18" customFormat="1" ht="15" customHeight="1">
      <c r="C497" s="40"/>
      <c r="D497" s="40"/>
      <c r="E497" s="40"/>
      <c r="F497" s="40"/>
      <c r="G497" s="40"/>
      <c r="H497" s="40"/>
      <c r="I497" s="40"/>
      <c r="J497" s="40"/>
      <c r="K497" s="40"/>
      <c r="L497" s="40"/>
    </row>
    <row r="498" spans="3:12" s="18" customFormat="1" ht="15" customHeight="1">
      <c r="C498" s="40"/>
      <c r="D498" s="40"/>
      <c r="E498" s="40"/>
      <c r="F498" s="40"/>
      <c r="G498" s="40"/>
      <c r="H498" s="40"/>
      <c r="I498" s="40"/>
      <c r="J498" s="40"/>
      <c r="K498" s="40"/>
      <c r="L498" s="40"/>
    </row>
    <row r="499" spans="3:12" s="18" customFormat="1" ht="15" customHeight="1">
      <c r="C499" s="40"/>
      <c r="D499" s="40"/>
      <c r="E499" s="40"/>
      <c r="F499" s="40"/>
      <c r="G499" s="40"/>
      <c r="H499" s="40"/>
      <c r="I499" s="40"/>
      <c r="J499" s="40"/>
      <c r="K499" s="40"/>
      <c r="L499" s="40"/>
    </row>
    <row r="500" spans="3:12" s="18" customFormat="1" ht="15" customHeight="1">
      <c r="C500" s="40"/>
      <c r="D500" s="40"/>
      <c r="E500" s="40"/>
      <c r="F500" s="40"/>
      <c r="G500" s="40"/>
      <c r="H500" s="40"/>
      <c r="I500" s="40"/>
      <c r="J500" s="40"/>
      <c r="K500" s="40"/>
      <c r="L500" s="40"/>
    </row>
    <row r="501" spans="3:12" s="18" customFormat="1" ht="15" customHeight="1">
      <c r="C501" s="40"/>
      <c r="D501" s="40"/>
      <c r="E501" s="40"/>
      <c r="F501" s="40"/>
      <c r="G501" s="40"/>
      <c r="H501" s="40"/>
      <c r="I501" s="40"/>
      <c r="J501" s="40"/>
      <c r="K501" s="40"/>
      <c r="L501" s="40"/>
    </row>
    <row r="502" spans="3:12" s="18" customFormat="1" ht="15" customHeight="1">
      <c r="C502" s="40"/>
      <c r="D502" s="40"/>
      <c r="E502" s="40"/>
      <c r="F502" s="40"/>
      <c r="G502" s="40"/>
      <c r="H502" s="40"/>
      <c r="I502" s="40"/>
      <c r="J502" s="40"/>
      <c r="K502" s="40"/>
      <c r="L502" s="40"/>
    </row>
    <row r="503" spans="3:12" s="18" customFormat="1" ht="15" customHeight="1">
      <c r="C503" s="40"/>
      <c r="D503" s="40"/>
      <c r="E503" s="40"/>
      <c r="F503" s="40"/>
      <c r="G503" s="40"/>
      <c r="H503" s="40"/>
      <c r="I503" s="40"/>
      <c r="J503" s="40"/>
      <c r="K503" s="40"/>
      <c r="L503" s="40"/>
    </row>
    <row r="504" spans="3:12" s="18" customFormat="1" ht="15" customHeight="1">
      <c r="C504" s="40"/>
      <c r="D504" s="40"/>
      <c r="E504" s="40"/>
      <c r="F504" s="40"/>
      <c r="G504" s="40"/>
      <c r="H504" s="40"/>
      <c r="I504" s="40"/>
      <c r="J504" s="40"/>
      <c r="K504" s="40"/>
      <c r="L504" s="40"/>
    </row>
    <row r="505" spans="3:12" s="18" customFormat="1" ht="15" customHeight="1">
      <c r="C505" s="40"/>
      <c r="D505" s="40"/>
      <c r="E505" s="40"/>
      <c r="F505" s="40"/>
      <c r="G505" s="40"/>
      <c r="H505" s="40"/>
      <c r="I505" s="40"/>
      <c r="J505" s="40"/>
      <c r="K505" s="40"/>
      <c r="L505" s="40"/>
    </row>
    <row r="506" spans="3:12" s="18" customFormat="1" ht="15" customHeight="1">
      <c r="C506" s="40"/>
      <c r="D506" s="40"/>
      <c r="E506" s="40"/>
      <c r="F506" s="40"/>
      <c r="G506" s="40"/>
      <c r="H506" s="40"/>
      <c r="I506" s="40"/>
      <c r="J506" s="40"/>
      <c r="K506" s="40"/>
      <c r="L506" s="40"/>
    </row>
    <row r="507" spans="3:12" s="18" customFormat="1" ht="15" customHeight="1">
      <c r="C507" s="40"/>
      <c r="D507" s="40"/>
      <c r="E507" s="40"/>
      <c r="F507" s="40"/>
      <c r="G507" s="40"/>
      <c r="H507" s="40"/>
      <c r="I507" s="40"/>
      <c r="J507" s="40"/>
      <c r="K507" s="40"/>
      <c r="L507" s="40"/>
    </row>
    <row r="508" spans="3:12" s="18" customFormat="1" ht="15" customHeight="1">
      <c r="C508" s="40"/>
      <c r="D508" s="40"/>
      <c r="E508" s="40"/>
      <c r="F508" s="40"/>
      <c r="G508" s="40"/>
      <c r="H508" s="40"/>
      <c r="I508" s="40"/>
      <c r="J508" s="40"/>
      <c r="K508" s="40"/>
      <c r="L508" s="40"/>
    </row>
    <row r="509" spans="3:12" s="18" customFormat="1" ht="15" customHeight="1">
      <c r="C509" s="40"/>
      <c r="D509" s="40"/>
      <c r="E509" s="40"/>
      <c r="F509" s="40"/>
      <c r="G509" s="40"/>
      <c r="H509" s="40"/>
      <c r="I509" s="40"/>
      <c r="J509" s="40"/>
      <c r="K509" s="40"/>
      <c r="L509" s="40"/>
    </row>
    <row r="510" spans="3:12" s="18" customFormat="1" ht="15" customHeight="1">
      <c r="C510" s="40"/>
      <c r="D510" s="40"/>
      <c r="E510" s="40"/>
      <c r="F510" s="40"/>
      <c r="G510" s="40"/>
      <c r="H510" s="40"/>
      <c r="I510" s="40"/>
      <c r="J510" s="40"/>
      <c r="K510" s="40"/>
      <c r="L510" s="40"/>
    </row>
    <row r="511" spans="3:12" s="18" customFormat="1" ht="15" customHeight="1">
      <c r="C511" s="40"/>
      <c r="D511" s="40"/>
      <c r="E511" s="40"/>
      <c r="F511" s="40"/>
      <c r="G511" s="40"/>
      <c r="H511" s="40"/>
      <c r="I511" s="40"/>
      <c r="J511" s="40"/>
      <c r="K511" s="40"/>
      <c r="L511" s="40"/>
    </row>
    <row r="512" spans="3:12" s="18" customFormat="1" ht="15" customHeight="1">
      <c r="C512" s="40"/>
      <c r="D512" s="40"/>
      <c r="E512" s="40"/>
      <c r="F512" s="40"/>
      <c r="G512" s="40"/>
      <c r="H512" s="40"/>
      <c r="I512" s="40"/>
      <c r="J512" s="40"/>
      <c r="K512" s="40"/>
      <c r="L512" s="40"/>
    </row>
    <row r="513" spans="3:12" s="18" customFormat="1" ht="15" customHeight="1">
      <c r="C513" s="40"/>
      <c r="D513" s="40"/>
      <c r="E513" s="40"/>
      <c r="F513" s="40"/>
      <c r="G513" s="40"/>
      <c r="H513" s="40"/>
      <c r="I513" s="40"/>
      <c r="J513" s="40"/>
      <c r="K513" s="40"/>
      <c r="L513" s="40"/>
    </row>
    <row r="514" spans="3:12" s="18" customFormat="1" ht="15" customHeight="1">
      <c r="C514" s="40"/>
      <c r="D514" s="40"/>
      <c r="E514" s="40"/>
      <c r="F514" s="40"/>
      <c r="G514" s="40"/>
      <c r="H514" s="40"/>
      <c r="I514" s="40"/>
      <c r="J514" s="40"/>
      <c r="K514" s="40"/>
      <c r="L514" s="40"/>
    </row>
    <row r="515" spans="3:12" s="18" customFormat="1" ht="15" customHeight="1">
      <c r="C515" s="40"/>
      <c r="D515" s="40"/>
      <c r="E515" s="40"/>
      <c r="F515" s="40"/>
      <c r="G515" s="40"/>
      <c r="H515" s="40"/>
      <c r="I515" s="40"/>
      <c r="J515" s="40"/>
      <c r="K515" s="40"/>
      <c r="L515" s="40"/>
    </row>
    <row r="516" spans="3:12" s="18" customFormat="1" ht="15" customHeight="1">
      <c r="C516" s="40"/>
      <c r="D516" s="40"/>
      <c r="E516" s="40"/>
      <c r="F516" s="40"/>
      <c r="G516" s="40"/>
      <c r="H516" s="40"/>
      <c r="I516" s="40"/>
      <c r="J516" s="40"/>
      <c r="K516" s="40"/>
      <c r="L516" s="40"/>
    </row>
    <row r="517" spans="3:12" s="18" customFormat="1" ht="15" customHeight="1">
      <c r="C517" s="40"/>
      <c r="D517" s="40"/>
      <c r="E517" s="40"/>
      <c r="F517" s="40"/>
      <c r="G517" s="40"/>
      <c r="H517" s="40"/>
      <c r="I517" s="40"/>
      <c r="J517" s="40"/>
      <c r="K517" s="40"/>
      <c r="L517" s="40"/>
    </row>
    <row r="518" spans="3:12" s="18" customFormat="1" ht="15" customHeight="1">
      <c r="C518" s="40"/>
      <c r="D518" s="40"/>
      <c r="E518" s="40"/>
      <c r="F518" s="40"/>
      <c r="G518" s="40"/>
      <c r="H518" s="40"/>
      <c r="I518" s="40"/>
      <c r="J518" s="40"/>
      <c r="K518" s="40"/>
      <c r="L518" s="40"/>
    </row>
    <row r="519" spans="3:12" s="18" customFormat="1" ht="15" customHeight="1">
      <c r="C519" s="40"/>
      <c r="D519" s="40"/>
      <c r="E519" s="40"/>
      <c r="F519" s="40"/>
      <c r="G519" s="40"/>
      <c r="H519" s="40"/>
      <c r="I519" s="40"/>
      <c r="J519" s="40"/>
      <c r="K519" s="40"/>
      <c r="L519" s="40"/>
    </row>
    <row r="520" spans="3:12" s="18" customFormat="1" ht="15" customHeight="1">
      <c r="C520" s="40"/>
      <c r="D520" s="40"/>
      <c r="E520" s="40"/>
      <c r="F520" s="40"/>
      <c r="G520" s="40"/>
      <c r="H520" s="40"/>
      <c r="I520" s="40"/>
      <c r="J520" s="40"/>
      <c r="K520" s="40"/>
      <c r="L520" s="40"/>
    </row>
    <row r="521" spans="3:12" s="18" customFormat="1" ht="15" customHeight="1">
      <c r="C521" s="40"/>
      <c r="D521" s="40"/>
      <c r="E521" s="40"/>
      <c r="F521" s="40"/>
      <c r="G521" s="40"/>
      <c r="H521" s="40"/>
      <c r="I521" s="40"/>
      <c r="J521" s="40"/>
      <c r="K521" s="40"/>
      <c r="L521" s="40"/>
    </row>
    <row r="522" spans="3:12" s="18" customFormat="1" ht="15" customHeight="1">
      <c r="C522" s="40"/>
      <c r="D522" s="40"/>
      <c r="E522" s="40"/>
      <c r="F522" s="40"/>
      <c r="G522" s="40"/>
      <c r="H522" s="40"/>
      <c r="I522" s="40"/>
      <c r="J522" s="40"/>
      <c r="K522" s="40"/>
      <c r="L522" s="40"/>
    </row>
    <row r="523" spans="3:12" s="18" customFormat="1" ht="15" customHeight="1">
      <c r="C523" s="40"/>
      <c r="D523" s="40"/>
      <c r="E523" s="40"/>
      <c r="F523" s="40"/>
      <c r="G523" s="40"/>
      <c r="H523" s="40"/>
      <c r="I523" s="40"/>
      <c r="J523" s="40"/>
      <c r="K523" s="40"/>
      <c r="L523" s="40"/>
    </row>
    <row r="524" spans="3:12" s="18" customFormat="1" ht="15" customHeight="1">
      <c r="C524" s="40"/>
      <c r="D524" s="40"/>
      <c r="E524" s="40"/>
      <c r="F524" s="40"/>
      <c r="G524" s="40"/>
      <c r="H524" s="40"/>
      <c r="I524" s="40"/>
      <c r="J524" s="40"/>
      <c r="K524" s="40"/>
      <c r="L524" s="40"/>
    </row>
    <row r="525" spans="3:12" s="18" customFormat="1" ht="15" customHeight="1">
      <c r="C525" s="40"/>
      <c r="D525" s="40"/>
      <c r="E525" s="40"/>
      <c r="F525" s="40"/>
      <c r="G525" s="40"/>
      <c r="H525" s="40"/>
      <c r="I525" s="40"/>
      <c r="J525" s="40"/>
      <c r="K525" s="40"/>
      <c r="L525" s="40"/>
    </row>
    <row r="526" spans="3:12" s="18" customFormat="1" ht="15" customHeight="1">
      <c r="C526" s="40"/>
      <c r="D526" s="40"/>
      <c r="E526" s="40"/>
      <c r="F526" s="40"/>
      <c r="G526" s="40"/>
      <c r="H526" s="40"/>
      <c r="I526" s="40"/>
      <c r="J526" s="40"/>
      <c r="K526" s="40"/>
      <c r="L526" s="40"/>
    </row>
    <row r="527" spans="3:12" s="18" customFormat="1" ht="15" customHeight="1">
      <c r="C527" s="40"/>
      <c r="D527" s="40"/>
      <c r="E527" s="40"/>
      <c r="F527" s="40"/>
      <c r="G527" s="40"/>
      <c r="H527" s="40"/>
      <c r="I527" s="40"/>
      <c r="J527" s="40"/>
      <c r="K527" s="40"/>
      <c r="L527" s="40"/>
    </row>
    <row r="528" spans="3:12" s="18" customFormat="1" ht="15" customHeight="1">
      <c r="C528" s="40"/>
      <c r="D528" s="40"/>
      <c r="E528" s="40"/>
      <c r="F528" s="40"/>
      <c r="G528" s="40"/>
      <c r="H528" s="40"/>
      <c r="I528" s="40"/>
      <c r="J528" s="40"/>
      <c r="K528" s="40"/>
      <c r="L528" s="40"/>
    </row>
    <row r="529" spans="3:12" s="18" customFormat="1" ht="15" customHeight="1">
      <c r="C529" s="40"/>
      <c r="D529" s="40"/>
      <c r="E529" s="40"/>
      <c r="F529" s="40"/>
      <c r="G529" s="40"/>
      <c r="H529" s="40"/>
      <c r="I529" s="40"/>
      <c r="J529" s="40"/>
      <c r="K529" s="40"/>
      <c r="L529" s="40"/>
    </row>
    <row r="530" spans="3:12" s="18" customFormat="1" ht="15" customHeight="1">
      <c r="C530" s="40"/>
      <c r="D530" s="40"/>
      <c r="E530" s="40"/>
      <c r="F530" s="40"/>
      <c r="G530" s="40"/>
      <c r="H530" s="40"/>
      <c r="I530" s="40"/>
      <c r="J530" s="40"/>
      <c r="K530" s="40"/>
      <c r="L530" s="40"/>
    </row>
    <row r="531" spans="3:12" s="18" customFormat="1" ht="15" customHeight="1">
      <c r="C531" s="40"/>
      <c r="D531" s="40"/>
      <c r="E531" s="40"/>
      <c r="F531" s="40"/>
      <c r="G531" s="40"/>
      <c r="H531" s="40"/>
      <c r="I531" s="40"/>
      <c r="J531" s="40"/>
      <c r="K531" s="40"/>
      <c r="L531" s="40"/>
    </row>
    <row r="532" spans="3:12" s="18" customFormat="1" ht="15" customHeight="1">
      <c r="C532" s="40"/>
      <c r="D532" s="40"/>
      <c r="E532" s="40"/>
      <c r="F532" s="40"/>
      <c r="G532" s="40"/>
      <c r="H532" s="40"/>
      <c r="I532" s="40"/>
      <c r="J532" s="40"/>
      <c r="K532" s="40"/>
      <c r="L532" s="40"/>
    </row>
    <row r="533" spans="3:12" s="18" customFormat="1" ht="15" customHeight="1">
      <c r="C533" s="40"/>
      <c r="D533" s="40"/>
      <c r="E533" s="40"/>
      <c r="F533" s="40"/>
      <c r="G533" s="40"/>
      <c r="H533" s="40"/>
      <c r="I533" s="40"/>
      <c r="J533" s="40"/>
      <c r="K533" s="40"/>
      <c r="L533" s="40"/>
    </row>
    <row r="534" spans="3:12" s="18" customFormat="1" ht="15" customHeight="1">
      <c r="C534" s="40"/>
      <c r="D534" s="40"/>
      <c r="E534" s="40"/>
      <c r="F534" s="40"/>
      <c r="G534" s="40"/>
      <c r="H534" s="40"/>
      <c r="I534" s="40"/>
      <c r="J534" s="40"/>
      <c r="K534" s="40"/>
      <c r="L534" s="40"/>
    </row>
    <row r="535" spans="3:12" s="18" customFormat="1" ht="15" customHeight="1">
      <c r="C535" s="40"/>
      <c r="D535" s="40"/>
      <c r="E535" s="40"/>
      <c r="F535" s="40"/>
      <c r="G535" s="40"/>
      <c r="H535" s="40"/>
      <c r="I535" s="40"/>
      <c r="J535" s="40"/>
      <c r="K535" s="40"/>
      <c r="L535" s="40"/>
    </row>
    <row r="536" spans="3:12" s="18" customFormat="1" ht="15" customHeight="1">
      <c r="C536" s="40"/>
      <c r="D536" s="40"/>
      <c r="E536" s="40"/>
      <c r="F536" s="40"/>
      <c r="G536" s="40"/>
      <c r="H536" s="40"/>
      <c r="I536" s="40"/>
      <c r="J536" s="40"/>
      <c r="K536" s="40"/>
      <c r="L536" s="40"/>
    </row>
    <row r="537" spans="3:12" s="18" customFormat="1" ht="15" customHeight="1">
      <c r="C537" s="40"/>
      <c r="D537" s="40"/>
      <c r="E537" s="40"/>
      <c r="F537" s="40"/>
      <c r="G537" s="40"/>
      <c r="H537" s="40"/>
      <c r="I537" s="40"/>
      <c r="J537" s="40"/>
      <c r="K537" s="40"/>
      <c r="L537" s="40"/>
    </row>
    <row r="538" spans="3:12" s="18" customFormat="1" ht="15" customHeight="1">
      <c r="C538" s="40"/>
      <c r="D538" s="40"/>
      <c r="E538" s="40"/>
      <c r="F538" s="40"/>
      <c r="G538" s="40"/>
      <c r="H538" s="40"/>
      <c r="I538" s="40"/>
      <c r="J538" s="40"/>
      <c r="K538" s="40"/>
      <c r="L538" s="40"/>
    </row>
    <row r="539" spans="3:12" s="18" customFormat="1" ht="15" customHeight="1">
      <c r="C539" s="40"/>
      <c r="D539" s="40"/>
      <c r="E539" s="40"/>
      <c r="F539" s="40"/>
      <c r="G539" s="40"/>
      <c r="H539" s="40"/>
      <c r="I539" s="40"/>
      <c r="J539" s="40"/>
      <c r="K539" s="40"/>
      <c r="L539" s="40"/>
    </row>
    <row r="540" spans="3:12" s="18" customFormat="1" ht="15" customHeight="1">
      <c r="C540" s="40"/>
      <c r="D540" s="40"/>
      <c r="E540" s="40"/>
      <c r="F540" s="40"/>
      <c r="G540" s="40"/>
      <c r="H540" s="40"/>
      <c r="I540" s="40"/>
      <c r="J540" s="40"/>
      <c r="K540" s="40"/>
      <c r="L540" s="40"/>
    </row>
    <row r="541" spans="3:12" s="18" customFormat="1" ht="15" customHeight="1">
      <c r="C541" s="40"/>
      <c r="D541" s="40"/>
      <c r="E541" s="40"/>
      <c r="F541" s="40"/>
      <c r="G541" s="40"/>
      <c r="H541" s="40"/>
      <c r="I541" s="40"/>
      <c r="J541" s="40"/>
      <c r="K541" s="40"/>
      <c r="L541" s="40"/>
    </row>
    <row r="542" spans="3:12" s="18" customFormat="1" ht="15" customHeight="1">
      <c r="C542" s="40"/>
      <c r="D542" s="40"/>
      <c r="E542" s="40"/>
      <c r="F542" s="40"/>
      <c r="G542" s="40"/>
      <c r="H542" s="40"/>
      <c r="I542" s="40"/>
      <c r="J542" s="40"/>
      <c r="K542" s="40"/>
      <c r="L542" s="40"/>
    </row>
    <row r="543" spans="3:12" s="18" customFormat="1" ht="15" customHeight="1">
      <c r="C543" s="40"/>
      <c r="D543" s="40"/>
      <c r="E543" s="40"/>
      <c r="F543" s="40"/>
      <c r="G543" s="40"/>
      <c r="H543" s="40"/>
      <c r="I543" s="40"/>
      <c r="J543" s="40"/>
      <c r="K543" s="40"/>
      <c r="L543" s="40"/>
    </row>
    <row r="544" spans="3:12" s="18" customFormat="1" ht="15" customHeight="1">
      <c r="C544" s="40"/>
      <c r="D544" s="40"/>
      <c r="E544" s="40"/>
      <c r="F544" s="40"/>
      <c r="G544" s="40"/>
      <c r="H544" s="40"/>
      <c r="I544" s="40"/>
      <c r="J544" s="40"/>
      <c r="K544" s="40"/>
      <c r="L544" s="40"/>
    </row>
    <row r="545" spans="3:12" s="18" customFormat="1" ht="15" customHeight="1">
      <c r="C545" s="40"/>
      <c r="D545" s="40"/>
      <c r="E545" s="40"/>
      <c r="F545" s="40"/>
      <c r="G545" s="40"/>
      <c r="H545" s="40"/>
      <c r="I545" s="40"/>
      <c r="J545" s="40"/>
      <c r="K545" s="40"/>
      <c r="L545" s="40"/>
    </row>
    <row r="546" spans="3:12" s="18" customFormat="1" ht="15" customHeight="1">
      <c r="C546" s="40"/>
      <c r="D546" s="40"/>
      <c r="E546" s="40"/>
      <c r="F546" s="40"/>
      <c r="G546" s="40"/>
      <c r="H546" s="40"/>
      <c r="I546" s="40"/>
      <c r="J546" s="40"/>
      <c r="K546" s="40"/>
      <c r="L546" s="40"/>
    </row>
    <row r="547" spans="3:12" s="18" customFormat="1" ht="15" customHeight="1">
      <c r="C547" s="40"/>
      <c r="D547" s="40"/>
      <c r="E547" s="40"/>
      <c r="F547" s="40"/>
      <c r="G547" s="40"/>
      <c r="H547" s="40"/>
      <c r="I547" s="40"/>
      <c r="J547" s="40"/>
      <c r="K547" s="40"/>
      <c r="L547" s="40"/>
    </row>
    <row r="548" spans="3:12" s="18" customFormat="1" ht="15" customHeight="1">
      <c r="C548" s="40"/>
      <c r="D548" s="40"/>
      <c r="E548" s="40"/>
      <c r="F548" s="40"/>
      <c r="G548" s="40"/>
      <c r="H548" s="40"/>
      <c r="I548" s="40"/>
      <c r="J548" s="40"/>
      <c r="K548" s="40"/>
      <c r="L548" s="40"/>
    </row>
    <row r="549" spans="3:12" s="18" customFormat="1" ht="15" customHeight="1">
      <c r="C549" s="40"/>
      <c r="D549" s="40"/>
      <c r="E549" s="40"/>
      <c r="F549" s="40"/>
      <c r="G549" s="40"/>
      <c r="H549" s="40"/>
      <c r="I549" s="40"/>
      <c r="J549" s="40"/>
      <c r="K549" s="40"/>
      <c r="L549" s="40"/>
    </row>
    <row r="550" spans="3:12" s="18" customFormat="1" ht="15" customHeight="1">
      <c r="C550" s="40"/>
      <c r="D550" s="40"/>
      <c r="E550" s="40"/>
      <c r="F550" s="40"/>
      <c r="G550" s="40"/>
      <c r="H550" s="40"/>
      <c r="I550" s="40"/>
      <c r="J550" s="40"/>
      <c r="K550" s="40"/>
      <c r="L550" s="40"/>
    </row>
    <row r="551" spans="3:12" s="18" customFormat="1" ht="15" customHeight="1">
      <c r="C551" s="40"/>
      <c r="D551" s="40"/>
      <c r="E551" s="40"/>
      <c r="F551" s="40"/>
      <c r="G551" s="40"/>
      <c r="H551" s="40"/>
      <c r="I551" s="40"/>
      <c r="J551" s="40"/>
      <c r="K551" s="40"/>
      <c r="L551" s="40"/>
    </row>
    <row r="552" spans="3:12" s="18" customFormat="1" ht="15" customHeight="1">
      <c r="C552" s="40"/>
      <c r="D552" s="40"/>
      <c r="E552" s="40"/>
      <c r="F552" s="40"/>
      <c r="G552" s="40"/>
      <c r="H552" s="40"/>
      <c r="I552" s="40"/>
      <c r="J552" s="40"/>
      <c r="K552" s="40"/>
      <c r="L552" s="40"/>
    </row>
    <row r="553" spans="3:12" s="18" customFormat="1" ht="15" customHeight="1">
      <c r="C553" s="40"/>
      <c r="D553" s="40"/>
      <c r="E553" s="40"/>
      <c r="F553" s="40"/>
      <c r="G553" s="40"/>
      <c r="H553" s="40"/>
      <c r="I553" s="40"/>
      <c r="J553" s="40"/>
      <c r="K553" s="40"/>
      <c r="L553" s="40"/>
    </row>
    <row r="554" spans="3:12" s="18" customFormat="1" ht="15" customHeight="1">
      <c r="C554" s="40"/>
      <c r="D554" s="40"/>
      <c r="E554" s="40"/>
      <c r="F554" s="40"/>
      <c r="G554" s="40"/>
      <c r="H554" s="40"/>
      <c r="I554" s="40"/>
      <c r="J554" s="40"/>
      <c r="K554" s="40"/>
      <c r="L554" s="40"/>
    </row>
    <row r="555" spans="3:12" s="18" customFormat="1" ht="15" customHeight="1">
      <c r="C555" s="40"/>
      <c r="D555" s="40"/>
      <c r="E555" s="40"/>
      <c r="F555" s="40"/>
      <c r="G555" s="40"/>
      <c r="H555" s="40"/>
      <c r="I555" s="40"/>
      <c r="J555" s="40"/>
      <c r="K555" s="40"/>
      <c r="L555" s="40"/>
    </row>
    <row r="556" spans="3:12" s="18" customFormat="1" ht="15" customHeight="1">
      <c r="C556" s="40"/>
      <c r="D556" s="40"/>
      <c r="E556" s="40"/>
      <c r="F556" s="40"/>
      <c r="G556" s="40"/>
      <c r="H556" s="40"/>
      <c r="I556" s="40"/>
      <c r="J556" s="40"/>
      <c r="K556" s="40"/>
      <c r="L556" s="40"/>
    </row>
    <row r="557" spans="3:12" s="18" customFormat="1" ht="15" customHeight="1">
      <c r="C557" s="40"/>
      <c r="D557" s="40"/>
      <c r="E557" s="40"/>
      <c r="F557" s="40"/>
      <c r="G557" s="40"/>
      <c r="H557" s="40"/>
      <c r="I557" s="40"/>
      <c r="J557" s="40"/>
      <c r="K557" s="40"/>
      <c r="L557" s="40"/>
    </row>
    <row r="558" spans="3:12" s="18" customFormat="1" ht="15" customHeight="1">
      <c r="C558" s="40"/>
      <c r="D558" s="40"/>
      <c r="E558" s="40"/>
      <c r="F558" s="40"/>
      <c r="G558" s="40"/>
      <c r="H558" s="40"/>
      <c r="I558" s="40"/>
      <c r="J558" s="40"/>
      <c r="K558" s="40"/>
      <c r="L558" s="40"/>
    </row>
    <row r="559" spans="3:12" s="18" customFormat="1" ht="15" customHeight="1">
      <c r="C559" s="40"/>
      <c r="D559" s="40"/>
      <c r="E559" s="40"/>
      <c r="F559" s="40"/>
      <c r="G559" s="40"/>
      <c r="H559" s="40"/>
      <c r="I559" s="40"/>
      <c r="J559" s="40"/>
      <c r="K559" s="40"/>
      <c r="L559" s="40"/>
    </row>
    <row r="560" spans="3:12" s="18" customFormat="1" ht="15" customHeight="1">
      <c r="C560" s="40"/>
      <c r="D560" s="40"/>
      <c r="E560" s="40"/>
      <c r="F560" s="40"/>
      <c r="G560" s="40"/>
      <c r="H560" s="40"/>
      <c r="I560" s="40"/>
      <c r="J560" s="40"/>
      <c r="K560" s="40"/>
      <c r="L560" s="40"/>
    </row>
    <row r="561" spans="3:12" s="18" customFormat="1" ht="15" customHeight="1">
      <c r="C561" s="40"/>
      <c r="D561" s="40"/>
      <c r="E561" s="40"/>
      <c r="F561" s="40"/>
      <c r="G561" s="40"/>
      <c r="H561" s="40"/>
      <c r="I561" s="40"/>
      <c r="J561" s="40"/>
      <c r="K561" s="40"/>
      <c r="L561" s="40"/>
    </row>
    <row r="562" spans="3:12" s="18" customFormat="1" ht="15" customHeight="1">
      <c r="C562" s="40"/>
      <c r="D562" s="40"/>
      <c r="E562" s="40"/>
      <c r="F562" s="40"/>
      <c r="G562" s="40"/>
      <c r="H562" s="40"/>
      <c r="I562" s="40"/>
      <c r="J562" s="40"/>
      <c r="K562" s="40"/>
      <c r="L562" s="40"/>
    </row>
    <row r="563" spans="3:12" s="18" customFormat="1" ht="15" customHeight="1">
      <c r="C563" s="40"/>
      <c r="D563" s="40"/>
      <c r="E563" s="40"/>
      <c r="F563" s="40"/>
      <c r="G563" s="40"/>
      <c r="H563" s="40"/>
      <c r="I563" s="40"/>
      <c r="J563" s="40"/>
      <c r="K563" s="40"/>
      <c r="L563" s="40"/>
    </row>
    <row r="564" spans="3:12" s="18" customFormat="1" ht="15" customHeight="1">
      <c r="C564" s="40"/>
      <c r="D564" s="40"/>
      <c r="E564" s="40"/>
      <c r="F564" s="40"/>
      <c r="G564" s="40"/>
      <c r="H564" s="40"/>
      <c r="I564" s="40"/>
      <c r="J564" s="40"/>
      <c r="K564" s="40"/>
      <c r="L564" s="40"/>
    </row>
    <row r="565" spans="3:12" s="18" customFormat="1" ht="15" customHeight="1">
      <c r="C565" s="40"/>
      <c r="D565" s="40"/>
      <c r="E565" s="40"/>
      <c r="F565" s="40"/>
      <c r="G565" s="40"/>
      <c r="H565" s="40"/>
      <c r="I565" s="40"/>
      <c r="J565" s="40"/>
      <c r="K565" s="40"/>
      <c r="L565" s="40"/>
    </row>
    <row r="566" spans="3:12" s="18" customFormat="1" ht="15" customHeight="1">
      <c r="C566" s="40"/>
      <c r="D566" s="40"/>
      <c r="E566" s="40"/>
      <c r="F566" s="40"/>
      <c r="G566" s="40"/>
      <c r="H566" s="40"/>
      <c r="I566" s="40"/>
      <c r="J566" s="40"/>
      <c r="K566" s="40"/>
      <c r="L566" s="40"/>
    </row>
    <row r="567" spans="3:12" s="18" customFormat="1" ht="15" customHeight="1">
      <c r="C567" s="40"/>
      <c r="D567" s="40"/>
      <c r="E567" s="40"/>
      <c r="F567" s="40"/>
      <c r="G567" s="40"/>
      <c r="H567" s="40"/>
      <c r="I567" s="40"/>
      <c r="J567" s="40"/>
      <c r="K567" s="40"/>
      <c r="L567" s="40"/>
    </row>
    <row r="568" spans="3:12" s="18" customFormat="1" ht="15" customHeight="1">
      <c r="C568" s="40"/>
      <c r="D568" s="40"/>
      <c r="E568" s="40"/>
      <c r="F568" s="40"/>
      <c r="G568" s="40"/>
      <c r="H568" s="40"/>
      <c r="I568" s="40"/>
      <c r="J568" s="40"/>
      <c r="K568" s="40"/>
      <c r="L568" s="40"/>
    </row>
    <row r="569" spans="3:12" s="18" customFormat="1" ht="15" customHeight="1">
      <c r="C569" s="40"/>
      <c r="D569" s="40"/>
      <c r="E569" s="40"/>
      <c r="F569" s="40"/>
      <c r="G569" s="40"/>
      <c r="H569" s="40"/>
      <c r="I569" s="40"/>
      <c r="J569" s="40"/>
      <c r="K569" s="40"/>
      <c r="L569" s="40"/>
    </row>
    <row r="570" spans="3:12" s="18" customFormat="1" ht="15" customHeight="1">
      <c r="C570" s="40"/>
      <c r="D570" s="40"/>
      <c r="E570" s="40"/>
      <c r="F570" s="40"/>
      <c r="G570" s="40"/>
      <c r="H570" s="40"/>
      <c r="I570" s="40"/>
      <c r="J570" s="40"/>
      <c r="K570" s="40"/>
      <c r="L570" s="40"/>
    </row>
    <row r="571" spans="3:12" s="18" customFormat="1" ht="15" customHeight="1">
      <c r="C571" s="40"/>
      <c r="D571" s="40"/>
      <c r="E571" s="40"/>
      <c r="F571" s="40"/>
      <c r="G571" s="40"/>
      <c r="H571" s="40"/>
      <c r="I571" s="40"/>
      <c r="J571" s="40"/>
      <c r="K571" s="40"/>
      <c r="L571" s="40"/>
    </row>
    <row r="572" spans="3:12" s="18" customFormat="1" ht="15" customHeight="1">
      <c r="C572" s="40"/>
      <c r="D572" s="40"/>
      <c r="E572" s="40"/>
      <c r="F572" s="40"/>
      <c r="G572" s="40"/>
      <c r="H572" s="40"/>
      <c r="I572" s="40"/>
      <c r="J572" s="40"/>
      <c r="K572" s="40"/>
      <c r="L572" s="40"/>
    </row>
    <row r="573" spans="3:12" s="18" customFormat="1" ht="15" customHeight="1">
      <c r="C573" s="40"/>
      <c r="D573" s="40"/>
      <c r="E573" s="40"/>
      <c r="F573" s="40"/>
      <c r="G573" s="40"/>
      <c r="H573" s="40"/>
      <c r="I573" s="40"/>
      <c r="J573" s="40"/>
      <c r="K573" s="40"/>
      <c r="L573" s="40"/>
    </row>
    <row r="574" spans="3:12" s="18" customFormat="1" ht="15" customHeight="1">
      <c r="C574" s="40"/>
      <c r="D574" s="40"/>
      <c r="E574" s="40"/>
      <c r="F574" s="40"/>
      <c r="G574" s="40"/>
      <c r="H574" s="40"/>
      <c r="I574" s="40"/>
      <c r="J574" s="40"/>
      <c r="K574" s="40"/>
      <c r="L574" s="40"/>
    </row>
    <row r="575" spans="3:12" s="18" customFormat="1" ht="15" customHeight="1">
      <c r="C575" s="40"/>
      <c r="D575" s="40"/>
      <c r="E575" s="40"/>
      <c r="F575" s="40"/>
      <c r="G575" s="40"/>
      <c r="H575" s="40"/>
      <c r="I575" s="40"/>
      <c r="J575" s="40"/>
      <c r="K575" s="40"/>
      <c r="L575" s="40"/>
    </row>
    <row r="576" spans="3:12" s="18" customFormat="1" ht="15" customHeight="1">
      <c r="C576" s="40"/>
      <c r="D576" s="40"/>
      <c r="E576" s="40"/>
      <c r="F576" s="40"/>
      <c r="G576" s="40"/>
      <c r="H576" s="40"/>
      <c r="I576" s="40"/>
      <c r="J576" s="40"/>
      <c r="K576" s="40"/>
      <c r="L576" s="40"/>
    </row>
    <row r="577" spans="3:12" s="18" customFormat="1" ht="15" customHeight="1">
      <c r="C577" s="40"/>
      <c r="D577" s="40"/>
      <c r="E577" s="40"/>
      <c r="F577" s="40"/>
      <c r="G577" s="40"/>
      <c r="H577" s="40"/>
      <c r="I577" s="40"/>
      <c r="J577" s="40"/>
      <c r="K577" s="40"/>
      <c r="L577" s="40"/>
    </row>
    <row r="578" spans="3:12" s="18" customFormat="1" ht="15" customHeight="1">
      <c r="C578" s="40"/>
      <c r="D578" s="40"/>
      <c r="E578" s="40"/>
      <c r="F578" s="40"/>
      <c r="G578" s="40"/>
      <c r="H578" s="40"/>
      <c r="I578" s="40"/>
      <c r="J578" s="40"/>
      <c r="K578" s="40"/>
      <c r="L578" s="40"/>
    </row>
    <row r="579" spans="3:12" s="18" customFormat="1" ht="15" customHeight="1">
      <c r="C579" s="40"/>
      <c r="D579" s="40"/>
      <c r="E579" s="40"/>
      <c r="F579" s="40"/>
      <c r="G579" s="40"/>
      <c r="H579" s="40"/>
      <c r="I579" s="40"/>
      <c r="J579" s="40"/>
      <c r="K579" s="40"/>
      <c r="L579" s="40"/>
    </row>
    <row r="580" spans="3:12" s="18" customFormat="1" ht="15" customHeight="1">
      <c r="C580" s="40"/>
      <c r="D580" s="40"/>
      <c r="E580" s="40"/>
      <c r="F580" s="40"/>
      <c r="G580" s="40"/>
      <c r="H580" s="40"/>
      <c r="I580" s="40"/>
      <c r="J580" s="40"/>
      <c r="K580" s="40"/>
      <c r="L580" s="40"/>
    </row>
    <row r="581" spans="3:12" s="18" customFormat="1" ht="15" customHeight="1">
      <c r="C581" s="40"/>
      <c r="D581" s="40"/>
      <c r="E581" s="40"/>
      <c r="F581" s="40"/>
      <c r="G581" s="40"/>
      <c r="H581" s="40"/>
      <c r="I581" s="40"/>
      <c r="J581" s="40"/>
      <c r="K581" s="40"/>
      <c r="L581" s="40"/>
    </row>
    <row r="582" spans="3:12" s="18" customFormat="1" ht="15" customHeight="1">
      <c r="C582" s="40"/>
      <c r="D582" s="40"/>
      <c r="E582" s="40"/>
      <c r="F582" s="40"/>
      <c r="G582" s="40"/>
      <c r="H582" s="40"/>
      <c r="I582" s="40"/>
      <c r="J582" s="40"/>
      <c r="K582" s="40"/>
      <c r="L582" s="40"/>
    </row>
    <row r="583" spans="3:12" s="18" customFormat="1" ht="15" customHeight="1">
      <c r="C583" s="40"/>
      <c r="D583" s="40"/>
      <c r="E583" s="40"/>
      <c r="F583" s="40"/>
      <c r="G583" s="40"/>
      <c r="H583" s="40"/>
      <c r="I583" s="40"/>
      <c r="J583" s="40"/>
      <c r="K583" s="40"/>
      <c r="L583" s="40"/>
    </row>
    <row r="584" spans="3:12" s="18" customFormat="1" ht="15" customHeight="1">
      <c r="C584" s="40"/>
      <c r="D584" s="40"/>
      <c r="E584" s="40"/>
      <c r="F584" s="40"/>
      <c r="G584" s="40"/>
      <c r="H584" s="40"/>
      <c r="I584" s="40"/>
      <c r="J584" s="40"/>
      <c r="K584" s="40"/>
      <c r="L584" s="40"/>
    </row>
    <row r="585" spans="3:12" s="18" customFormat="1" ht="15" customHeight="1">
      <c r="C585" s="40"/>
      <c r="D585" s="40"/>
      <c r="E585" s="40"/>
      <c r="F585" s="40"/>
      <c r="G585" s="40"/>
      <c r="H585" s="40"/>
      <c r="I585" s="40"/>
      <c r="J585" s="40"/>
      <c r="K585" s="40"/>
      <c r="L585" s="40"/>
    </row>
    <row r="586" spans="3:12" s="18" customFormat="1" ht="15" customHeight="1">
      <c r="C586" s="40"/>
      <c r="D586" s="40"/>
      <c r="E586" s="40"/>
      <c r="F586" s="40"/>
      <c r="G586" s="40"/>
      <c r="H586" s="40"/>
      <c r="I586" s="40"/>
      <c r="J586" s="40"/>
      <c r="K586" s="40"/>
      <c r="L586" s="40"/>
    </row>
    <row r="587" spans="3:12" s="18" customFormat="1" ht="15" customHeight="1">
      <c r="C587" s="40"/>
      <c r="D587" s="40"/>
      <c r="E587" s="40"/>
      <c r="F587" s="40"/>
      <c r="G587" s="40"/>
      <c r="H587" s="40"/>
      <c r="I587" s="40"/>
      <c r="J587" s="40"/>
      <c r="K587" s="40"/>
      <c r="L587" s="40"/>
    </row>
    <row r="588" spans="3:12" s="18" customFormat="1" ht="15" customHeight="1">
      <c r="C588" s="40"/>
      <c r="D588" s="40"/>
      <c r="E588" s="40"/>
      <c r="F588" s="40"/>
      <c r="G588" s="40"/>
      <c r="H588" s="40"/>
      <c r="I588" s="40"/>
      <c r="J588" s="40"/>
      <c r="K588" s="40"/>
      <c r="L588" s="40"/>
    </row>
    <row r="589" spans="3:12" s="18" customFormat="1" ht="15" customHeight="1">
      <c r="C589" s="40"/>
      <c r="D589" s="40"/>
      <c r="E589" s="40"/>
      <c r="F589" s="40"/>
      <c r="G589" s="40"/>
      <c r="H589" s="40"/>
      <c r="I589" s="40"/>
      <c r="J589" s="40"/>
      <c r="K589" s="40"/>
      <c r="L589" s="40"/>
    </row>
    <row r="590" spans="3:12" s="18" customFormat="1" ht="15" customHeight="1">
      <c r="C590" s="40"/>
      <c r="D590" s="40"/>
      <c r="E590" s="40"/>
      <c r="F590" s="40"/>
      <c r="G590" s="40"/>
      <c r="H590" s="40"/>
      <c r="I590" s="40"/>
      <c r="J590" s="40"/>
      <c r="K590" s="40"/>
      <c r="L590" s="40"/>
    </row>
    <row r="591" spans="3:12" s="18" customFormat="1" ht="15" customHeight="1">
      <c r="C591" s="40"/>
      <c r="D591" s="40"/>
      <c r="E591" s="40"/>
      <c r="F591" s="40"/>
      <c r="G591" s="40"/>
      <c r="H591" s="40"/>
      <c r="I591" s="40"/>
      <c r="J591" s="40"/>
      <c r="K591" s="40"/>
      <c r="L591" s="40"/>
    </row>
    <row r="592" spans="3:12" s="18" customFormat="1" ht="15" customHeight="1">
      <c r="C592" s="40"/>
      <c r="D592" s="40"/>
      <c r="E592" s="40"/>
      <c r="F592" s="40"/>
      <c r="G592" s="40"/>
      <c r="H592" s="40"/>
      <c r="I592" s="40"/>
      <c r="J592" s="40"/>
      <c r="K592" s="40"/>
      <c r="L592" s="40"/>
    </row>
    <row r="593" spans="3:12" s="18" customFormat="1" ht="15" customHeight="1">
      <c r="C593" s="40"/>
      <c r="D593" s="40"/>
      <c r="E593" s="40"/>
      <c r="F593" s="40"/>
      <c r="G593" s="40"/>
      <c r="H593" s="40"/>
      <c r="I593" s="40"/>
      <c r="J593" s="40"/>
      <c r="K593" s="40"/>
      <c r="L593" s="40"/>
    </row>
    <row r="594" spans="3:12" s="18" customFormat="1" ht="15" customHeight="1">
      <c r="C594" s="40"/>
      <c r="D594" s="40"/>
      <c r="E594" s="40"/>
      <c r="F594" s="40"/>
      <c r="G594" s="40"/>
      <c r="H594" s="40"/>
      <c r="I594" s="40"/>
      <c r="J594" s="40"/>
      <c r="K594" s="40"/>
      <c r="L594" s="40"/>
    </row>
    <row r="595" spans="3:12" s="18" customFormat="1" ht="15" customHeight="1">
      <c r="C595" s="40"/>
      <c r="D595" s="40"/>
      <c r="E595" s="40"/>
      <c r="F595" s="40"/>
      <c r="G595" s="40"/>
      <c r="H595" s="40"/>
      <c r="I595" s="40"/>
      <c r="J595" s="40"/>
      <c r="K595" s="40"/>
      <c r="L595" s="40"/>
    </row>
    <row r="596" spans="3:12" s="18" customFormat="1" ht="15" customHeight="1">
      <c r="C596" s="40"/>
      <c r="D596" s="40"/>
      <c r="E596" s="40"/>
      <c r="F596" s="40"/>
      <c r="G596" s="40"/>
      <c r="H596" s="40"/>
      <c r="I596" s="40"/>
      <c r="J596" s="40"/>
      <c r="K596" s="40"/>
      <c r="L596" s="40"/>
    </row>
    <row r="597" spans="3:12" s="18" customFormat="1" ht="15" customHeight="1">
      <c r="C597" s="40"/>
      <c r="D597" s="40"/>
      <c r="E597" s="40"/>
      <c r="F597" s="40"/>
      <c r="G597" s="40"/>
      <c r="H597" s="40"/>
      <c r="I597" s="40"/>
      <c r="J597" s="40"/>
      <c r="K597" s="40"/>
      <c r="L597" s="40"/>
    </row>
    <row r="598" spans="3:12" s="18" customFormat="1" ht="15" customHeight="1">
      <c r="C598" s="40"/>
      <c r="D598" s="40"/>
      <c r="E598" s="40"/>
      <c r="F598" s="40"/>
      <c r="G598" s="40"/>
      <c r="H598" s="40"/>
      <c r="I598" s="40"/>
      <c r="J598" s="40"/>
      <c r="K598" s="40"/>
      <c r="L598" s="40"/>
    </row>
    <row r="599" spans="3:12" s="18" customFormat="1" ht="15" customHeight="1">
      <c r="C599" s="40"/>
      <c r="D599" s="40"/>
      <c r="E599" s="40"/>
      <c r="F599" s="40"/>
      <c r="G599" s="40"/>
      <c r="H599" s="40"/>
      <c r="I599" s="40"/>
      <c r="J599" s="40"/>
      <c r="K599" s="40"/>
      <c r="L599" s="40"/>
    </row>
    <row r="600" spans="3:12" s="18" customFormat="1" ht="15" customHeight="1">
      <c r="C600" s="40"/>
      <c r="D600" s="40"/>
      <c r="E600" s="40"/>
      <c r="F600" s="40"/>
      <c r="G600" s="40"/>
      <c r="H600" s="40"/>
      <c r="I600" s="40"/>
      <c r="J600" s="40"/>
      <c r="K600" s="40"/>
      <c r="L600" s="40"/>
    </row>
    <row r="601" spans="3:12" s="18" customFormat="1" ht="15" customHeight="1">
      <c r="C601" s="40"/>
      <c r="D601" s="40"/>
      <c r="E601" s="40"/>
      <c r="F601" s="40"/>
      <c r="G601" s="40"/>
      <c r="H601" s="40"/>
      <c r="I601" s="40"/>
      <c r="J601" s="40"/>
      <c r="K601" s="40"/>
      <c r="L601" s="40"/>
    </row>
    <row r="602" spans="3:12" s="18" customFormat="1" ht="15" customHeight="1">
      <c r="C602" s="40"/>
      <c r="D602" s="40"/>
      <c r="E602" s="40"/>
      <c r="F602" s="40"/>
      <c r="G602" s="40"/>
      <c r="H602" s="40"/>
      <c r="I602" s="40"/>
      <c r="J602" s="40"/>
      <c r="K602" s="40"/>
      <c r="L602" s="40"/>
    </row>
    <row r="603" spans="3:12" s="18" customFormat="1" ht="15" customHeight="1">
      <c r="C603" s="40"/>
      <c r="D603" s="40"/>
      <c r="E603" s="40"/>
      <c r="F603" s="40"/>
      <c r="G603" s="40"/>
      <c r="H603" s="40"/>
      <c r="I603" s="40"/>
      <c r="J603" s="40"/>
      <c r="K603" s="40"/>
      <c r="L603" s="40"/>
    </row>
    <row r="604" spans="3:12" s="18" customFormat="1" ht="15" customHeight="1">
      <c r="C604" s="40"/>
      <c r="D604" s="40"/>
      <c r="E604" s="40"/>
      <c r="F604" s="40"/>
      <c r="G604" s="40"/>
      <c r="H604" s="40"/>
      <c r="I604" s="40"/>
      <c r="J604" s="40"/>
      <c r="K604" s="40"/>
      <c r="L604" s="40"/>
    </row>
    <row r="605" spans="3:12" s="18" customFormat="1" ht="15" customHeight="1">
      <c r="C605" s="40"/>
      <c r="D605" s="40"/>
      <c r="E605" s="40"/>
      <c r="F605" s="40"/>
      <c r="G605" s="40"/>
      <c r="H605" s="40"/>
      <c r="I605" s="40"/>
      <c r="J605" s="40"/>
      <c r="K605" s="40"/>
      <c r="L605" s="40"/>
    </row>
    <row r="606" spans="3:12" s="18" customFormat="1" ht="15" customHeight="1">
      <c r="C606" s="40"/>
      <c r="D606" s="40"/>
      <c r="E606" s="40"/>
      <c r="F606" s="40"/>
      <c r="G606" s="40"/>
      <c r="H606" s="40"/>
      <c r="I606" s="40"/>
      <c r="J606" s="40"/>
      <c r="K606" s="40"/>
      <c r="L606" s="40"/>
    </row>
    <row r="607" spans="3:12" s="18" customFormat="1" ht="15" customHeight="1">
      <c r="C607" s="40"/>
      <c r="D607" s="40"/>
      <c r="E607" s="40"/>
      <c r="F607" s="40"/>
      <c r="G607" s="40"/>
      <c r="H607" s="40"/>
      <c r="I607" s="40"/>
      <c r="J607" s="40"/>
      <c r="K607" s="40"/>
      <c r="L607" s="40"/>
    </row>
    <row r="608" spans="3:12" s="18" customFormat="1" ht="15" customHeight="1">
      <c r="C608" s="40"/>
      <c r="D608" s="40"/>
      <c r="E608" s="40"/>
      <c r="F608" s="40"/>
      <c r="G608" s="40"/>
      <c r="H608" s="40"/>
      <c r="I608" s="40"/>
      <c r="J608" s="40"/>
      <c r="K608" s="40"/>
      <c r="L608" s="40"/>
    </row>
    <row r="609" spans="3:12" s="18" customFormat="1" ht="15" customHeight="1">
      <c r="C609" s="40"/>
      <c r="D609" s="40"/>
      <c r="E609" s="40"/>
      <c r="F609" s="40"/>
      <c r="G609" s="40"/>
      <c r="H609" s="40"/>
      <c r="I609" s="40"/>
      <c r="J609" s="40"/>
      <c r="K609" s="40"/>
      <c r="L609" s="40"/>
    </row>
    <row r="610" spans="3:12" s="18" customFormat="1" ht="15" customHeight="1">
      <c r="C610" s="40"/>
      <c r="D610" s="40"/>
      <c r="E610" s="40"/>
      <c r="F610" s="40"/>
      <c r="G610" s="40"/>
      <c r="H610" s="40"/>
      <c r="I610" s="40"/>
      <c r="J610" s="40"/>
      <c r="K610" s="40"/>
      <c r="L610" s="40"/>
    </row>
    <row r="611" spans="3:12" s="18" customFormat="1" ht="15" customHeight="1">
      <c r="C611" s="40"/>
      <c r="D611" s="40"/>
      <c r="E611" s="40"/>
      <c r="F611" s="40"/>
      <c r="G611" s="40"/>
      <c r="H611" s="40"/>
      <c r="I611" s="40"/>
      <c r="J611" s="40"/>
      <c r="K611" s="40"/>
      <c r="L611" s="40"/>
    </row>
    <row r="612" spans="3:12" s="18" customFormat="1" ht="15" customHeight="1">
      <c r="C612" s="40"/>
      <c r="D612" s="40"/>
      <c r="E612" s="40"/>
      <c r="F612" s="40"/>
      <c r="G612" s="40"/>
      <c r="H612" s="40"/>
      <c r="I612" s="40"/>
      <c r="J612" s="40"/>
      <c r="K612" s="40"/>
      <c r="L612" s="40"/>
    </row>
    <row r="613" spans="3:12" s="18" customFormat="1" ht="15" customHeight="1">
      <c r="C613" s="40"/>
      <c r="D613" s="40"/>
      <c r="E613" s="40"/>
      <c r="F613" s="40"/>
      <c r="G613" s="40"/>
      <c r="H613" s="40"/>
      <c r="I613" s="40"/>
      <c r="J613" s="40"/>
      <c r="K613" s="40"/>
      <c r="L613" s="40"/>
    </row>
    <row r="614" spans="3:12" s="18" customFormat="1" ht="15" customHeight="1">
      <c r="C614" s="40"/>
      <c r="D614" s="40"/>
      <c r="E614" s="40"/>
      <c r="F614" s="40"/>
      <c r="G614" s="40"/>
      <c r="H614" s="40"/>
      <c r="I614" s="40"/>
      <c r="J614" s="40"/>
      <c r="K614" s="40"/>
      <c r="L614" s="40"/>
    </row>
    <row r="615" spans="3:12" s="18" customFormat="1" ht="15" customHeight="1">
      <c r="C615" s="40"/>
      <c r="D615" s="40"/>
      <c r="E615" s="40"/>
      <c r="F615" s="40"/>
      <c r="G615" s="40"/>
      <c r="H615" s="40"/>
      <c r="I615" s="40"/>
      <c r="J615" s="40"/>
      <c r="K615" s="40"/>
      <c r="L615" s="40"/>
    </row>
    <row r="616" spans="3:12" s="18" customFormat="1" ht="15" customHeight="1">
      <c r="C616" s="40"/>
      <c r="D616" s="40"/>
      <c r="E616" s="40"/>
      <c r="F616" s="40"/>
      <c r="G616" s="40"/>
      <c r="H616" s="40"/>
      <c r="I616" s="40"/>
      <c r="J616" s="40"/>
      <c r="K616" s="40"/>
      <c r="L616" s="40"/>
    </row>
    <row r="617" spans="3:12" s="18" customFormat="1" ht="15" customHeight="1">
      <c r="C617" s="40"/>
      <c r="D617" s="40"/>
      <c r="E617" s="40"/>
      <c r="F617" s="40"/>
      <c r="G617" s="40"/>
      <c r="H617" s="40"/>
      <c r="I617" s="40"/>
      <c r="J617" s="40"/>
      <c r="K617" s="40"/>
      <c r="L617" s="40"/>
    </row>
    <row r="618" spans="3:12" s="18" customFormat="1" ht="15" customHeight="1">
      <c r="C618" s="40"/>
      <c r="D618" s="40"/>
      <c r="E618" s="40"/>
      <c r="F618" s="40"/>
      <c r="G618" s="40"/>
      <c r="H618" s="40"/>
      <c r="I618" s="40"/>
      <c r="J618" s="40"/>
      <c r="K618" s="40"/>
      <c r="L618" s="40"/>
    </row>
    <row r="619" spans="3:12" s="18" customFormat="1" ht="15" customHeight="1">
      <c r="C619" s="40"/>
      <c r="D619" s="40"/>
      <c r="E619" s="40"/>
      <c r="F619" s="40"/>
      <c r="G619" s="40"/>
      <c r="H619" s="40"/>
      <c r="I619" s="40"/>
      <c r="J619" s="40"/>
      <c r="K619" s="40"/>
      <c r="L619" s="40"/>
    </row>
    <row r="620" spans="3:12" s="18" customFormat="1" ht="15" customHeight="1">
      <c r="C620" s="40"/>
      <c r="D620" s="40"/>
      <c r="E620" s="40"/>
      <c r="F620" s="40"/>
      <c r="G620" s="40"/>
      <c r="H620" s="40"/>
      <c r="I620" s="40"/>
      <c r="J620" s="40"/>
      <c r="K620" s="40"/>
      <c r="L620" s="40"/>
    </row>
    <row r="621" spans="3:12" s="18" customFormat="1" ht="15" customHeight="1">
      <c r="C621" s="40"/>
      <c r="D621" s="40"/>
      <c r="E621" s="40"/>
      <c r="F621" s="40"/>
      <c r="G621" s="40"/>
      <c r="H621" s="40"/>
      <c r="I621" s="40"/>
      <c r="J621" s="40"/>
      <c r="K621" s="40"/>
      <c r="L621" s="40"/>
    </row>
    <row r="622" spans="3:12" s="18" customFormat="1" ht="15" customHeight="1">
      <c r="C622" s="40"/>
      <c r="D622" s="40"/>
      <c r="E622" s="40"/>
      <c r="F622" s="40"/>
      <c r="G622" s="40"/>
      <c r="H622" s="40"/>
      <c r="I622" s="40"/>
      <c r="J622" s="40"/>
      <c r="K622" s="40"/>
      <c r="L622" s="40"/>
    </row>
    <row r="623" spans="3:12" s="18" customFormat="1" ht="15" customHeight="1">
      <c r="C623" s="40"/>
      <c r="D623" s="40"/>
      <c r="E623" s="40"/>
      <c r="F623" s="40"/>
      <c r="G623" s="40"/>
      <c r="H623" s="40"/>
      <c r="I623" s="40"/>
      <c r="J623" s="40"/>
      <c r="K623" s="40"/>
      <c r="L623" s="40"/>
    </row>
    <row r="624" spans="3:12" s="18" customFormat="1" ht="15" customHeight="1">
      <c r="C624" s="40"/>
      <c r="D624" s="40"/>
      <c r="E624" s="40"/>
      <c r="F624" s="40"/>
      <c r="G624" s="40"/>
      <c r="H624" s="40"/>
      <c r="I624" s="40"/>
      <c r="J624" s="40"/>
      <c r="K624" s="40"/>
      <c r="L624" s="40"/>
    </row>
    <row r="625" spans="3:12" s="18" customFormat="1" ht="15" customHeight="1">
      <c r="C625" s="40"/>
      <c r="D625" s="40"/>
      <c r="E625" s="40"/>
      <c r="F625" s="40"/>
      <c r="G625" s="40"/>
      <c r="H625" s="40"/>
      <c r="I625" s="40"/>
      <c r="J625" s="40"/>
      <c r="K625" s="40"/>
      <c r="L625" s="40"/>
    </row>
    <row r="626" spans="3:12" s="18" customFormat="1" ht="15" customHeight="1">
      <c r="C626" s="40"/>
      <c r="D626" s="40"/>
      <c r="E626" s="40"/>
      <c r="F626" s="40"/>
      <c r="G626" s="40"/>
      <c r="H626" s="40"/>
      <c r="I626" s="40"/>
      <c r="J626" s="40"/>
      <c r="K626" s="40"/>
      <c r="L626" s="40"/>
    </row>
    <row r="627" spans="3:12" s="18" customFormat="1" ht="15" customHeight="1">
      <c r="C627" s="40"/>
      <c r="D627" s="40"/>
      <c r="E627" s="40"/>
      <c r="F627" s="40"/>
      <c r="G627" s="40"/>
      <c r="H627" s="40"/>
      <c r="I627" s="40"/>
      <c r="J627" s="40"/>
      <c r="K627" s="40"/>
      <c r="L627" s="40"/>
    </row>
    <row r="628" spans="3:12" s="18" customFormat="1" ht="15" customHeight="1">
      <c r="C628" s="40"/>
      <c r="D628" s="40"/>
      <c r="E628" s="40"/>
      <c r="F628" s="40"/>
      <c r="G628" s="40"/>
      <c r="H628" s="40"/>
      <c r="I628" s="40"/>
      <c r="J628" s="40"/>
      <c r="K628" s="40"/>
      <c r="L628" s="40"/>
    </row>
    <row r="629" spans="3:12" s="18" customFormat="1" ht="15" customHeight="1">
      <c r="C629" s="40"/>
      <c r="D629" s="40"/>
      <c r="E629" s="40"/>
      <c r="F629" s="40"/>
      <c r="G629" s="40"/>
      <c r="H629" s="40"/>
      <c r="I629" s="40"/>
      <c r="J629" s="40"/>
      <c r="K629" s="40"/>
      <c r="L629" s="40"/>
    </row>
    <row r="630" spans="3:12" s="18" customFormat="1" ht="15" customHeight="1">
      <c r="C630" s="40"/>
      <c r="D630" s="40"/>
      <c r="E630" s="40"/>
      <c r="F630" s="40"/>
      <c r="G630" s="40"/>
      <c r="H630" s="40"/>
      <c r="I630" s="40"/>
      <c r="J630" s="40"/>
      <c r="K630" s="40"/>
      <c r="L630" s="40"/>
    </row>
    <row r="631" spans="3:12" s="18" customFormat="1" ht="15" customHeight="1">
      <c r="C631" s="40"/>
      <c r="D631" s="40"/>
      <c r="E631" s="40"/>
      <c r="F631" s="40"/>
      <c r="G631" s="40"/>
      <c r="H631" s="40"/>
      <c r="I631" s="40"/>
      <c r="J631" s="40"/>
      <c r="K631" s="40"/>
      <c r="L631" s="40"/>
    </row>
    <row r="632" spans="3:12" s="18" customFormat="1" ht="15" customHeight="1">
      <c r="C632" s="40"/>
      <c r="D632" s="40"/>
      <c r="E632" s="40"/>
      <c r="F632" s="40"/>
      <c r="G632" s="40"/>
      <c r="H632" s="40"/>
      <c r="I632" s="40"/>
      <c r="J632" s="40"/>
      <c r="K632" s="40"/>
      <c r="L632" s="40"/>
    </row>
    <row r="633" spans="3:12" s="18" customFormat="1" ht="15" customHeight="1">
      <c r="C633" s="40"/>
      <c r="D633" s="40"/>
      <c r="E633" s="40"/>
      <c r="F633" s="40"/>
      <c r="G633" s="40"/>
      <c r="H633" s="40"/>
      <c r="I633" s="40"/>
      <c r="J633" s="40"/>
      <c r="K633" s="40"/>
      <c r="L633" s="40"/>
    </row>
    <row r="634" spans="3:12" s="18" customFormat="1" ht="15" customHeight="1">
      <c r="C634" s="40"/>
      <c r="D634" s="40"/>
      <c r="E634" s="40"/>
      <c r="F634" s="40"/>
      <c r="G634" s="40"/>
      <c r="H634" s="40"/>
      <c r="I634" s="40"/>
      <c r="J634" s="40"/>
      <c r="K634" s="40"/>
      <c r="L634" s="40"/>
    </row>
    <row r="635" spans="3:12" s="18" customFormat="1" ht="15" customHeight="1">
      <c r="C635" s="40"/>
      <c r="D635" s="40"/>
      <c r="E635" s="40"/>
      <c r="F635" s="40"/>
      <c r="G635" s="40"/>
      <c r="H635" s="40"/>
      <c r="I635" s="40"/>
      <c r="J635" s="40"/>
      <c r="K635" s="40"/>
      <c r="L635" s="40"/>
    </row>
    <row r="636" spans="3:12" s="18" customFormat="1" ht="15" customHeight="1">
      <c r="C636" s="40"/>
      <c r="D636" s="40"/>
      <c r="E636" s="40"/>
      <c r="F636" s="40"/>
      <c r="G636" s="40"/>
      <c r="H636" s="40"/>
      <c r="I636" s="40"/>
      <c r="J636" s="40"/>
      <c r="K636" s="40"/>
      <c r="L636" s="40"/>
    </row>
    <row r="637" spans="3:12" s="18" customFormat="1" ht="15" customHeight="1">
      <c r="C637" s="40"/>
      <c r="D637" s="40"/>
      <c r="E637" s="40"/>
      <c r="F637" s="40"/>
      <c r="G637" s="40"/>
      <c r="H637" s="40"/>
      <c r="I637" s="40"/>
      <c r="J637" s="40"/>
      <c r="K637" s="40"/>
      <c r="L637" s="40"/>
    </row>
    <row r="638" spans="3:12" s="18" customFormat="1" ht="15" customHeight="1">
      <c r="C638" s="40"/>
      <c r="D638" s="40"/>
      <c r="E638" s="40"/>
      <c r="F638" s="40"/>
      <c r="G638" s="40"/>
      <c r="H638" s="40"/>
      <c r="I638" s="40"/>
      <c r="J638" s="40"/>
      <c r="K638" s="40"/>
      <c r="L638" s="40"/>
    </row>
    <row r="639" spans="3:12" s="18" customFormat="1" ht="15" customHeight="1">
      <c r="C639" s="40"/>
      <c r="D639" s="40"/>
      <c r="E639" s="40"/>
      <c r="F639" s="40"/>
      <c r="G639" s="40"/>
      <c r="H639" s="40"/>
      <c r="I639" s="40"/>
      <c r="J639" s="40"/>
      <c r="K639" s="40"/>
      <c r="L639" s="40"/>
    </row>
    <row r="640" spans="3:12" s="18" customFormat="1" ht="15" customHeight="1">
      <c r="C640" s="40"/>
      <c r="D640" s="40"/>
      <c r="E640" s="40"/>
      <c r="F640" s="40"/>
      <c r="G640" s="40"/>
      <c r="H640" s="40"/>
      <c r="I640" s="40"/>
      <c r="J640" s="40"/>
      <c r="K640" s="40"/>
      <c r="L640" s="40"/>
    </row>
    <row r="641" spans="3:12" s="18" customFormat="1" ht="15" customHeight="1">
      <c r="C641" s="40"/>
      <c r="D641" s="40"/>
      <c r="E641" s="40"/>
      <c r="F641" s="40"/>
      <c r="G641" s="40"/>
      <c r="H641" s="40"/>
      <c r="I641" s="40"/>
      <c r="J641" s="40"/>
      <c r="K641" s="40"/>
      <c r="L641" s="40"/>
    </row>
    <row r="642" spans="3:12" s="18" customFormat="1" ht="15" customHeight="1">
      <c r="C642" s="40"/>
      <c r="D642" s="40"/>
      <c r="E642" s="40"/>
      <c r="F642" s="40"/>
      <c r="G642" s="40"/>
      <c r="H642" s="40"/>
      <c r="I642" s="40"/>
      <c r="J642" s="40"/>
      <c r="K642" s="40"/>
      <c r="L642" s="40"/>
    </row>
    <row r="643" spans="3:12" s="18" customFormat="1" ht="15" customHeight="1">
      <c r="C643" s="40"/>
      <c r="D643" s="40"/>
      <c r="E643" s="40"/>
      <c r="F643" s="40"/>
      <c r="G643" s="40"/>
      <c r="H643" s="40"/>
      <c r="I643" s="40"/>
      <c r="J643" s="40"/>
      <c r="K643" s="40"/>
      <c r="L643" s="40"/>
    </row>
    <row r="644" spans="3:12" s="18" customFormat="1" ht="15" customHeight="1">
      <c r="C644" s="40"/>
      <c r="D644" s="40"/>
      <c r="E644" s="40"/>
      <c r="F644" s="40"/>
      <c r="G644" s="40"/>
      <c r="H644" s="40"/>
      <c r="I644" s="40"/>
      <c r="J644" s="40"/>
      <c r="K644" s="40"/>
      <c r="L644" s="40"/>
    </row>
    <row r="645" spans="3:12" s="18" customFormat="1" ht="15" customHeight="1">
      <c r="C645" s="40"/>
      <c r="D645" s="40"/>
      <c r="E645" s="40"/>
      <c r="F645" s="40"/>
      <c r="G645" s="40"/>
      <c r="H645" s="40"/>
      <c r="I645" s="40"/>
      <c r="J645" s="40"/>
      <c r="K645" s="40"/>
      <c r="L645" s="40"/>
    </row>
    <row r="646" spans="3:12" s="18" customFormat="1" ht="15" customHeight="1">
      <c r="C646" s="40"/>
      <c r="D646" s="40"/>
      <c r="E646" s="40"/>
      <c r="F646" s="40"/>
      <c r="G646" s="40"/>
      <c r="H646" s="40"/>
      <c r="I646" s="40"/>
      <c r="J646" s="40"/>
      <c r="K646" s="40"/>
      <c r="L646" s="40"/>
    </row>
    <row r="647" spans="3:12" s="18" customFormat="1" ht="15" customHeight="1">
      <c r="C647" s="40"/>
      <c r="D647" s="40"/>
      <c r="E647" s="40"/>
      <c r="F647" s="40"/>
      <c r="G647" s="40"/>
      <c r="H647" s="40"/>
      <c r="I647" s="40"/>
      <c r="J647" s="40"/>
      <c r="K647" s="40"/>
      <c r="L647" s="40"/>
    </row>
    <row r="648" spans="3:12" s="18" customFormat="1" ht="15" customHeight="1">
      <c r="C648" s="40"/>
      <c r="D648" s="40"/>
      <c r="E648" s="40"/>
      <c r="F648" s="40"/>
      <c r="G648" s="40"/>
      <c r="H648" s="40"/>
      <c r="I648" s="40"/>
      <c r="J648" s="40"/>
      <c r="K648" s="40"/>
      <c r="L648" s="40"/>
    </row>
    <row r="649" spans="3:12" s="18" customFormat="1" ht="15" customHeight="1">
      <c r="C649" s="40"/>
      <c r="D649" s="40"/>
      <c r="E649" s="40"/>
      <c r="F649" s="40"/>
      <c r="G649" s="40"/>
      <c r="H649" s="40"/>
      <c r="I649" s="40"/>
      <c r="J649" s="40"/>
      <c r="K649" s="40"/>
      <c r="L649" s="40"/>
    </row>
    <row r="650" spans="3:12" s="18" customFormat="1" ht="15" customHeight="1">
      <c r="C650" s="40"/>
      <c r="D650" s="40"/>
      <c r="E650" s="40"/>
      <c r="F650" s="40"/>
      <c r="G650" s="40"/>
      <c r="H650" s="40"/>
      <c r="I650" s="40"/>
      <c r="J650" s="40"/>
      <c r="K650" s="40"/>
      <c r="L650" s="40"/>
    </row>
    <row r="651" spans="3:12" s="18" customFormat="1" ht="15" customHeight="1">
      <c r="C651" s="40"/>
      <c r="D651" s="40"/>
      <c r="E651" s="40"/>
      <c r="F651" s="40"/>
      <c r="G651" s="40"/>
      <c r="H651" s="40"/>
      <c r="I651" s="40"/>
      <c r="J651" s="40"/>
      <c r="K651" s="40"/>
      <c r="L651" s="40"/>
    </row>
    <row r="652" spans="3:12" s="18" customFormat="1" ht="15" customHeight="1">
      <c r="C652" s="40"/>
      <c r="D652" s="40"/>
      <c r="E652" s="40"/>
      <c r="F652" s="40"/>
      <c r="G652" s="40"/>
      <c r="H652" s="40"/>
      <c r="I652" s="40"/>
      <c r="J652" s="40"/>
      <c r="K652" s="40"/>
      <c r="L652" s="40"/>
    </row>
    <row r="653" spans="3:12" s="18" customFormat="1" ht="15" customHeight="1">
      <c r="C653" s="40"/>
      <c r="D653" s="40"/>
      <c r="E653" s="40"/>
      <c r="F653" s="40"/>
      <c r="G653" s="40"/>
      <c r="H653" s="40"/>
      <c r="I653" s="40"/>
      <c r="J653" s="40"/>
      <c r="K653" s="40"/>
      <c r="L653" s="40"/>
    </row>
    <row r="654" spans="3:12" s="18" customFormat="1" ht="15" customHeight="1">
      <c r="C654" s="40"/>
      <c r="D654" s="40"/>
      <c r="E654" s="40"/>
      <c r="F654" s="40"/>
      <c r="G654" s="40"/>
      <c r="H654" s="40"/>
      <c r="I654" s="40"/>
      <c r="J654" s="40"/>
      <c r="K654" s="40"/>
      <c r="L654" s="40"/>
    </row>
    <row r="655" spans="3:12" s="18" customFormat="1" ht="15" customHeight="1">
      <c r="C655" s="40"/>
      <c r="D655" s="40"/>
      <c r="E655" s="40"/>
      <c r="F655" s="40"/>
      <c r="G655" s="40"/>
      <c r="H655" s="40"/>
      <c r="I655" s="40"/>
      <c r="J655" s="40"/>
      <c r="K655" s="40"/>
      <c r="L655" s="40"/>
    </row>
    <row r="656" spans="3:12" s="18" customFormat="1" ht="15" customHeight="1">
      <c r="C656" s="40"/>
      <c r="D656" s="40"/>
      <c r="E656" s="40"/>
      <c r="F656" s="40"/>
      <c r="G656" s="40"/>
      <c r="H656" s="40"/>
      <c r="I656" s="40"/>
      <c r="J656" s="40"/>
      <c r="K656" s="40"/>
      <c r="L656" s="40"/>
    </row>
    <row r="657" spans="3:12" s="18" customFormat="1">
      <c r="C657" s="40"/>
      <c r="D657" s="40"/>
      <c r="E657" s="40"/>
      <c r="F657" s="40"/>
      <c r="G657" s="40"/>
      <c r="H657" s="40"/>
      <c r="I657" s="40"/>
      <c r="J657" s="40"/>
      <c r="K657" s="40"/>
      <c r="L657" s="40"/>
    </row>
    <row r="658" spans="3:12" s="18" customFormat="1">
      <c r="C658" s="40"/>
      <c r="D658" s="40"/>
      <c r="E658" s="40"/>
      <c r="F658" s="40"/>
      <c r="G658" s="40"/>
      <c r="H658" s="40"/>
      <c r="I658" s="40"/>
      <c r="J658" s="40"/>
      <c r="K658" s="40"/>
      <c r="L658" s="40"/>
    </row>
    <row r="659" spans="3:12" s="18" customFormat="1">
      <c r="C659" s="40"/>
      <c r="D659" s="40"/>
      <c r="E659" s="40"/>
      <c r="F659" s="40"/>
      <c r="G659" s="40"/>
      <c r="H659" s="40"/>
      <c r="I659" s="40"/>
      <c r="J659" s="40"/>
      <c r="K659" s="40"/>
      <c r="L659" s="40"/>
    </row>
    <row r="660" spans="3:12" s="18" customFormat="1">
      <c r="C660" s="40"/>
      <c r="D660" s="40"/>
      <c r="E660" s="40"/>
      <c r="F660" s="40"/>
      <c r="G660" s="40"/>
      <c r="H660" s="40"/>
      <c r="I660" s="40"/>
      <c r="J660" s="40"/>
      <c r="K660" s="40"/>
      <c r="L660" s="40"/>
    </row>
    <row r="661" spans="3:12" s="18" customFormat="1">
      <c r="C661" s="40"/>
      <c r="D661" s="40"/>
      <c r="E661" s="40"/>
      <c r="F661" s="40"/>
      <c r="G661" s="40"/>
      <c r="H661" s="40"/>
      <c r="I661" s="40"/>
      <c r="J661" s="40"/>
      <c r="K661" s="40"/>
      <c r="L661" s="40"/>
    </row>
    <row r="662" spans="3:12" s="18" customFormat="1">
      <c r="C662" s="40"/>
      <c r="D662" s="40"/>
      <c r="E662" s="40"/>
      <c r="F662" s="40"/>
      <c r="G662" s="40"/>
      <c r="H662" s="40"/>
      <c r="I662" s="40"/>
      <c r="J662" s="40"/>
      <c r="K662" s="40"/>
      <c r="L662" s="40"/>
    </row>
    <row r="663" spans="3:12" s="18" customFormat="1">
      <c r="C663" s="40"/>
      <c r="D663" s="40"/>
      <c r="E663" s="40"/>
      <c r="F663" s="40"/>
      <c r="G663" s="40"/>
      <c r="H663" s="40"/>
      <c r="I663" s="40"/>
      <c r="J663" s="40"/>
      <c r="K663" s="40"/>
      <c r="L663" s="40"/>
    </row>
    <row r="664" spans="3:12" s="18" customFormat="1">
      <c r="C664" s="40"/>
      <c r="D664" s="40"/>
      <c r="E664" s="40"/>
      <c r="F664" s="40"/>
      <c r="G664" s="40"/>
      <c r="H664" s="40"/>
      <c r="I664" s="40"/>
      <c r="J664" s="40"/>
      <c r="K664" s="40"/>
      <c r="L664" s="40"/>
    </row>
    <row r="665" spans="3:12" s="18" customFormat="1">
      <c r="C665" s="40"/>
      <c r="D665" s="40"/>
      <c r="E665" s="40"/>
      <c r="F665" s="40"/>
      <c r="G665" s="40"/>
      <c r="H665" s="40"/>
      <c r="I665" s="40"/>
      <c r="J665" s="40"/>
      <c r="K665" s="40"/>
      <c r="L665" s="40"/>
    </row>
    <row r="666" spans="3:12" s="18" customFormat="1">
      <c r="C666" s="40"/>
      <c r="D666" s="40"/>
      <c r="E666" s="40"/>
      <c r="F666" s="40"/>
      <c r="G666" s="40"/>
      <c r="H666" s="40"/>
      <c r="I666" s="40"/>
      <c r="J666" s="40"/>
      <c r="K666" s="40"/>
      <c r="L666" s="40"/>
    </row>
    <row r="667" spans="3:12" s="18" customFormat="1">
      <c r="C667" s="40"/>
      <c r="D667" s="40"/>
      <c r="E667" s="40"/>
      <c r="F667" s="40"/>
      <c r="G667" s="40"/>
      <c r="H667" s="40"/>
      <c r="I667" s="40"/>
      <c r="J667" s="40"/>
      <c r="K667" s="40"/>
      <c r="L667" s="40"/>
    </row>
    <row r="668" spans="3:12" s="18" customFormat="1">
      <c r="C668" s="40"/>
      <c r="D668" s="40"/>
      <c r="E668" s="40"/>
      <c r="F668" s="40"/>
      <c r="G668" s="40"/>
      <c r="H668" s="40"/>
      <c r="I668" s="40"/>
      <c r="J668" s="40"/>
      <c r="K668" s="40"/>
      <c r="L668" s="40"/>
    </row>
    <row r="669" spans="3:12" s="18" customFormat="1">
      <c r="C669" s="40"/>
      <c r="D669" s="40"/>
      <c r="E669" s="40"/>
      <c r="F669" s="40"/>
      <c r="G669" s="40"/>
      <c r="H669" s="40"/>
      <c r="I669" s="40"/>
      <c r="J669" s="40"/>
      <c r="K669" s="40"/>
      <c r="L669" s="40"/>
    </row>
    <row r="670" spans="3:12" s="18" customFormat="1">
      <c r="C670" s="40"/>
      <c r="D670" s="40"/>
      <c r="E670" s="40"/>
      <c r="F670" s="40"/>
      <c r="G670" s="40"/>
      <c r="H670" s="40"/>
      <c r="I670" s="40"/>
      <c r="J670" s="40"/>
      <c r="K670" s="40"/>
      <c r="L670" s="40"/>
    </row>
    <row r="671" spans="3:12" s="18" customFormat="1">
      <c r="C671" s="40"/>
      <c r="D671" s="40"/>
      <c r="E671" s="40"/>
      <c r="F671" s="40"/>
      <c r="G671" s="40"/>
      <c r="H671" s="40"/>
      <c r="I671" s="40"/>
      <c r="J671" s="40"/>
      <c r="K671" s="40"/>
      <c r="L671" s="40"/>
    </row>
    <row r="672" spans="3:12" s="18" customFormat="1">
      <c r="C672" s="40"/>
      <c r="D672" s="40"/>
      <c r="E672" s="40"/>
      <c r="F672" s="40"/>
      <c r="G672" s="40"/>
      <c r="H672" s="40"/>
      <c r="I672" s="40"/>
      <c r="J672" s="40"/>
      <c r="K672" s="40"/>
      <c r="L672" s="40"/>
    </row>
    <row r="673" spans="3:12" s="18" customFormat="1">
      <c r="C673" s="40"/>
      <c r="D673" s="40"/>
      <c r="E673" s="40"/>
      <c r="F673" s="40"/>
      <c r="G673" s="40"/>
      <c r="H673" s="40"/>
      <c r="I673" s="40"/>
      <c r="J673" s="40"/>
      <c r="K673" s="40"/>
      <c r="L673" s="40"/>
    </row>
    <row r="674" spans="3:12" s="18" customFormat="1">
      <c r="C674" s="40"/>
      <c r="D674" s="40"/>
      <c r="E674" s="40"/>
      <c r="F674" s="40"/>
      <c r="G674" s="40"/>
      <c r="H674" s="40"/>
      <c r="I674" s="40"/>
      <c r="J674" s="40"/>
      <c r="K674" s="40"/>
      <c r="L674" s="40"/>
    </row>
    <row r="675" spans="3:12" s="18" customFormat="1">
      <c r="C675" s="40"/>
      <c r="D675" s="40"/>
      <c r="E675" s="40"/>
      <c r="F675" s="40"/>
      <c r="G675" s="40"/>
      <c r="H675" s="40"/>
      <c r="I675" s="40"/>
      <c r="J675" s="40"/>
      <c r="K675" s="40"/>
      <c r="L675" s="40"/>
    </row>
    <row r="676" spans="3:12" s="18" customFormat="1">
      <c r="C676" s="40"/>
      <c r="D676" s="40"/>
      <c r="E676" s="40"/>
      <c r="F676" s="40"/>
      <c r="G676" s="40"/>
      <c r="H676" s="40"/>
      <c r="I676" s="40"/>
      <c r="J676" s="40"/>
      <c r="K676" s="40"/>
      <c r="L676" s="40"/>
    </row>
    <row r="677" spans="3:12" s="18" customFormat="1">
      <c r="C677" s="40"/>
      <c r="D677" s="40"/>
      <c r="E677" s="40"/>
      <c r="F677" s="40"/>
      <c r="G677" s="40"/>
      <c r="H677" s="40"/>
      <c r="I677" s="40"/>
      <c r="J677" s="40"/>
      <c r="K677" s="40"/>
      <c r="L677" s="40"/>
    </row>
    <row r="678" spans="3:12" s="18" customFormat="1">
      <c r="C678" s="40"/>
      <c r="D678" s="40"/>
      <c r="E678" s="40"/>
      <c r="F678" s="40"/>
      <c r="G678" s="40"/>
      <c r="H678" s="40"/>
      <c r="I678" s="40"/>
      <c r="J678" s="40"/>
      <c r="K678" s="40"/>
      <c r="L678" s="40"/>
    </row>
    <row r="679" spans="3:12" s="18" customFormat="1">
      <c r="C679" s="40"/>
      <c r="D679" s="40"/>
      <c r="E679" s="40"/>
      <c r="F679" s="40"/>
      <c r="G679" s="40"/>
      <c r="H679" s="40"/>
      <c r="I679" s="40"/>
      <c r="J679" s="40"/>
      <c r="K679" s="40"/>
      <c r="L679" s="40"/>
    </row>
    <row r="680" spans="3:12" s="18" customFormat="1">
      <c r="C680" s="40"/>
      <c r="D680" s="40"/>
      <c r="E680" s="40"/>
      <c r="F680" s="40"/>
      <c r="G680" s="40"/>
      <c r="H680" s="40"/>
      <c r="I680" s="40"/>
      <c r="J680" s="40"/>
      <c r="K680" s="40"/>
      <c r="L680" s="40"/>
    </row>
    <row r="681" spans="3:12" s="18" customFormat="1">
      <c r="C681" s="40"/>
      <c r="D681" s="40"/>
      <c r="E681" s="40"/>
      <c r="F681" s="40"/>
      <c r="G681" s="40"/>
      <c r="H681" s="40"/>
      <c r="I681" s="40"/>
      <c r="J681" s="40"/>
      <c r="K681" s="40"/>
      <c r="L681" s="40"/>
    </row>
    <row r="682" spans="3:12" s="18" customFormat="1">
      <c r="C682" s="40"/>
      <c r="D682" s="40"/>
      <c r="E682" s="40"/>
      <c r="F682" s="40"/>
      <c r="G682" s="40"/>
      <c r="H682" s="40"/>
      <c r="I682" s="40"/>
      <c r="J682" s="40"/>
      <c r="K682" s="40"/>
      <c r="L682" s="40"/>
    </row>
    <row r="683" spans="3:12" s="18" customFormat="1">
      <c r="C683" s="40"/>
      <c r="D683" s="40"/>
      <c r="E683" s="40"/>
      <c r="F683" s="40"/>
      <c r="G683" s="40"/>
      <c r="H683" s="40"/>
      <c r="I683" s="40"/>
      <c r="J683" s="40"/>
      <c r="K683" s="40"/>
      <c r="L683" s="40"/>
    </row>
    <row r="684" spans="3:12" s="18" customFormat="1">
      <c r="C684" s="40"/>
      <c r="D684" s="40"/>
      <c r="E684" s="40"/>
      <c r="F684" s="40"/>
      <c r="G684" s="40"/>
      <c r="H684" s="40"/>
      <c r="I684" s="40"/>
      <c r="J684" s="40"/>
      <c r="K684" s="40"/>
      <c r="L684" s="40"/>
    </row>
    <row r="685" spans="3:12" s="18" customFormat="1">
      <c r="C685" s="40"/>
      <c r="D685" s="40"/>
      <c r="E685" s="40"/>
      <c r="F685" s="40"/>
      <c r="G685" s="40"/>
      <c r="H685" s="40"/>
      <c r="I685" s="40"/>
      <c r="J685" s="40"/>
      <c r="K685" s="40"/>
      <c r="L685" s="40"/>
    </row>
    <row r="686" spans="3:12" s="18" customFormat="1">
      <c r="C686" s="40"/>
      <c r="D686" s="40"/>
      <c r="E686" s="40"/>
      <c r="F686" s="40"/>
      <c r="G686" s="40"/>
      <c r="H686" s="40"/>
      <c r="I686" s="40"/>
      <c r="J686" s="40"/>
      <c r="K686" s="40"/>
      <c r="L686" s="40"/>
    </row>
    <row r="687" spans="3:12" s="18" customFormat="1">
      <c r="C687" s="40"/>
      <c r="D687" s="40"/>
      <c r="E687" s="40"/>
      <c r="F687" s="40"/>
      <c r="G687" s="40"/>
      <c r="H687" s="40"/>
      <c r="I687" s="40"/>
      <c r="J687" s="40"/>
      <c r="K687" s="40"/>
      <c r="L687" s="40"/>
    </row>
    <row r="688" spans="3:12" s="18" customFormat="1">
      <c r="C688" s="40"/>
      <c r="D688" s="40"/>
      <c r="E688" s="40"/>
      <c r="F688" s="40"/>
      <c r="G688" s="40"/>
      <c r="H688" s="40"/>
      <c r="I688" s="40"/>
      <c r="J688" s="40"/>
      <c r="K688" s="40"/>
      <c r="L688" s="40"/>
    </row>
    <row r="689" spans="3:12" s="18" customFormat="1">
      <c r="C689" s="40"/>
      <c r="D689" s="40"/>
      <c r="E689" s="40"/>
      <c r="F689" s="40"/>
      <c r="G689" s="40"/>
      <c r="H689" s="40"/>
      <c r="I689" s="40"/>
      <c r="J689" s="40"/>
      <c r="K689" s="40"/>
      <c r="L689" s="40"/>
    </row>
    <row r="690" spans="3:12" s="18" customFormat="1">
      <c r="C690" s="40"/>
      <c r="D690" s="40"/>
      <c r="E690" s="40"/>
      <c r="F690" s="40"/>
      <c r="G690" s="40"/>
      <c r="H690" s="40"/>
      <c r="I690" s="40"/>
      <c r="J690" s="40"/>
      <c r="K690" s="40"/>
      <c r="L690" s="40"/>
    </row>
    <row r="691" spans="3:12" s="18" customFormat="1">
      <c r="C691" s="40"/>
      <c r="D691" s="40"/>
      <c r="E691" s="40"/>
      <c r="F691" s="40"/>
      <c r="G691" s="40"/>
      <c r="H691" s="40"/>
      <c r="I691" s="40"/>
      <c r="J691" s="40"/>
      <c r="K691" s="40"/>
      <c r="L691" s="40"/>
    </row>
    <row r="692" spans="3:12" s="18" customFormat="1">
      <c r="C692" s="40"/>
      <c r="D692" s="40"/>
      <c r="E692" s="40"/>
      <c r="F692" s="40"/>
      <c r="G692" s="40"/>
      <c r="H692" s="40"/>
      <c r="I692" s="40"/>
      <c r="J692" s="40"/>
      <c r="K692" s="40"/>
      <c r="L692" s="40"/>
    </row>
    <row r="693" spans="3:12" s="18" customFormat="1">
      <c r="C693" s="40"/>
      <c r="D693" s="40"/>
      <c r="E693" s="40"/>
      <c r="F693" s="40"/>
      <c r="G693" s="40"/>
      <c r="H693" s="40"/>
      <c r="I693" s="40"/>
      <c r="J693" s="40"/>
      <c r="K693" s="40"/>
      <c r="L693" s="40"/>
    </row>
    <row r="694" spans="3:12" s="18" customFormat="1">
      <c r="C694" s="40"/>
      <c r="D694" s="40"/>
      <c r="E694" s="40"/>
      <c r="F694" s="40"/>
      <c r="G694" s="40"/>
      <c r="H694" s="40"/>
      <c r="I694" s="40"/>
      <c r="J694" s="40"/>
      <c r="K694" s="40"/>
      <c r="L694" s="40"/>
    </row>
    <row r="695" spans="3:12" s="18" customFormat="1">
      <c r="C695" s="40"/>
      <c r="D695" s="40"/>
      <c r="E695" s="40"/>
      <c r="F695" s="40"/>
      <c r="G695" s="40"/>
      <c r="H695" s="40"/>
      <c r="I695" s="40"/>
      <c r="J695" s="40"/>
      <c r="K695" s="40"/>
      <c r="L695" s="40"/>
    </row>
    <row r="696" spans="3:12" s="18" customFormat="1">
      <c r="C696" s="40"/>
      <c r="D696" s="40"/>
      <c r="E696" s="40"/>
      <c r="F696" s="40"/>
      <c r="G696" s="40"/>
      <c r="H696" s="40"/>
      <c r="I696" s="40"/>
      <c r="J696" s="40"/>
      <c r="K696" s="40"/>
      <c r="L696" s="40"/>
    </row>
    <row r="697" spans="3:12" s="18" customFormat="1">
      <c r="C697" s="40"/>
      <c r="D697" s="40"/>
      <c r="E697" s="40"/>
      <c r="F697" s="40"/>
      <c r="G697" s="40"/>
      <c r="H697" s="40"/>
      <c r="I697" s="40"/>
      <c r="J697" s="40"/>
      <c r="K697" s="40"/>
      <c r="L697" s="40"/>
    </row>
    <row r="698" spans="3:12" s="18" customFormat="1">
      <c r="C698" s="40"/>
      <c r="D698" s="40"/>
      <c r="E698" s="40"/>
      <c r="F698" s="40"/>
      <c r="G698" s="40"/>
      <c r="H698" s="40"/>
      <c r="I698" s="40"/>
      <c r="J698" s="40"/>
      <c r="K698" s="40"/>
      <c r="L698" s="40"/>
    </row>
    <row r="699" spans="3:12" s="18" customFormat="1">
      <c r="C699" s="40"/>
      <c r="D699" s="40"/>
      <c r="E699" s="40"/>
      <c r="F699" s="40"/>
      <c r="G699" s="40"/>
      <c r="H699" s="40"/>
      <c r="I699" s="40"/>
      <c r="J699" s="40"/>
      <c r="K699" s="40"/>
      <c r="L699" s="40"/>
    </row>
    <row r="700" spans="3:12" s="18" customFormat="1">
      <c r="C700" s="40"/>
      <c r="D700" s="40"/>
      <c r="E700" s="40"/>
      <c r="F700" s="40"/>
      <c r="G700" s="40"/>
      <c r="H700" s="40"/>
      <c r="I700" s="40"/>
      <c r="J700" s="40"/>
      <c r="K700" s="40"/>
      <c r="L700" s="40"/>
    </row>
    <row r="701" spans="3:12" s="18" customFormat="1">
      <c r="C701" s="40"/>
      <c r="D701" s="40"/>
      <c r="E701" s="40"/>
      <c r="F701" s="40"/>
      <c r="G701" s="40"/>
      <c r="H701" s="40"/>
      <c r="I701" s="40"/>
      <c r="J701" s="40"/>
      <c r="K701" s="40"/>
      <c r="L701" s="40"/>
    </row>
    <row r="702" spans="3:12" s="18" customFormat="1">
      <c r="C702" s="40"/>
      <c r="D702" s="40"/>
      <c r="E702" s="40"/>
      <c r="F702" s="40"/>
      <c r="G702" s="40"/>
      <c r="H702" s="40"/>
      <c r="I702" s="40"/>
      <c r="J702" s="40"/>
      <c r="K702" s="40"/>
      <c r="L702" s="40"/>
    </row>
    <row r="703" spans="3:12" s="18" customFormat="1">
      <c r="C703" s="40"/>
      <c r="D703" s="40"/>
      <c r="E703" s="40"/>
      <c r="F703" s="40"/>
      <c r="G703" s="40"/>
      <c r="H703" s="40"/>
      <c r="I703" s="40"/>
      <c r="J703" s="40"/>
      <c r="K703" s="40"/>
      <c r="L703" s="40"/>
    </row>
    <row r="704" spans="3:12" s="18" customFormat="1">
      <c r="C704" s="40"/>
      <c r="D704" s="40"/>
      <c r="E704" s="40"/>
      <c r="F704" s="40"/>
      <c r="G704" s="40"/>
      <c r="H704" s="40"/>
      <c r="I704" s="40"/>
      <c r="J704" s="40"/>
      <c r="K704" s="40"/>
      <c r="L704" s="40"/>
    </row>
    <row r="705" spans="1:13" s="18" customFormat="1">
      <c r="C705" s="40"/>
      <c r="D705" s="40"/>
      <c r="E705" s="40"/>
      <c r="F705" s="40"/>
      <c r="G705" s="40"/>
      <c r="H705" s="40"/>
      <c r="I705" s="40"/>
      <c r="J705" s="40"/>
      <c r="K705" s="40"/>
      <c r="L705" s="40"/>
    </row>
    <row r="706" spans="1:13" s="18" customFormat="1">
      <c r="C706" s="40"/>
      <c r="D706" s="40"/>
      <c r="E706" s="40"/>
      <c r="F706" s="40"/>
      <c r="G706" s="40"/>
      <c r="H706" s="40"/>
      <c r="I706" s="40"/>
      <c r="J706" s="40"/>
      <c r="K706" s="40"/>
      <c r="L706" s="40"/>
    </row>
    <row r="707" spans="1:13" s="18" customFormat="1">
      <c r="C707" s="40"/>
      <c r="D707" s="40"/>
      <c r="E707" s="40"/>
      <c r="F707" s="40"/>
      <c r="G707" s="40"/>
      <c r="H707" s="40"/>
      <c r="I707" s="40"/>
      <c r="J707" s="40"/>
      <c r="K707" s="40"/>
      <c r="L707" s="40"/>
    </row>
    <row r="708" spans="1:13" s="18" customFormat="1">
      <c r="C708" s="40"/>
      <c r="D708" s="40"/>
      <c r="E708" s="40"/>
      <c r="F708" s="40"/>
      <c r="G708" s="40"/>
      <c r="H708" s="40"/>
      <c r="I708" s="40"/>
      <c r="J708" s="40"/>
      <c r="K708" s="40"/>
      <c r="L708" s="40"/>
    </row>
    <row r="709" spans="1:13" s="18" customFormat="1">
      <c r="C709" s="40"/>
      <c r="D709" s="40"/>
      <c r="E709" s="40"/>
      <c r="F709" s="40"/>
      <c r="G709" s="40"/>
      <c r="H709" s="40"/>
      <c r="I709" s="40"/>
      <c r="J709" s="40"/>
      <c r="K709" s="40"/>
      <c r="L709" s="40"/>
    </row>
    <row r="710" spans="1:13">
      <c r="A710" s="18"/>
      <c r="B710" s="18"/>
      <c r="C710" s="40"/>
      <c r="D710" s="40"/>
      <c r="E710" s="40"/>
      <c r="F710" s="40"/>
      <c r="G710" s="40"/>
      <c r="H710" s="40"/>
      <c r="I710" s="40"/>
      <c r="J710" s="40"/>
      <c r="K710" s="40"/>
      <c r="L710" s="40"/>
      <c r="M710" s="18"/>
    </row>
  </sheetData>
  <phoneticPr fontId="0" type="noConversion"/>
  <printOptions horizontalCentered="1"/>
  <pageMargins left="0.39370078740157483" right="0.39370078740157483" top="1.7716535433070868" bottom="0.39370078740157483" header="0.98425196850393704" footer="0"/>
  <pageSetup paperSize="9" scale="11" orientation="portrait" r:id="rId2"/>
  <headerFooter alignWithMargins="0">
    <oddHeader>&amp;C&amp;14Cumplimiento de la Programación de Trenes
Red Metropolitana de Pasajeros</oddHeader>
  </headerFooter>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pageSetUpPr fitToPage="1"/>
  </sheetPr>
  <dimension ref="A1:CO720"/>
  <sheetViews>
    <sheetView showGridLines="0" zoomScale="80" zoomScaleNormal="80" workbookViewId="0">
      <pane ySplit="5" topLeftCell="A370" activePane="bottomLeft" state="frozen"/>
      <selection activeCell="B381" sqref="B381"/>
      <selection pane="bottomLeft" activeCell="D415" sqref="D415"/>
    </sheetView>
  </sheetViews>
  <sheetFormatPr baseColWidth="10" defaultColWidth="11.5546875" defaultRowHeight="15"/>
  <cols>
    <col min="1" max="1" width="8.77734375" style="46" customWidth="1"/>
    <col min="2" max="2" width="8.77734375" style="11" customWidth="1"/>
    <col min="3"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43" width="8.77734375" style="46" customWidth="1"/>
    <col min="44" max="44" width="8.77734375" style="11" customWidth="1"/>
    <col min="45" max="54" width="8.77734375" style="46" customWidth="1"/>
    <col min="55" max="55" width="25.77734375" style="46" customWidth="1"/>
    <col min="56" max="57" width="8.77734375" style="46" customWidth="1"/>
    <col min="58" max="58" width="8.77734375" style="11" customWidth="1"/>
    <col min="59" max="68" width="8.77734375" style="46" customWidth="1"/>
    <col min="69" max="69" width="25.77734375" style="46" customWidth="1"/>
    <col min="70" max="71" width="8.77734375" style="46" customWidth="1"/>
    <col min="72" max="72" width="8.77734375" style="11" customWidth="1"/>
    <col min="73" max="82" width="8.77734375" style="46" customWidth="1"/>
    <col min="83" max="83" width="25.77734375" style="46" customWidth="1"/>
    <col min="84" max="84" width="8.77734375" style="46" customWidth="1"/>
    <col min="85" max="85" width="5.77734375" style="18" customWidth="1"/>
    <col min="86" max="86" width="8.5546875" style="18" bestFit="1" customWidth="1"/>
    <col min="87" max="91" width="6.77734375" style="72" customWidth="1"/>
    <col min="92" max="93" width="11.5546875" style="18"/>
    <col min="94" max="16384" width="11.5546875" style="46"/>
  </cols>
  <sheetData>
    <row r="1" spans="1:93" s="36" customFormat="1" ht="30">
      <c r="A1" s="113" t="s">
        <v>7</v>
      </c>
      <c r="B1" s="53"/>
      <c r="D1" s="48"/>
      <c r="E1" s="48"/>
      <c r="F1" s="48"/>
      <c r="G1" s="48"/>
      <c r="H1" s="48"/>
      <c r="I1" s="48"/>
      <c r="J1" s="48"/>
      <c r="K1" s="48"/>
      <c r="L1" s="48"/>
      <c r="M1" s="48"/>
      <c r="N1" s="54"/>
      <c r="O1" s="113" t="s">
        <v>7</v>
      </c>
      <c r="P1" s="48"/>
      <c r="Q1" s="48"/>
      <c r="R1" s="48"/>
      <c r="S1" s="48"/>
      <c r="T1" s="48"/>
      <c r="U1" s="48"/>
      <c r="V1" s="48"/>
      <c r="W1" s="48"/>
      <c r="X1" s="48"/>
      <c r="Y1" s="48"/>
      <c r="AA1" s="54"/>
      <c r="AB1" s="54"/>
      <c r="AC1" s="113" t="s">
        <v>7</v>
      </c>
      <c r="AD1" s="48"/>
      <c r="AE1" s="48"/>
      <c r="AF1" s="48"/>
      <c r="AG1" s="48"/>
      <c r="AH1" s="48"/>
      <c r="AI1" s="48"/>
      <c r="AJ1" s="48"/>
      <c r="AK1" s="48"/>
      <c r="AL1" s="48"/>
      <c r="AM1" s="48"/>
      <c r="AO1" s="54"/>
      <c r="AP1" s="54"/>
      <c r="AQ1" s="113" t="s">
        <v>7</v>
      </c>
      <c r="AS1" s="48"/>
      <c r="AT1" s="48"/>
      <c r="AU1" s="48"/>
      <c r="AV1" s="48"/>
      <c r="AW1" s="48"/>
      <c r="AX1" s="48"/>
      <c r="AY1" s="48"/>
      <c r="AZ1" s="48"/>
      <c r="BA1" s="48"/>
      <c r="BB1" s="48"/>
      <c r="BC1" s="54"/>
      <c r="BD1" s="54"/>
      <c r="BE1" s="113" t="s">
        <v>7</v>
      </c>
      <c r="BF1" s="48"/>
      <c r="BG1" s="48"/>
      <c r="BH1" s="48"/>
      <c r="BI1" s="48"/>
      <c r="BJ1" s="48"/>
      <c r="BK1" s="48"/>
      <c r="BL1" s="48"/>
      <c r="BM1" s="48"/>
      <c r="BN1" s="48"/>
      <c r="BO1" s="48"/>
      <c r="BQ1" s="54"/>
      <c r="BR1" s="54"/>
      <c r="BS1" s="113" t="s">
        <v>7</v>
      </c>
      <c r="BT1" s="48"/>
      <c r="BU1" s="48"/>
      <c r="BV1" s="48"/>
      <c r="BW1" s="48"/>
      <c r="BX1" s="48"/>
      <c r="BY1" s="48"/>
      <c r="BZ1" s="48"/>
      <c r="CA1" s="48"/>
      <c r="CB1" s="48"/>
      <c r="CC1" s="48"/>
      <c r="CG1" s="296" t="s">
        <v>124</v>
      </c>
      <c r="CH1" s="296"/>
      <c r="CI1" s="295" t="s">
        <v>14</v>
      </c>
      <c r="CJ1" s="295" t="s">
        <v>15</v>
      </c>
      <c r="CK1" s="295" t="s">
        <v>16</v>
      </c>
      <c r="CL1" s="295" t="s">
        <v>17</v>
      </c>
      <c r="CM1" s="295" t="s">
        <v>18</v>
      </c>
      <c r="CN1" s="73"/>
      <c r="CO1" s="73"/>
    </row>
    <row r="2" spans="1:93" s="36" customFormat="1" ht="29.25">
      <c r="A2" s="115" t="s">
        <v>5</v>
      </c>
      <c r="B2" s="53"/>
      <c r="D2" s="48"/>
      <c r="E2" s="48"/>
      <c r="F2" s="48"/>
      <c r="G2" s="48"/>
      <c r="H2" s="48"/>
      <c r="I2" s="48"/>
      <c r="K2" s="48"/>
      <c r="L2" s="48"/>
      <c r="M2" s="48"/>
      <c r="N2" s="54"/>
      <c r="O2" s="115" t="s">
        <v>5</v>
      </c>
      <c r="P2" s="48"/>
      <c r="Q2" s="48"/>
      <c r="R2" s="48"/>
      <c r="S2" s="48"/>
      <c r="T2" s="48"/>
      <c r="U2" s="48"/>
      <c r="V2" s="48"/>
      <c r="W2" s="48"/>
      <c r="Y2" s="48"/>
      <c r="AA2" s="54"/>
      <c r="AB2" s="54"/>
      <c r="AC2" s="115" t="s">
        <v>5</v>
      </c>
      <c r="AD2" s="48"/>
      <c r="AE2" s="48"/>
      <c r="AF2" s="48"/>
      <c r="AG2" s="48"/>
      <c r="AH2" s="48"/>
      <c r="AI2" s="48"/>
      <c r="AJ2" s="48"/>
      <c r="AK2" s="48"/>
      <c r="AM2" s="48"/>
      <c r="AO2" s="54"/>
      <c r="AP2" s="54"/>
      <c r="AQ2" s="115" t="s">
        <v>5</v>
      </c>
      <c r="AS2" s="48"/>
      <c r="AT2" s="48"/>
      <c r="AU2" s="48"/>
      <c r="AV2" s="48"/>
      <c r="AW2" s="48"/>
      <c r="AX2" s="48"/>
      <c r="AY2" s="48"/>
      <c r="BA2" s="48"/>
      <c r="BB2" s="48"/>
      <c r="BC2" s="54"/>
      <c r="BD2" s="54"/>
      <c r="BE2" s="115" t="s">
        <v>5</v>
      </c>
      <c r="BF2" s="48"/>
      <c r="BG2" s="48"/>
      <c r="BH2" s="48"/>
      <c r="BI2" s="48"/>
      <c r="BJ2" s="48"/>
      <c r="BK2" s="48"/>
      <c r="BL2" s="48"/>
      <c r="BM2" s="48"/>
      <c r="BO2" s="48"/>
      <c r="BQ2" s="54"/>
      <c r="BR2" s="54"/>
      <c r="BS2" s="115" t="s">
        <v>5</v>
      </c>
      <c r="BT2" s="48"/>
      <c r="BU2" s="48"/>
      <c r="BV2" s="48"/>
      <c r="BW2" s="48"/>
      <c r="BX2" s="48"/>
      <c r="BY2" s="48"/>
      <c r="BZ2" s="48"/>
      <c r="CA2" s="48"/>
      <c r="CC2" s="48"/>
      <c r="CG2" s="296"/>
      <c r="CH2" s="296"/>
      <c r="CI2" s="295"/>
      <c r="CJ2" s="295"/>
      <c r="CK2" s="295"/>
      <c r="CL2" s="295"/>
      <c r="CM2" s="295"/>
      <c r="CN2" s="73"/>
      <c r="CO2" s="73"/>
    </row>
    <row r="3" spans="1:93" s="4" customFormat="1" ht="29.25">
      <c r="A3" s="114" t="s">
        <v>35</v>
      </c>
      <c r="B3" s="6"/>
      <c r="C3" s="5"/>
      <c r="D3" s="5"/>
      <c r="E3" s="5"/>
      <c r="F3" s="5"/>
      <c r="G3" s="5"/>
      <c r="H3" s="5"/>
      <c r="I3" s="5"/>
      <c r="J3" s="5"/>
      <c r="K3" s="5"/>
      <c r="L3" s="5"/>
      <c r="M3" s="5"/>
      <c r="N3" s="5"/>
      <c r="O3" s="114" t="s">
        <v>14</v>
      </c>
      <c r="Q3" s="5"/>
      <c r="R3" s="5"/>
      <c r="S3" s="5"/>
      <c r="T3" s="5"/>
      <c r="U3" s="5"/>
      <c r="V3" s="5"/>
      <c r="W3" s="5"/>
      <c r="Y3" s="5"/>
      <c r="AA3" s="5"/>
      <c r="AB3" s="5"/>
      <c r="AC3" s="114" t="s">
        <v>15</v>
      </c>
      <c r="AD3" s="5"/>
      <c r="AF3" s="5"/>
      <c r="AG3" s="5"/>
      <c r="AH3" s="5"/>
      <c r="AI3" s="5"/>
      <c r="AJ3" s="5"/>
      <c r="AK3" s="5"/>
      <c r="AM3" s="5"/>
      <c r="AN3" s="5"/>
      <c r="AO3" s="5"/>
      <c r="AP3" s="5"/>
      <c r="AQ3" s="114" t="s">
        <v>16</v>
      </c>
      <c r="AR3" s="5"/>
      <c r="AT3" s="5"/>
      <c r="AU3" s="5"/>
      <c r="AV3" s="5"/>
      <c r="AW3" s="5"/>
      <c r="AX3" s="5"/>
      <c r="AY3" s="5"/>
      <c r="BA3" s="5"/>
      <c r="BB3" s="5"/>
      <c r="BC3" s="5"/>
      <c r="BD3" s="5"/>
      <c r="BE3" s="114" t="s">
        <v>17</v>
      </c>
      <c r="BF3" s="5"/>
      <c r="BH3" s="5"/>
      <c r="BI3" s="5"/>
      <c r="BJ3" s="5"/>
      <c r="BK3" s="5"/>
      <c r="BL3" s="5"/>
      <c r="BM3" s="5"/>
      <c r="BO3" s="5"/>
      <c r="BP3" s="5"/>
      <c r="BQ3" s="5"/>
      <c r="BR3" s="5"/>
      <c r="BS3" s="114" t="s">
        <v>18</v>
      </c>
      <c r="BT3" s="5"/>
      <c r="BV3" s="5"/>
      <c r="BW3" s="5"/>
      <c r="BX3" s="5"/>
      <c r="BY3" s="5"/>
      <c r="BZ3" s="5"/>
      <c r="CA3" s="5"/>
      <c r="CC3" s="5"/>
      <c r="CD3" s="5"/>
      <c r="CE3" s="5"/>
      <c r="CG3" s="296"/>
      <c r="CH3" s="296"/>
      <c r="CI3" s="295"/>
      <c r="CJ3" s="295"/>
      <c r="CK3" s="295"/>
      <c r="CL3" s="295"/>
      <c r="CM3" s="295"/>
      <c r="CN3" s="73"/>
      <c r="CO3" s="73"/>
    </row>
    <row r="4" spans="1:93" s="1" customFormat="1" ht="12.75">
      <c r="B4" s="55"/>
      <c r="C4" s="50"/>
      <c r="D4" s="50"/>
      <c r="E4" s="50"/>
      <c r="F4" s="50"/>
      <c r="G4" s="50"/>
      <c r="H4" s="50"/>
      <c r="I4" s="50"/>
      <c r="J4" s="50"/>
      <c r="K4" s="50"/>
      <c r="L4" s="50"/>
      <c r="M4" s="50"/>
      <c r="N4" s="50"/>
      <c r="P4" s="49"/>
      <c r="Q4" s="50"/>
      <c r="R4" s="50"/>
      <c r="S4" s="50"/>
      <c r="T4" s="50"/>
      <c r="U4" s="50"/>
      <c r="V4" s="50"/>
      <c r="W4" s="50"/>
      <c r="X4" s="50"/>
      <c r="Y4" s="50"/>
      <c r="Z4" s="50"/>
      <c r="AA4" s="50"/>
      <c r="AB4" s="50"/>
      <c r="AD4" s="49"/>
      <c r="AE4" s="50"/>
      <c r="AF4" s="50"/>
      <c r="AG4" s="50"/>
      <c r="AH4" s="50"/>
      <c r="AI4" s="50"/>
      <c r="AJ4" s="50"/>
      <c r="AK4" s="50"/>
      <c r="AL4" s="50"/>
      <c r="AM4" s="50"/>
      <c r="AN4" s="50"/>
      <c r="AO4" s="50"/>
      <c r="AP4" s="50"/>
      <c r="AR4" s="49"/>
      <c r="AS4" s="50"/>
      <c r="AT4" s="50"/>
      <c r="AU4" s="50"/>
      <c r="AV4" s="50"/>
      <c r="AW4" s="50"/>
      <c r="AX4" s="50"/>
      <c r="AY4" s="50"/>
      <c r="AZ4" s="50"/>
      <c r="BA4" s="50"/>
      <c r="BB4" s="50"/>
      <c r="BC4" s="50"/>
      <c r="BD4" s="50"/>
      <c r="BF4" s="49"/>
      <c r="BG4" s="50"/>
      <c r="BH4" s="50"/>
      <c r="BI4" s="50"/>
      <c r="BJ4" s="50"/>
      <c r="BK4" s="50"/>
      <c r="BL4" s="50"/>
      <c r="BM4" s="50"/>
      <c r="BN4" s="50"/>
      <c r="BO4" s="50"/>
      <c r="BP4" s="50"/>
      <c r="BQ4" s="50"/>
      <c r="BR4" s="50"/>
      <c r="BT4" s="49"/>
      <c r="BU4" s="50"/>
      <c r="BV4" s="50"/>
      <c r="BW4" s="50"/>
      <c r="BX4" s="50"/>
      <c r="BY4" s="50"/>
      <c r="BZ4" s="50"/>
      <c r="CA4" s="50"/>
      <c r="CB4" s="50"/>
      <c r="CC4" s="50"/>
      <c r="CD4" s="50"/>
      <c r="CG4" s="296"/>
      <c r="CH4" s="296"/>
      <c r="CI4" s="295"/>
      <c r="CJ4" s="295"/>
      <c r="CK4" s="295"/>
      <c r="CL4" s="295"/>
      <c r="CM4" s="295"/>
      <c r="CN4" s="18"/>
      <c r="CO4" s="18"/>
    </row>
    <row r="5" spans="1:93" s="14" customFormat="1" ht="45" customHeight="1">
      <c r="A5" s="12" t="s">
        <v>32</v>
      </c>
      <c r="B5" s="12" t="s">
        <v>31</v>
      </c>
      <c r="C5" s="12" t="s">
        <v>8</v>
      </c>
      <c r="D5" s="12" t="s">
        <v>10</v>
      </c>
      <c r="E5" s="12" t="s">
        <v>9</v>
      </c>
      <c r="F5" s="12" t="s">
        <v>99</v>
      </c>
      <c r="G5" s="12" t="s">
        <v>98</v>
      </c>
      <c r="H5" s="12" t="s">
        <v>52</v>
      </c>
      <c r="I5" s="12" t="s">
        <v>53</v>
      </c>
      <c r="J5" s="12" t="s">
        <v>27</v>
      </c>
      <c r="K5" s="12" t="s">
        <v>54</v>
      </c>
      <c r="L5" s="12" t="s">
        <v>55</v>
      </c>
      <c r="M5" s="12" t="s">
        <v>34</v>
      </c>
      <c r="N5" s="13"/>
      <c r="O5" s="12" t="s">
        <v>32</v>
      </c>
      <c r="P5" s="12" t="s">
        <v>31</v>
      </c>
      <c r="Q5" s="12" t="s">
        <v>8</v>
      </c>
      <c r="R5" s="12" t="s">
        <v>10</v>
      </c>
      <c r="S5" s="12" t="s">
        <v>9</v>
      </c>
      <c r="T5" s="12" t="s">
        <v>99</v>
      </c>
      <c r="U5" s="12" t="s">
        <v>98</v>
      </c>
      <c r="V5" s="12" t="s">
        <v>52</v>
      </c>
      <c r="W5" s="12" t="s">
        <v>53</v>
      </c>
      <c r="X5" s="12" t="s">
        <v>27</v>
      </c>
      <c r="Y5" s="12" t="s">
        <v>54</v>
      </c>
      <c r="Z5" s="12" t="s">
        <v>55</v>
      </c>
      <c r="AA5" s="12" t="s">
        <v>34</v>
      </c>
      <c r="AB5" s="13"/>
      <c r="AC5" s="12" t="s">
        <v>32</v>
      </c>
      <c r="AD5" s="12" t="s">
        <v>31</v>
      </c>
      <c r="AE5" s="12" t="s">
        <v>8</v>
      </c>
      <c r="AF5" s="12" t="s">
        <v>10</v>
      </c>
      <c r="AG5" s="12" t="s">
        <v>9</v>
      </c>
      <c r="AH5" s="12" t="s">
        <v>99</v>
      </c>
      <c r="AI5" s="12" t="s">
        <v>98</v>
      </c>
      <c r="AJ5" s="12" t="s">
        <v>52</v>
      </c>
      <c r="AK5" s="12" t="s">
        <v>53</v>
      </c>
      <c r="AL5" s="12" t="s">
        <v>27</v>
      </c>
      <c r="AM5" s="12" t="s">
        <v>54</v>
      </c>
      <c r="AN5" s="12" t="s">
        <v>55</v>
      </c>
      <c r="AO5" s="12" t="s">
        <v>34</v>
      </c>
      <c r="AP5" s="13"/>
      <c r="AQ5" s="12" t="s">
        <v>32</v>
      </c>
      <c r="AR5" s="12" t="s">
        <v>31</v>
      </c>
      <c r="AS5" s="12" t="s">
        <v>8</v>
      </c>
      <c r="AT5" s="12" t="s">
        <v>10</v>
      </c>
      <c r="AU5" s="12" t="s">
        <v>9</v>
      </c>
      <c r="AV5" s="12" t="s">
        <v>99</v>
      </c>
      <c r="AW5" s="12" t="s">
        <v>98</v>
      </c>
      <c r="AX5" s="12" t="s">
        <v>52</v>
      </c>
      <c r="AY5" s="12" t="s">
        <v>53</v>
      </c>
      <c r="AZ5" s="12" t="s">
        <v>27</v>
      </c>
      <c r="BA5" s="12" t="s">
        <v>54</v>
      </c>
      <c r="BB5" s="12" t="s">
        <v>55</v>
      </c>
      <c r="BC5" s="12" t="s">
        <v>34</v>
      </c>
      <c r="BD5" s="13"/>
      <c r="BE5" s="12" t="s">
        <v>32</v>
      </c>
      <c r="BF5" s="12" t="s">
        <v>31</v>
      </c>
      <c r="BG5" s="12" t="s">
        <v>8</v>
      </c>
      <c r="BH5" s="12" t="s">
        <v>10</v>
      </c>
      <c r="BI5" s="12" t="s">
        <v>9</v>
      </c>
      <c r="BJ5" s="12" t="s">
        <v>99</v>
      </c>
      <c r="BK5" s="12" t="s">
        <v>98</v>
      </c>
      <c r="BL5" s="12" t="s">
        <v>52</v>
      </c>
      <c r="BM5" s="12" t="s">
        <v>53</v>
      </c>
      <c r="BN5" s="12" t="s">
        <v>27</v>
      </c>
      <c r="BO5" s="12" t="s">
        <v>54</v>
      </c>
      <c r="BP5" s="12" t="s">
        <v>55</v>
      </c>
      <c r="BQ5" s="12" t="s">
        <v>34</v>
      </c>
      <c r="BR5" s="13"/>
      <c r="BS5" s="12" t="s">
        <v>32</v>
      </c>
      <c r="BT5" s="12" t="s">
        <v>31</v>
      </c>
      <c r="BU5" s="12" t="s">
        <v>8</v>
      </c>
      <c r="BV5" s="12" t="s">
        <v>10</v>
      </c>
      <c r="BW5" s="12" t="s">
        <v>9</v>
      </c>
      <c r="BX5" s="12" t="s">
        <v>99</v>
      </c>
      <c r="BY5" s="12" t="s">
        <v>98</v>
      </c>
      <c r="BZ5" s="12" t="s">
        <v>52</v>
      </c>
      <c r="CA5" s="12" t="s">
        <v>53</v>
      </c>
      <c r="CB5" s="12" t="s">
        <v>27</v>
      </c>
      <c r="CC5" s="12" t="s">
        <v>54</v>
      </c>
      <c r="CD5" s="12" t="s">
        <v>55</v>
      </c>
      <c r="CE5" s="12" t="s">
        <v>34</v>
      </c>
      <c r="CG5" s="76" t="s">
        <v>32</v>
      </c>
      <c r="CH5" s="77" t="s">
        <v>31</v>
      </c>
      <c r="CI5" s="295"/>
      <c r="CJ5" s="295"/>
      <c r="CK5" s="295"/>
      <c r="CL5" s="295"/>
      <c r="CM5" s="295"/>
    </row>
    <row r="6" spans="1:93" s="18" customFormat="1" ht="15" customHeight="1">
      <c r="A6" s="18">
        <v>1993</v>
      </c>
      <c r="B6" s="21" t="s">
        <v>36</v>
      </c>
      <c r="C6" s="15">
        <f>+MITRE[[#This Row],[Trenes Puntuales]]/MITRE[[#This Row],[Trenes Programados]]</f>
        <v>0.80596813394544964</v>
      </c>
      <c r="D6" s="15">
        <f>+MITRE[[#This Row],[Trenes Puntuales]]/MITRE[[#This Row],[Trenes Corridos]]</f>
        <v>0.896650142706925</v>
      </c>
      <c r="E6" s="15">
        <f>+MITRE[[#This Row],[Trenes Corridos]]/MITRE[[#This Row],[Trenes Programados]]</f>
        <v>0.89886578449905485</v>
      </c>
      <c r="F6" s="16">
        <f>+Tabla4[[#This Row],[Trenes Programados por Día Hábil]]+Tabla5[[#This Row],[Trenes Programados por Día Hábil]]+Tabla6[[#This Row],[Trenes Programados por Día Hábil]]+MIT_Vic_Cap[[#This Row],[Trenes Programados por Día Hábil]]+Tabla8[[#This Row],[Trenes Programados por Día Hábil]]</f>
        <v>0</v>
      </c>
      <c r="G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 s="16">
        <v>14812</v>
      </c>
      <c r="I6" s="16">
        <f t="shared" ref="I6:I17" si="0">H6-J6</f>
        <v>1498</v>
      </c>
      <c r="J6" s="16">
        <v>13314</v>
      </c>
      <c r="K6" s="16">
        <v>11938</v>
      </c>
      <c r="L6" s="16">
        <f t="shared" ref="L6:L17" si="1">J6-K6</f>
        <v>1376</v>
      </c>
      <c r="M6" s="16"/>
      <c r="N6" s="17"/>
      <c r="O6" s="18">
        <v>1993</v>
      </c>
      <c r="P6" s="21" t="s">
        <v>36</v>
      </c>
      <c r="Q6" s="41"/>
      <c r="R6" s="41"/>
      <c r="S6" s="41"/>
      <c r="T6" s="16"/>
      <c r="U6" s="16"/>
      <c r="V6" s="16"/>
      <c r="W6" s="16"/>
      <c r="X6" s="69">
        <f>(SUM(X$134:X$149)/16)/(SUM($J$134:$J$149)/16)*MITRE[[#This Row],[Trenes Corridos]]</f>
        <v>4964.6107950358164</v>
      </c>
      <c r="Y6" s="16"/>
      <c r="Z6" s="16"/>
      <c r="AA6" s="16"/>
      <c r="AB6" s="17"/>
      <c r="AC6" s="18">
        <v>1993</v>
      </c>
      <c r="AD6" s="21" t="s">
        <v>36</v>
      </c>
      <c r="AE6" s="41"/>
      <c r="AF6" s="41"/>
      <c r="AG6" s="41"/>
      <c r="AH6" s="16"/>
      <c r="AI6" s="16"/>
      <c r="AJ6" s="16"/>
      <c r="AK6" s="16"/>
      <c r="AL6" s="69">
        <f>(SUM(AL$134:AL$149)/16)/(SUM($J$134:$J$149)/16)*MITRE[[#This Row],[Trenes Corridos]]</f>
        <v>3882.3832797806795</v>
      </c>
      <c r="AM6" s="16"/>
      <c r="AN6" s="16"/>
      <c r="AO6" s="16"/>
      <c r="AP6" s="17"/>
      <c r="AQ6" s="18">
        <v>1993</v>
      </c>
      <c r="AR6" s="21" t="s">
        <v>36</v>
      </c>
      <c r="AS6" s="41"/>
      <c r="AT6" s="41"/>
      <c r="AU6" s="41"/>
      <c r="AV6" s="16"/>
      <c r="AW6" s="16"/>
      <c r="AX6" s="16"/>
      <c r="AY6" s="16"/>
      <c r="AZ6" s="69">
        <f>(SUM(AZ$134:AZ$149)/16)/(SUM($J$134:$J$149)/16)*MITRE[[#This Row],[Trenes Corridos]]</f>
        <v>2798.0251746602598</v>
      </c>
      <c r="BA6" s="16"/>
      <c r="BB6" s="16"/>
      <c r="BC6" s="16"/>
      <c r="BD6" s="17"/>
      <c r="BE6" s="18">
        <v>1993</v>
      </c>
      <c r="BF6" s="21" t="s">
        <v>36</v>
      </c>
      <c r="BG6" s="41"/>
      <c r="BH6" s="41"/>
      <c r="BI6" s="41"/>
      <c r="BJ6" s="16"/>
      <c r="BK6" s="16"/>
      <c r="BL6" s="16"/>
      <c r="BM6" s="16"/>
      <c r="BN6" s="69">
        <f>(SUM(BN$134:BN$149)/16)/(SUM($J$134:$J$149)/16)*MITRE[[#This Row],[Trenes Corridos]]</f>
        <v>840.40556554550017</v>
      </c>
      <c r="BO6" s="16"/>
      <c r="BP6" s="16"/>
      <c r="BQ6" s="16"/>
      <c r="BR6" s="17"/>
      <c r="BS6" s="18">
        <v>1993</v>
      </c>
      <c r="BT6" s="21" t="s">
        <v>36</v>
      </c>
      <c r="BU6" s="41"/>
      <c r="BV6" s="41"/>
      <c r="BW6" s="41"/>
      <c r="BX6" s="16"/>
      <c r="BY6" s="16"/>
      <c r="BZ6" s="16"/>
      <c r="CA6" s="16"/>
      <c r="CB6" s="69">
        <f>(SUM(CB$134:CB$149)/16)/(SUM($J$134:$J$149)/16)*MITRE[[#This Row],[Trenes Corridos]]</f>
        <v>828.57518497774379</v>
      </c>
      <c r="CC6" s="16"/>
      <c r="CD6" s="16"/>
      <c r="CI6" s="40"/>
      <c r="CJ6" s="40"/>
      <c r="CK6" s="40"/>
      <c r="CL6" s="40"/>
      <c r="CM6" s="40"/>
    </row>
    <row r="7" spans="1:93" s="18" customFormat="1" ht="15" customHeight="1">
      <c r="A7" s="18">
        <v>1993</v>
      </c>
      <c r="B7" s="21" t="s">
        <v>37</v>
      </c>
      <c r="C7" s="15">
        <f>+MITRE[[#This Row],[Trenes Puntuales]]/MITRE[[#This Row],[Trenes Programados]]</f>
        <v>0.72908772952491985</v>
      </c>
      <c r="D7" s="15">
        <f>+MITRE[[#This Row],[Trenes Puntuales]]/MITRE[[#This Row],[Trenes Corridos]]</f>
        <v>0.83127025006230792</v>
      </c>
      <c r="E7" s="15">
        <f>+MITRE[[#This Row],[Trenes Corridos]]/MITRE[[#This Row],[Trenes Programados]]</f>
        <v>0.87707665403672397</v>
      </c>
      <c r="F7" s="16">
        <f>+Tabla4[[#This Row],[Trenes Programados por Día Hábil]]+Tabla5[[#This Row],[Trenes Programados por Día Hábil]]+Tabla6[[#This Row],[Trenes Programados por Día Hábil]]+MIT_Vic_Cap[[#This Row],[Trenes Programados por Día Hábil]]+Tabla8[[#This Row],[Trenes Programados por Día Hábil]]</f>
        <v>0</v>
      </c>
      <c r="G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 s="16">
        <v>13724</v>
      </c>
      <c r="I7" s="16">
        <f t="shared" si="0"/>
        <v>1687</v>
      </c>
      <c r="J7" s="16">
        <v>12037</v>
      </c>
      <c r="K7" s="16">
        <v>10006</v>
      </c>
      <c r="L7" s="16">
        <f t="shared" si="1"/>
        <v>2031</v>
      </c>
      <c r="M7" s="16"/>
      <c r="N7" s="17"/>
      <c r="O7" s="18">
        <v>1993</v>
      </c>
      <c r="P7" s="21" t="s">
        <v>37</v>
      </c>
      <c r="Q7" s="41"/>
      <c r="R7" s="41"/>
      <c r="S7" s="41"/>
      <c r="T7" s="16"/>
      <c r="U7" s="16"/>
      <c r="V7" s="16"/>
      <c r="W7" s="16"/>
      <c r="X7" s="69">
        <f>(SUM(X$134:X$149)/16)/(SUM($J$134:$J$149)/16)*MITRE[[#This Row],[Trenes Corridos]]</f>
        <v>4488.43474086271</v>
      </c>
      <c r="Y7" s="16"/>
      <c r="Z7" s="16"/>
      <c r="AA7" s="16"/>
      <c r="AB7" s="17"/>
      <c r="AC7" s="18">
        <v>1993</v>
      </c>
      <c r="AD7" s="21" t="s">
        <v>37</v>
      </c>
      <c r="AE7" s="41"/>
      <c r="AF7" s="41"/>
      <c r="AG7" s="41"/>
      <c r="AH7" s="16"/>
      <c r="AI7" s="16"/>
      <c r="AJ7" s="16"/>
      <c r="AK7" s="16"/>
      <c r="AL7" s="69">
        <f>(SUM(AL$134:AL$149)/16)/(SUM($J$134:$J$149)/16)*MITRE[[#This Row],[Trenes Corridos]]</f>
        <v>3510.0080771158209</v>
      </c>
      <c r="AM7" s="16"/>
      <c r="AN7" s="16"/>
      <c r="AO7" s="16"/>
      <c r="AP7" s="17"/>
      <c r="AQ7" s="18">
        <v>1993</v>
      </c>
      <c r="AR7" s="21" t="s">
        <v>37</v>
      </c>
      <c r="AS7" s="41"/>
      <c r="AT7" s="41"/>
      <c r="AU7" s="41"/>
      <c r="AV7" s="16"/>
      <c r="AW7" s="16"/>
      <c r="AX7" s="16"/>
      <c r="AY7" s="16"/>
      <c r="AZ7" s="69">
        <f>(SUM(AZ$134:AZ$149)/16)/(SUM($J$134:$J$149)/16)*MITRE[[#This Row],[Trenes Corridos]]</f>
        <v>2529.6551770606543</v>
      </c>
      <c r="BA7" s="16"/>
      <c r="BB7" s="16"/>
      <c r="BC7" s="16"/>
      <c r="BD7" s="17"/>
      <c r="BE7" s="18">
        <v>1993</v>
      </c>
      <c r="BF7" s="21" t="s">
        <v>37</v>
      </c>
      <c r="BG7" s="41"/>
      <c r="BH7" s="41"/>
      <c r="BI7" s="41"/>
      <c r="BJ7" s="16"/>
      <c r="BK7" s="16"/>
      <c r="BL7" s="16"/>
      <c r="BM7" s="16"/>
      <c r="BN7" s="69">
        <f>(SUM(BN$134:BN$149)/16)/(SUM($J$134:$J$149)/16)*MITRE[[#This Row],[Trenes Corridos]]</f>
        <v>759.79884275733707</v>
      </c>
      <c r="BO7" s="16"/>
      <c r="BP7" s="16"/>
      <c r="BQ7" s="16"/>
      <c r="BR7" s="17"/>
      <c r="BS7" s="18">
        <v>1993</v>
      </c>
      <c r="BT7" s="21" t="s">
        <v>37</v>
      </c>
      <c r="BU7" s="41"/>
      <c r="BV7" s="41"/>
      <c r="BW7" s="41"/>
      <c r="BX7" s="16"/>
      <c r="BY7" s="16"/>
      <c r="BZ7" s="16"/>
      <c r="CA7" s="16"/>
      <c r="CB7" s="69">
        <f>(SUM(CB$134:CB$149)/16)/(SUM($J$134:$J$149)/16)*MITRE[[#This Row],[Trenes Corridos]]</f>
        <v>749.10316220347761</v>
      </c>
      <c r="CC7" s="16"/>
      <c r="CD7" s="16"/>
      <c r="CI7" s="40"/>
      <c r="CJ7" s="40"/>
      <c r="CK7" s="40"/>
      <c r="CL7" s="40"/>
      <c r="CM7" s="40"/>
    </row>
    <row r="8" spans="1:93" s="18" customFormat="1" ht="15" customHeight="1">
      <c r="A8" s="18">
        <v>1993</v>
      </c>
      <c r="B8" s="21" t="s">
        <v>38</v>
      </c>
      <c r="C8" s="15">
        <f>+MITRE[[#This Row],[Trenes Puntuales]]/MITRE[[#This Row],[Trenes Programados]]</f>
        <v>0.6631173242748889</v>
      </c>
      <c r="D8" s="15">
        <f>+MITRE[[#This Row],[Trenes Puntuales]]/MITRE[[#This Row],[Trenes Corridos]]</f>
        <v>0.79348080981786917</v>
      </c>
      <c r="E8" s="15">
        <f>+MITRE[[#This Row],[Trenes Corridos]]/MITRE[[#This Row],[Trenes Programados]]</f>
        <v>0.83570681996341778</v>
      </c>
      <c r="F8" s="16">
        <f>+Tabla4[[#This Row],[Trenes Programados por Día Hábil]]+Tabla5[[#This Row],[Trenes Programados por Día Hábil]]+Tabla6[[#This Row],[Trenes Programados por Día Hábil]]+MIT_Vic_Cap[[#This Row],[Trenes Programados por Día Hábil]]+Tabla8[[#This Row],[Trenes Programados por Día Hábil]]</f>
        <v>0</v>
      </c>
      <c r="G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 s="16">
        <v>15308</v>
      </c>
      <c r="I8" s="16">
        <f t="shared" si="0"/>
        <v>2515</v>
      </c>
      <c r="J8" s="16">
        <v>12793</v>
      </c>
      <c r="K8" s="16">
        <v>10151</v>
      </c>
      <c r="L8" s="16">
        <f t="shared" si="1"/>
        <v>2642</v>
      </c>
      <c r="M8" s="16"/>
      <c r="N8" s="17"/>
      <c r="O8" s="18">
        <v>1993</v>
      </c>
      <c r="P8" s="21" t="s">
        <v>38</v>
      </c>
      <c r="Q8" s="41"/>
      <c r="R8" s="41"/>
      <c r="S8" s="41"/>
      <c r="T8" s="16"/>
      <c r="U8" s="16"/>
      <c r="V8" s="16"/>
      <c r="W8" s="16"/>
      <c r="X8" s="69">
        <f>(SUM(X$134:X$149)/16)/(SUM($J$134:$J$149)/16)*MITRE[[#This Row],[Trenes Corridos]]</f>
        <v>4770.33693111711</v>
      </c>
      <c r="Y8" s="16"/>
      <c r="Z8" s="16"/>
      <c r="AA8" s="16"/>
      <c r="AB8" s="17"/>
      <c r="AC8" s="18">
        <v>1993</v>
      </c>
      <c r="AD8" s="21" t="s">
        <v>38</v>
      </c>
      <c r="AE8" s="41"/>
      <c r="AF8" s="41"/>
      <c r="AG8" s="41"/>
      <c r="AH8" s="16"/>
      <c r="AI8" s="16"/>
      <c r="AJ8" s="16"/>
      <c r="AK8" s="16"/>
      <c r="AL8" s="69">
        <f>(SUM(AL$134:AL$149)/16)/(SUM($J$134:$J$149)/16)*MITRE[[#This Row],[Trenes Corridos]]</f>
        <v>3730.4588627185094</v>
      </c>
      <c r="AM8" s="16"/>
      <c r="AN8" s="16"/>
      <c r="AO8" s="16"/>
      <c r="AP8" s="17"/>
      <c r="AQ8" s="18">
        <v>1993</v>
      </c>
      <c r="AR8" s="21" t="s">
        <v>38</v>
      </c>
      <c r="AS8" s="41"/>
      <c r="AT8" s="41"/>
      <c r="AU8" s="41"/>
      <c r="AV8" s="16"/>
      <c r="AW8" s="16"/>
      <c r="AX8" s="16"/>
      <c r="AY8" s="16"/>
      <c r="AZ8" s="69">
        <f>(SUM(AZ$134:AZ$149)/16)/(SUM($J$134:$J$149)/16)*MITRE[[#This Row],[Trenes Corridos]]</f>
        <v>2688.5335781454637</v>
      </c>
      <c r="BA8" s="16"/>
      <c r="BB8" s="16"/>
      <c r="BC8" s="16"/>
      <c r="BD8" s="17"/>
      <c r="BE8" s="18">
        <v>1993</v>
      </c>
      <c r="BF8" s="21" t="s">
        <v>38</v>
      </c>
      <c r="BG8" s="41"/>
      <c r="BH8" s="41"/>
      <c r="BI8" s="41"/>
      <c r="BJ8" s="16"/>
      <c r="BK8" s="16"/>
      <c r="BL8" s="16"/>
      <c r="BM8" s="16"/>
      <c r="BN8" s="69">
        <f>(SUM(BN$134:BN$149)/16)/(SUM($J$134:$J$149)/16)*MITRE[[#This Row],[Trenes Corridos]]</f>
        <v>807.51903259903736</v>
      </c>
      <c r="BO8" s="16"/>
      <c r="BP8" s="16"/>
      <c r="BQ8" s="16"/>
      <c r="BR8" s="17"/>
      <c r="BS8" s="18">
        <v>1993</v>
      </c>
      <c r="BT8" s="21" t="s">
        <v>38</v>
      </c>
      <c r="BU8" s="41"/>
      <c r="BV8" s="41"/>
      <c r="BW8" s="41"/>
      <c r="BX8" s="16"/>
      <c r="BY8" s="16"/>
      <c r="BZ8" s="16"/>
      <c r="CA8" s="16"/>
      <c r="CB8" s="69">
        <f>(SUM(CB$134:CB$149)/16)/(SUM($J$134:$J$149)/16)*MITRE[[#This Row],[Trenes Corridos]]</f>
        <v>796.15159541987953</v>
      </c>
      <c r="CC8" s="16"/>
      <c r="CD8" s="16"/>
      <c r="CI8" s="40"/>
      <c r="CJ8" s="40"/>
      <c r="CK8" s="40"/>
      <c r="CL8" s="40"/>
      <c r="CM8" s="40"/>
    </row>
    <row r="9" spans="1:93" s="18" customFormat="1" ht="15" customHeight="1">
      <c r="A9" s="18">
        <v>1993</v>
      </c>
      <c r="B9" s="21" t="s">
        <v>39</v>
      </c>
      <c r="C9" s="15">
        <f>+MITRE[[#This Row],[Trenes Puntuales]]/MITRE[[#This Row],[Trenes Programados]]</f>
        <v>0.77012131715771226</v>
      </c>
      <c r="D9" s="15">
        <f>+MITRE[[#This Row],[Trenes Puntuales]]/MITRE[[#This Row],[Trenes Corridos]]</f>
        <v>0.86870503597122306</v>
      </c>
      <c r="E9" s="15">
        <f>+MITRE[[#This Row],[Trenes Corridos]]/MITRE[[#This Row],[Trenes Programados]]</f>
        <v>0.88651646447140386</v>
      </c>
      <c r="F9" s="16">
        <f>+Tabla4[[#This Row],[Trenes Programados por Día Hábil]]+Tabla5[[#This Row],[Trenes Programados por Día Hábil]]+Tabla6[[#This Row],[Trenes Programados por Día Hábil]]+MIT_Vic_Cap[[#This Row],[Trenes Programados por Día Hábil]]+Tabla8[[#This Row],[Trenes Programados por Día Hábil]]</f>
        <v>0</v>
      </c>
      <c r="G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 s="16">
        <v>14425</v>
      </c>
      <c r="I9" s="16">
        <f t="shared" si="0"/>
        <v>1637</v>
      </c>
      <c r="J9" s="16">
        <v>12788</v>
      </c>
      <c r="K9" s="16">
        <v>11109</v>
      </c>
      <c r="L9" s="16">
        <f t="shared" si="1"/>
        <v>1679</v>
      </c>
      <c r="M9" s="16"/>
      <c r="N9" s="17"/>
      <c r="O9" s="18">
        <v>1993</v>
      </c>
      <c r="P9" s="21" t="s">
        <v>39</v>
      </c>
      <c r="Q9" s="41"/>
      <c r="R9" s="41"/>
      <c r="S9" s="41"/>
      <c r="T9" s="16"/>
      <c r="U9" s="16"/>
      <c r="V9" s="16"/>
      <c r="W9" s="16"/>
      <c r="X9" s="69">
        <f>(SUM(X$134:X$149)/16)/(SUM($J$134:$J$149)/16)*MITRE[[#This Row],[Trenes Corridos]]</f>
        <v>4768.4724986418823</v>
      </c>
      <c r="Y9" s="16"/>
      <c r="Z9" s="16"/>
      <c r="AA9" s="16"/>
      <c r="AB9" s="17"/>
      <c r="AC9" s="18">
        <v>1993</v>
      </c>
      <c r="AD9" s="21" t="s">
        <v>39</v>
      </c>
      <c r="AE9" s="41"/>
      <c r="AF9" s="41"/>
      <c r="AG9" s="41"/>
      <c r="AH9" s="16"/>
      <c r="AI9" s="16"/>
      <c r="AJ9" s="16"/>
      <c r="AK9" s="16"/>
      <c r="AL9" s="69">
        <f>(SUM(AL$134:AL$149)/16)/(SUM($J$134:$J$149)/16)*MITRE[[#This Row],[Trenes Corridos]]</f>
        <v>3729.0008548772216</v>
      </c>
      <c r="AM9" s="16"/>
      <c r="AN9" s="16"/>
      <c r="AO9" s="16"/>
      <c r="AP9" s="17"/>
      <c r="AQ9" s="18">
        <v>1993</v>
      </c>
      <c r="AR9" s="21" t="s">
        <v>39</v>
      </c>
      <c r="AS9" s="41"/>
      <c r="AT9" s="41"/>
      <c r="AU9" s="41"/>
      <c r="AV9" s="16"/>
      <c r="AW9" s="16"/>
      <c r="AX9" s="16"/>
      <c r="AY9" s="16"/>
      <c r="AZ9" s="69">
        <f>(SUM(AZ$134:AZ$149)/16)/(SUM($J$134:$J$149)/16)*MITRE[[#This Row],[Trenes Corridos]]</f>
        <v>2687.4827950695062</v>
      </c>
      <c r="BA9" s="16"/>
      <c r="BB9" s="16"/>
      <c r="BC9" s="16"/>
      <c r="BD9" s="17"/>
      <c r="BE9" s="18">
        <v>1993</v>
      </c>
      <c r="BF9" s="21" t="s">
        <v>39</v>
      </c>
      <c r="BG9" s="41"/>
      <c r="BH9" s="41"/>
      <c r="BI9" s="41"/>
      <c r="BJ9" s="16"/>
      <c r="BK9" s="16"/>
      <c r="BL9" s="16"/>
      <c r="BM9" s="16"/>
      <c r="BN9" s="69">
        <f>(SUM(BN$134:BN$149)/16)/(SUM($J$134:$J$149)/16)*MITRE[[#This Row],[Trenes Corridos]]</f>
        <v>807.20342287786207</v>
      </c>
      <c r="BO9" s="16"/>
      <c r="BP9" s="16"/>
      <c r="BQ9" s="16"/>
      <c r="BR9" s="17"/>
      <c r="BS9" s="18">
        <v>1993</v>
      </c>
      <c r="BT9" s="21" t="s">
        <v>39</v>
      </c>
      <c r="BU9" s="41"/>
      <c r="BV9" s="41"/>
      <c r="BW9" s="41"/>
      <c r="BX9" s="16"/>
      <c r="BY9" s="16"/>
      <c r="BZ9" s="16"/>
      <c r="CA9" s="16"/>
      <c r="CB9" s="69">
        <f>(SUM(CB$134:CB$149)/16)/(SUM($J$134:$J$149)/16)*MITRE[[#This Row],[Trenes Corridos]]</f>
        <v>795.84042853352764</v>
      </c>
      <c r="CC9" s="16"/>
      <c r="CD9" s="16"/>
      <c r="CI9" s="40"/>
      <c r="CJ9" s="40"/>
      <c r="CK9" s="40"/>
      <c r="CL9" s="40"/>
      <c r="CM9" s="40"/>
    </row>
    <row r="10" spans="1:93" s="18" customFormat="1" ht="15" customHeight="1">
      <c r="A10" s="18">
        <v>1993</v>
      </c>
      <c r="B10" s="21" t="s">
        <v>40</v>
      </c>
      <c r="C10" s="15">
        <f>+MITRE[[#This Row],[Trenes Puntuales]]/MITRE[[#This Row],[Trenes Programados]]</f>
        <v>0.75830271094779167</v>
      </c>
      <c r="D10" s="15">
        <f>+MITRE[[#This Row],[Trenes Puntuales]]/MITRE[[#This Row],[Trenes Corridos]]</f>
        <v>0.82774540225535453</v>
      </c>
      <c r="E10" s="15">
        <f>+MITRE[[#This Row],[Trenes Corridos]]/MITRE[[#This Row],[Trenes Programados]]</f>
        <v>0.91610621923316926</v>
      </c>
      <c r="F10" s="16">
        <f>+Tabla4[[#This Row],[Trenes Programados por Día Hábil]]+Tabla5[[#This Row],[Trenes Programados por Día Hábil]]+Tabla6[[#This Row],[Trenes Programados por Día Hábil]]+MIT_Vic_Cap[[#This Row],[Trenes Programados por Día Hábil]]+Tabla8[[#This Row],[Trenes Programados por Día Hábil]]</f>
        <v>0</v>
      </c>
      <c r="G1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 s="16">
        <v>14423</v>
      </c>
      <c r="I10" s="16">
        <f t="shared" si="0"/>
        <v>1210</v>
      </c>
      <c r="J10" s="16">
        <v>13213</v>
      </c>
      <c r="K10" s="16">
        <v>10937</v>
      </c>
      <c r="L10" s="16">
        <f t="shared" si="1"/>
        <v>2276</v>
      </c>
      <c r="M10" s="16"/>
      <c r="N10" s="17"/>
      <c r="O10" s="18">
        <v>1993</v>
      </c>
      <c r="P10" s="21" t="s">
        <v>40</v>
      </c>
      <c r="Q10" s="41"/>
      <c r="R10" s="41"/>
      <c r="S10" s="41"/>
      <c r="T10" s="16"/>
      <c r="U10" s="16"/>
      <c r="V10" s="16"/>
      <c r="W10" s="16"/>
      <c r="X10" s="69">
        <f>(SUM(X$134:X$149)/16)/(SUM($J$134:$J$149)/16)*MITRE[[#This Row],[Trenes Corridos]]</f>
        <v>4926.9492590362206</v>
      </c>
      <c r="Y10" s="16"/>
      <c r="Z10" s="16"/>
      <c r="AA10" s="16"/>
      <c r="AB10" s="17"/>
      <c r="AC10" s="18">
        <v>1993</v>
      </c>
      <c r="AD10" s="21" t="s">
        <v>40</v>
      </c>
      <c r="AE10" s="41"/>
      <c r="AF10" s="41"/>
      <c r="AG10" s="41"/>
      <c r="AH10" s="16"/>
      <c r="AI10" s="16"/>
      <c r="AJ10" s="16"/>
      <c r="AK10" s="16"/>
      <c r="AL10" s="69">
        <f>(SUM(AL$134:AL$149)/16)/(SUM($J$134:$J$149)/16)*MITRE[[#This Row],[Trenes Corridos]]</f>
        <v>3852.9315213866694</v>
      </c>
      <c r="AM10" s="16"/>
      <c r="AN10" s="16"/>
      <c r="AO10" s="16"/>
      <c r="AP10" s="17"/>
      <c r="AQ10" s="18">
        <v>1993</v>
      </c>
      <c r="AR10" s="21" t="s">
        <v>40</v>
      </c>
      <c r="AS10" s="41"/>
      <c r="AT10" s="41"/>
      <c r="AU10" s="41"/>
      <c r="AV10" s="16"/>
      <c r="AW10" s="16"/>
      <c r="AX10" s="16"/>
      <c r="AY10" s="16"/>
      <c r="AZ10" s="69">
        <f>(SUM(AZ$134:AZ$149)/16)/(SUM($J$134:$J$149)/16)*MITRE[[#This Row],[Trenes Corridos]]</f>
        <v>2776.7993565259135</v>
      </c>
      <c r="BA10" s="16"/>
      <c r="BB10" s="16"/>
      <c r="BC10" s="16"/>
      <c r="BD10" s="17"/>
      <c r="BE10" s="18">
        <v>1993</v>
      </c>
      <c r="BF10" s="21" t="s">
        <v>40</v>
      </c>
      <c r="BG10" s="41"/>
      <c r="BH10" s="41"/>
      <c r="BI10" s="41"/>
      <c r="BJ10" s="16"/>
      <c r="BK10" s="16"/>
      <c r="BL10" s="16"/>
      <c r="BM10" s="16"/>
      <c r="BN10" s="69">
        <f>(SUM(BN$134:BN$149)/16)/(SUM($J$134:$J$149)/16)*MITRE[[#This Row],[Trenes Corridos]]</f>
        <v>834.03024917775974</v>
      </c>
      <c r="BO10" s="16"/>
      <c r="BP10" s="16"/>
      <c r="BQ10" s="16"/>
      <c r="BR10" s="17"/>
      <c r="BS10" s="18">
        <v>1993</v>
      </c>
      <c r="BT10" s="21" t="s">
        <v>40</v>
      </c>
      <c r="BU10" s="41"/>
      <c r="BV10" s="41"/>
      <c r="BW10" s="41"/>
      <c r="BX10" s="16"/>
      <c r="BY10" s="16"/>
      <c r="BZ10" s="16"/>
      <c r="CA10" s="16"/>
      <c r="CB10" s="69">
        <f>(SUM(CB$134:CB$149)/16)/(SUM($J$134:$J$149)/16)*MITRE[[#This Row],[Trenes Corridos]]</f>
        <v>822.28961387343611</v>
      </c>
      <c r="CC10" s="16"/>
      <c r="CD10" s="16"/>
      <c r="CI10" s="40"/>
      <c r="CJ10" s="40"/>
      <c r="CK10" s="40"/>
      <c r="CL10" s="40"/>
      <c r="CM10" s="40"/>
    </row>
    <row r="11" spans="1:93" s="18" customFormat="1" ht="15" customHeight="1">
      <c r="A11" s="18">
        <v>1993</v>
      </c>
      <c r="B11" s="21" t="s">
        <v>41</v>
      </c>
      <c r="C11" s="15">
        <f>+MITRE[[#This Row],[Trenes Puntuales]]/MITRE[[#This Row],[Trenes Programados]]</f>
        <v>0.72039863405115334</v>
      </c>
      <c r="D11" s="15">
        <f>+MITRE[[#This Row],[Trenes Puntuales]]/MITRE[[#This Row],[Trenes Corridos]]</f>
        <v>0.83315870073345688</v>
      </c>
      <c r="E11" s="15">
        <f>+MITRE[[#This Row],[Trenes Corridos]]/MITRE[[#This Row],[Trenes Programados]]</f>
        <v>0.86465955815736284</v>
      </c>
      <c r="F11" s="16">
        <f>+Tabla4[[#This Row],[Trenes Programados por Día Hábil]]+Tabla5[[#This Row],[Trenes Programados por Día Hábil]]+Tabla6[[#This Row],[Trenes Programados por Día Hábil]]+MIT_Vic_Cap[[#This Row],[Trenes Programados por Día Hábil]]+Tabla8[[#This Row],[Trenes Programados por Día Hábil]]</f>
        <v>0</v>
      </c>
      <c r="G1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 s="16">
        <v>14349</v>
      </c>
      <c r="I11" s="16">
        <f t="shared" si="0"/>
        <v>1942</v>
      </c>
      <c r="J11" s="16">
        <v>12407</v>
      </c>
      <c r="K11" s="16">
        <v>10337</v>
      </c>
      <c r="L11" s="16">
        <f t="shared" si="1"/>
        <v>2070</v>
      </c>
      <c r="M11" s="16"/>
      <c r="N11" s="17"/>
      <c r="O11" s="18">
        <v>1993</v>
      </c>
      <c r="P11" s="21" t="s">
        <v>41</v>
      </c>
      <c r="Q11" s="41"/>
      <c r="R11" s="41"/>
      <c r="S11" s="41"/>
      <c r="T11" s="16"/>
      <c r="U11" s="16"/>
      <c r="V11" s="16"/>
      <c r="W11" s="16"/>
      <c r="X11" s="69">
        <f>(SUM(X$134:X$149)/16)/(SUM($J$134:$J$149)/16)*MITRE[[#This Row],[Trenes Corridos]]</f>
        <v>4626.4027440295458</v>
      </c>
      <c r="Y11" s="16"/>
      <c r="Z11" s="16"/>
      <c r="AA11" s="16"/>
      <c r="AB11" s="17"/>
      <c r="AC11" s="18">
        <v>1993</v>
      </c>
      <c r="AD11" s="21" t="s">
        <v>41</v>
      </c>
      <c r="AE11" s="41"/>
      <c r="AF11" s="41"/>
      <c r="AG11" s="41"/>
      <c r="AH11" s="16"/>
      <c r="AI11" s="16"/>
      <c r="AJ11" s="16"/>
      <c r="AK11" s="16"/>
      <c r="AL11" s="69">
        <f>(SUM(AL$134:AL$149)/16)/(SUM($J$134:$J$149)/16)*MITRE[[#This Row],[Trenes Corridos]]</f>
        <v>3617.9006573711049</v>
      </c>
      <c r="AM11" s="16"/>
      <c r="AN11" s="16"/>
      <c r="AO11" s="16"/>
      <c r="AP11" s="17"/>
      <c r="AQ11" s="18">
        <v>1993</v>
      </c>
      <c r="AR11" s="21" t="s">
        <v>41</v>
      </c>
      <c r="AS11" s="41"/>
      <c r="AT11" s="41"/>
      <c r="AU11" s="41"/>
      <c r="AV11" s="16"/>
      <c r="AW11" s="16"/>
      <c r="AX11" s="16"/>
      <c r="AY11" s="16"/>
      <c r="AZ11" s="69">
        <f>(SUM(AZ$134:AZ$149)/16)/(SUM($J$134:$J$149)/16)*MITRE[[#This Row],[Trenes Corridos]]</f>
        <v>2607.4131246815268</v>
      </c>
      <c r="BA11" s="16"/>
      <c r="BB11" s="16"/>
      <c r="BC11" s="16"/>
      <c r="BD11" s="17"/>
      <c r="BE11" s="18">
        <v>1993</v>
      </c>
      <c r="BF11" s="21" t="s">
        <v>41</v>
      </c>
      <c r="BG11" s="41"/>
      <c r="BH11" s="41"/>
      <c r="BI11" s="41"/>
      <c r="BJ11" s="16"/>
      <c r="BK11" s="16"/>
      <c r="BL11" s="16"/>
      <c r="BM11" s="16"/>
      <c r="BN11" s="69">
        <f>(SUM(BN$134:BN$149)/16)/(SUM($J$134:$J$149)/16)*MITRE[[#This Row],[Trenes Corridos]]</f>
        <v>783.15396212430676</v>
      </c>
      <c r="BO11" s="16"/>
      <c r="BP11" s="16"/>
      <c r="BQ11" s="16"/>
      <c r="BR11" s="17"/>
      <c r="BS11" s="18">
        <v>1993</v>
      </c>
      <c r="BT11" s="21" t="s">
        <v>41</v>
      </c>
      <c r="BU11" s="41"/>
      <c r="BV11" s="41"/>
      <c r="BW11" s="41"/>
      <c r="BX11" s="16"/>
      <c r="BY11" s="16"/>
      <c r="BZ11" s="16"/>
      <c r="CA11" s="16"/>
      <c r="CB11" s="69">
        <f>(SUM(CB$134:CB$149)/16)/(SUM($J$134:$J$149)/16)*MITRE[[#This Row],[Trenes Corridos]]</f>
        <v>772.12951179351558</v>
      </c>
      <c r="CC11" s="16"/>
      <c r="CD11" s="16"/>
      <c r="CI11" s="40"/>
      <c r="CJ11" s="40"/>
      <c r="CK11" s="40"/>
      <c r="CL11" s="40"/>
      <c r="CM11" s="40"/>
    </row>
    <row r="12" spans="1:93" s="18" customFormat="1" ht="15" customHeight="1">
      <c r="A12" s="18">
        <v>1993</v>
      </c>
      <c r="B12" s="21" t="s">
        <v>42</v>
      </c>
      <c r="C12" s="15">
        <f>+MITRE[[#This Row],[Trenes Puntuales]]/MITRE[[#This Row],[Trenes Programados]]</f>
        <v>0.75643178612211992</v>
      </c>
      <c r="D12" s="15">
        <f>+MITRE[[#This Row],[Trenes Puntuales]]/MITRE[[#This Row],[Trenes Corridos]]</f>
        <v>0.87613786664591919</v>
      </c>
      <c r="E12" s="15">
        <f>+MITRE[[#This Row],[Trenes Corridos]]/MITRE[[#This Row],[Trenes Programados]]</f>
        <v>0.86337072613689791</v>
      </c>
      <c r="F12" s="16">
        <f>+Tabla4[[#This Row],[Trenes Programados por Día Hábil]]+Tabla5[[#This Row],[Trenes Programados por Día Hábil]]+Tabla6[[#This Row],[Trenes Programados por Día Hábil]]+MIT_Vic_Cap[[#This Row],[Trenes Programados por Día Hábil]]+Tabla8[[#This Row],[Trenes Programados por Día Hábil]]</f>
        <v>0</v>
      </c>
      <c r="G1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 s="16">
        <v>14887</v>
      </c>
      <c r="I12" s="16">
        <f t="shared" si="0"/>
        <v>2034</v>
      </c>
      <c r="J12" s="16">
        <v>12853</v>
      </c>
      <c r="K12" s="16">
        <v>11261</v>
      </c>
      <c r="L12" s="16">
        <f t="shared" si="1"/>
        <v>1592</v>
      </c>
      <c r="M12" s="16"/>
      <c r="N12" s="17"/>
      <c r="O12" s="18">
        <v>1993</v>
      </c>
      <c r="P12" s="21" t="s">
        <v>42</v>
      </c>
      <c r="Q12" s="41"/>
      <c r="R12" s="41"/>
      <c r="S12" s="41"/>
      <c r="T12" s="16"/>
      <c r="U12" s="16"/>
      <c r="V12" s="16"/>
      <c r="W12" s="16"/>
      <c r="X12" s="69">
        <f>(SUM(X$134:X$149)/16)/(SUM($J$134:$J$149)/16)*MITRE[[#This Row],[Trenes Corridos]]</f>
        <v>4792.7101208198401</v>
      </c>
      <c r="Y12" s="16"/>
      <c r="Z12" s="16"/>
      <c r="AA12" s="16"/>
      <c r="AB12" s="17"/>
      <c r="AC12" s="18">
        <v>1993</v>
      </c>
      <c r="AD12" s="21" t="s">
        <v>42</v>
      </c>
      <c r="AE12" s="41"/>
      <c r="AF12" s="41"/>
      <c r="AG12" s="41"/>
      <c r="AH12" s="16"/>
      <c r="AI12" s="16"/>
      <c r="AJ12" s="16"/>
      <c r="AK12" s="16"/>
      <c r="AL12" s="69">
        <f>(SUM(AL$134:AL$149)/16)/(SUM($J$134:$J$149)/16)*MITRE[[#This Row],[Trenes Corridos]]</f>
        <v>3747.9549568139605</v>
      </c>
      <c r="AM12" s="16"/>
      <c r="AN12" s="16"/>
      <c r="AO12" s="16"/>
      <c r="AP12" s="17"/>
      <c r="AQ12" s="18">
        <v>1993</v>
      </c>
      <c r="AR12" s="21" t="s">
        <v>42</v>
      </c>
      <c r="AS12" s="41"/>
      <c r="AT12" s="41"/>
      <c r="AU12" s="41"/>
      <c r="AV12" s="16"/>
      <c r="AW12" s="16"/>
      <c r="AX12" s="16"/>
      <c r="AY12" s="16"/>
      <c r="AZ12" s="69">
        <f>(SUM(AZ$134:AZ$149)/16)/(SUM($J$134:$J$149)/16)*MITRE[[#This Row],[Trenes Corridos]]</f>
        <v>2701.1429750569569</v>
      </c>
      <c r="BA12" s="16"/>
      <c r="BB12" s="16"/>
      <c r="BC12" s="16"/>
      <c r="BD12" s="17"/>
      <c r="BE12" s="18">
        <v>1993</v>
      </c>
      <c r="BF12" s="21" t="s">
        <v>42</v>
      </c>
      <c r="BG12" s="41"/>
      <c r="BH12" s="41"/>
      <c r="BI12" s="41"/>
      <c r="BJ12" s="16"/>
      <c r="BK12" s="16"/>
      <c r="BL12" s="16"/>
      <c r="BM12" s="16"/>
      <c r="BN12" s="69">
        <f>(SUM(BN$134:BN$149)/16)/(SUM($J$134:$J$149)/16)*MITRE[[#This Row],[Trenes Corridos]]</f>
        <v>811.30634925314052</v>
      </c>
      <c r="BO12" s="16"/>
      <c r="BP12" s="16"/>
      <c r="BQ12" s="16"/>
      <c r="BR12" s="17"/>
      <c r="BS12" s="18">
        <v>1993</v>
      </c>
      <c r="BT12" s="21" t="s">
        <v>42</v>
      </c>
      <c r="BU12" s="41"/>
      <c r="BV12" s="41"/>
      <c r="BW12" s="41"/>
      <c r="BX12" s="16"/>
      <c r="BY12" s="16"/>
      <c r="BZ12" s="16"/>
      <c r="CA12" s="16"/>
      <c r="CB12" s="69">
        <f>(SUM(CB$134:CB$149)/16)/(SUM($J$134:$J$149)/16)*MITRE[[#This Row],[Trenes Corridos]]</f>
        <v>799.88559805610191</v>
      </c>
      <c r="CC12" s="16"/>
      <c r="CD12" s="16"/>
      <c r="CI12" s="40"/>
      <c r="CJ12" s="40"/>
      <c r="CK12" s="40"/>
      <c r="CL12" s="40"/>
      <c r="CM12" s="40"/>
    </row>
    <row r="13" spans="1:93" s="18" customFormat="1" ht="15" customHeight="1">
      <c r="A13" s="18">
        <v>1993</v>
      </c>
      <c r="B13" s="21" t="s">
        <v>43</v>
      </c>
      <c r="C13" s="15">
        <f>+MITRE[[#This Row],[Trenes Puntuales]]/MITRE[[#This Row],[Trenes Programados]]</f>
        <v>0.75646434403919438</v>
      </c>
      <c r="D13" s="15">
        <f>+MITRE[[#This Row],[Trenes Puntuales]]/MITRE[[#This Row],[Trenes Corridos]]</f>
        <v>0.86716068642745714</v>
      </c>
      <c r="E13" s="15">
        <f>+MITRE[[#This Row],[Trenes Corridos]]/MITRE[[#This Row],[Trenes Programados]]</f>
        <v>0.87234621665759393</v>
      </c>
      <c r="F13" s="16">
        <f>+Tabla4[[#This Row],[Trenes Programados por Día Hábil]]+Tabla5[[#This Row],[Trenes Programados por Día Hábil]]+Tabla6[[#This Row],[Trenes Programados por Día Hábil]]+MIT_Vic_Cap[[#This Row],[Trenes Programados por Día Hábil]]+Tabla8[[#This Row],[Trenes Programados por Día Hábil]]</f>
        <v>0</v>
      </c>
      <c r="G1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 s="16">
        <v>14696</v>
      </c>
      <c r="I13" s="16">
        <f t="shared" si="0"/>
        <v>1876</v>
      </c>
      <c r="J13" s="16">
        <v>12820</v>
      </c>
      <c r="K13" s="16">
        <v>11117</v>
      </c>
      <c r="L13" s="16">
        <f t="shared" si="1"/>
        <v>1703</v>
      </c>
      <c r="M13" s="16"/>
      <c r="N13" s="17"/>
      <c r="O13" s="18">
        <v>1993</v>
      </c>
      <c r="P13" s="21" t="s">
        <v>43</v>
      </c>
      <c r="Q13" s="41"/>
      <c r="R13" s="41"/>
      <c r="S13" s="41"/>
      <c r="T13" s="16"/>
      <c r="U13" s="16"/>
      <c r="V13" s="16"/>
      <c r="W13" s="16"/>
      <c r="X13" s="69">
        <f>(SUM(X$134:X$149)/16)/(SUM($J$134:$J$149)/16)*MITRE[[#This Row],[Trenes Corridos]]</f>
        <v>4780.4048664833381</v>
      </c>
      <c r="Y13" s="16"/>
      <c r="Z13" s="16"/>
      <c r="AA13" s="16"/>
      <c r="AB13" s="17"/>
      <c r="AC13" s="18">
        <v>1993</v>
      </c>
      <c r="AD13" s="21" t="s">
        <v>43</v>
      </c>
      <c r="AE13" s="41"/>
      <c r="AF13" s="41"/>
      <c r="AG13" s="41"/>
      <c r="AH13" s="16"/>
      <c r="AI13" s="16"/>
      <c r="AJ13" s="16"/>
      <c r="AK13" s="16"/>
      <c r="AL13" s="69">
        <f>(SUM(AL$134:AL$149)/16)/(SUM($J$134:$J$149)/16)*MITRE[[#This Row],[Trenes Corridos]]</f>
        <v>3738.3321050614622</v>
      </c>
      <c r="AM13" s="16"/>
      <c r="AN13" s="16"/>
      <c r="AO13" s="16"/>
      <c r="AP13" s="17"/>
      <c r="AQ13" s="18">
        <v>1993</v>
      </c>
      <c r="AR13" s="21" t="s">
        <v>43</v>
      </c>
      <c r="AS13" s="41"/>
      <c r="AT13" s="41"/>
      <c r="AU13" s="41"/>
      <c r="AV13" s="16"/>
      <c r="AW13" s="16"/>
      <c r="AX13" s="16"/>
      <c r="AY13" s="16"/>
      <c r="AZ13" s="69">
        <f>(SUM(AZ$134:AZ$149)/16)/(SUM($J$134:$J$149)/16)*MITRE[[#This Row],[Trenes Corridos]]</f>
        <v>2694.2078067556358</v>
      </c>
      <c r="BA13" s="16"/>
      <c r="BB13" s="16"/>
      <c r="BC13" s="16"/>
      <c r="BD13" s="17"/>
      <c r="BE13" s="18">
        <v>1993</v>
      </c>
      <c r="BF13" s="21" t="s">
        <v>43</v>
      </c>
      <c r="BG13" s="41"/>
      <c r="BH13" s="41"/>
      <c r="BI13" s="41"/>
      <c r="BJ13" s="16"/>
      <c r="BK13" s="16"/>
      <c r="BL13" s="16"/>
      <c r="BM13" s="16"/>
      <c r="BN13" s="69">
        <f>(SUM(BN$134:BN$149)/16)/(SUM($J$134:$J$149)/16)*MITRE[[#This Row],[Trenes Corridos]]</f>
        <v>809.22332509338378</v>
      </c>
      <c r="BO13" s="16"/>
      <c r="BP13" s="16"/>
      <c r="BQ13" s="16"/>
      <c r="BR13" s="17"/>
      <c r="BS13" s="18">
        <v>1993</v>
      </c>
      <c r="BT13" s="21" t="s">
        <v>43</v>
      </c>
      <c r="BU13" s="41"/>
      <c r="BV13" s="41"/>
      <c r="BW13" s="41"/>
      <c r="BX13" s="16"/>
      <c r="BY13" s="16"/>
      <c r="BZ13" s="16"/>
      <c r="CA13" s="16"/>
      <c r="CB13" s="69">
        <f>(SUM(CB$134:CB$149)/16)/(SUM($J$134:$J$149)/16)*MITRE[[#This Row],[Trenes Corridos]]</f>
        <v>797.83189660617961</v>
      </c>
      <c r="CC13" s="16"/>
      <c r="CD13" s="16"/>
      <c r="CI13" s="40"/>
      <c r="CJ13" s="40"/>
      <c r="CK13" s="40"/>
      <c r="CL13" s="40"/>
      <c r="CM13" s="40"/>
    </row>
    <row r="14" spans="1:93" s="18" customFormat="1" ht="15" customHeight="1">
      <c r="A14" s="18">
        <v>1993</v>
      </c>
      <c r="B14" s="21" t="s">
        <v>44</v>
      </c>
      <c r="C14" s="15">
        <f>+MITRE[[#This Row],[Trenes Puntuales]]/MITRE[[#This Row],[Trenes Programados]]</f>
        <v>0.80990153172866519</v>
      </c>
      <c r="D14" s="15">
        <f>+MITRE[[#This Row],[Trenes Puntuales]]/MITRE[[#This Row],[Trenes Corridos]]</f>
        <v>0.90164433617539586</v>
      </c>
      <c r="E14" s="15">
        <f>+MITRE[[#This Row],[Trenes Corridos]]/MITRE[[#This Row],[Trenes Programados]]</f>
        <v>0.89824945295404812</v>
      </c>
      <c r="F14" s="16">
        <f>+Tabla4[[#This Row],[Trenes Programados por Día Hábil]]+Tabla5[[#This Row],[Trenes Programados por Día Hábil]]+Tabla6[[#This Row],[Trenes Programados por Día Hábil]]+MIT_Vic_Cap[[#This Row],[Trenes Programados por Día Hábil]]+Tabla8[[#This Row],[Trenes Programados por Día Hábil]]</f>
        <v>0</v>
      </c>
      <c r="G1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 s="16">
        <v>14624</v>
      </c>
      <c r="I14" s="16">
        <f t="shared" si="0"/>
        <v>1488</v>
      </c>
      <c r="J14" s="16">
        <v>13136</v>
      </c>
      <c r="K14" s="16">
        <v>11844</v>
      </c>
      <c r="L14" s="16">
        <f t="shared" si="1"/>
        <v>1292</v>
      </c>
      <c r="M14" s="16"/>
      <c r="N14" s="17"/>
      <c r="O14" s="18">
        <v>1993</v>
      </c>
      <c r="P14" s="21" t="s">
        <v>44</v>
      </c>
      <c r="Q14" s="41"/>
      <c r="R14" s="41"/>
      <c r="S14" s="41"/>
      <c r="T14" s="16"/>
      <c r="U14" s="16"/>
      <c r="V14" s="16"/>
      <c r="W14" s="16"/>
      <c r="X14" s="69">
        <f>(SUM(X$134:X$149)/16)/(SUM($J$134:$J$149)/16)*MITRE[[#This Row],[Trenes Corridos]]</f>
        <v>4898.2369989177168</v>
      </c>
      <c r="Y14" s="16"/>
      <c r="Z14" s="16"/>
      <c r="AA14" s="16"/>
      <c r="AB14" s="17"/>
      <c r="AC14" s="18">
        <v>1993</v>
      </c>
      <c r="AD14" s="21" t="s">
        <v>44</v>
      </c>
      <c r="AE14" s="41"/>
      <c r="AF14" s="41"/>
      <c r="AG14" s="41"/>
      <c r="AH14" s="16"/>
      <c r="AI14" s="16"/>
      <c r="AJ14" s="16"/>
      <c r="AK14" s="16"/>
      <c r="AL14" s="69">
        <f>(SUM(AL$134:AL$149)/16)/(SUM($J$134:$J$149)/16)*MITRE[[#This Row],[Trenes Corridos]]</f>
        <v>3830.4782006308401</v>
      </c>
      <c r="AM14" s="16"/>
      <c r="AN14" s="16"/>
      <c r="AO14" s="16"/>
      <c r="AP14" s="17"/>
      <c r="AQ14" s="18">
        <v>1993</v>
      </c>
      <c r="AR14" s="21" t="s">
        <v>44</v>
      </c>
      <c r="AS14" s="41"/>
      <c r="AT14" s="41"/>
      <c r="AU14" s="41"/>
      <c r="AV14" s="16"/>
      <c r="AW14" s="16"/>
      <c r="AX14" s="16"/>
      <c r="AY14" s="16"/>
      <c r="AZ14" s="69">
        <f>(SUM(AZ$134:AZ$149)/16)/(SUM($J$134:$J$149)/16)*MITRE[[#This Row],[Trenes Corridos]]</f>
        <v>2760.6172971561646</v>
      </c>
      <c r="BA14" s="16"/>
      <c r="BB14" s="16"/>
      <c r="BC14" s="16"/>
      <c r="BD14" s="17"/>
      <c r="BE14" s="18">
        <v>1993</v>
      </c>
      <c r="BF14" s="21" t="s">
        <v>44</v>
      </c>
      <c r="BG14" s="41"/>
      <c r="BH14" s="41"/>
      <c r="BI14" s="41"/>
      <c r="BJ14" s="16"/>
      <c r="BK14" s="16"/>
      <c r="BL14" s="16"/>
      <c r="BM14" s="16"/>
      <c r="BN14" s="69">
        <f>(SUM(BN$134:BN$149)/16)/(SUM($J$134:$J$149)/16)*MITRE[[#This Row],[Trenes Corridos]]</f>
        <v>829.16985947166063</v>
      </c>
      <c r="BO14" s="16"/>
      <c r="BP14" s="16"/>
      <c r="BQ14" s="16"/>
      <c r="BR14" s="17"/>
      <c r="BS14" s="18">
        <v>1993</v>
      </c>
      <c r="BT14" s="21" t="s">
        <v>44</v>
      </c>
      <c r="BU14" s="41"/>
      <c r="BV14" s="41"/>
      <c r="BW14" s="41"/>
      <c r="BX14" s="16"/>
      <c r="BY14" s="16"/>
      <c r="BZ14" s="16"/>
      <c r="CA14" s="16"/>
      <c r="CB14" s="69">
        <f>(SUM(CB$134:CB$149)/16)/(SUM($J$134:$J$149)/16)*MITRE[[#This Row],[Trenes Corridos]]</f>
        <v>817.49764382361741</v>
      </c>
      <c r="CC14" s="16"/>
      <c r="CD14" s="16"/>
      <c r="CI14" s="40"/>
      <c r="CJ14" s="40"/>
      <c r="CK14" s="40"/>
      <c r="CL14" s="40"/>
      <c r="CM14" s="40"/>
    </row>
    <row r="15" spans="1:93" s="18" customFormat="1" ht="15" customHeight="1">
      <c r="A15" s="18">
        <v>1993</v>
      </c>
      <c r="B15" s="21" t="s">
        <v>45</v>
      </c>
      <c r="C15" s="15">
        <f>+MITRE[[#This Row],[Trenes Puntuales]]/MITRE[[#This Row],[Trenes Programados]]</f>
        <v>0.79934524621470471</v>
      </c>
      <c r="D15" s="15">
        <f>+MITRE[[#This Row],[Trenes Puntuales]]/MITRE[[#This Row],[Trenes Corridos]]</f>
        <v>0.89193302891933024</v>
      </c>
      <c r="E15" s="15">
        <f>+MITRE[[#This Row],[Trenes Corridos]]/MITRE[[#This Row],[Trenes Programados]]</f>
        <v>0.89619424362297095</v>
      </c>
      <c r="F15" s="16">
        <f>+Tabla4[[#This Row],[Trenes Programados por Día Hábil]]+Tabla5[[#This Row],[Trenes Programados por Día Hábil]]+Tabla6[[#This Row],[Trenes Programados por Día Hábil]]+MIT_Vic_Cap[[#This Row],[Trenes Programados por Día Hábil]]+Tabla8[[#This Row],[Trenes Programados por Día Hábil]]</f>
        <v>0</v>
      </c>
      <c r="G1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 s="16">
        <v>14662</v>
      </c>
      <c r="I15" s="16">
        <f t="shared" si="0"/>
        <v>1522</v>
      </c>
      <c r="J15" s="16">
        <v>13140</v>
      </c>
      <c r="K15" s="16">
        <v>11720</v>
      </c>
      <c r="L15" s="16">
        <f t="shared" si="1"/>
        <v>1420</v>
      </c>
      <c r="M15" s="16"/>
      <c r="N15" s="17"/>
      <c r="O15" s="18">
        <v>1993</v>
      </c>
      <c r="P15" s="21" t="s">
        <v>45</v>
      </c>
      <c r="Q15" s="41"/>
      <c r="R15" s="41"/>
      <c r="S15" s="41"/>
      <c r="T15" s="16"/>
      <c r="U15" s="16"/>
      <c r="V15" s="16"/>
      <c r="W15" s="16"/>
      <c r="X15" s="69">
        <f>(SUM(X$134:X$149)/16)/(SUM($J$134:$J$149)/16)*MITRE[[#This Row],[Trenes Corridos]]</f>
        <v>4899.7285448978992</v>
      </c>
      <c r="Y15" s="16"/>
      <c r="Z15" s="16"/>
      <c r="AA15" s="16"/>
      <c r="AB15" s="17"/>
      <c r="AC15" s="18">
        <v>1993</v>
      </c>
      <c r="AD15" s="21" t="s">
        <v>45</v>
      </c>
      <c r="AE15" s="41"/>
      <c r="AF15" s="41"/>
      <c r="AG15" s="41"/>
      <c r="AH15" s="16"/>
      <c r="AI15" s="16"/>
      <c r="AJ15" s="16"/>
      <c r="AK15" s="16"/>
      <c r="AL15" s="69">
        <f>(SUM(AL$134:AL$149)/16)/(SUM($J$134:$J$149)/16)*MITRE[[#This Row],[Trenes Corridos]]</f>
        <v>3831.6446069038702</v>
      </c>
      <c r="AM15" s="16"/>
      <c r="AN15" s="16"/>
      <c r="AO15" s="16"/>
      <c r="AP15" s="17"/>
      <c r="AQ15" s="18">
        <v>1993</v>
      </c>
      <c r="AR15" s="21" t="s">
        <v>45</v>
      </c>
      <c r="AS15" s="41"/>
      <c r="AT15" s="41"/>
      <c r="AU15" s="41"/>
      <c r="AV15" s="16"/>
      <c r="AW15" s="16"/>
      <c r="AX15" s="16"/>
      <c r="AY15" s="16"/>
      <c r="AZ15" s="69">
        <f>(SUM(AZ$134:AZ$149)/16)/(SUM($J$134:$J$149)/16)*MITRE[[#This Row],[Trenes Corridos]]</f>
        <v>2761.4579236169307</v>
      </c>
      <c r="BA15" s="16"/>
      <c r="BB15" s="16"/>
      <c r="BC15" s="16"/>
      <c r="BD15" s="17"/>
      <c r="BE15" s="18">
        <v>1993</v>
      </c>
      <c r="BF15" s="21" t="s">
        <v>45</v>
      </c>
      <c r="BG15" s="41"/>
      <c r="BH15" s="41"/>
      <c r="BI15" s="41"/>
      <c r="BJ15" s="16"/>
      <c r="BK15" s="16"/>
      <c r="BL15" s="16"/>
      <c r="BM15" s="16"/>
      <c r="BN15" s="69">
        <f>(SUM(BN$134:BN$149)/16)/(SUM($J$134:$J$149)/16)*MITRE[[#This Row],[Trenes Corridos]]</f>
        <v>829.42234724860089</v>
      </c>
      <c r="BO15" s="16"/>
      <c r="BP15" s="16"/>
      <c r="BQ15" s="16"/>
      <c r="BR15" s="17"/>
      <c r="BS15" s="18">
        <v>1993</v>
      </c>
      <c r="BT15" s="21" t="s">
        <v>45</v>
      </c>
      <c r="BU15" s="41"/>
      <c r="BV15" s="41"/>
      <c r="BW15" s="41"/>
      <c r="BX15" s="16"/>
      <c r="BY15" s="16"/>
      <c r="BZ15" s="16"/>
      <c r="CA15" s="16"/>
      <c r="CB15" s="69">
        <f>(SUM(CB$134:CB$149)/16)/(SUM($J$134:$J$149)/16)*MITRE[[#This Row],[Trenes Corridos]]</f>
        <v>817.74657733269885</v>
      </c>
      <c r="CC15" s="16"/>
      <c r="CD15" s="16"/>
      <c r="CI15" s="40"/>
      <c r="CJ15" s="40"/>
      <c r="CK15" s="40"/>
      <c r="CL15" s="40"/>
      <c r="CM15" s="40"/>
    </row>
    <row r="16" spans="1:93" s="18" customFormat="1" ht="15" customHeight="1">
      <c r="A16" s="18">
        <v>1993</v>
      </c>
      <c r="B16" s="21" t="s">
        <v>46</v>
      </c>
      <c r="C16" s="15">
        <f>+MITRE[[#This Row],[Trenes Puntuales]]/MITRE[[#This Row],[Trenes Programados]]</f>
        <v>0.76962527352297594</v>
      </c>
      <c r="D16" s="15">
        <f>+MITRE[[#This Row],[Trenes Puntuales]]/MITRE[[#This Row],[Trenes Corridos]]</f>
        <v>0.86543637062668199</v>
      </c>
      <c r="E16" s="15">
        <f>+MITRE[[#This Row],[Trenes Corridos]]/MITRE[[#This Row],[Trenes Programados]]</f>
        <v>0.88929157549234139</v>
      </c>
      <c r="F16" s="16">
        <f>+Tabla4[[#This Row],[Trenes Programados por Día Hábil]]+Tabla5[[#This Row],[Trenes Programados por Día Hábil]]+Tabla6[[#This Row],[Trenes Programados por Día Hábil]]+MIT_Vic_Cap[[#This Row],[Trenes Programados por Día Hábil]]+Tabla8[[#This Row],[Trenes Programados por Día Hábil]]</f>
        <v>0</v>
      </c>
      <c r="G1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 s="16">
        <v>14624</v>
      </c>
      <c r="I16" s="16">
        <f t="shared" si="0"/>
        <v>1619</v>
      </c>
      <c r="J16" s="16">
        <v>13005</v>
      </c>
      <c r="K16" s="16">
        <v>11255</v>
      </c>
      <c r="L16" s="16">
        <f t="shared" si="1"/>
        <v>1750</v>
      </c>
      <c r="M16" s="16"/>
      <c r="N16" s="17"/>
      <c r="O16" s="18">
        <v>1993</v>
      </c>
      <c r="P16" s="21" t="s">
        <v>46</v>
      </c>
      <c r="Q16" s="41"/>
      <c r="R16" s="41"/>
      <c r="S16" s="41"/>
      <c r="T16" s="16"/>
      <c r="U16" s="16"/>
      <c r="V16" s="16"/>
      <c r="W16" s="16"/>
      <c r="X16" s="69">
        <f>(SUM(X$134:X$149)/16)/(SUM($J$134:$J$149)/16)*MITRE[[#This Row],[Trenes Corridos]]</f>
        <v>4849.388868066756</v>
      </c>
      <c r="Y16" s="16"/>
      <c r="Z16" s="16"/>
      <c r="AA16" s="16"/>
      <c r="AB16" s="17"/>
      <c r="AC16" s="18">
        <v>1993</v>
      </c>
      <c r="AD16" s="21" t="s">
        <v>46</v>
      </c>
      <c r="AE16" s="41"/>
      <c r="AF16" s="41"/>
      <c r="AG16" s="41"/>
      <c r="AH16" s="16"/>
      <c r="AI16" s="16"/>
      <c r="AJ16" s="16"/>
      <c r="AK16" s="16"/>
      <c r="AL16" s="69">
        <f>(SUM(AL$134:AL$149)/16)/(SUM($J$134:$J$149)/16)*MITRE[[#This Row],[Trenes Corridos]]</f>
        <v>3792.2783951891042</v>
      </c>
      <c r="AM16" s="16"/>
      <c r="AN16" s="16"/>
      <c r="AO16" s="16"/>
      <c r="AP16" s="17"/>
      <c r="AQ16" s="18">
        <v>1993</v>
      </c>
      <c r="AR16" s="21" t="s">
        <v>46</v>
      </c>
      <c r="AS16" s="41"/>
      <c r="AT16" s="41"/>
      <c r="AU16" s="41"/>
      <c r="AV16" s="16"/>
      <c r="AW16" s="16"/>
      <c r="AX16" s="16"/>
      <c r="AY16" s="16"/>
      <c r="AZ16" s="69">
        <f>(SUM(AZ$134:AZ$149)/16)/(SUM($J$134:$J$149)/16)*MITRE[[#This Row],[Trenes Corridos]]</f>
        <v>2733.0867805660719</v>
      </c>
      <c r="BA16" s="16"/>
      <c r="BB16" s="16"/>
      <c r="BC16" s="16"/>
      <c r="BD16" s="17"/>
      <c r="BE16" s="18">
        <v>1993</v>
      </c>
      <c r="BF16" s="21" t="s">
        <v>46</v>
      </c>
      <c r="BG16" s="41"/>
      <c r="BH16" s="41"/>
      <c r="BI16" s="41"/>
      <c r="BJ16" s="16"/>
      <c r="BK16" s="16"/>
      <c r="BL16" s="16"/>
      <c r="BM16" s="16"/>
      <c r="BN16" s="69">
        <f>(SUM(BN$134:BN$149)/16)/(SUM($J$134:$J$149)/16)*MITRE[[#This Row],[Trenes Corridos]]</f>
        <v>820.90088477686868</v>
      </c>
      <c r="BO16" s="16"/>
      <c r="BP16" s="16"/>
      <c r="BQ16" s="16"/>
      <c r="BR16" s="17"/>
      <c r="BS16" s="18">
        <v>1993</v>
      </c>
      <c r="BT16" s="21" t="s">
        <v>46</v>
      </c>
      <c r="BU16" s="41"/>
      <c r="BV16" s="41"/>
      <c r="BW16" s="41"/>
      <c r="BX16" s="16"/>
      <c r="BY16" s="16"/>
      <c r="BZ16" s="16"/>
      <c r="CA16" s="16"/>
      <c r="CB16" s="69">
        <f>(SUM(CB$134:CB$149)/16)/(SUM($J$134:$J$149)/16)*MITRE[[#This Row],[Trenes Corridos]]</f>
        <v>809.34507140119854</v>
      </c>
      <c r="CC16" s="16"/>
      <c r="CD16" s="16"/>
      <c r="CI16" s="40"/>
      <c r="CJ16" s="40"/>
      <c r="CK16" s="40"/>
      <c r="CL16" s="40"/>
      <c r="CM16" s="40"/>
    </row>
    <row r="17" spans="1:91" s="18" customFormat="1" ht="15" customHeight="1">
      <c r="A17" s="18">
        <v>1993</v>
      </c>
      <c r="B17" s="21" t="s">
        <v>47</v>
      </c>
      <c r="C17" s="15">
        <f>+MITRE[[#This Row],[Trenes Puntuales]]/MITRE[[#This Row],[Trenes Programados]]</f>
        <v>0.77666332330324306</v>
      </c>
      <c r="D17" s="15">
        <f>+MITRE[[#This Row],[Trenes Puntuales]]/MITRE[[#This Row],[Trenes Corridos]]</f>
        <v>0.89857651245551606</v>
      </c>
      <c r="E17" s="15">
        <f>+MITRE[[#This Row],[Trenes Corridos]]/MITRE[[#This Row],[Trenes Programados]]</f>
        <v>0.86432631227014378</v>
      </c>
      <c r="F17" s="16">
        <f>+Tabla4[[#This Row],[Trenes Programados por Día Hábil]]+Tabla5[[#This Row],[Trenes Programados por Día Hábil]]+Tabla6[[#This Row],[Trenes Programados por Día Hábil]]+MIT_Vic_Cap[[#This Row],[Trenes Programados por Día Hábil]]+Tabla8[[#This Row],[Trenes Programados por Día Hábil]]</f>
        <v>0</v>
      </c>
      <c r="G1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 s="16">
        <v>14955</v>
      </c>
      <c r="I17" s="16">
        <f t="shared" si="0"/>
        <v>2029</v>
      </c>
      <c r="J17" s="16">
        <v>12926</v>
      </c>
      <c r="K17" s="16">
        <v>11615</v>
      </c>
      <c r="L17" s="16">
        <f t="shared" si="1"/>
        <v>1311</v>
      </c>
      <c r="M17" s="16"/>
      <c r="N17" s="17"/>
      <c r="O17" s="18">
        <v>1993</v>
      </c>
      <c r="P17" s="21" t="s">
        <v>47</v>
      </c>
      <c r="Q17" s="41"/>
      <c r="R17" s="41"/>
      <c r="S17" s="41"/>
      <c r="T17" s="16"/>
      <c r="U17" s="16"/>
      <c r="V17" s="16"/>
      <c r="W17" s="16"/>
      <c r="X17" s="69">
        <f>(SUM(X$134:X$149)/16)/(SUM($J$134:$J$149)/16)*MITRE[[#This Row],[Trenes Corridos]]</f>
        <v>4819.9308349581615</v>
      </c>
      <c r="Y17" s="16"/>
      <c r="Z17" s="16"/>
      <c r="AA17" s="16"/>
      <c r="AB17" s="17"/>
      <c r="AC17" s="18">
        <v>1993</v>
      </c>
      <c r="AD17" s="21" t="s">
        <v>47</v>
      </c>
      <c r="AE17" s="41"/>
      <c r="AF17" s="41"/>
      <c r="AG17" s="41"/>
      <c r="AH17" s="16"/>
      <c r="AI17" s="16"/>
      <c r="AJ17" s="16"/>
      <c r="AK17" s="16"/>
      <c r="AL17" s="69">
        <f>(SUM(AL$134:AL$149)/16)/(SUM($J$134:$J$149)/16)*MITRE[[#This Row],[Trenes Corridos]]</f>
        <v>3769.2418712967601</v>
      </c>
      <c r="AM17" s="16"/>
      <c r="AN17" s="16"/>
      <c r="AO17" s="16"/>
      <c r="AP17" s="17"/>
      <c r="AQ17" s="18">
        <v>1993</v>
      </c>
      <c r="AR17" s="21" t="s">
        <v>47</v>
      </c>
      <c r="AS17" s="41"/>
      <c r="AT17" s="41"/>
      <c r="AU17" s="41"/>
      <c r="AV17" s="16"/>
      <c r="AW17" s="16"/>
      <c r="AX17" s="16"/>
      <c r="AY17" s="16"/>
      <c r="AZ17" s="69">
        <f>(SUM(AZ$134:AZ$149)/16)/(SUM($J$134:$J$149)/16)*MITRE[[#This Row],[Trenes Corridos]]</f>
        <v>2716.4844079659397</v>
      </c>
      <c r="BA17" s="16"/>
      <c r="BB17" s="16"/>
      <c r="BC17" s="16"/>
      <c r="BD17" s="17"/>
      <c r="BE17" s="18">
        <v>1993</v>
      </c>
      <c r="BF17" s="21" t="s">
        <v>47</v>
      </c>
      <c r="BG17" s="41"/>
      <c r="BH17" s="41"/>
      <c r="BI17" s="41"/>
      <c r="BJ17" s="16"/>
      <c r="BK17" s="16"/>
      <c r="BL17" s="16"/>
      <c r="BM17" s="16"/>
      <c r="BN17" s="69">
        <f>(SUM(BN$134:BN$149)/16)/(SUM($J$134:$J$149)/16)*MITRE[[#This Row],[Trenes Corridos]]</f>
        <v>815.91425118229938</v>
      </c>
      <c r="BO17" s="16"/>
      <c r="BP17" s="16"/>
      <c r="BQ17" s="16"/>
      <c r="BR17" s="17"/>
      <c r="BS17" s="18">
        <v>1993</v>
      </c>
      <c r="BT17" s="21" t="s">
        <v>47</v>
      </c>
      <c r="BU17" s="41"/>
      <c r="BV17" s="41"/>
      <c r="BW17" s="41"/>
      <c r="BX17" s="16"/>
      <c r="BY17" s="16"/>
      <c r="BZ17" s="16"/>
      <c r="CA17" s="16"/>
      <c r="CB17" s="69">
        <f>(SUM(CB$134:CB$149)/16)/(SUM($J$134:$J$149)/16)*MITRE[[#This Row],[Trenes Corridos]]</f>
        <v>804.42863459683906</v>
      </c>
      <c r="CC17" s="16"/>
      <c r="CD17" s="16"/>
      <c r="CI17" s="40"/>
      <c r="CJ17" s="40"/>
      <c r="CK17" s="40"/>
      <c r="CL17" s="40"/>
      <c r="CM17" s="40"/>
    </row>
    <row r="18" spans="1:91" s="18" customFormat="1" ht="15" customHeight="1">
      <c r="A18" s="18">
        <v>1994</v>
      </c>
      <c r="B18" s="21" t="s">
        <v>36</v>
      </c>
      <c r="C18" s="15">
        <f>+MITRE[[#This Row],[Trenes Puntuales]]/MITRE[[#This Row],[Trenes Programados]]</f>
        <v>0.79348565211478306</v>
      </c>
      <c r="D18" s="15">
        <f>+MITRE[[#This Row],[Trenes Puntuales]]/MITRE[[#This Row],[Trenes Corridos]]</f>
        <v>0.90583760285669923</v>
      </c>
      <c r="E18" s="15">
        <f>+MITRE[[#This Row],[Trenes Corridos]]/MITRE[[#This Row],[Trenes Programados]]</f>
        <v>0.87596899224806202</v>
      </c>
      <c r="F18" s="16">
        <f>+Tabla4[[#This Row],[Trenes Programados por Día Hábil]]+Tabla5[[#This Row],[Trenes Programados por Día Hábil]]+Tabla6[[#This Row],[Trenes Programados por Día Hábil]]+MIT_Vic_Cap[[#This Row],[Trenes Programados por Día Hábil]]+Tabla8[[#This Row],[Trenes Programados por Día Hábil]]</f>
        <v>0</v>
      </c>
      <c r="G1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 s="16">
        <v>14706</v>
      </c>
      <c r="I18" s="16">
        <f t="shared" ref="I18:I29" si="2">H18-J18</f>
        <v>1824</v>
      </c>
      <c r="J18" s="16">
        <v>12882</v>
      </c>
      <c r="K18" s="16">
        <v>11669</v>
      </c>
      <c r="L18" s="16">
        <f t="shared" ref="L18:L29" si="3">J18-K18</f>
        <v>1213</v>
      </c>
      <c r="M18" s="16"/>
      <c r="N18" s="17"/>
      <c r="O18" s="18">
        <v>1994</v>
      </c>
      <c r="P18" s="21" t="s">
        <v>36</v>
      </c>
      <c r="Q18" s="41"/>
      <c r="R18" s="41"/>
      <c r="S18" s="41"/>
      <c r="T18" s="16"/>
      <c r="U18" s="16"/>
      <c r="V18" s="16"/>
      <c r="W18" s="16"/>
      <c r="X18" s="69">
        <f>(SUM(X$134:X$149)/16)/(SUM($J$134:$J$149)/16)*MITRE[[#This Row],[Trenes Corridos]]</f>
        <v>4803.5238291761589</v>
      </c>
      <c r="Y18" s="16"/>
      <c r="Z18" s="16"/>
      <c r="AA18" s="16"/>
      <c r="AB18" s="17"/>
      <c r="AC18" s="18">
        <v>1994</v>
      </c>
      <c r="AD18" s="21" t="s">
        <v>36</v>
      </c>
      <c r="AE18" s="41"/>
      <c r="AF18" s="41"/>
      <c r="AG18" s="41"/>
      <c r="AH18" s="16"/>
      <c r="AI18" s="16"/>
      <c r="AJ18" s="16"/>
      <c r="AK18" s="16"/>
      <c r="AL18" s="69">
        <f>(SUM(AL$134:AL$149)/16)/(SUM($J$134:$J$149)/16)*MITRE[[#This Row],[Trenes Corridos]]</f>
        <v>3756.4114022934291</v>
      </c>
      <c r="AM18" s="16"/>
      <c r="AN18" s="16"/>
      <c r="AO18" s="16"/>
      <c r="AP18" s="17"/>
      <c r="AQ18" s="18">
        <v>1994</v>
      </c>
      <c r="AR18" s="21" t="s">
        <v>36</v>
      </c>
      <c r="AS18" s="41"/>
      <c r="AT18" s="41"/>
      <c r="AU18" s="41"/>
      <c r="AV18" s="16"/>
      <c r="AW18" s="16"/>
      <c r="AX18" s="16"/>
      <c r="AY18" s="16"/>
      <c r="AZ18" s="69">
        <f>(SUM(AZ$134:AZ$149)/16)/(SUM($J$134:$J$149)/16)*MITRE[[#This Row],[Trenes Corridos]]</f>
        <v>2707.2375168975113</v>
      </c>
      <c r="BA18" s="16"/>
      <c r="BB18" s="16"/>
      <c r="BC18" s="16"/>
      <c r="BD18" s="17"/>
      <c r="BE18" s="18">
        <v>1994</v>
      </c>
      <c r="BF18" s="21" t="s">
        <v>36</v>
      </c>
      <c r="BG18" s="41"/>
      <c r="BH18" s="41"/>
      <c r="BI18" s="41"/>
      <c r="BJ18" s="16"/>
      <c r="BK18" s="16"/>
      <c r="BL18" s="16"/>
      <c r="BM18" s="16"/>
      <c r="BN18" s="69">
        <f>(SUM(BN$134:BN$149)/16)/(SUM($J$134:$J$149)/16)*MITRE[[#This Row],[Trenes Corridos]]</f>
        <v>813.13688563595713</v>
      </c>
      <c r="BO18" s="16"/>
      <c r="BP18" s="16"/>
      <c r="BQ18" s="16"/>
      <c r="BR18" s="17"/>
      <c r="BS18" s="18">
        <v>1994</v>
      </c>
      <c r="BT18" s="21" t="s">
        <v>36</v>
      </c>
      <c r="BU18" s="41"/>
      <c r="BV18" s="41"/>
      <c r="BW18" s="41"/>
      <c r="BX18" s="16"/>
      <c r="BY18" s="16"/>
      <c r="BZ18" s="16"/>
      <c r="CA18" s="16"/>
      <c r="CB18" s="69">
        <f>(SUM(CB$134:CB$149)/16)/(SUM($J$134:$J$149)/16)*MITRE[[#This Row],[Trenes Corridos]]</f>
        <v>801.69036599694266</v>
      </c>
      <c r="CC18" s="16"/>
      <c r="CD18" s="16"/>
      <c r="CI18" s="40"/>
      <c r="CJ18" s="40"/>
      <c r="CK18" s="40"/>
      <c r="CL18" s="40"/>
      <c r="CM18" s="40"/>
    </row>
    <row r="19" spans="1:91" s="18" customFormat="1" ht="15" customHeight="1">
      <c r="A19" s="18">
        <v>1994</v>
      </c>
      <c r="B19" s="21" t="s">
        <v>37</v>
      </c>
      <c r="C19" s="15">
        <f>+MITRE[[#This Row],[Trenes Puntuales]]/MITRE[[#This Row],[Trenes Programados]]</f>
        <v>0.74080070650574037</v>
      </c>
      <c r="D19" s="15">
        <f>+MITRE[[#This Row],[Trenes Puntuales]]/MITRE[[#This Row],[Trenes Corridos]]</f>
        <v>0.87843616371411115</v>
      </c>
      <c r="E19" s="15">
        <f>+MITRE[[#This Row],[Trenes Corridos]]/MITRE[[#This Row],[Trenes Programados]]</f>
        <v>0.8433176332057698</v>
      </c>
      <c r="F19" s="16">
        <f>+Tabla4[[#This Row],[Trenes Programados por Día Hábil]]+Tabla5[[#This Row],[Trenes Programados por Día Hábil]]+Tabla6[[#This Row],[Trenes Programados por Día Hábil]]+MIT_Vic_Cap[[#This Row],[Trenes Programados por Día Hábil]]+Tabla8[[#This Row],[Trenes Programados por Día Hábil]]</f>
        <v>0</v>
      </c>
      <c r="G1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 s="16">
        <v>13588</v>
      </c>
      <c r="I19" s="16">
        <f t="shared" si="2"/>
        <v>2129</v>
      </c>
      <c r="J19" s="16">
        <v>11459</v>
      </c>
      <c r="K19" s="16">
        <v>10066</v>
      </c>
      <c r="L19" s="16">
        <f t="shared" si="3"/>
        <v>1393</v>
      </c>
      <c r="M19" s="16"/>
      <c r="N19" s="17"/>
      <c r="O19" s="18">
        <v>1994</v>
      </c>
      <c r="P19" s="21" t="s">
        <v>37</v>
      </c>
      <c r="Q19" s="41"/>
      <c r="R19" s="41"/>
      <c r="S19" s="41"/>
      <c r="T19" s="16"/>
      <c r="U19" s="16"/>
      <c r="V19" s="16"/>
      <c r="W19" s="16"/>
      <c r="X19" s="69">
        <f>(SUM(X$134:X$149)/16)/(SUM($J$134:$J$149)/16)*MITRE[[#This Row],[Trenes Corridos]]</f>
        <v>4272.9063467264095</v>
      </c>
      <c r="Y19" s="16"/>
      <c r="Z19" s="16"/>
      <c r="AA19" s="16"/>
      <c r="AB19" s="17"/>
      <c r="AC19" s="18">
        <v>1994</v>
      </c>
      <c r="AD19" s="21" t="s">
        <v>37</v>
      </c>
      <c r="AE19" s="41"/>
      <c r="AF19" s="41"/>
      <c r="AG19" s="41"/>
      <c r="AH19" s="16"/>
      <c r="AI19" s="16"/>
      <c r="AJ19" s="16"/>
      <c r="AK19" s="16"/>
      <c r="AL19" s="69">
        <f>(SUM(AL$134:AL$149)/16)/(SUM($J$134:$J$149)/16)*MITRE[[#This Row],[Trenes Corridos]]</f>
        <v>3341.4623706629718</v>
      </c>
      <c r="AM19" s="16"/>
      <c r="AN19" s="16"/>
      <c r="AO19" s="16"/>
      <c r="AP19" s="17"/>
      <c r="AQ19" s="18">
        <v>1994</v>
      </c>
      <c r="AR19" s="21" t="s">
        <v>37</v>
      </c>
      <c r="AS19" s="41"/>
      <c r="AT19" s="41"/>
      <c r="AU19" s="41"/>
      <c r="AV19" s="16"/>
      <c r="AW19" s="16"/>
      <c r="AX19" s="16"/>
      <c r="AY19" s="16"/>
      <c r="AZ19" s="69">
        <f>(SUM(AZ$134:AZ$149)/16)/(SUM($J$134:$J$149)/16)*MITRE[[#This Row],[Trenes Corridos]]</f>
        <v>2408.1846534799397</v>
      </c>
      <c r="BA19" s="16"/>
      <c r="BB19" s="16"/>
      <c r="BC19" s="16"/>
      <c r="BD19" s="17"/>
      <c r="BE19" s="18">
        <v>1994</v>
      </c>
      <c r="BF19" s="21" t="s">
        <v>37</v>
      </c>
      <c r="BG19" s="41"/>
      <c r="BH19" s="41"/>
      <c r="BI19" s="41"/>
      <c r="BJ19" s="16"/>
      <c r="BK19" s="16"/>
      <c r="BL19" s="16"/>
      <c r="BM19" s="16"/>
      <c r="BN19" s="69">
        <f>(SUM(BN$134:BN$149)/16)/(SUM($J$134:$J$149)/16)*MITRE[[#This Row],[Trenes Corridos]]</f>
        <v>723.3143589894762</v>
      </c>
      <c r="BO19" s="16"/>
      <c r="BP19" s="16"/>
      <c r="BQ19" s="16"/>
      <c r="BR19" s="17"/>
      <c r="BS19" s="18">
        <v>1994</v>
      </c>
      <c r="BT19" s="21" t="s">
        <v>37</v>
      </c>
      <c r="BU19" s="41"/>
      <c r="BV19" s="41"/>
      <c r="BW19" s="41"/>
      <c r="BX19" s="16"/>
      <c r="BY19" s="16"/>
      <c r="BZ19" s="16"/>
      <c r="CA19" s="16"/>
      <c r="CB19" s="69">
        <f>(SUM(CB$134:CB$149)/16)/(SUM($J$134:$J$149)/16)*MITRE[[#This Row],[Trenes Corridos]]</f>
        <v>713.13227014120218</v>
      </c>
      <c r="CC19" s="16"/>
      <c r="CD19" s="16"/>
      <c r="CI19" s="40"/>
      <c r="CJ19" s="40"/>
      <c r="CK19" s="40"/>
      <c r="CL19" s="40"/>
      <c r="CM19" s="40"/>
    </row>
    <row r="20" spans="1:91" s="18" customFormat="1" ht="15" customHeight="1">
      <c r="A20" s="18">
        <v>1994</v>
      </c>
      <c r="B20" s="21" t="s">
        <v>38</v>
      </c>
      <c r="C20" s="15">
        <f>+MITRE[[#This Row],[Trenes Puntuales]]/MITRE[[#This Row],[Trenes Programados]]</f>
        <v>0.7361092780783951</v>
      </c>
      <c r="D20" s="15">
        <f>+MITRE[[#This Row],[Trenes Puntuales]]/MITRE[[#This Row],[Trenes Corridos]]</f>
        <v>0.84828897338403042</v>
      </c>
      <c r="E20" s="15">
        <f>+MITRE[[#This Row],[Trenes Corridos]]/MITRE[[#This Row],[Trenes Programados]]</f>
        <v>0.8677576877392108</v>
      </c>
      <c r="F20" s="16">
        <f>+Tabla4[[#This Row],[Trenes Programados por Día Hábil]]+Tabla5[[#This Row],[Trenes Programados por Día Hábil]]+Tabla6[[#This Row],[Trenes Programados por Día Hábil]]+MIT_Vic_Cap[[#This Row],[Trenes Programados por Día Hábil]]+Tabla8[[#This Row],[Trenes Programados por Día Hábil]]</f>
        <v>0</v>
      </c>
      <c r="G2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 s="16">
        <v>15154</v>
      </c>
      <c r="I20" s="16">
        <f t="shared" si="2"/>
        <v>2004</v>
      </c>
      <c r="J20" s="16">
        <v>13150</v>
      </c>
      <c r="K20" s="16">
        <v>11155</v>
      </c>
      <c r="L20" s="16">
        <f t="shared" si="3"/>
        <v>1995</v>
      </c>
      <c r="M20" s="16"/>
      <c r="N20" s="17"/>
      <c r="O20" s="18">
        <v>1994</v>
      </c>
      <c r="P20" s="21" t="s">
        <v>38</v>
      </c>
      <c r="Q20" s="41"/>
      <c r="R20" s="41"/>
      <c r="S20" s="41"/>
      <c r="T20" s="16"/>
      <c r="U20" s="16"/>
      <c r="V20" s="16"/>
      <c r="W20" s="16"/>
      <c r="X20" s="69">
        <f>(SUM(X$134:X$149)/16)/(SUM($J$134:$J$149)/16)*MITRE[[#This Row],[Trenes Corridos]]</f>
        <v>4903.4574098483536</v>
      </c>
      <c r="Y20" s="16"/>
      <c r="Z20" s="16"/>
      <c r="AA20" s="16"/>
      <c r="AB20" s="17"/>
      <c r="AC20" s="18">
        <v>1994</v>
      </c>
      <c r="AD20" s="21" t="s">
        <v>38</v>
      </c>
      <c r="AE20" s="41"/>
      <c r="AF20" s="41"/>
      <c r="AG20" s="41"/>
      <c r="AH20" s="16"/>
      <c r="AI20" s="16"/>
      <c r="AJ20" s="16"/>
      <c r="AK20" s="16"/>
      <c r="AL20" s="69">
        <f>(SUM(AL$134:AL$149)/16)/(SUM($J$134:$J$149)/16)*MITRE[[#This Row],[Trenes Corridos]]</f>
        <v>3834.5606225864453</v>
      </c>
      <c r="AM20" s="16"/>
      <c r="AN20" s="16"/>
      <c r="AO20" s="16"/>
      <c r="AP20" s="17"/>
      <c r="AQ20" s="18">
        <v>1994</v>
      </c>
      <c r="AR20" s="21" t="s">
        <v>38</v>
      </c>
      <c r="AS20" s="41"/>
      <c r="AT20" s="41"/>
      <c r="AU20" s="41"/>
      <c r="AV20" s="16"/>
      <c r="AW20" s="16"/>
      <c r="AX20" s="16"/>
      <c r="AY20" s="16"/>
      <c r="AZ20" s="69">
        <f>(SUM(AZ$134:AZ$149)/16)/(SUM($J$134:$J$149)/16)*MITRE[[#This Row],[Trenes Corridos]]</f>
        <v>2763.5594897688461</v>
      </c>
      <c r="BA20" s="16"/>
      <c r="BB20" s="16"/>
      <c r="BC20" s="16"/>
      <c r="BD20" s="17"/>
      <c r="BE20" s="18">
        <v>1994</v>
      </c>
      <c r="BF20" s="21" t="s">
        <v>38</v>
      </c>
      <c r="BG20" s="41"/>
      <c r="BH20" s="41"/>
      <c r="BI20" s="41"/>
      <c r="BJ20" s="16"/>
      <c r="BK20" s="16"/>
      <c r="BL20" s="16"/>
      <c r="BM20" s="16"/>
      <c r="BN20" s="69">
        <f>(SUM(BN$134:BN$149)/16)/(SUM($J$134:$J$149)/16)*MITRE[[#This Row],[Trenes Corridos]]</f>
        <v>830.05356669095136</v>
      </c>
      <c r="BO20" s="16"/>
      <c r="BP20" s="16"/>
      <c r="BQ20" s="16"/>
      <c r="BR20" s="17"/>
      <c r="BS20" s="18">
        <v>1994</v>
      </c>
      <c r="BT20" s="21" t="s">
        <v>38</v>
      </c>
      <c r="BU20" s="41"/>
      <c r="BV20" s="41"/>
      <c r="BW20" s="41"/>
      <c r="BX20" s="16"/>
      <c r="BY20" s="16"/>
      <c r="BZ20" s="16"/>
      <c r="CA20" s="16"/>
      <c r="CB20" s="69">
        <f>(SUM(CB$134:CB$149)/16)/(SUM($J$134:$J$149)/16)*MITRE[[#This Row],[Trenes Corridos]]</f>
        <v>818.36891110540262</v>
      </c>
      <c r="CC20" s="16"/>
      <c r="CD20" s="16"/>
      <c r="CI20" s="40"/>
      <c r="CJ20" s="40"/>
      <c r="CK20" s="40"/>
      <c r="CL20" s="40"/>
      <c r="CM20" s="40"/>
    </row>
    <row r="21" spans="1:91" s="18" customFormat="1" ht="15" customHeight="1">
      <c r="A21" s="18">
        <v>1994</v>
      </c>
      <c r="B21" s="21" t="s">
        <v>39</v>
      </c>
      <c r="C21" s="15">
        <f>+MITRE[[#This Row],[Trenes Puntuales]]/MITRE[[#This Row],[Trenes Programados]]</f>
        <v>0.74793014680303349</v>
      </c>
      <c r="D21" s="15">
        <f>+MITRE[[#This Row],[Trenes Puntuales]]/MITRE[[#This Row],[Trenes Corridos]]</f>
        <v>0.83644568938686581</v>
      </c>
      <c r="E21" s="15">
        <f>+MITRE[[#This Row],[Trenes Corridos]]/MITRE[[#This Row],[Trenes Programados]]</f>
        <v>0.8941765810895429</v>
      </c>
      <c r="F21" s="16">
        <f>+Tabla4[[#This Row],[Trenes Programados por Día Hábil]]+Tabla5[[#This Row],[Trenes Programados por Día Hábil]]+Tabla6[[#This Row],[Trenes Programados por Día Hábil]]+MIT_Vic_Cap[[#This Row],[Trenes Programados por Día Hábil]]+Tabla8[[#This Row],[Trenes Programados por Día Hábil]]</f>
        <v>0</v>
      </c>
      <c r="G2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 s="16">
        <v>14373</v>
      </c>
      <c r="I21" s="16">
        <f t="shared" si="2"/>
        <v>1521</v>
      </c>
      <c r="J21" s="16">
        <v>12852</v>
      </c>
      <c r="K21" s="16">
        <v>10750</v>
      </c>
      <c r="L21" s="16">
        <f t="shared" si="3"/>
        <v>2102</v>
      </c>
      <c r="M21" s="16"/>
      <c r="N21" s="17"/>
      <c r="O21" s="18">
        <v>1994</v>
      </c>
      <c r="P21" s="21" t="s">
        <v>39</v>
      </c>
      <c r="Q21" s="41"/>
      <c r="R21" s="41"/>
      <c r="S21" s="41"/>
      <c r="T21" s="16"/>
      <c r="U21" s="16"/>
      <c r="V21" s="16"/>
      <c r="W21" s="16"/>
      <c r="X21" s="69">
        <f>(SUM(X$134:X$149)/16)/(SUM($J$134:$J$149)/16)*MITRE[[#This Row],[Trenes Corridos]]</f>
        <v>4792.3372343247938</v>
      </c>
      <c r="Y21" s="16"/>
      <c r="Z21" s="16"/>
      <c r="AA21" s="16"/>
      <c r="AB21" s="17"/>
      <c r="AC21" s="18">
        <v>1994</v>
      </c>
      <c r="AD21" s="21" t="s">
        <v>39</v>
      </c>
      <c r="AE21" s="41"/>
      <c r="AF21" s="41"/>
      <c r="AG21" s="41"/>
      <c r="AH21" s="16"/>
      <c r="AI21" s="16"/>
      <c r="AJ21" s="16"/>
      <c r="AK21" s="16"/>
      <c r="AL21" s="69">
        <f>(SUM(AL$134:AL$149)/16)/(SUM($J$134:$J$149)/16)*MITRE[[#This Row],[Trenes Corridos]]</f>
        <v>3747.6633552457033</v>
      </c>
      <c r="AM21" s="16"/>
      <c r="AN21" s="16"/>
      <c r="AO21" s="16"/>
      <c r="AP21" s="17"/>
      <c r="AQ21" s="18">
        <v>1994</v>
      </c>
      <c r="AR21" s="21" t="s">
        <v>39</v>
      </c>
      <c r="AS21" s="41"/>
      <c r="AT21" s="41"/>
      <c r="AU21" s="41"/>
      <c r="AV21" s="16"/>
      <c r="AW21" s="16"/>
      <c r="AX21" s="16"/>
      <c r="AY21" s="16"/>
      <c r="AZ21" s="69">
        <f>(SUM(AZ$134:AZ$149)/16)/(SUM($J$134:$J$149)/16)*MITRE[[#This Row],[Trenes Corridos]]</f>
        <v>2700.932818441765</v>
      </c>
      <c r="BA21" s="16"/>
      <c r="BB21" s="16"/>
      <c r="BC21" s="16"/>
      <c r="BD21" s="17"/>
      <c r="BE21" s="18">
        <v>1994</v>
      </c>
      <c r="BF21" s="21" t="s">
        <v>39</v>
      </c>
      <c r="BG21" s="41"/>
      <c r="BH21" s="41"/>
      <c r="BI21" s="41"/>
      <c r="BJ21" s="16"/>
      <c r="BK21" s="16"/>
      <c r="BL21" s="16"/>
      <c r="BM21" s="16"/>
      <c r="BN21" s="69">
        <f>(SUM(BN$134:BN$149)/16)/(SUM($J$134:$J$149)/16)*MITRE[[#This Row],[Trenes Corridos]]</f>
        <v>811.24322730890549</v>
      </c>
      <c r="BO21" s="16"/>
      <c r="BP21" s="16"/>
      <c r="BQ21" s="16"/>
      <c r="BR21" s="17"/>
      <c r="BS21" s="18">
        <v>1994</v>
      </c>
      <c r="BT21" s="21" t="s">
        <v>39</v>
      </c>
      <c r="BU21" s="41"/>
      <c r="BV21" s="41"/>
      <c r="BW21" s="41"/>
      <c r="BX21" s="16"/>
      <c r="BY21" s="16"/>
      <c r="BZ21" s="16"/>
      <c r="CA21" s="16"/>
      <c r="CB21" s="69">
        <f>(SUM(CB$134:CB$149)/16)/(SUM($J$134:$J$149)/16)*MITRE[[#This Row],[Trenes Corridos]]</f>
        <v>799.82336467883147</v>
      </c>
      <c r="CC21" s="16"/>
      <c r="CD21" s="16"/>
      <c r="CI21" s="40"/>
      <c r="CJ21" s="40"/>
      <c r="CK21" s="40"/>
      <c r="CL21" s="40"/>
      <c r="CM21" s="40"/>
    </row>
    <row r="22" spans="1:91" s="18" customFormat="1" ht="15" customHeight="1">
      <c r="A22" s="18">
        <v>1994</v>
      </c>
      <c r="B22" s="21" t="s">
        <v>40</v>
      </c>
      <c r="C22" s="15">
        <f>+MITRE[[#This Row],[Trenes Puntuales]]/MITRE[[#This Row],[Trenes Programados]]</f>
        <v>0.79613763089895284</v>
      </c>
      <c r="D22" s="15">
        <f>+MITRE[[#This Row],[Trenes Puntuales]]/MITRE[[#This Row],[Trenes Corridos]]</f>
        <v>0.87588838183586448</v>
      </c>
      <c r="E22" s="15">
        <f>+MITRE[[#This Row],[Trenes Corridos]]/MITRE[[#This Row],[Trenes Programados]]</f>
        <v>0.90894872841017271</v>
      </c>
      <c r="F22" s="16">
        <f>+Tabla4[[#This Row],[Trenes Programados por Día Hábil]]+Tabla5[[#This Row],[Trenes Programados por Día Hábil]]+Tabla6[[#This Row],[Trenes Programados por Día Hábil]]+MIT_Vic_Cap[[#This Row],[Trenes Programados por Día Hábil]]+Tabla8[[#This Row],[Trenes Programados por Día Hábil]]</f>
        <v>0</v>
      </c>
      <c r="G2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 s="16">
        <v>14706</v>
      </c>
      <c r="I22" s="16">
        <f t="shared" si="2"/>
        <v>1339</v>
      </c>
      <c r="J22" s="16">
        <v>13367</v>
      </c>
      <c r="K22" s="16">
        <v>11708</v>
      </c>
      <c r="L22" s="16">
        <f t="shared" si="3"/>
        <v>1659</v>
      </c>
      <c r="M22" s="16"/>
      <c r="N22" s="17"/>
      <c r="O22" s="18">
        <v>1994</v>
      </c>
      <c r="P22" s="21" t="s">
        <v>40</v>
      </c>
      <c r="Q22" s="41"/>
      <c r="R22" s="41"/>
      <c r="S22" s="41"/>
      <c r="T22" s="16"/>
      <c r="U22" s="16"/>
      <c r="V22" s="16"/>
      <c r="W22" s="16"/>
      <c r="X22" s="69">
        <f>(SUM(X$134:X$149)/16)/(SUM($J$134:$J$149)/16)*MITRE[[#This Row],[Trenes Corridos]]</f>
        <v>4984.3737792732281</v>
      </c>
      <c r="Y22" s="16"/>
      <c r="Z22" s="16"/>
      <c r="AA22" s="16"/>
      <c r="AB22" s="17"/>
      <c r="AC22" s="18">
        <v>1994</v>
      </c>
      <c r="AD22" s="21" t="s">
        <v>40</v>
      </c>
      <c r="AE22" s="41"/>
      <c r="AF22" s="41"/>
      <c r="AG22" s="41"/>
      <c r="AH22" s="16"/>
      <c r="AI22" s="16"/>
      <c r="AJ22" s="16"/>
      <c r="AK22" s="16"/>
      <c r="AL22" s="69">
        <f>(SUM(AL$134:AL$149)/16)/(SUM($J$134:$J$149)/16)*MITRE[[#This Row],[Trenes Corridos]]</f>
        <v>3897.8381628983284</v>
      </c>
      <c r="AM22" s="16"/>
      <c r="AN22" s="16"/>
      <c r="AO22" s="16"/>
      <c r="AP22" s="17"/>
      <c r="AQ22" s="18">
        <v>1994</v>
      </c>
      <c r="AR22" s="21" t="s">
        <v>40</v>
      </c>
      <c r="AS22" s="41"/>
      <c r="AT22" s="41"/>
      <c r="AU22" s="41"/>
      <c r="AV22" s="16"/>
      <c r="AW22" s="16"/>
      <c r="AX22" s="16"/>
      <c r="AY22" s="16"/>
      <c r="AZ22" s="69">
        <f>(SUM(AZ$134:AZ$149)/16)/(SUM($J$134:$J$149)/16)*MITRE[[#This Row],[Trenes Corridos]]</f>
        <v>2809.1634752654118</v>
      </c>
      <c r="BA22" s="16"/>
      <c r="BB22" s="16"/>
      <c r="BC22" s="16"/>
      <c r="BD22" s="17"/>
      <c r="BE22" s="18">
        <v>1994</v>
      </c>
      <c r="BF22" s="21" t="s">
        <v>40</v>
      </c>
      <c r="BG22" s="41"/>
      <c r="BH22" s="41"/>
      <c r="BI22" s="41"/>
      <c r="BJ22" s="16"/>
      <c r="BK22" s="16"/>
      <c r="BL22" s="16"/>
      <c r="BM22" s="16"/>
      <c r="BN22" s="69">
        <f>(SUM(BN$134:BN$149)/16)/(SUM($J$134:$J$149)/16)*MITRE[[#This Row],[Trenes Corridos]]</f>
        <v>843.75102858995797</v>
      </c>
      <c r="BO22" s="16"/>
      <c r="BP22" s="16"/>
      <c r="BQ22" s="16"/>
      <c r="BR22" s="17"/>
      <c r="BS22" s="18">
        <v>1994</v>
      </c>
      <c r="BT22" s="21" t="s">
        <v>40</v>
      </c>
      <c r="BU22" s="41"/>
      <c r="BV22" s="41"/>
      <c r="BW22" s="41"/>
      <c r="BX22" s="16"/>
      <c r="BY22" s="16"/>
      <c r="BZ22" s="16"/>
      <c r="CA22" s="16"/>
      <c r="CB22" s="69">
        <f>(SUM(CB$134:CB$149)/16)/(SUM($J$134:$J$149)/16)*MITRE[[#This Row],[Trenes Corridos]]</f>
        <v>831.87355397307351</v>
      </c>
      <c r="CC22" s="16"/>
      <c r="CD22" s="16"/>
      <c r="CI22" s="40"/>
      <c r="CJ22" s="40"/>
      <c r="CK22" s="40"/>
      <c r="CL22" s="40"/>
      <c r="CM22" s="40"/>
    </row>
    <row r="23" spans="1:91" s="18" customFormat="1" ht="15" customHeight="1">
      <c r="A23" s="18">
        <v>1994</v>
      </c>
      <c r="B23" s="21" t="s">
        <v>41</v>
      </c>
      <c r="C23" s="15">
        <f>+MITRE[[#This Row],[Trenes Puntuales]]/MITRE[[#This Row],[Trenes Programados]]</f>
        <v>0.71153295128939831</v>
      </c>
      <c r="D23" s="15">
        <f>+MITRE[[#This Row],[Trenes Puntuales]]/MITRE[[#This Row],[Trenes Corridos]]</f>
        <v>0.8458656220727242</v>
      </c>
      <c r="E23" s="15">
        <f>+MITRE[[#This Row],[Trenes Corridos]]/MITRE[[#This Row],[Trenes Programados]]</f>
        <v>0.84118911174785105</v>
      </c>
      <c r="F23" s="16">
        <f>+Tabla4[[#This Row],[Trenes Programados por Día Hábil]]+Tabla5[[#This Row],[Trenes Programados por Día Hábil]]+Tabla6[[#This Row],[Trenes Programados por Día Hábil]]+MIT_Vic_Cap[[#This Row],[Trenes Programados por Día Hábil]]+Tabla8[[#This Row],[Trenes Programados por Día Hábil]]</f>
        <v>0</v>
      </c>
      <c r="G2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 s="16">
        <v>13960</v>
      </c>
      <c r="I23" s="16">
        <f t="shared" si="2"/>
        <v>2217</v>
      </c>
      <c r="J23" s="16">
        <v>11743</v>
      </c>
      <c r="K23" s="16">
        <v>9933</v>
      </c>
      <c r="L23" s="16">
        <f t="shared" si="3"/>
        <v>1810</v>
      </c>
      <c r="M23" s="16"/>
      <c r="N23" s="17"/>
      <c r="O23" s="18">
        <v>1994</v>
      </c>
      <c r="P23" s="21" t="s">
        <v>41</v>
      </c>
      <c r="Q23" s="41"/>
      <c r="R23" s="41"/>
      <c r="S23" s="41"/>
      <c r="T23" s="16"/>
      <c r="U23" s="16"/>
      <c r="V23" s="16"/>
      <c r="W23" s="16"/>
      <c r="X23" s="69">
        <f>(SUM(X$134:X$149)/16)/(SUM($J$134:$J$149)/16)*MITRE[[#This Row],[Trenes Corridos]]</f>
        <v>4378.8061113193326</v>
      </c>
      <c r="Y23" s="16"/>
      <c r="Z23" s="16"/>
      <c r="AA23" s="16"/>
      <c r="AB23" s="17"/>
      <c r="AC23" s="18">
        <v>1994</v>
      </c>
      <c r="AD23" s="21" t="s">
        <v>41</v>
      </c>
      <c r="AE23" s="41"/>
      <c r="AF23" s="41"/>
      <c r="AG23" s="41"/>
      <c r="AH23" s="16"/>
      <c r="AI23" s="16"/>
      <c r="AJ23" s="16"/>
      <c r="AK23" s="16"/>
      <c r="AL23" s="69">
        <f>(SUM(AL$134:AL$149)/16)/(SUM($J$134:$J$149)/16)*MITRE[[#This Row],[Trenes Corridos]]</f>
        <v>3424.2772160481086</v>
      </c>
      <c r="AM23" s="16"/>
      <c r="AN23" s="16"/>
      <c r="AO23" s="16"/>
      <c r="AP23" s="17"/>
      <c r="AQ23" s="18">
        <v>1994</v>
      </c>
      <c r="AR23" s="21" t="s">
        <v>41</v>
      </c>
      <c r="AS23" s="41"/>
      <c r="AT23" s="41"/>
      <c r="AU23" s="41"/>
      <c r="AV23" s="16"/>
      <c r="AW23" s="16"/>
      <c r="AX23" s="16"/>
      <c r="AY23" s="16"/>
      <c r="AZ23" s="69">
        <f>(SUM(AZ$134:AZ$149)/16)/(SUM($J$134:$J$149)/16)*MITRE[[#This Row],[Trenes Corridos]]</f>
        <v>2467.8691321943393</v>
      </c>
      <c r="BA23" s="16"/>
      <c r="BB23" s="16"/>
      <c r="BC23" s="16"/>
      <c r="BD23" s="17"/>
      <c r="BE23" s="18">
        <v>1994</v>
      </c>
      <c r="BF23" s="21" t="s">
        <v>41</v>
      </c>
      <c r="BG23" s="41"/>
      <c r="BH23" s="41"/>
      <c r="BI23" s="41"/>
      <c r="BJ23" s="16"/>
      <c r="BK23" s="16"/>
      <c r="BL23" s="16"/>
      <c r="BM23" s="16"/>
      <c r="BN23" s="69">
        <f>(SUM(BN$134:BN$149)/16)/(SUM($J$134:$J$149)/16)*MITRE[[#This Row],[Trenes Corridos]]</f>
        <v>741.24099115223135</v>
      </c>
      <c r="BO23" s="16"/>
      <c r="BP23" s="16"/>
      <c r="BQ23" s="16"/>
      <c r="BR23" s="17"/>
      <c r="BS23" s="18">
        <v>1994</v>
      </c>
      <c r="BT23" s="21" t="s">
        <v>41</v>
      </c>
      <c r="BU23" s="41"/>
      <c r="BV23" s="41"/>
      <c r="BW23" s="41"/>
      <c r="BX23" s="16"/>
      <c r="BY23" s="16"/>
      <c r="BZ23" s="16"/>
      <c r="CA23" s="16"/>
      <c r="CB23" s="69">
        <f>(SUM(CB$134:CB$149)/16)/(SUM($J$134:$J$149)/16)*MITRE[[#This Row],[Trenes Corridos]]</f>
        <v>730.80654928598801</v>
      </c>
      <c r="CC23" s="16"/>
      <c r="CD23" s="16"/>
      <c r="CI23" s="40"/>
      <c r="CJ23" s="40"/>
      <c r="CK23" s="40"/>
      <c r="CL23" s="40"/>
      <c r="CM23" s="40"/>
    </row>
    <row r="24" spans="1:91" s="18" customFormat="1" ht="15" customHeight="1">
      <c r="A24" s="18">
        <v>1994</v>
      </c>
      <c r="B24" s="21" t="s">
        <v>42</v>
      </c>
      <c r="C24" s="15">
        <f>+MITRE[[#This Row],[Trenes Puntuales]]/MITRE[[#This Row],[Trenes Programados]]</f>
        <v>0.80032037888285279</v>
      </c>
      <c r="D24" s="15">
        <f>+MITRE[[#This Row],[Trenes Puntuales]]/MITRE[[#This Row],[Trenes Corridos]]</f>
        <v>0.90967384420519315</v>
      </c>
      <c r="E24" s="15">
        <f>+MITRE[[#This Row],[Trenes Corridos]]/MITRE[[#This Row],[Trenes Programados]]</f>
        <v>0.87978827134698423</v>
      </c>
      <c r="F24" s="16">
        <f>+Tabla4[[#This Row],[Trenes Programados por Día Hábil]]+Tabla5[[#This Row],[Trenes Programados por Día Hábil]]+Tabla6[[#This Row],[Trenes Programados por Día Hábil]]+MIT_Vic_Cap[[#This Row],[Trenes Programados por Día Hábil]]+Tabla8[[#This Row],[Trenes Programados por Día Hábil]]</f>
        <v>0</v>
      </c>
      <c r="G2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 s="16">
        <v>14358</v>
      </c>
      <c r="I24" s="16">
        <f t="shared" si="2"/>
        <v>1726</v>
      </c>
      <c r="J24" s="16">
        <v>12632</v>
      </c>
      <c r="K24" s="16">
        <v>11491</v>
      </c>
      <c r="L24" s="16">
        <f t="shared" si="3"/>
        <v>1141</v>
      </c>
      <c r="M24" s="16"/>
      <c r="N24" s="17"/>
      <c r="O24" s="18">
        <v>1994</v>
      </c>
      <c r="P24" s="21" t="s">
        <v>42</v>
      </c>
      <c r="Q24" s="41"/>
      <c r="R24" s="41"/>
      <c r="S24" s="41"/>
      <c r="T24" s="16"/>
      <c r="U24" s="16"/>
      <c r="V24" s="16"/>
      <c r="W24" s="16"/>
      <c r="X24" s="69">
        <f>(SUM(X$134:X$149)/16)/(SUM($J$134:$J$149)/16)*MITRE[[#This Row],[Trenes Corridos]]</f>
        <v>4710.3022054147841</v>
      </c>
      <c r="Y24" s="16"/>
      <c r="Z24" s="16"/>
      <c r="AA24" s="16"/>
      <c r="AB24" s="17"/>
      <c r="AC24" s="18">
        <v>1994</v>
      </c>
      <c r="AD24" s="21" t="s">
        <v>42</v>
      </c>
      <c r="AE24" s="41"/>
      <c r="AF24" s="41"/>
      <c r="AG24" s="41"/>
      <c r="AH24" s="16"/>
      <c r="AI24" s="16"/>
      <c r="AJ24" s="16"/>
      <c r="AK24" s="16"/>
      <c r="AL24" s="69">
        <f>(SUM(AL$134:AL$149)/16)/(SUM($J$134:$J$149)/16)*MITRE[[#This Row],[Trenes Corridos]]</f>
        <v>3683.5110102290478</v>
      </c>
      <c r="AM24" s="16"/>
      <c r="AN24" s="16"/>
      <c r="AO24" s="16"/>
      <c r="AP24" s="17"/>
      <c r="AQ24" s="18">
        <v>1994</v>
      </c>
      <c r="AR24" s="21" t="s">
        <v>42</v>
      </c>
      <c r="AS24" s="41"/>
      <c r="AT24" s="41"/>
      <c r="AU24" s="41"/>
      <c r="AV24" s="16"/>
      <c r="AW24" s="16"/>
      <c r="AX24" s="16"/>
      <c r="AY24" s="16"/>
      <c r="AZ24" s="69">
        <f>(SUM(AZ$134:AZ$149)/16)/(SUM($J$134:$J$149)/16)*MITRE[[#This Row],[Trenes Corridos]]</f>
        <v>2654.6983630996247</v>
      </c>
      <c r="BA24" s="16"/>
      <c r="BB24" s="16"/>
      <c r="BC24" s="16"/>
      <c r="BD24" s="17"/>
      <c r="BE24" s="18">
        <v>1994</v>
      </c>
      <c r="BF24" s="21" t="s">
        <v>42</v>
      </c>
      <c r="BG24" s="41"/>
      <c r="BH24" s="41"/>
      <c r="BI24" s="41"/>
      <c r="BJ24" s="16"/>
      <c r="BK24" s="16"/>
      <c r="BL24" s="16"/>
      <c r="BM24" s="16"/>
      <c r="BN24" s="69">
        <f>(SUM(BN$134:BN$149)/16)/(SUM($J$134:$J$149)/16)*MITRE[[#This Row],[Trenes Corridos]]</f>
        <v>797.35639957719377</v>
      </c>
      <c r="BO24" s="16"/>
      <c r="BP24" s="16"/>
      <c r="BQ24" s="16"/>
      <c r="BR24" s="17"/>
      <c r="BS24" s="18">
        <v>1994</v>
      </c>
      <c r="BT24" s="21" t="s">
        <v>42</v>
      </c>
      <c r="BU24" s="41"/>
      <c r="BV24" s="41"/>
      <c r="BW24" s="41"/>
      <c r="BX24" s="16"/>
      <c r="BY24" s="16"/>
      <c r="BZ24" s="16"/>
      <c r="CA24" s="16"/>
      <c r="CB24" s="69">
        <f>(SUM(CB$134:CB$149)/16)/(SUM($J$134:$J$149)/16)*MITRE[[#This Row],[Trenes Corridos]]</f>
        <v>786.13202167934946</v>
      </c>
      <c r="CC24" s="16"/>
      <c r="CD24" s="16"/>
      <c r="CI24" s="40"/>
      <c r="CJ24" s="40"/>
      <c r="CK24" s="40"/>
      <c r="CL24" s="40"/>
      <c r="CM24" s="40"/>
    </row>
    <row r="25" spans="1:91" s="18" customFormat="1" ht="15" customHeight="1">
      <c r="A25" s="18">
        <v>1994</v>
      </c>
      <c r="B25" s="21" t="s">
        <v>43</v>
      </c>
      <c r="C25" s="15">
        <f>+MITRE[[#This Row],[Trenes Puntuales]]/MITRE[[#This Row],[Trenes Programados]]</f>
        <v>0.85069161920260372</v>
      </c>
      <c r="D25" s="15">
        <f>+MITRE[[#This Row],[Trenes Puntuales]]/MITRE[[#This Row],[Trenes Corridos]]</f>
        <v>0.90998766954377308</v>
      </c>
      <c r="E25" s="15">
        <f>+MITRE[[#This Row],[Trenes Corridos]]/MITRE[[#This Row],[Trenes Programados]]</f>
        <v>0.93483862218605918</v>
      </c>
      <c r="F25" s="16">
        <f>+Tabla4[[#This Row],[Trenes Programados por Día Hábil]]+Tabla5[[#This Row],[Trenes Programados por Día Hábil]]+Tabla6[[#This Row],[Trenes Programados por Día Hábil]]+MIT_Vic_Cap[[#This Row],[Trenes Programados por Día Hábil]]+Tabla8[[#This Row],[Trenes Programados por Día Hábil]]</f>
        <v>0</v>
      </c>
      <c r="G2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 s="16">
        <v>14748</v>
      </c>
      <c r="I25" s="16">
        <f t="shared" si="2"/>
        <v>961</v>
      </c>
      <c r="J25" s="16">
        <v>13787</v>
      </c>
      <c r="K25" s="16">
        <v>12546</v>
      </c>
      <c r="L25" s="16">
        <f t="shared" si="3"/>
        <v>1241</v>
      </c>
      <c r="M25" s="16"/>
      <c r="N25" s="17"/>
      <c r="O25" s="18">
        <v>1994</v>
      </c>
      <c r="P25" s="21" t="s">
        <v>43</v>
      </c>
      <c r="Q25" s="41"/>
      <c r="R25" s="41"/>
      <c r="S25" s="41"/>
      <c r="T25" s="16"/>
      <c r="U25" s="16"/>
      <c r="V25" s="16"/>
      <c r="W25" s="16"/>
      <c r="X25" s="69">
        <f>(SUM(X$134:X$149)/16)/(SUM($J$134:$J$149)/16)*MITRE[[#This Row],[Trenes Corridos]]</f>
        <v>5140.9861071923387</v>
      </c>
      <c r="Y25" s="16"/>
      <c r="Z25" s="16"/>
      <c r="AA25" s="16"/>
      <c r="AB25" s="17"/>
      <c r="AC25" s="18">
        <v>1994</v>
      </c>
      <c r="AD25" s="21" t="s">
        <v>43</v>
      </c>
      <c r="AE25" s="41"/>
      <c r="AF25" s="41"/>
      <c r="AG25" s="41"/>
      <c r="AH25" s="16"/>
      <c r="AI25" s="16"/>
      <c r="AJ25" s="16"/>
      <c r="AK25" s="16"/>
      <c r="AL25" s="69">
        <f>(SUM(AL$134:AL$149)/16)/(SUM($J$134:$J$149)/16)*MITRE[[#This Row],[Trenes Corridos]]</f>
        <v>4020.3108215664884</v>
      </c>
      <c r="AM25" s="16"/>
      <c r="AN25" s="16"/>
      <c r="AO25" s="16"/>
      <c r="AP25" s="17"/>
      <c r="AQ25" s="18">
        <v>1994</v>
      </c>
      <c r="AR25" s="21" t="s">
        <v>43</v>
      </c>
      <c r="AS25" s="41"/>
      <c r="AT25" s="41"/>
      <c r="AU25" s="41"/>
      <c r="AV25" s="16"/>
      <c r="AW25" s="16"/>
      <c r="AX25" s="16"/>
      <c r="AY25" s="16"/>
      <c r="AZ25" s="69">
        <f>(SUM(AZ$134:AZ$149)/16)/(SUM($J$134:$J$149)/16)*MITRE[[#This Row],[Trenes Corridos]]</f>
        <v>2897.429253645862</v>
      </c>
      <c r="BA25" s="16"/>
      <c r="BB25" s="16"/>
      <c r="BC25" s="16"/>
      <c r="BD25" s="17"/>
      <c r="BE25" s="18">
        <v>1994</v>
      </c>
      <c r="BF25" s="21" t="s">
        <v>43</v>
      </c>
      <c r="BG25" s="41"/>
      <c r="BH25" s="41"/>
      <c r="BI25" s="41"/>
      <c r="BJ25" s="16"/>
      <c r="BK25" s="16"/>
      <c r="BL25" s="16"/>
      <c r="BM25" s="16"/>
      <c r="BN25" s="69">
        <f>(SUM(BN$134:BN$149)/16)/(SUM($J$134:$J$149)/16)*MITRE[[#This Row],[Trenes Corridos]]</f>
        <v>870.26224516868035</v>
      </c>
      <c r="BO25" s="16"/>
      <c r="BP25" s="16"/>
      <c r="BQ25" s="16"/>
      <c r="BR25" s="17"/>
      <c r="BS25" s="18">
        <v>1994</v>
      </c>
      <c r="BT25" s="21" t="s">
        <v>43</v>
      </c>
      <c r="BU25" s="41"/>
      <c r="BV25" s="41"/>
      <c r="BW25" s="41"/>
      <c r="BX25" s="16"/>
      <c r="BY25" s="16"/>
      <c r="BZ25" s="16"/>
      <c r="CA25" s="16"/>
      <c r="CB25" s="69">
        <f>(SUM(CB$134:CB$149)/16)/(SUM($J$134:$J$149)/16)*MITRE[[#This Row],[Trenes Corridos]]</f>
        <v>858.0115724266301</v>
      </c>
      <c r="CC25" s="16"/>
      <c r="CD25" s="16"/>
      <c r="CI25" s="40"/>
      <c r="CJ25" s="40"/>
      <c r="CK25" s="40"/>
      <c r="CL25" s="40"/>
      <c r="CM25" s="40"/>
    </row>
    <row r="26" spans="1:91" s="18" customFormat="1" ht="15" customHeight="1">
      <c r="A26" s="18">
        <v>1994</v>
      </c>
      <c r="B26" s="21" t="s">
        <v>44</v>
      </c>
      <c r="C26" s="15">
        <f>+MITRE[[#This Row],[Trenes Puntuales]]/MITRE[[#This Row],[Trenes Programados]]</f>
        <v>0.86206896551724133</v>
      </c>
      <c r="D26" s="15">
        <f>+MITRE[[#This Row],[Trenes Puntuales]]/MITRE[[#This Row],[Trenes Corridos]]</f>
        <v>0.9276506966693987</v>
      </c>
      <c r="E26" s="15">
        <f>+MITRE[[#This Row],[Trenes Corridos]]/MITRE[[#This Row],[Trenes Programados]]</f>
        <v>0.92930342057886717</v>
      </c>
      <c r="F26" s="16">
        <f>+Tabla4[[#This Row],[Trenes Programados por Día Hábil]]+Tabla5[[#This Row],[Trenes Programados por Día Hábil]]+Tabla6[[#This Row],[Trenes Programados por Día Hábil]]+MIT_Vic_Cap[[#This Row],[Trenes Programados por Día Hábil]]+Tabla8[[#This Row],[Trenes Programados por Día Hábil]]</f>
        <v>0</v>
      </c>
      <c r="G2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 s="16">
        <v>14442</v>
      </c>
      <c r="I26" s="16">
        <f t="shared" si="2"/>
        <v>1021</v>
      </c>
      <c r="J26" s="16">
        <v>13421</v>
      </c>
      <c r="K26" s="16">
        <v>12450</v>
      </c>
      <c r="L26" s="16">
        <f t="shared" si="3"/>
        <v>971</v>
      </c>
      <c r="M26" s="16"/>
      <c r="N26" s="17"/>
      <c r="O26" s="18">
        <v>1994</v>
      </c>
      <c r="P26" s="21" t="s">
        <v>44</v>
      </c>
      <c r="Q26" s="41"/>
      <c r="R26" s="41"/>
      <c r="S26" s="41"/>
      <c r="T26" s="16"/>
      <c r="U26" s="16"/>
      <c r="V26" s="16"/>
      <c r="W26" s="16"/>
      <c r="X26" s="69">
        <f>(SUM(X$134:X$149)/16)/(SUM($J$134:$J$149)/16)*MITRE[[#This Row],[Trenes Corridos]]</f>
        <v>5004.5096500056852</v>
      </c>
      <c r="Y26" s="16"/>
      <c r="Z26" s="16"/>
      <c r="AA26" s="16"/>
      <c r="AB26" s="17"/>
      <c r="AC26" s="18">
        <v>1994</v>
      </c>
      <c r="AD26" s="21" t="s">
        <v>44</v>
      </c>
      <c r="AE26" s="41"/>
      <c r="AF26" s="41"/>
      <c r="AG26" s="41"/>
      <c r="AH26" s="16"/>
      <c r="AI26" s="16"/>
      <c r="AJ26" s="16"/>
      <c r="AK26" s="16"/>
      <c r="AL26" s="69">
        <f>(SUM(AL$134:AL$149)/16)/(SUM($J$134:$J$149)/16)*MITRE[[#This Row],[Trenes Corridos]]</f>
        <v>3913.5846475842345</v>
      </c>
      <c r="AM26" s="16"/>
      <c r="AN26" s="16"/>
      <c r="AO26" s="16"/>
      <c r="AP26" s="17"/>
      <c r="AQ26" s="18">
        <v>1994</v>
      </c>
      <c r="AR26" s="21" t="s">
        <v>44</v>
      </c>
      <c r="AS26" s="41"/>
      <c r="AT26" s="41"/>
      <c r="AU26" s="41"/>
      <c r="AV26" s="16"/>
      <c r="AW26" s="16"/>
      <c r="AX26" s="16"/>
      <c r="AY26" s="16"/>
      <c r="AZ26" s="69">
        <f>(SUM(AZ$134:AZ$149)/16)/(SUM($J$134:$J$149)/16)*MITRE[[#This Row],[Trenes Corridos]]</f>
        <v>2820.5119324857556</v>
      </c>
      <c r="BA26" s="16"/>
      <c r="BB26" s="16"/>
      <c r="BC26" s="16"/>
      <c r="BD26" s="17"/>
      <c r="BE26" s="18">
        <v>1994</v>
      </c>
      <c r="BF26" s="21" t="s">
        <v>44</v>
      </c>
      <c r="BG26" s="41"/>
      <c r="BH26" s="41"/>
      <c r="BI26" s="41"/>
      <c r="BJ26" s="16"/>
      <c r="BK26" s="16"/>
      <c r="BL26" s="16"/>
      <c r="BM26" s="16"/>
      <c r="BN26" s="69">
        <f>(SUM(BN$134:BN$149)/16)/(SUM($J$134:$J$149)/16)*MITRE[[#This Row],[Trenes Corridos]]</f>
        <v>847.15961357865081</v>
      </c>
      <c r="BO26" s="16"/>
      <c r="BP26" s="16"/>
      <c r="BQ26" s="16"/>
      <c r="BR26" s="17"/>
      <c r="BS26" s="18">
        <v>1994</v>
      </c>
      <c r="BT26" s="21" t="s">
        <v>44</v>
      </c>
      <c r="BU26" s="41"/>
      <c r="BV26" s="41"/>
      <c r="BW26" s="41"/>
      <c r="BX26" s="16"/>
      <c r="BY26" s="16"/>
      <c r="BZ26" s="16"/>
      <c r="CA26" s="16"/>
      <c r="CB26" s="69">
        <f>(SUM(CB$134:CB$149)/16)/(SUM($J$134:$J$149)/16)*MITRE[[#This Row],[Trenes Corridos]]</f>
        <v>835.23415634567368</v>
      </c>
      <c r="CC26" s="16"/>
      <c r="CD26" s="16"/>
      <c r="CI26" s="40"/>
      <c r="CJ26" s="40"/>
      <c r="CK26" s="40"/>
      <c r="CL26" s="40"/>
      <c r="CM26" s="40"/>
    </row>
    <row r="27" spans="1:91" s="18" customFormat="1" ht="15" customHeight="1">
      <c r="A27" s="18">
        <v>1994</v>
      </c>
      <c r="B27" s="21" t="s">
        <v>45</v>
      </c>
      <c r="C27" s="15">
        <f>+MITRE[[#This Row],[Trenes Puntuales]]/MITRE[[#This Row],[Trenes Programados]]</f>
        <v>0.82275515126455789</v>
      </c>
      <c r="D27" s="15">
        <f>+MITRE[[#This Row],[Trenes Puntuales]]/MITRE[[#This Row],[Trenes Corridos]]</f>
        <v>0.91081782117790666</v>
      </c>
      <c r="E27" s="15">
        <f>+MITRE[[#This Row],[Trenes Corridos]]/MITRE[[#This Row],[Trenes Programados]]</f>
        <v>0.90331472675901037</v>
      </c>
      <c r="F27" s="16">
        <f>+Tabla4[[#This Row],[Trenes Programados por Día Hábil]]+Tabla5[[#This Row],[Trenes Programados por Día Hábil]]+Tabla6[[#This Row],[Trenes Programados por Día Hábil]]+MIT_Vic_Cap[[#This Row],[Trenes Programados por Día Hábil]]+Tabla8[[#This Row],[Trenes Programados por Día Hábil]]</f>
        <v>0</v>
      </c>
      <c r="G2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 s="16">
        <v>14511</v>
      </c>
      <c r="I27" s="16">
        <f t="shared" si="2"/>
        <v>1403</v>
      </c>
      <c r="J27" s="16">
        <v>13108</v>
      </c>
      <c r="K27" s="16">
        <v>11939</v>
      </c>
      <c r="L27" s="16">
        <f t="shared" si="3"/>
        <v>1169</v>
      </c>
      <c r="M27" s="16"/>
      <c r="N27" s="17"/>
      <c r="O27" s="18">
        <v>1994</v>
      </c>
      <c r="P27" s="21" t="s">
        <v>45</v>
      </c>
      <c r="Q27" s="41"/>
      <c r="R27" s="41"/>
      <c r="S27" s="41"/>
      <c r="T27" s="16"/>
      <c r="U27" s="16"/>
      <c r="V27" s="16"/>
      <c r="W27" s="16"/>
      <c r="X27" s="69">
        <f>(SUM(X$134:X$149)/16)/(SUM($J$134:$J$149)/16)*MITRE[[#This Row],[Trenes Corridos]]</f>
        <v>4887.7961770564425</v>
      </c>
      <c r="Y27" s="16"/>
      <c r="Z27" s="16"/>
      <c r="AA27" s="16"/>
      <c r="AB27" s="17"/>
      <c r="AC27" s="18">
        <v>1994</v>
      </c>
      <c r="AD27" s="21" t="s">
        <v>45</v>
      </c>
      <c r="AE27" s="41"/>
      <c r="AF27" s="41"/>
      <c r="AG27" s="41"/>
      <c r="AH27" s="16"/>
      <c r="AI27" s="16"/>
      <c r="AJ27" s="16"/>
      <c r="AK27" s="16"/>
      <c r="AL27" s="69">
        <f>(SUM(AL$134:AL$149)/16)/(SUM($J$134:$J$149)/16)*MITRE[[#This Row],[Trenes Corridos]]</f>
        <v>3822.3133567196296</v>
      </c>
      <c r="AM27" s="16"/>
      <c r="AN27" s="16"/>
      <c r="AO27" s="16"/>
      <c r="AP27" s="17"/>
      <c r="AQ27" s="18">
        <v>1994</v>
      </c>
      <c r="AR27" s="21" t="s">
        <v>45</v>
      </c>
      <c r="AS27" s="41"/>
      <c r="AT27" s="41"/>
      <c r="AU27" s="41"/>
      <c r="AV27" s="16"/>
      <c r="AW27" s="16"/>
      <c r="AX27" s="16"/>
      <c r="AY27" s="16"/>
      <c r="AZ27" s="69">
        <f>(SUM(AZ$134:AZ$149)/16)/(SUM($J$134:$J$149)/16)*MITRE[[#This Row],[Trenes Corridos]]</f>
        <v>2754.732911930801</v>
      </c>
      <c r="BA27" s="16"/>
      <c r="BB27" s="16"/>
      <c r="BC27" s="16"/>
      <c r="BD27" s="17"/>
      <c r="BE27" s="18">
        <v>1994</v>
      </c>
      <c r="BF27" s="21" t="s">
        <v>45</v>
      </c>
      <c r="BG27" s="41"/>
      <c r="BH27" s="41"/>
      <c r="BI27" s="41"/>
      <c r="BJ27" s="16"/>
      <c r="BK27" s="16"/>
      <c r="BL27" s="16"/>
      <c r="BM27" s="16"/>
      <c r="BN27" s="69">
        <f>(SUM(BN$134:BN$149)/16)/(SUM($J$134:$J$149)/16)*MITRE[[#This Row],[Trenes Corridos]]</f>
        <v>827.40244503307918</v>
      </c>
      <c r="BO27" s="16"/>
      <c r="BP27" s="16"/>
      <c r="BQ27" s="16"/>
      <c r="BR27" s="17"/>
      <c r="BS27" s="18">
        <v>1994</v>
      </c>
      <c r="BT27" s="21" t="s">
        <v>45</v>
      </c>
      <c r="BU27" s="41"/>
      <c r="BV27" s="41"/>
      <c r="BW27" s="41"/>
      <c r="BX27" s="16"/>
      <c r="BY27" s="16"/>
      <c r="BZ27" s="16"/>
      <c r="CA27" s="16"/>
      <c r="CB27" s="69">
        <f>(SUM(CB$134:CB$149)/16)/(SUM($J$134:$J$149)/16)*MITRE[[#This Row],[Trenes Corridos]]</f>
        <v>815.75510926004688</v>
      </c>
      <c r="CC27" s="16"/>
      <c r="CD27" s="16"/>
      <c r="CI27" s="40"/>
      <c r="CJ27" s="40"/>
      <c r="CK27" s="40"/>
      <c r="CL27" s="40"/>
      <c r="CM27" s="40"/>
    </row>
    <row r="28" spans="1:91" s="18" customFormat="1" ht="15" customHeight="1">
      <c r="A28" s="18">
        <v>1994</v>
      </c>
      <c r="B28" s="21" t="s">
        <v>46</v>
      </c>
      <c r="C28" s="15">
        <f>+MITRE[[#This Row],[Trenes Puntuales]]/MITRE[[#This Row],[Trenes Programados]]</f>
        <v>0.86186123805567094</v>
      </c>
      <c r="D28" s="15">
        <f>+MITRE[[#This Row],[Trenes Puntuales]]/MITRE[[#This Row],[Trenes Corridos]]</f>
        <v>0.92275187189561869</v>
      </c>
      <c r="E28" s="15">
        <f>+MITRE[[#This Row],[Trenes Corridos]]/MITRE[[#This Row],[Trenes Programados]]</f>
        <v>0.93401190970779668</v>
      </c>
      <c r="F28" s="16">
        <f>+Tabla4[[#This Row],[Trenes Programados por Día Hábil]]+Tabla5[[#This Row],[Trenes Programados por Día Hábil]]+Tabla6[[#This Row],[Trenes Programados por Día Hábil]]+MIT_Vic_Cap[[#This Row],[Trenes Programados por Día Hábil]]+Tabla8[[#This Row],[Trenes Programados por Día Hábil]]</f>
        <v>0</v>
      </c>
      <c r="G2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 s="16">
        <v>14442</v>
      </c>
      <c r="I28" s="16">
        <f t="shared" si="2"/>
        <v>953</v>
      </c>
      <c r="J28" s="16">
        <v>13489</v>
      </c>
      <c r="K28" s="16">
        <v>12447</v>
      </c>
      <c r="L28" s="16">
        <f t="shared" si="3"/>
        <v>1042</v>
      </c>
      <c r="M28" s="16"/>
      <c r="N28" s="17"/>
      <c r="O28" s="18">
        <v>1994</v>
      </c>
      <c r="P28" s="21" t="s">
        <v>46</v>
      </c>
      <c r="Q28" s="41"/>
      <c r="R28" s="41"/>
      <c r="S28" s="41"/>
      <c r="T28" s="16"/>
      <c r="U28" s="16"/>
      <c r="V28" s="16"/>
      <c r="W28" s="16"/>
      <c r="X28" s="69">
        <f>(SUM(X$134:X$149)/16)/(SUM($J$134:$J$149)/16)*MITRE[[#This Row],[Trenes Corridos]]</f>
        <v>5029.865931668779</v>
      </c>
      <c r="Y28" s="16"/>
      <c r="Z28" s="16"/>
      <c r="AA28" s="16"/>
      <c r="AB28" s="17"/>
      <c r="AC28" s="18">
        <v>1994</v>
      </c>
      <c r="AD28" s="21" t="s">
        <v>46</v>
      </c>
      <c r="AE28" s="41"/>
      <c r="AF28" s="41"/>
      <c r="AG28" s="41"/>
      <c r="AH28" s="16"/>
      <c r="AI28" s="16"/>
      <c r="AJ28" s="16"/>
      <c r="AK28" s="16"/>
      <c r="AL28" s="69">
        <f>(SUM(AL$134:AL$149)/16)/(SUM($J$134:$J$149)/16)*MITRE[[#This Row],[Trenes Corridos]]</f>
        <v>3933.4135542257463</v>
      </c>
      <c r="AM28" s="16"/>
      <c r="AN28" s="16"/>
      <c r="AO28" s="16"/>
      <c r="AP28" s="17"/>
      <c r="AQ28" s="18">
        <v>1994</v>
      </c>
      <c r="AR28" s="21" t="s">
        <v>46</v>
      </c>
      <c r="AS28" s="41"/>
      <c r="AT28" s="41"/>
      <c r="AU28" s="41"/>
      <c r="AV28" s="16"/>
      <c r="AW28" s="16"/>
      <c r="AX28" s="16"/>
      <c r="AY28" s="16"/>
      <c r="AZ28" s="69">
        <f>(SUM(AZ$134:AZ$149)/16)/(SUM($J$134:$J$149)/16)*MITRE[[#This Row],[Trenes Corridos]]</f>
        <v>2834.8025823187809</v>
      </c>
      <c r="BA28" s="16"/>
      <c r="BB28" s="16"/>
      <c r="BC28" s="16"/>
      <c r="BD28" s="17"/>
      <c r="BE28" s="18">
        <v>1994</v>
      </c>
      <c r="BF28" s="21" t="s">
        <v>46</v>
      </c>
      <c r="BG28" s="41"/>
      <c r="BH28" s="41"/>
      <c r="BI28" s="41"/>
      <c r="BJ28" s="16"/>
      <c r="BK28" s="16"/>
      <c r="BL28" s="16"/>
      <c r="BM28" s="16"/>
      <c r="BN28" s="69">
        <f>(SUM(BN$134:BN$149)/16)/(SUM($J$134:$J$149)/16)*MITRE[[#This Row],[Trenes Corridos]]</f>
        <v>851.45190578663448</v>
      </c>
      <c r="BO28" s="16"/>
      <c r="BP28" s="16"/>
      <c r="BQ28" s="16"/>
      <c r="BR28" s="17"/>
      <c r="BS28" s="18">
        <v>1994</v>
      </c>
      <c r="BT28" s="21" t="s">
        <v>46</v>
      </c>
      <c r="BU28" s="41"/>
      <c r="BV28" s="41"/>
      <c r="BW28" s="41"/>
      <c r="BX28" s="16"/>
      <c r="BY28" s="16"/>
      <c r="BZ28" s="16"/>
      <c r="CA28" s="16"/>
      <c r="CB28" s="69">
        <f>(SUM(CB$134:CB$149)/16)/(SUM($J$134:$J$149)/16)*MITRE[[#This Row],[Trenes Corridos]]</f>
        <v>839.46602600005895</v>
      </c>
      <c r="CC28" s="16"/>
      <c r="CD28" s="16"/>
      <c r="CI28" s="40"/>
      <c r="CJ28" s="40"/>
      <c r="CK28" s="40"/>
      <c r="CL28" s="40"/>
      <c r="CM28" s="40"/>
    </row>
    <row r="29" spans="1:91" s="18" customFormat="1" ht="15" customHeight="1">
      <c r="A29" s="18">
        <v>1994</v>
      </c>
      <c r="B29" s="21" t="s">
        <v>47</v>
      </c>
      <c r="C29" s="15">
        <f>+MITRE[[#This Row],[Trenes Puntuales]]/MITRE[[#This Row],[Trenes Programados]]</f>
        <v>0.78345058626465658</v>
      </c>
      <c r="D29" s="15">
        <f>+MITRE[[#This Row],[Trenes Puntuales]]/MITRE[[#This Row],[Trenes Corridos]]</f>
        <v>0.87300283709123483</v>
      </c>
      <c r="E29" s="15">
        <f>+MITRE[[#This Row],[Trenes Corridos]]/MITRE[[#This Row],[Trenes Programados]]</f>
        <v>0.89742043551088779</v>
      </c>
      <c r="F29" s="16">
        <f>+Tabla4[[#This Row],[Trenes Programados por Día Hábil]]+Tabla5[[#This Row],[Trenes Programados por Día Hábil]]+Tabla6[[#This Row],[Trenes Programados por Día Hábil]]+MIT_Vic_Cap[[#This Row],[Trenes Programados por Día Hábil]]+Tabla8[[#This Row],[Trenes Programados por Día Hábil]]</f>
        <v>0</v>
      </c>
      <c r="G2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 s="16">
        <v>14925</v>
      </c>
      <c r="I29" s="16">
        <f t="shared" si="2"/>
        <v>1531</v>
      </c>
      <c r="J29" s="16">
        <v>13394</v>
      </c>
      <c r="K29" s="16">
        <v>11693</v>
      </c>
      <c r="L29" s="16">
        <f t="shared" si="3"/>
        <v>1701</v>
      </c>
      <c r="M29" s="16"/>
      <c r="N29" s="17"/>
      <c r="O29" s="18">
        <v>1994</v>
      </c>
      <c r="P29" s="21" t="s">
        <v>47</v>
      </c>
      <c r="Q29" s="41"/>
      <c r="R29" s="41"/>
      <c r="S29" s="41"/>
      <c r="T29" s="16"/>
      <c r="U29" s="16"/>
      <c r="V29" s="16"/>
      <c r="W29" s="16"/>
      <c r="X29" s="69">
        <f>(SUM(X$134:X$149)/16)/(SUM($J$134:$J$149)/16)*MITRE[[#This Row],[Trenes Corridos]]</f>
        <v>4994.4417146394562</v>
      </c>
      <c r="Y29" s="16"/>
      <c r="Z29" s="16"/>
      <c r="AA29" s="16"/>
      <c r="AB29" s="17"/>
      <c r="AC29" s="18">
        <v>1994</v>
      </c>
      <c r="AD29" s="21" t="s">
        <v>47</v>
      </c>
      <c r="AE29" s="41"/>
      <c r="AF29" s="41"/>
      <c r="AG29" s="41"/>
      <c r="AH29" s="16"/>
      <c r="AI29" s="16"/>
      <c r="AJ29" s="16"/>
      <c r="AK29" s="16"/>
      <c r="AL29" s="69">
        <f>(SUM(AL$134:AL$149)/16)/(SUM($J$134:$J$149)/16)*MITRE[[#This Row],[Trenes Corridos]]</f>
        <v>3905.7114052412812</v>
      </c>
      <c r="AM29" s="16"/>
      <c r="AN29" s="16"/>
      <c r="AO29" s="16"/>
      <c r="AP29" s="17"/>
      <c r="AQ29" s="18">
        <v>1994</v>
      </c>
      <c r="AR29" s="21" t="s">
        <v>47</v>
      </c>
      <c r="AS29" s="41"/>
      <c r="AT29" s="41"/>
      <c r="AU29" s="41"/>
      <c r="AV29" s="16"/>
      <c r="AW29" s="16"/>
      <c r="AX29" s="16"/>
      <c r="AY29" s="16"/>
      <c r="AZ29" s="69">
        <f>(SUM(AZ$134:AZ$149)/16)/(SUM($J$134:$J$149)/16)*MITRE[[#This Row],[Trenes Corridos]]</f>
        <v>2814.8377038755839</v>
      </c>
      <c r="BA29" s="16"/>
      <c r="BB29" s="16"/>
      <c r="BC29" s="16"/>
      <c r="BD29" s="17"/>
      <c r="BE29" s="18">
        <v>1994</v>
      </c>
      <c r="BF29" s="21" t="s">
        <v>47</v>
      </c>
      <c r="BG29" s="41"/>
      <c r="BH29" s="41"/>
      <c r="BI29" s="41"/>
      <c r="BJ29" s="16"/>
      <c r="BK29" s="16"/>
      <c r="BL29" s="16"/>
      <c r="BM29" s="16"/>
      <c r="BN29" s="69">
        <f>(SUM(BN$134:BN$149)/16)/(SUM($J$134:$J$149)/16)*MITRE[[#This Row],[Trenes Corridos]]</f>
        <v>845.45532108430439</v>
      </c>
      <c r="BO29" s="16"/>
      <c r="BP29" s="16"/>
      <c r="BQ29" s="16"/>
      <c r="BR29" s="17"/>
      <c r="BS29" s="18">
        <v>1994</v>
      </c>
      <c r="BT29" s="21" t="s">
        <v>47</v>
      </c>
      <c r="BU29" s="41"/>
      <c r="BV29" s="41"/>
      <c r="BW29" s="41"/>
      <c r="BX29" s="16"/>
      <c r="BY29" s="16"/>
      <c r="BZ29" s="16"/>
      <c r="CA29" s="16"/>
      <c r="CB29" s="69">
        <f>(SUM(CB$134:CB$149)/16)/(SUM($J$134:$J$149)/16)*MITRE[[#This Row],[Trenes Corridos]]</f>
        <v>833.5538551593736</v>
      </c>
      <c r="CC29" s="16"/>
      <c r="CD29" s="16"/>
      <c r="CI29" s="40"/>
      <c r="CJ29" s="40"/>
      <c r="CK29" s="40"/>
      <c r="CL29" s="40"/>
      <c r="CM29" s="40"/>
    </row>
    <row r="30" spans="1:91" s="18" customFormat="1" ht="15" customHeight="1">
      <c r="A30" s="18">
        <v>1995</v>
      </c>
      <c r="B30" s="21" t="s">
        <v>36</v>
      </c>
      <c r="C30" s="15">
        <f>+MITRE[[#This Row],[Trenes Puntuales]]/MITRE[[#This Row],[Trenes Programados]]</f>
        <v>0.81814483319772169</v>
      </c>
      <c r="D30" s="15">
        <f>+MITRE[[#This Row],[Trenes Puntuales]]/MITRE[[#This Row],[Trenes Corridos]]</f>
        <v>0.90375252790053184</v>
      </c>
      <c r="E30" s="15">
        <f>+MITRE[[#This Row],[Trenes Corridos]]/MITRE[[#This Row],[Trenes Programados]]</f>
        <v>0.90527529156495801</v>
      </c>
      <c r="F30" s="16">
        <f>+Tabla4[[#This Row],[Trenes Programados por Día Hábil]]+Tabla5[[#This Row],[Trenes Programados por Día Hábil]]+Tabla6[[#This Row],[Trenes Programados por Día Hábil]]+MIT_Vic_Cap[[#This Row],[Trenes Programados por Día Hábil]]+Tabla8[[#This Row],[Trenes Programados por Día Hábil]]</f>
        <v>0</v>
      </c>
      <c r="G3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 s="16">
        <v>14748</v>
      </c>
      <c r="I30" s="16">
        <f t="shared" ref="I30:I41" si="4">H30-J30</f>
        <v>1397</v>
      </c>
      <c r="J30" s="16">
        <v>13351</v>
      </c>
      <c r="K30" s="16">
        <v>12066</v>
      </c>
      <c r="L30" s="16">
        <f t="shared" ref="L30:L41" si="5">J30-K30</f>
        <v>1285</v>
      </c>
      <c r="M30" s="16"/>
      <c r="N30" s="17"/>
      <c r="O30" s="18">
        <v>1995</v>
      </c>
      <c r="P30" s="21" t="s">
        <v>36</v>
      </c>
      <c r="Q30" s="41"/>
      <c r="R30" s="41"/>
      <c r="S30" s="41"/>
      <c r="T30" s="16"/>
      <c r="U30" s="16"/>
      <c r="V30" s="16"/>
      <c r="W30" s="16"/>
      <c r="X30" s="69">
        <f>(SUM(X$134:X$149)/16)/(SUM($J$134:$J$149)/16)*MITRE[[#This Row],[Trenes Corridos]]</f>
        <v>4978.4075953524998</v>
      </c>
      <c r="Y30" s="16"/>
      <c r="Z30" s="16"/>
      <c r="AA30" s="16"/>
      <c r="AB30" s="17"/>
      <c r="AC30" s="18">
        <v>1995</v>
      </c>
      <c r="AD30" s="21" t="s">
        <v>36</v>
      </c>
      <c r="AE30" s="41"/>
      <c r="AF30" s="41"/>
      <c r="AG30" s="41"/>
      <c r="AH30" s="16"/>
      <c r="AI30" s="16"/>
      <c r="AJ30" s="16"/>
      <c r="AK30" s="16"/>
      <c r="AL30" s="69">
        <f>(SUM(AL$134:AL$149)/16)/(SUM($J$134:$J$149)/16)*MITRE[[#This Row],[Trenes Corridos]]</f>
        <v>3893.1725378062079</v>
      </c>
      <c r="AM30" s="16"/>
      <c r="AN30" s="16"/>
      <c r="AO30" s="16"/>
      <c r="AP30" s="17"/>
      <c r="AQ30" s="18">
        <v>1995</v>
      </c>
      <c r="AR30" s="21" t="s">
        <v>36</v>
      </c>
      <c r="AS30" s="41"/>
      <c r="AT30" s="41"/>
      <c r="AU30" s="41"/>
      <c r="AV30" s="16"/>
      <c r="AW30" s="16"/>
      <c r="AX30" s="16"/>
      <c r="AY30" s="16"/>
      <c r="AZ30" s="69">
        <f>(SUM(AZ$134:AZ$149)/16)/(SUM($J$134:$J$149)/16)*MITRE[[#This Row],[Trenes Corridos]]</f>
        <v>2805.8009694223474</v>
      </c>
      <c r="BA30" s="16"/>
      <c r="BB30" s="16"/>
      <c r="BC30" s="16"/>
      <c r="BD30" s="17"/>
      <c r="BE30" s="18">
        <v>1995</v>
      </c>
      <c r="BF30" s="21" t="s">
        <v>36</v>
      </c>
      <c r="BG30" s="41"/>
      <c r="BH30" s="41"/>
      <c r="BI30" s="41"/>
      <c r="BJ30" s="16"/>
      <c r="BK30" s="16"/>
      <c r="BL30" s="16"/>
      <c r="BM30" s="16"/>
      <c r="BN30" s="69">
        <f>(SUM(BN$134:BN$149)/16)/(SUM($J$134:$J$149)/16)*MITRE[[#This Row],[Trenes Corridos]]</f>
        <v>842.74107748219706</v>
      </c>
      <c r="BO30" s="16"/>
      <c r="BP30" s="16"/>
      <c r="BQ30" s="16"/>
      <c r="BR30" s="17"/>
      <c r="BS30" s="18">
        <v>1995</v>
      </c>
      <c r="BT30" s="21" t="s">
        <v>36</v>
      </c>
      <c r="BU30" s="41"/>
      <c r="BV30" s="41"/>
      <c r="BW30" s="41"/>
      <c r="BX30" s="16"/>
      <c r="BY30" s="16"/>
      <c r="BZ30" s="16"/>
      <c r="CA30" s="16"/>
      <c r="CB30" s="69">
        <f>(SUM(CB$134:CB$149)/16)/(SUM($J$134:$J$149)/16)*MITRE[[#This Row],[Trenes Corridos]]</f>
        <v>830.87781993674753</v>
      </c>
      <c r="CC30" s="16"/>
      <c r="CD30" s="16"/>
      <c r="CI30" s="40"/>
      <c r="CJ30" s="40"/>
      <c r="CK30" s="40"/>
      <c r="CL30" s="40"/>
      <c r="CM30" s="40"/>
    </row>
    <row r="31" spans="1:91" s="18" customFormat="1" ht="15" customHeight="1">
      <c r="A31" s="18">
        <v>1995</v>
      </c>
      <c r="B31" s="21" t="s">
        <v>37</v>
      </c>
      <c r="C31" s="15">
        <f>+MITRE[[#This Row],[Trenes Puntuales]]/MITRE[[#This Row],[Trenes Programados]]</f>
        <v>0.81611508646392372</v>
      </c>
      <c r="D31" s="15">
        <f>+MITRE[[#This Row],[Trenes Puntuales]]/MITRE[[#This Row],[Trenes Corridos]]</f>
        <v>0.87641079004242373</v>
      </c>
      <c r="E31" s="15">
        <f>+MITRE[[#This Row],[Trenes Corridos]]/MITRE[[#This Row],[Trenes Programados]]</f>
        <v>0.93120155038759689</v>
      </c>
      <c r="F31" s="16">
        <f>+Tabla4[[#This Row],[Trenes Programados por Día Hábil]]+Tabla5[[#This Row],[Trenes Programados por Día Hábil]]+Tabla6[[#This Row],[Trenes Programados por Día Hábil]]+MIT_Vic_Cap[[#This Row],[Trenes Programados por Día Hábil]]+Tabla8[[#This Row],[Trenes Programados por Día Hábil]]</f>
        <v>0</v>
      </c>
      <c r="G3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 s="16">
        <v>13416</v>
      </c>
      <c r="I31" s="16">
        <f t="shared" si="4"/>
        <v>923</v>
      </c>
      <c r="J31" s="16">
        <v>12493</v>
      </c>
      <c r="K31" s="16">
        <v>10949</v>
      </c>
      <c r="L31" s="16">
        <f t="shared" si="5"/>
        <v>1544</v>
      </c>
      <c r="M31" s="16"/>
      <c r="N31" s="17"/>
      <c r="O31" s="18">
        <v>1995</v>
      </c>
      <c r="P31" s="21" t="s">
        <v>37</v>
      </c>
      <c r="Q31" s="41"/>
      <c r="R31" s="41"/>
      <c r="S31" s="41"/>
      <c r="T31" s="16"/>
      <c r="U31" s="16"/>
      <c r="V31" s="16"/>
      <c r="W31" s="16"/>
      <c r="X31" s="69">
        <f>(SUM(X$134:X$149)/16)/(SUM($J$134:$J$149)/16)*MITRE[[#This Row],[Trenes Corridos]]</f>
        <v>4658.4709826034587</v>
      </c>
      <c r="Y31" s="16"/>
      <c r="Z31" s="16"/>
      <c r="AA31" s="16"/>
      <c r="AB31" s="17"/>
      <c r="AC31" s="18">
        <v>1995</v>
      </c>
      <c r="AD31" s="21" t="s">
        <v>37</v>
      </c>
      <c r="AE31" s="41"/>
      <c r="AF31" s="41"/>
      <c r="AG31" s="41"/>
      <c r="AH31" s="16"/>
      <c r="AI31" s="16"/>
      <c r="AJ31" s="16"/>
      <c r="AK31" s="16"/>
      <c r="AL31" s="69">
        <f>(SUM(AL$134:AL$149)/16)/(SUM($J$134:$J$149)/16)*MITRE[[#This Row],[Trenes Corridos]]</f>
        <v>3642.9783922412521</v>
      </c>
      <c r="AM31" s="16"/>
      <c r="AN31" s="16"/>
      <c r="AO31" s="16"/>
      <c r="AP31" s="17"/>
      <c r="AQ31" s="18">
        <v>1995</v>
      </c>
      <c r="AR31" s="21" t="s">
        <v>37</v>
      </c>
      <c r="AS31" s="41"/>
      <c r="AT31" s="41"/>
      <c r="AU31" s="41"/>
      <c r="AV31" s="16"/>
      <c r="AW31" s="16"/>
      <c r="AX31" s="16"/>
      <c r="AY31" s="16"/>
      <c r="AZ31" s="69">
        <f>(SUM(AZ$134:AZ$149)/16)/(SUM($J$134:$J$149)/16)*MITRE[[#This Row],[Trenes Corridos]]</f>
        <v>2625.4865935879998</v>
      </c>
      <c r="BA31" s="16"/>
      <c r="BB31" s="16"/>
      <c r="BC31" s="16"/>
      <c r="BD31" s="17"/>
      <c r="BE31" s="18">
        <v>1995</v>
      </c>
      <c r="BF31" s="21" t="s">
        <v>37</v>
      </c>
      <c r="BG31" s="41"/>
      <c r="BH31" s="41"/>
      <c r="BI31" s="41"/>
      <c r="BJ31" s="16"/>
      <c r="BK31" s="16"/>
      <c r="BL31" s="16"/>
      <c r="BM31" s="16"/>
      <c r="BN31" s="69">
        <f>(SUM(BN$134:BN$149)/16)/(SUM($J$134:$J$149)/16)*MITRE[[#This Row],[Trenes Corridos]]</f>
        <v>788.58244932852131</v>
      </c>
      <c r="BO31" s="16"/>
      <c r="BP31" s="16"/>
      <c r="BQ31" s="16"/>
      <c r="BR31" s="17"/>
      <c r="BS31" s="18">
        <v>1995</v>
      </c>
      <c r="BT31" s="21" t="s">
        <v>37</v>
      </c>
      <c r="BU31" s="41"/>
      <c r="BV31" s="41"/>
      <c r="BW31" s="41"/>
      <c r="BX31" s="16"/>
      <c r="BY31" s="16"/>
      <c r="BZ31" s="16"/>
      <c r="CA31" s="16"/>
      <c r="CB31" s="69">
        <f>(SUM(CB$134:CB$149)/16)/(SUM($J$134:$J$149)/16)*MITRE[[#This Row],[Trenes Corridos]]</f>
        <v>777.4815822387676</v>
      </c>
      <c r="CC31" s="16"/>
      <c r="CD31" s="16"/>
      <c r="CI31" s="40"/>
      <c r="CJ31" s="40"/>
      <c r="CK31" s="40"/>
      <c r="CL31" s="40"/>
      <c r="CM31" s="40"/>
    </row>
    <row r="32" spans="1:91" s="18" customFormat="1" ht="15" customHeight="1">
      <c r="A32" s="18">
        <v>1995</v>
      </c>
      <c r="B32" s="21" t="s">
        <v>38</v>
      </c>
      <c r="C32" s="15">
        <f>+MITRE[[#This Row],[Trenes Puntuales]]/MITRE[[#This Row],[Trenes Programados]]</f>
        <v>0.74764292878635907</v>
      </c>
      <c r="D32" s="15">
        <f>+MITRE[[#This Row],[Trenes Puntuales]]/MITRE[[#This Row],[Trenes Corridos]]</f>
        <v>0.83733992361267129</v>
      </c>
      <c r="E32" s="15">
        <f>+MITRE[[#This Row],[Trenes Corridos]]/MITRE[[#This Row],[Trenes Programados]]</f>
        <v>0.89287863590772321</v>
      </c>
      <c r="F32" s="16">
        <f>+Tabla4[[#This Row],[Trenes Programados por Día Hábil]]+Tabla5[[#This Row],[Trenes Programados por Día Hábil]]+Tabla6[[#This Row],[Trenes Programados por Día Hábil]]+MIT_Vic_Cap[[#This Row],[Trenes Programados por Día Hábil]]+Tabla8[[#This Row],[Trenes Programados por Día Hábil]]</f>
        <v>0</v>
      </c>
      <c r="G3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 s="16">
        <v>14955</v>
      </c>
      <c r="I32" s="16">
        <f t="shared" si="4"/>
        <v>1602</v>
      </c>
      <c r="J32" s="16">
        <v>13353</v>
      </c>
      <c r="K32" s="16">
        <v>11181</v>
      </c>
      <c r="L32" s="16">
        <f t="shared" si="5"/>
        <v>2172</v>
      </c>
      <c r="M32" s="16"/>
      <c r="N32" s="17"/>
      <c r="O32" s="18">
        <v>1995</v>
      </c>
      <c r="P32" s="21" t="s">
        <v>38</v>
      </c>
      <c r="Q32" s="41"/>
      <c r="R32" s="41"/>
      <c r="S32" s="41"/>
      <c r="T32" s="16"/>
      <c r="U32" s="16"/>
      <c r="V32" s="16"/>
      <c r="W32" s="16"/>
      <c r="X32" s="69">
        <f>(SUM(X$134:X$149)/16)/(SUM($J$134:$J$149)/16)*MITRE[[#This Row],[Trenes Corridos]]</f>
        <v>4979.1533683425905</v>
      </c>
      <c r="Y32" s="16"/>
      <c r="Z32" s="16"/>
      <c r="AA32" s="16"/>
      <c r="AB32" s="17"/>
      <c r="AC32" s="18">
        <v>1995</v>
      </c>
      <c r="AD32" s="21" t="s">
        <v>38</v>
      </c>
      <c r="AE32" s="41"/>
      <c r="AF32" s="41"/>
      <c r="AG32" s="41"/>
      <c r="AH32" s="16"/>
      <c r="AI32" s="16"/>
      <c r="AJ32" s="16"/>
      <c r="AK32" s="16"/>
      <c r="AL32" s="69">
        <f>(SUM(AL$134:AL$149)/16)/(SUM($J$134:$J$149)/16)*MITRE[[#This Row],[Trenes Corridos]]</f>
        <v>3893.7557409427227</v>
      </c>
      <c r="AM32" s="16"/>
      <c r="AN32" s="16"/>
      <c r="AO32" s="16"/>
      <c r="AP32" s="17"/>
      <c r="AQ32" s="18">
        <v>1995</v>
      </c>
      <c r="AR32" s="21" t="s">
        <v>38</v>
      </c>
      <c r="AS32" s="41"/>
      <c r="AT32" s="41"/>
      <c r="AU32" s="41"/>
      <c r="AV32" s="16"/>
      <c r="AW32" s="16"/>
      <c r="AX32" s="16"/>
      <c r="AY32" s="16"/>
      <c r="AZ32" s="69">
        <f>(SUM(AZ$134:AZ$149)/16)/(SUM($J$134:$J$149)/16)*MITRE[[#This Row],[Trenes Corridos]]</f>
        <v>2806.2212826527302</v>
      </c>
      <c r="BA32" s="16"/>
      <c r="BB32" s="16"/>
      <c r="BC32" s="16"/>
      <c r="BD32" s="17"/>
      <c r="BE32" s="18">
        <v>1995</v>
      </c>
      <c r="BF32" s="21" t="s">
        <v>38</v>
      </c>
      <c r="BG32" s="41"/>
      <c r="BH32" s="41"/>
      <c r="BI32" s="41"/>
      <c r="BJ32" s="16"/>
      <c r="BK32" s="16"/>
      <c r="BL32" s="16"/>
      <c r="BM32" s="16"/>
      <c r="BN32" s="69">
        <f>(SUM(BN$134:BN$149)/16)/(SUM($J$134:$J$149)/16)*MITRE[[#This Row],[Trenes Corridos]]</f>
        <v>842.86732137066724</v>
      </c>
      <c r="BO32" s="16"/>
      <c r="BP32" s="16"/>
      <c r="BQ32" s="16"/>
      <c r="BR32" s="17"/>
      <c r="BS32" s="18">
        <v>1995</v>
      </c>
      <c r="BT32" s="21" t="s">
        <v>38</v>
      </c>
      <c r="BU32" s="41"/>
      <c r="BV32" s="41"/>
      <c r="BW32" s="41"/>
      <c r="BX32" s="16"/>
      <c r="BY32" s="16"/>
      <c r="BZ32" s="16"/>
      <c r="CA32" s="16"/>
      <c r="CB32" s="69">
        <f>(SUM(CB$134:CB$149)/16)/(SUM($J$134:$J$149)/16)*MITRE[[#This Row],[Trenes Corridos]]</f>
        <v>831.0022866912883</v>
      </c>
      <c r="CC32" s="16"/>
      <c r="CD32" s="16"/>
      <c r="CI32" s="40"/>
      <c r="CJ32" s="40"/>
      <c r="CK32" s="40"/>
      <c r="CL32" s="40"/>
      <c r="CM32" s="40"/>
    </row>
    <row r="33" spans="1:91" s="18" customFormat="1" ht="15" customHeight="1">
      <c r="A33" s="18">
        <v>1995</v>
      </c>
      <c r="B33" s="21" t="s">
        <v>39</v>
      </c>
      <c r="C33" s="15">
        <f>+MITRE[[#This Row],[Trenes Puntuales]]/MITRE[[#This Row],[Trenes Programados]]</f>
        <v>0.72288898414059155</v>
      </c>
      <c r="D33" s="15">
        <f>+MITRE[[#This Row],[Trenes Puntuales]]/MITRE[[#This Row],[Trenes Corridos]]</f>
        <v>0.82094759045919197</v>
      </c>
      <c r="E33" s="15">
        <f>+MITRE[[#This Row],[Trenes Corridos]]/MITRE[[#This Row],[Trenes Programados]]</f>
        <v>0.88055436490927275</v>
      </c>
      <c r="F33" s="16">
        <f>+Tabla4[[#This Row],[Trenes Programados por Día Hábil]]+Tabla5[[#This Row],[Trenes Programados por Día Hábil]]+Tabla6[[#This Row],[Trenes Programados por Día Hábil]]+MIT_Vic_Cap[[#This Row],[Trenes Programados por Día Hábil]]+Tabla8[[#This Row],[Trenes Programados por Día Hábil]]</f>
        <v>0</v>
      </c>
      <c r="G3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3" s="16">
        <v>13998</v>
      </c>
      <c r="I33" s="16">
        <f t="shared" si="4"/>
        <v>1672</v>
      </c>
      <c r="J33" s="16">
        <v>12326</v>
      </c>
      <c r="K33" s="16">
        <v>10119</v>
      </c>
      <c r="L33" s="16">
        <f t="shared" si="5"/>
        <v>2207</v>
      </c>
      <c r="M33" s="16"/>
      <c r="N33" s="17"/>
      <c r="O33" s="18">
        <v>1995</v>
      </c>
      <c r="P33" s="21" t="s">
        <v>39</v>
      </c>
      <c r="Q33" s="41"/>
      <c r="R33" s="41"/>
      <c r="S33" s="41"/>
      <c r="T33" s="16"/>
      <c r="U33" s="16"/>
      <c r="V33" s="16"/>
      <c r="W33" s="16"/>
      <c r="X33" s="69">
        <f>(SUM(X$134:X$149)/16)/(SUM($J$134:$J$149)/16)*MITRE[[#This Row],[Trenes Corridos]]</f>
        <v>4596.1989379308598</v>
      </c>
      <c r="Y33" s="16"/>
      <c r="Z33" s="16"/>
      <c r="AA33" s="16"/>
      <c r="AB33" s="17"/>
      <c r="AC33" s="18">
        <v>1995</v>
      </c>
      <c r="AD33" s="21" t="s">
        <v>39</v>
      </c>
      <c r="AE33" s="41"/>
      <c r="AF33" s="41"/>
      <c r="AG33" s="41"/>
      <c r="AH33" s="16"/>
      <c r="AI33" s="16"/>
      <c r="AJ33" s="16"/>
      <c r="AK33" s="16"/>
      <c r="AL33" s="69">
        <f>(SUM(AL$134:AL$149)/16)/(SUM($J$134:$J$149)/16)*MITRE[[#This Row],[Trenes Corridos]]</f>
        <v>3594.2809303422455</v>
      </c>
      <c r="AM33" s="16"/>
      <c r="AN33" s="16"/>
      <c r="AO33" s="16"/>
      <c r="AP33" s="17"/>
      <c r="AQ33" s="18">
        <v>1995</v>
      </c>
      <c r="AR33" s="21" t="s">
        <v>39</v>
      </c>
      <c r="AS33" s="41"/>
      <c r="AT33" s="41"/>
      <c r="AU33" s="41"/>
      <c r="AV33" s="16"/>
      <c r="AW33" s="16"/>
      <c r="AX33" s="16"/>
      <c r="AY33" s="16"/>
      <c r="AZ33" s="69">
        <f>(SUM(AZ$134:AZ$149)/16)/(SUM($J$134:$J$149)/16)*MITRE[[#This Row],[Trenes Corridos]]</f>
        <v>2590.3904388510114</v>
      </c>
      <c r="BA33" s="16"/>
      <c r="BB33" s="16"/>
      <c r="BC33" s="16"/>
      <c r="BD33" s="17"/>
      <c r="BE33" s="18">
        <v>1995</v>
      </c>
      <c r="BF33" s="21" t="s">
        <v>39</v>
      </c>
      <c r="BG33" s="41"/>
      <c r="BH33" s="41"/>
      <c r="BI33" s="41"/>
      <c r="BJ33" s="16"/>
      <c r="BK33" s="16"/>
      <c r="BL33" s="16"/>
      <c r="BM33" s="16"/>
      <c r="BN33" s="69">
        <f>(SUM(BN$134:BN$149)/16)/(SUM($J$134:$J$149)/16)*MITRE[[#This Row],[Trenes Corridos]]</f>
        <v>778.04108464126739</v>
      </c>
      <c r="BO33" s="16"/>
      <c r="BP33" s="16"/>
      <c r="BQ33" s="16"/>
      <c r="BR33" s="17"/>
      <c r="BS33" s="18">
        <v>1995</v>
      </c>
      <c r="BT33" s="21" t="s">
        <v>39</v>
      </c>
      <c r="BU33" s="41"/>
      <c r="BV33" s="41"/>
      <c r="BW33" s="41"/>
      <c r="BX33" s="16"/>
      <c r="BY33" s="16"/>
      <c r="BZ33" s="16"/>
      <c r="CA33" s="16"/>
      <c r="CB33" s="69">
        <f>(SUM(CB$134:CB$149)/16)/(SUM($J$134:$J$149)/16)*MITRE[[#This Row],[Trenes Corridos]]</f>
        <v>767.08860823461544</v>
      </c>
      <c r="CC33" s="16"/>
      <c r="CD33" s="16"/>
      <c r="CI33" s="40"/>
      <c r="CJ33" s="40"/>
      <c r="CK33" s="40"/>
      <c r="CL33" s="40"/>
      <c r="CM33" s="40"/>
    </row>
    <row r="34" spans="1:91" s="18" customFormat="1" ht="15" customHeight="1">
      <c r="A34" s="18">
        <v>1995</v>
      </c>
      <c r="B34" s="21" t="s">
        <v>40</v>
      </c>
      <c r="C34" s="15">
        <f>+MITRE[[#This Row],[Trenes Puntuales]]/MITRE[[#This Row],[Trenes Programados]]</f>
        <v>0.71512820512820507</v>
      </c>
      <c r="D34" s="15">
        <f>+MITRE[[#This Row],[Trenes Puntuales]]/MITRE[[#This Row],[Trenes Corridos]]</f>
        <v>0.84506615493384507</v>
      </c>
      <c r="E34" s="15">
        <f>+MITRE[[#This Row],[Trenes Corridos]]/MITRE[[#This Row],[Trenes Programados]]</f>
        <v>0.84623931623931625</v>
      </c>
      <c r="F34" s="16">
        <f>+Tabla4[[#This Row],[Trenes Programados por Día Hábil]]+Tabla5[[#This Row],[Trenes Programados por Día Hábil]]+Tabla6[[#This Row],[Trenes Programados por Día Hábil]]+MIT_Vic_Cap[[#This Row],[Trenes Programados por Día Hábil]]+Tabla8[[#This Row],[Trenes Programados por Día Hábil]]</f>
        <v>0</v>
      </c>
      <c r="G3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4" s="16">
        <v>11700</v>
      </c>
      <c r="I34" s="16">
        <f t="shared" si="4"/>
        <v>1799</v>
      </c>
      <c r="J34" s="16">
        <f>3783+3008+2044+461+605</f>
        <v>9901</v>
      </c>
      <c r="K34" s="16">
        <f>3478+2480+1779+231+399</f>
        <v>8367</v>
      </c>
      <c r="L34" s="16">
        <f t="shared" si="5"/>
        <v>1534</v>
      </c>
      <c r="M34" s="16"/>
      <c r="N34" s="17"/>
      <c r="O34" s="18">
        <v>1995</v>
      </c>
      <c r="P34" s="21" t="s">
        <v>40</v>
      </c>
      <c r="Q34" s="41"/>
      <c r="R34" s="41"/>
      <c r="S34" s="41"/>
      <c r="T34" s="16"/>
      <c r="U34" s="16"/>
      <c r="V34" s="16"/>
      <c r="W34" s="16"/>
      <c r="X34" s="69">
        <f>(SUM(X$134:X$149)/16)/(SUM($J$134:$J$149)/16)*MITRE[[#This Row],[Trenes Corridos]]</f>
        <v>3691.9491874455171</v>
      </c>
      <c r="Y34" s="16"/>
      <c r="Z34" s="16"/>
      <c r="AA34" s="16"/>
      <c r="AB34" s="17"/>
      <c r="AC34" s="18">
        <v>1995</v>
      </c>
      <c r="AD34" s="21" t="s">
        <v>40</v>
      </c>
      <c r="AE34" s="41"/>
      <c r="AF34" s="41"/>
      <c r="AG34" s="41"/>
      <c r="AH34" s="16"/>
      <c r="AI34" s="16"/>
      <c r="AJ34" s="16"/>
      <c r="AK34" s="16"/>
      <c r="AL34" s="69">
        <f>(SUM(AL$134:AL$149)/16)/(SUM($J$134:$J$149)/16)*MITRE[[#This Row],[Trenes Corridos]]</f>
        <v>2887.147127317749</v>
      </c>
      <c r="AM34" s="16"/>
      <c r="AN34" s="16"/>
      <c r="AO34" s="16"/>
      <c r="AP34" s="17"/>
      <c r="AQ34" s="18">
        <v>1995</v>
      </c>
      <c r="AR34" s="21" t="s">
        <v>40</v>
      </c>
      <c r="AS34" s="41"/>
      <c r="AT34" s="41"/>
      <c r="AU34" s="41"/>
      <c r="AV34" s="16"/>
      <c r="AW34" s="16"/>
      <c r="AX34" s="16"/>
      <c r="AY34" s="16"/>
      <c r="AZ34" s="69">
        <f>(SUM(AZ$134:AZ$149)/16)/(SUM($J$134:$J$149)/16)*MITRE[[#This Row],[Trenes Corridos]]</f>
        <v>2080.7606470115093</v>
      </c>
      <c r="BA34" s="16"/>
      <c r="BB34" s="16"/>
      <c r="BC34" s="16"/>
      <c r="BD34" s="17"/>
      <c r="BE34" s="18">
        <v>1995</v>
      </c>
      <c r="BF34" s="21" t="s">
        <v>40</v>
      </c>
      <c r="BG34" s="41"/>
      <c r="BH34" s="41"/>
      <c r="BI34" s="41"/>
      <c r="BJ34" s="16"/>
      <c r="BK34" s="16"/>
      <c r="BL34" s="16"/>
      <c r="BM34" s="16"/>
      <c r="BN34" s="69">
        <f>(SUM(BN$134:BN$149)/16)/(SUM($J$134:$J$149)/16)*MITRE[[#This Row],[Trenes Corridos]]</f>
        <v>624.97036987126307</v>
      </c>
      <c r="BO34" s="16"/>
      <c r="BP34" s="16"/>
      <c r="BQ34" s="16"/>
      <c r="BR34" s="17"/>
      <c r="BS34" s="18">
        <v>1995</v>
      </c>
      <c r="BT34" s="21" t="s">
        <v>40</v>
      </c>
      <c r="BU34" s="41"/>
      <c r="BV34" s="41"/>
      <c r="BW34" s="41"/>
      <c r="BX34" s="16"/>
      <c r="BY34" s="16"/>
      <c r="BZ34" s="16"/>
      <c r="CA34" s="16"/>
      <c r="CB34" s="69">
        <f>(SUM(CB$134:CB$149)/16)/(SUM($J$134:$J$149)/16)*MITRE[[#This Row],[Trenes Corridos]]</f>
        <v>616.17266835396128</v>
      </c>
      <c r="CC34" s="16"/>
      <c r="CD34" s="16"/>
      <c r="CI34" s="40"/>
      <c r="CJ34" s="40"/>
      <c r="CK34" s="40"/>
      <c r="CL34" s="40"/>
      <c r="CM34" s="40"/>
    </row>
    <row r="35" spans="1:91" s="18" customFormat="1" ht="15" customHeight="1">
      <c r="A35" s="18">
        <v>1995</v>
      </c>
      <c r="B35" s="21" t="s">
        <v>41</v>
      </c>
      <c r="C35" s="15">
        <f>+MITRE[[#This Row],[Trenes Puntuales]]/MITRE[[#This Row],[Trenes Programados]]</f>
        <v>0.81372854914196568</v>
      </c>
      <c r="D35" s="15">
        <f>+MITRE[[#This Row],[Trenes Puntuales]]/MITRE[[#This Row],[Trenes Corridos]]</f>
        <v>0.86730961090788161</v>
      </c>
      <c r="E35" s="15">
        <f>+MITRE[[#This Row],[Trenes Corridos]]/MITRE[[#This Row],[Trenes Programados]]</f>
        <v>0.9382215288611544</v>
      </c>
      <c r="F35" s="16">
        <f>+Tabla4[[#This Row],[Trenes Programados por Día Hábil]]+Tabla5[[#This Row],[Trenes Programados por Día Hábil]]+Tabla6[[#This Row],[Trenes Programados por Día Hábil]]+MIT_Vic_Cap[[#This Row],[Trenes Programados por Día Hábil]]+Tabla8[[#This Row],[Trenes Programados por Día Hábil]]</f>
        <v>0</v>
      </c>
      <c r="G3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5" s="16">
        <v>12820</v>
      </c>
      <c r="I35" s="16">
        <f t="shared" si="4"/>
        <v>792</v>
      </c>
      <c r="J35" s="16">
        <v>12028</v>
      </c>
      <c r="K35" s="16">
        <v>10432</v>
      </c>
      <c r="L35" s="16">
        <f t="shared" si="5"/>
        <v>1596</v>
      </c>
      <c r="M35" s="16"/>
      <c r="N35" s="17"/>
      <c r="O35" s="18">
        <v>1995</v>
      </c>
      <c r="P35" s="21" t="s">
        <v>41</v>
      </c>
      <c r="Q35" s="41"/>
      <c r="R35" s="41"/>
      <c r="S35" s="41"/>
      <c r="T35" s="16"/>
      <c r="U35" s="16"/>
      <c r="V35" s="16"/>
      <c r="W35" s="16"/>
      <c r="X35" s="69">
        <f>(SUM(X$134:X$149)/16)/(SUM($J$134:$J$149)/16)*MITRE[[#This Row],[Trenes Corridos]]</f>
        <v>4485.0787624073</v>
      </c>
      <c r="Y35" s="16"/>
      <c r="Z35" s="16"/>
      <c r="AA35" s="16"/>
      <c r="AB35" s="17"/>
      <c r="AC35" s="18">
        <v>1995</v>
      </c>
      <c r="AD35" s="21" t="s">
        <v>41</v>
      </c>
      <c r="AE35" s="41"/>
      <c r="AF35" s="41"/>
      <c r="AG35" s="41"/>
      <c r="AH35" s="16"/>
      <c r="AI35" s="16"/>
      <c r="AJ35" s="16"/>
      <c r="AK35" s="16"/>
      <c r="AL35" s="69">
        <f>(SUM(AL$134:AL$149)/16)/(SUM($J$134:$J$149)/16)*MITRE[[#This Row],[Trenes Corridos]]</f>
        <v>3507.383663001503</v>
      </c>
      <c r="AM35" s="16"/>
      <c r="AN35" s="16"/>
      <c r="AO35" s="16"/>
      <c r="AP35" s="17"/>
      <c r="AQ35" s="18">
        <v>1995</v>
      </c>
      <c r="AR35" s="21" t="s">
        <v>41</v>
      </c>
      <c r="AS35" s="41"/>
      <c r="AT35" s="41"/>
      <c r="AU35" s="41"/>
      <c r="AV35" s="16"/>
      <c r="AW35" s="16"/>
      <c r="AX35" s="16"/>
      <c r="AY35" s="16"/>
      <c r="AZ35" s="69">
        <f>(SUM(AZ$134:AZ$149)/16)/(SUM($J$134:$J$149)/16)*MITRE[[#This Row],[Trenes Corridos]]</f>
        <v>2527.7637675239303</v>
      </c>
      <c r="BA35" s="16"/>
      <c r="BB35" s="16"/>
      <c r="BC35" s="16"/>
      <c r="BD35" s="17"/>
      <c r="BE35" s="18">
        <v>1995</v>
      </c>
      <c r="BF35" s="21" t="s">
        <v>41</v>
      </c>
      <c r="BG35" s="41"/>
      <c r="BH35" s="41"/>
      <c r="BI35" s="41"/>
      <c r="BJ35" s="16"/>
      <c r="BK35" s="16"/>
      <c r="BL35" s="16"/>
      <c r="BM35" s="16"/>
      <c r="BN35" s="69">
        <f>(SUM(BN$134:BN$149)/16)/(SUM($J$134:$J$149)/16)*MITRE[[#This Row],[Trenes Corridos]]</f>
        <v>759.23074525922152</v>
      </c>
      <c r="BO35" s="16"/>
      <c r="BP35" s="16"/>
      <c r="BQ35" s="16"/>
      <c r="BR35" s="17"/>
      <c r="BS35" s="18">
        <v>1995</v>
      </c>
      <c r="BT35" s="21" t="s">
        <v>41</v>
      </c>
      <c r="BU35" s="41"/>
      <c r="BV35" s="41"/>
      <c r="BW35" s="41"/>
      <c r="BX35" s="16"/>
      <c r="BY35" s="16"/>
      <c r="BZ35" s="16"/>
      <c r="CA35" s="16"/>
      <c r="CB35" s="69">
        <f>(SUM(CB$134:CB$149)/16)/(SUM($J$134:$J$149)/16)*MITRE[[#This Row],[Trenes Corridos]]</f>
        <v>748.54306180804429</v>
      </c>
      <c r="CC35" s="16"/>
      <c r="CD35" s="16"/>
      <c r="CI35" s="40"/>
      <c r="CJ35" s="40"/>
      <c r="CK35" s="40"/>
      <c r="CL35" s="40"/>
      <c r="CM35" s="40"/>
    </row>
    <row r="36" spans="1:91" s="18" customFormat="1" ht="15" customHeight="1">
      <c r="A36" s="18">
        <v>1995</v>
      </c>
      <c r="B36" s="21" t="s">
        <v>42</v>
      </c>
      <c r="C36" s="15">
        <f>+MITRE[[#This Row],[Trenes Puntuales]]/MITRE[[#This Row],[Trenes Programados]]</f>
        <v>0.8507050660299933</v>
      </c>
      <c r="D36" s="15">
        <f>+MITRE[[#This Row],[Trenes Puntuales]]/MITRE[[#This Row],[Trenes Corridos]]</f>
        <v>0.8800555727076258</v>
      </c>
      <c r="E36" s="15">
        <f>+MITRE[[#This Row],[Trenes Corridos]]/MITRE[[#This Row],[Trenes Programados]]</f>
        <v>0.96664925762888909</v>
      </c>
      <c r="F36" s="16">
        <f>+Tabla4[[#This Row],[Trenes Programados por Día Hábil]]+Tabla5[[#This Row],[Trenes Programados por Día Hábil]]+Tabla6[[#This Row],[Trenes Programados por Día Hábil]]+MIT_Vic_Cap[[#This Row],[Trenes Programados por Día Hábil]]+Tabla8[[#This Row],[Trenes Programados por Día Hábil]]</f>
        <v>0</v>
      </c>
      <c r="G3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6" s="16">
        <v>13403</v>
      </c>
      <c r="I36" s="16">
        <f t="shared" si="4"/>
        <v>447</v>
      </c>
      <c r="J36" s="16">
        <v>12956</v>
      </c>
      <c r="K36" s="16">
        <v>11402</v>
      </c>
      <c r="L36" s="16">
        <f t="shared" si="5"/>
        <v>1554</v>
      </c>
      <c r="M36" s="16"/>
      <c r="N36" s="17"/>
      <c r="O36" s="18">
        <v>1995</v>
      </c>
      <c r="P36" s="21" t="s">
        <v>42</v>
      </c>
      <c r="Q36" s="41"/>
      <c r="R36" s="41"/>
      <c r="S36" s="41"/>
      <c r="T36" s="16"/>
      <c r="U36" s="16"/>
      <c r="V36" s="16"/>
      <c r="W36" s="16"/>
      <c r="X36" s="69">
        <f>(SUM(X$134:X$149)/16)/(SUM($J$134:$J$149)/16)*MITRE[[#This Row],[Trenes Corridos]]</f>
        <v>4831.1174298095266</v>
      </c>
      <c r="Y36" s="16"/>
      <c r="Z36" s="16"/>
      <c r="AA36" s="16"/>
      <c r="AB36" s="17"/>
      <c r="AC36" s="18">
        <v>1995</v>
      </c>
      <c r="AD36" s="21" t="s">
        <v>42</v>
      </c>
      <c r="AE36" s="41"/>
      <c r="AF36" s="41"/>
      <c r="AG36" s="41"/>
      <c r="AH36" s="16"/>
      <c r="AI36" s="16"/>
      <c r="AJ36" s="16"/>
      <c r="AK36" s="16"/>
      <c r="AL36" s="69">
        <f>(SUM(AL$134:AL$149)/16)/(SUM($J$134:$J$149)/16)*MITRE[[#This Row],[Trenes Corridos]]</f>
        <v>3777.9899183444859</v>
      </c>
      <c r="AM36" s="16"/>
      <c r="AN36" s="16"/>
      <c r="AO36" s="16"/>
      <c r="AP36" s="17"/>
      <c r="AQ36" s="18">
        <v>1995</v>
      </c>
      <c r="AR36" s="21" t="s">
        <v>42</v>
      </c>
      <c r="AS36" s="41"/>
      <c r="AT36" s="41"/>
      <c r="AU36" s="41"/>
      <c r="AV36" s="16"/>
      <c r="AW36" s="16"/>
      <c r="AX36" s="16"/>
      <c r="AY36" s="16"/>
      <c r="AZ36" s="69">
        <f>(SUM(AZ$134:AZ$149)/16)/(SUM($J$134:$J$149)/16)*MITRE[[#This Row],[Trenes Corridos]]</f>
        <v>2722.789106421686</v>
      </c>
      <c r="BA36" s="16"/>
      <c r="BB36" s="16"/>
      <c r="BC36" s="16"/>
      <c r="BD36" s="17"/>
      <c r="BE36" s="18">
        <v>1995</v>
      </c>
      <c r="BF36" s="21" t="s">
        <v>42</v>
      </c>
      <c r="BG36" s="41"/>
      <c r="BH36" s="41"/>
      <c r="BI36" s="41"/>
      <c r="BJ36" s="16"/>
      <c r="BK36" s="16"/>
      <c r="BL36" s="16"/>
      <c r="BM36" s="16"/>
      <c r="BN36" s="69">
        <f>(SUM(BN$134:BN$149)/16)/(SUM($J$134:$J$149)/16)*MITRE[[#This Row],[Trenes Corridos]]</f>
        <v>817.80790950935102</v>
      </c>
      <c r="BO36" s="16"/>
      <c r="BP36" s="16"/>
      <c r="BQ36" s="16"/>
      <c r="BR36" s="17"/>
      <c r="BS36" s="18">
        <v>1995</v>
      </c>
      <c r="BT36" s="21" t="s">
        <v>42</v>
      </c>
      <c r="BU36" s="41"/>
      <c r="BV36" s="41"/>
      <c r="BW36" s="41"/>
      <c r="BX36" s="16"/>
      <c r="BY36" s="16"/>
      <c r="BZ36" s="16"/>
      <c r="CA36" s="16"/>
      <c r="CB36" s="69">
        <f>(SUM(CB$134:CB$149)/16)/(SUM($J$134:$J$149)/16)*MITRE[[#This Row],[Trenes Corridos]]</f>
        <v>806.29563591495025</v>
      </c>
      <c r="CC36" s="16"/>
      <c r="CD36" s="16"/>
      <c r="CI36" s="40"/>
      <c r="CJ36" s="40"/>
      <c r="CK36" s="40"/>
      <c r="CL36" s="40"/>
      <c r="CM36" s="40"/>
    </row>
    <row r="37" spans="1:91" s="18" customFormat="1" ht="15" customHeight="1">
      <c r="A37" s="18">
        <v>1995</v>
      </c>
      <c r="B37" s="21" t="s">
        <v>43</v>
      </c>
      <c r="C37" s="15">
        <f>+MITRE[[#This Row],[Trenes Puntuales]]/MITRE[[#This Row],[Trenes Programados]]</f>
        <v>0.9066636918042541</v>
      </c>
      <c r="D37" s="15">
        <f>+MITRE[[#This Row],[Trenes Puntuales]]/MITRE[[#This Row],[Trenes Corridos]]</f>
        <v>0.91393657695479424</v>
      </c>
      <c r="E37" s="15">
        <f>+MITRE[[#This Row],[Trenes Corridos]]/MITRE[[#This Row],[Trenes Programados]]</f>
        <v>0.9920422430462591</v>
      </c>
      <c r="F37" s="16">
        <f>+Tabla4[[#This Row],[Trenes Programados por Día Hábil]]+Tabla5[[#This Row],[Trenes Programados por Día Hábil]]+Tabla6[[#This Row],[Trenes Programados por Día Hábil]]+MIT_Vic_Cap[[#This Row],[Trenes Programados por Día Hábil]]+Tabla8[[#This Row],[Trenes Programados por Día Hábil]]</f>
        <v>0</v>
      </c>
      <c r="G3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7" s="16">
        <v>13446</v>
      </c>
      <c r="I37" s="16">
        <f t="shared" si="4"/>
        <v>107</v>
      </c>
      <c r="J37" s="16">
        <v>13339</v>
      </c>
      <c r="K37" s="16">
        <v>12191</v>
      </c>
      <c r="L37" s="16">
        <f t="shared" si="5"/>
        <v>1148</v>
      </c>
      <c r="M37" s="16"/>
      <c r="N37" s="17"/>
      <c r="O37" s="18">
        <v>1995</v>
      </c>
      <c r="P37" s="21" t="s">
        <v>43</v>
      </c>
      <c r="Q37" s="41"/>
      <c r="R37" s="41"/>
      <c r="S37" s="41"/>
      <c r="T37" s="16"/>
      <c r="U37" s="16"/>
      <c r="V37" s="16"/>
      <c r="W37" s="16"/>
      <c r="X37" s="69">
        <f>(SUM(X$134:X$149)/16)/(SUM($J$134:$J$149)/16)*MITRE[[#This Row],[Trenes Corridos]]</f>
        <v>4973.9329574119538</v>
      </c>
      <c r="Y37" s="16"/>
      <c r="Z37" s="16"/>
      <c r="AA37" s="16"/>
      <c r="AB37" s="17"/>
      <c r="AC37" s="18">
        <v>1995</v>
      </c>
      <c r="AD37" s="21" t="s">
        <v>43</v>
      </c>
      <c r="AE37" s="41"/>
      <c r="AF37" s="41"/>
      <c r="AG37" s="41"/>
      <c r="AH37" s="16"/>
      <c r="AI37" s="16"/>
      <c r="AJ37" s="16"/>
      <c r="AK37" s="16"/>
      <c r="AL37" s="69">
        <f>(SUM(AL$134:AL$149)/16)/(SUM($J$134:$J$149)/16)*MITRE[[#This Row],[Trenes Corridos]]</f>
        <v>3889.6733189871175</v>
      </c>
      <c r="AM37" s="16"/>
      <c r="AN37" s="16"/>
      <c r="AO37" s="16"/>
      <c r="AP37" s="17"/>
      <c r="AQ37" s="18">
        <v>1995</v>
      </c>
      <c r="AR37" s="21" t="s">
        <v>43</v>
      </c>
      <c r="AS37" s="41"/>
      <c r="AT37" s="41"/>
      <c r="AU37" s="41"/>
      <c r="AV37" s="16"/>
      <c r="AW37" s="16"/>
      <c r="AX37" s="16"/>
      <c r="AY37" s="16"/>
      <c r="AZ37" s="69">
        <f>(SUM(AZ$134:AZ$149)/16)/(SUM($J$134:$J$149)/16)*MITRE[[#This Row],[Trenes Corridos]]</f>
        <v>2803.2790900400487</v>
      </c>
      <c r="BA37" s="16"/>
      <c r="BB37" s="16"/>
      <c r="BC37" s="16"/>
      <c r="BD37" s="17"/>
      <c r="BE37" s="18">
        <v>1995</v>
      </c>
      <c r="BF37" s="21" t="s">
        <v>43</v>
      </c>
      <c r="BG37" s="41"/>
      <c r="BH37" s="41"/>
      <c r="BI37" s="41"/>
      <c r="BJ37" s="16"/>
      <c r="BK37" s="16"/>
      <c r="BL37" s="16"/>
      <c r="BM37" s="16"/>
      <c r="BN37" s="69">
        <f>(SUM(BN$134:BN$149)/16)/(SUM($J$134:$J$149)/16)*MITRE[[#This Row],[Trenes Corridos]]</f>
        <v>841.98361415137651</v>
      </c>
      <c r="BO37" s="16"/>
      <c r="BP37" s="16"/>
      <c r="BQ37" s="16"/>
      <c r="BR37" s="17"/>
      <c r="BS37" s="18">
        <v>1995</v>
      </c>
      <c r="BT37" s="21" t="s">
        <v>43</v>
      </c>
      <c r="BU37" s="41"/>
      <c r="BV37" s="41"/>
      <c r="BW37" s="41"/>
      <c r="BX37" s="16"/>
      <c r="BY37" s="16"/>
      <c r="BZ37" s="16"/>
      <c r="CA37" s="16"/>
      <c r="CB37" s="69">
        <f>(SUM(CB$134:CB$149)/16)/(SUM($J$134:$J$149)/16)*MITRE[[#This Row],[Trenes Corridos]]</f>
        <v>830.1310194095031</v>
      </c>
      <c r="CC37" s="16"/>
      <c r="CD37" s="16"/>
      <c r="CI37" s="40"/>
      <c r="CJ37" s="40"/>
      <c r="CK37" s="40"/>
      <c r="CL37" s="40"/>
      <c r="CM37" s="40"/>
    </row>
    <row r="38" spans="1:91" s="18" customFormat="1" ht="15" customHeight="1">
      <c r="A38" s="18">
        <v>1995</v>
      </c>
      <c r="B38" s="21" t="s">
        <v>44</v>
      </c>
      <c r="C38" s="15">
        <f>+MITRE[[#This Row],[Trenes Puntuales]]/MITRE[[#This Row],[Trenes Programados]]</f>
        <v>0.88297142857142852</v>
      </c>
      <c r="D38" s="15">
        <f>+MITRE[[#This Row],[Trenes Puntuales]]/MITRE[[#This Row],[Trenes Corridos]]</f>
        <v>0.89442000463070159</v>
      </c>
      <c r="E38" s="15">
        <f>+MITRE[[#This Row],[Trenes Corridos]]/MITRE[[#This Row],[Trenes Programados]]</f>
        <v>0.98719999999999997</v>
      </c>
      <c r="F38" s="16">
        <f>+Tabla4[[#This Row],[Trenes Programados por Día Hábil]]+Tabla5[[#This Row],[Trenes Programados por Día Hábil]]+Tabla6[[#This Row],[Trenes Programados por Día Hábil]]+MIT_Vic_Cap[[#This Row],[Trenes Programados por Día Hábil]]+Tabla8[[#This Row],[Trenes Programados por Día Hábil]]</f>
        <v>0</v>
      </c>
      <c r="G3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8" s="16">
        <v>13125</v>
      </c>
      <c r="I38" s="16">
        <f t="shared" si="4"/>
        <v>168</v>
      </c>
      <c r="J38" s="16">
        <f>4540+4009+2743+741+924</f>
        <v>12957</v>
      </c>
      <c r="K38" s="16">
        <f>4489+3842+2582+676</f>
        <v>11589</v>
      </c>
      <c r="L38" s="16">
        <f t="shared" si="5"/>
        <v>1368</v>
      </c>
      <c r="M38" s="16"/>
      <c r="N38" s="17"/>
      <c r="O38" s="18">
        <v>1995</v>
      </c>
      <c r="P38" s="21" t="s">
        <v>44</v>
      </c>
      <c r="Q38" s="41"/>
      <c r="R38" s="41"/>
      <c r="S38" s="41"/>
      <c r="T38" s="16"/>
      <c r="U38" s="16"/>
      <c r="V38" s="16"/>
      <c r="W38" s="16"/>
      <c r="X38" s="69">
        <f>(SUM(X$134:X$149)/16)/(SUM($J$134:$J$149)/16)*MITRE[[#This Row],[Trenes Corridos]]</f>
        <v>4831.4903163045719</v>
      </c>
      <c r="Y38" s="16"/>
      <c r="Z38" s="16"/>
      <c r="AA38" s="16"/>
      <c r="AB38" s="17"/>
      <c r="AC38" s="18">
        <v>1995</v>
      </c>
      <c r="AD38" s="21" t="s">
        <v>44</v>
      </c>
      <c r="AE38" s="41"/>
      <c r="AF38" s="41"/>
      <c r="AG38" s="41"/>
      <c r="AH38" s="16"/>
      <c r="AI38" s="16"/>
      <c r="AJ38" s="16"/>
      <c r="AK38" s="16"/>
      <c r="AL38" s="69">
        <f>(SUM(AL$134:AL$149)/16)/(SUM($J$134:$J$149)/16)*MITRE[[#This Row],[Trenes Corridos]]</f>
        <v>3778.2815199127431</v>
      </c>
      <c r="AM38" s="16"/>
      <c r="AN38" s="16"/>
      <c r="AO38" s="16"/>
      <c r="AP38" s="17"/>
      <c r="AQ38" s="18">
        <v>1995</v>
      </c>
      <c r="AR38" s="21" t="s">
        <v>44</v>
      </c>
      <c r="AS38" s="41"/>
      <c r="AT38" s="41"/>
      <c r="AU38" s="41"/>
      <c r="AV38" s="16"/>
      <c r="AW38" s="16"/>
      <c r="AX38" s="16"/>
      <c r="AY38" s="16"/>
      <c r="AZ38" s="69">
        <f>(SUM(AZ$134:AZ$149)/16)/(SUM($J$134:$J$149)/16)*MITRE[[#This Row],[Trenes Corridos]]</f>
        <v>2722.9992630368774</v>
      </c>
      <c r="BA38" s="16"/>
      <c r="BB38" s="16"/>
      <c r="BC38" s="16"/>
      <c r="BD38" s="17"/>
      <c r="BE38" s="18">
        <v>1995</v>
      </c>
      <c r="BF38" s="21" t="s">
        <v>44</v>
      </c>
      <c r="BG38" s="41"/>
      <c r="BH38" s="41"/>
      <c r="BI38" s="41"/>
      <c r="BJ38" s="16"/>
      <c r="BK38" s="16"/>
      <c r="BL38" s="16"/>
      <c r="BM38" s="16"/>
      <c r="BN38" s="69">
        <f>(SUM(BN$134:BN$149)/16)/(SUM($J$134:$J$149)/16)*MITRE[[#This Row],[Trenes Corridos]]</f>
        <v>817.87103145358606</v>
      </c>
      <c r="BO38" s="16"/>
      <c r="BP38" s="16"/>
      <c r="BQ38" s="16"/>
      <c r="BR38" s="17"/>
      <c r="BS38" s="18">
        <v>1995</v>
      </c>
      <c r="BT38" s="21" t="s">
        <v>44</v>
      </c>
      <c r="BU38" s="41"/>
      <c r="BV38" s="41"/>
      <c r="BW38" s="41"/>
      <c r="BX38" s="16"/>
      <c r="BY38" s="16"/>
      <c r="BZ38" s="16"/>
      <c r="CA38" s="16"/>
      <c r="CB38" s="69">
        <f>(SUM(CB$134:CB$149)/16)/(SUM($J$134:$J$149)/16)*MITRE[[#This Row],[Trenes Corridos]]</f>
        <v>806.35786929222058</v>
      </c>
      <c r="CC38" s="16"/>
      <c r="CD38" s="16"/>
      <c r="CI38" s="40"/>
      <c r="CJ38" s="40"/>
      <c r="CK38" s="40"/>
      <c r="CL38" s="40"/>
      <c r="CM38" s="40"/>
    </row>
    <row r="39" spans="1:91" s="18" customFormat="1" ht="15" customHeight="1">
      <c r="A39" s="18">
        <v>1995</v>
      </c>
      <c r="B39" s="21" t="s">
        <v>45</v>
      </c>
      <c r="C39" s="15">
        <f>+MITRE[[#This Row],[Trenes Puntuales]]/MITRE[[#This Row],[Trenes Programados]]</f>
        <v>0.964328899637243</v>
      </c>
      <c r="D39" s="15">
        <f>+MITRE[[#This Row],[Trenes Puntuales]]/MITRE[[#This Row],[Trenes Corridos]]</f>
        <v>0.96652022420845329</v>
      </c>
      <c r="E39" s="15">
        <f>+MITRE[[#This Row],[Trenes Corridos]]/MITRE[[#This Row],[Trenes Programados]]</f>
        <v>0.99773276904474006</v>
      </c>
      <c r="F39" s="16">
        <f>+Tabla4[[#This Row],[Trenes Programados por Día Hábil]]+Tabla5[[#This Row],[Trenes Programados por Día Hábil]]+Tabla6[[#This Row],[Trenes Programados por Día Hábil]]+MIT_Vic_Cap[[#This Row],[Trenes Programados por Día Hábil]]+Tabla8[[#This Row],[Trenes Programados por Día Hábil]]</f>
        <v>0</v>
      </c>
      <c r="G3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9" s="16">
        <v>13232</v>
      </c>
      <c r="I39" s="16">
        <f t="shared" si="4"/>
        <v>30</v>
      </c>
      <c r="J39" s="16">
        <v>13202</v>
      </c>
      <c r="K39" s="16">
        <v>12760</v>
      </c>
      <c r="L39" s="16">
        <f t="shared" si="5"/>
        <v>442</v>
      </c>
      <c r="M39" s="16"/>
      <c r="N39" s="17"/>
      <c r="O39" s="18">
        <v>1995</v>
      </c>
      <c r="P39" s="21" t="s">
        <v>45</v>
      </c>
      <c r="Q39" s="41"/>
      <c r="R39" s="41"/>
      <c r="S39" s="41"/>
      <c r="T39" s="16"/>
      <c r="U39" s="16"/>
      <c r="V39" s="16"/>
      <c r="W39" s="16"/>
      <c r="X39" s="69">
        <f>(SUM(X$134:X$149)/16)/(SUM($J$134:$J$149)/16)*MITRE[[#This Row],[Trenes Corridos]]</f>
        <v>4922.8475075907199</v>
      </c>
      <c r="Y39" s="16"/>
      <c r="Z39" s="16"/>
      <c r="AA39" s="16"/>
      <c r="AB39" s="17"/>
      <c r="AC39" s="18">
        <v>1995</v>
      </c>
      <c r="AD39" s="21" t="s">
        <v>45</v>
      </c>
      <c r="AE39" s="41"/>
      <c r="AF39" s="41"/>
      <c r="AG39" s="41"/>
      <c r="AH39" s="16"/>
      <c r="AI39" s="16"/>
      <c r="AJ39" s="16"/>
      <c r="AK39" s="16"/>
      <c r="AL39" s="69">
        <f>(SUM(AL$134:AL$149)/16)/(SUM($J$134:$J$149)/16)*MITRE[[#This Row],[Trenes Corridos]]</f>
        <v>3849.7239041358366</v>
      </c>
      <c r="AM39" s="16"/>
      <c r="AN39" s="16"/>
      <c r="AO39" s="16"/>
      <c r="AP39" s="17"/>
      <c r="AQ39" s="18">
        <v>1995</v>
      </c>
      <c r="AR39" s="21" t="s">
        <v>45</v>
      </c>
      <c r="AS39" s="41"/>
      <c r="AT39" s="41"/>
      <c r="AU39" s="41"/>
      <c r="AV39" s="16"/>
      <c r="AW39" s="16"/>
      <c r="AX39" s="16"/>
      <c r="AY39" s="16"/>
      <c r="AZ39" s="69">
        <f>(SUM(AZ$134:AZ$149)/16)/(SUM($J$134:$J$149)/16)*MITRE[[#This Row],[Trenes Corridos]]</f>
        <v>2774.4876337588066</v>
      </c>
      <c r="BA39" s="16"/>
      <c r="BB39" s="16"/>
      <c r="BC39" s="16"/>
      <c r="BD39" s="17"/>
      <c r="BE39" s="18">
        <v>1995</v>
      </c>
      <c r="BF39" s="21" t="s">
        <v>45</v>
      </c>
      <c r="BG39" s="41"/>
      <c r="BH39" s="41"/>
      <c r="BI39" s="41"/>
      <c r="BJ39" s="16"/>
      <c r="BK39" s="16"/>
      <c r="BL39" s="16"/>
      <c r="BM39" s="16"/>
      <c r="BN39" s="69">
        <f>(SUM(BN$134:BN$149)/16)/(SUM($J$134:$J$149)/16)*MITRE[[#This Row],[Trenes Corridos]]</f>
        <v>833.33590779117412</v>
      </c>
      <c r="BO39" s="16"/>
      <c r="BP39" s="16"/>
      <c r="BQ39" s="16"/>
      <c r="BR39" s="17"/>
      <c r="BS39" s="18">
        <v>1995</v>
      </c>
      <c r="BT39" s="21" t="s">
        <v>45</v>
      </c>
      <c r="BU39" s="41"/>
      <c r="BV39" s="41"/>
      <c r="BW39" s="41"/>
      <c r="BX39" s="16"/>
      <c r="BY39" s="16"/>
      <c r="BZ39" s="16"/>
      <c r="CA39" s="16"/>
      <c r="CB39" s="69">
        <f>(SUM(CB$134:CB$149)/16)/(SUM($J$134:$J$149)/16)*MITRE[[#This Row],[Trenes Corridos]]</f>
        <v>821.60504672346201</v>
      </c>
      <c r="CC39" s="16"/>
      <c r="CD39" s="16"/>
      <c r="CI39" s="40"/>
      <c r="CJ39" s="40"/>
      <c r="CK39" s="40"/>
      <c r="CL39" s="40"/>
      <c r="CM39" s="40"/>
    </row>
    <row r="40" spans="1:91" s="18" customFormat="1" ht="15" customHeight="1">
      <c r="A40" s="18">
        <v>1995</v>
      </c>
      <c r="B40" s="21" t="s">
        <v>46</v>
      </c>
      <c r="C40" s="15">
        <f>+MITRE[[#This Row],[Trenes Puntuales]]/MITRE[[#This Row],[Trenes Programados]]</f>
        <v>0.97151321786690981</v>
      </c>
      <c r="D40" s="15">
        <f>+MITRE[[#This Row],[Trenes Puntuales]]/MITRE[[#This Row],[Trenes Corridos]]</f>
        <v>0.97336174746936599</v>
      </c>
      <c r="E40" s="15">
        <f>+MITRE[[#This Row],[Trenes Corridos]]/MITRE[[#This Row],[Trenes Programados]]</f>
        <v>0.99810088119112728</v>
      </c>
      <c r="F40" s="16">
        <f>+Tabla4[[#This Row],[Trenes Programados por Día Hábil]]+Tabla5[[#This Row],[Trenes Programados por Día Hábil]]+Tabla6[[#This Row],[Trenes Programados por Día Hábil]]+MIT_Vic_Cap[[#This Row],[Trenes Programados por Día Hábil]]+Tabla8[[#This Row],[Trenes Programados por Día Hábil]]</f>
        <v>0</v>
      </c>
      <c r="G4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0" s="16">
        <v>13164</v>
      </c>
      <c r="I40" s="16">
        <f t="shared" si="4"/>
        <v>25</v>
      </c>
      <c r="J40" s="16">
        <v>13139</v>
      </c>
      <c r="K40" s="16">
        <v>12789</v>
      </c>
      <c r="L40" s="16">
        <f t="shared" si="5"/>
        <v>350</v>
      </c>
      <c r="M40" s="16"/>
      <c r="N40" s="17"/>
      <c r="O40" s="18">
        <v>1995</v>
      </c>
      <c r="P40" s="21" t="s">
        <v>46</v>
      </c>
      <c r="Q40" s="41"/>
      <c r="R40" s="41"/>
      <c r="S40" s="41"/>
      <c r="T40" s="16"/>
      <c r="U40" s="16"/>
      <c r="V40" s="16"/>
      <c r="W40" s="16"/>
      <c r="X40" s="69">
        <f>(SUM(X$134:X$149)/16)/(SUM($J$134:$J$149)/16)*MITRE[[#This Row],[Trenes Corridos]]</f>
        <v>4899.3556584028538</v>
      </c>
      <c r="Y40" s="16"/>
      <c r="Z40" s="16"/>
      <c r="AA40" s="16"/>
      <c r="AB40" s="17"/>
      <c r="AC40" s="18">
        <v>1995</v>
      </c>
      <c r="AD40" s="21" t="s">
        <v>46</v>
      </c>
      <c r="AE40" s="41"/>
      <c r="AF40" s="41"/>
      <c r="AG40" s="41"/>
      <c r="AH40" s="16"/>
      <c r="AI40" s="16"/>
      <c r="AJ40" s="16"/>
      <c r="AK40" s="16"/>
      <c r="AL40" s="69">
        <f>(SUM(AL$134:AL$149)/16)/(SUM($J$134:$J$149)/16)*MITRE[[#This Row],[Trenes Corridos]]</f>
        <v>3831.3530053356126</v>
      </c>
      <c r="AM40" s="16"/>
      <c r="AN40" s="16"/>
      <c r="AO40" s="16"/>
      <c r="AP40" s="17"/>
      <c r="AQ40" s="18">
        <v>1995</v>
      </c>
      <c r="AR40" s="21" t="s">
        <v>46</v>
      </c>
      <c r="AS40" s="41"/>
      <c r="AT40" s="41"/>
      <c r="AU40" s="41"/>
      <c r="AV40" s="16"/>
      <c r="AW40" s="16"/>
      <c r="AX40" s="16"/>
      <c r="AY40" s="16"/>
      <c r="AZ40" s="69">
        <f>(SUM(AZ$134:AZ$149)/16)/(SUM($J$134:$J$149)/16)*MITRE[[#This Row],[Trenes Corridos]]</f>
        <v>2761.2477670017392</v>
      </c>
      <c r="BA40" s="16"/>
      <c r="BB40" s="16"/>
      <c r="BC40" s="16"/>
      <c r="BD40" s="17"/>
      <c r="BE40" s="18">
        <v>1995</v>
      </c>
      <c r="BF40" s="21" t="s">
        <v>46</v>
      </c>
      <c r="BG40" s="41"/>
      <c r="BH40" s="41"/>
      <c r="BI40" s="41"/>
      <c r="BJ40" s="16"/>
      <c r="BK40" s="16"/>
      <c r="BL40" s="16"/>
      <c r="BM40" s="16"/>
      <c r="BN40" s="69">
        <f>(SUM(BN$134:BN$149)/16)/(SUM($J$134:$J$149)/16)*MITRE[[#This Row],[Trenes Corridos]]</f>
        <v>829.35922530436585</v>
      </c>
      <c r="BO40" s="16"/>
      <c r="BP40" s="16"/>
      <c r="BQ40" s="16"/>
      <c r="BR40" s="17"/>
      <c r="BS40" s="18">
        <v>1995</v>
      </c>
      <c r="BT40" s="21" t="s">
        <v>46</v>
      </c>
      <c r="BU40" s="41"/>
      <c r="BV40" s="41"/>
      <c r="BW40" s="41"/>
      <c r="BX40" s="16"/>
      <c r="BY40" s="16"/>
      <c r="BZ40" s="16"/>
      <c r="CA40" s="16"/>
      <c r="CB40" s="69">
        <f>(SUM(CB$134:CB$149)/16)/(SUM($J$134:$J$149)/16)*MITRE[[#This Row],[Trenes Corridos]]</f>
        <v>817.68434395542852</v>
      </c>
      <c r="CC40" s="16"/>
      <c r="CD40" s="16"/>
      <c r="CI40" s="40"/>
      <c r="CJ40" s="40"/>
      <c r="CK40" s="40"/>
      <c r="CL40" s="40"/>
      <c r="CM40" s="40"/>
    </row>
    <row r="41" spans="1:91" s="18" customFormat="1" ht="15" customHeight="1">
      <c r="A41" s="18">
        <v>1995</v>
      </c>
      <c r="B41" s="21" t="s">
        <v>47</v>
      </c>
      <c r="C41" s="15">
        <f>+MITRE[[#This Row],[Trenes Puntuales]]/MITRE[[#This Row],[Trenes Programados]]</f>
        <v>0.96262113520996773</v>
      </c>
      <c r="D41" s="15">
        <f>+MITRE[[#This Row],[Trenes Puntuales]]/MITRE[[#This Row],[Trenes Corridos]]</f>
        <v>0.96425269645608624</v>
      </c>
      <c r="E41" s="15">
        <f>+MITRE[[#This Row],[Trenes Corridos]]/MITRE[[#This Row],[Trenes Programados]]</f>
        <v>0.99830795262267347</v>
      </c>
      <c r="F41" s="16">
        <f>+Tabla4[[#This Row],[Trenes Programados por Día Hábil]]+Tabla5[[#This Row],[Trenes Programados por Día Hábil]]+Tabla6[[#This Row],[Trenes Programados por Día Hábil]]+MIT_Vic_Cap[[#This Row],[Trenes Programados por Día Hábil]]+Tabla8[[#This Row],[Trenes Programados por Día Hábil]]</f>
        <v>0</v>
      </c>
      <c r="G4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1" s="16">
        <v>13002</v>
      </c>
      <c r="I41" s="16">
        <f t="shared" si="4"/>
        <v>22</v>
      </c>
      <c r="J41" s="16">
        <v>12980</v>
      </c>
      <c r="K41" s="16">
        <v>12516</v>
      </c>
      <c r="L41" s="16">
        <f t="shared" si="5"/>
        <v>464</v>
      </c>
      <c r="M41" s="16"/>
      <c r="N41" s="17"/>
      <c r="O41" s="18">
        <v>1995</v>
      </c>
      <c r="P41" s="21" t="s">
        <v>47</v>
      </c>
      <c r="Q41" s="41"/>
      <c r="R41" s="41"/>
      <c r="S41" s="41"/>
      <c r="T41" s="16"/>
      <c r="U41" s="16"/>
      <c r="V41" s="16"/>
      <c r="W41" s="16"/>
      <c r="X41" s="69">
        <f>(SUM(X$134:X$149)/16)/(SUM($J$134:$J$149)/16)*MITRE[[#This Row],[Trenes Corridos]]</f>
        <v>4840.0667056906186</v>
      </c>
      <c r="Y41" s="16"/>
      <c r="Z41" s="16"/>
      <c r="AA41" s="16"/>
      <c r="AB41" s="17"/>
      <c r="AC41" s="18">
        <v>1995</v>
      </c>
      <c r="AD41" s="21" t="s">
        <v>47</v>
      </c>
      <c r="AE41" s="41"/>
      <c r="AF41" s="41"/>
      <c r="AG41" s="41"/>
      <c r="AH41" s="16"/>
      <c r="AI41" s="16"/>
      <c r="AJ41" s="16"/>
      <c r="AK41" s="16"/>
      <c r="AL41" s="69">
        <f>(SUM(AL$134:AL$149)/16)/(SUM($J$134:$J$149)/16)*MITRE[[#This Row],[Trenes Corridos]]</f>
        <v>3784.9883559826662</v>
      </c>
      <c r="AM41" s="16"/>
      <c r="AN41" s="16"/>
      <c r="AO41" s="16"/>
      <c r="AP41" s="17"/>
      <c r="AQ41" s="18">
        <v>1995</v>
      </c>
      <c r="AR41" s="21" t="s">
        <v>47</v>
      </c>
      <c r="AS41" s="41"/>
      <c r="AT41" s="41"/>
      <c r="AU41" s="41"/>
      <c r="AV41" s="16"/>
      <c r="AW41" s="16"/>
      <c r="AX41" s="16"/>
      <c r="AY41" s="16"/>
      <c r="AZ41" s="69">
        <f>(SUM(AZ$134:AZ$149)/16)/(SUM($J$134:$J$149)/16)*MITRE[[#This Row],[Trenes Corridos]]</f>
        <v>2727.832865186283</v>
      </c>
      <c r="BA41" s="16"/>
      <c r="BB41" s="16"/>
      <c r="BC41" s="16"/>
      <c r="BD41" s="17"/>
      <c r="BE41" s="18">
        <v>1995</v>
      </c>
      <c r="BF41" s="21" t="s">
        <v>47</v>
      </c>
      <c r="BG41" s="41"/>
      <c r="BH41" s="41"/>
      <c r="BI41" s="41"/>
      <c r="BJ41" s="16"/>
      <c r="BK41" s="16"/>
      <c r="BL41" s="16"/>
      <c r="BM41" s="16"/>
      <c r="BN41" s="69">
        <f>(SUM(BN$134:BN$149)/16)/(SUM($J$134:$J$149)/16)*MITRE[[#This Row],[Trenes Corridos]]</f>
        <v>819.32283617099233</v>
      </c>
      <c r="BO41" s="16"/>
      <c r="BP41" s="16"/>
      <c r="BQ41" s="16"/>
      <c r="BR41" s="17"/>
      <c r="BS41" s="18">
        <v>1995</v>
      </c>
      <c r="BT41" s="21" t="s">
        <v>47</v>
      </c>
      <c r="BU41" s="41"/>
      <c r="BV41" s="41"/>
      <c r="BW41" s="41"/>
      <c r="BX41" s="16"/>
      <c r="BY41" s="16"/>
      <c r="BZ41" s="16"/>
      <c r="CA41" s="16"/>
      <c r="CB41" s="69">
        <f>(SUM(CB$134:CB$149)/16)/(SUM($J$134:$J$149)/16)*MITRE[[#This Row],[Trenes Corridos]]</f>
        <v>807.78923696943923</v>
      </c>
      <c r="CC41" s="16"/>
      <c r="CD41" s="16"/>
      <c r="CI41" s="40"/>
      <c r="CJ41" s="40"/>
      <c r="CK41" s="40"/>
      <c r="CL41" s="40"/>
      <c r="CM41" s="40"/>
    </row>
    <row r="42" spans="1:91" s="18" customFormat="1" ht="15" customHeight="1">
      <c r="A42" s="18">
        <v>1996</v>
      </c>
      <c r="B42" s="21" t="s">
        <v>36</v>
      </c>
      <c r="C42" s="15">
        <f>+MITRE[[#This Row],[Trenes Puntuales]]/MITRE[[#This Row],[Trenes Programados]]</f>
        <v>0.97020414290002999</v>
      </c>
      <c r="D42" s="15">
        <f>+MITRE[[#This Row],[Trenes Puntuales]]/MITRE[[#This Row],[Trenes Corridos]]</f>
        <v>0.97393204249227761</v>
      </c>
      <c r="E42" s="15">
        <f>+MITRE[[#This Row],[Trenes Corridos]]/MITRE[[#This Row],[Trenes Programados]]</f>
        <v>0.99617232062443706</v>
      </c>
      <c r="F42" s="16">
        <f>+Tabla4[[#This Row],[Trenes Programados por Día Hábil]]+Tabla5[[#This Row],[Trenes Programados por Día Hábil]]+Tabla6[[#This Row],[Trenes Programados por Día Hábil]]+MIT_Vic_Cap[[#This Row],[Trenes Programados por Día Hábil]]+Tabla8[[#This Row],[Trenes Programados por Día Hábil]]</f>
        <v>0</v>
      </c>
      <c r="G4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2" s="16">
        <v>13324</v>
      </c>
      <c r="I42" s="16">
        <f t="shared" ref="I42:I53" si="6">H42-J42</f>
        <v>51</v>
      </c>
      <c r="J42" s="16">
        <v>13273</v>
      </c>
      <c r="K42" s="16">
        <v>12927</v>
      </c>
      <c r="L42" s="16">
        <f t="shared" ref="L42:L53" si="7">J42-K42</f>
        <v>346</v>
      </c>
      <c r="M42" s="16"/>
      <c r="N42" s="17"/>
      <c r="O42" s="18">
        <v>1996</v>
      </c>
      <c r="P42" s="21" t="s">
        <v>36</v>
      </c>
      <c r="Q42" s="41"/>
      <c r="R42" s="41"/>
      <c r="S42" s="41"/>
      <c r="T42" s="16"/>
      <c r="U42" s="16"/>
      <c r="V42" s="16"/>
      <c r="W42" s="16"/>
      <c r="X42" s="69">
        <f>(SUM(X$134:X$149)/16)/(SUM($J$134:$J$149)/16)*MITRE[[#This Row],[Trenes Corridos]]</f>
        <v>4949.3224487389507</v>
      </c>
      <c r="Y42" s="16"/>
      <c r="Z42" s="16"/>
      <c r="AA42" s="16"/>
      <c r="AB42" s="17"/>
      <c r="AC42" s="18">
        <v>1996</v>
      </c>
      <c r="AD42" s="21" t="s">
        <v>36</v>
      </c>
      <c r="AE42" s="41"/>
      <c r="AF42" s="41"/>
      <c r="AG42" s="41"/>
      <c r="AH42" s="16"/>
      <c r="AI42" s="16"/>
      <c r="AJ42" s="16"/>
      <c r="AK42" s="16"/>
      <c r="AL42" s="69">
        <f>(SUM(AL$134:AL$149)/16)/(SUM($J$134:$J$149)/16)*MITRE[[#This Row],[Trenes Corridos]]</f>
        <v>3870.4276154821209</v>
      </c>
      <c r="AM42" s="16"/>
      <c r="AN42" s="16"/>
      <c r="AO42" s="16"/>
      <c r="AP42" s="17"/>
      <c r="AQ42" s="18">
        <v>1996</v>
      </c>
      <c r="AR42" s="21" t="s">
        <v>36</v>
      </c>
      <c r="AS42" s="41"/>
      <c r="AT42" s="41"/>
      <c r="AU42" s="41"/>
      <c r="AV42" s="16"/>
      <c r="AW42" s="16"/>
      <c r="AX42" s="16"/>
      <c r="AY42" s="16"/>
      <c r="AZ42" s="69">
        <f>(SUM(AZ$134:AZ$149)/16)/(SUM($J$134:$J$149)/16)*MITRE[[#This Row],[Trenes Corridos]]</f>
        <v>2789.4087534374066</v>
      </c>
      <c r="BA42" s="16"/>
      <c r="BB42" s="16"/>
      <c r="BC42" s="16"/>
      <c r="BD42" s="17"/>
      <c r="BE42" s="18">
        <v>1996</v>
      </c>
      <c r="BF42" s="21" t="s">
        <v>36</v>
      </c>
      <c r="BG42" s="41"/>
      <c r="BH42" s="41"/>
      <c r="BI42" s="41"/>
      <c r="BJ42" s="16"/>
      <c r="BK42" s="16"/>
      <c r="BL42" s="16"/>
      <c r="BM42" s="16"/>
      <c r="BN42" s="69">
        <f>(SUM(BN$134:BN$149)/16)/(SUM($J$134:$J$149)/16)*MITRE[[#This Row],[Trenes Corridos]]</f>
        <v>837.81756583186291</v>
      </c>
      <c r="BO42" s="16"/>
      <c r="BP42" s="16"/>
      <c r="BQ42" s="16"/>
      <c r="BR42" s="17"/>
      <c r="BS42" s="18">
        <v>1996</v>
      </c>
      <c r="BT42" s="21" t="s">
        <v>36</v>
      </c>
      <c r="BU42" s="41"/>
      <c r="BV42" s="41"/>
      <c r="BW42" s="41"/>
      <c r="BX42" s="16"/>
      <c r="BY42" s="16"/>
      <c r="BZ42" s="16"/>
      <c r="CA42" s="16"/>
      <c r="CB42" s="69">
        <f>(SUM(CB$134:CB$149)/16)/(SUM($J$134:$J$149)/16)*MITRE[[#This Row],[Trenes Corridos]]</f>
        <v>826.0236165096585</v>
      </c>
      <c r="CC42" s="16"/>
      <c r="CD42" s="16"/>
      <c r="CI42" s="40"/>
      <c r="CJ42" s="40"/>
      <c r="CK42" s="40"/>
      <c r="CL42" s="40"/>
      <c r="CM42" s="40"/>
    </row>
    <row r="43" spans="1:91" s="18" customFormat="1" ht="15" customHeight="1">
      <c r="A43" s="18">
        <v>1996</v>
      </c>
      <c r="B43" s="21" t="s">
        <v>37</v>
      </c>
      <c r="C43" s="15">
        <f>+MITRE[[#This Row],[Trenes Puntuales]]/MITRE[[#This Row],[Trenes Programados]]</f>
        <v>0.9767058823529412</v>
      </c>
      <c r="D43" s="15">
        <f>+MITRE[[#This Row],[Trenes Puntuales]]/MITRE[[#This Row],[Trenes Corridos]]</f>
        <v>0.97885552586071367</v>
      </c>
      <c r="E43" s="15">
        <f>+MITRE[[#This Row],[Trenes Corridos]]/MITRE[[#This Row],[Trenes Programados]]</f>
        <v>0.99780392156862741</v>
      </c>
      <c r="F43" s="16">
        <f>+Tabla4[[#This Row],[Trenes Programados por Día Hábil]]+Tabla5[[#This Row],[Trenes Programados por Día Hábil]]+Tabla6[[#This Row],[Trenes Programados por Día Hábil]]+MIT_Vic_Cap[[#This Row],[Trenes Programados por Día Hábil]]+Tabla8[[#This Row],[Trenes Programados por Día Hábil]]</f>
        <v>0</v>
      </c>
      <c r="G4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3" s="16">
        <v>12750</v>
      </c>
      <c r="I43" s="16">
        <f t="shared" si="6"/>
        <v>28</v>
      </c>
      <c r="J43" s="16">
        <v>12722</v>
      </c>
      <c r="K43" s="16">
        <v>12453</v>
      </c>
      <c r="L43" s="16">
        <f t="shared" si="7"/>
        <v>269</v>
      </c>
      <c r="M43" s="16"/>
      <c r="N43" s="17"/>
      <c r="O43" s="18">
        <v>1996</v>
      </c>
      <c r="P43" s="21" t="s">
        <v>37</v>
      </c>
      <c r="Q43" s="41"/>
      <c r="R43" s="41"/>
      <c r="S43" s="41"/>
      <c r="T43" s="16"/>
      <c r="U43" s="16"/>
      <c r="V43" s="16"/>
      <c r="W43" s="16"/>
      <c r="X43" s="69">
        <f>(SUM(X$134:X$149)/16)/(SUM($J$134:$J$149)/16)*MITRE[[#This Row],[Trenes Corridos]]</f>
        <v>4743.8619899688792</v>
      </c>
      <c r="Y43" s="16"/>
      <c r="Z43" s="16"/>
      <c r="AA43" s="16"/>
      <c r="AB43" s="17"/>
      <c r="AC43" s="18">
        <v>1996</v>
      </c>
      <c r="AD43" s="21" t="s">
        <v>37</v>
      </c>
      <c r="AE43" s="41"/>
      <c r="AF43" s="41"/>
      <c r="AG43" s="41"/>
      <c r="AH43" s="16"/>
      <c r="AI43" s="16"/>
      <c r="AJ43" s="16"/>
      <c r="AK43" s="16"/>
      <c r="AL43" s="69">
        <f>(SUM(AL$134:AL$149)/16)/(SUM($J$134:$J$149)/16)*MITRE[[#This Row],[Trenes Corridos]]</f>
        <v>3709.7551513722251</v>
      </c>
      <c r="AM43" s="16"/>
      <c r="AN43" s="16"/>
      <c r="AO43" s="16"/>
      <c r="AP43" s="17"/>
      <c r="AQ43" s="18">
        <v>1996</v>
      </c>
      <c r="AR43" s="21" t="s">
        <v>37</v>
      </c>
      <c r="AS43" s="41"/>
      <c r="AT43" s="41"/>
      <c r="AU43" s="41"/>
      <c r="AV43" s="16"/>
      <c r="AW43" s="16"/>
      <c r="AX43" s="16"/>
      <c r="AY43" s="16"/>
      <c r="AZ43" s="69">
        <f>(SUM(AZ$134:AZ$149)/16)/(SUM($J$134:$J$149)/16)*MITRE[[#This Row],[Trenes Corridos]]</f>
        <v>2673.6124584668642</v>
      </c>
      <c r="BA43" s="16"/>
      <c r="BB43" s="16"/>
      <c r="BC43" s="16"/>
      <c r="BD43" s="17"/>
      <c r="BE43" s="18">
        <v>1996</v>
      </c>
      <c r="BF43" s="21" t="s">
        <v>37</v>
      </c>
      <c r="BG43" s="41"/>
      <c r="BH43" s="41"/>
      <c r="BI43" s="41"/>
      <c r="BJ43" s="16"/>
      <c r="BK43" s="16"/>
      <c r="BL43" s="16"/>
      <c r="BM43" s="16"/>
      <c r="BN43" s="69">
        <f>(SUM(BN$134:BN$149)/16)/(SUM($J$134:$J$149)/16)*MITRE[[#This Row],[Trenes Corridos]]</f>
        <v>803.03737455834857</v>
      </c>
      <c r="BO43" s="16"/>
      <c r="BP43" s="16"/>
      <c r="BQ43" s="16"/>
      <c r="BR43" s="17"/>
      <c r="BS43" s="18">
        <v>1996</v>
      </c>
      <c r="BT43" s="21" t="s">
        <v>37</v>
      </c>
      <c r="BU43" s="41"/>
      <c r="BV43" s="41"/>
      <c r="BW43" s="41"/>
      <c r="BX43" s="16"/>
      <c r="BY43" s="16"/>
      <c r="BZ43" s="16"/>
      <c r="CA43" s="16"/>
      <c r="CB43" s="69">
        <f>(SUM(CB$134:CB$149)/16)/(SUM($J$134:$J$149)/16)*MITRE[[#This Row],[Trenes Corridos]]</f>
        <v>791.73302563368304</v>
      </c>
      <c r="CC43" s="16"/>
      <c r="CD43" s="16"/>
      <c r="CI43" s="40"/>
      <c r="CJ43" s="40"/>
      <c r="CK43" s="40"/>
      <c r="CL43" s="40"/>
      <c r="CM43" s="40"/>
    </row>
    <row r="44" spans="1:91" s="18" customFormat="1" ht="15" customHeight="1">
      <c r="A44" s="18">
        <v>1996</v>
      </c>
      <c r="B44" s="21" t="s">
        <v>38</v>
      </c>
      <c r="C44" s="15">
        <f>+MITRE[[#This Row],[Trenes Puntuales]]/MITRE[[#This Row],[Trenes Programados]]</f>
        <v>0.97656481756155444</v>
      </c>
      <c r="D44" s="15">
        <f>+MITRE[[#This Row],[Trenes Puntuales]]/MITRE[[#This Row],[Trenes Corridos]]</f>
        <v>0.97845147867439441</v>
      </c>
      <c r="E44" s="15">
        <f>+MITRE[[#This Row],[Trenes Corridos]]/MITRE[[#This Row],[Trenes Programados]]</f>
        <v>0.99807178878671021</v>
      </c>
      <c r="F44" s="16">
        <f>+Tabla4[[#This Row],[Trenes Programados por Día Hábil]]+Tabla5[[#This Row],[Trenes Programados por Día Hábil]]+Tabla6[[#This Row],[Trenes Programados por Día Hábil]]+MIT_Vic_Cap[[#This Row],[Trenes Programados por Día Hábil]]+Tabla8[[#This Row],[Trenes Programados por Día Hábil]]</f>
        <v>0</v>
      </c>
      <c r="G4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4" s="16">
        <v>13484</v>
      </c>
      <c r="I44" s="16">
        <f t="shared" si="6"/>
        <v>26</v>
      </c>
      <c r="J44" s="16">
        <v>13458</v>
      </c>
      <c r="K44" s="16">
        <v>13168</v>
      </c>
      <c r="L44" s="16">
        <f t="shared" si="7"/>
        <v>290</v>
      </c>
      <c r="M44" s="16"/>
      <c r="N44" s="17"/>
      <c r="O44" s="18">
        <v>1996</v>
      </c>
      <c r="P44" s="21" t="s">
        <v>38</v>
      </c>
      <c r="Q44" s="41"/>
      <c r="R44" s="41"/>
      <c r="S44" s="41"/>
      <c r="T44" s="16"/>
      <c r="U44" s="16"/>
      <c r="V44" s="16"/>
      <c r="W44" s="16"/>
      <c r="X44" s="69">
        <f>(SUM(X$134:X$149)/16)/(SUM($J$134:$J$149)/16)*MITRE[[#This Row],[Trenes Corridos]]</f>
        <v>5018.3064503223686</v>
      </c>
      <c r="Y44" s="16"/>
      <c r="Z44" s="16"/>
      <c r="AA44" s="16"/>
      <c r="AB44" s="17"/>
      <c r="AC44" s="18">
        <v>1996</v>
      </c>
      <c r="AD44" s="21" t="s">
        <v>38</v>
      </c>
      <c r="AE44" s="41"/>
      <c r="AF44" s="41"/>
      <c r="AG44" s="41"/>
      <c r="AH44" s="16"/>
      <c r="AI44" s="16"/>
      <c r="AJ44" s="16"/>
      <c r="AK44" s="16"/>
      <c r="AL44" s="69">
        <f>(SUM(AL$134:AL$149)/16)/(SUM($J$134:$J$149)/16)*MITRE[[#This Row],[Trenes Corridos]]</f>
        <v>3924.3739056097629</v>
      </c>
      <c r="AM44" s="16"/>
      <c r="AN44" s="16"/>
      <c r="AO44" s="16"/>
      <c r="AP44" s="17"/>
      <c r="AQ44" s="18">
        <v>1996</v>
      </c>
      <c r="AR44" s="21" t="s">
        <v>38</v>
      </c>
      <c r="AS44" s="41"/>
      <c r="AT44" s="41"/>
      <c r="AU44" s="41"/>
      <c r="AV44" s="16"/>
      <c r="AW44" s="16"/>
      <c r="AX44" s="16"/>
      <c r="AY44" s="16"/>
      <c r="AZ44" s="69">
        <f>(SUM(AZ$134:AZ$149)/16)/(SUM($J$134:$J$149)/16)*MITRE[[#This Row],[Trenes Corridos]]</f>
        <v>2828.2877272478427</v>
      </c>
      <c r="BA44" s="16"/>
      <c r="BB44" s="16"/>
      <c r="BC44" s="16"/>
      <c r="BD44" s="17"/>
      <c r="BE44" s="18">
        <v>1996</v>
      </c>
      <c r="BF44" s="21" t="s">
        <v>38</v>
      </c>
      <c r="BG44" s="41"/>
      <c r="BH44" s="41"/>
      <c r="BI44" s="41"/>
      <c r="BJ44" s="16"/>
      <c r="BK44" s="16"/>
      <c r="BL44" s="16"/>
      <c r="BM44" s="16"/>
      <c r="BN44" s="69">
        <f>(SUM(BN$134:BN$149)/16)/(SUM($J$134:$J$149)/16)*MITRE[[#This Row],[Trenes Corridos]]</f>
        <v>849.49512551534781</v>
      </c>
      <c r="BO44" s="16"/>
      <c r="BP44" s="16"/>
      <c r="BQ44" s="16"/>
      <c r="BR44" s="17"/>
      <c r="BS44" s="18">
        <v>1996</v>
      </c>
      <c r="BT44" s="21" t="s">
        <v>38</v>
      </c>
      <c r="BU44" s="41"/>
      <c r="BV44" s="41"/>
      <c r="BW44" s="41"/>
      <c r="BX44" s="16"/>
      <c r="BY44" s="16"/>
      <c r="BZ44" s="16"/>
      <c r="CA44" s="16"/>
      <c r="CB44" s="69">
        <f>(SUM(CB$134:CB$149)/16)/(SUM($J$134:$J$149)/16)*MITRE[[#This Row],[Trenes Corridos]]</f>
        <v>837.53679130467742</v>
      </c>
      <c r="CC44" s="16"/>
      <c r="CD44" s="16"/>
      <c r="CI44" s="40"/>
      <c r="CJ44" s="40"/>
      <c r="CK44" s="40"/>
      <c r="CL44" s="40"/>
      <c r="CM44" s="40"/>
    </row>
    <row r="45" spans="1:91" s="18" customFormat="1" ht="15" customHeight="1">
      <c r="A45" s="18">
        <v>1996</v>
      </c>
      <c r="B45" s="21" t="s">
        <v>39</v>
      </c>
      <c r="C45" s="15">
        <f>+MITRE[[#This Row],[Trenes Puntuales]]/MITRE[[#This Row],[Trenes Programados]]</f>
        <v>0.96266375545851524</v>
      </c>
      <c r="D45" s="15">
        <f>+MITRE[[#This Row],[Trenes Puntuales]]/MITRE[[#This Row],[Trenes Corridos]]</f>
        <v>0.97422110922884286</v>
      </c>
      <c r="E45" s="15">
        <f>+MITRE[[#This Row],[Trenes Corridos]]/MITRE[[#This Row],[Trenes Programados]]</f>
        <v>0.98813682678311499</v>
      </c>
      <c r="F45" s="16">
        <f>+Tabla4[[#This Row],[Trenes Programados por Día Hábil]]+Tabla5[[#This Row],[Trenes Programados por Día Hábil]]+Tabla6[[#This Row],[Trenes Programados por Día Hábil]]+MIT_Vic_Cap[[#This Row],[Trenes Programados por Día Hábil]]+Tabla8[[#This Row],[Trenes Programados por Día Hábil]]</f>
        <v>0</v>
      </c>
      <c r="G4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5" s="16">
        <v>13740</v>
      </c>
      <c r="I45" s="16">
        <f t="shared" si="6"/>
        <v>163</v>
      </c>
      <c r="J45" s="16">
        <v>13577</v>
      </c>
      <c r="K45" s="16">
        <v>13227</v>
      </c>
      <c r="L45" s="16">
        <f t="shared" si="7"/>
        <v>350</v>
      </c>
      <c r="M45" s="16"/>
      <c r="N45" s="17"/>
      <c r="O45" s="18">
        <v>1996</v>
      </c>
      <c r="P45" s="21" t="s">
        <v>39</v>
      </c>
      <c r="Q45" s="41"/>
      <c r="R45" s="41"/>
      <c r="S45" s="41"/>
      <c r="T45" s="16"/>
      <c r="U45" s="16"/>
      <c r="V45" s="16"/>
      <c r="W45" s="16"/>
      <c r="X45" s="69">
        <f>(SUM(X$134:X$149)/16)/(SUM($J$134:$J$149)/16)*MITRE[[#This Row],[Trenes Corridos]]</f>
        <v>5062.6799432327834</v>
      </c>
      <c r="Y45" s="16"/>
      <c r="Z45" s="16"/>
      <c r="AA45" s="16"/>
      <c r="AB45" s="17"/>
      <c r="AC45" s="18">
        <v>1996</v>
      </c>
      <c r="AD45" s="21" t="s">
        <v>39</v>
      </c>
      <c r="AE45" s="41"/>
      <c r="AF45" s="41"/>
      <c r="AG45" s="41"/>
      <c r="AH45" s="16"/>
      <c r="AI45" s="16"/>
      <c r="AJ45" s="16"/>
      <c r="AK45" s="16"/>
      <c r="AL45" s="69">
        <f>(SUM(AL$134:AL$149)/16)/(SUM($J$134:$J$149)/16)*MITRE[[#This Row],[Trenes Corridos]]</f>
        <v>3959.0744922324084</v>
      </c>
      <c r="AM45" s="16"/>
      <c r="AN45" s="16"/>
      <c r="AO45" s="16"/>
      <c r="AP45" s="17"/>
      <c r="AQ45" s="18">
        <v>1996</v>
      </c>
      <c r="AR45" s="21" t="s">
        <v>39</v>
      </c>
      <c r="AS45" s="41"/>
      <c r="AT45" s="41"/>
      <c r="AU45" s="41"/>
      <c r="AV45" s="16"/>
      <c r="AW45" s="16"/>
      <c r="AX45" s="16"/>
      <c r="AY45" s="16"/>
      <c r="AZ45" s="69">
        <f>(SUM(AZ$134:AZ$149)/16)/(SUM($J$134:$J$149)/16)*MITRE[[#This Row],[Trenes Corridos]]</f>
        <v>2853.2963644556371</v>
      </c>
      <c r="BA45" s="16"/>
      <c r="BB45" s="16"/>
      <c r="BC45" s="16"/>
      <c r="BD45" s="17"/>
      <c r="BE45" s="18">
        <v>1996</v>
      </c>
      <c r="BF45" s="21" t="s">
        <v>39</v>
      </c>
      <c r="BG45" s="41"/>
      <c r="BH45" s="41"/>
      <c r="BI45" s="41"/>
      <c r="BJ45" s="16"/>
      <c r="BK45" s="16"/>
      <c r="BL45" s="16"/>
      <c r="BM45" s="16"/>
      <c r="BN45" s="69">
        <f>(SUM(BN$134:BN$149)/16)/(SUM($J$134:$J$149)/16)*MITRE[[#This Row],[Trenes Corridos]]</f>
        <v>857.0066368793191</v>
      </c>
      <c r="BO45" s="16"/>
      <c r="BP45" s="16"/>
      <c r="BQ45" s="16"/>
      <c r="BR45" s="17"/>
      <c r="BS45" s="18">
        <v>1996</v>
      </c>
      <c r="BT45" s="21" t="s">
        <v>39</v>
      </c>
      <c r="BU45" s="41"/>
      <c r="BV45" s="41"/>
      <c r="BW45" s="41"/>
      <c r="BX45" s="16"/>
      <c r="BY45" s="16"/>
      <c r="BZ45" s="16"/>
      <c r="CA45" s="16"/>
      <c r="CB45" s="69">
        <f>(SUM(CB$134:CB$149)/16)/(SUM($J$134:$J$149)/16)*MITRE[[#This Row],[Trenes Corridos]]</f>
        <v>844.94256319985175</v>
      </c>
      <c r="CC45" s="16"/>
      <c r="CD45" s="16"/>
      <c r="CI45" s="40"/>
      <c r="CJ45" s="40"/>
      <c r="CK45" s="40"/>
      <c r="CL45" s="40"/>
      <c r="CM45" s="40"/>
    </row>
    <row r="46" spans="1:91" s="18" customFormat="1" ht="15" customHeight="1">
      <c r="A46" s="18">
        <v>1996</v>
      </c>
      <c r="B46" s="21" t="s">
        <v>40</v>
      </c>
      <c r="C46" s="15">
        <f>+MITRE[[#This Row],[Trenes Puntuales]]/MITRE[[#This Row],[Trenes Programados]]</f>
        <v>0.9733144073811214</v>
      </c>
      <c r="D46" s="15">
        <f>+MITRE[[#This Row],[Trenes Puntuales]]/MITRE[[#This Row],[Trenes Corridos]]</f>
        <v>0.97678062678062683</v>
      </c>
      <c r="E46" s="15">
        <f>+MITRE[[#This Row],[Trenes Corridos]]/MITRE[[#This Row],[Trenes Programados]]</f>
        <v>0.99645138396025545</v>
      </c>
      <c r="F46" s="16">
        <f>+Tabla4[[#This Row],[Trenes Programados por Día Hábil]]+Tabla5[[#This Row],[Trenes Programados por Día Hábil]]+Tabla6[[#This Row],[Trenes Programados por Día Hábil]]+MIT_Vic_Cap[[#This Row],[Trenes Programados por Día Hábil]]+Tabla8[[#This Row],[Trenes Programados por Día Hábil]]</f>
        <v>0</v>
      </c>
      <c r="G4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6" s="16">
        <v>14090</v>
      </c>
      <c r="I46" s="16">
        <f t="shared" si="6"/>
        <v>50</v>
      </c>
      <c r="J46" s="16">
        <v>14040</v>
      </c>
      <c r="K46" s="16">
        <v>13714</v>
      </c>
      <c r="L46" s="16">
        <f t="shared" si="7"/>
        <v>326</v>
      </c>
      <c r="M46" s="16"/>
      <c r="N46" s="17"/>
      <c r="O46" s="18">
        <v>1996</v>
      </c>
      <c r="P46" s="21" t="s">
        <v>40</v>
      </c>
      <c r="Q46" s="41"/>
      <c r="R46" s="41"/>
      <c r="S46" s="41"/>
      <c r="T46" s="16"/>
      <c r="U46" s="16"/>
      <c r="V46" s="16"/>
      <c r="W46" s="16"/>
      <c r="X46" s="69">
        <f>(SUM(X$134:X$149)/16)/(SUM($J$134:$J$149)/16)*MITRE[[#This Row],[Trenes Corridos]]</f>
        <v>5235.3263904388505</v>
      </c>
      <c r="Y46" s="16"/>
      <c r="Z46" s="16"/>
      <c r="AA46" s="16"/>
      <c r="AB46" s="17"/>
      <c r="AC46" s="18">
        <v>1996</v>
      </c>
      <c r="AD46" s="21" t="s">
        <v>40</v>
      </c>
      <c r="AE46" s="41"/>
      <c r="AF46" s="41"/>
      <c r="AG46" s="41"/>
      <c r="AH46" s="16"/>
      <c r="AI46" s="16"/>
      <c r="AJ46" s="16"/>
      <c r="AK46" s="16"/>
      <c r="AL46" s="69">
        <f>(SUM(AL$134:AL$149)/16)/(SUM($J$134:$J$149)/16)*MITRE[[#This Row],[Trenes Corridos]]</f>
        <v>4094.0860183356422</v>
      </c>
      <c r="AM46" s="16"/>
      <c r="AN46" s="16"/>
      <c r="AO46" s="16"/>
      <c r="AP46" s="17"/>
      <c r="AQ46" s="18">
        <v>1996</v>
      </c>
      <c r="AR46" s="21" t="s">
        <v>40</v>
      </c>
      <c r="AS46" s="41"/>
      <c r="AT46" s="41"/>
      <c r="AU46" s="41"/>
      <c r="AV46" s="16"/>
      <c r="AW46" s="16"/>
      <c r="AX46" s="16"/>
      <c r="AY46" s="16"/>
      <c r="AZ46" s="69">
        <f>(SUM(AZ$134:AZ$149)/16)/(SUM($J$134:$J$149)/16)*MITRE[[#This Row],[Trenes Corridos]]</f>
        <v>2950.5988772893234</v>
      </c>
      <c r="BA46" s="16"/>
      <c r="BB46" s="16"/>
      <c r="BC46" s="16"/>
      <c r="BD46" s="17"/>
      <c r="BE46" s="18">
        <v>1996</v>
      </c>
      <c r="BF46" s="21" t="s">
        <v>40</v>
      </c>
      <c r="BG46" s="41"/>
      <c r="BH46" s="41"/>
      <c r="BI46" s="41"/>
      <c r="BJ46" s="16"/>
      <c r="BK46" s="16"/>
      <c r="BL46" s="16"/>
      <c r="BM46" s="16"/>
      <c r="BN46" s="69">
        <f>(SUM(BN$134:BN$149)/16)/(SUM($J$134:$J$149)/16)*MITRE[[#This Row],[Trenes Corridos]]</f>
        <v>886.23209706014882</v>
      </c>
      <c r="BO46" s="16"/>
      <c r="BP46" s="16"/>
      <c r="BQ46" s="16"/>
      <c r="BR46" s="17"/>
      <c r="BS46" s="18">
        <v>1996</v>
      </c>
      <c r="BT46" s="21" t="s">
        <v>40</v>
      </c>
      <c r="BU46" s="41"/>
      <c r="BV46" s="41"/>
      <c r="BW46" s="41"/>
      <c r="BX46" s="16"/>
      <c r="BY46" s="16"/>
      <c r="BZ46" s="16"/>
      <c r="CA46" s="16"/>
      <c r="CB46" s="69">
        <f>(SUM(CB$134:CB$149)/16)/(SUM($J$134:$J$149)/16)*MITRE[[#This Row],[Trenes Corridos]]</f>
        <v>873.7566168760344</v>
      </c>
      <c r="CC46" s="16"/>
      <c r="CD46" s="16"/>
      <c r="CI46" s="40"/>
      <c r="CJ46" s="40"/>
      <c r="CK46" s="40"/>
      <c r="CL46" s="40"/>
      <c r="CM46" s="40"/>
    </row>
    <row r="47" spans="1:91" s="18" customFormat="1" ht="15" customHeight="1">
      <c r="A47" s="18">
        <v>1996</v>
      </c>
      <c r="B47" s="21" t="s">
        <v>41</v>
      </c>
      <c r="C47" s="15">
        <f>+MITRE[[#This Row],[Trenes Puntuales]]/MITRE[[#This Row],[Trenes Programados]]</f>
        <v>0.96394196236172969</v>
      </c>
      <c r="D47" s="15">
        <f>+MITRE[[#This Row],[Trenes Puntuales]]/MITRE[[#This Row],[Trenes Corridos]]</f>
        <v>0.96616270698344131</v>
      </c>
      <c r="E47" s="15">
        <f>+MITRE[[#This Row],[Trenes Corridos]]/MITRE[[#This Row],[Trenes Programados]]</f>
        <v>0.99770147967246081</v>
      </c>
      <c r="F47" s="16">
        <f>+Tabla4[[#This Row],[Trenes Programados por Día Hábil]]+Tabla5[[#This Row],[Trenes Programados por Día Hábil]]+Tabla6[[#This Row],[Trenes Programados por Día Hábil]]+MIT_Vic_Cap[[#This Row],[Trenes Programados por Día Hábil]]+Tabla8[[#This Row],[Trenes Programados por Día Hábil]]</f>
        <v>0</v>
      </c>
      <c r="G4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7" s="16">
        <v>13922</v>
      </c>
      <c r="I47" s="16">
        <f t="shared" si="6"/>
        <v>32</v>
      </c>
      <c r="J47" s="16">
        <v>13890</v>
      </c>
      <c r="K47" s="16">
        <v>13420</v>
      </c>
      <c r="L47" s="16">
        <f t="shared" si="7"/>
        <v>470</v>
      </c>
      <c r="M47" s="16"/>
      <c r="N47" s="17"/>
      <c r="O47" s="18">
        <v>1996</v>
      </c>
      <c r="P47" s="21" t="s">
        <v>41</v>
      </c>
      <c r="Q47" s="41"/>
      <c r="R47" s="41"/>
      <c r="S47" s="41"/>
      <c r="T47" s="16"/>
      <c r="U47" s="16"/>
      <c r="V47" s="16"/>
      <c r="W47" s="16"/>
      <c r="X47" s="69">
        <f>(SUM(X$134:X$149)/16)/(SUM($J$134:$J$149)/16)*MITRE[[#This Row],[Trenes Corridos]]</f>
        <v>5179.3934161820252</v>
      </c>
      <c r="Y47" s="16"/>
      <c r="Z47" s="16"/>
      <c r="AA47" s="16"/>
      <c r="AB47" s="17"/>
      <c r="AC47" s="18">
        <v>1996</v>
      </c>
      <c r="AD47" s="21" t="s">
        <v>41</v>
      </c>
      <c r="AE47" s="41"/>
      <c r="AF47" s="41"/>
      <c r="AG47" s="41"/>
      <c r="AH47" s="16"/>
      <c r="AI47" s="16"/>
      <c r="AJ47" s="16"/>
      <c r="AK47" s="16"/>
      <c r="AL47" s="69">
        <f>(SUM(AL$134:AL$149)/16)/(SUM($J$134:$J$149)/16)*MITRE[[#This Row],[Trenes Corridos]]</f>
        <v>4050.3457830970133</v>
      </c>
      <c r="AM47" s="16"/>
      <c r="AN47" s="16"/>
      <c r="AO47" s="16"/>
      <c r="AP47" s="17"/>
      <c r="AQ47" s="18">
        <v>1996</v>
      </c>
      <c r="AR47" s="21" t="s">
        <v>41</v>
      </c>
      <c r="AS47" s="41"/>
      <c r="AT47" s="41"/>
      <c r="AU47" s="41"/>
      <c r="AV47" s="16"/>
      <c r="AW47" s="16"/>
      <c r="AX47" s="16"/>
      <c r="AY47" s="16"/>
      <c r="AZ47" s="69">
        <f>(SUM(AZ$134:AZ$149)/16)/(SUM($J$134:$J$149)/16)*MITRE[[#This Row],[Trenes Corridos]]</f>
        <v>2919.0753850105912</v>
      </c>
      <c r="BA47" s="16"/>
      <c r="BB47" s="16"/>
      <c r="BC47" s="16"/>
      <c r="BD47" s="17"/>
      <c r="BE47" s="18">
        <v>1996</v>
      </c>
      <c r="BF47" s="21" t="s">
        <v>41</v>
      </c>
      <c r="BG47" s="41"/>
      <c r="BH47" s="41"/>
      <c r="BI47" s="41"/>
      <c r="BJ47" s="16"/>
      <c r="BK47" s="16"/>
      <c r="BL47" s="16"/>
      <c r="BM47" s="16"/>
      <c r="BN47" s="69">
        <f>(SUM(BN$134:BN$149)/16)/(SUM($J$134:$J$149)/16)*MITRE[[#This Row],[Trenes Corridos]]</f>
        <v>876.76380542489085</v>
      </c>
      <c r="BO47" s="16"/>
      <c r="BP47" s="16"/>
      <c r="BQ47" s="16"/>
      <c r="BR47" s="17"/>
      <c r="BS47" s="18">
        <v>1996</v>
      </c>
      <c r="BT47" s="21" t="s">
        <v>41</v>
      </c>
      <c r="BU47" s="41"/>
      <c r="BV47" s="41"/>
      <c r="BW47" s="41"/>
      <c r="BX47" s="16"/>
      <c r="BY47" s="16"/>
      <c r="BZ47" s="16"/>
      <c r="CA47" s="16"/>
      <c r="CB47" s="69">
        <f>(SUM(CB$134:CB$149)/16)/(SUM($J$134:$J$149)/16)*MITRE[[#This Row],[Trenes Corridos]]</f>
        <v>864.42161028547844</v>
      </c>
      <c r="CC47" s="16"/>
      <c r="CD47" s="16"/>
      <c r="CI47" s="40"/>
      <c r="CJ47" s="40"/>
      <c r="CK47" s="40"/>
      <c r="CL47" s="40"/>
      <c r="CM47" s="40"/>
    </row>
    <row r="48" spans="1:91" s="18" customFormat="1" ht="15" customHeight="1">
      <c r="A48" s="18">
        <v>1996</v>
      </c>
      <c r="B48" s="21" t="s">
        <v>42</v>
      </c>
      <c r="C48" s="15">
        <f>+MITRE[[#This Row],[Trenes Puntuales]]/MITRE[[#This Row],[Trenes Programados]]</f>
        <v>0.96754157483470249</v>
      </c>
      <c r="D48" s="15">
        <f>+MITRE[[#This Row],[Trenes Puntuales]]/MITRE[[#This Row],[Trenes Corridos]]</f>
        <v>0.97084841174105352</v>
      </c>
      <c r="E48" s="15">
        <f>+MITRE[[#This Row],[Trenes Corridos]]/MITRE[[#This Row],[Trenes Programados]]</f>
        <v>0.99659386896413549</v>
      </c>
      <c r="F48" s="16">
        <f>+Tabla4[[#This Row],[Trenes Programados por Día Hábil]]+Tabla5[[#This Row],[Trenes Programados por Día Hábil]]+Tabla6[[#This Row],[Trenes Programados por Día Hábil]]+MIT_Vic_Cap[[#This Row],[Trenes Programados por Día Hábil]]+Tabla8[[#This Row],[Trenes Programados por Día Hábil]]</f>
        <v>0</v>
      </c>
      <c r="G4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8" s="16">
        <v>14973</v>
      </c>
      <c r="I48" s="16">
        <f t="shared" si="6"/>
        <v>51</v>
      </c>
      <c r="J48" s="16">
        <v>14922</v>
      </c>
      <c r="K48" s="16">
        <v>14487</v>
      </c>
      <c r="L48" s="16">
        <f t="shared" si="7"/>
        <v>435</v>
      </c>
      <c r="M48" s="16"/>
      <c r="N48" s="17"/>
      <c r="O48" s="18">
        <v>1996</v>
      </c>
      <c r="P48" s="21" t="s">
        <v>42</v>
      </c>
      <c r="Q48" s="41"/>
      <c r="R48" s="41"/>
      <c r="S48" s="41"/>
      <c r="T48" s="16"/>
      <c r="U48" s="16"/>
      <c r="V48" s="16"/>
      <c r="W48" s="16"/>
      <c r="X48" s="69">
        <f>(SUM(X$134:X$149)/16)/(SUM($J$134:$J$149)/16)*MITRE[[#This Row],[Trenes Corridos]]</f>
        <v>5564.2122790689837</v>
      </c>
      <c r="Y48" s="16"/>
      <c r="Z48" s="16"/>
      <c r="AA48" s="16"/>
      <c r="AB48" s="17"/>
      <c r="AC48" s="18">
        <v>1996</v>
      </c>
      <c r="AD48" s="21" t="s">
        <v>42</v>
      </c>
      <c r="AE48" s="41"/>
      <c r="AF48" s="41"/>
      <c r="AG48" s="41"/>
      <c r="AH48" s="16"/>
      <c r="AI48" s="16"/>
      <c r="AJ48" s="16"/>
      <c r="AK48" s="16"/>
      <c r="AL48" s="69">
        <f>(SUM(AL$134:AL$149)/16)/(SUM($J$134:$J$149)/16)*MITRE[[#This Row],[Trenes Corridos]]</f>
        <v>4351.2786015387783</v>
      </c>
      <c r="AM48" s="16"/>
      <c r="AN48" s="16"/>
      <c r="AO48" s="16"/>
      <c r="AP48" s="17"/>
      <c r="AQ48" s="18">
        <v>1996</v>
      </c>
      <c r="AR48" s="21" t="s">
        <v>42</v>
      </c>
      <c r="AS48" s="41"/>
      <c r="AT48" s="41"/>
      <c r="AU48" s="41"/>
      <c r="AV48" s="16"/>
      <c r="AW48" s="16"/>
      <c r="AX48" s="16"/>
      <c r="AY48" s="16"/>
      <c r="AZ48" s="69">
        <f>(SUM(AZ$134:AZ$149)/16)/(SUM($J$134:$J$149)/16)*MITRE[[#This Row],[Trenes Corridos]]</f>
        <v>3135.957011888268</v>
      </c>
      <c r="BA48" s="16"/>
      <c r="BB48" s="16"/>
      <c r="BC48" s="16"/>
      <c r="BD48" s="17"/>
      <c r="BE48" s="18">
        <v>1996</v>
      </c>
      <c r="BF48" s="21" t="s">
        <v>42</v>
      </c>
      <c r="BG48" s="41"/>
      <c r="BH48" s="41"/>
      <c r="BI48" s="41"/>
      <c r="BJ48" s="16"/>
      <c r="BK48" s="16"/>
      <c r="BL48" s="16"/>
      <c r="BM48" s="16"/>
      <c r="BN48" s="69">
        <f>(SUM(BN$134:BN$149)/16)/(SUM($J$134:$J$149)/16)*MITRE[[#This Row],[Trenes Corridos]]</f>
        <v>941.90565187546588</v>
      </c>
      <c r="BO48" s="16"/>
      <c r="BP48" s="16"/>
      <c r="BQ48" s="16"/>
      <c r="BR48" s="17"/>
      <c r="BS48" s="18">
        <v>1996</v>
      </c>
      <c r="BT48" s="21" t="s">
        <v>42</v>
      </c>
      <c r="BU48" s="41"/>
      <c r="BV48" s="41"/>
      <c r="BW48" s="41"/>
      <c r="BX48" s="16"/>
      <c r="BY48" s="16"/>
      <c r="BZ48" s="16"/>
      <c r="CA48" s="16"/>
      <c r="CB48" s="69">
        <f>(SUM(CB$134:CB$149)/16)/(SUM($J$134:$J$149)/16)*MITRE[[#This Row],[Trenes Corridos]]</f>
        <v>928.64645562850319</v>
      </c>
      <c r="CC48" s="16"/>
      <c r="CD48" s="16"/>
      <c r="CI48" s="40"/>
      <c r="CJ48" s="40"/>
      <c r="CK48" s="40"/>
      <c r="CL48" s="40"/>
      <c r="CM48" s="40"/>
    </row>
    <row r="49" spans="1:91" s="18" customFormat="1" ht="15" customHeight="1">
      <c r="A49" s="18">
        <v>1996</v>
      </c>
      <c r="B49" s="21" t="s">
        <v>43</v>
      </c>
      <c r="C49" s="15">
        <f>+MITRE[[#This Row],[Trenes Puntuales]]/MITRE[[#This Row],[Trenes Programados]]</f>
        <v>0.95120155298212727</v>
      </c>
      <c r="D49" s="15">
        <f>+MITRE[[#This Row],[Trenes Puntuales]]/MITRE[[#This Row],[Trenes Corridos]]</f>
        <v>0.97871754253047727</v>
      </c>
      <c r="E49" s="15">
        <f>+MITRE[[#This Row],[Trenes Corridos]]/MITRE[[#This Row],[Trenes Programados]]</f>
        <v>0.97188566838476476</v>
      </c>
      <c r="F49" s="16">
        <f>+Tabla4[[#This Row],[Trenes Programados por Día Hábil]]+Tabla5[[#This Row],[Trenes Programados por Día Hábil]]+Tabla6[[#This Row],[Trenes Programados por Día Hábil]]+MIT_Vic_Cap[[#This Row],[Trenes Programados por Día Hábil]]+Tabla8[[#This Row],[Trenes Programados por Día Hábil]]</f>
        <v>0</v>
      </c>
      <c r="G4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9" s="16">
        <v>14939</v>
      </c>
      <c r="I49" s="16">
        <f t="shared" si="6"/>
        <v>420</v>
      </c>
      <c r="J49" s="16">
        <v>14519</v>
      </c>
      <c r="K49" s="16">
        <v>14210</v>
      </c>
      <c r="L49" s="16">
        <f t="shared" si="7"/>
        <v>309</v>
      </c>
      <c r="M49" s="16"/>
      <c r="N49" s="17"/>
      <c r="O49" s="18">
        <v>1996</v>
      </c>
      <c r="P49" s="21" t="s">
        <v>43</v>
      </c>
      <c r="Q49" s="41"/>
      <c r="R49" s="41"/>
      <c r="S49" s="41"/>
      <c r="T49" s="16"/>
      <c r="U49" s="16"/>
      <c r="V49" s="16"/>
      <c r="W49" s="16"/>
      <c r="X49" s="69">
        <f>(SUM(X$134:X$149)/16)/(SUM($J$134:$J$149)/16)*MITRE[[#This Row],[Trenes Corridos]]</f>
        <v>5413.9390215656467</v>
      </c>
      <c r="Y49" s="16"/>
      <c r="Z49" s="16"/>
      <c r="AA49" s="16"/>
      <c r="AB49" s="17"/>
      <c r="AC49" s="18">
        <v>1996</v>
      </c>
      <c r="AD49" s="21" t="s">
        <v>43</v>
      </c>
      <c r="AE49" s="41"/>
      <c r="AF49" s="41"/>
      <c r="AG49" s="41"/>
      <c r="AH49" s="16"/>
      <c r="AI49" s="16"/>
      <c r="AJ49" s="16"/>
      <c r="AK49" s="16"/>
      <c r="AL49" s="69">
        <f>(SUM(AL$134:AL$149)/16)/(SUM($J$134:$J$149)/16)*MITRE[[#This Row],[Trenes Corridos]]</f>
        <v>4233.7631695309965</v>
      </c>
      <c r="AM49" s="16"/>
      <c r="AN49" s="16"/>
      <c r="AO49" s="16"/>
      <c r="AP49" s="17"/>
      <c r="AQ49" s="18">
        <v>1996</v>
      </c>
      <c r="AR49" s="21" t="s">
        <v>43</v>
      </c>
      <c r="AS49" s="41"/>
      <c r="AT49" s="41"/>
      <c r="AU49" s="41"/>
      <c r="AV49" s="16"/>
      <c r="AW49" s="16"/>
      <c r="AX49" s="16"/>
      <c r="AY49" s="16"/>
      <c r="AZ49" s="69">
        <f>(SUM(AZ$134:AZ$149)/16)/(SUM($J$134:$J$149)/16)*MITRE[[#This Row],[Trenes Corridos]]</f>
        <v>3051.2638959660744</v>
      </c>
      <c r="BA49" s="16"/>
      <c r="BB49" s="16"/>
      <c r="BC49" s="16"/>
      <c r="BD49" s="17"/>
      <c r="BE49" s="18">
        <v>1996</v>
      </c>
      <c r="BF49" s="21" t="s">
        <v>43</v>
      </c>
      <c r="BG49" s="41"/>
      <c r="BH49" s="41"/>
      <c r="BI49" s="41"/>
      <c r="BJ49" s="16"/>
      <c r="BK49" s="16"/>
      <c r="BL49" s="16"/>
      <c r="BM49" s="16"/>
      <c r="BN49" s="69">
        <f>(SUM(BN$134:BN$149)/16)/(SUM($J$134:$J$149)/16)*MITRE[[#This Row],[Trenes Corridos]]</f>
        <v>916.46750834873944</v>
      </c>
      <c r="BO49" s="16"/>
      <c r="BP49" s="16"/>
      <c r="BQ49" s="16"/>
      <c r="BR49" s="17"/>
      <c r="BS49" s="18">
        <v>1996</v>
      </c>
      <c r="BT49" s="21" t="s">
        <v>43</v>
      </c>
      <c r="BU49" s="41"/>
      <c r="BV49" s="41"/>
      <c r="BW49" s="41"/>
      <c r="BX49" s="16"/>
      <c r="BY49" s="16"/>
      <c r="BZ49" s="16"/>
      <c r="CA49" s="16"/>
      <c r="CB49" s="69">
        <f>(SUM(CB$134:CB$149)/16)/(SUM($J$134:$J$149)/16)*MITRE[[#This Row],[Trenes Corridos]]</f>
        <v>903.56640458854304</v>
      </c>
      <c r="CC49" s="16"/>
      <c r="CD49" s="16"/>
      <c r="CI49" s="40"/>
      <c r="CJ49" s="40"/>
      <c r="CK49" s="40"/>
      <c r="CL49" s="40"/>
      <c r="CM49" s="40"/>
    </row>
    <row r="50" spans="1:91" s="18" customFormat="1" ht="15" customHeight="1">
      <c r="A50" s="18">
        <v>1996</v>
      </c>
      <c r="B50" s="21" t="s">
        <v>44</v>
      </c>
      <c r="C50" s="15">
        <f>+MITRE[[#This Row],[Trenes Puntuales]]/MITRE[[#This Row],[Trenes Programados]]</f>
        <v>0.96134465382756951</v>
      </c>
      <c r="D50" s="15">
        <f>+MITRE[[#This Row],[Trenes Puntuales]]/MITRE[[#This Row],[Trenes Corridos]]</f>
        <v>0.97856942102304667</v>
      </c>
      <c r="E50" s="15">
        <f>+MITRE[[#This Row],[Trenes Corridos]]/MITRE[[#This Row],[Trenes Programados]]</f>
        <v>0.98239801201076826</v>
      </c>
      <c r="F50" s="16">
        <f>+Tabla4[[#This Row],[Trenes Programados por Día Hábil]]+Tabla5[[#This Row],[Trenes Programados por Día Hábil]]+Tabla6[[#This Row],[Trenes Programados por Día Hábil]]+MIT_Vic_Cap[[#This Row],[Trenes Programados por Día Hábil]]+Tabla8[[#This Row],[Trenes Programados por Día Hábil]]</f>
        <v>0</v>
      </c>
      <c r="G5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0" s="16">
        <v>14487</v>
      </c>
      <c r="I50" s="16">
        <f t="shared" si="6"/>
        <v>255</v>
      </c>
      <c r="J50" s="16">
        <v>14232</v>
      </c>
      <c r="K50" s="16">
        <v>13927</v>
      </c>
      <c r="L50" s="16">
        <f t="shared" si="7"/>
        <v>305</v>
      </c>
      <c r="M50" s="16"/>
      <c r="N50" s="17"/>
      <c r="O50" s="18">
        <v>1996</v>
      </c>
      <c r="P50" s="21" t="s">
        <v>44</v>
      </c>
      <c r="Q50" s="41"/>
      <c r="R50" s="41"/>
      <c r="S50" s="41"/>
      <c r="T50" s="16"/>
      <c r="U50" s="16"/>
      <c r="V50" s="16"/>
      <c r="W50" s="16"/>
      <c r="X50" s="69">
        <f>(SUM(X$134:X$149)/16)/(SUM($J$134:$J$149)/16)*MITRE[[#This Row],[Trenes Corridos]]</f>
        <v>5306.9205974875877</v>
      </c>
      <c r="Y50" s="16"/>
      <c r="Z50" s="16"/>
      <c r="AA50" s="16"/>
      <c r="AB50" s="17"/>
      <c r="AC50" s="18">
        <v>1996</v>
      </c>
      <c r="AD50" s="21" t="s">
        <v>44</v>
      </c>
      <c r="AE50" s="41"/>
      <c r="AF50" s="41"/>
      <c r="AG50" s="41"/>
      <c r="AH50" s="16"/>
      <c r="AI50" s="16"/>
      <c r="AJ50" s="16"/>
      <c r="AK50" s="16"/>
      <c r="AL50" s="69">
        <f>(SUM(AL$134:AL$149)/16)/(SUM($J$134:$J$149)/16)*MITRE[[#This Row],[Trenes Corridos]]</f>
        <v>4150.0735194410872</v>
      </c>
      <c r="AM50" s="16"/>
      <c r="AN50" s="16"/>
      <c r="AO50" s="16"/>
      <c r="AP50" s="17"/>
      <c r="AQ50" s="18">
        <v>1996</v>
      </c>
      <c r="AR50" s="21" t="s">
        <v>44</v>
      </c>
      <c r="AS50" s="41"/>
      <c r="AT50" s="41"/>
      <c r="AU50" s="41"/>
      <c r="AV50" s="16"/>
      <c r="AW50" s="16"/>
      <c r="AX50" s="16"/>
      <c r="AY50" s="16"/>
      <c r="AZ50" s="69">
        <f>(SUM(AZ$134:AZ$149)/16)/(SUM($J$134:$J$149)/16)*MITRE[[#This Row],[Trenes Corridos]]</f>
        <v>2990.9489474061002</v>
      </c>
      <c r="BA50" s="16"/>
      <c r="BB50" s="16"/>
      <c r="BC50" s="16"/>
      <c r="BD50" s="17"/>
      <c r="BE50" s="18">
        <v>1996</v>
      </c>
      <c r="BF50" s="21" t="s">
        <v>44</v>
      </c>
      <c r="BG50" s="41"/>
      <c r="BH50" s="41"/>
      <c r="BI50" s="41"/>
      <c r="BJ50" s="16"/>
      <c r="BK50" s="16"/>
      <c r="BL50" s="16"/>
      <c r="BM50" s="16"/>
      <c r="BN50" s="69">
        <f>(SUM(BN$134:BN$149)/16)/(SUM($J$134:$J$149)/16)*MITRE[[#This Row],[Trenes Corridos]]</f>
        <v>898.35151035327908</v>
      </c>
      <c r="BO50" s="16"/>
      <c r="BP50" s="16"/>
      <c r="BQ50" s="16"/>
      <c r="BR50" s="17"/>
      <c r="BS50" s="18">
        <v>1996</v>
      </c>
      <c r="BT50" s="21" t="s">
        <v>44</v>
      </c>
      <c r="BU50" s="41"/>
      <c r="BV50" s="41"/>
      <c r="BW50" s="41"/>
      <c r="BX50" s="16"/>
      <c r="BY50" s="16"/>
      <c r="BZ50" s="16"/>
      <c r="CA50" s="16"/>
      <c r="CB50" s="69">
        <f>(SUM(CB$134:CB$149)/16)/(SUM($J$134:$J$149)/16)*MITRE[[#This Row],[Trenes Corridos]]</f>
        <v>885.70542531194599</v>
      </c>
      <c r="CC50" s="16"/>
      <c r="CD50" s="16"/>
      <c r="CI50" s="40"/>
      <c r="CJ50" s="40"/>
      <c r="CK50" s="40"/>
      <c r="CL50" s="40"/>
      <c r="CM50" s="40"/>
    </row>
    <row r="51" spans="1:91" s="18" customFormat="1" ht="15" customHeight="1">
      <c r="A51" s="18">
        <v>1996</v>
      </c>
      <c r="B51" s="21" t="s">
        <v>45</v>
      </c>
      <c r="C51" s="15">
        <f>+MITRE[[#This Row],[Trenes Puntuales]]/MITRE[[#This Row],[Trenes Programados]]</f>
        <v>0.93843098311817275</v>
      </c>
      <c r="D51" s="15">
        <f>+MITRE[[#This Row],[Trenes Puntuales]]/MITRE[[#This Row],[Trenes Corridos]]</f>
        <v>0.97476275615458674</v>
      </c>
      <c r="E51" s="15">
        <f>+MITRE[[#This Row],[Trenes Corridos]]/MITRE[[#This Row],[Trenes Programados]]</f>
        <v>0.96272757365110895</v>
      </c>
      <c r="F51" s="16">
        <f>+Tabla4[[#This Row],[Trenes Programados por Día Hábil]]+Tabla5[[#This Row],[Trenes Programados por Día Hábil]]+Tabla6[[#This Row],[Trenes Programados por Día Hábil]]+MIT_Vic_Cap[[#This Row],[Trenes Programados por Día Hábil]]+Tabla8[[#This Row],[Trenes Programados por Día Hábil]]</f>
        <v>0</v>
      </c>
      <c r="G5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1" s="16">
        <v>15105</v>
      </c>
      <c r="I51" s="16">
        <f t="shared" si="6"/>
        <v>563</v>
      </c>
      <c r="J51" s="16">
        <v>14542</v>
      </c>
      <c r="K51" s="16">
        <v>14175</v>
      </c>
      <c r="L51" s="16">
        <f t="shared" si="7"/>
        <v>367</v>
      </c>
      <c r="M51" s="16"/>
      <c r="N51" s="17"/>
      <c r="O51" s="18">
        <v>1996</v>
      </c>
      <c r="P51" s="21" t="s">
        <v>45</v>
      </c>
      <c r="Q51" s="41"/>
      <c r="R51" s="41"/>
      <c r="S51" s="41"/>
      <c r="T51" s="16"/>
      <c r="U51" s="16"/>
      <c r="V51" s="16"/>
      <c r="W51" s="16"/>
      <c r="X51" s="69">
        <f>(SUM(X$134:X$149)/16)/(SUM($J$134:$J$149)/16)*MITRE[[#This Row],[Trenes Corridos]]</f>
        <v>5422.5154109516934</v>
      </c>
      <c r="Y51" s="16"/>
      <c r="Z51" s="16"/>
      <c r="AA51" s="16"/>
      <c r="AB51" s="17"/>
      <c r="AC51" s="18">
        <v>1996</v>
      </c>
      <c r="AD51" s="21" t="s">
        <v>45</v>
      </c>
      <c r="AE51" s="41"/>
      <c r="AF51" s="41"/>
      <c r="AG51" s="41"/>
      <c r="AH51" s="16"/>
      <c r="AI51" s="16"/>
      <c r="AJ51" s="16"/>
      <c r="AK51" s="16"/>
      <c r="AL51" s="69">
        <f>(SUM(AL$134:AL$149)/16)/(SUM($J$134:$J$149)/16)*MITRE[[#This Row],[Trenes Corridos]]</f>
        <v>4240.4700056009196</v>
      </c>
      <c r="AM51" s="16"/>
      <c r="AN51" s="16"/>
      <c r="AO51" s="16"/>
      <c r="AP51" s="17"/>
      <c r="AQ51" s="18">
        <v>1996</v>
      </c>
      <c r="AR51" s="21" t="s">
        <v>45</v>
      </c>
      <c r="AS51" s="41"/>
      <c r="AT51" s="41"/>
      <c r="AU51" s="41"/>
      <c r="AV51" s="16"/>
      <c r="AW51" s="16"/>
      <c r="AX51" s="16"/>
      <c r="AY51" s="16"/>
      <c r="AZ51" s="69">
        <f>(SUM(AZ$134:AZ$149)/16)/(SUM($J$134:$J$149)/16)*MITRE[[#This Row],[Trenes Corridos]]</f>
        <v>3056.09749811548</v>
      </c>
      <c r="BA51" s="16"/>
      <c r="BB51" s="16"/>
      <c r="BC51" s="16"/>
      <c r="BD51" s="17"/>
      <c r="BE51" s="18">
        <v>1996</v>
      </c>
      <c r="BF51" s="21" t="s">
        <v>45</v>
      </c>
      <c r="BG51" s="41"/>
      <c r="BH51" s="41"/>
      <c r="BI51" s="41"/>
      <c r="BJ51" s="16"/>
      <c r="BK51" s="16"/>
      <c r="BL51" s="16"/>
      <c r="BM51" s="16"/>
      <c r="BN51" s="69">
        <f>(SUM(BN$134:BN$149)/16)/(SUM($J$134:$J$149)/16)*MITRE[[#This Row],[Trenes Corridos]]</f>
        <v>917.91931306614561</v>
      </c>
      <c r="BO51" s="16"/>
      <c r="BP51" s="16"/>
      <c r="BQ51" s="16"/>
      <c r="BR51" s="17"/>
      <c r="BS51" s="18">
        <v>1996</v>
      </c>
      <c r="BT51" s="21" t="s">
        <v>45</v>
      </c>
      <c r="BU51" s="41"/>
      <c r="BV51" s="41"/>
      <c r="BW51" s="41"/>
      <c r="BX51" s="16"/>
      <c r="BY51" s="16"/>
      <c r="BZ51" s="16"/>
      <c r="CA51" s="16"/>
      <c r="CB51" s="69">
        <f>(SUM(CB$134:CB$149)/16)/(SUM($J$134:$J$149)/16)*MITRE[[#This Row],[Trenes Corridos]]</f>
        <v>904.99777226576157</v>
      </c>
      <c r="CC51" s="16"/>
      <c r="CD51" s="16"/>
      <c r="CI51" s="40"/>
      <c r="CJ51" s="40"/>
      <c r="CK51" s="40"/>
      <c r="CL51" s="40"/>
      <c r="CM51" s="40"/>
    </row>
    <row r="52" spans="1:91" s="18" customFormat="1" ht="15" customHeight="1">
      <c r="A52" s="18">
        <v>1996</v>
      </c>
      <c r="B52" s="21" t="s">
        <v>46</v>
      </c>
      <c r="C52" s="15">
        <f>+MITRE[[#This Row],[Trenes Puntuales]]/MITRE[[#This Row],[Trenes Programados]]</f>
        <v>0.9718406123983323</v>
      </c>
      <c r="D52" s="15">
        <f>+MITRE[[#This Row],[Trenes Puntuales]]/MITRE[[#This Row],[Trenes Corridos]]</f>
        <v>0.97718369871486499</v>
      </c>
      <c r="E52" s="15">
        <f>+MITRE[[#This Row],[Trenes Corridos]]/MITRE[[#This Row],[Trenes Programados]]</f>
        <v>0.99453215774724901</v>
      </c>
      <c r="F52" s="16">
        <f>+Tabla4[[#This Row],[Trenes Programados por Día Hábil]]+Tabla5[[#This Row],[Trenes Programados por Día Hábil]]+Tabla6[[#This Row],[Trenes Programados por Día Hábil]]+MIT_Vic_Cap[[#This Row],[Trenes Programados por Día Hábil]]+Tabla8[[#This Row],[Trenes Programados por Día Hábil]]</f>
        <v>0</v>
      </c>
      <c r="G5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2" s="16">
        <v>14631</v>
      </c>
      <c r="I52" s="16">
        <f t="shared" si="6"/>
        <v>80</v>
      </c>
      <c r="J52" s="16">
        <v>14551</v>
      </c>
      <c r="K52" s="16">
        <v>14219</v>
      </c>
      <c r="L52" s="16">
        <f t="shared" si="7"/>
        <v>332</v>
      </c>
      <c r="M52" s="16"/>
      <c r="N52" s="17"/>
      <c r="O52" s="18">
        <v>1996</v>
      </c>
      <c r="P52" s="21" t="s">
        <v>46</v>
      </c>
      <c r="Q52" s="41"/>
      <c r="R52" s="41"/>
      <c r="S52" s="41"/>
      <c r="T52" s="16"/>
      <c r="U52" s="16"/>
      <c r="V52" s="16"/>
      <c r="W52" s="16"/>
      <c r="X52" s="69">
        <f>(SUM(X$134:X$149)/16)/(SUM($J$134:$J$149)/16)*MITRE[[#This Row],[Trenes Corridos]]</f>
        <v>5425.8713894071025</v>
      </c>
      <c r="Y52" s="16"/>
      <c r="Z52" s="16"/>
      <c r="AA52" s="16"/>
      <c r="AB52" s="17"/>
      <c r="AC52" s="18">
        <v>1996</v>
      </c>
      <c r="AD52" s="21" t="s">
        <v>46</v>
      </c>
      <c r="AE52" s="41"/>
      <c r="AF52" s="41"/>
      <c r="AG52" s="41"/>
      <c r="AH52" s="16"/>
      <c r="AI52" s="16"/>
      <c r="AJ52" s="16"/>
      <c r="AK52" s="16"/>
      <c r="AL52" s="69">
        <f>(SUM(AL$134:AL$149)/16)/(SUM($J$134:$J$149)/16)*MITRE[[#This Row],[Trenes Corridos]]</f>
        <v>4243.0944197152367</v>
      </c>
      <c r="AM52" s="16"/>
      <c r="AN52" s="16"/>
      <c r="AO52" s="16"/>
      <c r="AP52" s="17"/>
      <c r="AQ52" s="18">
        <v>1996</v>
      </c>
      <c r="AR52" s="21" t="s">
        <v>46</v>
      </c>
      <c r="AS52" s="41"/>
      <c r="AT52" s="41"/>
      <c r="AU52" s="41"/>
      <c r="AV52" s="16"/>
      <c r="AW52" s="16"/>
      <c r="AX52" s="16"/>
      <c r="AY52" s="16"/>
      <c r="AZ52" s="69">
        <f>(SUM(AZ$134:AZ$149)/16)/(SUM($J$134:$J$149)/16)*MITRE[[#This Row],[Trenes Corridos]]</f>
        <v>3057.988907652204</v>
      </c>
      <c r="BA52" s="16"/>
      <c r="BB52" s="16"/>
      <c r="BC52" s="16"/>
      <c r="BD52" s="17"/>
      <c r="BE52" s="18">
        <v>1996</v>
      </c>
      <c r="BF52" s="21" t="s">
        <v>46</v>
      </c>
      <c r="BG52" s="41"/>
      <c r="BH52" s="41"/>
      <c r="BI52" s="41"/>
      <c r="BJ52" s="16"/>
      <c r="BK52" s="16"/>
      <c r="BL52" s="16"/>
      <c r="BM52" s="16"/>
      <c r="BN52" s="69">
        <f>(SUM(BN$134:BN$149)/16)/(SUM($J$134:$J$149)/16)*MITRE[[#This Row],[Trenes Corridos]]</f>
        <v>918.48741056426115</v>
      </c>
      <c r="BO52" s="16"/>
      <c r="BP52" s="16"/>
      <c r="BQ52" s="16"/>
      <c r="BR52" s="17"/>
      <c r="BS52" s="18">
        <v>1996</v>
      </c>
      <c r="BT52" s="21" t="s">
        <v>46</v>
      </c>
      <c r="BU52" s="41"/>
      <c r="BV52" s="41"/>
      <c r="BW52" s="41"/>
      <c r="BX52" s="16"/>
      <c r="BY52" s="16"/>
      <c r="BZ52" s="16"/>
      <c r="CA52" s="16"/>
      <c r="CB52" s="69">
        <f>(SUM(CB$134:CB$149)/16)/(SUM($J$134:$J$149)/16)*MITRE[[#This Row],[Trenes Corridos]]</f>
        <v>905.55787266119489</v>
      </c>
      <c r="CC52" s="16"/>
      <c r="CD52" s="16"/>
      <c r="CI52" s="40"/>
      <c r="CJ52" s="40"/>
      <c r="CK52" s="40"/>
      <c r="CL52" s="40"/>
      <c r="CM52" s="40"/>
    </row>
    <row r="53" spans="1:91" s="18" customFormat="1" ht="15" customHeight="1">
      <c r="A53" s="18">
        <v>1996</v>
      </c>
      <c r="B53" s="21" t="s">
        <v>47</v>
      </c>
      <c r="C53" s="15">
        <f>+MITRE[[#This Row],[Trenes Puntuales]]/MITRE[[#This Row],[Trenes Programados]]</f>
        <v>0.90241125251172138</v>
      </c>
      <c r="D53" s="15">
        <f>+MITRE[[#This Row],[Trenes Puntuales]]/MITRE[[#This Row],[Trenes Corridos]]</f>
        <v>0.9652529015618283</v>
      </c>
      <c r="E53" s="15">
        <f>+MITRE[[#This Row],[Trenes Corridos]]/MITRE[[#This Row],[Trenes Programados]]</f>
        <v>0.93489618218352311</v>
      </c>
      <c r="F53" s="16">
        <f>+Tabla4[[#This Row],[Trenes Programados por Día Hábil]]+Tabla5[[#This Row],[Trenes Programados por Día Hábil]]+Tabla6[[#This Row],[Trenes Programados por Día Hábil]]+MIT_Vic_Cap[[#This Row],[Trenes Programados por Día Hábil]]+Tabla8[[#This Row],[Trenes Programados por Día Hábil]]</f>
        <v>0</v>
      </c>
      <c r="G5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3" s="16">
        <v>14930</v>
      </c>
      <c r="I53" s="16">
        <f t="shared" si="6"/>
        <v>972</v>
      </c>
      <c r="J53" s="16">
        <v>13958</v>
      </c>
      <c r="K53" s="16">
        <v>13473</v>
      </c>
      <c r="L53" s="16">
        <f t="shared" si="7"/>
        <v>485</v>
      </c>
      <c r="M53" s="16"/>
      <c r="N53" s="17"/>
      <c r="O53" s="18">
        <v>1996</v>
      </c>
      <c r="P53" s="21" t="s">
        <v>47</v>
      </c>
      <c r="Q53" s="41"/>
      <c r="R53" s="41"/>
      <c r="S53" s="41"/>
      <c r="T53" s="16"/>
      <c r="U53" s="16"/>
      <c r="V53" s="16"/>
      <c r="W53" s="16"/>
      <c r="X53" s="69">
        <f>(SUM(X$134:X$149)/16)/(SUM($J$134:$J$149)/16)*MITRE[[#This Row],[Trenes Corridos]]</f>
        <v>5204.74969784512</v>
      </c>
      <c r="Y53" s="16"/>
      <c r="Z53" s="16"/>
      <c r="AA53" s="16"/>
      <c r="AB53" s="17"/>
      <c r="AC53" s="18">
        <v>1996</v>
      </c>
      <c r="AD53" s="21" t="s">
        <v>47</v>
      </c>
      <c r="AE53" s="41"/>
      <c r="AF53" s="41"/>
      <c r="AG53" s="41"/>
      <c r="AH53" s="16"/>
      <c r="AI53" s="16"/>
      <c r="AJ53" s="16"/>
      <c r="AK53" s="16"/>
      <c r="AL53" s="69">
        <f>(SUM(AL$134:AL$149)/16)/(SUM($J$134:$J$149)/16)*MITRE[[#This Row],[Trenes Corridos]]</f>
        <v>4070.1746897385251</v>
      </c>
      <c r="AM53" s="16"/>
      <c r="AN53" s="16"/>
      <c r="AO53" s="16"/>
      <c r="AP53" s="17"/>
      <c r="AQ53" s="18">
        <v>1996</v>
      </c>
      <c r="AR53" s="21" t="s">
        <v>47</v>
      </c>
      <c r="AS53" s="41"/>
      <c r="AT53" s="41"/>
      <c r="AU53" s="41"/>
      <c r="AV53" s="16"/>
      <c r="AW53" s="16"/>
      <c r="AX53" s="16"/>
      <c r="AY53" s="16"/>
      <c r="AZ53" s="69">
        <f>(SUM(AZ$134:AZ$149)/16)/(SUM($J$134:$J$149)/16)*MITRE[[#This Row],[Trenes Corridos]]</f>
        <v>2933.3660348436165</v>
      </c>
      <c r="BA53" s="16"/>
      <c r="BB53" s="16"/>
      <c r="BC53" s="16"/>
      <c r="BD53" s="17"/>
      <c r="BE53" s="18">
        <v>1996</v>
      </c>
      <c r="BF53" s="21" t="s">
        <v>47</v>
      </c>
      <c r="BG53" s="41"/>
      <c r="BH53" s="41"/>
      <c r="BI53" s="41"/>
      <c r="BJ53" s="16"/>
      <c r="BK53" s="16"/>
      <c r="BL53" s="16"/>
      <c r="BM53" s="16"/>
      <c r="BN53" s="69">
        <f>(SUM(BN$134:BN$149)/16)/(SUM($J$134:$J$149)/16)*MITRE[[#This Row],[Trenes Corridos]]</f>
        <v>881.05609763287453</v>
      </c>
      <c r="BO53" s="16"/>
      <c r="BP53" s="16"/>
      <c r="BQ53" s="16"/>
      <c r="BR53" s="17"/>
      <c r="BS53" s="18">
        <v>1996</v>
      </c>
      <c r="BT53" s="21" t="s">
        <v>47</v>
      </c>
      <c r="BU53" s="41"/>
      <c r="BV53" s="41"/>
      <c r="BW53" s="41"/>
      <c r="BX53" s="16"/>
      <c r="BY53" s="16"/>
      <c r="BZ53" s="16"/>
      <c r="CA53" s="16"/>
      <c r="CB53" s="69">
        <f>(SUM(CB$134:CB$149)/16)/(SUM($J$134:$J$149)/16)*MITRE[[#This Row],[Trenes Corridos]]</f>
        <v>868.65347993986381</v>
      </c>
      <c r="CC53" s="16"/>
      <c r="CD53" s="16"/>
      <c r="CI53" s="40"/>
      <c r="CJ53" s="40"/>
      <c r="CK53" s="40"/>
      <c r="CL53" s="40"/>
      <c r="CM53" s="40"/>
    </row>
    <row r="54" spans="1:91" s="18" customFormat="1" ht="15" customHeight="1">
      <c r="A54" s="18">
        <v>1997</v>
      </c>
      <c r="B54" s="21" t="s">
        <v>36</v>
      </c>
      <c r="C54" s="15">
        <f>+MITRE[[#This Row],[Trenes Puntuales]]/MITRE[[#This Row],[Trenes Programados]]</f>
        <v>0.97108338284808871</v>
      </c>
      <c r="D54" s="15">
        <f>+MITRE[[#This Row],[Trenes Puntuales]]/MITRE[[#This Row],[Trenes Corridos]]</f>
        <v>0.9772123305872974</v>
      </c>
      <c r="E54" s="15">
        <f>+MITRE[[#This Row],[Trenes Corridos]]/MITRE[[#This Row],[Trenes Programados]]</f>
        <v>0.99372813098303292</v>
      </c>
      <c r="F54" s="16">
        <f>+Tabla4[[#This Row],[Trenes Programados por Día Hábil]]+Tabla5[[#This Row],[Trenes Programados por Día Hábil]]+Tabla6[[#This Row],[Trenes Programados por Día Hábil]]+MIT_Vic_Cap[[#This Row],[Trenes Programados por Día Hábil]]+Tabla8[[#This Row],[Trenes Programados por Día Hábil]]</f>
        <v>0</v>
      </c>
      <c r="G5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4" s="16">
        <v>15147</v>
      </c>
      <c r="I54" s="16">
        <f t="shared" ref="I54:I65" si="8">H54-J54</f>
        <v>95</v>
      </c>
      <c r="J54" s="16">
        <v>15052</v>
      </c>
      <c r="K54" s="16">
        <v>14709</v>
      </c>
      <c r="L54" s="16">
        <f t="shared" ref="L54:L65" si="9">J54-K54</f>
        <v>343</v>
      </c>
      <c r="M54" s="16"/>
      <c r="N54" s="17"/>
      <c r="O54" s="18">
        <v>1997</v>
      </c>
      <c r="P54" s="21" t="s">
        <v>36</v>
      </c>
      <c r="Q54" s="41"/>
      <c r="R54" s="41"/>
      <c r="S54" s="41"/>
      <c r="T54" s="16"/>
      <c r="U54" s="16"/>
      <c r="V54" s="16"/>
      <c r="W54" s="16"/>
      <c r="X54" s="69">
        <f>(SUM(X$134:X$149)/16)/(SUM($J$134:$J$149)/16)*MITRE[[#This Row],[Trenes Corridos]]</f>
        <v>5612.6875234248992</v>
      </c>
      <c r="Y54" s="16"/>
      <c r="Z54" s="16"/>
      <c r="AA54" s="16"/>
      <c r="AB54" s="17"/>
      <c r="AC54" s="18">
        <v>1997</v>
      </c>
      <c r="AD54" s="21" t="s">
        <v>36</v>
      </c>
      <c r="AE54" s="41"/>
      <c r="AF54" s="41"/>
      <c r="AG54" s="41"/>
      <c r="AH54" s="16"/>
      <c r="AI54" s="16"/>
      <c r="AJ54" s="16"/>
      <c r="AK54" s="16"/>
      <c r="AL54" s="69">
        <f>(SUM(AL$134:AL$149)/16)/(SUM($J$134:$J$149)/16)*MITRE[[#This Row],[Trenes Corridos]]</f>
        <v>4389.1868054122569</v>
      </c>
      <c r="AM54" s="16"/>
      <c r="AN54" s="16"/>
      <c r="AO54" s="16"/>
      <c r="AP54" s="17"/>
      <c r="AQ54" s="18">
        <v>1997</v>
      </c>
      <c r="AR54" s="21" t="s">
        <v>36</v>
      </c>
      <c r="AS54" s="41"/>
      <c r="AT54" s="41"/>
      <c r="AU54" s="41"/>
      <c r="AV54" s="16"/>
      <c r="AW54" s="16"/>
      <c r="AX54" s="16"/>
      <c r="AY54" s="16"/>
      <c r="AZ54" s="69">
        <f>(SUM(AZ$134:AZ$149)/16)/(SUM($J$134:$J$149)/16)*MITRE[[#This Row],[Trenes Corridos]]</f>
        <v>3163.2773718631693</v>
      </c>
      <c r="BA54" s="16"/>
      <c r="BB54" s="16"/>
      <c r="BC54" s="16"/>
      <c r="BD54" s="17"/>
      <c r="BE54" s="18">
        <v>1997</v>
      </c>
      <c r="BF54" s="21" t="s">
        <v>36</v>
      </c>
      <c r="BG54" s="41"/>
      <c r="BH54" s="41"/>
      <c r="BI54" s="41"/>
      <c r="BJ54" s="16"/>
      <c r="BK54" s="16"/>
      <c r="BL54" s="16"/>
      <c r="BM54" s="16"/>
      <c r="BN54" s="69">
        <f>(SUM(BN$134:BN$149)/16)/(SUM($J$134:$J$149)/16)*MITRE[[#This Row],[Trenes Corridos]]</f>
        <v>950.11150462602279</v>
      </c>
      <c r="BO54" s="16"/>
      <c r="BP54" s="16"/>
      <c r="BQ54" s="16"/>
      <c r="BR54" s="17"/>
      <c r="BS54" s="18">
        <v>1997</v>
      </c>
      <c r="BT54" s="21" t="s">
        <v>36</v>
      </c>
      <c r="BU54" s="41"/>
      <c r="BV54" s="41"/>
      <c r="BW54" s="41"/>
      <c r="BX54" s="16"/>
      <c r="BY54" s="16"/>
      <c r="BZ54" s="16"/>
      <c r="CA54" s="16"/>
      <c r="CB54" s="69">
        <f>(SUM(CB$134:CB$149)/16)/(SUM($J$134:$J$149)/16)*MITRE[[#This Row],[Trenes Corridos]]</f>
        <v>936.73679467365173</v>
      </c>
      <c r="CC54" s="16"/>
      <c r="CD54" s="16"/>
      <c r="CI54" s="40"/>
      <c r="CJ54" s="40"/>
      <c r="CK54" s="40"/>
      <c r="CL54" s="40"/>
      <c r="CM54" s="40"/>
    </row>
    <row r="55" spans="1:91" s="18" customFormat="1" ht="15" customHeight="1">
      <c r="A55" s="18">
        <v>1997</v>
      </c>
      <c r="B55" s="21" t="s">
        <v>37</v>
      </c>
      <c r="C55" s="15">
        <f>+MITRE[[#This Row],[Trenes Puntuales]]/MITRE[[#This Row],[Trenes Programados]]</f>
        <v>0.96518895348837208</v>
      </c>
      <c r="D55" s="15">
        <f>+MITRE[[#This Row],[Trenes Puntuales]]/MITRE[[#This Row],[Trenes Corridos]]</f>
        <v>0.97069141938313108</v>
      </c>
      <c r="E55" s="15">
        <f>+MITRE[[#This Row],[Trenes Corridos]]/MITRE[[#This Row],[Trenes Programados]]</f>
        <v>0.99433139534883719</v>
      </c>
      <c r="F55" s="16">
        <f>+Tabla4[[#This Row],[Trenes Programados por Día Hábil]]+Tabla5[[#This Row],[Trenes Programados por Día Hábil]]+Tabla6[[#This Row],[Trenes Programados por Día Hábil]]+MIT_Vic_Cap[[#This Row],[Trenes Programados por Día Hábil]]+Tabla8[[#This Row],[Trenes Programados por Día Hábil]]</f>
        <v>0</v>
      </c>
      <c r="G5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5" s="16">
        <v>13760</v>
      </c>
      <c r="I55" s="16">
        <f t="shared" si="8"/>
        <v>78</v>
      </c>
      <c r="J55" s="16">
        <v>13682</v>
      </c>
      <c r="K55" s="16">
        <v>13281</v>
      </c>
      <c r="L55" s="16">
        <f t="shared" si="9"/>
        <v>401</v>
      </c>
      <c r="M55" s="16"/>
      <c r="N55" s="17"/>
      <c r="O55" s="18">
        <v>1997</v>
      </c>
      <c r="P55" s="21" t="s">
        <v>37</v>
      </c>
      <c r="Q55" s="41"/>
      <c r="R55" s="41"/>
      <c r="S55" s="41"/>
      <c r="T55" s="16"/>
      <c r="U55" s="16"/>
      <c r="V55" s="16"/>
      <c r="W55" s="16"/>
      <c r="X55" s="69">
        <f>(SUM(X$134:X$149)/16)/(SUM($J$134:$J$149)/16)*MITRE[[#This Row],[Trenes Corridos]]</f>
        <v>5101.8330252125606</v>
      </c>
      <c r="Y55" s="16"/>
      <c r="Z55" s="16"/>
      <c r="AA55" s="16"/>
      <c r="AB55" s="17"/>
      <c r="AC55" s="18">
        <v>1997</v>
      </c>
      <c r="AD55" s="21" t="s">
        <v>37</v>
      </c>
      <c r="AE55" s="41"/>
      <c r="AF55" s="41"/>
      <c r="AG55" s="41"/>
      <c r="AH55" s="16"/>
      <c r="AI55" s="16"/>
      <c r="AJ55" s="16"/>
      <c r="AK55" s="16"/>
      <c r="AL55" s="69">
        <f>(SUM(AL$134:AL$149)/16)/(SUM($J$134:$J$149)/16)*MITRE[[#This Row],[Trenes Corridos]]</f>
        <v>3989.6926568994486</v>
      </c>
      <c r="AM55" s="16"/>
      <c r="AN55" s="16"/>
      <c r="AO55" s="16"/>
      <c r="AP55" s="17"/>
      <c r="AQ55" s="18">
        <v>1997</v>
      </c>
      <c r="AR55" s="21" t="s">
        <v>37</v>
      </c>
      <c r="AS55" s="41"/>
      <c r="AT55" s="41"/>
      <c r="AU55" s="41"/>
      <c r="AV55" s="16"/>
      <c r="AW55" s="16"/>
      <c r="AX55" s="16"/>
      <c r="AY55" s="16"/>
      <c r="AZ55" s="69">
        <f>(SUM(AZ$134:AZ$149)/16)/(SUM($J$134:$J$149)/16)*MITRE[[#This Row],[Trenes Corridos]]</f>
        <v>2875.3628090507495</v>
      </c>
      <c r="BA55" s="16"/>
      <c r="BB55" s="16"/>
      <c r="BC55" s="16"/>
      <c r="BD55" s="17"/>
      <c r="BE55" s="18">
        <v>1997</v>
      </c>
      <c r="BF55" s="21" t="s">
        <v>37</v>
      </c>
      <c r="BG55" s="41"/>
      <c r="BH55" s="41"/>
      <c r="BI55" s="41"/>
      <c r="BJ55" s="16"/>
      <c r="BK55" s="16"/>
      <c r="BL55" s="16"/>
      <c r="BM55" s="16"/>
      <c r="BN55" s="69">
        <f>(SUM(BN$134:BN$149)/16)/(SUM($J$134:$J$149)/16)*MITRE[[#This Row],[Trenes Corridos]]</f>
        <v>863.63444102399978</v>
      </c>
      <c r="BO55" s="16"/>
      <c r="BP55" s="16"/>
      <c r="BQ55" s="16"/>
      <c r="BR55" s="17"/>
      <c r="BS55" s="18">
        <v>1997</v>
      </c>
      <c r="BT55" s="21" t="s">
        <v>37</v>
      </c>
      <c r="BU55" s="41"/>
      <c r="BV55" s="41"/>
      <c r="BW55" s="41"/>
      <c r="BX55" s="16"/>
      <c r="BY55" s="16"/>
      <c r="BZ55" s="16"/>
      <c r="CA55" s="16"/>
      <c r="CB55" s="69">
        <f>(SUM(CB$134:CB$149)/16)/(SUM($J$134:$J$149)/16)*MITRE[[#This Row],[Trenes Corridos]]</f>
        <v>851.47706781324098</v>
      </c>
      <c r="CC55" s="16"/>
      <c r="CD55" s="16"/>
      <c r="CI55" s="40"/>
      <c r="CJ55" s="40"/>
      <c r="CK55" s="40"/>
      <c r="CL55" s="40"/>
      <c r="CM55" s="40"/>
    </row>
    <row r="56" spans="1:91" s="18" customFormat="1" ht="15" customHeight="1">
      <c r="A56" s="18">
        <v>1997</v>
      </c>
      <c r="B56" s="21" t="s">
        <v>38</v>
      </c>
      <c r="C56" s="15">
        <f>+MITRE[[#This Row],[Trenes Puntuales]]/MITRE[[#This Row],[Trenes Programados]]</f>
        <v>0.96094013064852857</v>
      </c>
      <c r="D56" s="15">
        <f>+MITRE[[#This Row],[Trenes Puntuales]]/MITRE[[#This Row],[Trenes Corridos]]</f>
        <v>0.96405648267008981</v>
      </c>
      <c r="E56" s="15">
        <f>+MITRE[[#This Row],[Trenes Corridos]]/MITRE[[#This Row],[Trenes Programados]]</f>
        <v>0.99676745908815412</v>
      </c>
      <c r="F56" s="16">
        <f>+Tabla4[[#This Row],[Trenes Programados por Día Hábil]]+Tabla5[[#This Row],[Trenes Programados por Día Hábil]]+Tabla6[[#This Row],[Trenes Programados por Día Hábil]]+MIT_Vic_Cap[[#This Row],[Trenes Programados por Día Hábil]]+Tabla8[[#This Row],[Trenes Programados por Día Hábil]]</f>
        <v>0</v>
      </c>
      <c r="G5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6" s="16">
        <v>14849</v>
      </c>
      <c r="I56" s="16">
        <f t="shared" si="8"/>
        <v>48</v>
      </c>
      <c r="J56" s="16">
        <v>14801</v>
      </c>
      <c r="K56" s="16">
        <v>14269</v>
      </c>
      <c r="L56" s="16">
        <f t="shared" si="9"/>
        <v>532</v>
      </c>
      <c r="M56" s="16"/>
      <c r="N56" s="17"/>
      <c r="O56" s="18">
        <v>1997</v>
      </c>
      <c r="P56" s="21" t="s">
        <v>38</v>
      </c>
      <c r="Q56" s="41"/>
      <c r="R56" s="41"/>
      <c r="S56" s="41"/>
      <c r="T56" s="16"/>
      <c r="U56" s="16"/>
      <c r="V56" s="16"/>
      <c r="W56" s="16"/>
      <c r="X56" s="69">
        <f>(SUM(X$134:X$149)/16)/(SUM($J$134:$J$149)/16)*MITRE[[#This Row],[Trenes Corridos]]</f>
        <v>5519.0930131684781</v>
      </c>
      <c r="Y56" s="16"/>
      <c r="Z56" s="16"/>
      <c r="AA56" s="16"/>
      <c r="AB56" s="17"/>
      <c r="AC56" s="18">
        <v>1997</v>
      </c>
      <c r="AD56" s="21" t="s">
        <v>38</v>
      </c>
      <c r="AE56" s="41"/>
      <c r="AF56" s="41"/>
      <c r="AG56" s="41"/>
      <c r="AH56" s="16"/>
      <c r="AI56" s="16"/>
      <c r="AJ56" s="16"/>
      <c r="AK56" s="16"/>
      <c r="AL56" s="69">
        <f>(SUM(AL$134:AL$149)/16)/(SUM($J$134:$J$149)/16)*MITRE[[#This Row],[Trenes Corridos]]</f>
        <v>4315.9948117796184</v>
      </c>
      <c r="AM56" s="16"/>
      <c r="AN56" s="16"/>
      <c r="AO56" s="16"/>
      <c r="AP56" s="17"/>
      <c r="AQ56" s="18">
        <v>1997</v>
      </c>
      <c r="AR56" s="21" t="s">
        <v>38</v>
      </c>
      <c r="AS56" s="41"/>
      <c r="AT56" s="41"/>
      <c r="AU56" s="41"/>
      <c r="AV56" s="16"/>
      <c r="AW56" s="16"/>
      <c r="AX56" s="16"/>
      <c r="AY56" s="16"/>
      <c r="AZ56" s="69">
        <f>(SUM(AZ$134:AZ$149)/16)/(SUM($J$134:$J$149)/16)*MITRE[[#This Row],[Trenes Corridos]]</f>
        <v>3110.5280614500907</v>
      </c>
      <c r="BA56" s="16"/>
      <c r="BB56" s="16"/>
      <c r="BC56" s="16"/>
      <c r="BD56" s="17"/>
      <c r="BE56" s="18">
        <v>1997</v>
      </c>
      <c r="BF56" s="21" t="s">
        <v>38</v>
      </c>
      <c r="BG56" s="41"/>
      <c r="BH56" s="41"/>
      <c r="BI56" s="41"/>
      <c r="BJ56" s="16"/>
      <c r="BK56" s="16"/>
      <c r="BL56" s="16"/>
      <c r="BM56" s="16"/>
      <c r="BN56" s="69">
        <f>(SUM(BN$134:BN$149)/16)/(SUM($J$134:$J$149)/16)*MITRE[[#This Row],[Trenes Corridos]]</f>
        <v>934.2678966230244</v>
      </c>
      <c r="BO56" s="16"/>
      <c r="BP56" s="16"/>
      <c r="BQ56" s="16"/>
      <c r="BR56" s="17"/>
      <c r="BS56" s="18">
        <v>1997</v>
      </c>
      <c r="BT56" s="21" t="s">
        <v>38</v>
      </c>
      <c r="BU56" s="41"/>
      <c r="BV56" s="41"/>
      <c r="BW56" s="41"/>
      <c r="BX56" s="16"/>
      <c r="BY56" s="16"/>
      <c r="BZ56" s="16"/>
      <c r="CA56" s="16"/>
      <c r="CB56" s="69">
        <f>(SUM(CB$134:CB$149)/16)/(SUM($J$134:$J$149)/16)*MITRE[[#This Row],[Trenes Corridos]]</f>
        <v>921.11621697878809</v>
      </c>
      <c r="CC56" s="16"/>
      <c r="CD56" s="16"/>
      <c r="CI56" s="40"/>
      <c r="CJ56" s="40"/>
      <c r="CK56" s="40"/>
      <c r="CL56" s="40"/>
      <c r="CM56" s="40"/>
    </row>
    <row r="57" spans="1:91" s="18" customFormat="1" ht="15" customHeight="1">
      <c r="A57" s="18">
        <v>1997</v>
      </c>
      <c r="B57" s="21" t="s">
        <v>39</v>
      </c>
      <c r="C57" s="15">
        <f>+MITRE[[#This Row],[Trenes Puntuales]]/MITRE[[#This Row],[Trenes Programados]]</f>
        <v>0.97025896951712975</v>
      </c>
      <c r="D57" s="15">
        <f>+MITRE[[#This Row],[Trenes Puntuales]]/MITRE[[#This Row],[Trenes Corridos]]</f>
        <v>0.97143821742066172</v>
      </c>
      <c r="E57" s="15">
        <f>+MITRE[[#This Row],[Trenes Corridos]]/MITRE[[#This Row],[Trenes Programados]]</f>
        <v>0.99878608038845429</v>
      </c>
      <c r="F57" s="16">
        <f>+Tabla4[[#This Row],[Trenes Programados por Día Hábil]]+Tabla5[[#This Row],[Trenes Programados por Día Hábil]]+Tabla6[[#This Row],[Trenes Programados por Día Hábil]]+MIT_Vic_Cap[[#This Row],[Trenes Programados por Día Hábil]]+Tabla8[[#This Row],[Trenes Programados por Día Hábil]]</f>
        <v>0</v>
      </c>
      <c r="G5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7" s="16">
        <v>14828</v>
      </c>
      <c r="I57" s="16">
        <f t="shared" si="8"/>
        <v>18</v>
      </c>
      <c r="J57" s="16">
        <v>14810</v>
      </c>
      <c r="K57" s="16">
        <v>14387</v>
      </c>
      <c r="L57" s="16">
        <f t="shared" si="9"/>
        <v>423</v>
      </c>
      <c r="M57" s="16"/>
      <c r="N57" s="17"/>
      <c r="O57" s="18">
        <v>1997</v>
      </c>
      <c r="P57" s="21" t="s">
        <v>39</v>
      </c>
      <c r="Q57" s="41"/>
      <c r="R57" s="41"/>
      <c r="S57" s="41"/>
      <c r="T57" s="16"/>
      <c r="U57" s="16"/>
      <c r="V57" s="16"/>
      <c r="W57" s="16"/>
      <c r="X57" s="69">
        <f>(SUM(X$134:X$149)/16)/(SUM($J$134:$J$149)/16)*MITRE[[#This Row],[Trenes Corridos]]</f>
        <v>5522.4489916238872</v>
      </c>
      <c r="Y57" s="16"/>
      <c r="Z57" s="16"/>
      <c r="AA57" s="16"/>
      <c r="AB57" s="17"/>
      <c r="AC57" s="18">
        <v>1997</v>
      </c>
      <c r="AD57" s="21" t="s">
        <v>39</v>
      </c>
      <c r="AE57" s="41"/>
      <c r="AF57" s="41"/>
      <c r="AG57" s="41"/>
      <c r="AH57" s="16"/>
      <c r="AI57" s="16"/>
      <c r="AJ57" s="16"/>
      <c r="AK57" s="16"/>
      <c r="AL57" s="69">
        <f>(SUM(AL$134:AL$149)/16)/(SUM($J$134:$J$149)/16)*MITRE[[#This Row],[Trenes Corridos]]</f>
        <v>4318.6192258939363</v>
      </c>
      <c r="AM57" s="16"/>
      <c r="AN57" s="16"/>
      <c r="AO57" s="16"/>
      <c r="AP57" s="17"/>
      <c r="AQ57" s="18">
        <v>1997</v>
      </c>
      <c r="AR57" s="21" t="s">
        <v>39</v>
      </c>
      <c r="AS57" s="41"/>
      <c r="AT57" s="41"/>
      <c r="AU57" s="41"/>
      <c r="AV57" s="16"/>
      <c r="AW57" s="16"/>
      <c r="AX57" s="16"/>
      <c r="AY57" s="16"/>
      <c r="AZ57" s="69">
        <f>(SUM(AZ$134:AZ$149)/16)/(SUM($J$134:$J$149)/16)*MITRE[[#This Row],[Trenes Corridos]]</f>
        <v>3112.4194709868148</v>
      </c>
      <c r="BA57" s="16"/>
      <c r="BB57" s="16"/>
      <c r="BC57" s="16"/>
      <c r="BD57" s="17"/>
      <c r="BE57" s="18">
        <v>1997</v>
      </c>
      <c r="BF57" s="21" t="s">
        <v>39</v>
      </c>
      <c r="BG57" s="41"/>
      <c r="BH57" s="41"/>
      <c r="BI57" s="41"/>
      <c r="BJ57" s="16"/>
      <c r="BK57" s="16"/>
      <c r="BL57" s="16"/>
      <c r="BM57" s="16"/>
      <c r="BN57" s="69">
        <f>(SUM(BN$134:BN$149)/16)/(SUM($J$134:$J$149)/16)*MITRE[[#This Row],[Trenes Corridos]]</f>
        <v>934.83599412113995</v>
      </c>
      <c r="BO57" s="16"/>
      <c r="BP57" s="16"/>
      <c r="BQ57" s="16"/>
      <c r="BR57" s="17"/>
      <c r="BS57" s="18">
        <v>1997</v>
      </c>
      <c r="BT57" s="21" t="s">
        <v>39</v>
      </c>
      <c r="BU57" s="41"/>
      <c r="BV57" s="41"/>
      <c r="BW57" s="41"/>
      <c r="BX57" s="16"/>
      <c r="BY57" s="16"/>
      <c r="BZ57" s="16"/>
      <c r="CA57" s="16"/>
      <c r="CB57" s="69">
        <f>(SUM(CB$134:CB$149)/16)/(SUM($J$134:$J$149)/16)*MITRE[[#This Row],[Trenes Corridos]]</f>
        <v>921.67631737422153</v>
      </c>
      <c r="CC57" s="16"/>
      <c r="CD57" s="16"/>
      <c r="CI57" s="40"/>
      <c r="CJ57" s="40"/>
      <c r="CK57" s="40"/>
      <c r="CL57" s="40"/>
      <c r="CM57" s="40"/>
    </row>
    <row r="58" spans="1:91" s="18" customFormat="1" ht="15" customHeight="1">
      <c r="A58" s="18">
        <v>1997</v>
      </c>
      <c r="B58" s="21" t="s">
        <v>40</v>
      </c>
      <c r="C58" s="15">
        <f>+MITRE[[#This Row],[Trenes Puntuales]]/MITRE[[#This Row],[Trenes Programados]]</f>
        <v>0.96690981432360745</v>
      </c>
      <c r="D58" s="15">
        <f>+MITRE[[#This Row],[Trenes Puntuales]]/MITRE[[#This Row],[Trenes Corridos]]</f>
        <v>0.97032009050375989</v>
      </c>
      <c r="E58" s="15">
        <f>+MITRE[[#This Row],[Trenes Corridos]]/MITRE[[#This Row],[Trenes Programados]]</f>
        <v>0.99648541114058353</v>
      </c>
      <c r="F58" s="16">
        <f>+Tabla4[[#This Row],[Trenes Programados por Día Hábil]]+Tabla5[[#This Row],[Trenes Programados por Día Hábil]]+Tabla6[[#This Row],[Trenes Programados por Día Hábil]]+MIT_Vic_Cap[[#This Row],[Trenes Programados por Día Hábil]]+Tabla8[[#This Row],[Trenes Programados por Día Hábil]]</f>
        <v>0</v>
      </c>
      <c r="G5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8" s="16">
        <v>15080</v>
      </c>
      <c r="I58" s="16">
        <f t="shared" si="8"/>
        <v>53</v>
      </c>
      <c r="J58" s="16">
        <v>15027</v>
      </c>
      <c r="K58" s="16">
        <v>14581</v>
      </c>
      <c r="L58" s="16">
        <f t="shared" si="9"/>
        <v>446</v>
      </c>
      <c r="M58" s="16"/>
      <c r="N58" s="17"/>
      <c r="O58" s="18">
        <v>1997</v>
      </c>
      <c r="P58" s="21" t="s">
        <v>40</v>
      </c>
      <c r="Q58" s="41"/>
      <c r="R58" s="41"/>
      <c r="S58" s="41"/>
      <c r="T58" s="16"/>
      <c r="U58" s="16"/>
      <c r="V58" s="16"/>
      <c r="W58" s="16"/>
      <c r="X58" s="69">
        <f>(SUM(X$134:X$149)/16)/(SUM($J$134:$J$149)/16)*MITRE[[#This Row],[Trenes Corridos]]</f>
        <v>5603.3653610487618</v>
      </c>
      <c r="Y58" s="16"/>
      <c r="Z58" s="16"/>
      <c r="AA58" s="16"/>
      <c r="AB58" s="17"/>
      <c r="AC58" s="18">
        <v>1997</v>
      </c>
      <c r="AD58" s="21" t="s">
        <v>40</v>
      </c>
      <c r="AE58" s="41"/>
      <c r="AF58" s="41"/>
      <c r="AG58" s="41"/>
      <c r="AH58" s="16"/>
      <c r="AI58" s="16"/>
      <c r="AJ58" s="16"/>
      <c r="AK58" s="16"/>
      <c r="AL58" s="69">
        <f>(SUM(AL$134:AL$149)/16)/(SUM($J$134:$J$149)/16)*MITRE[[#This Row],[Trenes Corridos]]</f>
        <v>4381.8967662058185</v>
      </c>
      <c r="AM58" s="16"/>
      <c r="AN58" s="16"/>
      <c r="AO58" s="16"/>
      <c r="AP58" s="17"/>
      <c r="AQ58" s="18">
        <v>1997</v>
      </c>
      <c r="AR58" s="21" t="s">
        <v>40</v>
      </c>
      <c r="AS58" s="41"/>
      <c r="AT58" s="41"/>
      <c r="AU58" s="41"/>
      <c r="AV58" s="16"/>
      <c r="AW58" s="16"/>
      <c r="AX58" s="16"/>
      <c r="AY58" s="16"/>
      <c r="AZ58" s="69">
        <f>(SUM(AZ$134:AZ$149)/16)/(SUM($J$134:$J$149)/16)*MITRE[[#This Row],[Trenes Corridos]]</f>
        <v>3158.0234564833804</v>
      </c>
      <c r="BA58" s="16"/>
      <c r="BB58" s="16"/>
      <c r="BC58" s="16"/>
      <c r="BD58" s="17"/>
      <c r="BE58" s="18">
        <v>1997</v>
      </c>
      <c r="BF58" s="21" t="s">
        <v>40</v>
      </c>
      <c r="BG58" s="41"/>
      <c r="BH58" s="41"/>
      <c r="BI58" s="41"/>
      <c r="BJ58" s="16"/>
      <c r="BK58" s="16"/>
      <c r="BL58" s="16"/>
      <c r="BM58" s="16"/>
      <c r="BN58" s="69">
        <f>(SUM(BN$134:BN$149)/16)/(SUM($J$134:$J$149)/16)*MITRE[[#This Row],[Trenes Corridos]]</f>
        <v>948.53345602014645</v>
      </c>
      <c r="BO58" s="16"/>
      <c r="BP58" s="16"/>
      <c r="BQ58" s="16"/>
      <c r="BR58" s="17"/>
      <c r="BS58" s="18">
        <v>1997</v>
      </c>
      <c r="BT58" s="21" t="s">
        <v>40</v>
      </c>
      <c r="BU58" s="41"/>
      <c r="BV58" s="41"/>
      <c r="BW58" s="41"/>
      <c r="BX58" s="16"/>
      <c r="BY58" s="16"/>
      <c r="BZ58" s="16"/>
      <c r="CA58" s="16"/>
      <c r="CB58" s="69">
        <f>(SUM(CB$134:CB$149)/16)/(SUM($J$134:$J$149)/16)*MITRE[[#This Row],[Trenes Corridos]]</f>
        <v>935.18096024189242</v>
      </c>
      <c r="CC58" s="16"/>
      <c r="CD58" s="16"/>
      <c r="CI58" s="40"/>
      <c r="CJ58" s="40"/>
      <c r="CK58" s="40"/>
      <c r="CL58" s="40"/>
      <c r="CM58" s="40"/>
    </row>
    <row r="59" spans="1:91" s="18" customFormat="1" ht="15" customHeight="1">
      <c r="A59" s="18">
        <v>1997</v>
      </c>
      <c r="B59" s="21" t="s">
        <v>41</v>
      </c>
      <c r="C59" s="15">
        <f>+MITRE[[#This Row],[Trenes Puntuales]]/MITRE[[#This Row],[Trenes Programados]]</f>
        <v>0.9633008209950179</v>
      </c>
      <c r="D59" s="15">
        <f>+MITRE[[#This Row],[Trenes Puntuales]]/MITRE[[#This Row],[Trenes Corridos]]</f>
        <v>0.96526508226691043</v>
      </c>
      <c r="E59" s="15">
        <f>+MITRE[[#This Row],[Trenes Corridos]]/MITRE[[#This Row],[Trenes Programados]]</f>
        <v>0.9979650550838538</v>
      </c>
      <c r="F59" s="16">
        <f>+Tabla4[[#This Row],[Trenes Programados por Día Hábil]]+Tabla5[[#This Row],[Trenes Programados por Día Hábil]]+Tabla6[[#This Row],[Trenes Programados por Día Hábil]]+MIT_Vic_Cap[[#This Row],[Trenes Programados por Día Hábil]]+Tabla8[[#This Row],[Trenes Programados por Día Hábil]]</f>
        <v>0</v>
      </c>
      <c r="G5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9" s="16">
        <v>14251</v>
      </c>
      <c r="I59" s="16">
        <f t="shared" si="8"/>
        <v>29</v>
      </c>
      <c r="J59" s="16">
        <v>14222</v>
      </c>
      <c r="K59" s="16">
        <v>13728</v>
      </c>
      <c r="L59" s="16">
        <f t="shared" si="9"/>
        <v>494</v>
      </c>
      <c r="M59" s="16"/>
      <c r="N59" s="17"/>
      <c r="O59" s="18">
        <v>1997</v>
      </c>
      <c r="P59" s="21" t="s">
        <v>41</v>
      </c>
      <c r="Q59" s="41"/>
      <c r="R59" s="41"/>
      <c r="S59" s="41"/>
      <c r="T59" s="16"/>
      <c r="U59" s="16"/>
      <c r="V59" s="16"/>
      <c r="W59" s="16"/>
      <c r="X59" s="69">
        <f>(SUM(X$134:X$149)/16)/(SUM($J$134:$J$149)/16)*MITRE[[#This Row],[Trenes Corridos]]</f>
        <v>5303.1917325371323</v>
      </c>
      <c r="Y59" s="16"/>
      <c r="Z59" s="16"/>
      <c r="AA59" s="16"/>
      <c r="AB59" s="17"/>
      <c r="AC59" s="18">
        <v>1997</v>
      </c>
      <c r="AD59" s="21" t="s">
        <v>41</v>
      </c>
      <c r="AE59" s="41"/>
      <c r="AF59" s="41"/>
      <c r="AG59" s="41"/>
      <c r="AH59" s="16"/>
      <c r="AI59" s="16"/>
      <c r="AJ59" s="16"/>
      <c r="AK59" s="16"/>
      <c r="AL59" s="69">
        <f>(SUM(AL$134:AL$149)/16)/(SUM($J$134:$J$149)/16)*MITRE[[#This Row],[Trenes Corridos]]</f>
        <v>4147.1575037585117</v>
      </c>
      <c r="AM59" s="16"/>
      <c r="AN59" s="16"/>
      <c r="AO59" s="16"/>
      <c r="AP59" s="17"/>
      <c r="AQ59" s="18">
        <v>1997</v>
      </c>
      <c r="AR59" s="21" t="s">
        <v>41</v>
      </c>
      <c r="AS59" s="41"/>
      <c r="AT59" s="41"/>
      <c r="AU59" s="41"/>
      <c r="AV59" s="16"/>
      <c r="AW59" s="16"/>
      <c r="AX59" s="16"/>
      <c r="AY59" s="16"/>
      <c r="AZ59" s="69">
        <f>(SUM(AZ$134:AZ$149)/16)/(SUM($J$134:$J$149)/16)*MITRE[[#This Row],[Trenes Corridos]]</f>
        <v>2988.8473812541847</v>
      </c>
      <c r="BA59" s="16"/>
      <c r="BB59" s="16"/>
      <c r="BC59" s="16"/>
      <c r="BD59" s="17"/>
      <c r="BE59" s="18">
        <v>1997</v>
      </c>
      <c r="BF59" s="21" t="s">
        <v>41</v>
      </c>
      <c r="BG59" s="41"/>
      <c r="BH59" s="41"/>
      <c r="BI59" s="41"/>
      <c r="BJ59" s="16"/>
      <c r="BK59" s="16"/>
      <c r="BL59" s="16"/>
      <c r="BM59" s="16"/>
      <c r="BN59" s="69">
        <f>(SUM(BN$134:BN$149)/16)/(SUM($J$134:$J$149)/16)*MITRE[[#This Row],[Trenes Corridos]]</f>
        <v>897.72029091092861</v>
      </c>
      <c r="BO59" s="16"/>
      <c r="BP59" s="16"/>
      <c r="BQ59" s="16"/>
      <c r="BR59" s="17"/>
      <c r="BS59" s="18">
        <v>1997</v>
      </c>
      <c r="BT59" s="21" t="s">
        <v>41</v>
      </c>
      <c r="BU59" s="41"/>
      <c r="BV59" s="41"/>
      <c r="BW59" s="41"/>
      <c r="BX59" s="16"/>
      <c r="BY59" s="16"/>
      <c r="BZ59" s="16"/>
      <c r="CA59" s="16"/>
      <c r="CB59" s="69">
        <f>(SUM(CB$134:CB$149)/16)/(SUM($J$134:$J$149)/16)*MITRE[[#This Row],[Trenes Corridos]]</f>
        <v>885.08309153924222</v>
      </c>
      <c r="CC59" s="16"/>
      <c r="CD59" s="16"/>
      <c r="CI59" s="40"/>
      <c r="CJ59" s="40"/>
      <c r="CK59" s="40"/>
      <c r="CL59" s="40"/>
      <c r="CM59" s="40"/>
    </row>
    <row r="60" spans="1:91" s="18" customFormat="1" ht="15" customHeight="1">
      <c r="A60" s="18">
        <v>1997</v>
      </c>
      <c r="B60" s="21" t="s">
        <v>42</v>
      </c>
      <c r="C60" s="15">
        <f>+MITRE[[#This Row],[Trenes Puntuales]]/MITRE[[#This Row],[Trenes Programados]]</f>
        <v>0.97574123989218331</v>
      </c>
      <c r="D60" s="15">
        <f>+MITRE[[#This Row],[Trenes Puntuales]]/MITRE[[#This Row],[Trenes Corridos]]</f>
        <v>0.97644736842105262</v>
      </c>
      <c r="E60" s="15">
        <f>+MITRE[[#This Row],[Trenes Corridos]]/MITRE[[#This Row],[Trenes Programados]]</f>
        <v>0.99927683912957732</v>
      </c>
      <c r="F60" s="16">
        <f>+Tabla4[[#This Row],[Trenes Programados por Día Hábil]]+Tabla5[[#This Row],[Trenes Programados por Día Hábil]]+Tabla6[[#This Row],[Trenes Programados por Día Hábil]]+MIT_Vic_Cap[[#This Row],[Trenes Programados por Día Hábil]]+Tabla8[[#This Row],[Trenes Programados por Día Hábil]]</f>
        <v>0</v>
      </c>
      <c r="G6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0" s="16">
        <v>15211</v>
      </c>
      <c r="I60" s="16">
        <f t="shared" si="8"/>
        <v>11</v>
      </c>
      <c r="J60" s="16">
        <v>15200</v>
      </c>
      <c r="K60" s="16">
        <v>14842</v>
      </c>
      <c r="L60" s="16">
        <f t="shared" si="9"/>
        <v>358</v>
      </c>
      <c r="M60" s="16"/>
      <c r="N60" s="17"/>
      <c r="O60" s="18">
        <v>1997</v>
      </c>
      <c r="P60" s="21" t="s">
        <v>42</v>
      </c>
      <c r="Q60" s="41"/>
      <c r="R60" s="41"/>
      <c r="S60" s="41"/>
      <c r="T60" s="16"/>
      <c r="U60" s="16"/>
      <c r="V60" s="16"/>
      <c r="W60" s="16"/>
      <c r="X60" s="69">
        <f>(SUM(X$134:X$149)/16)/(SUM($J$134:$J$149)/16)*MITRE[[#This Row],[Trenes Corridos]]</f>
        <v>5667.8747246916337</v>
      </c>
      <c r="Y60" s="16"/>
      <c r="Z60" s="16"/>
      <c r="AA60" s="16"/>
      <c r="AB60" s="17"/>
      <c r="AC60" s="18">
        <v>1997</v>
      </c>
      <c r="AD60" s="21" t="s">
        <v>42</v>
      </c>
      <c r="AE60" s="41"/>
      <c r="AF60" s="41"/>
      <c r="AG60" s="41"/>
      <c r="AH60" s="16"/>
      <c r="AI60" s="16"/>
      <c r="AJ60" s="16"/>
      <c r="AK60" s="16"/>
      <c r="AL60" s="69">
        <f>(SUM(AL$134:AL$149)/16)/(SUM($J$134:$J$149)/16)*MITRE[[#This Row],[Trenes Corridos]]</f>
        <v>4432.3438375143705</v>
      </c>
      <c r="AM60" s="16"/>
      <c r="AN60" s="16"/>
      <c r="AO60" s="16"/>
      <c r="AP60" s="17"/>
      <c r="AQ60" s="18">
        <v>1997</v>
      </c>
      <c r="AR60" s="21" t="s">
        <v>42</v>
      </c>
      <c r="AS60" s="41"/>
      <c r="AT60" s="41"/>
      <c r="AU60" s="41"/>
      <c r="AV60" s="16"/>
      <c r="AW60" s="16"/>
      <c r="AX60" s="16"/>
      <c r="AY60" s="16"/>
      <c r="AZ60" s="69">
        <f>(SUM(AZ$134:AZ$149)/16)/(SUM($J$134:$J$149)/16)*MITRE[[#This Row],[Trenes Corridos]]</f>
        <v>3194.3805509115182</v>
      </c>
      <c r="BA60" s="16"/>
      <c r="BB60" s="16"/>
      <c r="BC60" s="16"/>
      <c r="BD60" s="17"/>
      <c r="BE60" s="18">
        <v>1997</v>
      </c>
      <c r="BF60" s="21" t="s">
        <v>42</v>
      </c>
      <c r="BG60" s="41"/>
      <c r="BH60" s="41"/>
      <c r="BI60" s="41"/>
      <c r="BJ60" s="16"/>
      <c r="BK60" s="16"/>
      <c r="BL60" s="16"/>
      <c r="BM60" s="16"/>
      <c r="BN60" s="69">
        <f>(SUM(BN$134:BN$149)/16)/(SUM($J$134:$J$149)/16)*MITRE[[#This Row],[Trenes Corridos]]</f>
        <v>959.45355237281069</v>
      </c>
      <c r="BO60" s="16"/>
      <c r="BP60" s="16"/>
      <c r="BQ60" s="16"/>
      <c r="BR60" s="17"/>
      <c r="BS60" s="18">
        <v>1997</v>
      </c>
      <c r="BT60" s="21" t="s">
        <v>42</v>
      </c>
      <c r="BU60" s="41"/>
      <c r="BV60" s="41"/>
      <c r="BW60" s="41"/>
      <c r="BX60" s="16"/>
      <c r="BY60" s="16"/>
      <c r="BZ60" s="16"/>
      <c r="CA60" s="16"/>
      <c r="CB60" s="69">
        <f>(SUM(CB$134:CB$149)/16)/(SUM($J$134:$J$149)/16)*MITRE[[#This Row],[Trenes Corridos]]</f>
        <v>945.94733450966692</v>
      </c>
      <c r="CC60" s="16"/>
      <c r="CD60" s="16"/>
      <c r="CI60" s="40"/>
      <c r="CJ60" s="40"/>
      <c r="CK60" s="40"/>
      <c r="CL60" s="40"/>
      <c r="CM60" s="40"/>
    </row>
    <row r="61" spans="1:91" s="18" customFormat="1" ht="15" customHeight="1">
      <c r="A61" s="18">
        <v>1997</v>
      </c>
      <c r="B61" s="21" t="s">
        <v>43</v>
      </c>
      <c r="C61" s="15">
        <f>+MITRE[[#This Row],[Trenes Puntuales]]/MITRE[[#This Row],[Trenes Programados]]</f>
        <v>0.96384816228158265</v>
      </c>
      <c r="D61" s="15">
        <f>+MITRE[[#This Row],[Trenes Puntuales]]/MITRE[[#This Row],[Trenes Corridos]]</f>
        <v>0.97600162700833837</v>
      </c>
      <c r="E61" s="15">
        <f>+MITRE[[#This Row],[Trenes Corridos]]/MITRE[[#This Row],[Trenes Programados]]</f>
        <v>0.98754770034143402</v>
      </c>
      <c r="F61" s="16">
        <f>+Tabla4[[#This Row],[Trenes Programados por Día Hábil]]+Tabla5[[#This Row],[Trenes Programados por Día Hábil]]+Tabla6[[#This Row],[Trenes Programados por Día Hábil]]+MIT_Vic_Cap[[#This Row],[Trenes Programados por Día Hábil]]+Tabla8[[#This Row],[Trenes Programados por Día Hábil]]</f>
        <v>0</v>
      </c>
      <c r="G6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1" s="16">
        <v>14937</v>
      </c>
      <c r="I61" s="16">
        <f t="shared" si="8"/>
        <v>186</v>
      </c>
      <c r="J61" s="16">
        <v>14751</v>
      </c>
      <c r="K61" s="16">
        <v>14397</v>
      </c>
      <c r="L61" s="16">
        <f t="shared" si="9"/>
        <v>354</v>
      </c>
      <c r="M61" s="16"/>
      <c r="N61" s="17"/>
      <c r="O61" s="18">
        <v>1997</v>
      </c>
      <c r="P61" s="21" t="s">
        <v>43</v>
      </c>
      <c r="Q61" s="41"/>
      <c r="R61" s="41"/>
      <c r="S61" s="41"/>
      <c r="T61" s="16"/>
      <c r="U61" s="16"/>
      <c r="V61" s="16"/>
      <c r="W61" s="16"/>
      <c r="X61" s="69">
        <f>(SUM(X$134:X$149)/16)/(SUM($J$134:$J$149)/16)*MITRE[[#This Row],[Trenes Corridos]]</f>
        <v>5500.4486884162034</v>
      </c>
      <c r="Y61" s="16"/>
      <c r="Z61" s="16"/>
      <c r="AA61" s="16"/>
      <c r="AB61" s="17"/>
      <c r="AC61" s="18">
        <v>1997</v>
      </c>
      <c r="AD61" s="21" t="s">
        <v>43</v>
      </c>
      <c r="AE61" s="41"/>
      <c r="AF61" s="41"/>
      <c r="AG61" s="41"/>
      <c r="AH61" s="16"/>
      <c r="AI61" s="16"/>
      <c r="AJ61" s="16"/>
      <c r="AK61" s="16"/>
      <c r="AL61" s="69">
        <f>(SUM(AL$134:AL$149)/16)/(SUM($J$134:$J$149)/16)*MITRE[[#This Row],[Trenes Corridos]]</f>
        <v>4301.4147333667415</v>
      </c>
      <c r="AM61" s="16"/>
      <c r="AN61" s="16"/>
      <c r="AO61" s="16"/>
      <c r="AP61" s="17"/>
      <c r="AQ61" s="18">
        <v>1997</v>
      </c>
      <c r="AR61" s="21" t="s">
        <v>43</v>
      </c>
      <c r="AS61" s="41"/>
      <c r="AT61" s="41"/>
      <c r="AU61" s="41"/>
      <c r="AV61" s="16"/>
      <c r="AW61" s="16"/>
      <c r="AX61" s="16"/>
      <c r="AY61" s="16"/>
      <c r="AZ61" s="69">
        <f>(SUM(AZ$134:AZ$149)/16)/(SUM($J$134:$J$149)/16)*MITRE[[#This Row],[Trenes Corridos]]</f>
        <v>3100.0202306905135</v>
      </c>
      <c r="BA61" s="16"/>
      <c r="BB61" s="16"/>
      <c r="BC61" s="16"/>
      <c r="BD61" s="17"/>
      <c r="BE61" s="18">
        <v>1997</v>
      </c>
      <c r="BF61" s="21" t="s">
        <v>43</v>
      </c>
      <c r="BG61" s="41"/>
      <c r="BH61" s="41"/>
      <c r="BI61" s="41"/>
      <c r="BJ61" s="16"/>
      <c r="BK61" s="16"/>
      <c r="BL61" s="16"/>
      <c r="BM61" s="16"/>
      <c r="BN61" s="69">
        <f>(SUM(BN$134:BN$149)/16)/(SUM($J$134:$J$149)/16)*MITRE[[#This Row],[Trenes Corridos]]</f>
        <v>931.11179941127182</v>
      </c>
      <c r="BO61" s="16"/>
      <c r="BP61" s="16"/>
      <c r="BQ61" s="16"/>
      <c r="BR61" s="17"/>
      <c r="BS61" s="18">
        <v>1997</v>
      </c>
      <c r="BT61" s="21" t="s">
        <v>43</v>
      </c>
      <c r="BU61" s="41"/>
      <c r="BV61" s="41"/>
      <c r="BW61" s="41"/>
      <c r="BX61" s="16"/>
      <c r="BY61" s="16"/>
      <c r="BZ61" s="16"/>
      <c r="CA61" s="16"/>
      <c r="CB61" s="69">
        <f>(SUM(CB$134:CB$149)/16)/(SUM($J$134:$J$149)/16)*MITRE[[#This Row],[Trenes Corridos]]</f>
        <v>918.00454811526947</v>
      </c>
      <c r="CC61" s="16"/>
      <c r="CD61" s="16"/>
      <c r="CI61" s="40"/>
      <c r="CJ61" s="40"/>
      <c r="CK61" s="40"/>
      <c r="CL61" s="40"/>
      <c r="CM61" s="40"/>
    </row>
    <row r="62" spans="1:91" s="18" customFormat="1" ht="15" customHeight="1">
      <c r="A62" s="18">
        <v>1997</v>
      </c>
      <c r="B62" s="21" t="s">
        <v>44</v>
      </c>
      <c r="C62" s="15">
        <f>+MITRE[[#This Row],[Trenes Puntuales]]/MITRE[[#This Row],[Trenes Programados]]</f>
        <v>0.98577944727663003</v>
      </c>
      <c r="D62" s="15">
        <f>+MITRE[[#This Row],[Trenes Puntuales]]/MITRE[[#This Row],[Trenes Corridos]]</f>
        <v>0.98697112155809263</v>
      </c>
      <c r="E62" s="15">
        <f>+MITRE[[#This Row],[Trenes Corridos]]/MITRE[[#This Row],[Trenes Programados]]</f>
        <v>0.99879259458009118</v>
      </c>
      <c r="F62" s="16">
        <f>+Tabla4[[#This Row],[Trenes Programados por Día Hábil]]+Tabla5[[#This Row],[Trenes Programados por Día Hábil]]+Tabla6[[#This Row],[Trenes Programados por Día Hábil]]+MIT_Vic_Cap[[#This Row],[Trenes Programados por Día Hábil]]+Tabla8[[#This Row],[Trenes Programados por Día Hábil]]</f>
        <v>0</v>
      </c>
      <c r="G6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2" s="16">
        <v>14908</v>
      </c>
      <c r="I62" s="16">
        <f t="shared" si="8"/>
        <v>18</v>
      </c>
      <c r="J62" s="16">
        <v>14890</v>
      </c>
      <c r="K62" s="16">
        <v>14696</v>
      </c>
      <c r="L62" s="16">
        <f t="shared" si="9"/>
        <v>194</v>
      </c>
      <c r="M62" s="16"/>
      <c r="N62" s="17"/>
      <c r="O62" s="18">
        <v>1997</v>
      </c>
      <c r="P62" s="21" t="s">
        <v>44</v>
      </c>
      <c r="Q62" s="41"/>
      <c r="R62" s="41"/>
      <c r="S62" s="41"/>
      <c r="T62" s="16"/>
      <c r="U62" s="16"/>
      <c r="V62" s="16"/>
      <c r="W62" s="16"/>
      <c r="X62" s="69">
        <f>(SUM(X$134:X$149)/16)/(SUM($J$134:$J$149)/16)*MITRE[[#This Row],[Trenes Corridos]]</f>
        <v>5552.2799112275279</v>
      </c>
      <c r="Y62" s="16"/>
      <c r="Z62" s="16"/>
      <c r="AA62" s="16"/>
      <c r="AB62" s="17"/>
      <c r="AC62" s="18">
        <v>1997</v>
      </c>
      <c r="AD62" s="21" t="s">
        <v>44</v>
      </c>
      <c r="AE62" s="41"/>
      <c r="AF62" s="41"/>
      <c r="AG62" s="41"/>
      <c r="AH62" s="16"/>
      <c r="AI62" s="16"/>
      <c r="AJ62" s="16"/>
      <c r="AK62" s="16"/>
      <c r="AL62" s="69">
        <f>(SUM(AL$134:AL$149)/16)/(SUM($J$134:$J$149)/16)*MITRE[[#This Row],[Trenes Corridos]]</f>
        <v>4341.9473513545381</v>
      </c>
      <c r="AM62" s="16"/>
      <c r="AN62" s="16"/>
      <c r="AO62" s="16"/>
      <c r="AP62" s="17"/>
      <c r="AQ62" s="18">
        <v>1997</v>
      </c>
      <c r="AR62" s="21" t="s">
        <v>44</v>
      </c>
      <c r="AS62" s="41"/>
      <c r="AT62" s="41"/>
      <c r="AU62" s="41"/>
      <c r="AV62" s="16"/>
      <c r="AW62" s="16"/>
      <c r="AX62" s="16"/>
      <c r="AY62" s="16"/>
      <c r="AZ62" s="69">
        <f>(SUM(AZ$134:AZ$149)/16)/(SUM($J$134:$J$149)/16)*MITRE[[#This Row],[Trenes Corridos]]</f>
        <v>3129.2320002021384</v>
      </c>
      <c r="BA62" s="16"/>
      <c r="BB62" s="16"/>
      <c r="BC62" s="16"/>
      <c r="BD62" s="17"/>
      <c r="BE62" s="18">
        <v>1997</v>
      </c>
      <c r="BF62" s="21" t="s">
        <v>44</v>
      </c>
      <c r="BG62" s="41"/>
      <c r="BH62" s="41"/>
      <c r="BI62" s="41"/>
      <c r="BJ62" s="16"/>
      <c r="BK62" s="16"/>
      <c r="BL62" s="16"/>
      <c r="BM62" s="16"/>
      <c r="BN62" s="69">
        <f>(SUM(BN$134:BN$149)/16)/(SUM($J$134:$J$149)/16)*MITRE[[#This Row],[Trenes Corridos]]</f>
        <v>939.88574965994417</v>
      </c>
      <c r="BO62" s="16"/>
      <c r="BP62" s="16"/>
      <c r="BQ62" s="16"/>
      <c r="BR62" s="17"/>
      <c r="BS62" s="18">
        <v>1997</v>
      </c>
      <c r="BT62" s="21" t="s">
        <v>44</v>
      </c>
      <c r="BU62" s="41"/>
      <c r="BV62" s="41"/>
      <c r="BW62" s="41"/>
      <c r="BX62" s="16"/>
      <c r="BY62" s="16"/>
      <c r="BZ62" s="16"/>
      <c r="CA62" s="16"/>
      <c r="CB62" s="69">
        <f>(SUM(CB$134:CB$149)/16)/(SUM($J$134:$J$149)/16)*MITRE[[#This Row],[Trenes Corridos]]</f>
        <v>926.65498755585133</v>
      </c>
      <c r="CC62" s="16"/>
      <c r="CD62" s="16"/>
      <c r="CI62" s="40"/>
      <c r="CJ62" s="40"/>
      <c r="CK62" s="40"/>
      <c r="CL62" s="40"/>
      <c r="CM62" s="40"/>
    </row>
    <row r="63" spans="1:91" s="18" customFormat="1" ht="15" customHeight="1">
      <c r="A63" s="18">
        <v>1997</v>
      </c>
      <c r="B63" s="21" t="s">
        <v>45</v>
      </c>
      <c r="C63" s="15">
        <f>+MITRE[[#This Row],[Trenes Puntuales]]/MITRE[[#This Row],[Trenes Programados]]</f>
        <v>0.97669601242879334</v>
      </c>
      <c r="D63" s="15">
        <f>+MITRE[[#This Row],[Trenes Puntuales]]/MITRE[[#This Row],[Trenes Corridos]]</f>
        <v>0.97745529930033692</v>
      </c>
      <c r="E63" s="15">
        <f>+MITRE[[#This Row],[Trenes Corridos]]/MITRE[[#This Row],[Trenes Programados]]</f>
        <v>0.99922320041429313</v>
      </c>
      <c r="F63" s="16">
        <f>+Tabla4[[#This Row],[Trenes Programados por Día Hábil]]+Tabla5[[#This Row],[Trenes Programados por Día Hábil]]+Tabla6[[#This Row],[Trenes Programados por Día Hábil]]+MIT_Vic_Cap[[#This Row],[Trenes Programados por Día Hábil]]+Tabla8[[#This Row],[Trenes Programados por Día Hábil]]</f>
        <v>0</v>
      </c>
      <c r="G6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3" s="16">
        <v>15448</v>
      </c>
      <c r="I63" s="16">
        <f t="shared" si="8"/>
        <v>12</v>
      </c>
      <c r="J63" s="16">
        <v>15436</v>
      </c>
      <c r="K63" s="16">
        <v>15088</v>
      </c>
      <c r="L63" s="16">
        <f t="shared" si="9"/>
        <v>348</v>
      </c>
      <c r="M63" s="16"/>
      <c r="N63" s="17"/>
      <c r="O63" s="18">
        <v>1997</v>
      </c>
      <c r="P63" s="21" t="s">
        <v>45</v>
      </c>
      <c r="Q63" s="41"/>
      <c r="R63" s="41"/>
      <c r="S63" s="41"/>
      <c r="T63" s="16"/>
      <c r="U63" s="16"/>
      <c r="V63" s="16"/>
      <c r="W63" s="16"/>
      <c r="X63" s="69">
        <f>(SUM(X$134:X$149)/16)/(SUM($J$134:$J$149)/16)*MITRE[[#This Row],[Trenes Corridos]]</f>
        <v>5755.8759375223717</v>
      </c>
      <c r="Y63" s="16"/>
      <c r="Z63" s="16"/>
      <c r="AA63" s="16"/>
      <c r="AB63" s="17"/>
      <c r="AC63" s="18">
        <v>1997</v>
      </c>
      <c r="AD63" s="21" t="s">
        <v>45</v>
      </c>
      <c r="AE63" s="41"/>
      <c r="AF63" s="41"/>
      <c r="AG63" s="41"/>
      <c r="AH63" s="16"/>
      <c r="AI63" s="16"/>
      <c r="AJ63" s="16"/>
      <c r="AK63" s="16"/>
      <c r="AL63" s="69">
        <f>(SUM(AL$134:AL$149)/16)/(SUM($J$134:$J$149)/16)*MITRE[[#This Row],[Trenes Corridos]]</f>
        <v>4501.1618076231462</v>
      </c>
      <c r="AM63" s="16"/>
      <c r="AN63" s="16"/>
      <c r="AO63" s="16"/>
      <c r="AP63" s="17"/>
      <c r="AQ63" s="18">
        <v>1997</v>
      </c>
      <c r="AR63" s="21" t="s">
        <v>45</v>
      </c>
      <c r="AS63" s="41"/>
      <c r="AT63" s="41"/>
      <c r="AU63" s="41"/>
      <c r="AV63" s="16"/>
      <c r="AW63" s="16"/>
      <c r="AX63" s="16"/>
      <c r="AY63" s="16"/>
      <c r="AZ63" s="69">
        <f>(SUM(AZ$134:AZ$149)/16)/(SUM($J$134:$J$149)/16)*MITRE[[#This Row],[Trenes Corridos]]</f>
        <v>3243.9775120967233</v>
      </c>
      <c r="BA63" s="16"/>
      <c r="BB63" s="16"/>
      <c r="BC63" s="16"/>
      <c r="BD63" s="17"/>
      <c r="BE63" s="18">
        <v>1997</v>
      </c>
      <c r="BF63" s="21" t="s">
        <v>45</v>
      </c>
      <c r="BG63" s="41"/>
      <c r="BH63" s="41"/>
      <c r="BI63" s="41"/>
      <c r="BJ63" s="16"/>
      <c r="BK63" s="16"/>
      <c r="BL63" s="16"/>
      <c r="BM63" s="16"/>
      <c r="BN63" s="69">
        <f>(SUM(BN$134:BN$149)/16)/(SUM($J$134:$J$149)/16)*MITRE[[#This Row],[Trenes Corridos]]</f>
        <v>974.35033121228332</v>
      </c>
      <c r="BO63" s="16"/>
      <c r="BP63" s="16"/>
      <c r="BQ63" s="16"/>
      <c r="BR63" s="17"/>
      <c r="BS63" s="18">
        <v>1997</v>
      </c>
      <c r="BT63" s="21" t="s">
        <v>45</v>
      </c>
      <c r="BU63" s="41"/>
      <c r="BV63" s="41"/>
      <c r="BW63" s="41"/>
      <c r="BX63" s="16"/>
      <c r="BY63" s="16"/>
      <c r="BZ63" s="16"/>
      <c r="CA63" s="16"/>
      <c r="CB63" s="69">
        <f>(SUM(CB$134:CB$149)/16)/(SUM($J$134:$J$149)/16)*MITRE[[#This Row],[Trenes Corridos]]</f>
        <v>960.6344115454749</v>
      </c>
      <c r="CC63" s="16"/>
      <c r="CD63" s="16"/>
      <c r="CI63" s="40"/>
      <c r="CJ63" s="40"/>
      <c r="CK63" s="40"/>
      <c r="CL63" s="40"/>
      <c r="CM63" s="40"/>
    </row>
    <row r="64" spans="1:91" s="18" customFormat="1" ht="15" customHeight="1">
      <c r="A64" s="18">
        <v>1997</v>
      </c>
      <c r="B64" s="21" t="s">
        <v>46</v>
      </c>
      <c r="C64" s="15">
        <f>+MITRE[[#This Row],[Trenes Puntuales]]/MITRE[[#This Row],[Trenes Programados]]</f>
        <v>0.98302648689343641</v>
      </c>
      <c r="D64" s="15">
        <f>+MITRE[[#This Row],[Trenes Puntuales]]/MITRE[[#This Row],[Trenes Corridos]]</f>
        <v>0.98558978933644414</v>
      </c>
      <c r="E64" s="15">
        <f>+MITRE[[#This Row],[Trenes Corridos]]/MITRE[[#This Row],[Trenes Programados]]</f>
        <v>0.99739921976592982</v>
      </c>
      <c r="F64" s="16">
        <f>+Tabla4[[#This Row],[Trenes Programados por Día Hábil]]+Tabla5[[#This Row],[Trenes Programados por Día Hábil]]+Tabla6[[#This Row],[Trenes Programados por Día Hábil]]+MIT_Vic_Cap[[#This Row],[Trenes Programados por Día Hábil]]+Tabla8[[#This Row],[Trenes Programados por Día Hábil]]</f>
        <v>0</v>
      </c>
      <c r="G6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4" s="16">
        <v>14611</v>
      </c>
      <c r="I64" s="16">
        <f t="shared" si="8"/>
        <v>38</v>
      </c>
      <c r="J64" s="16">
        <v>14573</v>
      </c>
      <c r="K64" s="16">
        <v>14363</v>
      </c>
      <c r="L64" s="16">
        <f t="shared" si="9"/>
        <v>210</v>
      </c>
      <c r="M64" s="16"/>
      <c r="N64" s="17"/>
      <c r="O64" s="18">
        <v>1997</v>
      </c>
      <c r="P64" s="21" t="s">
        <v>46</v>
      </c>
      <c r="Q64" s="41"/>
      <c r="R64" s="41"/>
      <c r="S64" s="41"/>
      <c r="T64" s="16"/>
      <c r="U64" s="16"/>
      <c r="V64" s="16"/>
      <c r="W64" s="16"/>
      <c r="X64" s="69">
        <f>(SUM(X$134:X$149)/16)/(SUM($J$134:$J$149)/16)*MITRE[[#This Row],[Trenes Corridos]]</f>
        <v>5434.0748922981038</v>
      </c>
      <c r="Y64" s="16"/>
      <c r="Z64" s="16"/>
      <c r="AA64" s="16"/>
      <c r="AB64" s="17"/>
      <c r="AC64" s="18">
        <v>1997</v>
      </c>
      <c r="AD64" s="21" t="s">
        <v>46</v>
      </c>
      <c r="AE64" s="41"/>
      <c r="AF64" s="41"/>
      <c r="AG64" s="41"/>
      <c r="AH64" s="16"/>
      <c r="AI64" s="16"/>
      <c r="AJ64" s="16"/>
      <c r="AK64" s="16"/>
      <c r="AL64" s="69">
        <f>(SUM(AL$134:AL$149)/16)/(SUM($J$134:$J$149)/16)*MITRE[[#This Row],[Trenes Corridos]]</f>
        <v>4249.5096542169031</v>
      </c>
      <c r="AM64" s="16"/>
      <c r="AN64" s="16"/>
      <c r="AO64" s="16"/>
      <c r="AP64" s="17"/>
      <c r="AQ64" s="18">
        <v>1997</v>
      </c>
      <c r="AR64" s="21" t="s">
        <v>46</v>
      </c>
      <c r="AS64" s="41"/>
      <c r="AT64" s="41"/>
      <c r="AU64" s="41"/>
      <c r="AV64" s="16"/>
      <c r="AW64" s="16"/>
      <c r="AX64" s="16"/>
      <c r="AY64" s="16"/>
      <c r="AZ64" s="69">
        <f>(SUM(AZ$134:AZ$149)/16)/(SUM($J$134:$J$149)/16)*MITRE[[#This Row],[Trenes Corridos]]</f>
        <v>3062.6123531864177</v>
      </c>
      <c r="BA64" s="16"/>
      <c r="BB64" s="16"/>
      <c r="BC64" s="16"/>
      <c r="BD64" s="17"/>
      <c r="BE64" s="18">
        <v>1997</v>
      </c>
      <c r="BF64" s="21" t="s">
        <v>46</v>
      </c>
      <c r="BG64" s="41"/>
      <c r="BH64" s="41"/>
      <c r="BI64" s="41"/>
      <c r="BJ64" s="16"/>
      <c r="BK64" s="16"/>
      <c r="BL64" s="16"/>
      <c r="BM64" s="16"/>
      <c r="BN64" s="69">
        <f>(SUM(BN$134:BN$149)/16)/(SUM($J$134:$J$149)/16)*MITRE[[#This Row],[Trenes Corridos]]</f>
        <v>919.87609333743228</v>
      </c>
      <c r="BO64" s="16"/>
      <c r="BP64" s="16"/>
      <c r="BQ64" s="16"/>
      <c r="BR64" s="17"/>
      <c r="BS64" s="18">
        <v>1997</v>
      </c>
      <c r="BT64" s="21" t="s">
        <v>46</v>
      </c>
      <c r="BU64" s="41"/>
      <c r="BV64" s="41"/>
      <c r="BW64" s="41"/>
      <c r="BX64" s="16"/>
      <c r="BY64" s="16"/>
      <c r="BZ64" s="16"/>
      <c r="CA64" s="16"/>
      <c r="CB64" s="69">
        <f>(SUM(CB$134:CB$149)/16)/(SUM($J$134:$J$149)/16)*MITRE[[#This Row],[Trenes Corridos]]</f>
        <v>906.92700696114309</v>
      </c>
      <c r="CC64" s="16"/>
      <c r="CD64" s="16"/>
      <c r="CI64" s="40"/>
      <c r="CJ64" s="40"/>
      <c r="CK64" s="40"/>
      <c r="CL64" s="40"/>
      <c r="CM64" s="40"/>
    </row>
    <row r="65" spans="1:91" s="18" customFormat="1" ht="15" customHeight="1">
      <c r="A65" s="18">
        <v>1997</v>
      </c>
      <c r="B65" s="21" t="s">
        <v>47</v>
      </c>
      <c r="C65" s="15">
        <f>+MITRE[[#This Row],[Trenes Puntuales]]/MITRE[[#This Row],[Trenes Programados]]</f>
        <v>0.96187608124559487</v>
      </c>
      <c r="D65" s="15">
        <f>+MITRE[[#This Row],[Trenes Puntuales]]/MITRE[[#This Row],[Trenes Corridos]]</f>
        <v>0.96533984952736163</v>
      </c>
      <c r="E65" s="15">
        <f>+MITRE[[#This Row],[Trenes Corridos]]/MITRE[[#This Row],[Trenes Programados]]</f>
        <v>0.99641186647017366</v>
      </c>
      <c r="F65" s="16">
        <f>+Tabla4[[#This Row],[Trenes Programados por Día Hábil]]+Tabla5[[#This Row],[Trenes Programados por Día Hábil]]+Tabla6[[#This Row],[Trenes Programados por Día Hábil]]+MIT_Vic_Cap[[#This Row],[Trenes Programados por Día Hábil]]+Tabla8[[#This Row],[Trenes Programados por Día Hábil]]</f>
        <v>0</v>
      </c>
      <c r="G6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5" s="16">
        <v>15607</v>
      </c>
      <c r="I65" s="16">
        <f t="shared" si="8"/>
        <v>56</v>
      </c>
      <c r="J65" s="16">
        <v>15551</v>
      </c>
      <c r="K65" s="16">
        <v>15012</v>
      </c>
      <c r="L65" s="16">
        <f t="shared" si="9"/>
        <v>539</v>
      </c>
      <c r="M65" s="16"/>
      <c r="N65" s="17"/>
      <c r="O65" s="18">
        <v>1997</v>
      </c>
      <c r="P65" s="21" t="s">
        <v>47</v>
      </c>
      <c r="Q65" s="41"/>
      <c r="R65" s="41"/>
      <c r="S65" s="41"/>
      <c r="T65" s="16"/>
      <c r="U65" s="16"/>
      <c r="V65" s="16"/>
      <c r="W65" s="16"/>
      <c r="X65" s="69">
        <f>(SUM(X$134:X$149)/16)/(SUM($J$134:$J$149)/16)*MITRE[[#This Row],[Trenes Corridos]]</f>
        <v>5798.7578844526042</v>
      </c>
      <c r="Y65" s="16"/>
      <c r="Z65" s="16"/>
      <c r="AA65" s="16"/>
      <c r="AB65" s="17"/>
      <c r="AC65" s="18">
        <v>1997</v>
      </c>
      <c r="AD65" s="21" t="s">
        <v>47</v>
      </c>
      <c r="AE65" s="41"/>
      <c r="AF65" s="41"/>
      <c r="AG65" s="41"/>
      <c r="AH65" s="16"/>
      <c r="AI65" s="16"/>
      <c r="AJ65" s="16"/>
      <c r="AK65" s="16"/>
      <c r="AL65" s="69">
        <f>(SUM(AL$134:AL$149)/16)/(SUM($J$134:$J$149)/16)*MITRE[[#This Row],[Trenes Corridos]]</f>
        <v>4534.695987972761</v>
      </c>
      <c r="AM65" s="16"/>
      <c r="AN65" s="16"/>
      <c r="AO65" s="16"/>
      <c r="AP65" s="17"/>
      <c r="AQ65" s="18">
        <v>1997</v>
      </c>
      <c r="AR65" s="21" t="s">
        <v>47</v>
      </c>
      <c r="AS65" s="41"/>
      <c r="AT65" s="41"/>
      <c r="AU65" s="41"/>
      <c r="AV65" s="16"/>
      <c r="AW65" s="16"/>
      <c r="AX65" s="16"/>
      <c r="AY65" s="16"/>
      <c r="AZ65" s="69">
        <f>(SUM(AZ$134:AZ$149)/16)/(SUM($J$134:$J$149)/16)*MITRE[[#This Row],[Trenes Corridos]]</f>
        <v>3268.1455228437512</v>
      </c>
      <c r="BA65" s="16"/>
      <c r="BB65" s="16"/>
      <c r="BC65" s="16"/>
      <c r="BD65" s="17"/>
      <c r="BE65" s="18">
        <v>1997</v>
      </c>
      <c r="BF65" s="21" t="s">
        <v>47</v>
      </c>
      <c r="BG65" s="41"/>
      <c r="BH65" s="41"/>
      <c r="BI65" s="41"/>
      <c r="BJ65" s="16"/>
      <c r="BK65" s="16"/>
      <c r="BL65" s="16"/>
      <c r="BM65" s="16"/>
      <c r="BN65" s="69">
        <f>(SUM(BN$134:BN$149)/16)/(SUM($J$134:$J$149)/16)*MITRE[[#This Row],[Trenes Corridos]]</f>
        <v>981.60935479931447</v>
      </c>
      <c r="BO65" s="16"/>
      <c r="BP65" s="16"/>
      <c r="BQ65" s="16"/>
      <c r="BR65" s="17"/>
      <c r="BS65" s="18">
        <v>1997</v>
      </c>
      <c r="BT65" s="21" t="s">
        <v>47</v>
      </c>
      <c r="BU65" s="41"/>
      <c r="BV65" s="41"/>
      <c r="BW65" s="41"/>
      <c r="BX65" s="16"/>
      <c r="BY65" s="16"/>
      <c r="BZ65" s="16"/>
      <c r="CA65" s="16"/>
      <c r="CB65" s="69">
        <f>(SUM(CB$134:CB$149)/16)/(SUM($J$134:$J$149)/16)*MITRE[[#This Row],[Trenes Corridos]]</f>
        <v>967.79124993156779</v>
      </c>
      <c r="CC65" s="16"/>
      <c r="CD65" s="16"/>
      <c r="CI65" s="40"/>
      <c r="CJ65" s="40"/>
      <c r="CK65" s="40"/>
      <c r="CL65" s="40"/>
      <c r="CM65" s="40"/>
    </row>
    <row r="66" spans="1:91" s="18" customFormat="1" ht="15" customHeight="1">
      <c r="A66" s="18">
        <v>1998</v>
      </c>
      <c r="B66" s="21" t="s">
        <v>36</v>
      </c>
      <c r="C66" s="15">
        <f>+MITRE[[#This Row],[Trenes Puntuales]]/MITRE[[#This Row],[Trenes Programados]]</f>
        <v>0.97831202696686381</v>
      </c>
      <c r="D66" s="15">
        <f>+MITRE[[#This Row],[Trenes Puntuales]]/MITRE[[#This Row],[Trenes Corridos]]</f>
        <v>0.98061966084406482</v>
      </c>
      <c r="E66" s="15">
        <f>+MITRE[[#This Row],[Trenes Corridos]]/MITRE[[#This Row],[Trenes Programados]]</f>
        <v>0.99764675952426385</v>
      </c>
      <c r="F66" s="16">
        <f>+Tabla4[[#This Row],[Trenes Programados por Día Hábil]]+Tabla5[[#This Row],[Trenes Programados por Día Hábil]]+Tabla6[[#This Row],[Trenes Programados por Día Hábil]]+MIT_Vic_Cap[[#This Row],[Trenes Programados por Día Hábil]]+Tabla8[[#This Row],[Trenes Programados por Día Hábil]]</f>
        <v>0</v>
      </c>
      <c r="G6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6" s="16">
        <v>15723</v>
      </c>
      <c r="I66" s="16">
        <f t="shared" ref="I66:I77" si="10">H66-J66</f>
        <v>37</v>
      </c>
      <c r="J66" s="16">
        <v>15686</v>
      </c>
      <c r="K66" s="16">
        <v>15382</v>
      </c>
      <c r="L66" s="16">
        <f t="shared" ref="L66:L77" si="11">J66-K66</f>
        <v>304</v>
      </c>
      <c r="M66" s="16"/>
      <c r="N66" s="17"/>
      <c r="O66" s="18">
        <v>1998</v>
      </c>
      <c r="P66" s="21" t="s">
        <v>36</v>
      </c>
      <c r="Q66" s="41"/>
      <c r="R66" s="41"/>
      <c r="S66" s="41"/>
      <c r="T66" s="16"/>
      <c r="U66" s="16"/>
      <c r="V66" s="16"/>
      <c r="W66" s="16"/>
      <c r="X66" s="69">
        <f>(SUM(X$134:X$149)/16)/(SUM($J$134:$J$149)/16)*MITRE[[#This Row],[Trenes Corridos]]</f>
        <v>5849.0975612837474</v>
      </c>
      <c r="Y66" s="16"/>
      <c r="Z66" s="16"/>
      <c r="AA66" s="16"/>
      <c r="AB66" s="17"/>
      <c r="AC66" s="18">
        <v>1998</v>
      </c>
      <c r="AD66" s="21" t="s">
        <v>36</v>
      </c>
      <c r="AE66" s="41"/>
      <c r="AF66" s="41"/>
      <c r="AG66" s="41"/>
      <c r="AH66" s="16"/>
      <c r="AI66" s="16"/>
      <c r="AJ66" s="16"/>
      <c r="AK66" s="16"/>
      <c r="AL66" s="69">
        <f>(SUM(AL$134:AL$149)/16)/(SUM($J$134:$J$149)/16)*MITRE[[#This Row],[Trenes Corridos]]</f>
        <v>4574.062199687527</v>
      </c>
      <c r="AM66" s="16"/>
      <c r="AN66" s="16"/>
      <c r="AO66" s="16"/>
      <c r="AP66" s="17"/>
      <c r="AQ66" s="18">
        <v>1998</v>
      </c>
      <c r="AR66" s="21" t="s">
        <v>36</v>
      </c>
      <c r="AS66" s="41"/>
      <c r="AT66" s="41"/>
      <c r="AU66" s="41"/>
      <c r="AV66" s="16"/>
      <c r="AW66" s="16"/>
      <c r="AX66" s="16"/>
      <c r="AY66" s="16"/>
      <c r="AZ66" s="69">
        <f>(SUM(AZ$134:AZ$149)/16)/(SUM($J$134:$J$149)/16)*MITRE[[#This Row],[Trenes Corridos]]</f>
        <v>3296.51666589461</v>
      </c>
      <c r="BA66" s="16"/>
      <c r="BB66" s="16"/>
      <c r="BC66" s="16"/>
      <c r="BD66" s="17"/>
      <c r="BE66" s="18">
        <v>1998</v>
      </c>
      <c r="BF66" s="21" t="s">
        <v>36</v>
      </c>
      <c r="BG66" s="41"/>
      <c r="BH66" s="41"/>
      <c r="BI66" s="41"/>
      <c r="BJ66" s="16"/>
      <c r="BK66" s="16"/>
      <c r="BL66" s="16"/>
      <c r="BM66" s="16"/>
      <c r="BN66" s="69">
        <f>(SUM(BN$134:BN$149)/16)/(SUM($J$134:$J$149)/16)*MITRE[[#This Row],[Trenes Corridos]]</f>
        <v>990.13081727104668</v>
      </c>
      <c r="BO66" s="16"/>
      <c r="BP66" s="16"/>
      <c r="BQ66" s="16"/>
      <c r="BR66" s="17"/>
      <c r="BS66" s="18">
        <v>1998</v>
      </c>
      <c r="BT66" s="21" t="s">
        <v>36</v>
      </c>
      <c r="BU66" s="41"/>
      <c r="BV66" s="41"/>
      <c r="BW66" s="41"/>
      <c r="BX66" s="16"/>
      <c r="BY66" s="16"/>
      <c r="BZ66" s="16"/>
      <c r="CA66" s="16"/>
      <c r="CB66" s="69">
        <f>(SUM(CB$134:CB$149)/16)/(SUM($J$134:$J$149)/16)*MITRE[[#This Row],[Trenes Corridos]]</f>
        <v>976.1927558630681</v>
      </c>
      <c r="CC66" s="16"/>
      <c r="CD66" s="16"/>
      <c r="CI66" s="40"/>
      <c r="CJ66" s="40"/>
      <c r="CK66" s="40"/>
      <c r="CL66" s="40"/>
      <c r="CM66" s="40"/>
    </row>
    <row r="67" spans="1:91" s="18" customFormat="1" ht="15" customHeight="1">
      <c r="A67" s="18">
        <v>1998</v>
      </c>
      <c r="B67" s="21" t="s">
        <v>37</v>
      </c>
      <c r="C67" s="15">
        <f>+MITRE[[#This Row],[Trenes Puntuales]]/MITRE[[#This Row],[Trenes Programados]]</f>
        <v>0.97418591706095181</v>
      </c>
      <c r="D67" s="15">
        <f>+MITRE[[#This Row],[Trenes Puntuales]]/MITRE[[#This Row],[Trenes Corridos]]</f>
        <v>0.98053084949926461</v>
      </c>
      <c r="E67" s="15">
        <f>+MITRE[[#This Row],[Trenes Corridos]]/MITRE[[#This Row],[Trenes Programados]]</f>
        <v>0.99352908433064291</v>
      </c>
      <c r="F67" s="16">
        <f>+Tabla4[[#This Row],[Trenes Programados por Día Hábil]]+Tabla5[[#This Row],[Trenes Programados por Día Hábil]]+Tabla6[[#This Row],[Trenes Programados por Día Hábil]]+MIT_Vic_Cap[[#This Row],[Trenes Programados por Día Hábil]]+Tabla8[[#This Row],[Trenes Programados por Día Hábil]]</f>
        <v>0</v>
      </c>
      <c r="G6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7" s="16">
        <v>14372</v>
      </c>
      <c r="I67" s="16">
        <f t="shared" si="10"/>
        <v>93</v>
      </c>
      <c r="J67" s="16">
        <v>14279</v>
      </c>
      <c r="K67" s="16">
        <v>14001</v>
      </c>
      <c r="L67" s="16">
        <f t="shared" si="11"/>
        <v>278</v>
      </c>
      <c r="M67" s="16"/>
      <c r="N67" s="17"/>
      <c r="O67" s="18">
        <v>1998</v>
      </c>
      <c r="P67" s="21" t="s">
        <v>37</v>
      </c>
      <c r="Q67" s="41"/>
      <c r="R67" s="41"/>
      <c r="S67" s="41"/>
      <c r="T67" s="16"/>
      <c r="U67" s="16"/>
      <c r="V67" s="16"/>
      <c r="W67" s="16"/>
      <c r="X67" s="69">
        <f>(SUM(X$134:X$149)/16)/(SUM($J$134:$J$149)/16)*MITRE[[#This Row],[Trenes Corridos]]</f>
        <v>5324.4462627547255</v>
      </c>
      <c r="Y67" s="16"/>
      <c r="Z67" s="16"/>
      <c r="AA67" s="16"/>
      <c r="AB67" s="17"/>
      <c r="AC67" s="18">
        <v>1998</v>
      </c>
      <c r="AD67" s="21" t="s">
        <v>37</v>
      </c>
      <c r="AE67" s="41"/>
      <c r="AF67" s="41"/>
      <c r="AG67" s="41"/>
      <c r="AH67" s="16"/>
      <c r="AI67" s="16"/>
      <c r="AJ67" s="16"/>
      <c r="AK67" s="16"/>
      <c r="AL67" s="69">
        <f>(SUM(AL$134:AL$149)/16)/(SUM($J$134:$J$149)/16)*MITRE[[#This Row],[Trenes Corridos]]</f>
        <v>4163.7787931491903</v>
      </c>
      <c r="AM67" s="16"/>
      <c r="AN67" s="16"/>
      <c r="AO67" s="16"/>
      <c r="AP67" s="17"/>
      <c r="AQ67" s="18">
        <v>1998</v>
      </c>
      <c r="AR67" s="21" t="s">
        <v>37</v>
      </c>
      <c r="AS67" s="41"/>
      <c r="AT67" s="41"/>
      <c r="AU67" s="41"/>
      <c r="AV67" s="16"/>
      <c r="AW67" s="16"/>
      <c r="AX67" s="16"/>
      <c r="AY67" s="16"/>
      <c r="AZ67" s="69">
        <f>(SUM(AZ$134:AZ$149)/16)/(SUM($J$134:$J$149)/16)*MITRE[[#This Row],[Trenes Corridos]]</f>
        <v>3000.8263083201032</v>
      </c>
      <c r="BA67" s="16"/>
      <c r="BB67" s="16"/>
      <c r="BC67" s="16"/>
      <c r="BD67" s="17"/>
      <c r="BE67" s="18">
        <v>1998</v>
      </c>
      <c r="BF67" s="21" t="s">
        <v>37</v>
      </c>
      <c r="BG67" s="41"/>
      <c r="BH67" s="41"/>
      <c r="BI67" s="41"/>
      <c r="BJ67" s="16"/>
      <c r="BK67" s="16"/>
      <c r="BL67" s="16"/>
      <c r="BM67" s="16"/>
      <c r="BN67" s="69">
        <f>(SUM(BN$134:BN$149)/16)/(SUM($J$134:$J$149)/16)*MITRE[[#This Row],[Trenes Corridos]]</f>
        <v>901.31824173232656</v>
      </c>
      <c r="BO67" s="16"/>
      <c r="BP67" s="16"/>
      <c r="BQ67" s="16"/>
      <c r="BR67" s="17"/>
      <c r="BS67" s="18">
        <v>1998</v>
      </c>
      <c r="BT67" s="21" t="s">
        <v>37</v>
      </c>
      <c r="BU67" s="41"/>
      <c r="BV67" s="41"/>
      <c r="BW67" s="41"/>
      <c r="BX67" s="16"/>
      <c r="BY67" s="16"/>
      <c r="BZ67" s="16"/>
      <c r="CA67" s="16"/>
      <c r="CB67" s="69">
        <f>(SUM(CB$134:CB$149)/16)/(SUM($J$134:$J$149)/16)*MITRE[[#This Row],[Trenes Corridos]]</f>
        <v>888.6303940436535</v>
      </c>
      <c r="CC67" s="16"/>
      <c r="CD67" s="16"/>
      <c r="CI67" s="40"/>
      <c r="CJ67" s="40"/>
      <c r="CK67" s="40"/>
      <c r="CL67" s="40"/>
      <c r="CM67" s="40"/>
    </row>
    <row r="68" spans="1:91" s="18" customFormat="1" ht="15" customHeight="1">
      <c r="A68" s="18">
        <v>1998</v>
      </c>
      <c r="B68" s="21" t="s">
        <v>38</v>
      </c>
      <c r="C68" s="15">
        <f>+MITRE[[#This Row],[Trenes Puntuales]]/MITRE[[#This Row],[Trenes Programados]]</f>
        <v>0.97953124012887738</v>
      </c>
      <c r="D68" s="15">
        <f>+MITRE[[#This Row],[Trenes Puntuales]]/MITRE[[#This Row],[Trenes Corridos]]</f>
        <v>0.9810807390534042</v>
      </c>
      <c r="E68" s="15">
        <f>+MITRE[[#This Row],[Trenes Corridos]]/MITRE[[#This Row],[Trenes Programados]]</f>
        <v>0.99842062038031465</v>
      </c>
      <c r="F68" s="16">
        <f>+Tabla4[[#This Row],[Trenes Programados por Día Hábil]]+Tabla5[[#This Row],[Trenes Programados por Día Hábil]]+Tabla6[[#This Row],[Trenes Programados por Día Hábil]]+MIT_Vic_Cap[[#This Row],[Trenes Programados por Día Hábil]]+Tabla8[[#This Row],[Trenes Programados por Día Hábil]]</f>
        <v>0</v>
      </c>
      <c r="G6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8" s="16">
        <v>15829</v>
      </c>
      <c r="I68" s="16">
        <f t="shared" si="10"/>
        <v>25</v>
      </c>
      <c r="J68" s="16">
        <v>15804</v>
      </c>
      <c r="K68" s="16">
        <v>15505</v>
      </c>
      <c r="L68" s="16">
        <f t="shared" si="11"/>
        <v>299</v>
      </c>
      <c r="M68" s="16"/>
      <c r="N68" s="17"/>
      <c r="O68" s="18">
        <v>1998</v>
      </c>
      <c r="P68" s="21" t="s">
        <v>38</v>
      </c>
      <c r="Q68" s="41"/>
      <c r="R68" s="41"/>
      <c r="S68" s="41"/>
      <c r="T68" s="16"/>
      <c r="U68" s="16"/>
      <c r="V68" s="16"/>
      <c r="W68" s="16"/>
      <c r="X68" s="69">
        <f>(SUM(X$134:X$149)/16)/(SUM($J$134:$J$149)/16)*MITRE[[#This Row],[Trenes Corridos]]</f>
        <v>5893.0981676991169</v>
      </c>
      <c r="Y68" s="16"/>
      <c r="Z68" s="16"/>
      <c r="AA68" s="16"/>
      <c r="AB68" s="17"/>
      <c r="AC68" s="18">
        <v>1998</v>
      </c>
      <c r="AD68" s="21" t="s">
        <v>38</v>
      </c>
      <c r="AE68" s="41"/>
      <c r="AF68" s="41"/>
      <c r="AG68" s="41"/>
      <c r="AH68" s="16"/>
      <c r="AI68" s="16"/>
      <c r="AJ68" s="16"/>
      <c r="AK68" s="16"/>
      <c r="AL68" s="69">
        <f>(SUM(AL$134:AL$149)/16)/(SUM($J$134:$J$149)/16)*MITRE[[#This Row],[Trenes Corridos]]</f>
        <v>4608.4711847419148</v>
      </c>
      <c r="AM68" s="16"/>
      <c r="AN68" s="16"/>
      <c r="AO68" s="16"/>
      <c r="AP68" s="17"/>
      <c r="AQ68" s="18">
        <v>1998</v>
      </c>
      <c r="AR68" s="21" t="s">
        <v>38</v>
      </c>
      <c r="AS68" s="41"/>
      <c r="AT68" s="41"/>
      <c r="AU68" s="41"/>
      <c r="AV68" s="16"/>
      <c r="AW68" s="16"/>
      <c r="AX68" s="16"/>
      <c r="AY68" s="16"/>
      <c r="AZ68" s="69">
        <f>(SUM(AZ$134:AZ$149)/16)/(SUM($J$134:$J$149)/16)*MITRE[[#This Row],[Trenes Corridos]]</f>
        <v>3321.3151464872126</v>
      </c>
      <c r="BA68" s="16"/>
      <c r="BB68" s="16"/>
      <c r="BC68" s="16"/>
      <c r="BD68" s="17"/>
      <c r="BE68" s="18">
        <v>1998</v>
      </c>
      <c r="BF68" s="21" t="s">
        <v>38</v>
      </c>
      <c r="BG68" s="41"/>
      <c r="BH68" s="41"/>
      <c r="BI68" s="41"/>
      <c r="BJ68" s="16"/>
      <c r="BK68" s="16"/>
      <c r="BL68" s="16"/>
      <c r="BM68" s="16"/>
      <c r="BN68" s="69">
        <f>(SUM(BN$134:BN$149)/16)/(SUM($J$134:$J$149)/16)*MITRE[[#This Row],[Trenes Corridos]]</f>
        <v>997.57920669078294</v>
      </c>
      <c r="BO68" s="16"/>
      <c r="BP68" s="16"/>
      <c r="BQ68" s="16"/>
      <c r="BR68" s="17"/>
      <c r="BS68" s="18">
        <v>1998</v>
      </c>
      <c r="BT68" s="21" t="s">
        <v>38</v>
      </c>
      <c r="BU68" s="41"/>
      <c r="BV68" s="41"/>
      <c r="BW68" s="41"/>
      <c r="BX68" s="16"/>
      <c r="BY68" s="16"/>
      <c r="BZ68" s="16"/>
      <c r="CA68" s="16"/>
      <c r="CB68" s="69">
        <f>(SUM(CB$134:CB$149)/16)/(SUM($J$134:$J$149)/16)*MITRE[[#This Row],[Trenes Corridos]]</f>
        <v>983.53629438097209</v>
      </c>
      <c r="CC68" s="16"/>
      <c r="CD68" s="16"/>
      <c r="CI68" s="40"/>
      <c r="CJ68" s="40"/>
      <c r="CK68" s="40"/>
      <c r="CL68" s="40"/>
      <c r="CM68" s="40"/>
    </row>
    <row r="69" spans="1:91" s="18" customFormat="1" ht="15" customHeight="1">
      <c r="A69" s="18">
        <v>1998</v>
      </c>
      <c r="B69" s="21" t="s">
        <v>39</v>
      </c>
      <c r="C69" s="15">
        <f>+MITRE[[#This Row],[Trenes Puntuales]]/MITRE[[#This Row],[Trenes Programados]]</f>
        <v>0.96411028882048599</v>
      </c>
      <c r="D69" s="15">
        <f>+MITRE[[#This Row],[Trenes Puntuales]]/MITRE[[#This Row],[Trenes Corridos]]</f>
        <v>0.96715064713225152</v>
      </c>
      <c r="E69" s="15">
        <f>+MITRE[[#This Row],[Trenes Corridos]]/MITRE[[#This Row],[Trenes Programados]]</f>
        <v>0.99685637566310825</v>
      </c>
      <c r="F69" s="16">
        <f>+Tabla4[[#This Row],[Trenes Programados por Día Hábil]]+Tabla5[[#This Row],[Trenes Programados por Día Hábil]]+Tabla6[[#This Row],[Trenes Programados por Día Hábil]]+MIT_Vic_Cap[[#This Row],[Trenes Programados por Día Hábil]]+Tabla8[[#This Row],[Trenes Programados por Día Hábil]]</f>
        <v>0</v>
      </c>
      <c r="G6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9" s="16">
        <v>15269</v>
      </c>
      <c r="I69" s="16">
        <f t="shared" si="10"/>
        <v>48</v>
      </c>
      <c r="J69" s="16">
        <v>15221</v>
      </c>
      <c r="K69" s="16">
        <v>14721</v>
      </c>
      <c r="L69" s="16">
        <f t="shared" si="11"/>
        <v>500</v>
      </c>
      <c r="M69" s="16"/>
      <c r="N69" s="17"/>
      <c r="O69" s="18">
        <v>1998</v>
      </c>
      <c r="P69" s="21" t="s">
        <v>39</v>
      </c>
      <c r="Q69" s="41"/>
      <c r="R69" s="41"/>
      <c r="S69" s="41"/>
      <c r="T69" s="16"/>
      <c r="U69" s="16"/>
      <c r="V69" s="16"/>
      <c r="W69" s="16"/>
      <c r="X69" s="69">
        <f>(SUM(X$134:X$149)/16)/(SUM($J$134:$J$149)/16)*MITRE[[#This Row],[Trenes Corridos]]</f>
        <v>5675.7053410875887</v>
      </c>
      <c r="Y69" s="16"/>
      <c r="Z69" s="16"/>
      <c r="AA69" s="16"/>
      <c r="AB69" s="17"/>
      <c r="AC69" s="18">
        <v>1998</v>
      </c>
      <c r="AD69" s="21" t="s">
        <v>39</v>
      </c>
      <c r="AE69" s="41"/>
      <c r="AF69" s="41"/>
      <c r="AG69" s="41"/>
      <c r="AH69" s="16"/>
      <c r="AI69" s="16"/>
      <c r="AJ69" s="16"/>
      <c r="AK69" s="16"/>
      <c r="AL69" s="69">
        <f>(SUM(AL$134:AL$149)/16)/(SUM($J$134:$J$149)/16)*MITRE[[#This Row],[Trenes Corridos]]</f>
        <v>4438.4674704477784</v>
      </c>
      <c r="AM69" s="16"/>
      <c r="AN69" s="16"/>
      <c r="AO69" s="16"/>
      <c r="AP69" s="17"/>
      <c r="AQ69" s="18">
        <v>1998</v>
      </c>
      <c r="AR69" s="21" t="s">
        <v>39</v>
      </c>
      <c r="AS69" s="41"/>
      <c r="AT69" s="41"/>
      <c r="AU69" s="41"/>
      <c r="AV69" s="16"/>
      <c r="AW69" s="16"/>
      <c r="AX69" s="16"/>
      <c r="AY69" s="16"/>
      <c r="AZ69" s="69">
        <f>(SUM(AZ$134:AZ$149)/16)/(SUM($J$134:$J$149)/16)*MITRE[[#This Row],[Trenes Corridos]]</f>
        <v>3198.7938398305405</v>
      </c>
      <c r="BA69" s="16"/>
      <c r="BB69" s="16"/>
      <c r="BC69" s="16"/>
      <c r="BD69" s="17"/>
      <c r="BE69" s="18">
        <v>1998</v>
      </c>
      <c r="BF69" s="21" t="s">
        <v>39</v>
      </c>
      <c r="BG69" s="41"/>
      <c r="BH69" s="41"/>
      <c r="BI69" s="41"/>
      <c r="BJ69" s="16"/>
      <c r="BK69" s="16"/>
      <c r="BL69" s="16"/>
      <c r="BM69" s="16"/>
      <c r="BN69" s="69">
        <f>(SUM(BN$134:BN$149)/16)/(SUM($J$134:$J$149)/16)*MITRE[[#This Row],[Trenes Corridos]]</f>
        <v>960.7791132017469</v>
      </c>
      <c r="BO69" s="16"/>
      <c r="BP69" s="16"/>
      <c r="BQ69" s="16"/>
      <c r="BR69" s="17"/>
      <c r="BS69" s="18">
        <v>1998</v>
      </c>
      <c r="BT69" s="21" t="s">
        <v>39</v>
      </c>
      <c r="BU69" s="41"/>
      <c r="BV69" s="41"/>
      <c r="BW69" s="41"/>
      <c r="BX69" s="16"/>
      <c r="BY69" s="16"/>
      <c r="BZ69" s="16"/>
      <c r="CA69" s="16"/>
      <c r="CB69" s="69">
        <f>(SUM(CB$134:CB$149)/16)/(SUM($J$134:$J$149)/16)*MITRE[[#This Row],[Trenes Corridos]]</f>
        <v>947.25423543234467</v>
      </c>
      <c r="CC69" s="16"/>
      <c r="CD69" s="16"/>
      <c r="CI69" s="40"/>
      <c r="CJ69" s="40"/>
      <c r="CK69" s="40"/>
      <c r="CL69" s="40"/>
      <c r="CM69" s="40"/>
    </row>
    <row r="70" spans="1:91" s="18" customFormat="1" ht="15" customHeight="1">
      <c r="A70" s="18">
        <v>1998</v>
      </c>
      <c r="B70" s="21" t="s">
        <v>40</v>
      </c>
      <c r="C70" s="15">
        <f>+MITRE[[#This Row],[Trenes Puntuales]]/MITRE[[#This Row],[Trenes Programados]]</f>
        <v>0.98075160403299722</v>
      </c>
      <c r="D70" s="15">
        <f>+MITRE[[#This Row],[Trenes Puntuales]]/MITRE[[#This Row],[Trenes Corridos]]</f>
        <v>0.98216627327563599</v>
      </c>
      <c r="E70" s="15">
        <f>+MITRE[[#This Row],[Trenes Corridos]]/MITRE[[#This Row],[Trenes Programados]]</f>
        <v>0.99855964383920393</v>
      </c>
      <c r="F70" s="16">
        <f>+Tabla4[[#This Row],[Trenes Programados por Día Hábil]]+Tabla5[[#This Row],[Trenes Programados por Día Hábil]]+Tabla6[[#This Row],[Trenes Programados por Día Hábil]]+MIT_Vic_Cap[[#This Row],[Trenes Programados por Día Hábil]]+Tabla8[[#This Row],[Trenes Programados por Día Hábil]]</f>
        <v>0</v>
      </c>
      <c r="G7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0" s="16">
        <v>15274</v>
      </c>
      <c r="I70" s="16">
        <f t="shared" si="10"/>
        <v>22</v>
      </c>
      <c r="J70" s="16">
        <v>15252</v>
      </c>
      <c r="K70" s="16">
        <v>14980</v>
      </c>
      <c r="L70" s="16">
        <f t="shared" si="11"/>
        <v>272</v>
      </c>
      <c r="M70" s="16"/>
      <c r="N70" s="17"/>
      <c r="O70" s="18">
        <v>1998</v>
      </c>
      <c r="P70" s="21" t="s">
        <v>40</v>
      </c>
      <c r="Q70" s="41"/>
      <c r="R70" s="41"/>
      <c r="S70" s="41"/>
      <c r="T70" s="16"/>
      <c r="U70" s="16"/>
      <c r="V70" s="16"/>
      <c r="W70" s="16"/>
      <c r="X70" s="69">
        <f>(SUM(X$134:X$149)/16)/(SUM($J$134:$J$149)/16)*MITRE[[#This Row],[Trenes Corridos]]</f>
        <v>5687.2648224339991</v>
      </c>
      <c r="Y70" s="16"/>
      <c r="Z70" s="16"/>
      <c r="AA70" s="16"/>
      <c r="AB70" s="17"/>
      <c r="AC70" s="18">
        <v>1998</v>
      </c>
      <c r="AD70" s="21" t="s">
        <v>40</v>
      </c>
      <c r="AE70" s="41"/>
      <c r="AF70" s="41"/>
      <c r="AG70" s="41"/>
      <c r="AH70" s="16"/>
      <c r="AI70" s="16"/>
      <c r="AJ70" s="16"/>
      <c r="AK70" s="16"/>
      <c r="AL70" s="69">
        <f>(SUM(AL$134:AL$149)/16)/(SUM($J$134:$J$149)/16)*MITRE[[#This Row],[Trenes Corridos]]</f>
        <v>4447.5071190637618</v>
      </c>
      <c r="AM70" s="16"/>
      <c r="AN70" s="16"/>
      <c r="AO70" s="16"/>
      <c r="AP70" s="17"/>
      <c r="AQ70" s="18">
        <v>1998</v>
      </c>
      <c r="AR70" s="21" t="s">
        <v>40</v>
      </c>
      <c r="AS70" s="41"/>
      <c r="AT70" s="41"/>
      <c r="AU70" s="41"/>
      <c r="AV70" s="16"/>
      <c r="AW70" s="16"/>
      <c r="AX70" s="16"/>
      <c r="AY70" s="16"/>
      <c r="AZ70" s="69">
        <f>(SUM(AZ$134:AZ$149)/16)/(SUM($J$134:$J$149)/16)*MITRE[[#This Row],[Trenes Corridos]]</f>
        <v>3205.3086949014787</v>
      </c>
      <c r="BA70" s="16"/>
      <c r="BB70" s="16"/>
      <c r="BC70" s="16"/>
      <c r="BD70" s="17"/>
      <c r="BE70" s="18">
        <v>1998</v>
      </c>
      <c r="BF70" s="21" t="s">
        <v>40</v>
      </c>
      <c r="BG70" s="41"/>
      <c r="BH70" s="41"/>
      <c r="BI70" s="41"/>
      <c r="BJ70" s="16"/>
      <c r="BK70" s="16"/>
      <c r="BL70" s="16"/>
      <c r="BM70" s="16"/>
      <c r="BN70" s="69">
        <f>(SUM(BN$134:BN$149)/16)/(SUM($J$134:$J$149)/16)*MITRE[[#This Row],[Trenes Corridos]]</f>
        <v>962.73589347303346</v>
      </c>
      <c r="BO70" s="16"/>
      <c r="BP70" s="16"/>
      <c r="BQ70" s="16"/>
      <c r="BR70" s="17"/>
      <c r="BS70" s="18">
        <v>1998</v>
      </c>
      <c r="BT70" s="21" t="s">
        <v>40</v>
      </c>
      <c r="BU70" s="41"/>
      <c r="BV70" s="41"/>
      <c r="BW70" s="41"/>
      <c r="BX70" s="16"/>
      <c r="BY70" s="16"/>
      <c r="BZ70" s="16"/>
      <c r="CA70" s="16"/>
      <c r="CB70" s="69">
        <f>(SUM(CB$134:CB$149)/16)/(SUM($J$134:$J$149)/16)*MITRE[[#This Row],[Trenes Corridos]]</f>
        <v>949.18347012772631</v>
      </c>
      <c r="CC70" s="16"/>
      <c r="CD70" s="16"/>
      <c r="CI70" s="40"/>
      <c r="CJ70" s="40"/>
      <c r="CK70" s="40"/>
      <c r="CL70" s="40"/>
      <c r="CM70" s="40"/>
    </row>
    <row r="71" spans="1:91" s="18" customFormat="1" ht="15" customHeight="1">
      <c r="A71" s="18">
        <v>1998</v>
      </c>
      <c r="B71" s="21" t="s">
        <v>41</v>
      </c>
      <c r="C71" s="15">
        <f>+MITRE[[#This Row],[Trenes Puntuales]]/MITRE[[#This Row],[Trenes Programados]]</f>
        <v>0.97827656362801074</v>
      </c>
      <c r="D71" s="15">
        <f>+MITRE[[#This Row],[Trenes Puntuales]]/MITRE[[#This Row],[Trenes Corridos]]</f>
        <v>0.98246770366464542</v>
      </c>
      <c r="E71" s="15">
        <f>+MITRE[[#This Row],[Trenes Corridos]]/MITRE[[#This Row],[Trenes Programados]]</f>
        <v>0.99573406838616529</v>
      </c>
      <c r="F71" s="16">
        <f>+Tabla4[[#This Row],[Trenes Programados por Día Hábil]]+Tabla5[[#This Row],[Trenes Programados por Día Hábil]]+Tabla6[[#This Row],[Trenes Programados por Día Hábil]]+MIT_Vic_Cap[[#This Row],[Trenes Programados por Día Hábil]]+Tabla8[[#This Row],[Trenes Programados por Día Hábil]]</f>
        <v>0</v>
      </c>
      <c r="G7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1" s="16">
        <v>15237</v>
      </c>
      <c r="I71" s="16">
        <f t="shared" si="10"/>
        <v>65</v>
      </c>
      <c r="J71" s="16">
        <v>15172</v>
      </c>
      <c r="K71" s="16">
        <v>14906</v>
      </c>
      <c r="L71" s="16">
        <f t="shared" si="11"/>
        <v>266</v>
      </c>
      <c r="M71" s="16"/>
      <c r="N71" s="17"/>
      <c r="O71" s="18">
        <v>1998</v>
      </c>
      <c r="P71" s="21" t="s">
        <v>41</v>
      </c>
      <c r="Q71" s="41"/>
      <c r="R71" s="41"/>
      <c r="S71" s="41"/>
      <c r="T71" s="16"/>
      <c r="U71" s="16"/>
      <c r="V71" s="16"/>
      <c r="W71" s="16"/>
      <c r="X71" s="69">
        <f>(SUM(X$134:X$149)/16)/(SUM($J$134:$J$149)/16)*MITRE[[#This Row],[Trenes Corridos]]</f>
        <v>5657.4339028303593</v>
      </c>
      <c r="Y71" s="16"/>
      <c r="Z71" s="16"/>
      <c r="AA71" s="16"/>
      <c r="AB71" s="17"/>
      <c r="AC71" s="18">
        <v>1998</v>
      </c>
      <c r="AD71" s="21" t="s">
        <v>41</v>
      </c>
      <c r="AE71" s="41"/>
      <c r="AF71" s="41"/>
      <c r="AG71" s="41"/>
      <c r="AH71" s="16"/>
      <c r="AI71" s="16"/>
      <c r="AJ71" s="16"/>
      <c r="AK71" s="16"/>
      <c r="AL71" s="69">
        <f>(SUM(AL$134:AL$149)/16)/(SUM($J$134:$J$149)/16)*MITRE[[#This Row],[Trenes Corridos]]</f>
        <v>4424.1789936031601</v>
      </c>
      <c r="AM71" s="16"/>
      <c r="AN71" s="16"/>
      <c r="AO71" s="16"/>
      <c r="AP71" s="17"/>
      <c r="AQ71" s="18">
        <v>1998</v>
      </c>
      <c r="AR71" s="21" t="s">
        <v>41</v>
      </c>
      <c r="AS71" s="41"/>
      <c r="AT71" s="41"/>
      <c r="AU71" s="41"/>
      <c r="AV71" s="16"/>
      <c r="AW71" s="16"/>
      <c r="AX71" s="16"/>
      <c r="AY71" s="16"/>
      <c r="AZ71" s="69">
        <f>(SUM(AZ$134:AZ$149)/16)/(SUM($J$134:$J$149)/16)*MITRE[[#This Row],[Trenes Corridos]]</f>
        <v>3188.4961656861547</v>
      </c>
      <c r="BA71" s="16"/>
      <c r="BB71" s="16"/>
      <c r="BC71" s="16"/>
      <c r="BD71" s="17"/>
      <c r="BE71" s="18">
        <v>1998</v>
      </c>
      <c r="BF71" s="21" t="s">
        <v>41</v>
      </c>
      <c r="BG71" s="41"/>
      <c r="BH71" s="41"/>
      <c r="BI71" s="41"/>
      <c r="BJ71" s="16"/>
      <c r="BK71" s="16"/>
      <c r="BL71" s="16"/>
      <c r="BM71" s="16"/>
      <c r="BN71" s="69">
        <f>(SUM(BN$134:BN$149)/16)/(SUM($J$134:$J$149)/16)*MITRE[[#This Row],[Trenes Corridos]]</f>
        <v>957.68613793422924</v>
      </c>
      <c r="BO71" s="16"/>
      <c r="BP71" s="16"/>
      <c r="BQ71" s="16"/>
      <c r="BR71" s="17"/>
      <c r="BS71" s="18">
        <v>1998</v>
      </c>
      <c r="BT71" s="21" t="s">
        <v>41</v>
      </c>
      <c r="BU71" s="41"/>
      <c r="BV71" s="41"/>
      <c r="BW71" s="41"/>
      <c r="BX71" s="16"/>
      <c r="BY71" s="16"/>
      <c r="BZ71" s="16"/>
      <c r="CA71" s="16"/>
      <c r="CB71" s="69">
        <f>(SUM(CB$134:CB$149)/16)/(SUM($J$134:$J$149)/16)*MITRE[[#This Row],[Trenes Corridos]]</f>
        <v>944.20479994609639</v>
      </c>
      <c r="CC71" s="16"/>
      <c r="CD71" s="16"/>
      <c r="CI71" s="40"/>
      <c r="CJ71" s="40"/>
      <c r="CK71" s="40"/>
      <c r="CL71" s="40"/>
      <c r="CM71" s="40"/>
    </row>
    <row r="72" spans="1:91" s="18" customFormat="1" ht="15" customHeight="1">
      <c r="A72" s="18">
        <v>1998</v>
      </c>
      <c r="B72" s="21" t="s">
        <v>42</v>
      </c>
      <c r="C72" s="15">
        <f>+MITRE[[#This Row],[Trenes Puntuales]]/MITRE[[#This Row],[Trenes Programados]]</f>
        <v>0.97491392031480573</v>
      </c>
      <c r="D72" s="15">
        <f>+MITRE[[#This Row],[Trenes Puntuales]]/MITRE[[#This Row],[Trenes Corridos]]</f>
        <v>0.97695625385089335</v>
      </c>
      <c r="E72" s="15">
        <f>+MITRE[[#This Row],[Trenes Corridos]]/MITRE[[#This Row],[Trenes Programados]]</f>
        <v>0.99790949335956713</v>
      </c>
      <c r="F72" s="16">
        <f>+Tabla4[[#This Row],[Trenes Programados por Día Hábil]]+Tabla5[[#This Row],[Trenes Programados por Día Hábil]]+Tabla6[[#This Row],[Trenes Programados por Día Hábil]]+MIT_Vic_Cap[[#This Row],[Trenes Programados por Día Hábil]]+Tabla8[[#This Row],[Trenes Programados por Día Hábil]]</f>
        <v>0</v>
      </c>
      <c r="G7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2" s="16">
        <v>16264</v>
      </c>
      <c r="I72" s="16">
        <f t="shared" si="10"/>
        <v>34</v>
      </c>
      <c r="J72" s="16">
        <v>16230</v>
      </c>
      <c r="K72" s="16">
        <v>15856</v>
      </c>
      <c r="L72" s="16">
        <f t="shared" si="11"/>
        <v>374</v>
      </c>
      <c r="M72" s="16"/>
      <c r="N72" s="17"/>
      <c r="O72" s="18">
        <v>1998</v>
      </c>
      <c r="P72" s="21" t="s">
        <v>42</v>
      </c>
      <c r="Q72" s="41"/>
      <c r="R72" s="41"/>
      <c r="S72" s="41"/>
      <c r="T72" s="16"/>
      <c r="U72" s="16"/>
      <c r="V72" s="16"/>
      <c r="W72" s="16"/>
      <c r="X72" s="69">
        <f>(SUM(X$134:X$149)/16)/(SUM($J$134:$J$149)/16)*MITRE[[#This Row],[Trenes Corridos]]</f>
        <v>6051.9478145885005</v>
      </c>
      <c r="Y72" s="16"/>
      <c r="Z72" s="16"/>
      <c r="AA72" s="16"/>
      <c r="AB72" s="17"/>
      <c r="AC72" s="18">
        <v>1998</v>
      </c>
      <c r="AD72" s="21" t="s">
        <v>42</v>
      </c>
      <c r="AE72" s="41"/>
      <c r="AF72" s="41"/>
      <c r="AG72" s="41"/>
      <c r="AH72" s="16"/>
      <c r="AI72" s="16"/>
      <c r="AJ72" s="16"/>
      <c r="AK72" s="16"/>
      <c r="AL72" s="69">
        <f>(SUM(AL$134:AL$149)/16)/(SUM($J$134:$J$149)/16)*MITRE[[#This Row],[Trenes Corridos]]</f>
        <v>4732.6934528196207</v>
      </c>
      <c r="AM72" s="16"/>
      <c r="AN72" s="16"/>
      <c r="AO72" s="16"/>
      <c r="AP72" s="17"/>
      <c r="AQ72" s="18">
        <v>1998</v>
      </c>
      <c r="AR72" s="21" t="s">
        <v>42</v>
      </c>
      <c r="AS72" s="41"/>
      <c r="AT72" s="41"/>
      <c r="AU72" s="41"/>
      <c r="AV72" s="16"/>
      <c r="AW72" s="16"/>
      <c r="AX72" s="16"/>
      <c r="AY72" s="16"/>
      <c r="AZ72" s="69">
        <f>(SUM(AZ$134:AZ$149)/16)/(SUM($J$134:$J$149)/16)*MITRE[[#This Row],[Trenes Corridos]]</f>
        <v>3410.8418645588117</v>
      </c>
      <c r="BA72" s="16"/>
      <c r="BB72" s="16"/>
      <c r="BC72" s="16"/>
      <c r="BD72" s="17"/>
      <c r="BE72" s="18">
        <v>1998</v>
      </c>
      <c r="BF72" s="21" t="s">
        <v>42</v>
      </c>
      <c r="BG72" s="41"/>
      <c r="BH72" s="41"/>
      <c r="BI72" s="41"/>
      <c r="BJ72" s="16"/>
      <c r="BK72" s="16"/>
      <c r="BL72" s="16"/>
      <c r="BM72" s="16"/>
      <c r="BN72" s="69">
        <f>(SUM(BN$134:BN$149)/16)/(SUM($J$134:$J$149)/16)*MITRE[[#This Row],[Trenes Corridos]]</f>
        <v>1024.4691549349157</v>
      </c>
      <c r="BO72" s="16"/>
      <c r="BP72" s="16"/>
      <c r="BQ72" s="16"/>
      <c r="BR72" s="17"/>
      <c r="BS72" s="18">
        <v>1998</v>
      </c>
      <c r="BT72" s="21" t="s">
        <v>42</v>
      </c>
      <c r="BU72" s="41"/>
      <c r="BV72" s="41"/>
      <c r="BW72" s="41"/>
      <c r="BX72" s="16"/>
      <c r="BY72" s="16"/>
      <c r="BZ72" s="16"/>
      <c r="CA72" s="16"/>
      <c r="CB72" s="69">
        <f>(SUM(CB$134:CB$149)/16)/(SUM($J$134:$J$149)/16)*MITRE[[#This Row],[Trenes Corridos]]</f>
        <v>1010.0477130981509</v>
      </c>
      <c r="CC72" s="16"/>
      <c r="CD72" s="16"/>
      <c r="CI72" s="40"/>
      <c r="CJ72" s="40"/>
      <c r="CK72" s="40"/>
      <c r="CL72" s="40"/>
      <c r="CM72" s="40"/>
    </row>
    <row r="73" spans="1:91" s="18" customFormat="1" ht="15" customHeight="1">
      <c r="A73" s="18">
        <v>1998</v>
      </c>
      <c r="B73" s="21" t="s">
        <v>43</v>
      </c>
      <c r="C73" s="15">
        <f>+MITRE[[#This Row],[Trenes Puntuales]]/MITRE[[#This Row],[Trenes Programados]]</f>
        <v>0.9742672440846043</v>
      </c>
      <c r="D73" s="15">
        <f>+MITRE[[#This Row],[Trenes Puntuales]]/MITRE[[#This Row],[Trenes Corridos]]</f>
        <v>0.97696519604758014</v>
      </c>
      <c r="E73" s="15">
        <f>+MITRE[[#This Row],[Trenes Corridos]]/MITRE[[#This Row],[Trenes Programados]]</f>
        <v>0.99723843595054285</v>
      </c>
      <c r="F73" s="16">
        <f>+Tabla4[[#This Row],[Trenes Programados por Día Hábil]]+Tabla5[[#This Row],[Trenes Programados por Día Hábil]]+Tabla6[[#This Row],[Trenes Programados por Día Hábil]]+MIT_Vic_Cap[[#This Row],[Trenes Programados por Día Hábil]]+Tabla8[[#This Row],[Trenes Programados por Día Hábil]]</f>
        <v>0</v>
      </c>
      <c r="G7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3" s="16">
        <v>15933</v>
      </c>
      <c r="I73" s="16">
        <f t="shared" si="10"/>
        <v>44</v>
      </c>
      <c r="J73" s="16">
        <v>15889</v>
      </c>
      <c r="K73" s="16">
        <v>15523</v>
      </c>
      <c r="L73" s="16">
        <f t="shared" si="11"/>
        <v>366</v>
      </c>
      <c r="M73" s="16"/>
      <c r="N73" s="17"/>
      <c r="O73" s="18">
        <v>1998</v>
      </c>
      <c r="P73" s="21" t="s">
        <v>43</v>
      </c>
      <c r="Q73" s="41"/>
      <c r="R73" s="41"/>
      <c r="S73" s="41"/>
      <c r="T73" s="16"/>
      <c r="U73" s="16"/>
      <c r="V73" s="16"/>
      <c r="W73" s="16"/>
      <c r="X73" s="69">
        <f>(SUM(X$134:X$149)/16)/(SUM($J$134:$J$149)/16)*MITRE[[#This Row],[Trenes Corridos]]</f>
        <v>5924.7935197779843</v>
      </c>
      <c r="Y73" s="16"/>
      <c r="Z73" s="16"/>
      <c r="AA73" s="16"/>
      <c r="AB73" s="17"/>
      <c r="AC73" s="18">
        <v>1998</v>
      </c>
      <c r="AD73" s="21" t="s">
        <v>43</v>
      </c>
      <c r="AE73" s="41"/>
      <c r="AF73" s="41"/>
      <c r="AG73" s="41"/>
      <c r="AH73" s="16"/>
      <c r="AI73" s="16"/>
      <c r="AJ73" s="16"/>
      <c r="AK73" s="16"/>
      <c r="AL73" s="69">
        <f>(SUM(AL$134:AL$149)/16)/(SUM($J$134:$J$149)/16)*MITRE[[#This Row],[Trenes Corridos]]</f>
        <v>4633.2573180438048</v>
      </c>
      <c r="AM73" s="16"/>
      <c r="AN73" s="16"/>
      <c r="AO73" s="16"/>
      <c r="AP73" s="17"/>
      <c r="AQ73" s="18">
        <v>1998</v>
      </c>
      <c r="AR73" s="21" t="s">
        <v>43</v>
      </c>
      <c r="AS73" s="41"/>
      <c r="AT73" s="41"/>
      <c r="AU73" s="41"/>
      <c r="AV73" s="16"/>
      <c r="AW73" s="16"/>
      <c r="AX73" s="16"/>
      <c r="AY73" s="16"/>
      <c r="AZ73" s="69">
        <f>(SUM(AZ$134:AZ$149)/16)/(SUM($J$134:$J$149)/16)*MITRE[[#This Row],[Trenes Corridos]]</f>
        <v>3339.1784587784941</v>
      </c>
      <c r="BA73" s="16"/>
      <c r="BB73" s="16"/>
      <c r="BC73" s="16"/>
      <c r="BD73" s="17"/>
      <c r="BE73" s="18">
        <v>1998</v>
      </c>
      <c r="BF73" s="21" t="s">
        <v>43</v>
      </c>
      <c r="BG73" s="41"/>
      <c r="BH73" s="41"/>
      <c r="BI73" s="41"/>
      <c r="BJ73" s="16"/>
      <c r="BK73" s="16"/>
      <c r="BL73" s="16"/>
      <c r="BM73" s="16"/>
      <c r="BN73" s="69">
        <f>(SUM(BN$134:BN$149)/16)/(SUM($J$134:$J$149)/16)*MITRE[[#This Row],[Trenes Corridos]]</f>
        <v>1002.9445719507625</v>
      </c>
      <c r="BO73" s="16"/>
      <c r="BP73" s="16"/>
      <c r="BQ73" s="16"/>
      <c r="BR73" s="17"/>
      <c r="BS73" s="18">
        <v>1998</v>
      </c>
      <c r="BT73" s="21" t="s">
        <v>43</v>
      </c>
      <c r="BU73" s="41"/>
      <c r="BV73" s="41"/>
      <c r="BW73" s="41"/>
      <c r="BX73" s="16"/>
      <c r="BY73" s="16"/>
      <c r="BZ73" s="16"/>
      <c r="CA73" s="16"/>
      <c r="CB73" s="69">
        <f>(SUM(CB$134:CB$149)/16)/(SUM($J$134:$J$149)/16)*MITRE[[#This Row],[Trenes Corridos]]</f>
        <v>988.82613144895379</v>
      </c>
      <c r="CC73" s="16"/>
      <c r="CD73" s="16"/>
      <c r="CI73" s="40"/>
      <c r="CJ73" s="40"/>
      <c r="CK73" s="40"/>
      <c r="CL73" s="40"/>
      <c r="CM73" s="40"/>
    </row>
    <row r="74" spans="1:91" s="18" customFormat="1" ht="15" customHeight="1">
      <c r="A74" s="18">
        <v>1998</v>
      </c>
      <c r="B74" s="21" t="s">
        <v>44</v>
      </c>
      <c r="C74" s="15">
        <f>+MITRE[[#This Row],[Trenes Puntuales]]/MITRE[[#This Row],[Trenes Programados]]</f>
        <v>0.96063041567248519</v>
      </c>
      <c r="D74" s="15">
        <f>+MITRE[[#This Row],[Trenes Puntuales]]/MITRE[[#This Row],[Trenes Corridos]]</f>
        <v>0.97607502870996554</v>
      </c>
      <c r="E74" s="15">
        <f>+MITRE[[#This Row],[Trenes Corridos]]/MITRE[[#This Row],[Trenes Programados]]</f>
        <v>0.98417681778224286</v>
      </c>
      <c r="F74" s="16">
        <f>+Tabla4[[#This Row],[Trenes Programados por Día Hábil]]+Tabla5[[#This Row],[Trenes Programados por Día Hábil]]+Tabla6[[#This Row],[Trenes Programados por Día Hábil]]+MIT_Vic_Cap[[#This Row],[Trenes Programados por Día Hábil]]+Tabla8[[#This Row],[Trenes Programados por Día Hábil]]</f>
        <v>0</v>
      </c>
      <c r="G7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4" s="16">
        <v>15926</v>
      </c>
      <c r="I74" s="16">
        <f t="shared" si="10"/>
        <v>252</v>
      </c>
      <c r="J74" s="16">
        <v>15674</v>
      </c>
      <c r="K74" s="16">
        <v>15299</v>
      </c>
      <c r="L74" s="16">
        <f t="shared" si="11"/>
        <v>375</v>
      </c>
      <c r="M74" s="16"/>
      <c r="N74" s="17"/>
      <c r="O74" s="18">
        <v>1998</v>
      </c>
      <c r="P74" s="21" t="s">
        <v>44</v>
      </c>
      <c r="Q74" s="41"/>
      <c r="R74" s="41"/>
      <c r="S74" s="41"/>
      <c r="T74" s="16"/>
      <c r="U74" s="16"/>
      <c r="V74" s="16"/>
      <c r="W74" s="16"/>
      <c r="X74" s="69">
        <f>(SUM(X$134:X$149)/16)/(SUM($J$134:$J$149)/16)*MITRE[[#This Row],[Trenes Corridos]]</f>
        <v>5844.6229233432014</v>
      </c>
      <c r="Y74" s="16"/>
      <c r="Z74" s="16"/>
      <c r="AA74" s="16"/>
      <c r="AB74" s="17"/>
      <c r="AC74" s="18">
        <v>1998</v>
      </c>
      <c r="AD74" s="21" t="s">
        <v>44</v>
      </c>
      <c r="AE74" s="41"/>
      <c r="AF74" s="41"/>
      <c r="AG74" s="41"/>
      <c r="AH74" s="16"/>
      <c r="AI74" s="16"/>
      <c r="AJ74" s="16"/>
      <c r="AK74" s="16"/>
      <c r="AL74" s="69">
        <f>(SUM(AL$134:AL$149)/16)/(SUM($J$134:$J$149)/16)*MITRE[[#This Row],[Trenes Corridos]]</f>
        <v>4570.5629808684371</v>
      </c>
      <c r="AM74" s="16"/>
      <c r="AN74" s="16"/>
      <c r="AO74" s="16"/>
      <c r="AP74" s="17"/>
      <c r="AQ74" s="18">
        <v>1998</v>
      </c>
      <c r="AR74" s="21" t="s">
        <v>44</v>
      </c>
      <c r="AS74" s="41"/>
      <c r="AT74" s="41"/>
      <c r="AU74" s="41"/>
      <c r="AV74" s="16"/>
      <c r="AW74" s="16"/>
      <c r="AX74" s="16"/>
      <c r="AY74" s="16"/>
      <c r="AZ74" s="69">
        <f>(SUM(AZ$134:AZ$149)/16)/(SUM($J$134:$J$149)/16)*MITRE[[#This Row],[Trenes Corridos]]</f>
        <v>3293.9947865123113</v>
      </c>
      <c r="BA74" s="16"/>
      <c r="BB74" s="16"/>
      <c r="BC74" s="16"/>
      <c r="BD74" s="17"/>
      <c r="BE74" s="18">
        <v>1998</v>
      </c>
      <c r="BF74" s="21" t="s">
        <v>44</v>
      </c>
      <c r="BG74" s="41"/>
      <c r="BH74" s="41"/>
      <c r="BI74" s="41"/>
      <c r="BJ74" s="16"/>
      <c r="BK74" s="16"/>
      <c r="BL74" s="16"/>
      <c r="BM74" s="16"/>
      <c r="BN74" s="69">
        <f>(SUM(BN$134:BN$149)/16)/(SUM($J$134:$J$149)/16)*MITRE[[#This Row],[Trenes Corridos]]</f>
        <v>989.37335394022602</v>
      </c>
      <c r="BO74" s="16"/>
      <c r="BP74" s="16"/>
      <c r="BQ74" s="16"/>
      <c r="BR74" s="17"/>
      <c r="BS74" s="18">
        <v>1998</v>
      </c>
      <c r="BT74" s="21" t="s">
        <v>44</v>
      </c>
      <c r="BU74" s="41"/>
      <c r="BV74" s="41"/>
      <c r="BW74" s="41"/>
      <c r="BX74" s="16"/>
      <c r="BY74" s="16"/>
      <c r="BZ74" s="16"/>
      <c r="CA74" s="16"/>
      <c r="CB74" s="69">
        <f>(SUM(CB$134:CB$149)/16)/(SUM($J$134:$J$149)/16)*MITRE[[#This Row],[Trenes Corridos]]</f>
        <v>975.44595533582356</v>
      </c>
      <c r="CC74" s="16"/>
      <c r="CD74" s="16"/>
      <c r="CI74" s="40"/>
      <c r="CJ74" s="40"/>
      <c r="CK74" s="40"/>
      <c r="CL74" s="40"/>
      <c r="CM74" s="40"/>
    </row>
    <row r="75" spans="1:91" s="18" customFormat="1" ht="15" customHeight="1">
      <c r="A75" s="18">
        <v>1998</v>
      </c>
      <c r="B75" s="21" t="s">
        <v>45</v>
      </c>
      <c r="C75" s="15">
        <f>+MITRE[[#This Row],[Trenes Puntuales]]/MITRE[[#This Row],[Trenes Programados]]</f>
        <v>0.98237912699394092</v>
      </c>
      <c r="D75" s="15">
        <f>+MITRE[[#This Row],[Trenes Puntuales]]/MITRE[[#This Row],[Trenes Corridos]]</f>
        <v>0.98450957308383424</v>
      </c>
      <c r="E75" s="15">
        <f>+MITRE[[#This Row],[Trenes Corridos]]/MITRE[[#This Row],[Trenes Programados]]</f>
        <v>0.99783603313960678</v>
      </c>
      <c r="F75" s="16">
        <f>+Tabla4[[#This Row],[Trenes Programados por Día Hábil]]+Tabla5[[#This Row],[Trenes Programados por Día Hábil]]+Tabla6[[#This Row],[Trenes Programados por Día Hábil]]+MIT_Vic_Cap[[#This Row],[Trenes Programados por Día Hábil]]+Tabla8[[#This Row],[Trenes Programados por Día Hábil]]</f>
        <v>0</v>
      </c>
      <c r="G7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5" s="16">
        <v>16174</v>
      </c>
      <c r="I75" s="16">
        <f t="shared" si="10"/>
        <v>35</v>
      </c>
      <c r="J75" s="16">
        <v>16139</v>
      </c>
      <c r="K75" s="16">
        <v>15889</v>
      </c>
      <c r="L75" s="16">
        <f t="shared" si="11"/>
        <v>250</v>
      </c>
      <c r="M75" s="16"/>
      <c r="N75" s="17"/>
      <c r="O75" s="18">
        <v>1998</v>
      </c>
      <c r="P75" s="21" t="s">
        <v>45</v>
      </c>
      <c r="Q75" s="41"/>
      <c r="R75" s="41"/>
      <c r="S75" s="41"/>
      <c r="T75" s="16"/>
      <c r="U75" s="16"/>
      <c r="V75" s="16"/>
      <c r="W75" s="16"/>
      <c r="X75" s="69">
        <f>(SUM(X$134:X$149)/16)/(SUM($J$134:$J$149)/16)*MITRE[[#This Row],[Trenes Corridos]]</f>
        <v>6018.01514353936</v>
      </c>
      <c r="Y75" s="16"/>
      <c r="Z75" s="16"/>
      <c r="AA75" s="16"/>
      <c r="AB75" s="17"/>
      <c r="AC75" s="18">
        <v>1998</v>
      </c>
      <c r="AD75" s="21" t="s">
        <v>45</v>
      </c>
      <c r="AE75" s="41"/>
      <c r="AF75" s="41"/>
      <c r="AG75" s="41"/>
      <c r="AH75" s="16"/>
      <c r="AI75" s="16"/>
      <c r="AJ75" s="16"/>
      <c r="AK75" s="16"/>
      <c r="AL75" s="69">
        <f>(SUM(AL$134:AL$149)/16)/(SUM($J$134:$J$149)/16)*MITRE[[#This Row],[Trenes Corridos]]</f>
        <v>4706.1577101081857</v>
      </c>
      <c r="AM75" s="16"/>
      <c r="AN75" s="16"/>
      <c r="AO75" s="16"/>
      <c r="AP75" s="17"/>
      <c r="AQ75" s="18">
        <v>1998</v>
      </c>
      <c r="AR75" s="21" t="s">
        <v>45</v>
      </c>
      <c r="AS75" s="41"/>
      <c r="AT75" s="41"/>
      <c r="AU75" s="41"/>
      <c r="AV75" s="16"/>
      <c r="AW75" s="16"/>
      <c r="AX75" s="16"/>
      <c r="AY75" s="16"/>
      <c r="AZ75" s="69">
        <f>(SUM(AZ$134:AZ$149)/16)/(SUM($J$134:$J$149)/16)*MITRE[[#This Row],[Trenes Corridos]]</f>
        <v>3391.7176125763808</v>
      </c>
      <c r="BA75" s="16"/>
      <c r="BB75" s="16"/>
      <c r="BC75" s="16"/>
      <c r="BD75" s="17"/>
      <c r="BE75" s="18">
        <v>1998</v>
      </c>
      <c r="BF75" s="21" t="s">
        <v>45</v>
      </c>
      <c r="BG75" s="41"/>
      <c r="BH75" s="41"/>
      <c r="BI75" s="41"/>
      <c r="BJ75" s="16"/>
      <c r="BK75" s="16"/>
      <c r="BL75" s="16"/>
      <c r="BM75" s="16"/>
      <c r="BN75" s="69">
        <f>(SUM(BN$134:BN$149)/16)/(SUM($J$134:$J$149)/16)*MITRE[[#This Row],[Trenes Corridos]]</f>
        <v>1018.7250580095258</v>
      </c>
      <c r="BO75" s="16"/>
      <c r="BP75" s="16"/>
      <c r="BQ75" s="16"/>
      <c r="BR75" s="17"/>
      <c r="BS75" s="18">
        <v>1998</v>
      </c>
      <c r="BT75" s="21" t="s">
        <v>45</v>
      </c>
      <c r="BU75" s="41"/>
      <c r="BV75" s="41"/>
      <c r="BW75" s="41"/>
      <c r="BX75" s="16"/>
      <c r="BY75" s="16"/>
      <c r="BZ75" s="16"/>
      <c r="CA75" s="16"/>
      <c r="CB75" s="69">
        <f>(SUM(CB$134:CB$149)/16)/(SUM($J$134:$J$149)/16)*MITRE[[#This Row],[Trenes Corridos]]</f>
        <v>1004.384475766547</v>
      </c>
      <c r="CC75" s="16"/>
      <c r="CD75" s="16"/>
      <c r="CI75" s="40"/>
      <c r="CJ75" s="40"/>
      <c r="CK75" s="40"/>
      <c r="CL75" s="40"/>
      <c r="CM75" s="40"/>
    </row>
    <row r="76" spans="1:91" s="18" customFormat="1" ht="15" customHeight="1">
      <c r="A76" s="18">
        <v>1998</v>
      </c>
      <c r="B76" s="21" t="s">
        <v>46</v>
      </c>
      <c r="C76" s="15">
        <f>+MITRE[[#This Row],[Trenes Puntuales]]/MITRE[[#This Row],[Trenes Programados]]</f>
        <v>0.96735942879000381</v>
      </c>
      <c r="D76" s="15">
        <f>+MITRE[[#This Row],[Trenes Puntuales]]/MITRE[[#This Row],[Trenes Corridos]]</f>
        <v>0.97783219487047301</v>
      </c>
      <c r="E76" s="15">
        <f>+MITRE[[#This Row],[Trenes Corridos]]/MITRE[[#This Row],[Trenes Programados]]</f>
        <v>0.98928981257172</v>
      </c>
      <c r="F76" s="16">
        <f>+Tabla4[[#This Row],[Trenes Programados por Día Hábil]]+Tabla5[[#This Row],[Trenes Programados por Día Hábil]]+Tabla6[[#This Row],[Trenes Programados por Día Hábil]]+MIT_Vic_Cap[[#This Row],[Trenes Programados por Día Hábil]]+Tabla8[[#This Row],[Trenes Programados por Día Hábil]]</f>
        <v>0</v>
      </c>
      <c r="G7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6" s="16">
        <v>15686</v>
      </c>
      <c r="I76" s="16">
        <f t="shared" si="10"/>
        <v>168</v>
      </c>
      <c r="J76" s="16">
        <v>15518</v>
      </c>
      <c r="K76" s="16">
        <v>15174</v>
      </c>
      <c r="L76" s="16">
        <f t="shared" si="11"/>
        <v>344</v>
      </c>
      <c r="M76" s="16"/>
      <c r="N76" s="17"/>
      <c r="O76" s="18">
        <v>1998</v>
      </c>
      <c r="P76" s="21" t="s">
        <v>46</v>
      </c>
      <c r="Q76" s="41"/>
      <c r="R76" s="41"/>
      <c r="S76" s="41"/>
      <c r="T76" s="16"/>
      <c r="U76" s="16"/>
      <c r="V76" s="16"/>
      <c r="W76" s="16"/>
      <c r="X76" s="69">
        <f>(SUM(X$134:X$149)/16)/(SUM($J$134:$J$149)/16)*MITRE[[#This Row],[Trenes Corridos]]</f>
        <v>5786.4526301161031</v>
      </c>
      <c r="Y76" s="16"/>
      <c r="Z76" s="16"/>
      <c r="AA76" s="16"/>
      <c r="AB76" s="17"/>
      <c r="AC76" s="18">
        <v>1998</v>
      </c>
      <c r="AD76" s="21" t="s">
        <v>46</v>
      </c>
      <c r="AE76" s="41"/>
      <c r="AF76" s="41"/>
      <c r="AG76" s="41"/>
      <c r="AH76" s="16"/>
      <c r="AI76" s="16"/>
      <c r="AJ76" s="16"/>
      <c r="AK76" s="16"/>
      <c r="AL76" s="69">
        <f>(SUM(AL$134:AL$149)/16)/(SUM($J$134:$J$149)/16)*MITRE[[#This Row],[Trenes Corridos]]</f>
        <v>4525.0731362202632</v>
      </c>
      <c r="AM76" s="16"/>
      <c r="AN76" s="16"/>
      <c r="AO76" s="16"/>
      <c r="AP76" s="17"/>
      <c r="AQ76" s="18">
        <v>1998</v>
      </c>
      <c r="AR76" s="21" t="s">
        <v>46</v>
      </c>
      <c r="AS76" s="41"/>
      <c r="AT76" s="41"/>
      <c r="AU76" s="41"/>
      <c r="AV76" s="16"/>
      <c r="AW76" s="16"/>
      <c r="AX76" s="16"/>
      <c r="AY76" s="16"/>
      <c r="AZ76" s="69">
        <f>(SUM(AZ$134:AZ$149)/16)/(SUM($J$134:$J$149)/16)*MITRE[[#This Row],[Trenes Corridos]]</f>
        <v>3261.2103545424302</v>
      </c>
      <c r="BA76" s="16"/>
      <c r="BB76" s="16"/>
      <c r="BC76" s="16"/>
      <c r="BD76" s="17"/>
      <c r="BE76" s="18">
        <v>1998</v>
      </c>
      <c r="BF76" s="21" t="s">
        <v>46</v>
      </c>
      <c r="BG76" s="41"/>
      <c r="BH76" s="41"/>
      <c r="BI76" s="41"/>
      <c r="BJ76" s="16"/>
      <c r="BK76" s="16"/>
      <c r="BL76" s="16"/>
      <c r="BM76" s="16"/>
      <c r="BN76" s="69">
        <f>(SUM(BN$134:BN$149)/16)/(SUM($J$134:$J$149)/16)*MITRE[[#This Row],[Trenes Corridos]]</f>
        <v>979.52633063955773</v>
      </c>
      <c r="BO76" s="16"/>
      <c r="BP76" s="16"/>
      <c r="BQ76" s="16"/>
      <c r="BR76" s="17"/>
      <c r="BS76" s="18">
        <v>1998</v>
      </c>
      <c r="BT76" s="21" t="s">
        <v>46</v>
      </c>
      <c r="BU76" s="41"/>
      <c r="BV76" s="41"/>
      <c r="BW76" s="41"/>
      <c r="BX76" s="16"/>
      <c r="BY76" s="16"/>
      <c r="BZ76" s="16"/>
      <c r="CA76" s="16"/>
      <c r="CB76" s="69">
        <f>(SUM(CB$134:CB$149)/16)/(SUM($J$134:$J$149)/16)*MITRE[[#This Row],[Trenes Corridos]]</f>
        <v>965.73754848164549</v>
      </c>
      <c r="CC76" s="16"/>
      <c r="CD76" s="16"/>
      <c r="CI76" s="40"/>
      <c r="CJ76" s="40"/>
      <c r="CK76" s="40"/>
      <c r="CL76" s="40"/>
      <c r="CM76" s="40"/>
    </row>
    <row r="77" spans="1:91" s="18" customFormat="1" ht="15" customHeight="1">
      <c r="A77" s="18">
        <v>1998</v>
      </c>
      <c r="B77" s="21" t="s">
        <v>47</v>
      </c>
      <c r="C77" s="15">
        <f>+MITRE[[#This Row],[Trenes Puntuales]]/MITRE[[#This Row],[Trenes Programados]]</f>
        <v>0.94564403394907637</v>
      </c>
      <c r="D77" s="15">
        <f>+MITRE[[#This Row],[Trenes Puntuales]]/MITRE[[#This Row],[Trenes Corridos]]</f>
        <v>0.98293980280228332</v>
      </c>
      <c r="E77" s="15">
        <f>+MITRE[[#This Row],[Trenes Corridos]]/MITRE[[#This Row],[Trenes Programados]]</f>
        <v>0.96205691462805787</v>
      </c>
      <c r="F77" s="16">
        <f>+Tabla4[[#This Row],[Trenes Programados por Día Hábil]]+Tabla5[[#This Row],[Trenes Programados por Día Hábil]]+Tabla6[[#This Row],[Trenes Programados por Día Hábil]]+MIT_Vic_Cap[[#This Row],[Trenes Programados por Día Hábil]]+Tabla8[[#This Row],[Trenes Programados por Día Hábil]]</f>
        <v>0</v>
      </c>
      <c r="G7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7" s="16">
        <v>16024</v>
      </c>
      <c r="I77" s="16">
        <f t="shared" si="10"/>
        <v>608</v>
      </c>
      <c r="J77" s="16">
        <v>15416</v>
      </c>
      <c r="K77" s="16">
        <v>15153</v>
      </c>
      <c r="L77" s="16">
        <f t="shared" si="11"/>
        <v>263</v>
      </c>
      <c r="M77" s="16"/>
      <c r="N77" s="17"/>
      <c r="O77" s="18">
        <v>1998</v>
      </c>
      <c r="P77" s="21" t="s">
        <v>47</v>
      </c>
      <c r="Q77" s="41"/>
      <c r="R77" s="41"/>
      <c r="S77" s="41"/>
      <c r="T77" s="16"/>
      <c r="U77" s="16"/>
      <c r="V77" s="16"/>
      <c r="W77" s="16"/>
      <c r="X77" s="69">
        <f>(SUM(X$134:X$149)/16)/(SUM($J$134:$J$149)/16)*MITRE[[#This Row],[Trenes Corridos]]</f>
        <v>5748.418207621462</v>
      </c>
      <c r="Y77" s="16"/>
      <c r="Z77" s="16"/>
      <c r="AA77" s="16"/>
      <c r="AB77" s="17"/>
      <c r="AC77" s="18">
        <v>1998</v>
      </c>
      <c r="AD77" s="21" t="s">
        <v>47</v>
      </c>
      <c r="AE77" s="41"/>
      <c r="AF77" s="41"/>
      <c r="AG77" s="41"/>
      <c r="AH77" s="16"/>
      <c r="AI77" s="16"/>
      <c r="AJ77" s="16"/>
      <c r="AK77" s="16"/>
      <c r="AL77" s="69">
        <f>(SUM(AL$134:AL$149)/16)/(SUM($J$134:$J$149)/16)*MITRE[[#This Row],[Trenes Corridos]]</f>
        <v>4495.3297762579959</v>
      </c>
      <c r="AM77" s="16"/>
      <c r="AN77" s="16"/>
      <c r="AO77" s="16"/>
      <c r="AP77" s="17"/>
      <c r="AQ77" s="18">
        <v>1998</v>
      </c>
      <c r="AR77" s="21" t="s">
        <v>47</v>
      </c>
      <c r="AS77" s="41"/>
      <c r="AT77" s="41"/>
      <c r="AU77" s="41"/>
      <c r="AV77" s="16"/>
      <c r="AW77" s="16"/>
      <c r="AX77" s="16"/>
      <c r="AY77" s="16"/>
      <c r="AZ77" s="69">
        <f>(SUM(AZ$134:AZ$149)/16)/(SUM($J$134:$J$149)/16)*MITRE[[#This Row],[Trenes Corridos]]</f>
        <v>3239.7743797928924</v>
      </c>
      <c r="BA77" s="16"/>
      <c r="BB77" s="16"/>
      <c r="BC77" s="16"/>
      <c r="BD77" s="17"/>
      <c r="BE77" s="18">
        <v>1998</v>
      </c>
      <c r="BF77" s="21" t="s">
        <v>47</v>
      </c>
      <c r="BG77" s="41"/>
      <c r="BH77" s="41"/>
      <c r="BI77" s="41"/>
      <c r="BJ77" s="16"/>
      <c r="BK77" s="16"/>
      <c r="BL77" s="16"/>
      <c r="BM77" s="16"/>
      <c r="BN77" s="69">
        <f>(SUM(BN$134:BN$149)/16)/(SUM($J$134:$J$149)/16)*MITRE[[#This Row],[Trenes Corridos]]</f>
        <v>973.08789232758227</v>
      </c>
      <c r="BO77" s="16"/>
      <c r="BP77" s="16"/>
      <c r="BQ77" s="16"/>
      <c r="BR77" s="17"/>
      <c r="BS77" s="18">
        <v>1998</v>
      </c>
      <c r="BT77" s="21" t="s">
        <v>47</v>
      </c>
      <c r="BU77" s="41"/>
      <c r="BV77" s="41"/>
      <c r="BW77" s="41"/>
      <c r="BX77" s="16"/>
      <c r="BY77" s="16"/>
      <c r="BZ77" s="16"/>
      <c r="CA77" s="16"/>
      <c r="CB77" s="69">
        <f>(SUM(CB$134:CB$149)/16)/(SUM($J$134:$J$149)/16)*MITRE[[#This Row],[Trenes Corridos]]</f>
        <v>959.38974400006737</v>
      </c>
      <c r="CC77" s="16"/>
      <c r="CD77" s="16"/>
      <c r="CI77" s="40"/>
      <c r="CJ77" s="40"/>
      <c r="CK77" s="40"/>
      <c r="CL77" s="40"/>
      <c r="CM77" s="40"/>
    </row>
    <row r="78" spans="1:91" s="18" customFormat="1" ht="15" customHeight="1">
      <c r="A78" s="18">
        <v>1999</v>
      </c>
      <c r="B78" s="21" t="s">
        <v>36</v>
      </c>
      <c r="C78" s="15">
        <f>+MITRE[[#This Row],[Trenes Puntuales]]/MITRE[[#This Row],[Trenes Programados]]</f>
        <v>0.98537626310173854</v>
      </c>
      <c r="D78" s="15">
        <f>+MITRE[[#This Row],[Trenes Puntuales]]/MITRE[[#This Row],[Trenes Corridos]]</f>
        <v>0.98704891236011572</v>
      </c>
      <c r="E78" s="15">
        <f>+MITRE[[#This Row],[Trenes Corridos]]/MITRE[[#This Row],[Trenes Programados]]</f>
        <v>0.99830540387874223</v>
      </c>
      <c r="F78" s="16">
        <f>+Tabla4[[#This Row],[Trenes Programados por Día Hábil]]+Tabla5[[#This Row],[Trenes Programados por Día Hábil]]+Tabla6[[#This Row],[Trenes Programados por Día Hábil]]+MIT_Vic_Cap[[#This Row],[Trenes Programados por Día Hábil]]+Tabla8[[#This Row],[Trenes Programados por Día Hábil]]</f>
        <v>0</v>
      </c>
      <c r="G7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8" s="16">
        <v>15933</v>
      </c>
      <c r="I78" s="16">
        <f t="shared" ref="I78:I89" si="12">H78-J78</f>
        <v>27</v>
      </c>
      <c r="J78" s="16">
        <v>15906</v>
      </c>
      <c r="K78" s="16">
        <v>15700</v>
      </c>
      <c r="L78" s="16">
        <f t="shared" ref="L78:L89" si="13">J78-K78</f>
        <v>206</v>
      </c>
      <c r="M78" s="16"/>
      <c r="N78" s="17"/>
      <c r="O78" s="18">
        <v>1999</v>
      </c>
      <c r="P78" s="21" t="s">
        <v>36</v>
      </c>
      <c r="Q78" s="41"/>
      <c r="R78" s="41"/>
      <c r="S78" s="41"/>
      <c r="T78" s="16"/>
      <c r="U78" s="16"/>
      <c r="V78" s="16"/>
      <c r="W78" s="16"/>
      <c r="X78" s="69">
        <f>(SUM(X$134:X$149)/16)/(SUM($J$134:$J$149)/16)*MITRE[[#This Row],[Trenes Corridos]]</f>
        <v>5931.132590193758</v>
      </c>
      <c r="Y78" s="16"/>
      <c r="Z78" s="16"/>
      <c r="AA78" s="16"/>
      <c r="AB78" s="17"/>
      <c r="AC78" s="18">
        <v>1999</v>
      </c>
      <c r="AD78" s="21" t="s">
        <v>36</v>
      </c>
      <c r="AE78" s="41"/>
      <c r="AF78" s="41"/>
      <c r="AG78" s="41"/>
      <c r="AH78" s="16"/>
      <c r="AI78" s="16"/>
      <c r="AJ78" s="16"/>
      <c r="AK78" s="16"/>
      <c r="AL78" s="69">
        <f>(SUM(AL$134:AL$149)/16)/(SUM($J$134:$J$149)/16)*MITRE[[#This Row],[Trenes Corridos]]</f>
        <v>4638.214544704183</v>
      </c>
      <c r="AM78" s="16"/>
      <c r="AN78" s="16"/>
      <c r="AO78" s="16"/>
      <c r="AP78" s="17"/>
      <c r="AQ78" s="18">
        <v>1999</v>
      </c>
      <c r="AR78" s="21" t="s">
        <v>36</v>
      </c>
      <c r="AS78" s="41"/>
      <c r="AT78" s="41"/>
      <c r="AU78" s="41"/>
      <c r="AV78" s="16"/>
      <c r="AW78" s="16"/>
      <c r="AX78" s="16"/>
      <c r="AY78" s="16"/>
      <c r="AZ78" s="69">
        <f>(SUM(AZ$134:AZ$149)/16)/(SUM($J$134:$J$149)/16)*MITRE[[#This Row],[Trenes Corridos]]</f>
        <v>3342.7511212367504</v>
      </c>
      <c r="BA78" s="16"/>
      <c r="BB78" s="16"/>
      <c r="BC78" s="16"/>
      <c r="BD78" s="17"/>
      <c r="BE78" s="18">
        <v>1999</v>
      </c>
      <c r="BF78" s="21" t="s">
        <v>36</v>
      </c>
      <c r="BG78" s="41"/>
      <c r="BH78" s="41"/>
      <c r="BI78" s="41"/>
      <c r="BJ78" s="16"/>
      <c r="BK78" s="16"/>
      <c r="BL78" s="16"/>
      <c r="BM78" s="16"/>
      <c r="BN78" s="69">
        <f>(SUM(BN$134:BN$149)/16)/(SUM($J$134:$J$149)/16)*MITRE[[#This Row],[Trenes Corridos]]</f>
        <v>1004.0176450027584</v>
      </c>
      <c r="BO78" s="16"/>
      <c r="BP78" s="16"/>
      <c r="BQ78" s="16"/>
      <c r="BR78" s="17"/>
      <c r="BS78" s="18">
        <v>1999</v>
      </c>
      <c r="BT78" s="21" t="s">
        <v>36</v>
      </c>
      <c r="BU78" s="41"/>
      <c r="BV78" s="41"/>
      <c r="BW78" s="41"/>
      <c r="BX78" s="16"/>
      <c r="BY78" s="16"/>
      <c r="BZ78" s="16"/>
      <c r="CA78" s="16"/>
      <c r="CB78" s="69">
        <f>(SUM(CB$134:CB$149)/16)/(SUM($J$134:$J$149)/16)*MITRE[[#This Row],[Trenes Corridos]]</f>
        <v>989.8840988625501</v>
      </c>
      <c r="CC78" s="16"/>
      <c r="CD78" s="16"/>
      <c r="CI78" s="40"/>
      <c r="CJ78" s="40"/>
      <c r="CK78" s="40"/>
      <c r="CL78" s="40"/>
      <c r="CM78" s="40"/>
    </row>
    <row r="79" spans="1:91" s="18" customFormat="1" ht="15" customHeight="1">
      <c r="A79" s="18">
        <v>1999</v>
      </c>
      <c r="B79" s="21" t="s">
        <v>37</v>
      </c>
      <c r="C79" s="15">
        <f>+MITRE[[#This Row],[Trenes Puntuales]]/MITRE[[#This Row],[Trenes Programados]]</f>
        <v>0.98105035192203571</v>
      </c>
      <c r="D79" s="15">
        <f>+MITRE[[#This Row],[Trenes Puntuales]]/MITRE[[#This Row],[Trenes Corridos]]</f>
        <v>0.98498335258544545</v>
      </c>
      <c r="E79" s="15">
        <f>+MITRE[[#This Row],[Trenes Corridos]]/MITRE[[#This Row],[Trenes Programados]]</f>
        <v>0.9960070384407147</v>
      </c>
      <c r="F79" s="16">
        <f>+Tabla4[[#This Row],[Trenes Programados por Día Hábil]]+Tabla5[[#This Row],[Trenes Programados por Día Hábil]]+Tabla6[[#This Row],[Trenes Programados por Día Hábil]]+MIT_Vic_Cap[[#This Row],[Trenes Programados por Día Hábil]]+Tabla8[[#This Row],[Trenes Programados por Día Hábil]]</f>
        <v>0</v>
      </c>
      <c r="G7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9" s="16">
        <v>14776</v>
      </c>
      <c r="I79" s="16">
        <f t="shared" si="12"/>
        <v>59</v>
      </c>
      <c r="J79" s="16">
        <v>14717</v>
      </c>
      <c r="K79" s="16">
        <v>14496</v>
      </c>
      <c r="L79" s="16">
        <f t="shared" si="13"/>
        <v>221</v>
      </c>
      <c r="M79" s="16"/>
      <c r="N79" s="17"/>
      <c r="O79" s="18">
        <v>1999</v>
      </c>
      <c r="P79" s="21" t="s">
        <v>37</v>
      </c>
      <c r="Q79" s="41"/>
      <c r="R79" s="41"/>
      <c r="S79" s="41"/>
      <c r="T79" s="16"/>
      <c r="U79" s="16"/>
      <c r="V79" s="16"/>
      <c r="W79" s="16"/>
      <c r="X79" s="69">
        <f>(SUM(X$134:X$149)/16)/(SUM($J$134:$J$149)/16)*MITRE[[#This Row],[Trenes Corridos]]</f>
        <v>5487.770547584656</v>
      </c>
      <c r="Y79" s="16"/>
      <c r="Z79" s="16"/>
      <c r="AA79" s="16"/>
      <c r="AB79" s="17"/>
      <c r="AC79" s="18">
        <v>1999</v>
      </c>
      <c r="AD79" s="21" t="s">
        <v>37</v>
      </c>
      <c r="AE79" s="41"/>
      <c r="AF79" s="41"/>
      <c r="AG79" s="41"/>
      <c r="AH79" s="16"/>
      <c r="AI79" s="16"/>
      <c r="AJ79" s="16"/>
      <c r="AK79" s="16"/>
      <c r="AL79" s="69">
        <f>(SUM(AL$134:AL$149)/16)/(SUM($J$134:$J$149)/16)*MITRE[[#This Row],[Trenes Corridos]]</f>
        <v>4291.5002800459861</v>
      </c>
      <c r="AM79" s="16"/>
      <c r="AN79" s="16"/>
      <c r="AO79" s="16"/>
      <c r="AP79" s="17"/>
      <c r="AQ79" s="18">
        <v>1999</v>
      </c>
      <c r="AR79" s="21" t="s">
        <v>37</v>
      </c>
      <c r="AS79" s="41"/>
      <c r="AT79" s="41"/>
      <c r="AU79" s="41"/>
      <c r="AV79" s="16"/>
      <c r="AW79" s="16"/>
      <c r="AX79" s="16"/>
      <c r="AY79" s="16"/>
      <c r="AZ79" s="69">
        <f>(SUM(AZ$134:AZ$149)/16)/(SUM($J$134:$J$149)/16)*MITRE[[#This Row],[Trenes Corridos]]</f>
        <v>3092.8749057740006</v>
      </c>
      <c r="BA79" s="16"/>
      <c r="BB79" s="16"/>
      <c r="BC79" s="16"/>
      <c r="BD79" s="17"/>
      <c r="BE79" s="18">
        <v>1999</v>
      </c>
      <c r="BF79" s="21" t="s">
        <v>37</v>
      </c>
      <c r="BG79" s="41"/>
      <c r="BH79" s="41"/>
      <c r="BI79" s="41"/>
      <c r="BJ79" s="16"/>
      <c r="BK79" s="16"/>
      <c r="BL79" s="16"/>
      <c r="BM79" s="16"/>
      <c r="BN79" s="69">
        <f>(SUM(BN$134:BN$149)/16)/(SUM($J$134:$J$149)/16)*MITRE[[#This Row],[Trenes Corridos]]</f>
        <v>928.96565330727992</v>
      </c>
      <c r="BO79" s="16"/>
      <c r="BP79" s="16"/>
      <c r="BQ79" s="16"/>
      <c r="BR79" s="17"/>
      <c r="BS79" s="18">
        <v>1999</v>
      </c>
      <c r="BT79" s="21" t="s">
        <v>37</v>
      </c>
      <c r="BU79" s="41"/>
      <c r="BV79" s="41"/>
      <c r="BW79" s="41"/>
      <c r="BX79" s="16"/>
      <c r="BY79" s="16"/>
      <c r="BZ79" s="16"/>
      <c r="CA79" s="16"/>
      <c r="CB79" s="69">
        <f>(SUM(CB$134:CB$149)/16)/(SUM($J$134:$J$149)/16)*MITRE[[#This Row],[Trenes Corridos]]</f>
        <v>915.88861328807684</v>
      </c>
      <c r="CC79" s="16"/>
      <c r="CD79" s="16"/>
      <c r="CI79" s="40"/>
      <c r="CJ79" s="40"/>
      <c r="CK79" s="40"/>
      <c r="CL79" s="40"/>
      <c r="CM79" s="40"/>
    </row>
    <row r="80" spans="1:91" s="18" customFormat="1" ht="15" customHeight="1">
      <c r="A80" s="18">
        <v>1999</v>
      </c>
      <c r="B80" s="21" t="s">
        <v>38</v>
      </c>
      <c r="C80" s="15">
        <f>+MITRE[[#This Row],[Trenes Puntuales]]/MITRE[[#This Row],[Trenes Programados]]</f>
        <v>0.98466573731741314</v>
      </c>
      <c r="D80" s="15">
        <f>+MITRE[[#This Row],[Trenes Puntuales]]/MITRE[[#This Row],[Trenes Corridos]]</f>
        <v>0.9863995142683667</v>
      </c>
      <c r="E80" s="15">
        <f>+MITRE[[#This Row],[Trenes Corridos]]/MITRE[[#This Row],[Trenes Programados]]</f>
        <v>0.99824231771622518</v>
      </c>
      <c r="F80" s="16">
        <f>+Tabla4[[#This Row],[Trenes Programados por Día Hábil]]+Tabla5[[#This Row],[Trenes Programados por Día Hábil]]+Tabla6[[#This Row],[Trenes Programados por Día Hábil]]+MIT_Vic_Cap[[#This Row],[Trenes Programados por Día Hábil]]+Tabla8[[#This Row],[Trenes Programados por Día Hábil]]</f>
        <v>0</v>
      </c>
      <c r="G8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0" s="16">
        <v>16499</v>
      </c>
      <c r="I80" s="16">
        <f t="shared" si="12"/>
        <v>29</v>
      </c>
      <c r="J80" s="16">
        <v>16470</v>
      </c>
      <c r="K80" s="16">
        <v>16246</v>
      </c>
      <c r="L80" s="16">
        <f t="shared" si="13"/>
        <v>224</v>
      </c>
      <c r="M80" s="16"/>
      <c r="N80" s="17"/>
      <c r="O80" s="18">
        <v>1999</v>
      </c>
      <c r="P80" s="21" t="s">
        <v>38</v>
      </c>
      <c r="Q80" s="41"/>
      <c r="R80" s="41"/>
      <c r="S80" s="41"/>
      <c r="T80" s="16"/>
      <c r="U80" s="16"/>
      <c r="V80" s="16"/>
      <c r="W80" s="16"/>
      <c r="X80" s="69">
        <f>(SUM(X$134:X$149)/16)/(SUM($J$134:$J$149)/16)*MITRE[[#This Row],[Trenes Corridos]]</f>
        <v>6141.4405733994208</v>
      </c>
      <c r="Y80" s="16"/>
      <c r="Z80" s="16"/>
      <c r="AA80" s="16"/>
      <c r="AB80" s="17"/>
      <c r="AC80" s="18">
        <v>1999</v>
      </c>
      <c r="AD80" s="21" t="s">
        <v>38</v>
      </c>
      <c r="AE80" s="41"/>
      <c r="AF80" s="41"/>
      <c r="AG80" s="41"/>
      <c r="AH80" s="16"/>
      <c r="AI80" s="16"/>
      <c r="AJ80" s="16"/>
      <c r="AK80" s="16"/>
      <c r="AL80" s="69">
        <f>(SUM(AL$134:AL$149)/16)/(SUM($J$134:$J$149)/16)*MITRE[[#This Row],[Trenes Corridos]]</f>
        <v>4802.677829201426</v>
      </c>
      <c r="AM80" s="16"/>
      <c r="AN80" s="16"/>
      <c r="AO80" s="16"/>
      <c r="AP80" s="17"/>
      <c r="AQ80" s="18">
        <v>1999</v>
      </c>
      <c r="AR80" s="21" t="s">
        <v>38</v>
      </c>
      <c r="AS80" s="41"/>
      <c r="AT80" s="41"/>
      <c r="AU80" s="41"/>
      <c r="AV80" s="16"/>
      <c r="AW80" s="16"/>
      <c r="AX80" s="16"/>
      <c r="AY80" s="16"/>
      <c r="AZ80" s="69">
        <f>(SUM(AZ$134:AZ$149)/16)/(SUM($J$134:$J$149)/16)*MITRE[[#This Row],[Trenes Corridos]]</f>
        <v>3461.279452204783</v>
      </c>
      <c r="BA80" s="16"/>
      <c r="BB80" s="16"/>
      <c r="BC80" s="16"/>
      <c r="BD80" s="17"/>
      <c r="BE80" s="18">
        <v>1999</v>
      </c>
      <c r="BF80" s="21" t="s">
        <v>38</v>
      </c>
      <c r="BG80" s="41"/>
      <c r="BH80" s="41"/>
      <c r="BI80" s="41"/>
      <c r="BJ80" s="16"/>
      <c r="BK80" s="16"/>
      <c r="BL80" s="16"/>
      <c r="BM80" s="16"/>
      <c r="BN80" s="69">
        <f>(SUM(BN$134:BN$149)/16)/(SUM($J$134:$J$149)/16)*MITRE[[#This Row],[Trenes Corridos]]</f>
        <v>1039.6184215513285</v>
      </c>
      <c r="BO80" s="16"/>
      <c r="BP80" s="16"/>
      <c r="BQ80" s="16"/>
      <c r="BR80" s="17"/>
      <c r="BS80" s="18">
        <v>1999</v>
      </c>
      <c r="BT80" s="21" t="s">
        <v>38</v>
      </c>
      <c r="BU80" s="41"/>
      <c r="BV80" s="41"/>
      <c r="BW80" s="41"/>
      <c r="BX80" s="16"/>
      <c r="BY80" s="16"/>
      <c r="BZ80" s="16"/>
      <c r="CA80" s="16"/>
      <c r="CB80" s="69">
        <f>(SUM(CB$134:CB$149)/16)/(SUM($J$134:$J$149)/16)*MITRE[[#This Row],[Trenes Corridos]]</f>
        <v>1024.9837236430403</v>
      </c>
      <c r="CC80" s="16"/>
      <c r="CD80" s="16"/>
      <c r="CI80" s="40"/>
      <c r="CJ80" s="40"/>
      <c r="CK80" s="40"/>
      <c r="CL80" s="40"/>
      <c r="CM80" s="40"/>
    </row>
    <row r="81" spans="1:91" s="18" customFormat="1" ht="15" customHeight="1">
      <c r="A81" s="18">
        <v>1999</v>
      </c>
      <c r="B81" s="21" t="s">
        <v>39</v>
      </c>
      <c r="C81" s="15">
        <f>+MITRE[[#This Row],[Trenes Puntuales]]/MITRE[[#This Row],[Trenes Programados]]</f>
        <v>0.98102077455757886</v>
      </c>
      <c r="D81" s="15">
        <f>+MITRE[[#This Row],[Trenes Puntuales]]/MITRE[[#This Row],[Trenes Corridos]]</f>
        <v>0.98310094454796637</v>
      </c>
      <c r="E81" s="15">
        <f>+MITRE[[#This Row],[Trenes Corridos]]/MITRE[[#This Row],[Trenes Programados]]</f>
        <v>0.99788407283918956</v>
      </c>
      <c r="F81" s="16">
        <f>+Tabla4[[#This Row],[Trenes Programados por Día Hábil]]+Tabla5[[#This Row],[Trenes Programados por Día Hábil]]+Tabla6[[#This Row],[Trenes Programados por Día Hábil]]+MIT_Vic_Cap[[#This Row],[Trenes Programados por Día Hábil]]+Tabla8[[#This Row],[Trenes Programados por Día Hábil]]</f>
        <v>0</v>
      </c>
      <c r="G8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1" s="16">
        <v>15596</v>
      </c>
      <c r="I81" s="16">
        <f t="shared" si="12"/>
        <v>33</v>
      </c>
      <c r="J81" s="16">
        <v>15563</v>
      </c>
      <c r="K81" s="16">
        <v>15300</v>
      </c>
      <c r="L81" s="16">
        <f t="shared" si="13"/>
        <v>263</v>
      </c>
      <c r="M81" s="16"/>
      <c r="N81" s="17"/>
      <c r="O81" s="18">
        <v>1999</v>
      </c>
      <c r="P81" s="21" t="s">
        <v>39</v>
      </c>
      <c r="Q81" s="41"/>
      <c r="R81" s="41"/>
      <c r="S81" s="41"/>
      <c r="T81" s="16"/>
      <c r="U81" s="16"/>
      <c r="V81" s="16"/>
      <c r="W81" s="16"/>
      <c r="X81" s="69">
        <f>(SUM(X$134:X$149)/16)/(SUM($J$134:$J$149)/16)*MITRE[[#This Row],[Trenes Corridos]]</f>
        <v>5803.2325223931502</v>
      </c>
      <c r="Y81" s="16"/>
      <c r="Z81" s="16"/>
      <c r="AA81" s="16"/>
      <c r="AB81" s="17"/>
      <c r="AC81" s="18">
        <v>1999</v>
      </c>
      <c r="AD81" s="21" t="s">
        <v>39</v>
      </c>
      <c r="AE81" s="41"/>
      <c r="AF81" s="41"/>
      <c r="AG81" s="41"/>
      <c r="AH81" s="16"/>
      <c r="AI81" s="16"/>
      <c r="AJ81" s="16"/>
      <c r="AK81" s="16"/>
      <c r="AL81" s="69">
        <f>(SUM(AL$134:AL$149)/16)/(SUM($J$134:$J$149)/16)*MITRE[[#This Row],[Trenes Corridos]]</f>
        <v>4538.1952067918519</v>
      </c>
      <c r="AM81" s="16"/>
      <c r="AN81" s="16"/>
      <c r="AO81" s="16"/>
      <c r="AP81" s="17"/>
      <c r="AQ81" s="18">
        <v>1999</v>
      </c>
      <c r="AR81" s="21" t="s">
        <v>39</v>
      </c>
      <c r="AS81" s="41"/>
      <c r="AT81" s="41"/>
      <c r="AU81" s="41"/>
      <c r="AV81" s="16"/>
      <c r="AW81" s="16"/>
      <c r="AX81" s="16"/>
      <c r="AY81" s="16"/>
      <c r="AZ81" s="69">
        <f>(SUM(AZ$134:AZ$149)/16)/(SUM($J$134:$J$149)/16)*MITRE[[#This Row],[Trenes Corridos]]</f>
        <v>3270.6674022260499</v>
      </c>
      <c r="BA81" s="16"/>
      <c r="BB81" s="16"/>
      <c r="BC81" s="16"/>
      <c r="BD81" s="17"/>
      <c r="BE81" s="18">
        <v>1999</v>
      </c>
      <c r="BF81" s="21" t="s">
        <v>39</v>
      </c>
      <c r="BG81" s="41"/>
      <c r="BH81" s="41"/>
      <c r="BI81" s="41"/>
      <c r="BJ81" s="16"/>
      <c r="BK81" s="16"/>
      <c r="BL81" s="16"/>
      <c r="BM81" s="16"/>
      <c r="BN81" s="69">
        <f>(SUM(BN$134:BN$149)/16)/(SUM($J$134:$J$149)/16)*MITRE[[#This Row],[Trenes Corridos]]</f>
        <v>982.36681813013513</v>
      </c>
      <c r="BO81" s="16"/>
      <c r="BP81" s="16"/>
      <c r="BQ81" s="16"/>
      <c r="BR81" s="17"/>
      <c r="BS81" s="18">
        <v>1999</v>
      </c>
      <c r="BT81" s="21" t="s">
        <v>39</v>
      </c>
      <c r="BU81" s="41"/>
      <c r="BV81" s="41"/>
      <c r="BW81" s="41"/>
      <c r="BX81" s="16"/>
      <c r="BY81" s="16"/>
      <c r="BZ81" s="16"/>
      <c r="CA81" s="16"/>
      <c r="CB81" s="69">
        <f>(SUM(CB$134:CB$149)/16)/(SUM($J$134:$J$149)/16)*MITRE[[#This Row],[Trenes Corridos]]</f>
        <v>968.53805045881222</v>
      </c>
      <c r="CC81" s="16"/>
      <c r="CD81" s="16"/>
      <c r="CI81" s="40"/>
      <c r="CJ81" s="40"/>
      <c r="CK81" s="40"/>
      <c r="CL81" s="40"/>
      <c r="CM81" s="40"/>
    </row>
    <row r="82" spans="1:91" s="18" customFormat="1" ht="15" customHeight="1">
      <c r="A82" s="18">
        <v>1999</v>
      </c>
      <c r="B82" s="21" t="s">
        <v>40</v>
      </c>
      <c r="C82" s="15">
        <f>+MITRE[[#This Row],[Trenes Puntuales]]/MITRE[[#This Row],[Trenes Programados]]</f>
        <v>0.96300769084090765</v>
      </c>
      <c r="D82" s="15">
        <f>+MITRE[[#This Row],[Trenes Puntuales]]/MITRE[[#This Row],[Trenes Corridos]]</f>
        <v>0.97283934763066648</v>
      </c>
      <c r="E82" s="15">
        <f>+MITRE[[#This Row],[Trenes Corridos]]/MITRE[[#This Row],[Trenes Programados]]</f>
        <v>0.98989385368334071</v>
      </c>
      <c r="F82" s="16">
        <f>+Tabla4[[#This Row],[Trenes Programados por Día Hábil]]+Tabla5[[#This Row],[Trenes Programados por Día Hábil]]+Tabla6[[#This Row],[Trenes Programados por Día Hábil]]+MIT_Vic_Cap[[#This Row],[Trenes Programados por Día Hábil]]+Tabla8[[#This Row],[Trenes Programados por Día Hábil]]</f>
        <v>0</v>
      </c>
      <c r="G8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2" s="16">
        <v>15733</v>
      </c>
      <c r="I82" s="16">
        <f t="shared" si="12"/>
        <v>159</v>
      </c>
      <c r="J82" s="16">
        <v>15574</v>
      </c>
      <c r="K82" s="16">
        <v>15151</v>
      </c>
      <c r="L82" s="16">
        <f t="shared" si="13"/>
        <v>423</v>
      </c>
      <c r="M82" s="16"/>
      <c r="N82" s="17"/>
      <c r="O82" s="18">
        <v>1999</v>
      </c>
      <c r="P82" s="21" t="s">
        <v>40</v>
      </c>
      <c r="Q82" s="41"/>
      <c r="R82" s="41"/>
      <c r="S82" s="41"/>
      <c r="T82" s="16"/>
      <c r="U82" s="16"/>
      <c r="V82" s="16"/>
      <c r="W82" s="16"/>
      <c r="X82" s="69">
        <f>(SUM(X$134:X$149)/16)/(SUM($J$134:$J$149)/16)*MITRE[[#This Row],[Trenes Corridos]]</f>
        <v>5807.3342738386509</v>
      </c>
      <c r="Y82" s="16"/>
      <c r="Z82" s="16"/>
      <c r="AA82" s="16"/>
      <c r="AB82" s="17"/>
      <c r="AC82" s="18">
        <v>1999</v>
      </c>
      <c r="AD82" s="21" t="s">
        <v>40</v>
      </c>
      <c r="AE82" s="41"/>
      <c r="AF82" s="41"/>
      <c r="AG82" s="41"/>
      <c r="AH82" s="16"/>
      <c r="AI82" s="16"/>
      <c r="AJ82" s="16"/>
      <c r="AK82" s="16"/>
      <c r="AL82" s="69">
        <f>(SUM(AL$134:AL$149)/16)/(SUM($J$134:$J$149)/16)*MITRE[[#This Row],[Trenes Corridos]]</f>
        <v>4541.4028240426842</v>
      </c>
      <c r="AM82" s="16"/>
      <c r="AN82" s="16"/>
      <c r="AO82" s="16"/>
      <c r="AP82" s="17"/>
      <c r="AQ82" s="18">
        <v>1999</v>
      </c>
      <c r="AR82" s="21" t="s">
        <v>40</v>
      </c>
      <c r="AS82" s="41"/>
      <c r="AT82" s="41"/>
      <c r="AU82" s="41"/>
      <c r="AV82" s="16"/>
      <c r="AW82" s="16"/>
      <c r="AX82" s="16"/>
      <c r="AY82" s="16"/>
      <c r="AZ82" s="69">
        <f>(SUM(AZ$134:AZ$149)/16)/(SUM($J$134:$J$149)/16)*MITRE[[#This Row],[Trenes Corridos]]</f>
        <v>3272.9791249931568</v>
      </c>
      <c r="BA82" s="16"/>
      <c r="BB82" s="16"/>
      <c r="BC82" s="16"/>
      <c r="BD82" s="17"/>
      <c r="BE82" s="18">
        <v>1999</v>
      </c>
      <c r="BF82" s="21" t="s">
        <v>40</v>
      </c>
      <c r="BG82" s="41"/>
      <c r="BH82" s="41"/>
      <c r="BI82" s="41"/>
      <c r="BJ82" s="16"/>
      <c r="BK82" s="16"/>
      <c r="BL82" s="16"/>
      <c r="BM82" s="16"/>
      <c r="BN82" s="69">
        <f>(SUM(BN$134:BN$149)/16)/(SUM($J$134:$J$149)/16)*MITRE[[#This Row],[Trenes Corridos]]</f>
        <v>983.06115951672064</v>
      </c>
      <c r="BO82" s="16"/>
      <c r="BP82" s="16"/>
      <c r="BQ82" s="16"/>
      <c r="BR82" s="17"/>
      <c r="BS82" s="18">
        <v>1999</v>
      </c>
      <c r="BT82" s="21" t="s">
        <v>40</v>
      </c>
      <c r="BU82" s="41"/>
      <c r="BV82" s="41"/>
      <c r="BW82" s="41"/>
      <c r="BX82" s="16"/>
      <c r="BY82" s="16"/>
      <c r="BZ82" s="16"/>
      <c r="CA82" s="16"/>
      <c r="CB82" s="69">
        <f>(SUM(CB$134:CB$149)/16)/(SUM($J$134:$J$149)/16)*MITRE[[#This Row],[Trenes Corridos]]</f>
        <v>969.22261760878632</v>
      </c>
      <c r="CC82" s="16"/>
      <c r="CD82" s="16"/>
      <c r="CI82" s="40"/>
      <c r="CJ82" s="40"/>
      <c r="CK82" s="40"/>
      <c r="CL82" s="40"/>
      <c r="CM82" s="40"/>
    </row>
    <row r="83" spans="1:91" s="18" customFormat="1" ht="15" customHeight="1">
      <c r="A83" s="18">
        <v>1999</v>
      </c>
      <c r="B83" s="21" t="s">
        <v>41</v>
      </c>
      <c r="C83" s="15">
        <f>+MITRE[[#This Row],[Trenes Puntuales]]/MITRE[[#This Row],[Trenes Programados]]</f>
        <v>0.96666666666666667</v>
      </c>
      <c r="D83" s="15">
        <f>+MITRE[[#This Row],[Trenes Puntuales]]/MITRE[[#This Row],[Trenes Corridos]]</f>
        <v>0.97012691181256105</v>
      </c>
      <c r="E83" s="15">
        <f>+MITRE[[#This Row],[Trenes Corridos]]/MITRE[[#This Row],[Trenes Programados]]</f>
        <v>0.99643320363164722</v>
      </c>
      <c r="F83" s="16">
        <f>+Tabla4[[#This Row],[Trenes Programados por Día Hábil]]+Tabla5[[#This Row],[Trenes Programados por Día Hábil]]+Tabla6[[#This Row],[Trenes Programados por Día Hábil]]+MIT_Vic_Cap[[#This Row],[Trenes Programados por Día Hábil]]+Tabla8[[#This Row],[Trenes Programados por Día Hábil]]</f>
        <v>0</v>
      </c>
      <c r="G8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3" s="16">
        <v>15420</v>
      </c>
      <c r="I83" s="16">
        <f t="shared" si="12"/>
        <v>55</v>
      </c>
      <c r="J83" s="16">
        <v>15365</v>
      </c>
      <c r="K83" s="16">
        <v>14906</v>
      </c>
      <c r="L83" s="16">
        <f t="shared" si="13"/>
        <v>459</v>
      </c>
      <c r="M83" s="16"/>
      <c r="N83" s="17"/>
      <c r="O83" s="18">
        <v>1999</v>
      </c>
      <c r="P83" s="21" t="s">
        <v>41</v>
      </c>
      <c r="Q83" s="41"/>
      <c r="R83" s="41"/>
      <c r="S83" s="41"/>
      <c r="T83" s="16"/>
      <c r="U83" s="16"/>
      <c r="V83" s="16"/>
      <c r="W83" s="16"/>
      <c r="X83" s="69">
        <f>(SUM(X$134:X$149)/16)/(SUM($J$134:$J$149)/16)*MITRE[[#This Row],[Trenes Corridos]]</f>
        <v>5729.400996374141</v>
      </c>
      <c r="Y83" s="16"/>
      <c r="Z83" s="16"/>
      <c r="AA83" s="16"/>
      <c r="AB83" s="17"/>
      <c r="AC83" s="18">
        <v>1999</v>
      </c>
      <c r="AD83" s="21" t="s">
        <v>41</v>
      </c>
      <c r="AE83" s="41"/>
      <c r="AF83" s="41"/>
      <c r="AG83" s="41"/>
      <c r="AH83" s="16"/>
      <c r="AI83" s="16"/>
      <c r="AJ83" s="16"/>
      <c r="AK83" s="16"/>
      <c r="AL83" s="69">
        <f>(SUM(AL$134:AL$149)/16)/(SUM($J$134:$J$149)/16)*MITRE[[#This Row],[Trenes Corridos]]</f>
        <v>4480.4580962768623</v>
      </c>
      <c r="AM83" s="16"/>
      <c r="AN83" s="16"/>
      <c r="AO83" s="16"/>
      <c r="AP83" s="17"/>
      <c r="AQ83" s="18">
        <v>1999</v>
      </c>
      <c r="AR83" s="21" t="s">
        <v>41</v>
      </c>
      <c r="AS83" s="41"/>
      <c r="AT83" s="41"/>
      <c r="AU83" s="41"/>
      <c r="AV83" s="16"/>
      <c r="AW83" s="16"/>
      <c r="AX83" s="16"/>
      <c r="AY83" s="16"/>
      <c r="AZ83" s="69">
        <f>(SUM(AZ$134:AZ$149)/16)/(SUM($J$134:$J$149)/16)*MITRE[[#This Row],[Trenes Corridos]]</f>
        <v>3229.0563924181233</v>
      </c>
      <c r="BA83" s="16"/>
      <c r="BB83" s="16"/>
      <c r="BC83" s="16"/>
      <c r="BD83" s="17"/>
      <c r="BE83" s="18">
        <v>1999</v>
      </c>
      <c r="BF83" s="21" t="s">
        <v>41</v>
      </c>
      <c r="BG83" s="41"/>
      <c r="BH83" s="41"/>
      <c r="BI83" s="41"/>
      <c r="BJ83" s="16"/>
      <c r="BK83" s="16"/>
      <c r="BL83" s="16"/>
      <c r="BM83" s="16"/>
      <c r="BN83" s="69">
        <f>(SUM(BN$134:BN$149)/16)/(SUM($J$134:$J$149)/16)*MITRE[[#This Row],[Trenes Corridos]]</f>
        <v>969.86867317159454</v>
      </c>
      <c r="BO83" s="16"/>
      <c r="BP83" s="16"/>
      <c r="BQ83" s="16"/>
      <c r="BR83" s="17"/>
      <c r="BS83" s="18">
        <v>1999</v>
      </c>
      <c r="BT83" s="21" t="s">
        <v>41</v>
      </c>
      <c r="BU83" s="41"/>
      <c r="BV83" s="41"/>
      <c r="BW83" s="41"/>
      <c r="BX83" s="16"/>
      <c r="BY83" s="16"/>
      <c r="BZ83" s="16"/>
      <c r="CA83" s="16"/>
      <c r="CB83" s="69">
        <f>(SUM(CB$134:CB$149)/16)/(SUM($J$134:$J$149)/16)*MITRE[[#This Row],[Trenes Corridos]]</f>
        <v>956.21584175927842</v>
      </c>
      <c r="CC83" s="16"/>
      <c r="CD83" s="16"/>
      <c r="CI83" s="40"/>
      <c r="CJ83" s="40"/>
      <c r="CK83" s="40"/>
      <c r="CL83" s="40"/>
      <c r="CM83" s="40"/>
    </row>
    <row r="84" spans="1:91" s="18" customFormat="1" ht="15" customHeight="1">
      <c r="A84" s="18">
        <v>1999</v>
      </c>
      <c r="B84" s="21" t="s">
        <v>42</v>
      </c>
      <c r="C84" s="15">
        <f>+MITRE[[#This Row],[Trenes Puntuales]]/MITRE[[#This Row],[Trenes Programados]]</f>
        <v>0.96795189685097938</v>
      </c>
      <c r="D84" s="15">
        <f>+MITRE[[#This Row],[Trenes Puntuales]]/MITRE[[#This Row],[Trenes Corridos]]</f>
        <v>0.97162591002426735</v>
      </c>
      <c r="E84" s="15">
        <f>+MITRE[[#This Row],[Trenes Corridos]]/MITRE[[#This Row],[Trenes Programados]]</f>
        <v>0.99621869575998012</v>
      </c>
      <c r="F84" s="16">
        <f>+Tabla4[[#This Row],[Trenes Programados por Día Hábil]]+Tabla5[[#This Row],[Trenes Programados por Día Hábil]]+Tabla6[[#This Row],[Trenes Programados por Día Hábil]]+MIT_Vic_Cap[[#This Row],[Trenes Programados por Día Hábil]]+Tabla8[[#This Row],[Trenes Programados por Día Hábil]]</f>
        <v>0</v>
      </c>
      <c r="G8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4" s="16">
        <v>16132</v>
      </c>
      <c r="I84" s="16">
        <f t="shared" si="12"/>
        <v>61</v>
      </c>
      <c r="J84" s="16">
        <v>16071</v>
      </c>
      <c r="K84" s="16">
        <v>15615</v>
      </c>
      <c r="L84" s="16">
        <f t="shared" si="13"/>
        <v>456</v>
      </c>
      <c r="M84" s="16"/>
      <c r="N84" s="17"/>
      <c r="O84" s="18">
        <v>1999</v>
      </c>
      <c r="P84" s="21" t="s">
        <v>42</v>
      </c>
      <c r="Q84" s="41"/>
      <c r="R84" s="41"/>
      <c r="S84" s="41"/>
      <c r="T84" s="16"/>
      <c r="U84" s="16"/>
      <c r="V84" s="16"/>
      <c r="W84" s="16"/>
      <c r="X84" s="69">
        <f>(SUM(X$134:X$149)/16)/(SUM($J$134:$J$149)/16)*MITRE[[#This Row],[Trenes Corridos]]</f>
        <v>5992.6588618762662</v>
      </c>
      <c r="Y84" s="16"/>
      <c r="Z84" s="16"/>
      <c r="AA84" s="16"/>
      <c r="AB84" s="17"/>
      <c r="AC84" s="18">
        <v>1999</v>
      </c>
      <c r="AD84" s="21" t="s">
        <v>42</v>
      </c>
      <c r="AE84" s="41"/>
      <c r="AF84" s="41"/>
      <c r="AG84" s="41"/>
      <c r="AH84" s="16"/>
      <c r="AI84" s="16"/>
      <c r="AJ84" s="16"/>
      <c r="AK84" s="16"/>
      <c r="AL84" s="69">
        <f>(SUM(AL$134:AL$149)/16)/(SUM($J$134:$J$149)/16)*MITRE[[#This Row],[Trenes Corridos]]</f>
        <v>4686.3288034666739</v>
      </c>
      <c r="AM84" s="16"/>
      <c r="AN84" s="16"/>
      <c r="AO84" s="16"/>
      <c r="AP84" s="17"/>
      <c r="AQ84" s="18">
        <v>1999</v>
      </c>
      <c r="AR84" s="21" t="s">
        <v>42</v>
      </c>
      <c r="AS84" s="41"/>
      <c r="AT84" s="41"/>
      <c r="AU84" s="41"/>
      <c r="AV84" s="16"/>
      <c r="AW84" s="16"/>
      <c r="AX84" s="16"/>
      <c r="AY84" s="16"/>
      <c r="AZ84" s="69">
        <f>(SUM(AZ$134:AZ$149)/16)/(SUM($J$134:$J$149)/16)*MITRE[[#This Row],[Trenes Corridos]]</f>
        <v>3377.4269627433555</v>
      </c>
      <c r="BA84" s="16"/>
      <c r="BB84" s="16"/>
      <c r="BC84" s="16"/>
      <c r="BD84" s="17"/>
      <c r="BE84" s="18">
        <v>1999</v>
      </c>
      <c r="BF84" s="21" t="s">
        <v>42</v>
      </c>
      <c r="BG84" s="41"/>
      <c r="BH84" s="41"/>
      <c r="BI84" s="41"/>
      <c r="BJ84" s="16"/>
      <c r="BK84" s="16"/>
      <c r="BL84" s="16"/>
      <c r="BM84" s="16"/>
      <c r="BN84" s="69">
        <f>(SUM(BN$134:BN$149)/16)/(SUM($J$134:$J$149)/16)*MITRE[[#This Row],[Trenes Corridos]]</f>
        <v>1014.4327658015421</v>
      </c>
      <c r="BO84" s="16"/>
      <c r="BP84" s="16"/>
      <c r="BQ84" s="16"/>
      <c r="BR84" s="17"/>
      <c r="BS84" s="18">
        <v>1999</v>
      </c>
      <c r="BT84" s="21" t="s">
        <v>42</v>
      </c>
      <c r="BU84" s="41"/>
      <c r="BV84" s="41"/>
      <c r="BW84" s="41"/>
      <c r="BX84" s="16"/>
      <c r="BY84" s="16"/>
      <c r="BZ84" s="16"/>
      <c r="CA84" s="16"/>
      <c r="CB84" s="69">
        <f>(SUM(CB$134:CB$149)/16)/(SUM($J$134:$J$149)/16)*MITRE[[#This Row],[Trenes Corridos]]</f>
        <v>1000.1526061121616</v>
      </c>
      <c r="CC84" s="16"/>
      <c r="CD84" s="16"/>
      <c r="CI84" s="40"/>
      <c r="CJ84" s="40"/>
      <c r="CK84" s="40"/>
      <c r="CL84" s="40"/>
      <c r="CM84" s="40"/>
    </row>
    <row r="85" spans="1:91" s="18" customFormat="1" ht="15" customHeight="1">
      <c r="A85" s="18">
        <v>1999</v>
      </c>
      <c r="B85" s="21" t="s">
        <v>43</v>
      </c>
      <c r="C85" s="15">
        <f>+MITRE[[#This Row],[Trenes Puntuales]]/MITRE[[#This Row],[Trenes Programados]]</f>
        <v>0.97640062597809074</v>
      </c>
      <c r="D85" s="15">
        <f>+MITRE[[#This Row],[Trenes Puntuales]]/MITRE[[#This Row],[Trenes Corridos]]</f>
        <v>0.97701221421860318</v>
      </c>
      <c r="E85" s="15">
        <f>+MITRE[[#This Row],[Trenes Corridos]]/MITRE[[#This Row],[Trenes Programados]]</f>
        <v>0.99937402190923319</v>
      </c>
      <c r="F85" s="16">
        <f>+Tabla4[[#This Row],[Trenes Programados por Día Hábil]]+Tabla5[[#This Row],[Trenes Programados por Día Hábil]]+Tabla6[[#This Row],[Trenes Programados por Día Hábil]]+MIT_Vic_Cap[[#This Row],[Trenes Programados por Día Hábil]]+Tabla8[[#This Row],[Trenes Programados por Día Hábil]]</f>
        <v>0</v>
      </c>
      <c r="G8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5" s="16">
        <v>15975</v>
      </c>
      <c r="I85" s="16">
        <f t="shared" si="12"/>
        <v>10</v>
      </c>
      <c r="J85" s="16">
        <v>15965</v>
      </c>
      <c r="K85" s="16">
        <v>15598</v>
      </c>
      <c r="L85" s="16">
        <f t="shared" si="13"/>
        <v>367</v>
      </c>
      <c r="M85" s="16"/>
      <c r="N85" s="17"/>
      <c r="O85" s="18">
        <v>1999</v>
      </c>
      <c r="P85" s="21" t="s">
        <v>43</v>
      </c>
      <c r="Q85" s="41"/>
      <c r="R85" s="41"/>
      <c r="S85" s="41"/>
      <c r="T85" s="16"/>
      <c r="U85" s="16"/>
      <c r="V85" s="16"/>
      <c r="W85" s="16"/>
      <c r="X85" s="69">
        <f>(SUM(X$134:X$149)/16)/(SUM($J$134:$J$149)/16)*MITRE[[#This Row],[Trenes Corridos]]</f>
        <v>5953.1328934014427</v>
      </c>
      <c r="Y85" s="16"/>
      <c r="Z85" s="16"/>
      <c r="AA85" s="16"/>
      <c r="AB85" s="17"/>
      <c r="AC85" s="18">
        <v>1999</v>
      </c>
      <c r="AD85" s="21" t="s">
        <v>43</v>
      </c>
      <c r="AE85" s="41"/>
      <c r="AF85" s="41"/>
      <c r="AG85" s="41"/>
      <c r="AH85" s="16"/>
      <c r="AI85" s="16"/>
      <c r="AJ85" s="16"/>
      <c r="AK85" s="16"/>
      <c r="AL85" s="69">
        <f>(SUM(AL$134:AL$149)/16)/(SUM($J$134:$J$149)/16)*MITRE[[#This Row],[Trenes Corridos]]</f>
        <v>4655.4190372313769</v>
      </c>
      <c r="AM85" s="16"/>
      <c r="AN85" s="16"/>
      <c r="AO85" s="16"/>
      <c r="AP85" s="17"/>
      <c r="AQ85" s="18">
        <v>1999</v>
      </c>
      <c r="AR85" s="21" t="s">
        <v>43</v>
      </c>
      <c r="AS85" s="41"/>
      <c r="AT85" s="41"/>
      <c r="AU85" s="41"/>
      <c r="AV85" s="16"/>
      <c r="AW85" s="16"/>
      <c r="AX85" s="16"/>
      <c r="AY85" s="16"/>
      <c r="AZ85" s="69">
        <f>(SUM(AZ$134:AZ$149)/16)/(SUM($J$134:$J$149)/16)*MITRE[[#This Row],[Trenes Corridos]]</f>
        <v>3355.1503615330516</v>
      </c>
      <c r="BA85" s="16"/>
      <c r="BB85" s="16"/>
      <c r="BC85" s="16"/>
      <c r="BD85" s="17"/>
      <c r="BE85" s="18">
        <v>1999</v>
      </c>
      <c r="BF85" s="21" t="s">
        <v>43</v>
      </c>
      <c r="BG85" s="41"/>
      <c r="BH85" s="41"/>
      <c r="BI85" s="41"/>
      <c r="BJ85" s="16"/>
      <c r="BK85" s="16"/>
      <c r="BL85" s="16"/>
      <c r="BM85" s="16"/>
      <c r="BN85" s="69">
        <f>(SUM(BN$134:BN$149)/16)/(SUM($J$134:$J$149)/16)*MITRE[[#This Row],[Trenes Corridos]]</f>
        <v>1007.7418397126265</v>
      </c>
      <c r="BO85" s="16"/>
      <c r="BP85" s="16"/>
      <c r="BQ85" s="16"/>
      <c r="BR85" s="17"/>
      <c r="BS85" s="18">
        <v>1999</v>
      </c>
      <c r="BT85" s="21" t="s">
        <v>43</v>
      </c>
      <c r="BU85" s="41"/>
      <c r="BV85" s="41"/>
      <c r="BW85" s="41"/>
      <c r="BX85" s="16"/>
      <c r="BY85" s="16"/>
      <c r="BZ85" s="16"/>
      <c r="CA85" s="16"/>
      <c r="CB85" s="69">
        <f>(SUM(CB$134:CB$149)/16)/(SUM($J$134:$J$149)/16)*MITRE[[#This Row],[Trenes Corridos]]</f>
        <v>993.55586812150204</v>
      </c>
      <c r="CC85" s="16"/>
      <c r="CD85" s="16"/>
      <c r="CI85" s="40"/>
      <c r="CJ85" s="40"/>
      <c r="CK85" s="40"/>
      <c r="CL85" s="40"/>
      <c r="CM85" s="40"/>
    </row>
    <row r="86" spans="1:91" s="18" customFormat="1" ht="15" customHeight="1">
      <c r="A86" s="18">
        <v>1999</v>
      </c>
      <c r="B86" s="21" t="s">
        <v>44</v>
      </c>
      <c r="C86" s="15">
        <f>+MITRE[[#This Row],[Trenes Puntuales]]/MITRE[[#This Row],[Trenes Programados]]</f>
        <v>0.97530553105707452</v>
      </c>
      <c r="D86" s="15">
        <f>+MITRE[[#This Row],[Trenes Puntuales]]/MITRE[[#This Row],[Trenes Corridos]]</f>
        <v>0.98285931945149818</v>
      </c>
      <c r="E86" s="15">
        <f>+MITRE[[#This Row],[Trenes Corridos]]/MITRE[[#This Row],[Trenes Programados]]</f>
        <v>0.99231447650245685</v>
      </c>
      <c r="F86" s="16">
        <f>+Tabla4[[#This Row],[Trenes Programados por Día Hábil]]+Tabla5[[#This Row],[Trenes Programados por Día Hábil]]+Tabla6[[#This Row],[Trenes Programados por Día Hábil]]+MIT_Vic_Cap[[#This Row],[Trenes Programados por Día Hábil]]+Tabla8[[#This Row],[Trenes Programados por Día Hábil]]</f>
        <v>0</v>
      </c>
      <c r="G8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6" s="16">
        <v>15874</v>
      </c>
      <c r="I86" s="16">
        <f t="shared" si="12"/>
        <v>122</v>
      </c>
      <c r="J86" s="16">
        <v>15752</v>
      </c>
      <c r="K86" s="16">
        <v>15482</v>
      </c>
      <c r="L86" s="16">
        <f t="shared" si="13"/>
        <v>270</v>
      </c>
      <c r="M86" s="16"/>
      <c r="N86" s="17"/>
      <c r="O86" s="18">
        <v>1999</v>
      </c>
      <c r="P86" s="21" t="s">
        <v>44</v>
      </c>
      <c r="Q86" s="41"/>
      <c r="R86" s="41"/>
      <c r="S86" s="41"/>
      <c r="T86" s="16"/>
      <c r="U86" s="16"/>
      <c r="V86" s="16"/>
      <c r="W86" s="16"/>
      <c r="X86" s="69">
        <f>(SUM(X$134:X$149)/16)/(SUM($J$134:$J$149)/16)*MITRE[[#This Row],[Trenes Corridos]]</f>
        <v>5873.7080699567505</v>
      </c>
      <c r="Y86" s="16"/>
      <c r="Z86" s="16"/>
      <c r="AA86" s="16"/>
      <c r="AB86" s="17"/>
      <c r="AC86" s="18">
        <v>1999</v>
      </c>
      <c r="AD86" s="21" t="s">
        <v>44</v>
      </c>
      <c r="AE86" s="41"/>
      <c r="AF86" s="41"/>
      <c r="AG86" s="41"/>
      <c r="AH86" s="16"/>
      <c r="AI86" s="16"/>
      <c r="AJ86" s="16"/>
      <c r="AK86" s="16"/>
      <c r="AL86" s="69">
        <f>(SUM(AL$134:AL$149)/16)/(SUM($J$134:$J$149)/16)*MITRE[[#This Row],[Trenes Corridos]]</f>
        <v>4593.3079031925236</v>
      </c>
      <c r="AM86" s="16"/>
      <c r="AN86" s="16"/>
      <c r="AO86" s="16"/>
      <c r="AP86" s="17"/>
      <c r="AQ86" s="18">
        <v>1999</v>
      </c>
      <c r="AR86" s="21" t="s">
        <v>44</v>
      </c>
      <c r="AS86" s="41"/>
      <c r="AT86" s="41"/>
      <c r="AU86" s="41"/>
      <c r="AV86" s="16"/>
      <c r="AW86" s="16"/>
      <c r="AX86" s="16"/>
      <c r="AY86" s="16"/>
      <c r="AZ86" s="69">
        <f>(SUM(AZ$134:AZ$149)/16)/(SUM($J$134:$J$149)/16)*MITRE[[#This Row],[Trenes Corridos]]</f>
        <v>3310.3870024972521</v>
      </c>
      <c r="BA86" s="16"/>
      <c r="BB86" s="16"/>
      <c r="BC86" s="16"/>
      <c r="BD86" s="17"/>
      <c r="BE86" s="18">
        <v>1999</v>
      </c>
      <c r="BF86" s="21" t="s">
        <v>44</v>
      </c>
      <c r="BG86" s="41"/>
      <c r="BH86" s="41"/>
      <c r="BI86" s="41"/>
      <c r="BJ86" s="16"/>
      <c r="BK86" s="16"/>
      <c r="BL86" s="16"/>
      <c r="BM86" s="16"/>
      <c r="BN86" s="69">
        <f>(SUM(BN$134:BN$149)/16)/(SUM($J$134:$J$149)/16)*MITRE[[#This Row],[Trenes Corridos]]</f>
        <v>994.29686559056017</v>
      </c>
      <c r="BO86" s="16"/>
      <c r="BP86" s="16"/>
      <c r="BQ86" s="16"/>
      <c r="BR86" s="17"/>
      <c r="BS86" s="18">
        <v>1999</v>
      </c>
      <c r="BT86" s="21" t="s">
        <v>44</v>
      </c>
      <c r="BU86" s="41"/>
      <c r="BV86" s="41"/>
      <c r="BW86" s="41"/>
      <c r="BX86" s="16"/>
      <c r="BY86" s="16"/>
      <c r="BZ86" s="16"/>
      <c r="CA86" s="16"/>
      <c r="CB86" s="69">
        <f>(SUM(CB$134:CB$149)/16)/(SUM($J$134:$J$149)/16)*MITRE[[#This Row],[Trenes Corridos]]</f>
        <v>980.3001587629127</v>
      </c>
      <c r="CC86" s="16"/>
      <c r="CD86" s="16"/>
      <c r="CI86" s="40"/>
      <c r="CJ86" s="40"/>
      <c r="CK86" s="40"/>
      <c r="CL86" s="40"/>
      <c r="CM86" s="40"/>
    </row>
    <row r="87" spans="1:91" s="18" customFormat="1" ht="15" customHeight="1">
      <c r="A87" s="18">
        <v>1999</v>
      </c>
      <c r="B87" s="21" t="s">
        <v>45</v>
      </c>
      <c r="C87" s="15">
        <f>+MITRE[[#This Row],[Trenes Puntuales]]/MITRE[[#This Row],[Trenes Programados]]</f>
        <v>0.97815686768223598</v>
      </c>
      <c r="D87" s="15">
        <f>+MITRE[[#This Row],[Trenes Puntuales]]/MITRE[[#This Row],[Trenes Corridos]]</f>
        <v>0.98099747474747478</v>
      </c>
      <c r="E87" s="15">
        <f>+MITRE[[#This Row],[Trenes Corridos]]/MITRE[[#This Row],[Trenes Programados]]</f>
        <v>0.99710436862646357</v>
      </c>
      <c r="F87" s="16">
        <f>+Tabla4[[#This Row],[Trenes Programados por Día Hábil]]+Tabla5[[#This Row],[Trenes Programados por Día Hábil]]+Tabla6[[#This Row],[Trenes Programados por Día Hábil]]+MIT_Vic_Cap[[#This Row],[Trenes Programados por Día Hábil]]+Tabla8[[#This Row],[Trenes Programados por Día Hábil]]</f>
        <v>0</v>
      </c>
      <c r="G8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7" s="16">
        <v>15886</v>
      </c>
      <c r="I87" s="16">
        <f t="shared" si="12"/>
        <v>46</v>
      </c>
      <c r="J87" s="16">
        <v>15840</v>
      </c>
      <c r="K87" s="16">
        <v>15539</v>
      </c>
      <c r="L87" s="16">
        <f t="shared" si="13"/>
        <v>301</v>
      </c>
      <c r="M87" s="16"/>
      <c r="N87" s="17"/>
      <c r="O87" s="18">
        <v>1999</v>
      </c>
      <c r="P87" s="21" t="s">
        <v>45</v>
      </c>
      <c r="Q87" s="41"/>
      <c r="R87" s="41"/>
      <c r="S87" s="41"/>
      <c r="T87" s="16"/>
      <c r="U87" s="16"/>
      <c r="V87" s="16"/>
      <c r="W87" s="16"/>
      <c r="X87" s="69">
        <f>(SUM(X$134:X$149)/16)/(SUM($J$134:$J$149)/16)*MITRE[[#This Row],[Trenes Corridos]]</f>
        <v>5906.5220815207549</v>
      </c>
      <c r="Y87" s="16"/>
      <c r="Z87" s="16"/>
      <c r="AA87" s="16"/>
      <c r="AB87" s="17"/>
      <c r="AC87" s="18">
        <v>1999</v>
      </c>
      <c r="AD87" s="21" t="s">
        <v>45</v>
      </c>
      <c r="AE87" s="41"/>
      <c r="AF87" s="41"/>
      <c r="AG87" s="41"/>
      <c r="AH87" s="16"/>
      <c r="AI87" s="16"/>
      <c r="AJ87" s="16"/>
      <c r="AK87" s="16"/>
      <c r="AL87" s="69">
        <f>(SUM(AL$134:AL$149)/16)/(SUM($J$134:$J$149)/16)*MITRE[[#This Row],[Trenes Corridos]]</f>
        <v>4618.9688411991856</v>
      </c>
      <c r="AM87" s="16"/>
      <c r="AN87" s="16"/>
      <c r="AO87" s="16"/>
      <c r="AP87" s="17"/>
      <c r="AQ87" s="18">
        <v>1999</v>
      </c>
      <c r="AR87" s="21" t="s">
        <v>45</v>
      </c>
      <c r="AS87" s="41"/>
      <c r="AT87" s="41"/>
      <c r="AU87" s="41"/>
      <c r="AV87" s="16"/>
      <c r="AW87" s="16"/>
      <c r="AX87" s="16"/>
      <c r="AY87" s="16"/>
      <c r="AZ87" s="69">
        <f>(SUM(AZ$134:AZ$149)/16)/(SUM($J$134:$J$149)/16)*MITRE[[#This Row],[Trenes Corridos]]</f>
        <v>3328.8807846341083</v>
      </c>
      <c r="BA87" s="16"/>
      <c r="BB87" s="16"/>
      <c r="BC87" s="16"/>
      <c r="BD87" s="17"/>
      <c r="BE87" s="18">
        <v>1999</v>
      </c>
      <c r="BF87" s="21" t="s">
        <v>45</v>
      </c>
      <c r="BG87" s="41"/>
      <c r="BH87" s="41"/>
      <c r="BI87" s="41"/>
      <c r="BJ87" s="16"/>
      <c r="BK87" s="16"/>
      <c r="BL87" s="16"/>
      <c r="BM87" s="16"/>
      <c r="BN87" s="69">
        <f>(SUM(BN$134:BN$149)/16)/(SUM($J$134:$J$149)/16)*MITRE[[#This Row],[Trenes Corridos]]</f>
        <v>999.85159668324491</v>
      </c>
      <c r="BO87" s="16"/>
      <c r="BP87" s="16"/>
      <c r="BQ87" s="16"/>
      <c r="BR87" s="17"/>
      <c r="BS87" s="18">
        <v>1999</v>
      </c>
      <c r="BT87" s="21" t="s">
        <v>45</v>
      </c>
      <c r="BU87" s="41"/>
      <c r="BV87" s="41"/>
      <c r="BW87" s="41"/>
      <c r="BX87" s="16"/>
      <c r="BY87" s="16"/>
      <c r="BZ87" s="16"/>
      <c r="CA87" s="16"/>
      <c r="CB87" s="69">
        <f>(SUM(CB$134:CB$149)/16)/(SUM($J$134:$J$149)/16)*MITRE[[#This Row],[Trenes Corridos]]</f>
        <v>985.7766959627055</v>
      </c>
      <c r="CC87" s="16"/>
      <c r="CD87" s="16"/>
      <c r="CI87" s="40"/>
      <c r="CJ87" s="40"/>
      <c r="CK87" s="40"/>
      <c r="CL87" s="40"/>
      <c r="CM87" s="40"/>
    </row>
    <row r="88" spans="1:91" s="18" customFormat="1" ht="15" customHeight="1">
      <c r="A88" s="18">
        <v>1999</v>
      </c>
      <c r="B88" s="21" t="s">
        <v>46</v>
      </c>
      <c r="C88" s="15">
        <f>+MITRE[[#This Row],[Trenes Puntuales]]/MITRE[[#This Row],[Trenes Programados]]</f>
        <v>0.973664314516129</v>
      </c>
      <c r="D88" s="15">
        <f>+MITRE[[#This Row],[Trenes Puntuales]]/MITRE[[#This Row],[Trenes Corridos]]</f>
        <v>0.98002409791362799</v>
      </c>
      <c r="E88" s="15">
        <f>+MITRE[[#This Row],[Trenes Corridos]]/MITRE[[#This Row],[Trenes Programados]]</f>
        <v>0.99351058467741937</v>
      </c>
      <c r="F88" s="16">
        <f>+Tabla4[[#This Row],[Trenes Programados por Día Hábil]]+Tabla5[[#This Row],[Trenes Programados por Día Hábil]]+Tabla6[[#This Row],[Trenes Programados por Día Hábil]]+MIT_Vic_Cap[[#This Row],[Trenes Programados por Día Hábil]]+Tabla8[[#This Row],[Trenes Programados por Día Hábil]]</f>
        <v>0</v>
      </c>
      <c r="G8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8" s="16">
        <v>15872</v>
      </c>
      <c r="I88" s="16">
        <f t="shared" si="12"/>
        <v>103</v>
      </c>
      <c r="J88" s="16">
        <v>15769</v>
      </c>
      <c r="K88" s="16">
        <v>15454</v>
      </c>
      <c r="L88" s="16">
        <f t="shared" si="13"/>
        <v>315</v>
      </c>
      <c r="M88" s="16"/>
      <c r="N88" s="17"/>
      <c r="O88" s="18">
        <v>1999</v>
      </c>
      <c r="P88" s="21" t="s">
        <v>46</v>
      </c>
      <c r="Q88" s="41"/>
      <c r="R88" s="41"/>
      <c r="S88" s="41"/>
      <c r="T88" s="16"/>
      <c r="U88" s="16"/>
      <c r="V88" s="16"/>
      <c r="W88" s="16"/>
      <c r="X88" s="69">
        <f>(SUM(X$134:X$149)/16)/(SUM($J$134:$J$149)/16)*MITRE[[#This Row],[Trenes Corridos]]</f>
        <v>5880.0471403725242</v>
      </c>
      <c r="Y88" s="16"/>
      <c r="Z88" s="16"/>
      <c r="AA88" s="16"/>
      <c r="AB88" s="17"/>
      <c r="AC88" s="18">
        <v>1999</v>
      </c>
      <c r="AD88" s="21" t="s">
        <v>46</v>
      </c>
      <c r="AE88" s="41"/>
      <c r="AF88" s="41"/>
      <c r="AG88" s="41"/>
      <c r="AH88" s="16"/>
      <c r="AI88" s="16"/>
      <c r="AJ88" s="16"/>
      <c r="AK88" s="16"/>
      <c r="AL88" s="69">
        <f>(SUM(AL$134:AL$149)/16)/(SUM($J$134:$J$149)/16)*MITRE[[#This Row],[Trenes Corridos]]</f>
        <v>4598.2651298529017</v>
      </c>
      <c r="AM88" s="16"/>
      <c r="AN88" s="16"/>
      <c r="AO88" s="16"/>
      <c r="AP88" s="17"/>
      <c r="AQ88" s="18">
        <v>1999</v>
      </c>
      <c r="AR88" s="21" t="s">
        <v>46</v>
      </c>
      <c r="AS88" s="41"/>
      <c r="AT88" s="41"/>
      <c r="AU88" s="41"/>
      <c r="AV88" s="16"/>
      <c r="AW88" s="16"/>
      <c r="AX88" s="16"/>
      <c r="AY88" s="16"/>
      <c r="AZ88" s="69">
        <f>(SUM(AZ$134:AZ$149)/16)/(SUM($J$134:$J$149)/16)*MITRE[[#This Row],[Trenes Corridos]]</f>
        <v>3313.9596649555083</v>
      </c>
      <c r="BA88" s="16"/>
      <c r="BB88" s="16"/>
      <c r="BC88" s="16"/>
      <c r="BD88" s="17"/>
      <c r="BE88" s="18">
        <v>1999</v>
      </c>
      <c r="BF88" s="21" t="s">
        <v>46</v>
      </c>
      <c r="BG88" s="41"/>
      <c r="BH88" s="41"/>
      <c r="BI88" s="41"/>
      <c r="BJ88" s="16"/>
      <c r="BK88" s="16"/>
      <c r="BL88" s="16"/>
      <c r="BM88" s="16"/>
      <c r="BN88" s="69">
        <f>(SUM(BN$134:BN$149)/16)/(SUM($J$134:$J$149)/16)*MITRE[[#This Row],[Trenes Corridos]]</f>
        <v>995.36993864255612</v>
      </c>
      <c r="BO88" s="16"/>
      <c r="BP88" s="16"/>
      <c r="BQ88" s="16"/>
      <c r="BR88" s="17"/>
      <c r="BS88" s="18">
        <v>1999</v>
      </c>
      <c r="BT88" s="21" t="s">
        <v>46</v>
      </c>
      <c r="BU88" s="41"/>
      <c r="BV88" s="41"/>
      <c r="BW88" s="41"/>
      <c r="BX88" s="16"/>
      <c r="BY88" s="16"/>
      <c r="BZ88" s="16"/>
      <c r="CA88" s="16"/>
      <c r="CB88" s="69">
        <f>(SUM(CB$134:CB$149)/16)/(SUM($J$134:$J$149)/16)*MITRE[[#This Row],[Trenes Corridos]]</f>
        <v>981.35812617650902</v>
      </c>
      <c r="CC88" s="16"/>
      <c r="CD88" s="16"/>
      <c r="CI88" s="40"/>
      <c r="CJ88" s="40"/>
      <c r="CK88" s="40"/>
      <c r="CL88" s="40"/>
      <c r="CM88" s="40"/>
    </row>
    <row r="89" spans="1:91" s="18" customFormat="1" ht="15" customHeight="1">
      <c r="A89" s="18">
        <v>1999</v>
      </c>
      <c r="B89" s="21" t="s">
        <v>47</v>
      </c>
      <c r="C89" s="15">
        <f>+MITRE[[#This Row],[Trenes Puntuales]]/MITRE[[#This Row],[Trenes Programados]]</f>
        <v>0.93483943241224798</v>
      </c>
      <c r="D89" s="15">
        <f>+MITRE[[#This Row],[Trenes Puntuales]]/MITRE[[#This Row],[Trenes Corridos]]</f>
        <v>0.96511179645335388</v>
      </c>
      <c r="E89" s="15">
        <f>+MITRE[[#This Row],[Trenes Corridos]]/MITRE[[#This Row],[Trenes Programados]]</f>
        <v>0.96863330843913364</v>
      </c>
      <c r="F89" s="16">
        <f>+Tabla4[[#This Row],[Trenes Programados por Día Hábil]]+Tabla5[[#This Row],[Trenes Programados por Día Hábil]]+Tabla6[[#This Row],[Trenes Programados por Día Hábil]]+MIT_Vic_Cap[[#This Row],[Trenes Programados por Día Hábil]]+Tabla8[[#This Row],[Trenes Programados por Día Hábil]]</f>
        <v>0</v>
      </c>
      <c r="G8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9" s="16">
        <v>16068</v>
      </c>
      <c r="I89" s="16">
        <f t="shared" si="12"/>
        <v>504</v>
      </c>
      <c r="J89" s="16">
        <v>15564</v>
      </c>
      <c r="K89" s="16">
        <v>15021</v>
      </c>
      <c r="L89" s="16">
        <f t="shared" si="13"/>
        <v>543</v>
      </c>
      <c r="M89" s="16"/>
      <c r="N89" s="17"/>
      <c r="O89" s="18">
        <v>1999</v>
      </c>
      <c r="P89" s="21" t="s">
        <v>47</v>
      </c>
      <c r="Q89" s="41"/>
      <c r="R89" s="41"/>
      <c r="S89" s="41"/>
      <c r="T89" s="16"/>
      <c r="U89" s="16"/>
      <c r="V89" s="16"/>
      <c r="W89" s="16"/>
      <c r="X89" s="69">
        <f>(SUM(X$134:X$149)/16)/(SUM($J$134:$J$149)/16)*MITRE[[#This Row],[Trenes Corridos]]</f>
        <v>5803.6054088881965</v>
      </c>
      <c r="Y89" s="16"/>
      <c r="Z89" s="16"/>
      <c r="AA89" s="16"/>
      <c r="AB89" s="17"/>
      <c r="AC89" s="18">
        <v>1999</v>
      </c>
      <c r="AD89" s="21" t="s">
        <v>47</v>
      </c>
      <c r="AE89" s="41"/>
      <c r="AF89" s="41"/>
      <c r="AG89" s="41"/>
      <c r="AH89" s="16"/>
      <c r="AI89" s="16"/>
      <c r="AJ89" s="16"/>
      <c r="AK89" s="16"/>
      <c r="AL89" s="69">
        <f>(SUM(AL$134:AL$149)/16)/(SUM($J$134:$J$149)/16)*MITRE[[#This Row],[Trenes Corridos]]</f>
        <v>4538.4868083601095</v>
      </c>
      <c r="AM89" s="16"/>
      <c r="AN89" s="16"/>
      <c r="AO89" s="16"/>
      <c r="AP89" s="17"/>
      <c r="AQ89" s="18">
        <v>1999</v>
      </c>
      <c r="AR89" s="21" t="s">
        <v>47</v>
      </c>
      <c r="AS89" s="41"/>
      <c r="AT89" s="41"/>
      <c r="AU89" s="41"/>
      <c r="AV89" s="16"/>
      <c r="AW89" s="16"/>
      <c r="AX89" s="16"/>
      <c r="AY89" s="16"/>
      <c r="AZ89" s="69">
        <f>(SUM(AZ$134:AZ$149)/16)/(SUM($J$134:$J$149)/16)*MITRE[[#This Row],[Trenes Corridos]]</f>
        <v>3270.8775588412414</v>
      </c>
      <c r="BA89" s="16"/>
      <c r="BB89" s="16"/>
      <c r="BC89" s="16"/>
      <c r="BD89" s="17"/>
      <c r="BE89" s="18">
        <v>1999</v>
      </c>
      <c r="BF89" s="21" t="s">
        <v>47</v>
      </c>
      <c r="BG89" s="41"/>
      <c r="BH89" s="41"/>
      <c r="BI89" s="41"/>
      <c r="BJ89" s="16"/>
      <c r="BK89" s="16"/>
      <c r="BL89" s="16"/>
      <c r="BM89" s="16"/>
      <c r="BN89" s="69">
        <f>(SUM(BN$134:BN$149)/16)/(SUM($J$134:$J$149)/16)*MITRE[[#This Row],[Trenes Corridos]]</f>
        <v>982.42994007437017</v>
      </c>
      <c r="BO89" s="16"/>
      <c r="BP89" s="16"/>
      <c r="BQ89" s="16"/>
      <c r="BR89" s="17"/>
      <c r="BS89" s="18">
        <v>1999</v>
      </c>
      <c r="BT89" s="21" t="s">
        <v>47</v>
      </c>
      <c r="BU89" s="41"/>
      <c r="BV89" s="41"/>
      <c r="BW89" s="41"/>
      <c r="BX89" s="16"/>
      <c r="BY89" s="16"/>
      <c r="BZ89" s="16"/>
      <c r="CA89" s="16"/>
      <c r="CB89" s="69">
        <f>(SUM(CB$134:CB$149)/16)/(SUM($J$134:$J$149)/16)*MITRE[[#This Row],[Trenes Corridos]]</f>
        <v>968.60028383608255</v>
      </c>
      <c r="CC89" s="16"/>
      <c r="CD89" s="16"/>
      <c r="CI89" s="40"/>
      <c r="CJ89" s="40"/>
      <c r="CK89" s="40"/>
      <c r="CL89" s="40"/>
      <c r="CM89" s="40"/>
    </row>
    <row r="90" spans="1:91" s="18" customFormat="1" ht="15" customHeight="1">
      <c r="A90" s="18">
        <v>2000</v>
      </c>
      <c r="B90" s="21" t="s">
        <v>36</v>
      </c>
      <c r="C90" s="15">
        <f>+MITRE[[#This Row],[Trenes Puntuales]]/MITRE[[#This Row],[Trenes Programados]]</f>
        <v>0.97877668565704623</v>
      </c>
      <c r="D90" s="15">
        <f>+MITRE[[#This Row],[Trenes Puntuales]]/MITRE[[#This Row],[Trenes Corridos]]</f>
        <v>0.98401309164149042</v>
      </c>
      <c r="E90" s="15">
        <f>+MITRE[[#This Row],[Trenes Corridos]]/MITRE[[#This Row],[Trenes Programados]]</f>
        <v>0.99467852000250423</v>
      </c>
      <c r="F90" s="16">
        <f>+Tabla4[[#This Row],[Trenes Programados por Día Hábil]]+Tabla5[[#This Row],[Trenes Programados por Día Hábil]]+Tabla6[[#This Row],[Trenes Programados por Día Hábil]]+MIT_Vic_Cap[[#This Row],[Trenes Programados por Día Hábil]]+Tabla8[[#This Row],[Trenes Programados por Día Hábil]]</f>
        <v>0</v>
      </c>
      <c r="G9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0" s="16">
        <v>15973</v>
      </c>
      <c r="I90" s="16">
        <f t="shared" ref="I90:I101" si="14">H90-J90</f>
        <v>85</v>
      </c>
      <c r="J90" s="16">
        <v>15888</v>
      </c>
      <c r="K90" s="16">
        <v>15634</v>
      </c>
      <c r="L90" s="16">
        <f t="shared" ref="L90:L101" si="15">J90-K90</f>
        <v>254</v>
      </c>
      <c r="M90" s="16"/>
      <c r="N90" s="17"/>
      <c r="O90" s="18">
        <v>2000</v>
      </c>
      <c r="P90" s="21" t="s">
        <v>36</v>
      </c>
      <c r="Q90" s="41"/>
      <c r="R90" s="41"/>
      <c r="S90" s="41"/>
      <c r="T90" s="16"/>
      <c r="U90" s="16"/>
      <c r="V90" s="16"/>
      <c r="W90" s="16"/>
      <c r="X90" s="69">
        <f>(SUM(X$134:X$149)/16)/(SUM($J$134:$J$149)/16)*MITRE[[#This Row],[Trenes Corridos]]</f>
        <v>5924.420633282939</v>
      </c>
      <c r="Y90" s="16"/>
      <c r="Z90" s="16"/>
      <c r="AA90" s="16"/>
      <c r="AB90" s="17"/>
      <c r="AC90" s="18">
        <v>2000</v>
      </c>
      <c r="AD90" s="21" t="s">
        <v>36</v>
      </c>
      <c r="AE90" s="41"/>
      <c r="AF90" s="41"/>
      <c r="AG90" s="41"/>
      <c r="AH90" s="16"/>
      <c r="AI90" s="16"/>
      <c r="AJ90" s="16"/>
      <c r="AK90" s="16"/>
      <c r="AL90" s="69">
        <f>(SUM(AL$134:AL$149)/16)/(SUM($J$134:$J$149)/16)*MITRE[[#This Row],[Trenes Corridos]]</f>
        <v>4632.9657164755472</v>
      </c>
      <c r="AM90" s="16"/>
      <c r="AN90" s="16"/>
      <c r="AO90" s="16"/>
      <c r="AP90" s="17"/>
      <c r="AQ90" s="18">
        <v>2000</v>
      </c>
      <c r="AR90" s="21" t="s">
        <v>36</v>
      </c>
      <c r="AS90" s="41"/>
      <c r="AT90" s="41"/>
      <c r="AU90" s="41"/>
      <c r="AV90" s="16"/>
      <c r="AW90" s="16"/>
      <c r="AX90" s="16"/>
      <c r="AY90" s="16"/>
      <c r="AZ90" s="69">
        <f>(SUM(AZ$134:AZ$149)/16)/(SUM($J$134:$J$149)/16)*MITRE[[#This Row],[Trenes Corridos]]</f>
        <v>3338.9683021633027</v>
      </c>
      <c r="BA90" s="16"/>
      <c r="BB90" s="16"/>
      <c r="BC90" s="16"/>
      <c r="BD90" s="17"/>
      <c r="BE90" s="18">
        <v>2000</v>
      </c>
      <c r="BF90" s="21" t="s">
        <v>36</v>
      </c>
      <c r="BG90" s="41"/>
      <c r="BH90" s="41"/>
      <c r="BI90" s="41"/>
      <c r="BJ90" s="16"/>
      <c r="BK90" s="16"/>
      <c r="BL90" s="16"/>
      <c r="BM90" s="16"/>
      <c r="BN90" s="69">
        <f>(SUM(BN$134:BN$149)/16)/(SUM($J$134:$J$149)/16)*MITRE[[#This Row],[Trenes Corridos]]</f>
        <v>1002.8814500065274</v>
      </c>
      <c r="BO90" s="16"/>
      <c r="BP90" s="16"/>
      <c r="BQ90" s="16"/>
      <c r="BR90" s="17"/>
      <c r="BS90" s="18">
        <v>2000</v>
      </c>
      <c r="BT90" s="21" t="s">
        <v>36</v>
      </c>
      <c r="BU90" s="41"/>
      <c r="BV90" s="41"/>
      <c r="BW90" s="41"/>
      <c r="BX90" s="16"/>
      <c r="BY90" s="16"/>
      <c r="BZ90" s="16"/>
      <c r="CA90" s="16"/>
      <c r="CB90" s="69">
        <f>(SUM(CB$134:CB$149)/16)/(SUM($J$134:$J$149)/16)*MITRE[[#This Row],[Trenes Corridos]]</f>
        <v>988.76389807168334</v>
      </c>
      <c r="CC90" s="16"/>
      <c r="CD90" s="16"/>
      <c r="CI90" s="40"/>
      <c r="CJ90" s="40"/>
      <c r="CK90" s="40"/>
      <c r="CL90" s="40"/>
      <c r="CM90" s="40"/>
    </row>
    <row r="91" spans="1:91" s="18" customFormat="1" ht="15" customHeight="1">
      <c r="A91" s="18">
        <v>2000</v>
      </c>
      <c r="B91" s="21" t="s">
        <v>37</v>
      </c>
      <c r="C91" s="15">
        <f>+MITRE[[#This Row],[Trenes Puntuales]]/MITRE[[#This Row],[Trenes Programados]]</f>
        <v>0.96425070256845957</v>
      </c>
      <c r="D91" s="15">
        <f>+MITRE[[#This Row],[Trenes Puntuales]]/MITRE[[#This Row],[Trenes Corridos]]</f>
        <v>0.97521316676581404</v>
      </c>
      <c r="E91" s="15">
        <f>+MITRE[[#This Row],[Trenes Corridos]]/MITRE[[#This Row],[Trenes Programados]]</f>
        <v>0.98875890464675509</v>
      </c>
      <c r="F91" s="16">
        <f>+Tabla4[[#This Row],[Trenes Programados por Día Hábil]]+Tabla5[[#This Row],[Trenes Programados por Día Hábil]]+Tabla6[[#This Row],[Trenes Programados por Día Hábil]]+MIT_Vic_Cap[[#This Row],[Trenes Programados por Día Hábil]]+Tabla8[[#This Row],[Trenes Programados por Día Hábil]]</f>
        <v>0</v>
      </c>
      <c r="G9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1" s="16">
        <v>15301</v>
      </c>
      <c r="I91" s="16">
        <f t="shared" si="14"/>
        <v>172</v>
      </c>
      <c r="J91" s="16">
        <v>15129</v>
      </c>
      <c r="K91" s="16">
        <v>14754</v>
      </c>
      <c r="L91" s="16">
        <f t="shared" si="15"/>
        <v>375</v>
      </c>
      <c r="M91" s="16"/>
      <c r="N91" s="17"/>
      <c r="O91" s="18">
        <v>2000</v>
      </c>
      <c r="P91" s="21" t="s">
        <v>37</v>
      </c>
      <c r="Q91" s="41"/>
      <c r="R91" s="41"/>
      <c r="S91" s="41"/>
      <c r="T91" s="16"/>
      <c r="U91" s="16"/>
      <c r="V91" s="16"/>
      <c r="W91" s="16"/>
      <c r="X91" s="69">
        <f>(SUM(X$134:X$149)/16)/(SUM($J$134:$J$149)/16)*MITRE[[#This Row],[Trenes Corridos]]</f>
        <v>5641.3997835434029</v>
      </c>
      <c r="Y91" s="16"/>
      <c r="Z91" s="16"/>
      <c r="AA91" s="16"/>
      <c r="AB91" s="17"/>
      <c r="AC91" s="18">
        <v>2000</v>
      </c>
      <c r="AD91" s="21" t="s">
        <v>37</v>
      </c>
      <c r="AE91" s="41"/>
      <c r="AF91" s="41"/>
      <c r="AG91" s="41"/>
      <c r="AH91" s="16"/>
      <c r="AI91" s="16"/>
      <c r="AJ91" s="16"/>
      <c r="AK91" s="16"/>
      <c r="AL91" s="69">
        <f>(SUM(AL$134:AL$149)/16)/(SUM($J$134:$J$149)/16)*MITRE[[#This Row],[Trenes Corridos]]</f>
        <v>4411.6401261680858</v>
      </c>
      <c r="AM91" s="16"/>
      <c r="AN91" s="16"/>
      <c r="AO91" s="16"/>
      <c r="AP91" s="17"/>
      <c r="AQ91" s="18">
        <v>2000</v>
      </c>
      <c r="AR91" s="21" t="s">
        <v>37</v>
      </c>
      <c r="AS91" s="41"/>
      <c r="AT91" s="41"/>
      <c r="AU91" s="41"/>
      <c r="AV91" s="16"/>
      <c r="AW91" s="16"/>
      <c r="AX91" s="16"/>
      <c r="AY91" s="16"/>
      <c r="AZ91" s="69">
        <f>(SUM(AZ$134:AZ$149)/16)/(SUM($J$134:$J$149)/16)*MITRE[[#This Row],[Trenes Corridos]]</f>
        <v>3179.4594312329182</v>
      </c>
      <c r="BA91" s="16"/>
      <c r="BB91" s="16"/>
      <c r="BC91" s="16"/>
      <c r="BD91" s="17"/>
      <c r="BE91" s="18">
        <v>2000</v>
      </c>
      <c r="BF91" s="21" t="s">
        <v>37</v>
      </c>
      <c r="BG91" s="41"/>
      <c r="BH91" s="41"/>
      <c r="BI91" s="41"/>
      <c r="BJ91" s="16"/>
      <c r="BK91" s="16"/>
      <c r="BL91" s="16"/>
      <c r="BM91" s="16"/>
      <c r="BN91" s="69">
        <f>(SUM(BN$134:BN$149)/16)/(SUM($J$134:$J$149)/16)*MITRE[[#This Row],[Trenes Corridos]]</f>
        <v>954.97189433212191</v>
      </c>
      <c r="BO91" s="16"/>
      <c r="BP91" s="16"/>
      <c r="BQ91" s="16"/>
      <c r="BR91" s="17"/>
      <c r="BS91" s="18">
        <v>2000</v>
      </c>
      <c r="BT91" s="21" t="s">
        <v>37</v>
      </c>
      <c r="BU91" s="41"/>
      <c r="BV91" s="41"/>
      <c r="BW91" s="41"/>
      <c r="BX91" s="16"/>
      <c r="BY91" s="16"/>
      <c r="BZ91" s="16"/>
      <c r="CA91" s="16"/>
      <c r="CB91" s="69">
        <f>(SUM(CB$134:CB$149)/16)/(SUM($J$134:$J$149)/16)*MITRE[[#This Row],[Trenes Corridos]]</f>
        <v>941.52876472347043</v>
      </c>
      <c r="CC91" s="16"/>
      <c r="CD91" s="16"/>
      <c r="CI91" s="40"/>
      <c r="CJ91" s="40"/>
      <c r="CK91" s="40"/>
      <c r="CL91" s="40"/>
      <c r="CM91" s="40"/>
    </row>
    <row r="92" spans="1:91" s="18" customFormat="1" ht="15" customHeight="1">
      <c r="A92" s="18">
        <v>2000</v>
      </c>
      <c r="B92" s="21" t="s">
        <v>38</v>
      </c>
      <c r="C92" s="15">
        <f>+MITRE[[#This Row],[Trenes Puntuales]]/MITRE[[#This Row],[Trenes Programados]]</f>
        <v>0.9528210116731517</v>
      </c>
      <c r="D92" s="15">
        <f>+MITRE[[#This Row],[Trenes Puntuales]]/MITRE[[#This Row],[Trenes Corridos]]</f>
        <v>0.96968197005321122</v>
      </c>
      <c r="E92" s="15">
        <f>+MITRE[[#This Row],[Trenes Corridos]]/MITRE[[#This Row],[Trenes Programados]]</f>
        <v>0.98261186770428011</v>
      </c>
      <c r="F92" s="16">
        <f>+Tabla4[[#This Row],[Trenes Programados por Día Hábil]]+Tabla5[[#This Row],[Trenes Programados por Día Hábil]]+Tabla6[[#This Row],[Trenes Programados por Día Hábil]]+MIT_Vic_Cap[[#This Row],[Trenes Programados por Día Hábil]]+Tabla8[[#This Row],[Trenes Programados por Día Hábil]]</f>
        <v>0</v>
      </c>
      <c r="G9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2" s="16">
        <v>16448</v>
      </c>
      <c r="I92" s="16">
        <f t="shared" si="14"/>
        <v>286</v>
      </c>
      <c r="J92" s="16">
        <v>16162</v>
      </c>
      <c r="K92" s="16">
        <v>15672</v>
      </c>
      <c r="L92" s="16">
        <f t="shared" si="15"/>
        <v>490</v>
      </c>
      <c r="M92" s="16"/>
      <c r="N92" s="17"/>
      <c r="O92" s="18">
        <v>2000</v>
      </c>
      <c r="P92" s="21" t="s">
        <v>38</v>
      </c>
      <c r="Q92" s="41"/>
      <c r="R92" s="41"/>
      <c r="S92" s="41"/>
      <c r="T92" s="16"/>
      <c r="U92" s="16"/>
      <c r="V92" s="16"/>
      <c r="W92" s="16"/>
      <c r="X92" s="69">
        <f>(SUM(X$134:X$149)/16)/(SUM($J$134:$J$149)/16)*MITRE[[#This Row],[Trenes Corridos]]</f>
        <v>6026.5915329254067</v>
      </c>
      <c r="Y92" s="16"/>
      <c r="Z92" s="16"/>
      <c r="AA92" s="16"/>
      <c r="AB92" s="17"/>
      <c r="AC92" s="18">
        <v>2000</v>
      </c>
      <c r="AD92" s="21" t="s">
        <v>38</v>
      </c>
      <c r="AE92" s="41"/>
      <c r="AF92" s="41"/>
      <c r="AG92" s="41"/>
      <c r="AH92" s="16"/>
      <c r="AI92" s="16"/>
      <c r="AJ92" s="16"/>
      <c r="AK92" s="16"/>
      <c r="AL92" s="69">
        <f>(SUM(AL$134:AL$149)/16)/(SUM($J$134:$J$149)/16)*MITRE[[#This Row],[Trenes Corridos]]</f>
        <v>4712.8645461781089</v>
      </c>
      <c r="AM92" s="16"/>
      <c r="AN92" s="16"/>
      <c r="AO92" s="16"/>
      <c r="AP92" s="17"/>
      <c r="AQ92" s="18">
        <v>2000</v>
      </c>
      <c r="AR92" s="21" t="s">
        <v>38</v>
      </c>
      <c r="AS92" s="41"/>
      <c r="AT92" s="41"/>
      <c r="AU92" s="41"/>
      <c r="AV92" s="16"/>
      <c r="AW92" s="16"/>
      <c r="AX92" s="16"/>
      <c r="AY92" s="16"/>
      <c r="AZ92" s="69">
        <f>(SUM(AZ$134:AZ$149)/16)/(SUM($J$134:$J$149)/16)*MITRE[[#This Row],[Trenes Corridos]]</f>
        <v>3396.5512147257864</v>
      </c>
      <c r="BA92" s="16"/>
      <c r="BB92" s="16"/>
      <c r="BC92" s="16"/>
      <c r="BD92" s="17"/>
      <c r="BE92" s="18">
        <v>2000</v>
      </c>
      <c r="BF92" s="21" t="s">
        <v>38</v>
      </c>
      <c r="BG92" s="41"/>
      <c r="BH92" s="41"/>
      <c r="BI92" s="41"/>
      <c r="BJ92" s="16"/>
      <c r="BK92" s="16"/>
      <c r="BL92" s="16"/>
      <c r="BM92" s="16"/>
      <c r="BN92" s="69">
        <f>(SUM(BN$134:BN$149)/16)/(SUM($J$134:$J$149)/16)*MITRE[[#This Row],[Trenes Corridos]]</f>
        <v>1020.1768627269321</v>
      </c>
      <c r="BO92" s="16"/>
      <c r="BP92" s="16"/>
      <c r="BQ92" s="16"/>
      <c r="BR92" s="17"/>
      <c r="BS92" s="18">
        <v>2000</v>
      </c>
      <c r="BT92" s="21" t="s">
        <v>38</v>
      </c>
      <c r="BU92" s="41"/>
      <c r="BV92" s="41"/>
      <c r="BW92" s="41"/>
      <c r="BX92" s="16"/>
      <c r="BY92" s="16"/>
      <c r="BZ92" s="16"/>
      <c r="CA92" s="16"/>
      <c r="CB92" s="69">
        <f>(SUM(CB$134:CB$149)/16)/(SUM($J$134:$J$149)/16)*MITRE[[#This Row],[Trenes Corridos]]</f>
        <v>1005.8158434437655</v>
      </c>
      <c r="CC92" s="16"/>
      <c r="CD92" s="16"/>
      <c r="CI92" s="40"/>
      <c r="CJ92" s="40"/>
      <c r="CK92" s="40"/>
      <c r="CL92" s="40"/>
      <c r="CM92" s="40"/>
    </row>
    <row r="93" spans="1:91" s="18" customFormat="1" ht="15" customHeight="1">
      <c r="A93" s="18">
        <v>2000</v>
      </c>
      <c r="B93" s="21" t="s">
        <v>39</v>
      </c>
      <c r="C93" s="15">
        <f>+MITRE[[#This Row],[Trenes Puntuales]]/MITRE[[#This Row],[Trenes Programados]]</f>
        <v>0.9555816839767457</v>
      </c>
      <c r="D93" s="15">
        <f>+MITRE[[#This Row],[Trenes Puntuales]]/MITRE[[#This Row],[Trenes Corridos]]</f>
        <v>0.96205445218992502</v>
      </c>
      <c r="E93" s="15">
        <f>+MITRE[[#This Row],[Trenes Corridos]]/MITRE[[#This Row],[Trenes Programados]]</f>
        <v>0.99327193154353643</v>
      </c>
      <c r="F93" s="16">
        <f>+Tabla4[[#This Row],[Trenes Programados por Día Hábil]]+Tabla5[[#This Row],[Trenes Programados por Día Hábil]]+Tabla6[[#This Row],[Trenes Programados por Día Hábil]]+MIT_Vic_Cap[[#This Row],[Trenes Programados por Día Hábil]]+Tabla8[[#This Row],[Trenes Programados por Día Hábil]]</f>
        <v>0</v>
      </c>
      <c r="G9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3" s="16">
        <v>15309</v>
      </c>
      <c r="I93" s="16">
        <f t="shared" si="14"/>
        <v>103</v>
      </c>
      <c r="J93" s="16">
        <v>15206</v>
      </c>
      <c r="K93" s="16">
        <v>14629</v>
      </c>
      <c r="L93" s="16">
        <f t="shared" si="15"/>
        <v>577</v>
      </c>
      <c r="M93" s="16"/>
      <c r="N93" s="17"/>
      <c r="O93" s="18">
        <v>2000</v>
      </c>
      <c r="P93" s="21" t="s">
        <v>39</v>
      </c>
      <c r="Q93" s="41"/>
      <c r="R93" s="41"/>
      <c r="S93" s="41"/>
      <c r="T93" s="16"/>
      <c r="U93" s="16"/>
      <c r="V93" s="16"/>
      <c r="W93" s="16"/>
      <c r="X93" s="69">
        <f>(SUM(X$134:X$149)/16)/(SUM($J$134:$J$149)/16)*MITRE[[#This Row],[Trenes Corridos]]</f>
        <v>5670.1120436619067</v>
      </c>
      <c r="Y93" s="16"/>
      <c r="Z93" s="16"/>
      <c r="AA93" s="16"/>
      <c r="AB93" s="17"/>
      <c r="AC93" s="18">
        <v>2000</v>
      </c>
      <c r="AD93" s="21" t="s">
        <v>39</v>
      </c>
      <c r="AE93" s="41"/>
      <c r="AF93" s="41"/>
      <c r="AG93" s="41"/>
      <c r="AH93" s="16"/>
      <c r="AI93" s="16"/>
      <c r="AJ93" s="16"/>
      <c r="AK93" s="16"/>
      <c r="AL93" s="69">
        <f>(SUM(AL$134:AL$149)/16)/(SUM($J$134:$J$149)/16)*MITRE[[#This Row],[Trenes Corridos]]</f>
        <v>4434.0934469239155</v>
      </c>
      <c r="AM93" s="16"/>
      <c r="AN93" s="16"/>
      <c r="AO93" s="16"/>
      <c r="AP93" s="17"/>
      <c r="AQ93" s="18">
        <v>2000</v>
      </c>
      <c r="AR93" s="21" t="s">
        <v>39</v>
      </c>
      <c r="AS93" s="41"/>
      <c r="AT93" s="41"/>
      <c r="AU93" s="41"/>
      <c r="AV93" s="16"/>
      <c r="AW93" s="16"/>
      <c r="AX93" s="16"/>
      <c r="AY93" s="16"/>
      <c r="AZ93" s="69">
        <f>(SUM(AZ$134:AZ$149)/16)/(SUM($J$134:$J$149)/16)*MITRE[[#This Row],[Trenes Corridos]]</f>
        <v>3195.6414906026675</v>
      </c>
      <c r="BA93" s="16"/>
      <c r="BB93" s="16"/>
      <c r="BC93" s="16"/>
      <c r="BD93" s="17"/>
      <c r="BE93" s="18">
        <v>2000</v>
      </c>
      <c r="BF93" s="21" t="s">
        <v>39</v>
      </c>
      <c r="BG93" s="41"/>
      <c r="BH93" s="41"/>
      <c r="BI93" s="41"/>
      <c r="BJ93" s="16"/>
      <c r="BK93" s="16"/>
      <c r="BL93" s="16"/>
      <c r="BM93" s="16"/>
      <c r="BN93" s="69">
        <f>(SUM(BN$134:BN$149)/16)/(SUM($J$134:$J$149)/16)*MITRE[[#This Row],[Trenes Corridos]]</f>
        <v>959.83228403822102</v>
      </c>
      <c r="BO93" s="16"/>
      <c r="BP93" s="16"/>
      <c r="BQ93" s="16"/>
      <c r="BR93" s="17"/>
      <c r="BS93" s="18">
        <v>2000</v>
      </c>
      <c r="BT93" s="21" t="s">
        <v>39</v>
      </c>
      <c r="BU93" s="41"/>
      <c r="BV93" s="41"/>
      <c r="BW93" s="41"/>
      <c r="BX93" s="16"/>
      <c r="BY93" s="16"/>
      <c r="BZ93" s="16"/>
      <c r="CA93" s="16"/>
      <c r="CB93" s="69">
        <f>(SUM(CB$134:CB$149)/16)/(SUM($J$134:$J$149)/16)*MITRE[[#This Row],[Trenes Corridos]]</f>
        <v>946.32073477328913</v>
      </c>
      <c r="CC93" s="16"/>
      <c r="CD93" s="16"/>
      <c r="CI93" s="40"/>
      <c r="CJ93" s="40"/>
      <c r="CK93" s="40"/>
      <c r="CL93" s="40"/>
      <c r="CM93" s="40"/>
    </row>
    <row r="94" spans="1:91" s="18" customFormat="1" ht="15" customHeight="1">
      <c r="A94" s="18">
        <v>2000</v>
      </c>
      <c r="B94" s="21" t="s">
        <v>40</v>
      </c>
      <c r="C94" s="15">
        <f>+MITRE[[#This Row],[Trenes Puntuales]]/MITRE[[#This Row],[Trenes Programados]]</f>
        <v>0.94239689106180269</v>
      </c>
      <c r="D94" s="15">
        <f>+MITRE[[#This Row],[Trenes Puntuales]]/MITRE[[#This Row],[Trenes Corridos]]</f>
        <v>0.96236318248735842</v>
      </c>
      <c r="E94" s="15">
        <f>+MITRE[[#This Row],[Trenes Corridos]]/MITRE[[#This Row],[Trenes Programados]]</f>
        <v>0.97925285194935441</v>
      </c>
      <c r="F94" s="16">
        <f>+Tabla4[[#This Row],[Trenes Programados por Día Hábil]]+Tabla5[[#This Row],[Trenes Programados por Día Hábil]]+Tabla6[[#This Row],[Trenes Programados por Día Hábil]]+MIT_Vic_Cap[[#This Row],[Trenes Programados por Día Hábil]]+Tabla8[[#This Row],[Trenes Programados por Día Hábil]]</f>
        <v>0</v>
      </c>
      <c r="G9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4" s="16">
        <v>15954</v>
      </c>
      <c r="I94" s="16">
        <f t="shared" si="14"/>
        <v>331</v>
      </c>
      <c r="J94" s="16">
        <v>15623</v>
      </c>
      <c r="K94" s="16">
        <v>15035</v>
      </c>
      <c r="L94" s="16">
        <f t="shared" si="15"/>
        <v>588</v>
      </c>
      <c r="M94" s="16"/>
      <c r="N94" s="17"/>
      <c r="O94" s="18">
        <v>2000</v>
      </c>
      <c r="P94" s="21" t="s">
        <v>40</v>
      </c>
      <c r="Q94" s="41"/>
      <c r="R94" s="41"/>
      <c r="S94" s="41"/>
      <c r="T94" s="16"/>
      <c r="U94" s="16"/>
      <c r="V94" s="16"/>
      <c r="W94" s="16"/>
      <c r="X94" s="69">
        <f>(SUM(X$134:X$149)/16)/(SUM($J$134:$J$149)/16)*MITRE[[#This Row],[Trenes Corridos]]</f>
        <v>5825.6057120958812</v>
      </c>
      <c r="Y94" s="16"/>
      <c r="Z94" s="16"/>
      <c r="AA94" s="16"/>
      <c r="AB94" s="17"/>
      <c r="AC94" s="18">
        <v>2000</v>
      </c>
      <c r="AD94" s="21" t="s">
        <v>40</v>
      </c>
      <c r="AE94" s="41"/>
      <c r="AF94" s="41"/>
      <c r="AG94" s="41"/>
      <c r="AH94" s="16"/>
      <c r="AI94" s="16"/>
      <c r="AJ94" s="16"/>
      <c r="AK94" s="16"/>
      <c r="AL94" s="69">
        <f>(SUM(AL$134:AL$149)/16)/(SUM($J$134:$J$149)/16)*MITRE[[#This Row],[Trenes Corridos]]</f>
        <v>4555.6913008873034</v>
      </c>
      <c r="AM94" s="16"/>
      <c r="AN94" s="16"/>
      <c r="AO94" s="16"/>
      <c r="AP94" s="17"/>
      <c r="AQ94" s="18">
        <v>2000</v>
      </c>
      <c r="AR94" s="21" t="s">
        <v>40</v>
      </c>
      <c r="AS94" s="41"/>
      <c r="AT94" s="41"/>
      <c r="AU94" s="41"/>
      <c r="AV94" s="16"/>
      <c r="AW94" s="16"/>
      <c r="AX94" s="16"/>
      <c r="AY94" s="16"/>
      <c r="AZ94" s="69">
        <f>(SUM(AZ$134:AZ$149)/16)/(SUM($J$134:$J$149)/16)*MITRE[[#This Row],[Trenes Corridos]]</f>
        <v>3283.2767991375426</v>
      </c>
      <c r="BA94" s="16"/>
      <c r="BB94" s="16"/>
      <c r="BC94" s="16"/>
      <c r="BD94" s="17"/>
      <c r="BE94" s="18">
        <v>2000</v>
      </c>
      <c r="BF94" s="21" t="s">
        <v>40</v>
      </c>
      <c r="BG94" s="41"/>
      <c r="BH94" s="41"/>
      <c r="BI94" s="41"/>
      <c r="BJ94" s="16"/>
      <c r="BK94" s="16"/>
      <c r="BL94" s="16"/>
      <c r="BM94" s="16"/>
      <c r="BN94" s="69">
        <f>(SUM(BN$134:BN$149)/16)/(SUM($J$134:$J$149)/16)*MITRE[[#This Row],[Trenes Corridos]]</f>
        <v>986.15413478423829</v>
      </c>
      <c r="BO94" s="16"/>
      <c r="BP94" s="16"/>
      <c r="BQ94" s="16"/>
      <c r="BR94" s="17"/>
      <c r="BS94" s="18">
        <v>2000</v>
      </c>
      <c r="BT94" s="21" t="s">
        <v>40</v>
      </c>
      <c r="BU94" s="41"/>
      <c r="BV94" s="41"/>
      <c r="BW94" s="41"/>
      <c r="BX94" s="16"/>
      <c r="BY94" s="16"/>
      <c r="BZ94" s="16"/>
      <c r="CA94" s="16"/>
      <c r="CB94" s="69">
        <f>(SUM(CB$134:CB$149)/16)/(SUM($J$134:$J$149)/16)*MITRE[[#This Row],[Trenes Corridos]]</f>
        <v>972.27205309503461</v>
      </c>
      <c r="CC94" s="16"/>
      <c r="CD94" s="16"/>
      <c r="CI94" s="40"/>
      <c r="CJ94" s="40"/>
      <c r="CK94" s="40"/>
      <c r="CL94" s="40"/>
      <c r="CM94" s="40"/>
    </row>
    <row r="95" spans="1:91" s="18" customFormat="1" ht="15" customHeight="1">
      <c r="A95" s="18">
        <v>2000</v>
      </c>
      <c r="B95" s="21" t="s">
        <v>41</v>
      </c>
      <c r="C95" s="15">
        <f>+MITRE[[#This Row],[Trenes Puntuales]]/MITRE[[#This Row],[Trenes Programados]]</f>
        <v>0.8909278883432411</v>
      </c>
      <c r="D95" s="15">
        <f>+MITRE[[#This Row],[Trenes Puntuales]]/MITRE[[#This Row],[Trenes Corridos]]</f>
        <v>0.93585827733659133</v>
      </c>
      <c r="E95" s="15">
        <f>+MITRE[[#This Row],[Trenes Corridos]]/MITRE[[#This Row],[Trenes Programados]]</f>
        <v>0.95199017834065647</v>
      </c>
      <c r="F95" s="16">
        <f>+Tabla4[[#This Row],[Trenes Programados por Día Hábil]]+Tabla5[[#This Row],[Trenes Programados por Día Hábil]]+Tabla6[[#This Row],[Trenes Programados por Día Hábil]]+MIT_Vic_Cap[[#This Row],[Trenes Programados por Día Hábil]]+Tabla8[[#This Row],[Trenes Programados por Día Hábil]]</f>
        <v>0</v>
      </c>
      <c r="G9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5" s="16">
        <v>15476</v>
      </c>
      <c r="I95" s="16">
        <f t="shared" si="14"/>
        <v>743</v>
      </c>
      <c r="J95" s="16">
        <v>14733</v>
      </c>
      <c r="K95" s="16">
        <v>13788</v>
      </c>
      <c r="L95" s="16">
        <f t="shared" si="15"/>
        <v>945</v>
      </c>
      <c r="M95" s="16"/>
      <c r="N95" s="17"/>
      <c r="O95" s="18">
        <v>2000</v>
      </c>
      <c r="P95" s="21" t="s">
        <v>41</v>
      </c>
      <c r="Q95" s="41"/>
      <c r="R95" s="41"/>
      <c r="S95" s="41"/>
      <c r="T95" s="16"/>
      <c r="U95" s="16"/>
      <c r="V95" s="16"/>
      <c r="W95" s="16"/>
      <c r="X95" s="69">
        <f>(SUM(X$134:X$149)/16)/(SUM($J$134:$J$149)/16)*MITRE[[#This Row],[Trenes Corridos]]</f>
        <v>5493.7367315053834</v>
      </c>
      <c r="Y95" s="16"/>
      <c r="Z95" s="16"/>
      <c r="AA95" s="16"/>
      <c r="AB95" s="17"/>
      <c r="AC95" s="18">
        <v>2000</v>
      </c>
      <c r="AD95" s="21" t="s">
        <v>41</v>
      </c>
      <c r="AE95" s="41"/>
      <c r="AF95" s="41"/>
      <c r="AG95" s="41"/>
      <c r="AH95" s="16"/>
      <c r="AI95" s="16"/>
      <c r="AJ95" s="16"/>
      <c r="AK95" s="16"/>
      <c r="AL95" s="69">
        <f>(SUM(AL$134:AL$149)/16)/(SUM($J$134:$J$149)/16)*MITRE[[#This Row],[Trenes Corridos]]</f>
        <v>4296.1659051381066</v>
      </c>
      <c r="AM95" s="16"/>
      <c r="AN95" s="16"/>
      <c r="AO95" s="16"/>
      <c r="AP95" s="17"/>
      <c r="AQ95" s="18">
        <v>2000</v>
      </c>
      <c r="AR95" s="21" t="s">
        <v>41</v>
      </c>
      <c r="AS95" s="41"/>
      <c r="AT95" s="41"/>
      <c r="AU95" s="41"/>
      <c r="AV95" s="16"/>
      <c r="AW95" s="16"/>
      <c r="AX95" s="16"/>
      <c r="AY95" s="16"/>
      <c r="AZ95" s="69">
        <f>(SUM(AZ$134:AZ$149)/16)/(SUM($J$134:$J$149)/16)*MITRE[[#This Row],[Trenes Corridos]]</f>
        <v>3096.2374116170654</v>
      </c>
      <c r="BA95" s="16"/>
      <c r="BB95" s="16"/>
      <c r="BC95" s="16"/>
      <c r="BD95" s="17"/>
      <c r="BE95" s="18">
        <v>2000</v>
      </c>
      <c r="BF95" s="21" t="s">
        <v>41</v>
      </c>
      <c r="BG95" s="41"/>
      <c r="BH95" s="41"/>
      <c r="BI95" s="41"/>
      <c r="BJ95" s="16"/>
      <c r="BK95" s="16"/>
      <c r="BL95" s="16"/>
      <c r="BM95" s="16"/>
      <c r="BN95" s="69">
        <f>(SUM(BN$134:BN$149)/16)/(SUM($J$134:$J$149)/16)*MITRE[[#This Row],[Trenes Corridos]]</f>
        <v>929.97560441504083</v>
      </c>
      <c r="BO95" s="16"/>
      <c r="BP95" s="16"/>
      <c r="BQ95" s="16"/>
      <c r="BR95" s="17"/>
      <c r="BS95" s="18">
        <v>2000</v>
      </c>
      <c r="BT95" s="21" t="s">
        <v>41</v>
      </c>
      <c r="BU95" s="41"/>
      <c r="BV95" s="41"/>
      <c r="BW95" s="41"/>
      <c r="BX95" s="16"/>
      <c r="BY95" s="16"/>
      <c r="BZ95" s="16"/>
      <c r="CA95" s="16"/>
      <c r="CB95" s="69">
        <f>(SUM(CB$134:CB$149)/16)/(SUM($J$134:$J$149)/16)*MITRE[[#This Row],[Trenes Corridos]]</f>
        <v>916.88434732440282</v>
      </c>
      <c r="CC95" s="16"/>
      <c r="CD95" s="16"/>
      <c r="CI95" s="40"/>
      <c r="CJ95" s="40"/>
      <c r="CK95" s="40"/>
      <c r="CL95" s="40"/>
      <c r="CM95" s="40"/>
    </row>
    <row r="96" spans="1:91" s="18" customFormat="1" ht="15" customHeight="1">
      <c r="A96" s="18">
        <v>2000</v>
      </c>
      <c r="B96" s="21" t="s">
        <v>42</v>
      </c>
      <c r="C96" s="15">
        <f>+MITRE[[#This Row],[Trenes Puntuales]]/MITRE[[#This Row],[Trenes Programados]]</f>
        <v>0.96315854870775353</v>
      </c>
      <c r="D96" s="15">
        <f>+MITRE[[#This Row],[Trenes Puntuales]]/MITRE[[#This Row],[Trenes Corridos]]</f>
        <v>0.97008948125899508</v>
      </c>
      <c r="E96" s="15">
        <f>+MITRE[[#This Row],[Trenes Corridos]]/MITRE[[#This Row],[Trenes Programados]]</f>
        <v>0.99285536779324057</v>
      </c>
      <c r="F96" s="16">
        <f>+Tabla4[[#This Row],[Trenes Programados por Día Hábil]]+Tabla5[[#This Row],[Trenes Programados por Día Hábil]]+Tabla6[[#This Row],[Trenes Programados por Día Hábil]]+MIT_Vic_Cap[[#This Row],[Trenes Programados por Día Hábil]]+Tabla8[[#This Row],[Trenes Programados por Día Hábil]]</f>
        <v>0</v>
      </c>
      <c r="G9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6" s="16">
        <v>16096</v>
      </c>
      <c r="I96" s="16">
        <f t="shared" si="14"/>
        <v>115</v>
      </c>
      <c r="J96" s="16">
        <v>15981</v>
      </c>
      <c r="K96" s="16">
        <v>15503</v>
      </c>
      <c r="L96" s="16">
        <f t="shared" si="15"/>
        <v>478</v>
      </c>
      <c r="M96" s="16"/>
      <c r="N96" s="17"/>
      <c r="O96" s="18">
        <v>2000</v>
      </c>
      <c r="P96" s="21" t="s">
        <v>42</v>
      </c>
      <c r="Q96" s="41"/>
      <c r="R96" s="41"/>
      <c r="S96" s="41"/>
      <c r="T96" s="16"/>
      <c r="U96" s="16"/>
      <c r="V96" s="16"/>
      <c r="W96" s="16"/>
      <c r="X96" s="69">
        <f>(SUM(X$134:X$149)/16)/(SUM($J$134:$J$149)/16)*MITRE[[#This Row],[Trenes Corridos]]</f>
        <v>5959.0990773221711</v>
      </c>
      <c r="Y96" s="16"/>
      <c r="Z96" s="16"/>
      <c r="AA96" s="16"/>
      <c r="AB96" s="17"/>
      <c r="AC96" s="18">
        <v>2000</v>
      </c>
      <c r="AD96" s="21" t="s">
        <v>42</v>
      </c>
      <c r="AE96" s="41"/>
      <c r="AF96" s="41"/>
      <c r="AG96" s="41"/>
      <c r="AH96" s="16"/>
      <c r="AI96" s="16"/>
      <c r="AJ96" s="16"/>
      <c r="AK96" s="16"/>
      <c r="AL96" s="69">
        <f>(SUM(AL$134:AL$149)/16)/(SUM($J$134:$J$149)/16)*MITRE[[#This Row],[Trenes Corridos]]</f>
        <v>4660.0846623234966</v>
      </c>
      <c r="AM96" s="16"/>
      <c r="AN96" s="16"/>
      <c r="AO96" s="16"/>
      <c r="AP96" s="17"/>
      <c r="AQ96" s="18">
        <v>2000</v>
      </c>
      <c r="AR96" s="21" t="s">
        <v>42</v>
      </c>
      <c r="AS96" s="41"/>
      <c r="AT96" s="41"/>
      <c r="AU96" s="41"/>
      <c r="AV96" s="16"/>
      <c r="AW96" s="16"/>
      <c r="AX96" s="16"/>
      <c r="AY96" s="16"/>
      <c r="AZ96" s="69">
        <f>(SUM(AZ$134:AZ$149)/16)/(SUM($J$134:$J$149)/16)*MITRE[[#This Row],[Trenes Corridos]]</f>
        <v>3358.5128673761164</v>
      </c>
      <c r="BA96" s="16"/>
      <c r="BB96" s="16"/>
      <c r="BC96" s="16"/>
      <c r="BD96" s="17"/>
      <c r="BE96" s="18">
        <v>2000</v>
      </c>
      <c r="BF96" s="21" t="s">
        <v>42</v>
      </c>
      <c r="BG96" s="41"/>
      <c r="BH96" s="41"/>
      <c r="BI96" s="41"/>
      <c r="BJ96" s="16"/>
      <c r="BK96" s="16"/>
      <c r="BL96" s="16"/>
      <c r="BM96" s="16"/>
      <c r="BN96" s="69">
        <f>(SUM(BN$134:BN$149)/16)/(SUM($J$134:$J$149)/16)*MITRE[[#This Row],[Trenes Corridos]]</f>
        <v>1008.7517908203873</v>
      </c>
      <c r="BO96" s="16"/>
      <c r="BP96" s="16"/>
      <c r="BQ96" s="16"/>
      <c r="BR96" s="17"/>
      <c r="BS96" s="18">
        <v>2000</v>
      </c>
      <c r="BT96" s="21" t="s">
        <v>42</v>
      </c>
      <c r="BU96" s="41"/>
      <c r="BV96" s="41"/>
      <c r="BW96" s="41"/>
      <c r="BX96" s="16"/>
      <c r="BY96" s="16"/>
      <c r="BZ96" s="16"/>
      <c r="CA96" s="16"/>
      <c r="CB96" s="69">
        <f>(SUM(CB$134:CB$149)/16)/(SUM($J$134:$J$149)/16)*MITRE[[#This Row],[Trenes Corridos]]</f>
        <v>994.55160215782803</v>
      </c>
      <c r="CC96" s="16"/>
      <c r="CD96" s="16"/>
      <c r="CI96" s="40"/>
      <c r="CJ96" s="40"/>
      <c r="CK96" s="40"/>
      <c r="CL96" s="40"/>
      <c r="CM96" s="40"/>
    </row>
    <row r="97" spans="1:91" s="18" customFormat="1" ht="15" customHeight="1">
      <c r="A97" s="18">
        <v>2000</v>
      </c>
      <c r="B97" s="21" t="s">
        <v>43</v>
      </c>
      <c r="C97" s="15">
        <f>+MITRE[[#This Row],[Trenes Puntuales]]/MITRE[[#This Row],[Trenes Programados]]</f>
        <v>0.96060755742158555</v>
      </c>
      <c r="D97" s="15">
        <f>+MITRE[[#This Row],[Trenes Puntuales]]/MITRE[[#This Row],[Trenes Corridos]]</f>
        <v>0.97359198998748431</v>
      </c>
      <c r="E97" s="15">
        <f>+MITRE[[#This Row],[Trenes Corridos]]/MITRE[[#This Row],[Trenes Programados]]</f>
        <v>0.98666337367251178</v>
      </c>
      <c r="F97" s="16">
        <f>+Tabla4[[#This Row],[Trenes Programados por Día Hábil]]+Tabla5[[#This Row],[Trenes Programados por Día Hábil]]+Tabla6[[#This Row],[Trenes Programados por Día Hábil]]+MIT_Vic_Cap[[#This Row],[Trenes Programados por Día Hábil]]+Tabla8[[#This Row],[Trenes Programados por Día Hábil]]</f>
        <v>0</v>
      </c>
      <c r="G9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7" s="16">
        <v>16196</v>
      </c>
      <c r="I97" s="16">
        <f t="shared" si="14"/>
        <v>216</v>
      </c>
      <c r="J97" s="16">
        <v>15980</v>
      </c>
      <c r="K97" s="16">
        <v>15558</v>
      </c>
      <c r="L97" s="16">
        <f t="shared" si="15"/>
        <v>422</v>
      </c>
      <c r="M97" s="16"/>
      <c r="N97" s="17"/>
      <c r="O97" s="18">
        <v>2000</v>
      </c>
      <c r="P97" s="21" t="s">
        <v>43</v>
      </c>
      <c r="Q97" s="41"/>
      <c r="R97" s="41"/>
      <c r="S97" s="41"/>
      <c r="T97" s="16"/>
      <c r="U97" s="16"/>
      <c r="V97" s="16"/>
      <c r="W97" s="16"/>
      <c r="X97" s="69">
        <f>(SUM(X$134:X$149)/16)/(SUM($J$134:$J$149)/16)*MITRE[[#This Row],[Trenes Corridos]]</f>
        <v>5958.7261908271248</v>
      </c>
      <c r="Y97" s="16"/>
      <c r="Z97" s="16"/>
      <c r="AA97" s="16"/>
      <c r="AB97" s="17"/>
      <c r="AC97" s="18">
        <v>2000</v>
      </c>
      <c r="AD97" s="21" t="s">
        <v>43</v>
      </c>
      <c r="AE97" s="41"/>
      <c r="AF97" s="41"/>
      <c r="AG97" s="41"/>
      <c r="AH97" s="16"/>
      <c r="AI97" s="16"/>
      <c r="AJ97" s="16"/>
      <c r="AK97" s="16"/>
      <c r="AL97" s="69">
        <f>(SUM(AL$134:AL$149)/16)/(SUM($J$134:$J$149)/16)*MITRE[[#This Row],[Trenes Corridos]]</f>
        <v>4659.7930607552398</v>
      </c>
      <c r="AM97" s="16"/>
      <c r="AN97" s="16"/>
      <c r="AO97" s="16"/>
      <c r="AP97" s="17"/>
      <c r="AQ97" s="18">
        <v>2000</v>
      </c>
      <c r="AR97" s="21" t="s">
        <v>43</v>
      </c>
      <c r="AS97" s="41"/>
      <c r="AT97" s="41"/>
      <c r="AU97" s="41"/>
      <c r="AV97" s="16"/>
      <c r="AW97" s="16"/>
      <c r="AX97" s="16"/>
      <c r="AY97" s="16"/>
      <c r="AZ97" s="69">
        <f>(SUM(AZ$134:AZ$149)/16)/(SUM($J$134:$J$149)/16)*MITRE[[#This Row],[Trenes Corridos]]</f>
        <v>3358.302710760925</v>
      </c>
      <c r="BA97" s="16"/>
      <c r="BB97" s="16"/>
      <c r="BC97" s="16"/>
      <c r="BD97" s="17"/>
      <c r="BE97" s="18">
        <v>2000</v>
      </c>
      <c r="BF97" s="21" t="s">
        <v>43</v>
      </c>
      <c r="BG97" s="41"/>
      <c r="BH97" s="41"/>
      <c r="BI97" s="41"/>
      <c r="BJ97" s="16"/>
      <c r="BK97" s="16"/>
      <c r="BL97" s="16"/>
      <c r="BM97" s="16"/>
      <c r="BN97" s="69">
        <f>(SUM(BN$134:BN$149)/16)/(SUM($J$134:$J$149)/16)*MITRE[[#This Row],[Trenes Corridos]]</f>
        <v>1008.6886688761523</v>
      </c>
      <c r="BO97" s="16"/>
      <c r="BP97" s="16"/>
      <c r="BQ97" s="16"/>
      <c r="BR97" s="17"/>
      <c r="BS97" s="18">
        <v>2000</v>
      </c>
      <c r="BT97" s="21" t="s">
        <v>43</v>
      </c>
      <c r="BU97" s="41"/>
      <c r="BV97" s="41"/>
      <c r="BW97" s="41"/>
      <c r="BX97" s="16"/>
      <c r="BY97" s="16"/>
      <c r="BZ97" s="16"/>
      <c r="CA97" s="16"/>
      <c r="CB97" s="69">
        <f>(SUM(CB$134:CB$149)/16)/(SUM($J$134:$J$149)/16)*MITRE[[#This Row],[Trenes Corridos]]</f>
        <v>994.4893687805577</v>
      </c>
      <c r="CC97" s="16"/>
      <c r="CD97" s="16"/>
      <c r="CI97" s="40"/>
      <c r="CJ97" s="40"/>
      <c r="CK97" s="40"/>
      <c r="CL97" s="40"/>
      <c r="CM97" s="40"/>
    </row>
    <row r="98" spans="1:91" s="18" customFormat="1" ht="15" customHeight="1">
      <c r="A98" s="18">
        <v>2000</v>
      </c>
      <c r="B98" s="21" t="s">
        <v>44</v>
      </c>
      <c r="C98" s="15">
        <f>+MITRE[[#This Row],[Trenes Puntuales]]/MITRE[[#This Row],[Trenes Programados]]</f>
        <v>0.9544589623239883</v>
      </c>
      <c r="D98" s="15">
        <f>+MITRE[[#This Row],[Trenes Puntuales]]/MITRE[[#This Row],[Trenes Corridos]]</f>
        <v>0.97008767405879315</v>
      </c>
      <c r="E98" s="15">
        <f>+MITRE[[#This Row],[Trenes Corridos]]/MITRE[[#This Row],[Trenes Programados]]</f>
        <v>0.98388938221489286</v>
      </c>
      <c r="F98" s="16">
        <f>+Tabla4[[#This Row],[Trenes Programados por Día Hábil]]+Tabla5[[#This Row],[Trenes Programados por Día Hábil]]+Tabla6[[#This Row],[Trenes Programados por Día Hábil]]+MIT_Vic_Cap[[#This Row],[Trenes Programados por Día Hábil]]+Tabla8[[#This Row],[Trenes Programados por Día Hábil]]</f>
        <v>0</v>
      </c>
      <c r="G9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8" s="16">
        <v>15766</v>
      </c>
      <c r="I98" s="16">
        <f t="shared" si="14"/>
        <v>254</v>
      </c>
      <c r="J98" s="16">
        <v>15512</v>
      </c>
      <c r="K98" s="16">
        <v>15048</v>
      </c>
      <c r="L98" s="16">
        <f t="shared" si="15"/>
        <v>464</v>
      </c>
      <c r="M98" s="16"/>
      <c r="N98" s="17"/>
      <c r="O98" s="18">
        <v>2000</v>
      </c>
      <c r="P98" s="21" t="s">
        <v>44</v>
      </c>
      <c r="Q98" s="41"/>
      <c r="R98" s="41"/>
      <c r="S98" s="41"/>
      <c r="T98" s="16"/>
      <c r="U98" s="16"/>
      <c r="V98" s="16"/>
      <c r="W98" s="16"/>
      <c r="X98" s="69">
        <f>(SUM(X$134:X$149)/16)/(SUM($J$134:$J$149)/16)*MITRE[[#This Row],[Trenes Corridos]]</f>
        <v>5784.2153111458301</v>
      </c>
      <c r="Y98" s="16"/>
      <c r="Z98" s="16"/>
      <c r="AA98" s="16"/>
      <c r="AB98" s="17"/>
      <c r="AC98" s="18">
        <v>2000</v>
      </c>
      <c r="AD98" s="21" t="s">
        <v>44</v>
      </c>
      <c r="AE98" s="41"/>
      <c r="AF98" s="41"/>
      <c r="AG98" s="41"/>
      <c r="AH98" s="16"/>
      <c r="AI98" s="16"/>
      <c r="AJ98" s="16"/>
      <c r="AK98" s="16"/>
      <c r="AL98" s="69">
        <f>(SUM(AL$134:AL$149)/16)/(SUM($J$134:$J$149)/16)*MITRE[[#This Row],[Trenes Corridos]]</f>
        <v>4523.3235268107182</v>
      </c>
      <c r="AM98" s="16"/>
      <c r="AN98" s="16"/>
      <c r="AO98" s="16"/>
      <c r="AP98" s="17"/>
      <c r="AQ98" s="18">
        <v>2000</v>
      </c>
      <c r="AR98" s="21" t="s">
        <v>44</v>
      </c>
      <c r="AS98" s="41"/>
      <c r="AT98" s="41"/>
      <c r="AU98" s="41"/>
      <c r="AV98" s="16"/>
      <c r="AW98" s="16"/>
      <c r="AX98" s="16"/>
      <c r="AY98" s="16"/>
      <c r="AZ98" s="69">
        <f>(SUM(AZ$134:AZ$149)/16)/(SUM($J$134:$J$149)/16)*MITRE[[#This Row],[Trenes Corridos]]</f>
        <v>3259.9494148512808</v>
      </c>
      <c r="BA98" s="16"/>
      <c r="BB98" s="16"/>
      <c r="BC98" s="16"/>
      <c r="BD98" s="17"/>
      <c r="BE98" s="18">
        <v>2000</v>
      </c>
      <c r="BF98" s="21" t="s">
        <v>44</v>
      </c>
      <c r="BG98" s="41"/>
      <c r="BH98" s="41"/>
      <c r="BI98" s="41"/>
      <c r="BJ98" s="16"/>
      <c r="BK98" s="16"/>
      <c r="BL98" s="16"/>
      <c r="BM98" s="16"/>
      <c r="BN98" s="69">
        <f>(SUM(BN$134:BN$149)/16)/(SUM($J$134:$J$149)/16)*MITRE[[#This Row],[Trenes Corridos]]</f>
        <v>979.1475989741474</v>
      </c>
      <c r="BO98" s="16"/>
      <c r="BP98" s="16"/>
      <c r="BQ98" s="16"/>
      <c r="BR98" s="17"/>
      <c r="BS98" s="18">
        <v>2000</v>
      </c>
      <c r="BT98" s="21" t="s">
        <v>44</v>
      </c>
      <c r="BU98" s="41"/>
      <c r="BV98" s="41"/>
      <c r="BW98" s="41"/>
      <c r="BX98" s="16"/>
      <c r="BY98" s="16"/>
      <c r="BZ98" s="16"/>
      <c r="CA98" s="16"/>
      <c r="CB98" s="69">
        <f>(SUM(CB$134:CB$149)/16)/(SUM($J$134:$J$149)/16)*MITRE[[#This Row],[Trenes Corridos]]</f>
        <v>965.36414821802316</v>
      </c>
      <c r="CC98" s="16"/>
      <c r="CD98" s="16"/>
      <c r="CI98" s="40"/>
      <c r="CJ98" s="40"/>
      <c r="CK98" s="40"/>
      <c r="CL98" s="40"/>
      <c r="CM98" s="40"/>
    </row>
    <row r="99" spans="1:91" s="18" customFormat="1" ht="15" customHeight="1">
      <c r="A99" s="18">
        <v>2000</v>
      </c>
      <c r="B99" s="21" t="s">
        <v>45</v>
      </c>
      <c r="C99" s="15">
        <f>+MITRE[[#This Row],[Trenes Puntuales]]/MITRE[[#This Row],[Trenes Programados]]</f>
        <v>0.95776942355889727</v>
      </c>
      <c r="D99" s="15">
        <f>+MITRE[[#This Row],[Trenes Puntuales]]/MITRE[[#This Row],[Trenes Corridos]]</f>
        <v>0.9713414246679799</v>
      </c>
      <c r="E99" s="15">
        <f>+MITRE[[#This Row],[Trenes Corridos]]/MITRE[[#This Row],[Trenes Programados]]</f>
        <v>0.98602756892230581</v>
      </c>
      <c r="F99" s="16">
        <f>+Tabla4[[#This Row],[Trenes Programados por Día Hábil]]+Tabla5[[#This Row],[Trenes Programados por Día Hábil]]+Tabla6[[#This Row],[Trenes Programados por Día Hábil]]+MIT_Vic_Cap[[#This Row],[Trenes Programados por Día Hábil]]+Tabla8[[#This Row],[Trenes Programados por Día Hábil]]</f>
        <v>0</v>
      </c>
      <c r="G9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9" s="16">
        <v>15960</v>
      </c>
      <c r="I99" s="16">
        <f t="shared" si="14"/>
        <v>223</v>
      </c>
      <c r="J99" s="16">
        <v>15737</v>
      </c>
      <c r="K99" s="16">
        <v>15286</v>
      </c>
      <c r="L99" s="16">
        <f t="shared" si="15"/>
        <v>451</v>
      </c>
      <c r="M99" s="16"/>
      <c r="N99" s="17"/>
      <c r="O99" s="18">
        <v>2000</v>
      </c>
      <c r="P99" s="21" t="s">
        <v>45</v>
      </c>
      <c r="Q99" s="41"/>
      <c r="R99" s="41"/>
      <c r="S99" s="41"/>
      <c r="T99" s="16"/>
      <c r="U99" s="16"/>
      <c r="V99" s="16"/>
      <c r="W99" s="16"/>
      <c r="X99" s="69">
        <f>(SUM(X$134:X$149)/16)/(SUM($J$134:$J$149)/16)*MITRE[[#This Row],[Trenes Corridos]]</f>
        <v>5868.1147725310684</v>
      </c>
      <c r="Y99" s="16"/>
      <c r="Z99" s="16"/>
      <c r="AA99" s="16"/>
      <c r="AB99" s="17"/>
      <c r="AC99" s="18">
        <v>2000</v>
      </c>
      <c r="AD99" s="21" t="s">
        <v>45</v>
      </c>
      <c r="AE99" s="41"/>
      <c r="AF99" s="41"/>
      <c r="AG99" s="41"/>
      <c r="AH99" s="16"/>
      <c r="AI99" s="16"/>
      <c r="AJ99" s="16"/>
      <c r="AK99" s="16"/>
      <c r="AL99" s="69">
        <f>(SUM(AL$134:AL$149)/16)/(SUM($J$134:$J$149)/16)*MITRE[[#This Row],[Trenes Corridos]]</f>
        <v>4588.9338796686607</v>
      </c>
      <c r="AM99" s="16"/>
      <c r="AN99" s="16"/>
      <c r="AO99" s="16"/>
      <c r="AP99" s="17"/>
      <c r="AQ99" s="18">
        <v>2000</v>
      </c>
      <c r="AR99" s="21" t="s">
        <v>45</v>
      </c>
      <c r="AS99" s="41"/>
      <c r="AT99" s="41"/>
      <c r="AU99" s="41"/>
      <c r="AV99" s="16"/>
      <c r="AW99" s="16"/>
      <c r="AX99" s="16"/>
      <c r="AY99" s="16"/>
      <c r="AZ99" s="69">
        <f>(SUM(AZ$134:AZ$149)/16)/(SUM($J$134:$J$149)/16)*MITRE[[#This Row],[Trenes Corridos]]</f>
        <v>3307.2346532693791</v>
      </c>
      <c r="BA99" s="16"/>
      <c r="BB99" s="16"/>
      <c r="BC99" s="16"/>
      <c r="BD99" s="17"/>
      <c r="BE99" s="18">
        <v>2000</v>
      </c>
      <c r="BF99" s="21" t="s">
        <v>45</v>
      </c>
      <c r="BG99" s="41"/>
      <c r="BH99" s="41"/>
      <c r="BI99" s="41"/>
      <c r="BJ99" s="16"/>
      <c r="BK99" s="16"/>
      <c r="BL99" s="16"/>
      <c r="BM99" s="16"/>
      <c r="BN99" s="69">
        <f>(SUM(BN$134:BN$149)/16)/(SUM($J$134:$J$149)/16)*MITRE[[#This Row],[Trenes Corridos]]</f>
        <v>993.35003642703441</v>
      </c>
      <c r="BO99" s="16"/>
      <c r="BP99" s="16"/>
      <c r="BQ99" s="16"/>
      <c r="BR99" s="17"/>
      <c r="BS99" s="18">
        <v>2000</v>
      </c>
      <c r="BT99" s="21" t="s">
        <v>45</v>
      </c>
      <c r="BU99" s="41"/>
      <c r="BV99" s="41"/>
      <c r="BW99" s="41"/>
      <c r="BX99" s="16"/>
      <c r="BY99" s="16"/>
      <c r="BZ99" s="16"/>
      <c r="CA99" s="16"/>
      <c r="CB99" s="69">
        <f>(SUM(CB$134:CB$149)/16)/(SUM($J$134:$J$149)/16)*MITRE[[#This Row],[Trenes Corridos]]</f>
        <v>979.36665810385705</v>
      </c>
      <c r="CC99" s="16"/>
      <c r="CD99" s="16"/>
      <c r="CI99" s="40"/>
      <c r="CJ99" s="40"/>
      <c r="CK99" s="40"/>
      <c r="CL99" s="40"/>
      <c r="CM99" s="40"/>
    </row>
    <row r="100" spans="1:91" s="18" customFormat="1" ht="15" customHeight="1">
      <c r="A100" s="18">
        <v>2000</v>
      </c>
      <c r="B100" s="21" t="s">
        <v>46</v>
      </c>
      <c r="C100" s="15">
        <f>+MITRE[[#This Row],[Trenes Puntuales]]/MITRE[[#This Row],[Trenes Programados]]</f>
        <v>0.92936427850655901</v>
      </c>
      <c r="D100" s="15">
        <f>+MITRE[[#This Row],[Trenes Puntuales]]/MITRE[[#This Row],[Trenes Corridos]]</f>
        <v>0.97816130102887489</v>
      </c>
      <c r="E100" s="15">
        <f>+MITRE[[#This Row],[Trenes Corridos]]/MITRE[[#This Row],[Trenes Programados]]</f>
        <v>0.95011352169525731</v>
      </c>
      <c r="F100" s="16">
        <f>+Tabla4[[#This Row],[Trenes Programados por Día Hábil]]+Tabla5[[#This Row],[Trenes Programados por Día Hábil]]+Tabla6[[#This Row],[Trenes Programados por Día Hábil]]+MIT_Vic_Cap[[#This Row],[Trenes Programados por Día Hábil]]+Tabla8[[#This Row],[Trenes Programados por Día Hábil]]</f>
        <v>0</v>
      </c>
      <c r="G10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0" s="16">
        <v>15856</v>
      </c>
      <c r="I100" s="16">
        <f t="shared" si="14"/>
        <v>791</v>
      </c>
      <c r="J100" s="16">
        <v>15065</v>
      </c>
      <c r="K100" s="16">
        <v>14736</v>
      </c>
      <c r="L100" s="16">
        <f t="shared" si="15"/>
        <v>329</v>
      </c>
      <c r="M100" s="16"/>
      <c r="N100" s="17"/>
      <c r="O100" s="18">
        <v>2000</v>
      </c>
      <c r="P100" s="21" t="s">
        <v>46</v>
      </c>
      <c r="Q100" s="41"/>
      <c r="R100" s="41"/>
      <c r="S100" s="41"/>
      <c r="T100" s="16"/>
      <c r="U100" s="16"/>
      <c r="V100" s="16"/>
      <c r="W100" s="16"/>
      <c r="X100" s="69">
        <f>(SUM(X$134:X$149)/16)/(SUM($J$134:$J$149)/16)*MITRE[[#This Row],[Trenes Corridos]]</f>
        <v>5617.5350478604905</v>
      </c>
      <c r="Y100" s="16"/>
      <c r="Z100" s="16"/>
      <c r="AA100" s="16"/>
      <c r="AB100" s="17"/>
      <c r="AC100" s="18">
        <v>2000</v>
      </c>
      <c r="AD100" s="21" t="s">
        <v>46</v>
      </c>
      <c r="AE100" s="41"/>
      <c r="AF100" s="41"/>
      <c r="AG100" s="41"/>
      <c r="AH100" s="16"/>
      <c r="AI100" s="16"/>
      <c r="AJ100" s="16"/>
      <c r="AK100" s="16"/>
      <c r="AL100" s="69">
        <f>(SUM(AL$134:AL$149)/16)/(SUM($J$134:$J$149)/16)*MITRE[[#This Row],[Trenes Corridos]]</f>
        <v>4392.9776257996045</v>
      </c>
      <c r="AM100" s="16"/>
      <c r="AN100" s="16"/>
      <c r="AO100" s="16"/>
      <c r="AP100" s="17"/>
      <c r="AQ100" s="18">
        <v>2000</v>
      </c>
      <c r="AR100" s="21" t="s">
        <v>46</v>
      </c>
      <c r="AS100" s="41"/>
      <c r="AT100" s="41"/>
      <c r="AU100" s="41"/>
      <c r="AV100" s="16"/>
      <c r="AW100" s="16"/>
      <c r="AX100" s="16"/>
      <c r="AY100" s="16"/>
      <c r="AZ100" s="69">
        <f>(SUM(AZ$134:AZ$149)/16)/(SUM($J$134:$J$149)/16)*MITRE[[#This Row],[Trenes Corridos]]</f>
        <v>3166.0094078606594</v>
      </c>
      <c r="BA100" s="16"/>
      <c r="BB100" s="16"/>
      <c r="BC100" s="16"/>
      <c r="BD100" s="17"/>
      <c r="BE100" s="18">
        <v>2000</v>
      </c>
      <c r="BF100" s="21" t="s">
        <v>46</v>
      </c>
      <c r="BG100" s="41"/>
      <c r="BH100" s="41"/>
      <c r="BI100" s="41"/>
      <c r="BJ100" s="16"/>
      <c r="BK100" s="16"/>
      <c r="BL100" s="16"/>
      <c r="BM100" s="16"/>
      <c r="BN100" s="69">
        <f>(SUM(BN$134:BN$149)/16)/(SUM($J$134:$J$149)/16)*MITRE[[#This Row],[Trenes Corridos]]</f>
        <v>950.93208990107848</v>
      </c>
      <c r="BO100" s="16"/>
      <c r="BP100" s="16"/>
      <c r="BQ100" s="16"/>
      <c r="BR100" s="17"/>
      <c r="BS100" s="18">
        <v>2000</v>
      </c>
      <c r="BT100" s="21" t="s">
        <v>46</v>
      </c>
      <c r="BU100" s="41"/>
      <c r="BV100" s="41"/>
      <c r="BW100" s="41"/>
      <c r="BX100" s="16"/>
      <c r="BY100" s="16"/>
      <c r="BZ100" s="16"/>
      <c r="CA100" s="16"/>
      <c r="CB100" s="69">
        <f>(SUM(CB$134:CB$149)/16)/(SUM($J$134:$J$149)/16)*MITRE[[#This Row],[Trenes Corridos]]</f>
        <v>937.54582857816649</v>
      </c>
      <c r="CC100" s="16"/>
      <c r="CD100" s="16"/>
      <c r="CI100" s="40"/>
      <c r="CJ100" s="40"/>
      <c r="CK100" s="40"/>
      <c r="CL100" s="40"/>
      <c r="CM100" s="40"/>
    </row>
    <row r="101" spans="1:91" s="18" customFormat="1" ht="15" customHeight="1">
      <c r="A101" s="18">
        <v>2000</v>
      </c>
      <c r="B101" s="21" t="s">
        <v>47</v>
      </c>
      <c r="C101" s="15">
        <f>+MITRE[[#This Row],[Trenes Puntuales]]/MITRE[[#This Row],[Trenes Programados]]</f>
        <v>0.94339622641509435</v>
      </c>
      <c r="D101" s="15">
        <f>+MITRE[[#This Row],[Trenes Puntuales]]/MITRE[[#This Row],[Trenes Corridos]]</f>
        <v>0.97263435542367294</v>
      </c>
      <c r="E101" s="15">
        <f>+MITRE[[#This Row],[Trenes Corridos]]/MITRE[[#This Row],[Trenes Programados]]</f>
        <v>0.9699392388871122</v>
      </c>
      <c r="F101" s="16">
        <f>+Tabla4[[#This Row],[Trenes Programados por Día Hábil]]+Tabla5[[#This Row],[Trenes Programados por Día Hábil]]+Tabla6[[#This Row],[Trenes Programados por Día Hábil]]+MIT_Vic_Cap[[#This Row],[Trenes Programados por Día Hábil]]+Tabla8[[#This Row],[Trenes Programados por Día Hábil]]</f>
        <v>0</v>
      </c>
      <c r="G10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1" s="16">
        <v>15635</v>
      </c>
      <c r="I101" s="16">
        <f t="shared" si="14"/>
        <v>470</v>
      </c>
      <c r="J101" s="16">
        <v>15165</v>
      </c>
      <c r="K101" s="16">
        <v>14750</v>
      </c>
      <c r="L101" s="16">
        <f t="shared" si="15"/>
        <v>415</v>
      </c>
      <c r="M101" s="16"/>
      <c r="N101" s="17"/>
      <c r="O101" s="18">
        <v>2000</v>
      </c>
      <c r="P101" s="21" t="s">
        <v>47</v>
      </c>
      <c r="Q101" s="41"/>
      <c r="R101" s="41"/>
      <c r="S101" s="41"/>
      <c r="T101" s="16"/>
      <c r="U101" s="16"/>
      <c r="V101" s="16"/>
      <c r="W101" s="16"/>
      <c r="X101" s="69">
        <f>(SUM(X$134:X$149)/16)/(SUM($J$134:$J$149)/16)*MITRE[[#This Row],[Trenes Corridos]]</f>
        <v>5654.823697365041</v>
      </c>
      <c r="Y101" s="16"/>
      <c r="Z101" s="16"/>
      <c r="AA101" s="16"/>
      <c r="AB101" s="17"/>
      <c r="AC101" s="18">
        <v>2000</v>
      </c>
      <c r="AD101" s="21" t="s">
        <v>47</v>
      </c>
      <c r="AE101" s="41"/>
      <c r="AF101" s="41"/>
      <c r="AG101" s="41"/>
      <c r="AH101" s="16"/>
      <c r="AI101" s="16"/>
      <c r="AJ101" s="16"/>
      <c r="AK101" s="16"/>
      <c r="AL101" s="69">
        <f>(SUM(AL$134:AL$149)/16)/(SUM($J$134:$J$149)/16)*MITRE[[#This Row],[Trenes Corridos]]</f>
        <v>4422.1377826253574</v>
      </c>
      <c r="AM101" s="16"/>
      <c r="AN101" s="16"/>
      <c r="AO101" s="16"/>
      <c r="AP101" s="17"/>
      <c r="AQ101" s="18">
        <v>2000</v>
      </c>
      <c r="AR101" s="21" t="s">
        <v>47</v>
      </c>
      <c r="AS101" s="41"/>
      <c r="AT101" s="41"/>
      <c r="AU101" s="41"/>
      <c r="AV101" s="16"/>
      <c r="AW101" s="16"/>
      <c r="AX101" s="16"/>
      <c r="AY101" s="16"/>
      <c r="AZ101" s="69">
        <f>(SUM(AZ$134:AZ$149)/16)/(SUM($J$134:$J$149)/16)*MITRE[[#This Row],[Trenes Corridos]]</f>
        <v>3187.0250693798139</v>
      </c>
      <c r="BA101" s="16"/>
      <c r="BB101" s="16"/>
      <c r="BC101" s="16"/>
      <c r="BD101" s="17"/>
      <c r="BE101" s="18">
        <v>2000</v>
      </c>
      <c r="BF101" s="21" t="s">
        <v>47</v>
      </c>
      <c r="BG101" s="41"/>
      <c r="BH101" s="41"/>
      <c r="BI101" s="41"/>
      <c r="BJ101" s="16"/>
      <c r="BK101" s="16"/>
      <c r="BL101" s="16"/>
      <c r="BM101" s="16"/>
      <c r="BN101" s="69">
        <f>(SUM(BN$134:BN$149)/16)/(SUM($J$134:$J$149)/16)*MITRE[[#This Row],[Trenes Corridos]]</f>
        <v>957.24428432458387</v>
      </c>
      <c r="BO101" s="16"/>
      <c r="BP101" s="16"/>
      <c r="BQ101" s="16"/>
      <c r="BR101" s="17"/>
      <c r="BS101" s="18">
        <v>2000</v>
      </c>
      <c r="BT101" s="21" t="s">
        <v>47</v>
      </c>
      <c r="BU101" s="41"/>
      <c r="BV101" s="41"/>
      <c r="BW101" s="41"/>
      <c r="BX101" s="16"/>
      <c r="BY101" s="16"/>
      <c r="BZ101" s="16"/>
      <c r="CA101" s="16"/>
      <c r="CB101" s="69">
        <f>(SUM(CB$134:CB$149)/16)/(SUM($J$134:$J$149)/16)*MITRE[[#This Row],[Trenes Corridos]]</f>
        <v>943.76916630520384</v>
      </c>
      <c r="CC101" s="16"/>
      <c r="CD101" s="16"/>
      <c r="CI101" s="40"/>
      <c r="CJ101" s="40"/>
      <c r="CK101" s="40"/>
      <c r="CL101" s="40"/>
      <c r="CM101" s="40"/>
    </row>
    <row r="102" spans="1:91" s="18" customFormat="1" ht="15" customHeight="1">
      <c r="A102" s="18">
        <v>2001</v>
      </c>
      <c r="B102" s="21" t="s">
        <v>36</v>
      </c>
      <c r="C102" s="15">
        <f>+MITRE[[#This Row],[Trenes Puntuales]]/MITRE[[#This Row],[Trenes Programados]]</f>
        <v>0.95552810376775787</v>
      </c>
      <c r="D102" s="15">
        <f>+MITRE[[#This Row],[Trenes Puntuales]]/MITRE[[#This Row],[Trenes Corridos]]</f>
        <v>0.97387472458293989</v>
      </c>
      <c r="E102" s="15">
        <f>+MITRE[[#This Row],[Trenes Corridos]]/MITRE[[#This Row],[Trenes Programados]]</f>
        <v>0.98116121062384187</v>
      </c>
      <c r="F102" s="16">
        <f>+Tabla4[[#This Row],[Trenes Programados por Día Hábil]]+Tabla5[[#This Row],[Trenes Programados por Día Hábil]]+Tabla6[[#This Row],[Trenes Programados por Día Hábil]]+MIT_Vic_Cap[[#This Row],[Trenes Programados por Día Hábil]]+Tabla8[[#This Row],[Trenes Programados por Día Hábil]]</f>
        <v>0</v>
      </c>
      <c r="G10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2" s="16">
        <v>16190</v>
      </c>
      <c r="I102" s="16">
        <f t="shared" ref="I102:I113" si="16">H102-J102</f>
        <v>305</v>
      </c>
      <c r="J102" s="16">
        <v>15885</v>
      </c>
      <c r="K102" s="16">
        <v>15470</v>
      </c>
      <c r="L102" s="16">
        <f t="shared" ref="L102:L113" si="17">J102-K102</f>
        <v>415</v>
      </c>
      <c r="M102" s="16"/>
      <c r="N102" s="17"/>
      <c r="O102" s="18">
        <v>2001</v>
      </c>
      <c r="P102" s="21" t="s">
        <v>36</v>
      </c>
      <c r="Q102" s="41"/>
      <c r="R102" s="41"/>
      <c r="S102" s="41"/>
      <c r="T102" s="16"/>
      <c r="U102" s="16"/>
      <c r="V102" s="16"/>
      <c r="W102" s="16"/>
      <c r="X102" s="69">
        <f>(SUM(X$134:X$149)/16)/(SUM($J$134:$J$149)/16)*MITRE[[#This Row],[Trenes Corridos]]</f>
        <v>5923.301973797802</v>
      </c>
      <c r="Y102" s="16"/>
      <c r="Z102" s="16"/>
      <c r="AA102" s="16"/>
      <c r="AB102" s="17"/>
      <c r="AC102" s="18">
        <v>2001</v>
      </c>
      <c r="AD102" s="21" t="s">
        <v>36</v>
      </c>
      <c r="AE102" s="41"/>
      <c r="AF102" s="41"/>
      <c r="AG102" s="41"/>
      <c r="AH102" s="16"/>
      <c r="AI102" s="16"/>
      <c r="AJ102" s="16"/>
      <c r="AK102" s="16"/>
      <c r="AL102" s="69">
        <f>(SUM(AL$134:AL$149)/16)/(SUM($J$134:$J$149)/16)*MITRE[[#This Row],[Trenes Corridos]]</f>
        <v>4632.0909117707743</v>
      </c>
      <c r="AM102" s="16"/>
      <c r="AN102" s="16"/>
      <c r="AO102" s="16"/>
      <c r="AP102" s="17"/>
      <c r="AQ102" s="18">
        <v>2001</v>
      </c>
      <c r="AR102" s="21" t="s">
        <v>36</v>
      </c>
      <c r="AS102" s="41"/>
      <c r="AT102" s="41"/>
      <c r="AU102" s="41"/>
      <c r="AV102" s="16"/>
      <c r="AW102" s="16"/>
      <c r="AX102" s="16"/>
      <c r="AY102" s="16"/>
      <c r="AZ102" s="69">
        <f>(SUM(AZ$134:AZ$149)/16)/(SUM($J$134:$J$149)/16)*MITRE[[#This Row],[Trenes Corridos]]</f>
        <v>3338.337832317728</v>
      </c>
      <c r="BA102" s="16"/>
      <c r="BB102" s="16"/>
      <c r="BC102" s="16"/>
      <c r="BD102" s="17"/>
      <c r="BE102" s="18">
        <v>2001</v>
      </c>
      <c r="BF102" s="21" t="s">
        <v>36</v>
      </c>
      <c r="BG102" s="41"/>
      <c r="BH102" s="41"/>
      <c r="BI102" s="41"/>
      <c r="BJ102" s="16"/>
      <c r="BK102" s="16"/>
      <c r="BL102" s="16"/>
      <c r="BM102" s="16"/>
      <c r="BN102" s="69">
        <f>(SUM(BN$134:BN$149)/16)/(SUM($J$134:$J$149)/16)*MITRE[[#This Row],[Trenes Corridos]]</f>
        <v>1002.6920841738223</v>
      </c>
      <c r="BO102" s="16"/>
      <c r="BP102" s="16"/>
      <c r="BQ102" s="16"/>
      <c r="BR102" s="17"/>
      <c r="BS102" s="18">
        <v>2001</v>
      </c>
      <c r="BT102" s="21" t="s">
        <v>36</v>
      </c>
      <c r="BU102" s="41"/>
      <c r="BV102" s="41"/>
      <c r="BW102" s="41"/>
      <c r="BX102" s="16"/>
      <c r="BY102" s="16"/>
      <c r="BZ102" s="16"/>
      <c r="CA102" s="16"/>
      <c r="CB102" s="69">
        <f>(SUM(CB$134:CB$149)/16)/(SUM($J$134:$J$149)/16)*MITRE[[#This Row],[Trenes Corridos]]</f>
        <v>988.57719793987224</v>
      </c>
      <c r="CC102" s="16"/>
      <c r="CD102" s="16"/>
      <c r="CI102" s="40"/>
      <c r="CJ102" s="40"/>
      <c r="CK102" s="40"/>
      <c r="CL102" s="40"/>
      <c r="CM102" s="40"/>
    </row>
    <row r="103" spans="1:91" s="18" customFormat="1" ht="15" customHeight="1">
      <c r="A103" s="18">
        <v>2001</v>
      </c>
      <c r="B103" s="21" t="s">
        <v>37</v>
      </c>
      <c r="C103" s="15">
        <f>+MITRE[[#This Row],[Trenes Puntuales]]/MITRE[[#This Row],[Trenes Programados]]</f>
        <v>0.95452073419442551</v>
      </c>
      <c r="D103" s="15">
        <f>+MITRE[[#This Row],[Trenes Puntuales]]/MITRE[[#This Row],[Trenes Corridos]]</f>
        <v>0.97277262020230015</v>
      </c>
      <c r="E103" s="15">
        <f>+MITRE[[#This Row],[Trenes Corridos]]/MITRE[[#This Row],[Trenes Programados]]</f>
        <v>0.98123725356900071</v>
      </c>
      <c r="F103" s="16">
        <f>+Tabla4[[#This Row],[Trenes Programados por Día Hábil]]+Tabla5[[#This Row],[Trenes Programados por Día Hábil]]+Tabla6[[#This Row],[Trenes Programados por Día Hábil]]+MIT_Vic_Cap[[#This Row],[Trenes Programados por Día Hábil]]+Tabla8[[#This Row],[Trenes Programados por Día Hábil]]</f>
        <v>0</v>
      </c>
      <c r="G10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3" s="16">
        <v>14710</v>
      </c>
      <c r="I103" s="16">
        <f t="shared" si="16"/>
        <v>276</v>
      </c>
      <c r="J103" s="16">
        <v>14434</v>
      </c>
      <c r="K103" s="16">
        <v>14041</v>
      </c>
      <c r="L103" s="16">
        <f t="shared" si="17"/>
        <v>393</v>
      </c>
      <c r="M103" s="16"/>
      <c r="N103" s="17"/>
      <c r="O103" s="18">
        <v>2001</v>
      </c>
      <c r="P103" s="21" t="s">
        <v>37</v>
      </c>
      <c r="Q103" s="41"/>
      <c r="R103" s="41"/>
      <c r="S103" s="41"/>
      <c r="T103" s="16"/>
      <c r="U103" s="16"/>
      <c r="V103" s="16"/>
      <c r="W103" s="16"/>
      <c r="X103" s="69">
        <f>(SUM(X$134:X$149)/16)/(SUM($J$134:$J$149)/16)*MITRE[[#This Row],[Trenes Corridos]]</f>
        <v>5382.2436694867783</v>
      </c>
      <c r="Y103" s="16"/>
      <c r="Z103" s="16"/>
      <c r="AA103" s="16"/>
      <c r="AB103" s="17"/>
      <c r="AC103" s="18">
        <v>2001</v>
      </c>
      <c r="AD103" s="21" t="s">
        <v>37</v>
      </c>
      <c r="AE103" s="41"/>
      <c r="AF103" s="41"/>
      <c r="AG103" s="41"/>
      <c r="AH103" s="16"/>
      <c r="AI103" s="16"/>
      <c r="AJ103" s="16"/>
      <c r="AK103" s="16"/>
      <c r="AL103" s="69">
        <f>(SUM(AL$134:AL$149)/16)/(SUM($J$134:$J$149)/16)*MITRE[[#This Row],[Trenes Corridos]]</f>
        <v>4208.9770362291065</v>
      </c>
      <c r="AM103" s="16"/>
      <c r="AN103" s="16"/>
      <c r="AO103" s="16"/>
      <c r="AP103" s="17"/>
      <c r="AQ103" s="18">
        <v>2001</v>
      </c>
      <c r="AR103" s="21" t="s">
        <v>37</v>
      </c>
      <c r="AS103" s="41"/>
      <c r="AT103" s="41"/>
      <c r="AU103" s="41"/>
      <c r="AV103" s="16"/>
      <c r="AW103" s="16"/>
      <c r="AX103" s="16"/>
      <c r="AY103" s="16"/>
      <c r="AZ103" s="69">
        <f>(SUM(AZ$134:AZ$149)/16)/(SUM($J$134:$J$149)/16)*MITRE[[#This Row],[Trenes Corridos]]</f>
        <v>3033.4005836747929</v>
      </c>
      <c r="BA103" s="16"/>
      <c r="BB103" s="16"/>
      <c r="BC103" s="16"/>
      <c r="BD103" s="17"/>
      <c r="BE103" s="18">
        <v>2001</v>
      </c>
      <c r="BF103" s="21" t="s">
        <v>37</v>
      </c>
      <c r="BG103" s="41"/>
      <c r="BH103" s="41"/>
      <c r="BI103" s="41"/>
      <c r="BJ103" s="16"/>
      <c r="BK103" s="16"/>
      <c r="BL103" s="16"/>
      <c r="BM103" s="16"/>
      <c r="BN103" s="69">
        <f>(SUM(BN$134:BN$149)/16)/(SUM($J$134:$J$149)/16)*MITRE[[#This Row],[Trenes Corridos]]</f>
        <v>911.10214308875982</v>
      </c>
      <c r="BO103" s="16"/>
      <c r="BP103" s="16"/>
      <c r="BQ103" s="16"/>
      <c r="BR103" s="17"/>
      <c r="BS103" s="18">
        <v>2001</v>
      </c>
      <c r="BT103" s="21" t="s">
        <v>37</v>
      </c>
      <c r="BU103" s="41"/>
      <c r="BV103" s="41"/>
      <c r="BW103" s="41"/>
      <c r="BX103" s="16"/>
      <c r="BY103" s="16"/>
      <c r="BZ103" s="16"/>
      <c r="CA103" s="16"/>
      <c r="CB103" s="69">
        <f>(SUM(CB$134:CB$149)/16)/(SUM($J$134:$J$149)/16)*MITRE[[#This Row],[Trenes Corridos]]</f>
        <v>898.27656752056134</v>
      </c>
      <c r="CC103" s="16"/>
      <c r="CD103" s="16"/>
      <c r="CI103" s="40"/>
      <c r="CJ103" s="40"/>
      <c r="CK103" s="40"/>
      <c r="CL103" s="40"/>
      <c r="CM103" s="40"/>
    </row>
    <row r="104" spans="1:91" s="18" customFormat="1" ht="15" customHeight="1">
      <c r="A104" s="18">
        <v>2001</v>
      </c>
      <c r="B104" s="21" t="s">
        <v>38</v>
      </c>
      <c r="C104" s="15">
        <f>+MITRE[[#This Row],[Trenes Puntuales]]/MITRE[[#This Row],[Trenes Programados]]</f>
        <v>0.94215230166503428</v>
      </c>
      <c r="D104" s="15">
        <f>+MITRE[[#This Row],[Trenes Puntuales]]/MITRE[[#This Row],[Trenes Corridos]]</f>
        <v>0.96163698844111212</v>
      </c>
      <c r="E104" s="15">
        <f>+MITRE[[#This Row],[Trenes Corridos]]/MITRE[[#This Row],[Trenes Programados]]</f>
        <v>0.97973800195886385</v>
      </c>
      <c r="F104" s="16">
        <f>+Tabla4[[#This Row],[Trenes Programados por Día Hábil]]+Tabla5[[#This Row],[Trenes Programados por Día Hábil]]+Tabla6[[#This Row],[Trenes Programados por Día Hábil]]+MIT_Vic_Cap[[#This Row],[Trenes Programados por Día Hábil]]+Tabla8[[#This Row],[Trenes Programados por Día Hábil]]</f>
        <v>0</v>
      </c>
      <c r="G10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4" s="16">
        <v>16336</v>
      </c>
      <c r="I104" s="16">
        <f t="shared" si="16"/>
        <v>331</v>
      </c>
      <c r="J104" s="16">
        <v>16005</v>
      </c>
      <c r="K104" s="16">
        <v>15391</v>
      </c>
      <c r="L104" s="16">
        <f t="shared" si="17"/>
        <v>614</v>
      </c>
      <c r="M104" s="16"/>
      <c r="N104" s="17"/>
      <c r="O104" s="18">
        <v>2001</v>
      </c>
      <c r="P104" s="21" t="s">
        <v>38</v>
      </c>
      <c r="Q104" s="41"/>
      <c r="R104" s="41"/>
      <c r="S104" s="41"/>
      <c r="T104" s="16"/>
      <c r="U104" s="16"/>
      <c r="V104" s="16"/>
      <c r="W104" s="16"/>
      <c r="X104" s="69">
        <f>(SUM(X$134:X$149)/16)/(SUM($J$134:$J$149)/16)*MITRE[[#This Row],[Trenes Corridos]]</f>
        <v>5968.0483532032631</v>
      </c>
      <c r="Y104" s="16"/>
      <c r="Z104" s="16"/>
      <c r="AA104" s="16"/>
      <c r="AB104" s="17"/>
      <c r="AC104" s="18">
        <v>2001</v>
      </c>
      <c r="AD104" s="21" t="s">
        <v>38</v>
      </c>
      <c r="AE104" s="41"/>
      <c r="AF104" s="41"/>
      <c r="AG104" s="41"/>
      <c r="AH104" s="16"/>
      <c r="AI104" s="16"/>
      <c r="AJ104" s="16"/>
      <c r="AK104" s="16"/>
      <c r="AL104" s="69">
        <f>(SUM(AL$134:AL$149)/16)/(SUM($J$134:$J$149)/16)*MITRE[[#This Row],[Trenes Corridos]]</f>
        <v>4667.0830999616774</v>
      </c>
      <c r="AM104" s="16"/>
      <c r="AN104" s="16"/>
      <c r="AO104" s="16"/>
      <c r="AP104" s="17"/>
      <c r="AQ104" s="18">
        <v>2001</v>
      </c>
      <c r="AR104" s="21" t="s">
        <v>38</v>
      </c>
      <c r="AS104" s="41"/>
      <c r="AT104" s="41"/>
      <c r="AU104" s="41"/>
      <c r="AV104" s="16"/>
      <c r="AW104" s="16"/>
      <c r="AX104" s="16"/>
      <c r="AY104" s="16"/>
      <c r="AZ104" s="69">
        <f>(SUM(AZ$134:AZ$149)/16)/(SUM($J$134:$J$149)/16)*MITRE[[#This Row],[Trenes Corridos]]</f>
        <v>3363.5566261407134</v>
      </c>
      <c r="BA104" s="16"/>
      <c r="BB104" s="16"/>
      <c r="BC104" s="16"/>
      <c r="BD104" s="17"/>
      <c r="BE104" s="18">
        <v>2001</v>
      </c>
      <c r="BF104" s="21" t="s">
        <v>38</v>
      </c>
      <c r="BG104" s="41"/>
      <c r="BH104" s="41"/>
      <c r="BI104" s="41"/>
      <c r="BJ104" s="16"/>
      <c r="BK104" s="16"/>
      <c r="BL104" s="16"/>
      <c r="BM104" s="16"/>
      <c r="BN104" s="69">
        <f>(SUM(BN$134:BN$149)/16)/(SUM($J$134:$J$149)/16)*MITRE[[#This Row],[Trenes Corridos]]</f>
        <v>1010.2667174820286</v>
      </c>
      <c r="BO104" s="16"/>
      <c r="BP104" s="16"/>
      <c r="BQ104" s="16"/>
      <c r="BR104" s="17"/>
      <c r="BS104" s="18">
        <v>2001</v>
      </c>
      <c r="BT104" s="21" t="s">
        <v>38</v>
      </c>
      <c r="BU104" s="41"/>
      <c r="BV104" s="41"/>
      <c r="BW104" s="41"/>
      <c r="BX104" s="16"/>
      <c r="BY104" s="16"/>
      <c r="BZ104" s="16"/>
      <c r="CA104" s="16"/>
      <c r="CB104" s="69">
        <f>(SUM(CB$134:CB$149)/16)/(SUM($J$134:$J$149)/16)*MITRE[[#This Row],[Trenes Corridos]]</f>
        <v>996.04520321231701</v>
      </c>
      <c r="CC104" s="16"/>
      <c r="CD104" s="16"/>
      <c r="CI104" s="40"/>
      <c r="CJ104" s="40"/>
      <c r="CK104" s="40"/>
      <c r="CL104" s="40"/>
      <c r="CM104" s="40"/>
    </row>
    <row r="105" spans="1:91" s="18" customFormat="1" ht="15" customHeight="1">
      <c r="A105" s="18">
        <v>2001</v>
      </c>
      <c r="B105" s="21" t="s">
        <v>39</v>
      </c>
      <c r="C105" s="15">
        <f>+MITRE[[#This Row],[Trenes Puntuales]]/MITRE[[#This Row],[Trenes Programados]]</f>
        <v>0.95820341007098786</v>
      </c>
      <c r="D105" s="15">
        <f>+MITRE[[#This Row],[Trenes Puntuales]]/MITRE[[#This Row],[Trenes Corridos]]</f>
        <v>0.97825792468165806</v>
      </c>
      <c r="E105" s="15">
        <f>+MITRE[[#This Row],[Trenes Corridos]]/MITRE[[#This Row],[Trenes Programados]]</f>
        <v>0.97949976779672265</v>
      </c>
      <c r="F105" s="16">
        <f>+Tabla4[[#This Row],[Trenes Programados por Día Hábil]]+Tabla5[[#This Row],[Trenes Programados por Día Hábil]]+Tabla6[[#This Row],[Trenes Programados por Día Hábil]]+MIT_Vic_Cap[[#This Row],[Trenes Programados por Día Hábil]]+Tabla8[[#This Row],[Trenes Programados por Día Hábil]]</f>
        <v>0</v>
      </c>
      <c r="G10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5" s="16">
        <v>15073</v>
      </c>
      <c r="I105" s="16">
        <f t="shared" si="16"/>
        <v>309</v>
      </c>
      <c r="J105" s="16">
        <v>14764</v>
      </c>
      <c r="K105" s="16">
        <v>14443</v>
      </c>
      <c r="L105" s="16">
        <f t="shared" si="17"/>
        <v>321</v>
      </c>
      <c r="M105" s="16"/>
      <c r="N105" s="17"/>
      <c r="O105" s="18">
        <v>2001</v>
      </c>
      <c r="P105" s="21" t="s">
        <v>39</v>
      </c>
      <c r="Q105" s="41"/>
      <c r="R105" s="41"/>
      <c r="S105" s="41"/>
      <c r="T105" s="16"/>
      <c r="U105" s="16"/>
      <c r="V105" s="16"/>
      <c r="W105" s="16"/>
      <c r="X105" s="69">
        <f>(SUM(X$134:X$149)/16)/(SUM($J$134:$J$149)/16)*MITRE[[#This Row],[Trenes Corridos]]</f>
        <v>5505.2962128517947</v>
      </c>
      <c r="Y105" s="16"/>
      <c r="Z105" s="16"/>
      <c r="AA105" s="16"/>
      <c r="AB105" s="17"/>
      <c r="AC105" s="18">
        <v>2001</v>
      </c>
      <c r="AD105" s="21" t="s">
        <v>39</v>
      </c>
      <c r="AE105" s="41"/>
      <c r="AF105" s="41"/>
      <c r="AG105" s="41"/>
      <c r="AH105" s="16"/>
      <c r="AI105" s="16"/>
      <c r="AJ105" s="16"/>
      <c r="AK105" s="16"/>
      <c r="AL105" s="69">
        <f>(SUM(AL$134:AL$149)/16)/(SUM($J$134:$J$149)/16)*MITRE[[#This Row],[Trenes Corridos]]</f>
        <v>4305.20555375409</v>
      </c>
      <c r="AM105" s="16"/>
      <c r="AN105" s="16"/>
      <c r="AO105" s="16"/>
      <c r="AP105" s="17"/>
      <c r="AQ105" s="18">
        <v>2001</v>
      </c>
      <c r="AR105" s="21" t="s">
        <v>39</v>
      </c>
      <c r="AS105" s="41"/>
      <c r="AT105" s="41"/>
      <c r="AU105" s="41"/>
      <c r="AV105" s="16"/>
      <c r="AW105" s="16"/>
      <c r="AX105" s="16"/>
      <c r="AY105" s="16"/>
      <c r="AZ105" s="69">
        <f>(SUM(AZ$134:AZ$149)/16)/(SUM($J$134:$J$149)/16)*MITRE[[#This Row],[Trenes Corridos]]</f>
        <v>3102.7522666880036</v>
      </c>
      <c r="BA105" s="16"/>
      <c r="BB105" s="16"/>
      <c r="BC105" s="16"/>
      <c r="BD105" s="17"/>
      <c r="BE105" s="18">
        <v>2001</v>
      </c>
      <c r="BF105" s="21" t="s">
        <v>39</v>
      </c>
      <c r="BG105" s="41"/>
      <c r="BH105" s="41"/>
      <c r="BI105" s="41"/>
      <c r="BJ105" s="16"/>
      <c r="BK105" s="16"/>
      <c r="BL105" s="16"/>
      <c r="BM105" s="16"/>
      <c r="BN105" s="69">
        <f>(SUM(BN$134:BN$149)/16)/(SUM($J$134:$J$149)/16)*MITRE[[#This Row],[Trenes Corridos]]</f>
        <v>931.93238468632751</v>
      </c>
      <c r="BO105" s="16"/>
      <c r="BP105" s="16"/>
      <c r="BQ105" s="16"/>
      <c r="BR105" s="17"/>
      <c r="BS105" s="18">
        <v>2001</v>
      </c>
      <c r="BT105" s="21" t="s">
        <v>39</v>
      </c>
      <c r="BU105" s="41"/>
      <c r="BV105" s="41"/>
      <c r="BW105" s="41"/>
      <c r="BX105" s="16"/>
      <c r="BY105" s="16"/>
      <c r="BZ105" s="16"/>
      <c r="CA105" s="16"/>
      <c r="CB105" s="69">
        <f>(SUM(CB$134:CB$149)/16)/(SUM($J$134:$J$149)/16)*MITRE[[#This Row],[Trenes Corridos]]</f>
        <v>918.81358201978435</v>
      </c>
      <c r="CC105" s="16"/>
      <c r="CD105" s="16"/>
      <c r="CI105" s="40"/>
      <c r="CJ105" s="40"/>
      <c r="CK105" s="40"/>
      <c r="CL105" s="40"/>
      <c r="CM105" s="40"/>
    </row>
    <row r="106" spans="1:91" s="18" customFormat="1" ht="15" customHeight="1">
      <c r="A106" s="18">
        <v>2001</v>
      </c>
      <c r="B106" s="21" t="s">
        <v>40</v>
      </c>
      <c r="C106" s="15">
        <f>+MITRE[[#This Row],[Trenes Puntuales]]/MITRE[[#This Row],[Trenes Programados]]</f>
        <v>0.93859264364935147</v>
      </c>
      <c r="D106" s="15">
        <f>+MITRE[[#This Row],[Trenes Puntuales]]/MITRE[[#This Row],[Trenes Corridos]]</f>
        <v>0.95201474513791784</v>
      </c>
      <c r="E106" s="15">
        <f>+MITRE[[#This Row],[Trenes Corridos]]/MITRE[[#This Row],[Trenes Programados]]</f>
        <v>0.98590137226643271</v>
      </c>
      <c r="F106" s="16">
        <f>+Tabla4[[#This Row],[Trenes Programados por Día Hábil]]+Tabla5[[#This Row],[Trenes Programados por Día Hábil]]+Tabla6[[#This Row],[Trenes Programados por Día Hábil]]+MIT_Vic_Cap[[#This Row],[Trenes Programados por Día Hábil]]+Tabla8[[#This Row],[Trenes Programados por Día Hábil]]</f>
        <v>0</v>
      </c>
      <c r="G10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6" s="16">
        <v>15959</v>
      </c>
      <c r="I106" s="16">
        <f t="shared" si="16"/>
        <v>225</v>
      </c>
      <c r="J106" s="16">
        <v>15734</v>
      </c>
      <c r="K106" s="16">
        <v>14979</v>
      </c>
      <c r="L106" s="16">
        <f t="shared" si="17"/>
        <v>755</v>
      </c>
      <c r="M106" s="16"/>
      <c r="N106" s="17"/>
      <c r="O106" s="18">
        <v>2001</v>
      </c>
      <c r="P106" s="21" t="s">
        <v>40</v>
      </c>
      <c r="Q106" s="41"/>
      <c r="R106" s="41"/>
      <c r="S106" s="41"/>
      <c r="T106" s="16"/>
      <c r="U106" s="16"/>
      <c r="V106" s="16"/>
      <c r="W106" s="16"/>
      <c r="X106" s="69">
        <f>(SUM(X$134:X$149)/16)/(SUM($J$134:$J$149)/16)*MITRE[[#This Row],[Trenes Corridos]]</f>
        <v>5866.9961130459315</v>
      </c>
      <c r="Y106" s="16"/>
      <c r="Z106" s="16"/>
      <c r="AA106" s="16"/>
      <c r="AB106" s="17"/>
      <c r="AC106" s="18">
        <v>2001</v>
      </c>
      <c r="AD106" s="21" t="s">
        <v>40</v>
      </c>
      <c r="AE106" s="41"/>
      <c r="AF106" s="41"/>
      <c r="AG106" s="41"/>
      <c r="AH106" s="16"/>
      <c r="AI106" s="16"/>
      <c r="AJ106" s="16"/>
      <c r="AK106" s="16"/>
      <c r="AL106" s="69">
        <f>(SUM(AL$134:AL$149)/16)/(SUM($J$134:$J$149)/16)*MITRE[[#This Row],[Trenes Corridos]]</f>
        <v>4588.0590749638886</v>
      </c>
      <c r="AM106" s="16"/>
      <c r="AN106" s="16"/>
      <c r="AO106" s="16"/>
      <c r="AP106" s="17"/>
      <c r="AQ106" s="18">
        <v>2001</v>
      </c>
      <c r="AR106" s="21" t="s">
        <v>40</v>
      </c>
      <c r="AS106" s="41"/>
      <c r="AT106" s="41"/>
      <c r="AU106" s="41"/>
      <c r="AV106" s="16"/>
      <c r="AW106" s="16"/>
      <c r="AX106" s="16"/>
      <c r="AY106" s="16"/>
      <c r="AZ106" s="69">
        <f>(SUM(AZ$134:AZ$149)/16)/(SUM($J$134:$J$149)/16)*MITRE[[#This Row],[Trenes Corridos]]</f>
        <v>3306.6041834238044</v>
      </c>
      <c r="BA106" s="16"/>
      <c r="BB106" s="16"/>
      <c r="BC106" s="16"/>
      <c r="BD106" s="17"/>
      <c r="BE106" s="18">
        <v>2001</v>
      </c>
      <c r="BF106" s="21" t="s">
        <v>40</v>
      </c>
      <c r="BG106" s="41"/>
      <c r="BH106" s="41"/>
      <c r="BI106" s="41"/>
      <c r="BJ106" s="16"/>
      <c r="BK106" s="16"/>
      <c r="BL106" s="16"/>
      <c r="BM106" s="16"/>
      <c r="BN106" s="69">
        <f>(SUM(BN$134:BN$149)/16)/(SUM($J$134:$J$149)/16)*MITRE[[#This Row],[Trenes Corridos]]</f>
        <v>993.16067059432919</v>
      </c>
      <c r="BO106" s="16"/>
      <c r="BP106" s="16"/>
      <c r="BQ106" s="16"/>
      <c r="BR106" s="17"/>
      <c r="BS106" s="18">
        <v>2001</v>
      </c>
      <c r="BT106" s="21" t="s">
        <v>40</v>
      </c>
      <c r="BU106" s="41"/>
      <c r="BV106" s="41"/>
      <c r="BW106" s="41"/>
      <c r="BX106" s="16"/>
      <c r="BY106" s="16"/>
      <c r="BZ106" s="16"/>
      <c r="CA106" s="16"/>
      <c r="CB106" s="69">
        <f>(SUM(CB$134:CB$149)/16)/(SUM($J$134:$J$149)/16)*MITRE[[#This Row],[Trenes Corridos]]</f>
        <v>979.17995797204594</v>
      </c>
      <c r="CC106" s="16"/>
      <c r="CD106" s="16"/>
      <c r="CI106" s="40"/>
      <c r="CJ106" s="40"/>
      <c r="CK106" s="40"/>
      <c r="CL106" s="40"/>
      <c r="CM106" s="40"/>
    </row>
    <row r="107" spans="1:91" s="18" customFormat="1" ht="15" customHeight="1">
      <c r="A107" s="18">
        <v>2001</v>
      </c>
      <c r="B107" s="21" t="s">
        <v>41</v>
      </c>
      <c r="C107" s="15">
        <f>+MITRE[[#This Row],[Trenes Puntuales]]/MITRE[[#This Row],[Trenes Programados]]</f>
        <v>0.95422353850115893</v>
      </c>
      <c r="D107" s="15">
        <f>+MITRE[[#This Row],[Trenes Puntuales]]/MITRE[[#This Row],[Trenes Corridos]]</f>
        <v>0.97964174763698852</v>
      </c>
      <c r="E107" s="15">
        <f>+MITRE[[#This Row],[Trenes Corridos]]/MITRE[[#This Row],[Trenes Programados]]</f>
        <v>0.97405356682977084</v>
      </c>
      <c r="F107" s="16">
        <f>+Tabla4[[#This Row],[Trenes Programados por Día Hábil]]+Tabla5[[#This Row],[Trenes Programados por Día Hábil]]+Tabla6[[#This Row],[Trenes Programados por Día Hábil]]+MIT_Vic_Cap[[#This Row],[Trenes Programados por Día Hábil]]+Tabla8[[#This Row],[Trenes Programados por Día Hábil]]</f>
        <v>0</v>
      </c>
      <c r="G10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7" s="16">
        <v>15532</v>
      </c>
      <c r="I107" s="16">
        <f t="shared" si="16"/>
        <v>403</v>
      </c>
      <c r="J107" s="16">
        <v>15129</v>
      </c>
      <c r="K107" s="16">
        <v>14821</v>
      </c>
      <c r="L107" s="16">
        <f t="shared" si="17"/>
        <v>308</v>
      </c>
      <c r="M107" s="16"/>
      <c r="N107" s="17"/>
      <c r="O107" s="18">
        <v>2001</v>
      </c>
      <c r="P107" s="21" t="s">
        <v>41</v>
      </c>
      <c r="Q107" s="41"/>
      <c r="R107" s="41"/>
      <c r="S107" s="41"/>
      <c r="T107" s="16"/>
      <c r="U107" s="16"/>
      <c r="V107" s="16"/>
      <c r="W107" s="16"/>
      <c r="X107" s="69">
        <f>(SUM(X$134:X$149)/16)/(SUM($J$134:$J$149)/16)*MITRE[[#This Row],[Trenes Corridos]]</f>
        <v>5641.3997835434029</v>
      </c>
      <c r="Y107" s="16"/>
      <c r="Z107" s="16"/>
      <c r="AA107" s="16"/>
      <c r="AB107" s="17"/>
      <c r="AC107" s="18">
        <v>2001</v>
      </c>
      <c r="AD107" s="21" t="s">
        <v>41</v>
      </c>
      <c r="AE107" s="41"/>
      <c r="AF107" s="41"/>
      <c r="AG107" s="41"/>
      <c r="AH107" s="16"/>
      <c r="AI107" s="16"/>
      <c r="AJ107" s="16"/>
      <c r="AK107" s="16"/>
      <c r="AL107" s="69">
        <f>(SUM(AL$134:AL$149)/16)/(SUM($J$134:$J$149)/16)*MITRE[[#This Row],[Trenes Corridos]]</f>
        <v>4411.6401261680858</v>
      </c>
      <c r="AM107" s="16"/>
      <c r="AN107" s="16"/>
      <c r="AO107" s="16"/>
      <c r="AP107" s="17"/>
      <c r="AQ107" s="18">
        <v>2001</v>
      </c>
      <c r="AR107" s="21" t="s">
        <v>41</v>
      </c>
      <c r="AS107" s="41"/>
      <c r="AT107" s="41"/>
      <c r="AU107" s="41"/>
      <c r="AV107" s="16"/>
      <c r="AW107" s="16"/>
      <c r="AX107" s="16"/>
      <c r="AY107" s="16"/>
      <c r="AZ107" s="69">
        <f>(SUM(AZ$134:AZ$149)/16)/(SUM($J$134:$J$149)/16)*MITRE[[#This Row],[Trenes Corridos]]</f>
        <v>3179.4594312329182</v>
      </c>
      <c r="BA107" s="16"/>
      <c r="BB107" s="16"/>
      <c r="BC107" s="16"/>
      <c r="BD107" s="17"/>
      <c r="BE107" s="18">
        <v>2001</v>
      </c>
      <c r="BF107" s="21" t="s">
        <v>41</v>
      </c>
      <c r="BG107" s="41"/>
      <c r="BH107" s="41"/>
      <c r="BI107" s="41"/>
      <c r="BJ107" s="16"/>
      <c r="BK107" s="16"/>
      <c r="BL107" s="16"/>
      <c r="BM107" s="16"/>
      <c r="BN107" s="69">
        <f>(SUM(BN$134:BN$149)/16)/(SUM($J$134:$J$149)/16)*MITRE[[#This Row],[Trenes Corridos]]</f>
        <v>954.97189433212191</v>
      </c>
      <c r="BO107" s="16"/>
      <c r="BP107" s="16"/>
      <c r="BQ107" s="16"/>
      <c r="BR107" s="17"/>
      <c r="BS107" s="18">
        <v>2001</v>
      </c>
      <c r="BT107" s="21" t="s">
        <v>41</v>
      </c>
      <c r="BU107" s="41"/>
      <c r="BV107" s="41"/>
      <c r="BW107" s="41"/>
      <c r="BX107" s="16"/>
      <c r="BY107" s="16"/>
      <c r="BZ107" s="16"/>
      <c r="CA107" s="16"/>
      <c r="CB107" s="69">
        <f>(SUM(CB$134:CB$149)/16)/(SUM($J$134:$J$149)/16)*MITRE[[#This Row],[Trenes Corridos]]</f>
        <v>941.52876472347043</v>
      </c>
      <c r="CC107" s="16"/>
      <c r="CD107" s="16"/>
      <c r="CI107" s="40"/>
      <c r="CJ107" s="40"/>
      <c r="CK107" s="40"/>
      <c r="CL107" s="40"/>
      <c r="CM107" s="40"/>
    </row>
    <row r="108" spans="1:91" s="18" customFormat="1" ht="15" customHeight="1">
      <c r="A108" s="18">
        <v>2001</v>
      </c>
      <c r="B108" s="21" t="s">
        <v>42</v>
      </c>
      <c r="C108" s="15">
        <f>+MITRE[[#This Row],[Trenes Puntuales]]/MITRE[[#This Row],[Trenes Programados]]</f>
        <v>0.94760591626974178</v>
      </c>
      <c r="D108" s="15">
        <f>+MITRE[[#This Row],[Trenes Puntuales]]/MITRE[[#This Row],[Trenes Corridos]]</f>
        <v>0.98752530860165899</v>
      </c>
      <c r="E108" s="15">
        <f>+MITRE[[#This Row],[Trenes Corridos]]/MITRE[[#This Row],[Trenes Programados]]</f>
        <v>0.95957633492103289</v>
      </c>
      <c r="F108" s="16">
        <f>+Tabla4[[#This Row],[Trenes Programados por Día Hábil]]+Tabla5[[#This Row],[Trenes Programados por Día Hábil]]+Tabla6[[#This Row],[Trenes Programados por Día Hábil]]+MIT_Vic_Cap[[#This Row],[Trenes Programados por Día Hábil]]+Tabla8[[#This Row],[Trenes Programados por Día Hábil]]</f>
        <v>0</v>
      </c>
      <c r="G10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8" s="16">
        <v>15956</v>
      </c>
      <c r="I108" s="16">
        <f t="shared" si="16"/>
        <v>645</v>
      </c>
      <c r="J108" s="16">
        <v>15311</v>
      </c>
      <c r="K108" s="16">
        <v>15120</v>
      </c>
      <c r="L108" s="16">
        <f t="shared" si="17"/>
        <v>191</v>
      </c>
      <c r="M108" s="16"/>
      <c r="N108" s="17"/>
      <c r="O108" s="18">
        <v>2001</v>
      </c>
      <c r="P108" s="21" t="s">
        <v>42</v>
      </c>
      <c r="Q108" s="41"/>
      <c r="R108" s="41"/>
      <c r="S108" s="41"/>
      <c r="T108" s="16"/>
      <c r="U108" s="16"/>
      <c r="V108" s="16"/>
      <c r="W108" s="16"/>
      <c r="X108" s="69">
        <f>(SUM(X$134:X$149)/16)/(SUM($J$134:$J$149)/16)*MITRE[[#This Row],[Trenes Corridos]]</f>
        <v>5709.2651256416839</v>
      </c>
      <c r="Y108" s="16"/>
      <c r="Z108" s="16"/>
      <c r="AA108" s="16"/>
      <c r="AB108" s="17"/>
      <c r="AC108" s="18">
        <v>2001</v>
      </c>
      <c r="AD108" s="21" t="s">
        <v>42</v>
      </c>
      <c r="AE108" s="41"/>
      <c r="AF108" s="41"/>
      <c r="AG108" s="41"/>
      <c r="AH108" s="16"/>
      <c r="AI108" s="16"/>
      <c r="AJ108" s="16"/>
      <c r="AK108" s="16"/>
      <c r="AL108" s="69">
        <f>(SUM(AL$134:AL$149)/16)/(SUM($J$134:$J$149)/16)*MITRE[[#This Row],[Trenes Corridos]]</f>
        <v>4464.7116115909557</v>
      </c>
      <c r="AM108" s="16"/>
      <c r="AN108" s="16"/>
      <c r="AO108" s="16"/>
      <c r="AP108" s="17"/>
      <c r="AQ108" s="18">
        <v>2001</v>
      </c>
      <c r="AR108" s="21" t="s">
        <v>42</v>
      </c>
      <c r="AS108" s="41"/>
      <c r="AT108" s="41"/>
      <c r="AU108" s="41"/>
      <c r="AV108" s="16"/>
      <c r="AW108" s="16"/>
      <c r="AX108" s="16"/>
      <c r="AY108" s="16"/>
      <c r="AZ108" s="69">
        <f>(SUM(AZ$134:AZ$149)/16)/(SUM($J$134:$J$149)/16)*MITRE[[#This Row],[Trenes Corridos]]</f>
        <v>3217.70793519778</v>
      </c>
      <c r="BA108" s="16"/>
      <c r="BB108" s="16"/>
      <c r="BC108" s="16"/>
      <c r="BD108" s="17"/>
      <c r="BE108" s="18">
        <v>2001</v>
      </c>
      <c r="BF108" s="21" t="s">
        <v>42</v>
      </c>
      <c r="BG108" s="41"/>
      <c r="BH108" s="41"/>
      <c r="BI108" s="41"/>
      <c r="BJ108" s="16"/>
      <c r="BK108" s="16"/>
      <c r="BL108" s="16"/>
      <c r="BM108" s="16"/>
      <c r="BN108" s="69">
        <f>(SUM(BN$134:BN$149)/16)/(SUM($J$134:$J$149)/16)*MITRE[[#This Row],[Trenes Corridos]]</f>
        <v>966.4600881829017</v>
      </c>
      <c r="BO108" s="16"/>
      <c r="BP108" s="16"/>
      <c r="BQ108" s="16"/>
      <c r="BR108" s="17"/>
      <c r="BS108" s="18">
        <v>2001</v>
      </c>
      <c r="BT108" s="21" t="s">
        <v>42</v>
      </c>
      <c r="BU108" s="41"/>
      <c r="BV108" s="41"/>
      <c r="BW108" s="41"/>
      <c r="BX108" s="16"/>
      <c r="BY108" s="16"/>
      <c r="BZ108" s="16"/>
      <c r="CA108" s="16"/>
      <c r="CB108" s="69">
        <f>(SUM(CB$134:CB$149)/16)/(SUM($J$134:$J$149)/16)*MITRE[[#This Row],[Trenes Corridos]]</f>
        <v>952.85523938667825</v>
      </c>
      <c r="CC108" s="16"/>
      <c r="CD108" s="16"/>
      <c r="CI108" s="40"/>
      <c r="CJ108" s="40"/>
      <c r="CK108" s="40"/>
      <c r="CL108" s="40"/>
      <c r="CM108" s="40"/>
    </row>
    <row r="109" spans="1:91" s="18" customFormat="1" ht="15" customHeight="1">
      <c r="A109" s="18">
        <v>2001</v>
      </c>
      <c r="B109" s="21" t="s">
        <v>43</v>
      </c>
      <c r="C109" s="15">
        <f>+MITRE[[#This Row],[Trenes Puntuales]]/MITRE[[#This Row],[Trenes Programados]]</f>
        <v>0.97671833508306061</v>
      </c>
      <c r="D109" s="15">
        <f>+MITRE[[#This Row],[Trenes Puntuales]]/MITRE[[#This Row],[Trenes Corridos]]</f>
        <v>0.98732754853611338</v>
      </c>
      <c r="E109" s="15">
        <f>+MITRE[[#This Row],[Trenes Corridos]]/MITRE[[#This Row],[Trenes Programados]]</f>
        <v>0.9892546161921818</v>
      </c>
      <c r="F109" s="16">
        <f>+Tabla4[[#This Row],[Trenes Programados por Día Hábil]]+Tabla5[[#This Row],[Trenes Programados por Día Hábil]]+Tabla6[[#This Row],[Trenes Programados por Día Hábil]]+MIT_Vic_Cap[[#This Row],[Trenes Programados por Día Hábil]]+Tabla8[[#This Row],[Trenes Programados por Día Hábil]]</f>
        <v>0</v>
      </c>
      <c r="G10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9" s="16">
        <v>16193</v>
      </c>
      <c r="I109" s="16">
        <f t="shared" si="16"/>
        <v>174</v>
      </c>
      <c r="J109" s="16">
        <v>16019</v>
      </c>
      <c r="K109" s="16">
        <v>15816</v>
      </c>
      <c r="L109" s="16">
        <f t="shared" si="17"/>
        <v>203</v>
      </c>
      <c r="M109" s="16"/>
      <c r="N109" s="17"/>
      <c r="O109" s="18">
        <v>2001</v>
      </c>
      <c r="P109" s="21" t="s">
        <v>43</v>
      </c>
      <c r="Q109" s="41"/>
      <c r="R109" s="41"/>
      <c r="S109" s="41"/>
      <c r="T109" s="16"/>
      <c r="U109" s="16"/>
      <c r="V109" s="16"/>
      <c r="W109" s="16"/>
      <c r="X109" s="69">
        <f>(SUM(X$134:X$149)/16)/(SUM($J$134:$J$149)/16)*MITRE[[#This Row],[Trenes Corridos]]</f>
        <v>5973.2687641338998</v>
      </c>
      <c r="Y109" s="16"/>
      <c r="Z109" s="16"/>
      <c r="AA109" s="16"/>
      <c r="AB109" s="17"/>
      <c r="AC109" s="18">
        <v>2001</v>
      </c>
      <c r="AD109" s="21" t="s">
        <v>43</v>
      </c>
      <c r="AE109" s="41"/>
      <c r="AF109" s="41"/>
      <c r="AG109" s="41"/>
      <c r="AH109" s="16"/>
      <c r="AI109" s="16"/>
      <c r="AJ109" s="16"/>
      <c r="AK109" s="16"/>
      <c r="AL109" s="69">
        <f>(SUM(AL$134:AL$149)/16)/(SUM($J$134:$J$149)/16)*MITRE[[#This Row],[Trenes Corridos]]</f>
        <v>4671.1655219172826</v>
      </c>
      <c r="AM109" s="16"/>
      <c r="AN109" s="16"/>
      <c r="AO109" s="16"/>
      <c r="AP109" s="17"/>
      <c r="AQ109" s="18">
        <v>2001</v>
      </c>
      <c r="AR109" s="21" t="s">
        <v>43</v>
      </c>
      <c r="AS109" s="41"/>
      <c r="AT109" s="41"/>
      <c r="AU109" s="41"/>
      <c r="AV109" s="16"/>
      <c r="AW109" s="16"/>
      <c r="AX109" s="16"/>
      <c r="AY109" s="16"/>
      <c r="AZ109" s="69">
        <f>(SUM(AZ$134:AZ$149)/16)/(SUM($J$134:$J$149)/16)*MITRE[[#This Row],[Trenes Corridos]]</f>
        <v>3366.4988187533954</v>
      </c>
      <c r="BA109" s="16"/>
      <c r="BB109" s="16"/>
      <c r="BC109" s="16"/>
      <c r="BD109" s="17"/>
      <c r="BE109" s="18">
        <v>2001</v>
      </c>
      <c r="BF109" s="21" t="s">
        <v>43</v>
      </c>
      <c r="BG109" s="41"/>
      <c r="BH109" s="41"/>
      <c r="BI109" s="41"/>
      <c r="BJ109" s="16"/>
      <c r="BK109" s="16"/>
      <c r="BL109" s="16"/>
      <c r="BM109" s="16"/>
      <c r="BN109" s="69">
        <f>(SUM(BN$134:BN$149)/16)/(SUM($J$134:$J$149)/16)*MITRE[[#This Row],[Trenes Corridos]]</f>
        <v>1011.1504247013194</v>
      </c>
      <c r="BO109" s="16"/>
      <c r="BP109" s="16"/>
      <c r="BQ109" s="16"/>
      <c r="BR109" s="17"/>
      <c r="BS109" s="18">
        <v>2001</v>
      </c>
      <c r="BT109" s="21" t="s">
        <v>43</v>
      </c>
      <c r="BU109" s="41"/>
      <c r="BV109" s="41"/>
      <c r="BW109" s="41"/>
      <c r="BX109" s="16"/>
      <c r="BY109" s="16"/>
      <c r="BZ109" s="16"/>
      <c r="CA109" s="16"/>
      <c r="CB109" s="69">
        <f>(SUM(CB$134:CB$149)/16)/(SUM($J$134:$J$149)/16)*MITRE[[#This Row],[Trenes Corridos]]</f>
        <v>996.91647049410221</v>
      </c>
      <c r="CC109" s="16"/>
      <c r="CD109" s="16"/>
      <c r="CI109" s="40"/>
      <c r="CJ109" s="40"/>
      <c r="CK109" s="40"/>
      <c r="CL109" s="40"/>
      <c r="CM109" s="40"/>
    </row>
    <row r="110" spans="1:91" s="18" customFormat="1" ht="15" customHeight="1">
      <c r="A110" s="18">
        <v>2001</v>
      </c>
      <c r="B110" s="21" t="s">
        <v>44</v>
      </c>
      <c r="C110" s="15">
        <f>+MITRE[[#This Row],[Trenes Puntuales]]/MITRE[[#This Row],[Trenes Programados]]</f>
        <v>0.97695494562402896</v>
      </c>
      <c r="D110" s="15">
        <f>+MITRE[[#This Row],[Trenes Puntuales]]/MITRE[[#This Row],[Trenes Corridos]]</f>
        <v>0.98351254480286743</v>
      </c>
      <c r="E110" s="15">
        <f>+MITRE[[#This Row],[Trenes Corridos]]/MITRE[[#This Row],[Trenes Programados]]</f>
        <v>0.99333247022268256</v>
      </c>
      <c r="F110" s="16">
        <f>+Tabla4[[#This Row],[Trenes Programados por Día Hábil]]+Tabla5[[#This Row],[Trenes Programados por Día Hábil]]+Tabla6[[#This Row],[Trenes Programados por Día Hábil]]+MIT_Vic_Cap[[#This Row],[Trenes Programados por Día Hábil]]+Tabla8[[#This Row],[Trenes Programados por Día Hábil]]</f>
        <v>0</v>
      </c>
      <c r="G11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0" s="16">
        <v>15448</v>
      </c>
      <c r="I110" s="16">
        <f t="shared" si="16"/>
        <v>103</v>
      </c>
      <c r="J110" s="16">
        <v>15345</v>
      </c>
      <c r="K110" s="16">
        <v>15092</v>
      </c>
      <c r="L110" s="16">
        <f t="shared" si="17"/>
        <v>253</v>
      </c>
      <c r="M110" s="16"/>
      <c r="N110" s="17"/>
      <c r="O110" s="18">
        <v>2001</v>
      </c>
      <c r="P110" s="21" t="s">
        <v>44</v>
      </c>
      <c r="Q110" s="41"/>
      <c r="R110" s="41"/>
      <c r="S110" s="41"/>
      <c r="T110" s="16"/>
      <c r="U110" s="16"/>
      <c r="V110" s="16"/>
      <c r="W110" s="16"/>
      <c r="X110" s="69">
        <f>(SUM(X$134:X$149)/16)/(SUM($J$134:$J$149)/16)*MITRE[[#This Row],[Trenes Corridos]]</f>
        <v>5721.9432664732312</v>
      </c>
      <c r="Y110" s="16"/>
      <c r="Z110" s="16"/>
      <c r="AA110" s="16"/>
      <c r="AB110" s="17"/>
      <c r="AC110" s="18">
        <v>2001</v>
      </c>
      <c r="AD110" s="21" t="s">
        <v>44</v>
      </c>
      <c r="AE110" s="41"/>
      <c r="AF110" s="41"/>
      <c r="AG110" s="41"/>
      <c r="AH110" s="16"/>
      <c r="AI110" s="16"/>
      <c r="AJ110" s="16"/>
      <c r="AK110" s="16"/>
      <c r="AL110" s="69">
        <f>(SUM(AL$134:AL$149)/16)/(SUM($J$134:$J$149)/16)*MITRE[[#This Row],[Trenes Corridos]]</f>
        <v>4474.6260649117112</v>
      </c>
      <c r="AM110" s="16"/>
      <c r="AN110" s="16"/>
      <c r="AO110" s="16"/>
      <c r="AP110" s="17"/>
      <c r="AQ110" s="18">
        <v>2001</v>
      </c>
      <c r="AR110" s="21" t="s">
        <v>44</v>
      </c>
      <c r="AS110" s="41"/>
      <c r="AT110" s="41"/>
      <c r="AU110" s="41"/>
      <c r="AV110" s="16"/>
      <c r="AW110" s="16"/>
      <c r="AX110" s="16"/>
      <c r="AY110" s="16"/>
      <c r="AZ110" s="69">
        <f>(SUM(AZ$134:AZ$149)/16)/(SUM($J$134:$J$149)/16)*MITRE[[#This Row],[Trenes Corridos]]</f>
        <v>3224.8532601142924</v>
      </c>
      <c r="BA110" s="16"/>
      <c r="BB110" s="16"/>
      <c r="BC110" s="16"/>
      <c r="BD110" s="17"/>
      <c r="BE110" s="18">
        <v>2001</v>
      </c>
      <c r="BF110" s="21" t="s">
        <v>44</v>
      </c>
      <c r="BG110" s="41"/>
      <c r="BH110" s="41"/>
      <c r="BI110" s="41"/>
      <c r="BJ110" s="16"/>
      <c r="BK110" s="16"/>
      <c r="BL110" s="16"/>
      <c r="BM110" s="16"/>
      <c r="BN110" s="69">
        <f>(SUM(BN$134:BN$149)/16)/(SUM($J$134:$J$149)/16)*MITRE[[#This Row],[Trenes Corridos]]</f>
        <v>968.60623428689348</v>
      </c>
      <c r="BO110" s="16"/>
      <c r="BP110" s="16"/>
      <c r="BQ110" s="16"/>
      <c r="BR110" s="17"/>
      <c r="BS110" s="18">
        <v>2001</v>
      </c>
      <c r="BT110" s="21" t="s">
        <v>44</v>
      </c>
      <c r="BU110" s="41"/>
      <c r="BV110" s="41"/>
      <c r="BW110" s="41"/>
      <c r="BX110" s="16"/>
      <c r="BY110" s="16"/>
      <c r="BZ110" s="16"/>
      <c r="CA110" s="16"/>
      <c r="CB110" s="69">
        <f>(SUM(CB$134:CB$149)/16)/(SUM($J$134:$J$149)/16)*MITRE[[#This Row],[Trenes Corridos]]</f>
        <v>954.97117421387088</v>
      </c>
      <c r="CC110" s="16"/>
      <c r="CD110" s="16"/>
      <c r="CI110" s="40"/>
      <c r="CJ110" s="40"/>
      <c r="CK110" s="40"/>
      <c r="CL110" s="40"/>
      <c r="CM110" s="40"/>
    </row>
    <row r="111" spans="1:91" s="18" customFormat="1" ht="15" customHeight="1">
      <c r="A111" s="18">
        <v>2001</v>
      </c>
      <c r="B111" s="21" t="s">
        <v>45</v>
      </c>
      <c r="C111" s="15">
        <f>+MITRE[[#This Row],[Trenes Puntuales]]/MITRE[[#This Row],[Trenes Programados]]</f>
        <v>0.97032878909382514</v>
      </c>
      <c r="D111" s="15">
        <f>+MITRE[[#This Row],[Trenes Puntuales]]/MITRE[[#This Row],[Trenes Corridos]]</f>
        <v>0.97580645161290325</v>
      </c>
      <c r="E111" s="15">
        <f>+MITRE[[#This Row],[Trenes Corridos]]/MITRE[[#This Row],[Trenes Programados]]</f>
        <v>0.99438652766639934</v>
      </c>
      <c r="F111" s="16">
        <f>+Tabla4[[#This Row],[Trenes Programados por Día Hábil]]+Tabla5[[#This Row],[Trenes Programados por Día Hábil]]+Tabla6[[#This Row],[Trenes Programados por Día Hábil]]+MIT_Vic_Cap[[#This Row],[Trenes Programados por Día Hábil]]+Tabla8[[#This Row],[Trenes Programados por Día Hábil]]</f>
        <v>0</v>
      </c>
      <c r="G11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1" s="16">
        <v>16211</v>
      </c>
      <c r="I111" s="16">
        <f t="shared" si="16"/>
        <v>91</v>
      </c>
      <c r="J111" s="16">
        <v>16120</v>
      </c>
      <c r="K111" s="16">
        <v>15730</v>
      </c>
      <c r="L111" s="16">
        <f t="shared" si="17"/>
        <v>390</v>
      </c>
      <c r="M111" s="16"/>
      <c r="N111" s="17"/>
      <c r="O111" s="18">
        <v>2001</v>
      </c>
      <c r="P111" s="21" t="s">
        <v>45</v>
      </c>
      <c r="Q111" s="41"/>
      <c r="R111" s="41"/>
      <c r="S111" s="41"/>
      <c r="T111" s="16"/>
      <c r="U111" s="16"/>
      <c r="V111" s="16"/>
      <c r="W111" s="16"/>
      <c r="X111" s="69">
        <f>(SUM(X$134:X$149)/16)/(SUM($J$134:$J$149)/16)*MITRE[[#This Row],[Trenes Corridos]]</f>
        <v>6010.9303001334956</v>
      </c>
      <c r="Y111" s="16"/>
      <c r="Z111" s="16"/>
      <c r="AA111" s="16"/>
      <c r="AB111" s="17"/>
      <c r="AC111" s="18">
        <v>2001</v>
      </c>
      <c r="AD111" s="21" t="s">
        <v>45</v>
      </c>
      <c r="AE111" s="41"/>
      <c r="AF111" s="41"/>
      <c r="AG111" s="41"/>
      <c r="AH111" s="16"/>
      <c r="AI111" s="16"/>
      <c r="AJ111" s="16"/>
      <c r="AK111" s="16"/>
      <c r="AL111" s="69">
        <f>(SUM(AL$134:AL$149)/16)/(SUM($J$134:$J$149)/16)*MITRE[[#This Row],[Trenes Corridos]]</f>
        <v>4700.6172803112931</v>
      </c>
      <c r="AM111" s="16"/>
      <c r="AN111" s="16"/>
      <c r="AO111" s="16"/>
      <c r="AP111" s="17"/>
      <c r="AQ111" s="18">
        <v>2001</v>
      </c>
      <c r="AR111" s="21" t="s">
        <v>45</v>
      </c>
      <c r="AS111" s="41"/>
      <c r="AT111" s="41"/>
      <c r="AU111" s="41"/>
      <c r="AV111" s="16"/>
      <c r="AW111" s="16"/>
      <c r="AX111" s="16"/>
      <c r="AY111" s="16"/>
      <c r="AZ111" s="69">
        <f>(SUM(AZ$134:AZ$149)/16)/(SUM($J$134:$J$149)/16)*MITRE[[#This Row],[Trenes Corridos]]</f>
        <v>3387.7246368877413</v>
      </c>
      <c r="BA111" s="16"/>
      <c r="BB111" s="16"/>
      <c r="BC111" s="16"/>
      <c r="BD111" s="17"/>
      <c r="BE111" s="18">
        <v>2001</v>
      </c>
      <c r="BF111" s="21" t="s">
        <v>45</v>
      </c>
      <c r="BG111" s="41"/>
      <c r="BH111" s="41"/>
      <c r="BI111" s="41"/>
      <c r="BJ111" s="16"/>
      <c r="BK111" s="16"/>
      <c r="BL111" s="16"/>
      <c r="BM111" s="16"/>
      <c r="BN111" s="69">
        <f>(SUM(BN$134:BN$149)/16)/(SUM($J$134:$J$149)/16)*MITRE[[#This Row],[Trenes Corridos]]</f>
        <v>1017.5257410690598</v>
      </c>
      <c r="BO111" s="16"/>
      <c r="BP111" s="16"/>
      <c r="BQ111" s="16"/>
      <c r="BR111" s="17"/>
      <c r="BS111" s="18">
        <v>2001</v>
      </c>
      <c r="BT111" s="21" t="s">
        <v>45</v>
      </c>
      <c r="BU111" s="41"/>
      <c r="BV111" s="41"/>
      <c r="BW111" s="41"/>
      <c r="BX111" s="16"/>
      <c r="BY111" s="16"/>
      <c r="BZ111" s="16"/>
      <c r="CA111" s="16"/>
      <c r="CB111" s="69">
        <f>(SUM(CB$134:CB$149)/16)/(SUM($J$134:$J$149)/16)*MITRE[[#This Row],[Trenes Corridos]]</f>
        <v>1003.2020415984099</v>
      </c>
      <c r="CC111" s="16"/>
      <c r="CD111" s="16"/>
      <c r="CI111" s="40"/>
      <c r="CJ111" s="40"/>
      <c r="CK111" s="40"/>
      <c r="CL111" s="40"/>
      <c r="CM111" s="40"/>
    </row>
    <row r="112" spans="1:91" s="18" customFormat="1" ht="15" customHeight="1">
      <c r="A112" s="18">
        <v>2001</v>
      </c>
      <c r="B112" s="21" t="s">
        <v>46</v>
      </c>
      <c r="C112" s="15">
        <f>+MITRE[[#This Row],[Trenes Puntuales]]/MITRE[[#This Row],[Trenes Programados]]</f>
        <v>0.96332440362291105</v>
      </c>
      <c r="D112" s="15">
        <f>+MITRE[[#This Row],[Trenes Puntuales]]/MITRE[[#This Row],[Trenes Corridos]]</f>
        <v>0.97369608664818519</v>
      </c>
      <c r="E112" s="15">
        <f>+MITRE[[#This Row],[Trenes Corridos]]/MITRE[[#This Row],[Trenes Programados]]</f>
        <v>0.98934813113917597</v>
      </c>
      <c r="F112" s="16">
        <f>+Tabla4[[#This Row],[Trenes Programados por Día Hábil]]+Tabla5[[#This Row],[Trenes Programados por Día Hábil]]+Tabla6[[#This Row],[Trenes Programados por Día Hábil]]+MIT_Vic_Cap[[#This Row],[Trenes Programados por Día Hábil]]+Tabla8[[#This Row],[Trenes Programados por Día Hábil]]</f>
        <v>0</v>
      </c>
      <c r="G11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2" s="16">
        <v>15678</v>
      </c>
      <c r="I112" s="16">
        <f t="shared" si="16"/>
        <v>167</v>
      </c>
      <c r="J112" s="16">
        <v>15511</v>
      </c>
      <c r="K112" s="16">
        <v>15103</v>
      </c>
      <c r="L112" s="16">
        <f t="shared" si="17"/>
        <v>408</v>
      </c>
      <c r="M112" s="16"/>
      <c r="N112" s="17"/>
      <c r="O112" s="18">
        <v>2001</v>
      </c>
      <c r="P112" s="21" t="s">
        <v>46</v>
      </c>
      <c r="Q112" s="41"/>
      <c r="R112" s="41"/>
      <c r="S112" s="41"/>
      <c r="T112" s="16"/>
      <c r="U112" s="16"/>
      <c r="V112" s="16"/>
      <c r="W112" s="16"/>
      <c r="X112" s="69">
        <f>(SUM(X$134:X$149)/16)/(SUM($J$134:$J$149)/16)*MITRE[[#This Row],[Trenes Corridos]]</f>
        <v>5783.8424246507848</v>
      </c>
      <c r="Y112" s="16"/>
      <c r="Z112" s="16"/>
      <c r="AA112" s="16"/>
      <c r="AB112" s="17"/>
      <c r="AC112" s="18">
        <v>2001</v>
      </c>
      <c r="AD112" s="21" t="s">
        <v>46</v>
      </c>
      <c r="AE112" s="41"/>
      <c r="AF112" s="41"/>
      <c r="AG112" s="41"/>
      <c r="AH112" s="16"/>
      <c r="AI112" s="16"/>
      <c r="AJ112" s="16"/>
      <c r="AK112" s="16"/>
      <c r="AL112" s="69">
        <f>(SUM(AL$134:AL$149)/16)/(SUM($J$134:$J$149)/16)*MITRE[[#This Row],[Trenes Corridos]]</f>
        <v>4523.0319252424606</v>
      </c>
      <c r="AM112" s="16"/>
      <c r="AN112" s="16"/>
      <c r="AO112" s="16"/>
      <c r="AP112" s="17"/>
      <c r="AQ112" s="18">
        <v>2001</v>
      </c>
      <c r="AR112" s="21" t="s">
        <v>46</v>
      </c>
      <c r="AS112" s="41"/>
      <c r="AT112" s="41"/>
      <c r="AU112" s="41"/>
      <c r="AV112" s="16"/>
      <c r="AW112" s="16"/>
      <c r="AX112" s="16"/>
      <c r="AY112" s="16"/>
      <c r="AZ112" s="69">
        <f>(SUM(AZ$134:AZ$149)/16)/(SUM($J$134:$J$149)/16)*MITRE[[#This Row],[Trenes Corridos]]</f>
        <v>3259.7392582360894</v>
      </c>
      <c r="BA112" s="16"/>
      <c r="BB112" s="16"/>
      <c r="BC112" s="16"/>
      <c r="BD112" s="17"/>
      <c r="BE112" s="18">
        <v>2001</v>
      </c>
      <c r="BF112" s="21" t="s">
        <v>46</v>
      </c>
      <c r="BG112" s="41"/>
      <c r="BH112" s="41"/>
      <c r="BI112" s="41"/>
      <c r="BJ112" s="16"/>
      <c r="BK112" s="16"/>
      <c r="BL112" s="16"/>
      <c r="BM112" s="16"/>
      <c r="BN112" s="69">
        <f>(SUM(BN$134:BN$149)/16)/(SUM($J$134:$J$149)/16)*MITRE[[#This Row],[Trenes Corridos]]</f>
        <v>979.08447702991236</v>
      </c>
      <c r="BO112" s="16"/>
      <c r="BP112" s="16"/>
      <c r="BQ112" s="16"/>
      <c r="BR112" s="17"/>
      <c r="BS112" s="18">
        <v>2001</v>
      </c>
      <c r="BT112" s="21" t="s">
        <v>46</v>
      </c>
      <c r="BU112" s="41"/>
      <c r="BV112" s="41"/>
      <c r="BW112" s="41"/>
      <c r="BX112" s="16"/>
      <c r="BY112" s="16"/>
      <c r="BZ112" s="16"/>
      <c r="CA112" s="16"/>
      <c r="CB112" s="69">
        <f>(SUM(CB$134:CB$149)/16)/(SUM($J$134:$J$149)/16)*MITRE[[#This Row],[Trenes Corridos]]</f>
        <v>965.30191484075283</v>
      </c>
      <c r="CC112" s="16"/>
      <c r="CD112" s="16"/>
      <c r="CI112" s="40"/>
      <c r="CJ112" s="40"/>
      <c r="CK112" s="40"/>
      <c r="CL112" s="40"/>
      <c r="CM112" s="40"/>
    </row>
    <row r="113" spans="1:91" s="18" customFormat="1" ht="15" customHeight="1">
      <c r="A113" s="18">
        <v>2001</v>
      </c>
      <c r="B113" s="21" t="s">
        <v>47</v>
      </c>
      <c r="C113" s="15">
        <f>+MITRE[[#This Row],[Trenes Puntuales]]/MITRE[[#This Row],[Trenes Programados]]</f>
        <v>0.87515988743924278</v>
      </c>
      <c r="D113" s="15">
        <f>+MITRE[[#This Row],[Trenes Puntuales]]/MITRE[[#This Row],[Trenes Corridos]]</f>
        <v>0.98135398737808377</v>
      </c>
      <c r="E113" s="15">
        <f>+MITRE[[#This Row],[Trenes Corridos]]/MITRE[[#This Row],[Trenes Programados]]</f>
        <v>0.89178818112049119</v>
      </c>
      <c r="F113" s="16">
        <f>+Tabla4[[#This Row],[Trenes Programados por Día Hábil]]+Tabla5[[#This Row],[Trenes Programados por Día Hábil]]+Tabla6[[#This Row],[Trenes Programados por Día Hábil]]+MIT_Vic_Cap[[#This Row],[Trenes Programados por Día Hábil]]+Tabla8[[#This Row],[Trenes Programados por Día Hábil]]</f>
        <v>0</v>
      </c>
      <c r="G11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3" s="16">
        <v>15636</v>
      </c>
      <c r="I113" s="16">
        <f t="shared" si="16"/>
        <v>1692</v>
      </c>
      <c r="J113" s="16">
        <v>13944</v>
      </c>
      <c r="K113" s="16">
        <v>13684</v>
      </c>
      <c r="L113" s="16">
        <f t="shared" si="17"/>
        <v>260</v>
      </c>
      <c r="M113" s="16"/>
      <c r="N113" s="17"/>
      <c r="O113" s="18">
        <v>2001</v>
      </c>
      <c r="P113" s="21" t="s">
        <v>47</v>
      </c>
      <c r="Q113" s="41"/>
      <c r="R113" s="41"/>
      <c r="S113" s="41"/>
      <c r="T113" s="16"/>
      <c r="U113" s="16"/>
      <c r="V113" s="16"/>
      <c r="W113" s="16"/>
      <c r="X113" s="69">
        <f>(SUM(X$134:X$149)/16)/(SUM($J$134:$J$149)/16)*MITRE[[#This Row],[Trenes Corridos]]</f>
        <v>5199.5292869144823</v>
      </c>
      <c r="Y113" s="16"/>
      <c r="Z113" s="16"/>
      <c r="AA113" s="16"/>
      <c r="AB113" s="17"/>
      <c r="AC113" s="18">
        <v>2001</v>
      </c>
      <c r="AD113" s="21" t="s">
        <v>47</v>
      </c>
      <c r="AE113" s="41"/>
      <c r="AF113" s="41"/>
      <c r="AG113" s="41"/>
      <c r="AH113" s="16"/>
      <c r="AI113" s="16"/>
      <c r="AJ113" s="16"/>
      <c r="AK113" s="16"/>
      <c r="AL113" s="69">
        <f>(SUM(AL$134:AL$149)/16)/(SUM($J$134:$J$149)/16)*MITRE[[#This Row],[Trenes Corridos]]</f>
        <v>4066.0922677829199</v>
      </c>
      <c r="AM113" s="16"/>
      <c r="AN113" s="16"/>
      <c r="AO113" s="16"/>
      <c r="AP113" s="17"/>
      <c r="AQ113" s="18">
        <v>2001</v>
      </c>
      <c r="AR113" s="21" t="s">
        <v>47</v>
      </c>
      <c r="AS113" s="41"/>
      <c r="AT113" s="41"/>
      <c r="AU113" s="41"/>
      <c r="AV113" s="16"/>
      <c r="AW113" s="16"/>
      <c r="AX113" s="16"/>
      <c r="AY113" s="16"/>
      <c r="AZ113" s="69">
        <f>(SUM(AZ$134:AZ$149)/16)/(SUM($J$134:$J$149)/16)*MITRE[[#This Row],[Trenes Corridos]]</f>
        <v>2930.423842230935</v>
      </c>
      <c r="BA113" s="16"/>
      <c r="BB113" s="16"/>
      <c r="BC113" s="16"/>
      <c r="BD113" s="17"/>
      <c r="BE113" s="18">
        <v>2001</v>
      </c>
      <c r="BF113" s="21" t="s">
        <v>47</v>
      </c>
      <c r="BG113" s="41"/>
      <c r="BH113" s="41"/>
      <c r="BI113" s="41"/>
      <c r="BJ113" s="16"/>
      <c r="BK113" s="16"/>
      <c r="BL113" s="16"/>
      <c r="BM113" s="16"/>
      <c r="BN113" s="69">
        <f>(SUM(BN$134:BN$149)/16)/(SUM($J$134:$J$149)/16)*MITRE[[#This Row],[Trenes Corridos]]</f>
        <v>880.17239041358368</v>
      </c>
      <c r="BO113" s="16"/>
      <c r="BP113" s="16"/>
      <c r="BQ113" s="16"/>
      <c r="BR113" s="17"/>
      <c r="BS113" s="18">
        <v>2001</v>
      </c>
      <c r="BT113" s="21" t="s">
        <v>47</v>
      </c>
      <c r="BU113" s="41"/>
      <c r="BV113" s="41"/>
      <c r="BW113" s="41"/>
      <c r="BX113" s="16"/>
      <c r="BY113" s="16"/>
      <c r="BZ113" s="16"/>
      <c r="CA113" s="16"/>
      <c r="CB113" s="69">
        <f>(SUM(CB$134:CB$149)/16)/(SUM($J$134:$J$149)/16)*MITRE[[#This Row],[Trenes Corridos]]</f>
        <v>867.78221265807861</v>
      </c>
      <c r="CC113" s="16"/>
      <c r="CD113" s="16"/>
      <c r="CI113" s="40"/>
      <c r="CJ113" s="40"/>
      <c r="CK113" s="40"/>
      <c r="CL113" s="40"/>
      <c r="CM113" s="40"/>
    </row>
    <row r="114" spans="1:91" s="18" customFormat="1" ht="15" customHeight="1">
      <c r="A114" s="18">
        <v>2002</v>
      </c>
      <c r="B114" s="21" t="s">
        <v>36</v>
      </c>
      <c r="C114" s="15">
        <f>+MITRE[[#This Row],[Trenes Puntuales]]/MITRE[[#This Row],[Trenes Programados]]</f>
        <v>0.93791478012776774</v>
      </c>
      <c r="D114" s="15">
        <f>+MITRE[[#This Row],[Trenes Puntuales]]/MITRE[[#This Row],[Trenes Corridos]]</f>
        <v>0.98226696979538808</v>
      </c>
      <c r="E114" s="15">
        <f>+MITRE[[#This Row],[Trenes Corridos]]/MITRE[[#This Row],[Trenes Programados]]</f>
        <v>0.95484711282019474</v>
      </c>
      <c r="F114" s="16">
        <f>+Tabla4[[#This Row],[Trenes Programados por Día Hábil]]+Tabla5[[#This Row],[Trenes Programados por Día Hábil]]+Tabla6[[#This Row],[Trenes Programados por Día Hábil]]+MIT_Vic_Cap[[#This Row],[Trenes Programados por Día Hábil]]+Tabla8[[#This Row],[Trenes Programados por Día Hábil]]</f>
        <v>0</v>
      </c>
      <c r="G11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4" s="16">
        <v>16123</v>
      </c>
      <c r="I114" s="16">
        <f t="shared" ref="I114:I125" si="18">H114-J114</f>
        <v>728</v>
      </c>
      <c r="J114" s="16">
        <v>15395</v>
      </c>
      <c r="K114" s="16">
        <v>15122</v>
      </c>
      <c r="L114" s="16">
        <f t="shared" ref="L114:L125" si="19">J114-K114</f>
        <v>273</v>
      </c>
      <c r="M114" s="16"/>
      <c r="N114" s="17"/>
      <c r="O114" s="18">
        <v>2002</v>
      </c>
      <c r="P114" s="21" t="s">
        <v>36</v>
      </c>
      <c r="Q114" s="41"/>
      <c r="R114" s="41"/>
      <c r="S114" s="41"/>
      <c r="T114" s="16"/>
      <c r="U114" s="16"/>
      <c r="V114" s="16"/>
      <c r="W114" s="16"/>
      <c r="X114" s="69">
        <f>(SUM(X$134:X$149)/16)/(SUM($J$134:$J$149)/16)*MITRE[[#This Row],[Trenes Corridos]]</f>
        <v>5740.587591225506</v>
      </c>
      <c r="Y114" s="16"/>
      <c r="Z114" s="16"/>
      <c r="AA114" s="16"/>
      <c r="AB114" s="17"/>
      <c r="AC114" s="18">
        <v>2002</v>
      </c>
      <c r="AD114" s="21" t="s">
        <v>36</v>
      </c>
      <c r="AE114" s="41"/>
      <c r="AF114" s="41"/>
      <c r="AG114" s="41"/>
      <c r="AH114" s="16"/>
      <c r="AI114" s="16"/>
      <c r="AJ114" s="16"/>
      <c r="AK114" s="16"/>
      <c r="AL114" s="69">
        <f>(SUM(AL$134:AL$149)/16)/(SUM($J$134:$J$149)/16)*MITRE[[#This Row],[Trenes Corridos]]</f>
        <v>4489.2061433245881</v>
      </c>
      <c r="AM114" s="16"/>
      <c r="AN114" s="16"/>
      <c r="AO114" s="16"/>
      <c r="AP114" s="17"/>
      <c r="AQ114" s="18">
        <v>2002</v>
      </c>
      <c r="AR114" s="21" t="s">
        <v>36</v>
      </c>
      <c r="AS114" s="41"/>
      <c r="AT114" s="41"/>
      <c r="AU114" s="41"/>
      <c r="AV114" s="16"/>
      <c r="AW114" s="16"/>
      <c r="AX114" s="16"/>
      <c r="AY114" s="16"/>
      <c r="AZ114" s="69">
        <f>(SUM(AZ$134:AZ$149)/16)/(SUM($J$134:$J$149)/16)*MITRE[[#This Row],[Trenes Corridos]]</f>
        <v>3235.3610908738697</v>
      </c>
      <c r="BA114" s="16"/>
      <c r="BB114" s="16"/>
      <c r="BC114" s="16"/>
      <c r="BD114" s="17"/>
      <c r="BE114" s="18">
        <v>2002</v>
      </c>
      <c r="BF114" s="21" t="s">
        <v>36</v>
      </c>
      <c r="BG114" s="41"/>
      <c r="BH114" s="41"/>
      <c r="BI114" s="41"/>
      <c r="BJ114" s="16"/>
      <c r="BK114" s="16"/>
      <c r="BL114" s="16"/>
      <c r="BM114" s="16"/>
      <c r="BN114" s="69">
        <f>(SUM(BN$134:BN$149)/16)/(SUM($J$134:$J$149)/16)*MITRE[[#This Row],[Trenes Corridos]]</f>
        <v>971.76233149864618</v>
      </c>
      <c r="BO114" s="16"/>
      <c r="BP114" s="16"/>
      <c r="BQ114" s="16"/>
      <c r="BR114" s="17"/>
      <c r="BS114" s="18">
        <v>2002</v>
      </c>
      <c r="BT114" s="21" t="s">
        <v>36</v>
      </c>
      <c r="BU114" s="41"/>
      <c r="BV114" s="41"/>
      <c r="BW114" s="41"/>
      <c r="BX114" s="16"/>
      <c r="BY114" s="16"/>
      <c r="BZ114" s="16"/>
      <c r="CA114" s="16"/>
      <c r="CB114" s="69">
        <f>(SUM(CB$134:CB$149)/16)/(SUM($J$134:$J$149)/16)*MITRE[[#This Row],[Trenes Corridos]]</f>
        <v>958.08284307738961</v>
      </c>
      <c r="CC114" s="16"/>
      <c r="CD114" s="16"/>
      <c r="CI114" s="40"/>
      <c r="CJ114" s="40"/>
      <c r="CK114" s="40"/>
      <c r="CL114" s="40"/>
      <c r="CM114" s="40"/>
    </row>
    <row r="115" spans="1:91" s="18" customFormat="1" ht="15" customHeight="1">
      <c r="A115" s="18">
        <v>2002</v>
      </c>
      <c r="B115" s="21" t="s">
        <v>37</v>
      </c>
      <c r="C115" s="15">
        <f>+MITRE[[#This Row],[Trenes Puntuales]]/MITRE[[#This Row],[Trenes Programados]]</f>
        <v>0.92442654287274717</v>
      </c>
      <c r="D115" s="15">
        <f>+MITRE[[#This Row],[Trenes Puntuales]]/MITRE[[#This Row],[Trenes Corridos]]</f>
        <v>0.98237086477074864</v>
      </c>
      <c r="E115" s="15">
        <f>+MITRE[[#This Row],[Trenes Corridos]]/MITRE[[#This Row],[Trenes Programados]]</f>
        <v>0.94101583833970504</v>
      </c>
      <c r="F115" s="16">
        <f>+Tabla4[[#This Row],[Trenes Programados por Día Hábil]]+Tabla5[[#This Row],[Trenes Programados por Día Hábil]]+Tabla6[[#This Row],[Trenes Programados por Día Hábil]]+MIT_Vic_Cap[[#This Row],[Trenes Programados por Día Hábil]]+Tabla8[[#This Row],[Trenes Programados por Día Hábil]]</f>
        <v>0</v>
      </c>
      <c r="G11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5" s="16">
        <v>14648</v>
      </c>
      <c r="I115" s="16">
        <f t="shared" si="18"/>
        <v>864</v>
      </c>
      <c r="J115" s="16">
        <v>13784</v>
      </c>
      <c r="K115" s="16">
        <v>13541</v>
      </c>
      <c r="L115" s="16">
        <f t="shared" si="19"/>
        <v>243</v>
      </c>
      <c r="M115" s="16"/>
      <c r="N115" s="17"/>
      <c r="O115" s="18">
        <v>2002</v>
      </c>
      <c r="P115" s="21" t="s">
        <v>37</v>
      </c>
      <c r="Q115" s="41"/>
      <c r="R115" s="41"/>
      <c r="S115" s="41"/>
      <c r="T115" s="16"/>
      <c r="U115" s="16"/>
      <c r="V115" s="16"/>
      <c r="W115" s="16"/>
      <c r="X115" s="69">
        <f>(SUM(X$134:X$149)/16)/(SUM($J$134:$J$149)/16)*MITRE[[#This Row],[Trenes Corridos]]</f>
        <v>5139.8674477072027</v>
      </c>
      <c r="Y115" s="16"/>
      <c r="Z115" s="16"/>
      <c r="AA115" s="16"/>
      <c r="AB115" s="17"/>
      <c r="AC115" s="18">
        <v>2002</v>
      </c>
      <c r="AD115" s="21" t="s">
        <v>37</v>
      </c>
      <c r="AE115" s="41"/>
      <c r="AF115" s="41"/>
      <c r="AG115" s="41"/>
      <c r="AH115" s="16"/>
      <c r="AI115" s="16"/>
      <c r="AJ115" s="16"/>
      <c r="AK115" s="16"/>
      <c r="AL115" s="69">
        <f>(SUM(AL$134:AL$149)/16)/(SUM($J$134:$J$149)/16)*MITRE[[#This Row],[Trenes Corridos]]</f>
        <v>4019.4360168617159</v>
      </c>
      <c r="AM115" s="16"/>
      <c r="AN115" s="16"/>
      <c r="AO115" s="16"/>
      <c r="AP115" s="17"/>
      <c r="AQ115" s="18">
        <v>2002</v>
      </c>
      <c r="AR115" s="21" t="s">
        <v>37</v>
      </c>
      <c r="AS115" s="41"/>
      <c r="AT115" s="41"/>
      <c r="AU115" s="41"/>
      <c r="AV115" s="16"/>
      <c r="AW115" s="16"/>
      <c r="AX115" s="16"/>
      <c r="AY115" s="16"/>
      <c r="AZ115" s="69">
        <f>(SUM(AZ$134:AZ$149)/16)/(SUM($J$134:$J$149)/16)*MITRE[[#This Row],[Trenes Corridos]]</f>
        <v>2896.7987838002873</v>
      </c>
      <c r="BA115" s="16"/>
      <c r="BB115" s="16"/>
      <c r="BC115" s="16"/>
      <c r="BD115" s="17"/>
      <c r="BE115" s="18">
        <v>2002</v>
      </c>
      <c r="BF115" s="21" t="s">
        <v>37</v>
      </c>
      <c r="BG115" s="41"/>
      <c r="BH115" s="41"/>
      <c r="BI115" s="41"/>
      <c r="BJ115" s="16"/>
      <c r="BK115" s="16"/>
      <c r="BL115" s="16"/>
      <c r="BM115" s="16"/>
      <c r="BN115" s="69">
        <f>(SUM(BN$134:BN$149)/16)/(SUM($J$134:$J$149)/16)*MITRE[[#This Row],[Trenes Corridos]]</f>
        <v>870.07287933597524</v>
      </c>
      <c r="BO115" s="16"/>
      <c r="BP115" s="16"/>
      <c r="BQ115" s="16"/>
      <c r="BR115" s="17"/>
      <c r="BS115" s="18">
        <v>2002</v>
      </c>
      <c r="BT115" s="21" t="s">
        <v>37</v>
      </c>
      <c r="BU115" s="41"/>
      <c r="BV115" s="41"/>
      <c r="BW115" s="41"/>
      <c r="BX115" s="16"/>
      <c r="BY115" s="16"/>
      <c r="BZ115" s="16"/>
      <c r="CA115" s="16"/>
      <c r="CB115" s="69">
        <f>(SUM(CB$134:CB$149)/16)/(SUM($J$134:$J$149)/16)*MITRE[[#This Row],[Trenes Corridos]]</f>
        <v>857.82487229481899</v>
      </c>
      <c r="CC115" s="16"/>
      <c r="CD115" s="16"/>
      <c r="CI115" s="40"/>
      <c r="CJ115" s="40"/>
      <c r="CK115" s="40"/>
      <c r="CL115" s="40"/>
      <c r="CM115" s="40"/>
    </row>
    <row r="116" spans="1:91" s="18" customFormat="1" ht="15" customHeight="1">
      <c r="A116" s="18">
        <v>2002</v>
      </c>
      <c r="B116" s="21" t="s">
        <v>38</v>
      </c>
      <c r="C116" s="15">
        <f>+MITRE[[#This Row],[Trenes Puntuales]]/MITRE[[#This Row],[Trenes Programados]]</f>
        <v>0.9186149936467598</v>
      </c>
      <c r="D116" s="15">
        <f>+MITRE[[#This Row],[Trenes Puntuales]]/MITRE[[#This Row],[Trenes Corridos]]</f>
        <v>0.97954068152564189</v>
      </c>
      <c r="E116" s="15">
        <f>+MITRE[[#This Row],[Trenes Corridos]]/MITRE[[#This Row],[Trenes Programados]]</f>
        <v>0.9378017789072427</v>
      </c>
      <c r="F116" s="16">
        <f>+Tabla4[[#This Row],[Trenes Programados por Día Hábil]]+Tabla5[[#This Row],[Trenes Programados por Día Hábil]]+Tabla6[[#This Row],[Trenes Programados por Día Hábil]]+MIT_Vic_Cap[[#This Row],[Trenes Programados por Día Hábil]]+Tabla8[[#This Row],[Trenes Programados por Día Hábil]]</f>
        <v>0</v>
      </c>
      <c r="G11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6" s="16">
        <v>15740</v>
      </c>
      <c r="I116" s="16">
        <f t="shared" si="18"/>
        <v>979</v>
      </c>
      <c r="J116" s="16">
        <v>14761</v>
      </c>
      <c r="K116" s="16">
        <v>14459</v>
      </c>
      <c r="L116" s="16">
        <f t="shared" si="19"/>
        <v>302</v>
      </c>
      <c r="M116" s="16"/>
      <c r="N116" s="17"/>
      <c r="O116" s="18">
        <v>2002</v>
      </c>
      <c r="P116" s="21" t="s">
        <v>38</v>
      </c>
      <c r="Q116" s="41"/>
      <c r="R116" s="41"/>
      <c r="S116" s="41"/>
      <c r="T116" s="16"/>
      <c r="U116" s="16"/>
      <c r="V116" s="16"/>
      <c r="W116" s="16"/>
      <c r="X116" s="69">
        <f>(SUM(X$134:X$149)/16)/(SUM($J$134:$J$149)/16)*MITRE[[#This Row],[Trenes Corridos]]</f>
        <v>5504.1775533666578</v>
      </c>
      <c r="Y116" s="16"/>
      <c r="Z116" s="16"/>
      <c r="AA116" s="16"/>
      <c r="AB116" s="17"/>
      <c r="AC116" s="18">
        <v>2002</v>
      </c>
      <c r="AD116" s="21" t="s">
        <v>38</v>
      </c>
      <c r="AE116" s="41"/>
      <c r="AF116" s="41"/>
      <c r="AG116" s="41"/>
      <c r="AH116" s="16"/>
      <c r="AI116" s="16"/>
      <c r="AJ116" s="16"/>
      <c r="AK116" s="16"/>
      <c r="AL116" s="69">
        <f>(SUM(AL$134:AL$149)/16)/(SUM($J$134:$J$149)/16)*MITRE[[#This Row],[Trenes Corridos]]</f>
        <v>4304.3307490493171</v>
      </c>
      <c r="AM116" s="16"/>
      <c r="AN116" s="16"/>
      <c r="AO116" s="16"/>
      <c r="AP116" s="17"/>
      <c r="AQ116" s="18">
        <v>2002</v>
      </c>
      <c r="AR116" s="21" t="s">
        <v>38</v>
      </c>
      <c r="AS116" s="41"/>
      <c r="AT116" s="41"/>
      <c r="AU116" s="41"/>
      <c r="AV116" s="16"/>
      <c r="AW116" s="16"/>
      <c r="AX116" s="16"/>
      <c r="AY116" s="16"/>
      <c r="AZ116" s="69">
        <f>(SUM(AZ$134:AZ$149)/16)/(SUM($J$134:$J$149)/16)*MITRE[[#This Row],[Trenes Corridos]]</f>
        <v>3102.1217968424289</v>
      </c>
      <c r="BA116" s="16"/>
      <c r="BB116" s="16"/>
      <c r="BC116" s="16"/>
      <c r="BD116" s="17"/>
      <c r="BE116" s="18">
        <v>2002</v>
      </c>
      <c r="BF116" s="21" t="s">
        <v>38</v>
      </c>
      <c r="BG116" s="41"/>
      <c r="BH116" s="41"/>
      <c r="BI116" s="41"/>
      <c r="BJ116" s="16"/>
      <c r="BK116" s="16"/>
      <c r="BL116" s="16"/>
      <c r="BM116" s="16"/>
      <c r="BN116" s="69">
        <f>(SUM(BN$134:BN$149)/16)/(SUM($J$134:$J$149)/16)*MITRE[[#This Row],[Trenes Corridos]]</f>
        <v>931.74301885362229</v>
      </c>
      <c r="BO116" s="16"/>
      <c r="BP116" s="16"/>
      <c r="BQ116" s="16"/>
      <c r="BR116" s="17"/>
      <c r="BS116" s="18">
        <v>2002</v>
      </c>
      <c r="BT116" s="21" t="s">
        <v>38</v>
      </c>
      <c r="BU116" s="41"/>
      <c r="BV116" s="41"/>
      <c r="BW116" s="41"/>
      <c r="BX116" s="16"/>
      <c r="BY116" s="16"/>
      <c r="BZ116" s="16"/>
      <c r="CA116" s="16"/>
      <c r="CB116" s="69">
        <f>(SUM(CB$134:CB$149)/16)/(SUM($J$134:$J$149)/16)*MITRE[[#This Row],[Trenes Corridos]]</f>
        <v>918.62688188797324</v>
      </c>
      <c r="CC116" s="16"/>
      <c r="CD116" s="16"/>
      <c r="CI116" s="40"/>
      <c r="CJ116" s="40"/>
      <c r="CK116" s="40"/>
      <c r="CL116" s="40"/>
      <c r="CM116" s="40"/>
    </row>
    <row r="117" spans="1:91" s="18" customFormat="1" ht="15" customHeight="1">
      <c r="A117" s="18">
        <v>2002</v>
      </c>
      <c r="B117" s="21" t="s">
        <v>39</v>
      </c>
      <c r="C117" s="15">
        <f>+MITRE[[#This Row],[Trenes Puntuales]]/MITRE[[#This Row],[Trenes Programados]]</f>
        <v>0.88168724279835387</v>
      </c>
      <c r="D117" s="15">
        <f>+MITRE[[#This Row],[Trenes Puntuales]]/MITRE[[#This Row],[Trenes Corridos]]</f>
        <v>0.96870363829035677</v>
      </c>
      <c r="E117" s="15">
        <f>+MITRE[[#This Row],[Trenes Corridos]]/MITRE[[#This Row],[Trenes Programados]]</f>
        <v>0.91017232510288071</v>
      </c>
      <c r="F117" s="16">
        <f>+Tabla4[[#This Row],[Trenes Programados por Día Hábil]]+Tabla5[[#This Row],[Trenes Programados por Día Hábil]]+Tabla6[[#This Row],[Trenes Programados por Día Hábil]]+MIT_Vic_Cap[[#This Row],[Trenes Programados por Día Hábil]]+Tabla8[[#This Row],[Trenes Programados por Día Hábil]]</f>
        <v>0</v>
      </c>
      <c r="G11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7" s="16">
        <v>15552</v>
      </c>
      <c r="I117" s="16">
        <f t="shared" si="18"/>
        <v>1397</v>
      </c>
      <c r="J117" s="16">
        <v>14155</v>
      </c>
      <c r="K117" s="16">
        <v>13712</v>
      </c>
      <c r="L117" s="16">
        <f t="shared" si="19"/>
        <v>443</v>
      </c>
      <c r="M117" s="16"/>
      <c r="N117" s="17"/>
      <c r="O117" s="18">
        <v>2002</v>
      </c>
      <c r="P117" s="21" t="s">
        <v>39</v>
      </c>
      <c r="Q117" s="41"/>
      <c r="R117" s="41"/>
      <c r="S117" s="41"/>
      <c r="T117" s="16"/>
      <c r="U117" s="16"/>
      <c r="V117" s="16"/>
      <c r="W117" s="16"/>
      <c r="X117" s="69">
        <f>(SUM(X$134:X$149)/16)/(SUM($J$134:$J$149)/16)*MITRE[[#This Row],[Trenes Corridos]]</f>
        <v>5278.2083373690839</v>
      </c>
      <c r="Y117" s="16"/>
      <c r="Z117" s="16"/>
      <c r="AA117" s="16"/>
      <c r="AB117" s="17"/>
      <c r="AC117" s="18">
        <v>2002</v>
      </c>
      <c r="AD117" s="21" t="s">
        <v>39</v>
      </c>
      <c r="AE117" s="41"/>
      <c r="AF117" s="41"/>
      <c r="AG117" s="41"/>
      <c r="AH117" s="16"/>
      <c r="AI117" s="16"/>
      <c r="AJ117" s="16"/>
      <c r="AK117" s="16"/>
      <c r="AL117" s="69">
        <f>(SUM(AL$134:AL$149)/16)/(SUM($J$134:$J$149)/16)*MITRE[[#This Row],[Trenes Corridos]]</f>
        <v>4127.6201986852575</v>
      </c>
      <c r="AM117" s="16"/>
      <c r="AN117" s="16"/>
      <c r="AO117" s="16"/>
      <c r="AP117" s="17"/>
      <c r="AQ117" s="18">
        <v>2002</v>
      </c>
      <c r="AR117" s="21" t="s">
        <v>39</v>
      </c>
      <c r="AS117" s="41"/>
      <c r="AT117" s="41"/>
      <c r="AU117" s="41"/>
      <c r="AV117" s="16"/>
      <c r="AW117" s="16"/>
      <c r="AX117" s="16"/>
      <c r="AY117" s="16"/>
      <c r="AZ117" s="69">
        <f>(SUM(AZ$134:AZ$149)/16)/(SUM($J$134:$J$149)/16)*MITRE[[#This Row],[Trenes Corridos]]</f>
        <v>2974.7668880363512</v>
      </c>
      <c r="BA117" s="16"/>
      <c r="BB117" s="16"/>
      <c r="BC117" s="16"/>
      <c r="BD117" s="17"/>
      <c r="BE117" s="18">
        <v>2002</v>
      </c>
      <c r="BF117" s="21" t="s">
        <v>39</v>
      </c>
      <c r="BG117" s="41"/>
      <c r="BH117" s="41"/>
      <c r="BI117" s="41"/>
      <c r="BJ117" s="16"/>
      <c r="BK117" s="16"/>
      <c r="BL117" s="16"/>
      <c r="BM117" s="16"/>
      <c r="BN117" s="69">
        <f>(SUM(BN$134:BN$149)/16)/(SUM($J$134:$J$149)/16)*MITRE[[#This Row],[Trenes Corridos]]</f>
        <v>893.49112064717997</v>
      </c>
      <c r="BO117" s="16"/>
      <c r="BP117" s="16"/>
      <c r="BQ117" s="16"/>
      <c r="BR117" s="17"/>
      <c r="BS117" s="18">
        <v>2002</v>
      </c>
      <c r="BT117" s="21" t="s">
        <v>39</v>
      </c>
      <c r="BU117" s="41"/>
      <c r="BV117" s="41"/>
      <c r="BW117" s="41"/>
      <c r="BX117" s="16"/>
      <c r="BY117" s="16"/>
      <c r="BZ117" s="16"/>
      <c r="CA117" s="16"/>
      <c r="CB117" s="69">
        <f>(SUM(CB$134:CB$149)/16)/(SUM($J$134:$J$149)/16)*MITRE[[#This Row],[Trenes Corridos]]</f>
        <v>880.91345526212729</v>
      </c>
      <c r="CC117" s="16"/>
      <c r="CD117" s="16"/>
      <c r="CI117" s="40"/>
      <c r="CJ117" s="40"/>
      <c r="CK117" s="40"/>
      <c r="CL117" s="40"/>
      <c r="CM117" s="40"/>
    </row>
    <row r="118" spans="1:91" s="18" customFormat="1" ht="15" customHeight="1">
      <c r="A118" s="18">
        <v>2002</v>
      </c>
      <c r="B118" s="21" t="s">
        <v>40</v>
      </c>
      <c r="C118" s="15">
        <f>+MITRE[[#This Row],[Trenes Puntuales]]/MITRE[[#This Row],[Trenes Programados]]</f>
        <v>0.9015018773466833</v>
      </c>
      <c r="D118" s="15">
        <f>+MITRE[[#This Row],[Trenes Puntuales]]/MITRE[[#This Row],[Trenes Corridos]]</f>
        <v>0.96432157440257049</v>
      </c>
      <c r="E118" s="15">
        <f>+MITRE[[#This Row],[Trenes Corridos]]/MITRE[[#This Row],[Trenes Programados]]</f>
        <v>0.93485607008760951</v>
      </c>
      <c r="F118" s="16">
        <f>+Tabla4[[#This Row],[Trenes Programados por Día Hábil]]+Tabla5[[#This Row],[Trenes Programados por Día Hábil]]+Tabla6[[#This Row],[Trenes Programados por Día Hábil]]+MIT_Vic_Cap[[#This Row],[Trenes Programados por Día Hábil]]+Tabla8[[#This Row],[Trenes Programados por Día Hábil]]</f>
        <v>0</v>
      </c>
      <c r="G11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8" s="16">
        <v>15980</v>
      </c>
      <c r="I118" s="16">
        <f t="shared" si="18"/>
        <v>1041</v>
      </c>
      <c r="J118" s="16">
        <v>14939</v>
      </c>
      <c r="K118" s="16">
        <v>14406</v>
      </c>
      <c r="L118" s="16">
        <f t="shared" si="19"/>
        <v>533</v>
      </c>
      <c r="M118" s="16"/>
      <c r="N118" s="17"/>
      <c r="O118" s="18">
        <v>2002</v>
      </c>
      <c r="P118" s="21" t="s">
        <v>40</v>
      </c>
      <c r="Q118" s="41"/>
      <c r="R118" s="41"/>
      <c r="S118" s="41"/>
      <c r="T118" s="16"/>
      <c r="U118" s="16"/>
      <c r="V118" s="16"/>
      <c r="W118" s="16"/>
      <c r="X118" s="69">
        <f>(SUM(X$134:X$149)/16)/(SUM($J$134:$J$149)/16)*MITRE[[#This Row],[Trenes Corridos]]</f>
        <v>5570.5513494847573</v>
      </c>
      <c r="Y118" s="16"/>
      <c r="Z118" s="16"/>
      <c r="AA118" s="16"/>
      <c r="AB118" s="17"/>
      <c r="AC118" s="18">
        <v>2002</v>
      </c>
      <c r="AD118" s="21" t="s">
        <v>40</v>
      </c>
      <c r="AE118" s="41"/>
      <c r="AF118" s="41"/>
      <c r="AG118" s="41"/>
      <c r="AH118" s="16"/>
      <c r="AI118" s="16"/>
      <c r="AJ118" s="16"/>
      <c r="AK118" s="16"/>
      <c r="AL118" s="69">
        <f>(SUM(AL$134:AL$149)/16)/(SUM($J$134:$J$149)/16)*MITRE[[#This Row],[Trenes Corridos]]</f>
        <v>4356.2358281991565</v>
      </c>
      <c r="AM118" s="16"/>
      <c r="AN118" s="16"/>
      <c r="AO118" s="16"/>
      <c r="AP118" s="17"/>
      <c r="AQ118" s="18">
        <v>2002</v>
      </c>
      <c r="AR118" s="21" t="s">
        <v>40</v>
      </c>
      <c r="AS118" s="41"/>
      <c r="AT118" s="41"/>
      <c r="AU118" s="41"/>
      <c r="AV118" s="16"/>
      <c r="AW118" s="16"/>
      <c r="AX118" s="16"/>
      <c r="AY118" s="16"/>
      <c r="AZ118" s="69">
        <f>(SUM(AZ$134:AZ$149)/16)/(SUM($J$134:$J$149)/16)*MITRE[[#This Row],[Trenes Corridos]]</f>
        <v>3139.5296743465242</v>
      </c>
      <c r="BA118" s="16"/>
      <c r="BB118" s="16"/>
      <c r="BC118" s="16"/>
      <c r="BD118" s="17"/>
      <c r="BE118" s="18">
        <v>2002</v>
      </c>
      <c r="BF118" s="21" t="s">
        <v>40</v>
      </c>
      <c r="BG118" s="41"/>
      <c r="BH118" s="41"/>
      <c r="BI118" s="41"/>
      <c r="BJ118" s="16"/>
      <c r="BK118" s="16"/>
      <c r="BL118" s="16"/>
      <c r="BM118" s="16"/>
      <c r="BN118" s="69">
        <f>(SUM(BN$134:BN$149)/16)/(SUM($J$134:$J$149)/16)*MITRE[[#This Row],[Trenes Corridos]]</f>
        <v>942.97872492746183</v>
      </c>
      <c r="BO118" s="16"/>
      <c r="BP118" s="16"/>
      <c r="BQ118" s="16"/>
      <c r="BR118" s="17"/>
      <c r="BS118" s="18">
        <v>2002</v>
      </c>
      <c r="BT118" s="21" t="s">
        <v>40</v>
      </c>
      <c r="BU118" s="41"/>
      <c r="BV118" s="41"/>
      <c r="BW118" s="41"/>
      <c r="BX118" s="16"/>
      <c r="BY118" s="16"/>
      <c r="BZ118" s="16"/>
      <c r="CA118" s="16"/>
      <c r="CB118" s="69">
        <f>(SUM(CB$134:CB$149)/16)/(SUM($J$134:$J$149)/16)*MITRE[[#This Row],[Trenes Corridos]]</f>
        <v>929.70442304209962</v>
      </c>
      <c r="CC118" s="16"/>
      <c r="CD118" s="16"/>
      <c r="CI118" s="40"/>
      <c r="CJ118" s="40"/>
      <c r="CK118" s="40"/>
      <c r="CL118" s="40"/>
      <c r="CM118" s="40"/>
    </row>
    <row r="119" spans="1:91" s="18" customFormat="1" ht="15" customHeight="1">
      <c r="A119" s="18">
        <v>2002</v>
      </c>
      <c r="B119" s="21" t="s">
        <v>41</v>
      </c>
      <c r="C119" s="15">
        <f>+MITRE[[#This Row],[Trenes Puntuales]]/MITRE[[#This Row],[Trenes Programados]]</f>
        <v>0.86392592106127275</v>
      </c>
      <c r="D119" s="15">
        <f>+MITRE[[#This Row],[Trenes Puntuales]]/MITRE[[#This Row],[Trenes Corridos]]</f>
        <v>0.93080025472298877</v>
      </c>
      <c r="E119" s="15">
        <f>+MITRE[[#This Row],[Trenes Corridos]]/MITRE[[#This Row],[Trenes Programados]]</f>
        <v>0.92815393708544036</v>
      </c>
      <c r="F119" s="16">
        <f>+Tabla4[[#This Row],[Trenes Programados por Día Hábil]]+Tabla5[[#This Row],[Trenes Programados por Día Hábil]]+Tabla6[[#This Row],[Trenes Programados por Día Hábil]]+MIT_Vic_Cap[[#This Row],[Trenes Programados por Día Hábil]]+Tabla8[[#This Row],[Trenes Programados por Día Hábil]]</f>
        <v>0</v>
      </c>
      <c r="G11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9" s="16">
        <v>15227</v>
      </c>
      <c r="I119" s="16">
        <f t="shared" si="18"/>
        <v>1094</v>
      </c>
      <c r="J119" s="16">
        <v>14133</v>
      </c>
      <c r="K119" s="16">
        <v>13155</v>
      </c>
      <c r="L119" s="16">
        <f t="shared" si="19"/>
        <v>978</v>
      </c>
      <c r="M119" s="16"/>
      <c r="N119" s="17"/>
      <c r="O119" s="18">
        <v>2002</v>
      </c>
      <c r="P119" s="21" t="s">
        <v>41</v>
      </c>
      <c r="Q119" s="41"/>
      <c r="R119" s="41"/>
      <c r="S119" s="41"/>
      <c r="T119" s="16"/>
      <c r="U119" s="16"/>
      <c r="V119" s="16"/>
      <c r="W119" s="16"/>
      <c r="X119" s="69">
        <f>(SUM(X$134:X$149)/16)/(SUM($J$134:$J$149)/16)*MITRE[[#This Row],[Trenes Corridos]]</f>
        <v>5270.0048344780826</v>
      </c>
      <c r="Y119" s="16"/>
      <c r="Z119" s="16"/>
      <c r="AA119" s="16"/>
      <c r="AB119" s="17"/>
      <c r="AC119" s="18">
        <v>2002</v>
      </c>
      <c r="AD119" s="21" t="s">
        <v>41</v>
      </c>
      <c r="AE119" s="41"/>
      <c r="AF119" s="41"/>
      <c r="AG119" s="41"/>
      <c r="AH119" s="16"/>
      <c r="AI119" s="16"/>
      <c r="AJ119" s="16"/>
      <c r="AK119" s="16"/>
      <c r="AL119" s="69">
        <f>(SUM(AL$134:AL$149)/16)/(SUM($J$134:$J$149)/16)*MITRE[[#This Row],[Trenes Corridos]]</f>
        <v>4121.204964183592</v>
      </c>
      <c r="AM119" s="16"/>
      <c r="AN119" s="16"/>
      <c r="AO119" s="16"/>
      <c r="AP119" s="17"/>
      <c r="AQ119" s="18">
        <v>2002</v>
      </c>
      <c r="AR119" s="21" t="s">
        <v>41</v>
      </c>
      <c r="AS119" s="41"/>
      <c r="AT119" s="41"/>
      <c r="AU119" s="41"/>
      <c r="AV119" s="16"/>
      <c r="AW119" s="16"/>
      <c r="AX119" s="16"/>
      <c r="AY119" s="16"/>
      <c r="AZ119" s="69">
        <f>(SUM(AZ$134:AZ$149)/16)/(SUM($J$134:$J$149)/16)*MITRE[[#This Row],[Trenes Corridos]]</f>
        <v>2970.1434425021371</v>
      </c>
      <c r="BA119" s="16"/>
      <c r="BB119" s="16"/>
      <c r="BC119" s="16"/>
      <c r="BD119" s="17"/>
      <c r="BE119" s="18">
        <v>2002</v>
      </c>
      <c r="BF119" s="21" t="s">
        <v>41</v>
      </c>
      <c r="BG119" s="41"/>
      <c r="BH119" s="41"/>
      <c r="BI119" s="41"/>
      <c r="BJ119" s="16"/>
      <c r="BK119" s="16"/>
      <c r="BL119" s="16"/>
      <c r="BM119" s="16"/>
      <c r="BN119" s="69">
        <f>(SUM(BN$134:BN$149)/16)/(SUM($J$134:$J$149)/16)*MITRE[[#This Row],[Trenes Corridos]]</f>
        <v>892.10243787400884</v>
      </c>
      <c r="BO119" s="16"/>
      <c r="BP119" s="16"/>
      <c r="BQ119" s="16"/>
      <c r="BR119" s="17"/>
      <c r="BS119" s="18">
        <v>2002</v>
      </c>
      <c r="BT119" s="21" t="s">
        <v>41</v>
      </c>
      <c r="BU119" s="41"/>
      <c r="BV119" s="41"/>
      <c r="BW119" s="41"/>
      <c r="BX119" s="16"/>
      <c r="BY119" s="16"/>
      <c r="BZ119" s="16"/>
      <c r="CA119" s="16"/>
      <c r="CB119" s="69">
        <f>(SUM(CB$134:CB$149)/16)/(SUM($J$134:$J$149)/16)*MITRE[[#This Row],[Trenes Corridos]]</f>
        <v>879.54432096217909</v>
      </c>
      <c r="CC119" s="16"/>
      <c r="CD119" s="16"/>
      <c r="CI119" s="40"/>
      <c r="CJ119" s="40"/>
      <c r="CK119" s="40"/>
      <c r="CL119" s="40"/>
      <c r="CM119" s="40"/>
    </row>
    <row r="120" spans="1:91" s="18" customFormat="1" ht="15" customHeight="1">
      <c r="A120" s="18">
        <v>2002</v>
      </c>
      <c r="B120" s="21" t="s">
        <v>42</v>
      </c>
      <c r="C120" s="15">
        <f>+MITRE[[#This Row],[Trenes Puntuales]]/MITRE[[#This Row],[Trenes Programados]]</f>
        <v>0.87283731735648351</v>
      </c>
      <c r="D120" s="15">
        <f>+MITRE[[#This Row],[Trenes Puntuales]]/MITRE[[#This Row],[Trenes Corridos]]</f>
        <v>0.94038993544987481</v>
      </c>
      <c r="E120" s="15">
        <f>+MITRE[[#This Row],[Trenes Corridos]]/MITRE[[#This Row],[Trenes Programados]]</f>
        <v>0.92816531148743653</v>
      </c>
      <c r="F120" s="16">
        <f>+Tabla4[[#This Row],[Trenes Programados por Día Hábil]]+Tabla5[[#This Row],[Trenes Programados por Día Hábil]]+Tabla6[[#This Row],[Trenes Programados por Día Hábil]]+MIT_Vic_Cap[[#This Row],[Trenes Programados por Día Hábil]]+Tabla8[[#This Row],[Trenes Programados por Día Hábil]]</f>
        <v>0</v>
      </c>
      <c r="G12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0" s="16">
        <v>16357</v>
      </c>
      <c r="I120" s="16">
        <f t="shared" si="18"/>
        <v>1175</v>
      </c>
      <c r="J120" s="16">
        <v>15182</v>
      </c>
      <c r="K120" s="16">
        <v>14277</v>
      </c>
      <c r="L120" s="16">
        <f t="shared" si="19"/>
        <v>905</v>
      </c>
      <c r="M120" s="16"/>
      <c r="N120" s="17"/>
      <c r="O120" s="18">
        <v>2002</v>
      </c>
      <c r="P120" s="21" t="s">
        <v>42</v>
      </c>
      <c r="Q120" s="41"/>
      <c r="R120" s="41"/>
      <c r="S120" s="41"/>
      <c r="T120" s="16"/>
      <c r="U120" s="16"/>
      <c r="V120" s="16"/>
      <c r="W120" s="16"/>
      <c r="X120" s="69">
        <f>(SUM(X$134:X$149)/16)/(SUM($J$134:$J$149)/16)*MITRE[[#This Row],[Trenes Corridos]]</f>
        <v>5661.1627677808146</v>
      </c>
      <c r="Y120" s="16"/>
      <c r="Z120" s="16"/>
      <c r="AA120" s="16"/>
      <c r="AB120" s="17"/>
      <c r="AC120" s="18">
        <v>2002</v>
      </c>
      <c r="AD120" s="21" t="s">
        <v>42</v>
      </c>
      <c r="AE120" s="41"/>
      <c r="AF120" s="41"/>
      <c r="AG120" s="41"/>
      <c r="AH120" s="16"/>
      <c r="AI120" s="16"/>
      <c r="AJ120" s="16"/>
      <c r="AK120" s="16"/>
      <c r="AL120" s="69">
        <f>(SUM(AL$134:AL$149)/16)/(SUM($J$134:$J$149)/16)*MITRE[[#This Row],[Trenes Corridos]]</f>
        <v>4427.0950092857347</v>
      </c>
      <c r="AM120" s="16"/>
      <c r="AN120" s="16"/>
      <c r="AO120" s="16"/>
      <c r="AP120" s="17"/>
      <c r="AQ120" s="18">
        <v>2002</v>
      </c>
      <c r="AR120" s="21" t="s">
        <v>42</v>
      </c>
      <c r="AS120" s="41"/>
      <c r="AT120" s="41"/>
      <c r="AU120" s="41"/>
      <c r="AV120" s="16"/>
      <c r="AW120" s="16"/>
      <c r="AX120" s="16"/>
      <c r="AY120" s="16"/>
      <c r="AZ120" s="69">
        <f>(SUM(AZ$134:AZ$149)/16)/(SUM($J$134:$J$149)/16)*MITRE[[#This Row],[Trenes Corridos]]</f>
        <v>3190.5977318380701</v>
      </c>
      <c r="BA120" s="16"/>
      <c r="BB120" s="16"/>
      <c r="BC120" s="16"/>
      <c r="BD120" s="17"/>
      <c r="BE120" s="18">
        <v>2002</v>
      </c>
      <c r="BF120" s="21" t="s">
        <v>42</v>
      </c>
      <c r="BG120" s="41"/>
      <c r="BH120" s="41"/>
      <c r="BI120" s="41"/>
      <c r="BJ120" s="16"/>
      <c r="BK120" s="16"/>
      <c r="BL120" s="16"/>
      <c r="BM120" s="16"/>
      <c r="BN120" s="69">
        <f>(SUM(BN$134:BN$149)/16)/(SUM($J$134:$J$149)/16)*MITRE[[#This Row],[Trenes Corridos]]</f>
        <v>958.31735737657982</v>
      </c>
      <c r="BO120" s="16"/>
      <c r="BP120" s="16"/>
      <c r="BQ120" s="16"/>
      <c r="BR120" s="17"/>
      <c r="BS120" s="18">
        <v>2002</v>
      </c>
      <c r="BT120" s="21" t="s">
        <v>42</v>
      </c>
      <c r="BU120" s="41"/>
      <c r="BV120" s="41"/>
      <c r="BW120" s="41"/>
      <c r="BX120" s="16"/>
      <c r="BY120" s="16"/>
      <c r="BZ120" s="16"/>
      <c r="CA120" s="16"/>
      <c r="CB120" s="69">
        <f>(SUM(CB$134:CB$149)/16)/(SUM($J$134:$J$149)/16)*MITRE[[#This Row],[Trenes Corridos]]</f>
        <v>944.82713371880016</v>
      </c>
      <c r="CC120" s="16"/>
      <c r="CD120" s="16"/>
      <c r="CI120" s="40"/>
      <c r="CJ120" s="40"/>
      <c r="CK120" s="40"/>
      <c r="CL120" s="40"/>
      <c r="CM120" s="40"/>
    </row>
    <row r="121" spans="1:91" s="18" customFormat="1" ht="15" customHeight="1">
      <c r="A121" s="18">
        <v>2002</v>
      </c>
      <c r="B121" s="21" t="s">
        <v>43</v>
      </c>
      <c r="C121" s="15">
        <f>+MITRE[[#This Row],[Trenes Puntuales]]/MITRE[[#This Row],[Trenes Programados]]</f>
        <v>0.88529191616766467</v>
      </c>
      <c r="D121" s="15">
        <f>+MITRE[[#This Row],[Trenes Puntuales]]/MITRE[[#This Row],[Trenes Corridos]]</f>
        <v>0.95069997990488309</v>
      </c>
      <c r="E121" s="15">
        <f>+MITRE[[#This Row],[Trenes Corridos]]/MITRE[[#This Row],[Trenes Programados]]</f>
        <v>0.93120009980039919</v>
      </c>
      <c r="F121" s="16">
        <f>+Tabla4[[#This Row],[Trenes Programados por Día Hábil]]+Tabla5[[#This Row],[Trenes Programados por Día Hábil]]+Tabla6[[#This Row],[Trenes Programados por Día Hábil]]+MIT_Vic_Cap[[#This Row],[Trenes Programados por Día Hábil]]+Tabla8[[#This Row],[Trenes Programados por Día Hábil]]</f>
        <v>0</v>
      </c>
      <c r="G12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1" s="16">
        <v>16032</v>
      </c>
      <c r="I121" s="16">
        <f t="shared" si="18"/>
        <v>1103</v>
      </c>
      <c r="J121" s="16">
        <v>14929</v>
      </c>
      <c r="K121" s="16">
        <v>14193</v>
      </c>
      <c r="L121" s="16">
        <f t="shared" si="19"/>
        <v>736</v>
      </c>
      <c r="M121" s="16"/>
      <c r="N121" s="17"/>
      <c r="O121" s="18">
        <v>2002</v>
      </c>
      <c r="P121" s="21" t="s">
        <v>43</v>
      </c>
      <c r="Q121" s="41"/>
      <c r="R121" s="41"/>
      <c r="S121" s="41"/>
      <c r="T121" s="16"/>
      <c r="U121" s="16"/>
      <c r="V121" s="16"/>
      <c r="W121" s="16"/>
      <c r="X121" s="69">
        <f>(SUM(X$134:X$149)/16)/(SUM($J$134:$J$149)/16)*MITRE[[#This Row],[Trenes Corridos]]</f>
        <v>5566.822484534302</v>
      </c>
      <c r="Y121" s="16"/>
      <c r="Z121" s="16"/>
      <c r="AA121" s="16"/>
      <c r="AB121" s="17"/>
      <c r="AC121" s="18">
        <v>2002</v>
      </c>
      <c r="AD121" s="21" t="s">
        <v>43</v>
      </c>
      <c r="AE121" s="41"/>
      <c r="AF121" s="41"/>
      <c r="AG121" s="41"/>
      <c r="AH121" s="16"/>
      <c r="AI121" s="16"/>
      <c r="AJ121" s="16"/>
      <c r="AK121" s="16"/>
      <c r="AL121" s="69">
        <f>(SUM(AL$134:AL$149)/16)/(SUM($J$134:$J$149)/16)*MITRE[[#This Row],[Trenes Corridos]]</f>
        <v>4353.3198125165809</v>
      </c>
      <c r="AM121" s="16"/>
      <c r="AN121" s="16"/>
      <c r="AO121" s="16"/>
      <c r="AP121" s="17"/>
      <c r="AQ121" s="18">
        <v>2002</v>
      </c>
      <c r="AR121" s="21" t="s">
        <v>43</v>
      </c>
      <c r="AS121" s="41"/>
      <c r="AT121" s="41"/>
      <c r="AU121" s="41"/>
      <c r="AV121" s="16"/>
      <c r="AW121" s="16"/>
      <c r="AX121" s="16"/>
      <c r="AY121" s="16"/>
      <c r="AZ121" s="69">
        <f>(SUM(AZ$134:AZ$149)/16)/(SUM($J$134:$J$149)/16)*MITRE[[#This Row],[Trenes Corridos]]</f>
        <v>3137.4281081946087</v>
      </c>
      <c r="BA121" s="16"/>
      <c r="BB121" s="16"/>
      <c r="BC121" s="16"/>
      <c r="BD121" s="17"/>
      <c r="BE121" s="18">
        <v>2002</v>
      </c>
      <c r="BF121" s="21" t="s">
        <v>43</v>
      </c>
      <c r="BG121" s="41"/>
      <c r="BH121" s="41"/>
      <c r="BI121" s="41"/>
      <c r="BJ121" s="16"/>
      <c r="BK121" s="16"/>
      <c r="BL121" s="16"/>
      <c r="BM121" s="16"/>
      <c r="BN121" s="69">
        <f>(SUM(BN$134:BN$149)/16)/(SUM($J$134:$J$149)/16)*MITRE[[#This Row],[Trenes Corridos]]</f>
        <v>942.34750548511124</v>
      </c>
      <c r="BO121" s="16"/>
      <c r="BP121" s="16"/>
      <c r="BQ121" s="16"/>
      <c r="BR121" s="17"/>
      <c r="BS121" s="18">
        <v>2002</v>
      </c>
      <c r="BT121" s="21" t="s">
        <v>43</v>
      </c>
      <c r="BU121" s="41"/>
      <c r="BV121" s="41"/>
      <c r="BW121" s="41"/>
      <c r="BX121" s="16"/>
      <c r="BY121" s="16"/>
      <c r="BZ121" s="16"/>
      <c r="CA121" s="16"/>
      <c r="CB121" s="69">
        <f>(SUM(CB$134:CB$149)/16)/(SUM($J$134:$J$149)/16)*MITRE[[#This Row],[Trenes Corridos]]</f>
        <v>929.08208926939585</v>
      </c>
      <c r="CC121" s="16"/>
      <c r="CD121" s="16"/>
      <c r="CI121" s="40"/>
      <c r="CJ121" s="40"/>
      <c r="CK121" s="40"/>
      <c r="CL121" s="40"/>
      <c r="CM121" s="40"/>
    </row>
    <row r="122" spans="1:91" s="18" customFormat="1" ht="15" customHeight="1">
      <c r="A122" s="18">
        <v>2002</v>
      </c>
      <c r="B122" s="21" t="s">
        <v>44</v>
      </c>
      <c r="C122" s="15">
        <f>+MITRE[[#This Row],[Trenes Puntuales]]/MITRE[[#This Row],[Trenes Programados]]</f>
        <v>0.90625</v>
      </c>
      <c r="D122" s="15">
        <f>+MITRE[[#This Row],[Trenes Puntuales]]/MITRE[[#This Row],[Trenes Corridos]]</f>
        <v>0.96666666666666667</v>
      </c>
      <c r="E122" s="15">
        <f>+MITRE[[#This Row],[Trenes Corridos]]/MITRE[[#This Row],[Trenes Programados]]</f>
        <v>0.9375</v>
      </c>
      <c r="F122" s="16">
        <f>+Tabla4[[#This Row],[Trenes Programados por Día Hábil]]+Tabla5[[#This Row],[Trenes Programados por Día Hábil]]+Tabla6[[#This Row],[Trenes Programados por Día Hábil]]+MIT_Vic_Cap[[#This Row],[Trenes Programados por Día Hábil]]+Tabla8[[#This Row],[Trenes Programados por Día Hábil]]</f>
        <v>0</v>
      </c>
      <c r="G12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2" s="16">
        <v>16000</v>
      </c>
      <c r="I122" s="16">
        <f t="shared" si="18"/>
        <v>1000</v>
      </c>
      <c r="J122" s="16">
        <v>15000</v>
      </c>
      <c r="K122" s="16">
        <v>14500</v>
      </c>
      <c r="L122" s="16">
        <f t="shared" si="19"/>
        <v>500</v>
      </c>
      <c r="M122" s="16"/>
      <c r="N122" s="52"/>
      <c r="O122" s="18">
        <v>2002</v>
      </c>
      <c r="P122" s="21" t="s">
        <v>44</v>
      </c>
      <c r="Q122" s="41"/>
      <c r="R122" s="41"/>
      <c r="S122" s="41"/>
      <c r="T122" s="16"/>
      <c r="U122" s="16"/>
      <c r="V122" s="16"/>
      <c r="W122" s="16"/>
      <c r="X122" s="69">
        <f>(SUM(X$134:X$149)/16)/(SUM($J$134:$J$149)/16)*MITRE[[#This Row],[Trenes Corridos]]</f>
        <v>5593.2974256825328</v>
      </c>
      <c r="Y122" s="16"/>
      <c r="Z122" s="16"/>
      <c r="AA122" s="16"/>
      <c r="AB122" s="17"/>
      <c r="AC122" s="18">
        <v>2002</v>
      </c>
      <c r="AD122" s="21" t="s">
        <v>44</v>
      </c>
      <c r="AE122" s="41"/>
      <c r="AF122" s="41"/>
      <c r="AG122" s="41"/>
      <c r="AH122" s="16"/>
      <c r="AI122" s="16"/>
      <c r="AJ122" s="16"/>
      <c r="AK122" s="16"/>
      <c r="AL122" s="69">
        <f>(SUM(AL$134:AL$149)/16)/(SUM($J$134:$J$149)/16)*MITRE[[#This Row],[Trenes Corridos]]</f>
        <v>4374.0235238628657</v>
      </c>
      <c r="AM122" s="16"/>
      <c r="AN122" s="16"/>
      <c r="AO122" s="16"/>
      <c r="AP122" s="17"/>
      <c r="AQ122" s="18">
        <v>2002</v>
      </c>
      <c r="AR122" s="21" t="s">
        <v>44</v>
      </c>
      <c r="AS122" s="41"/>
      <c r="AT122" s="41"/>
      <c r="AU122" s="41"/>
      <c r="AV122" s="16"/>
      <c r="AW122" s="16"/>
      <c r="AX122" s="16"/>
      <c r="AY122" s="16"/>
      <c r="AZ122" s="69">
        <f>(SUM(AZ$134:AZ$149)/16)/(SUM($J$134:$J$149)/16)*MITRE[[#This Row],[Trenes Corridos]]</f>
        <v>3152.3492278732087</v>
      </c>
      <c r="BA122" s="16"/>
      <c r="BB122" s="16"/>
      <c r="BC122" s="16"/>
      <c r="BD122" s="17"/>
      <c r="BE122" s="18">
        <v>2002</v>
      </c>
      <c r="BF122" s="21" t="s">
        <v>44</v>
      </c>
      <c r="BG122" s="41"/>
      <c r="BH122" s="41"/>
      <c r="BI122" s="41"/>
      <c r="BJ122" s="16"/>
      <c r="BK122" s="16"/>
      <c r="BL122" s="16"/>
      <c r="BM122" s="16"/>
      <c r="BN122" s="69">
        <f>(SUM(BN$134:BN$149)/16)/(SUM($J$134:$J$149)/16)*MITRE[[#This Row],[Trenes Corridos]]</f>
        <v>946.82916352580003</v>
      </c>
      <c r="BO122" s="16"/>
      <c r="BP122" s="16"/>
      <c r="BQ122" s="16"/>
      <c r="BR122" s="17"/>
      <c r="BS122" s="18">
        <v>2002</v>
      </c>
      <c r="BT122" s="21" t="s">
        <v>44</v>
      </c>
      <c r="BU122" s="41"/>
      <c r="BV122" s="41"/>
      <c r="BW122" s="41"/>
      <c r="BX122" s="16"/>
      <c r="BY122" s="16"/>
      <c r="BZ122" s="16"/>
      <c r="CA122" s="16"/>
      <c r="CB122" s="69">
        <f>(SUM(CB$134:CB$149)/16)/(SUM($J$134:$J$149)/16)*MITRE[[#This Row],[Trenes Corridos]]</f>
        <v>933.50065905559234</v>
      </c>
      <c r="CC122" s="16"/>
      <c r="CD122" s="16"/>
      <c r="CI122" s="40"/>
      <c r="CJ122" s="40"/>
      <c r="CK122" s="40"/>
      <c r="CL122" s="40"/>
      <c r="CM122" s="40"/>
    </row>
    <row r="123" spans="1:91" s="18" customFormat="1" ht="15" customHeight="1">
      <c r="A123" s="18">
        <v>2002</v>
      </c>
      <c r="B123" s="21" t="s">
        <v>45</v>
      </c>
      <c r="C123" s="15">
        <f>+MITRE[[#This Row],[Trenes Puntuales]]/MITRE[[#This Row],[Trenes Programados]]</f>
        <v>0.95489992201715623</v>
      </c>
      <c r="D123" s="15">
        <f>+MITRE[[#This Row],[Trenes Puntuales]]/MITRE[[#This Row],[Trenes Corridos]]</f>
        <v>0.96887775286825795</v>
      </c>
      <c r="E123" s="15">
        <f>+MITRE[[#This Row],[Trenes Corridos]]/MITRE[[#This Row],[Trenes Programados]]</f>
        <v>0.98557317390174159</v>
      </c>
      <c r="F123" s="16">
        <f>+Tabla4[[#This Row],[Trenes Programados por Día Hábil]]+Tabla5[[#This Row],[Trenes Programados por Día Hábil]]+Tabla6[[#This Row],[Trenes Programados por Día Hábil]]+MIT_Vic_Cap[[#This Row],[Trenes Programados por Día Hábil]]+Tabla8[[#This Row],[Trenes Programados por Día Hábil]]</f>
        <v>0</v>
      </c>
      <c r="G12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3" s="16">
        <v>15388</v>
      </c>
      <c r="I123" s="16">
        <f t="shared" si="18"/>
        <v>222</v>
      </c>
      <c r="J123" s="16">
        <f>962+984+3159+4320+5741</f>
        <v>15166</v>
      </c>
      <c r="K123" s="16">
        <f>923+947+3120+4233+5471</f>
        <v>14694</v>
      </c>
      <c r="L123" s="16">
        <f t="shared" si="19"/>
        <v>472</v>
      </c>
      <c r="M123" s="16"/>
      <c r="N123" s="17"/>
      <c r="O123" s="18">
        <v>2002</v>
      </c>
      <c r="P123" s="21" t="s">
        <v>45</v>
      </c>
      <c r="Q123" s="41"/>
      <c r="R123" s="41"/>
      <c r="S123" s="41"/>
      <c r="T123" s="16"/>
      <c r="U123" s="16"/>
      <c r="V123" s="16"/>
      <c r="W123" s="16"/>
      <c r="X123" s="69">
        <f>(SUM(X$134:X$149)/16)/(SUM($J$134:$J$149)/16)*MITRE[[#This Row],[Trenes Corridos]]</f>
        <v>5655.1965838600863</v>
      </c>
      <c r="Y123" s="16"/>
      <c r="Z123" s="16"/>
      <c r="AA123" s="16"/>
      <c r="AB123" s="17"/>
      <c r="AC123" s="18">
        <v>2002</v>
      </c>
      <c r="AD123" s="21" t="s">
        <v>45</v>
      </c>
      <c r="AE123" s="41"/>
      <c r="AF123" s="41"/>
      <c r="AG123" s="41"/>
      <c r="AH123" s="16"/>
      <c r="AI123" s="16"/>
      <c r="AJ123" s="16"/>
      <c r="AK123" s="16"/>
      <c r="AL123" s="69">
        <f>(SUM(AL$134:AL$149)/16)/(SUM($J$134:$J$149)/16)*MITRE[[#This Row],[Trenes Corridos]]</f>
        <v>4422.4293841936142</v>
      </c>
      <c r="AM123" s="16"/>
      <c r="AN123" s="16"/>
      <c r="AO123" s="16"/>
      <c r="AP123" s="17"/>
      <c r="AQ123" s="18">
        <v>2002</v>
      </c>
      <c r="AR123" s="21" t="s">
        <v>45</v>
      </c>
      <c r="AS123" s="41"/>
      <c r="AT123" s="41"/>
      <c r="AU123" s="41"/>
      <c r="AV123" s="16"/>
      <c r="AW123" s="16"/>
      <c r="AX123" s="16"/>
      <c r="AY123" s="16"/>
      <c r="AZ123" s="69">
        <f>(SUM(AZ$134:AZ$149)/16)/(SUM($J$134:$J$149)/16)*MITRE[[#This Row],[Trenes Corridos]]</f>
        <v>3187.2352259950053</v>
      </c>
      <c r="BA123" s="16"/>
      <c r="BB123" s="16"/>
      <c r="BC123" s="16"/>
      <c r="BD123" s="17"/>
      <c r="BE123" s="18">
        <v>2002</v>
      </c>
      <c r="BF123" s="21" t="s">
        <v>45</v>
      </c>
      <c r="BG123" s="41"/>
      <c r="BH123" s="41"/>
      <c r="BI123" s="41"/>
      <c r="BJ123" s="16"/>
      <c r="BK123" s="16"/>
      <c r="BL123" s="16"/>
      <c r="BM123" s="16"/>
      <c r="BN123" s="69">
        <f>(SUM(BN$134:BN$149)/16)/(SUM($J$134:$J$149)/16)*MITRE[[#This Row],[Trenes Corridos]]</f>
        <v>957.30740626881891</v>
      </c>
      <c r="BO123" s="16"/>
      <c r="BP123" s="16"/>
      <c r="BQ123" s="16"/>
      <c r="BR123" s="17"/>
      <c r="BS123" s="18">
        <v>2002</v>
      </c>
      <c r="BT123" s="21" t="s">
        <v>45</v>
      </c>
      <c r="BU123" s="41"/>
      <c r="BV123" s="41"/>
      <c r="BW123" s="41"/>
      <c r="BX123" s="16"/>
      <c r="BY123" s="16"/>
      <c r="BZ123" s="16"/>
      <c r="CA123" s="16"/>
      <c r="CB123" s="69">
        <f>(SUM(CB$134:CB$149)/16)/(SUM($J$134:$J$149)/16)*MITRE[[#This Row],[Trenes Corridos]]</f>
        <v>943.83139968247417</v>
      </c>
      <c r="CC123" s="16"/>
      <c r="CD123" s="16"/>
      <c r="CI123" s="40"/>
      <c r="CJ123" s="40"/>
      <c r="CK123" s="40"/>
      <c r="CL123" s="40"/>
      <c r="CM123" s="40"/>
    </row>
    <row r="124" spans="1:91" s="18" customFormat="1" ht="15" customHeight="1">
      <c r="A124" s="18">
        <v>2002</v>
      </c>
      <c r="B124" s="21" t="s">
        <v>46</v>
      </c>
      <c r="C124" s="15">
        <f>+MITRE[[#This Row],[Trenes Puntuales]]/MITRE[[#This Row],[Trenes Programados]]</f>
        <v>0.96366083445491246</v>
      </c>
      <c r="D124" s="15">
        <f>+MITRE[[#This Row],[Trenes Puntuales]]/MITRE[[#This Row],[Trenes Corridos]]</f>
        <v>0.97025543736025477</v>
      </c>
      <c r="E124" s="15">
        <f>+MITRE[[#This Row],[Trenes Corridos]]/MITRE[[#This Row],[Trenes Programados]]</f>
        <v>0.99320323014804845</v>
      </c>
      <c r="F124" s="16">
        <f>+Tabla4[[#This Row],[Trenes Programados por Día Hábil]]+Tabla5[[#This Row],[Trenes Programados por Día Hábil]]+Tabla6[[#This Row],[Trenes Programados por Día Hábil]]+MIT_Vic_Cap[[#This Row],[Trenes Programados por Día Hábil]]+Tabla8[[#This Row],[Trenes Programados por Día Hábil]]</f>
        <v>0</v>
      </c>
      <c r="G12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4" s="16">
        <v>14860</v>
      </c>
      <c r="I124" s="16">
        <f t="shared" si="18"/>
        <v>101</v>
      </c>
      <c r="J124" s="16">
        <f>935+945+3065+4193+5621</f>
        <v>14759</v>
      </c>
      <c r="K124" s="16">
        <f>918+881+3006+4077+5438</f>
        <v>14320</v>
      </c>
      <c r="L124" s="16">
        <f t="shared" si="19"/>
        <v>439</v>
      </c>
      <c r="M124" s="16"/>
      <c r="N124" s="17"/>
      <c r="O124" s="18">
        <v>2002</v>
      </c>
      <c r="P124" s="21" t="s">
        <v>46</v>
      </c>
      <c r="Q124" s="41"/>
      <c r="R124" s="41"/>
      <c r="S124" s="41"/>
      <c r="T124" s="16"/>
      <c r="U124" s="16"/>
      <c r="V124" s="16"/>
      <c r="W124" s="16"/>
      <c r="X124" s="69">
        <f>(SUM(X$134:X$149)/16)/(SUM($J$134:$J$149)/16)*MITRE[[#This Row],[Trenes Corridos]]</f>
        <v>5503.4317803765671</v>
      </c>
      <c r="Y124" s="16"/>
      <c r="Z124" s="16"/>
      <c r="AA124" s="16"/>
      <c r="AB124" s="17"/>
      <c r="AC124" s="18">
        <v>2002</v>
      </c>
      <c r="AD124" s="21" t="s">
        <v>46</v>
      </c>
      <c r="AE124" s="41"/>
      <c r="AF124" s="41"/>
      <c r="AG124" s="41"/>
      <c r="AH124" s="16"/>
      <c r="AI124" s="16"/>
      <c r="AJ124" s="16"/>
      <c r="AK124" s="16"/>
      <c r="AL124" s="69">
        <f>(SUM(AL$134:AL$149)/16)/(SUM($J$134:$J$149)/16)*MITRE[[#This Row],[Trenes Corridos]]</f>
        <v>4303.7475459128018</v>
      </c>
      <c r="AM124" s="16"/>
      <c r="AN124" s="16"/>
      <c r="AO124" s="16"/>
      <c r="AP124" s="17"/>
      <c r="AQ124" s="18">
        <v>2002</v>
      </c>
      <c r="AR124" s="21" t="s">
        <v>46</v>
      </c>
      <c r="AS124" s="41"/>
      <c r="AT124" s="41"/>
      <c r="AU124" s="41"/>
      <c r="AV124" s="16"/>
      <c r="AW124" s="16"/>
      <c r="AX124" s="16"/>
      <c r="AY124" s="16"/>
      <c r="AZ124" s="69">
        <f>(SUM(AZ$134:AZ$149)/16)/(SUM($J$134:$J$149)/16)*MITRE[[#This Row],[Trenes Corridos]]</f>
        <v>3101.7014836120456</v>
      </c>
      <c r="BA124" s="16"/>
      <c r="BB124" s="16"/>
      <c r="BC124" s="16"/>
      <c r="BD124" s="17"/>
      <c r="BE124" s="18">
        <v>2002</v>
      </c>
      <c r="BF124" s="21" t="s">
        <v>46</v>
      </c>
      <c r="BG124" s="41"/>
      <c r="BH124" s="41"/>
      <c r="BI124" s="41"/>
      <c r="BJ124" s="16"/>
      <c r="BK124" s="16"/>
      <c r="BL124" s="16"/>
      <c r="BM124" s="16"/>
      <c r="BN124" s="69">
        <f>(SUM(BN$134:BN$149)/16)/(SUM($J$134:$J$149)/16)*MITRE[[#This Row],[Trenes Corridos]]</f>
        <v>931.61677496515222</v>
      </c>
      <c r="BO124" s="16"/>
      <c r="BP124" s="16"/>
      <c r="BQ124" s="16"/>
      <c r="BR124" s="17"/>
      <c r="BS124" s="18">
        <v>2002</v>
      </c>
      <c r="BT124" s="21" t="s">
        <v>46</v>
      </c>
      <c r="BU124" s="41"/>
      <c r="BV124" s="41"/>
      <c r="BW124" s="41"/>
      <c r="BX124" s="16"/>
      <c r="BY124" s="16"/>
      <c r="BZ124" s="16"/>
      <c r="CA124" s="16"/>
      <c r="CB124" s="69">
        <f>(SUM(CB$134:CB$149)/16)/(SUM($J$134:$J$149)/16)*MITRE[[#This Row],[Trenes Corridos]]</f>
        <v>918.50241513343246</v>
      </c>
      <c r="CC124" s="16"/>
      <c r="CD124" s="16"/>
      <c r="CI124" s="40"/>
      <c r="CJ124" s="40"/>
      <c r="CK124" s="40"/>
      <c r="CL124" s="40"/>
      <c r="CM124" s="40"/>
    </row>
    <row r="125" spans="1:91" s="18" customFormat="1" ht="15" customHeight="1">
      <c r="A125" s="18">
        <v>2002</v>
      </c>
      <c r="B125" s="21" t="s">
        <v>47</v>
      </c>
      <c r="C125" s="15">
        <f>+MITRE[[#This Row],[Trenes Puntuales]]/MITRE[[#This Row],[Trenes Programados]]</f>
        <v>0.95442448436460414</v>
      </c>
      <c r="D125" s="15">
        <f>+MITRE[[#This Row],[Trenes Puntuales]]/MITRE[[#This Row],[Trenes Corridos]]</f>
        <v>0.97024010821778828</v>
      </c>
      <c r="E125" s="15">
        <f>+MITRE[[#This Row],[Trenes Corridos]]/MITRE[[#This Row],[Trenes Programados]]</f>
        <v>0.98369926813040587</v>
      </c>
      <c r="F125" s="16">
        <f>+Tabla4[[#This Row],[Trenes Programados por Día Hábil]]+Tabla5[[#This Row],[Trenes Programados por Día Hábil]]+Tabla6[[#This Row],[Trenes Programados por Día Hábil]]+MIT_Vic_Cap[[#This Row],[Trenes Programados por Día Hábil]]+Tabla8[[#This Row],[Trenes Programados por Día Hábil]]</f>
        <v>0</v>
      </c>
      <c r="G12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5" s="16">
        <v>15030</v>
      </c>
      <c r="I125" s="16">
        <f t="shared" si="18"/>
        <v>245</v>
      </c>
      <c r="J125" s="16">
        <f>939+962+3078+4207+5599</f>
        <v>14785</v>
      </c>
      <c r="K125" s="16">
        <f>894+878+3026+4108+5439</f>
        <v>14345</v>
      </c>
      <c r="L125" s="16">
        <f t="shared" si="19"/>
        <v>440</v>
      </c>
      <c r="M125" s="16"/>
      <c r="N125" s="17"/>
      <c r="O125" s="18">
        <v>2002</v>
      </c>
      <c r="P125" s="21" t="s">
        <v>47</v>
      </c>
      <c r="Q125" s="41"/>
      <c r="R125" s="41"/>
      <c r="S125" s="41"/>
      <c r="T125" s="16"/>
      <c r="U125" s="16"/>
      <c r="V125" s="16"/>
      <c r="W125" s="16"/>
      <c r="X125" s="69">
        <f>(SUM(X$134:X$149)/16)/(SUM($J$134:$J$149)/16)*MITRE[[#This Row],[Trenes Corridos]]</f>
        <v>5513.1268292477498</v>
      </c>
      <c r="Y125" s="16"/>
      <c r="Z125" s="16"/>
      <c r="AA125" s="16"/>
      <c r="AB125" s="17"/>
      <c r="AC125" s="18">
        <v>2002</v>
      </c>
      <c r="AD125" s="21" t="s">
        <v>47</v>
      </c>
      <c r="AE125" s="41"/>
      <c r="AF125" s="41"/>
      <c r="AG125" s="41"/>
      <c r="AH125" s="16"/>
      <c r="AI125" s="16"/>
      <c r="AJ125" s="16"/>
      <c r="AK125" s="16"/>
      <c r="AL125" s="69">
        <f>(SUM(AL$134:AL$149)/16)/(SUM($J$134:$J$149)/16)*MITRE[[#This Row],[Trenes Corridos]]</f>
        <v>4311.3291866874979</v>
      </c>
      <c r="AM125" s="16"/>
      <c r="AN125" s="16"/>
      <c r="AO125" s="16"/>
      <c r="AP125" s="17"/>
      <c r="AQ125" s="18">
        <v>2002</v>
      </c>
      <c r="AR125" s="21" t="s">
        <v>47</v>
      </c>
      <c r="AS125" s="41"/>
      <c r="AT125" s="41"/>
      <c r="AU125" s="41"/>
      <c r="AV125" s="16"/>
      <c r="AW125" s="16"/>
      <c r="AX125" s="16"/>
      <c r="AY125" s="16"/>
      <c r="AZ125" s="69">
        <f>(SUM(AZ$134:AZ$149)/16)/(SUM($J$134:$J$149)/16)*MITRE[[#This Row],[Trenes Corridos]]</f>
        <v>3107.1655556070259</v>
      </c>
      <c r="BA125" s="16"/>
      <c r="BB125" s="16"/>
      <c r="BC125" s="16"/>
      <c r="BD125" s="17"/>
      <c r="BE125" s="18">
        <v>2002</v>
      </c>
      <c r="BF125" s="21" t="s">
        <v>47</v>
      </c>
      <c r="BG125" s="41"/>
      <c r="BH125" s="41"/>
      <c r="BI125" s="41"/>
      <c r="BJ125" s="16"/>
      <c r="BK125" s="16"/>
      <c r="BL125" s="16"/>
      <c r="BM125" s="16"/>
      <c r="BN125" s="69">
        <f>(SUM(BN$134:BN$149)/16)/(SUM($J$134:$J$149)/16)*MITRE[[#This Row],[Trenes Corridos]]</f>
        <v>933.2579455152636</v>
      </c>
      <c r="BO125" s="16"/>
      <c r="BP125" s="16"/>
      <c r="BQ125" s="16"/>
      <c r="BR125" s="17"/>
      <c r="BS125" s="18">
        <v>2002</v>
      </c>
      <c r="BT125" s="21" t="s">
        <v>47</v>
      </c>
      <c r="BU125" s="41"/>
      <c r="BV125" s="41"/>
      <c r="BW125" s="41"/>
      <c r="BX125" s="16"/>
      <c r="BY125" s="16"/>
      <c r="BZ125" s="16"/>
      <c r="CA125" s="16"/>
      <c r="CB125" s="69">
        <f>(SUM(CB$134:CB$149)/16)/(SUM($J$134:$J$149)/16)*MITRE[[#This Row],[Trenes Corridos]]</f>
        <v>920.1204829424621</v>
      </c>
      <c r="CC125" s="16"/>
      <c r="CD125" s="16"/>
      <c r="CI125" s="40"/>
      <c r="CJ125" s="40"/>
      <c r="CK125" s="40"/>
      <c r="CL125" s="40"/>
      <c r="CM125" s="40"/>
    </row>
    <row r="126" spans="1:91" s="18" customFormat="1" ht="15" customHeight="1">
      <c r="A126" s="18">
        <v>2003</v>
      </c>
      <c r="B126" s="21" t="s">
        <v>36</v>
      </c>
      <c r="C126" s="15">
        <f>+MITRE[[#This Row],[Trenes Puntuales]]/MITRE[[#This Row],[Trenes Programados]]</f>
        <v>0.96625163826998695</v>
      </c>
      <c r="D126" s="15">
        <f>+MITRE[[#This Row],[Trenes Puntuales]]/MITRE[[#This Row],[Trenes Corridos]]</f>
        <v>0.9729462223688552</v>
      </c>
      <c r="E126" s="15">
        <f>+MITRE[[#This Row],[Trenes Corridos]]/MITRE[[#This Row],[Trenes Programados]]</f>
        <v>0.99311926605504586</v>
      </c>
      <c r="F126" s="16">
        <f>+Tabla4[[#This Row],[Trenes Programados por Día Hábil]]+Tabla5[[#This Row],[Trenes Programados por Día Hábil]]+Tabla6[[#This Row],[Trenes Programados por Día Hábil]]+MIT_Vic_Cap[[#This Row],[Trenes Programados por Día Hábil]]+Tabla8[[#This Row],[Trenes Programados por Día Hábil]]</f>
        <v>0</v>
      </c>
      <c r="G12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6" s="16">
        <v>15260</v>
      </c>
      <c r="I126" s="16">
        <f>H126-J126</f>
        <v>105</v>
      </c>
      <c r="J126" s="16">
        <f>965+976+3145+4316+5753</f>
        <v>15155</v>
      </c>
      <c r="K126" s="16">
        <f>913+943+3085+4227+5577</f>
        <v>14745</v>
      </c>
      <c r="L126" s="16">
        <f>J126-K126</f>
        <v>410</v>
      </c>
      <c r="M126" s="16"/>
      <c r="N126" s="17"/>
      <c r="O126" s="18">
        <v>2003</v>
      </c>
      <c r="P126" s="21" t="s">
        <v>36</v>
      </c>
      <c r="Q126" s="41"/>
      <c r="R126" s="41"/>
      <c r="S126" s="41"/>
      <c r="T126" s="16"/>
      <c r="U126" s="16"/>
      <c r="V126" s="16"/>
      <c r="W126" s="16"/>
      <c r="X126" s="69">
        <f>(SUM(X$134:X$149)/16)/(SUM($J$134:$J$149)/16)*MITRE[[#This Row],[Trenes Corridos]]</f>
        <v>5651.0948324145857</v>
      </c>
      <c r="Y126" s="16"/>
      <c r="Z126" s="16"/>
      <c r="AA126" s="16"/>
      <c r="AB126" s="17"/>
      <c r="AC126" s="18">
        <v>2003</v>
      </c>
      <c r="AD126" s="21" t="s">
        <v>36</v>
      </c>
      <c r="AE126" s="41"/>
      <c r="AF126" s="41"/>
      <c r="AG126" s="41"/>
      <c r="AH126" s="16"/>
      <c r="AI126" s="16"/>
      <c r="AJ126" s="16"/>
      <c r="AK126" s="16"/>
      <c r="AL126" s="69">
        <f>(SUM(AL$134:AL$149)/16)/(SUM($J$134:$J$149)/16)*MITRE[[#This Row],[Trenes Corridos]]</f>
        <v>4419.2217669427819</v>
      </c>
      <c r="AM126" s="16"/>
      <c r="AN126" s="16"/>
      <c r="AO126" s="16"/>
      <c r="AP126" s="17"/>
      <c r="AQ126" s="18">
        <v>2003</v>
      </c>
      <c r="AR126" s="21" t="s">
        <v>36</v>
      </c>
      <c r="AS126" s="41"/>
      <c r="AT126" s="41"/>
      <c r="AU126" s="41"/>
      <c r="AV126" s="16"/>
      <c r="AW126" s="16"/>
      <c r="AX126" s="16"/>
      <c r="AY126" s="16"/>
      <c r="AZ126" s="69">
        <f>(SUM(AZ$134:AZ$149)/16)/(SUM($J$134:$J$149)/16)*MITRE[[#This Row],[Trenes Corridos]]</f>
        <v>3184.9235032278984</v>
      </c>
      <c r="BA126" s="16"/>
      <c r="BB126" s="16"/>
      <c r="BC126" s="16"/>
      <c r="BD126" s="17"/>
      <c r="BE126" s="18">
        <v>2003</v>
      </c>
      <c r="BF126" s="21" t="s">
        <v>36</v>
      </c>
      <c r="BG126" s="41"/>
      <c r="BH126" s="41"/>
      <c r="BI126" s="41"/>
      <c r="BJ126" s="16"/>
      <c r="BK126" s="16"/>
      <c r="BL126" s="16"/>
      <c r="BM126" s="16"/>
      <c r="BN126" s="69">
        <f>(SUM(BN$134:BN$149)/16)/(SUM($J$134:$J$149)/16)*MITRE[[#This Row],[Trenes Corridos]]</f>
        <v>956.61306488223329</v>
      </c>
      <c r="BO126" s="16"/>
      <c r="BP126" s="16"/>
      <c r="BQ126" s="16"/>
      <c r="BR126" s="17"/>
      <c r="BS126" s="18">
        <v>2003</v>
      </c>
      <c r="BT126" s="21" t="s">
        <v>36</v>
      </c>
      <c r="BU126" s="41"/>
      <c r="BV126" s="41"/>
      <c r="BW126" s="41"/>
      <c r="BX126" s="16"/>
      <c r="BY126" s="16"/>
      <c r="BZ126" s="16"/>
      <c r="CA126" s="16"/>
      <c r="CB126" s="69">
        <f>(SUM(CB$134:CB$149)/16)/(SUM($J$134:$J$149)/16)*MITRE[[#This Row],[Trenes Corridos]]</f>
        <v>943.14683253250007</v>
      </c>
      <c r="CC126" s="16"/>
      <c r="CD126" s="16"/>
      <c r="CI126" s="40"/>
      <c r="CJ126" s="40"/>
      <c r="CK126" s="40"/>
      <c r="CL126" s="40"/>
      <c r="CM126" s="40"/>
    </row>
    <row r="127" spans="1:91" s="18" customFormat="1" ht="15" customHeight="1">
      <c r="A127" s="18">
        <v>2003</v>
      </c>
      <c r="B127" s="21" t="s">
        <v>37</v>
      </c>
      <c r="C127" s="15">
        <f>+MITRE[[#This Row],[Trenes Puntuales]]/MITRE[[#This Row],[Trenes Programados]]</f>
        <v>0.94570233631381595</v>
      </c>
      <c r="D127" s="15">
        <f>+MITRE[[#This Row],[Trenes Puntuales]]/MITRE[[#This Row],[Trenes Corridos]]</f>
        <v>0.96165126851444493</v>
      </c>
      <c r="E127" s="15">
        <f>+MITRE[[#This Row],[Trenes Corridos]]/MITRE[[#This Row],[Trenes Programados]]</f>
        <v>0.98341505624459191</v>
      </c>
      <c r="F127" s="16">
        <f>+Tabla4[[#This Row],[Trenes Programados por Día Hábil]]+Tabla5[[#This Row],[Trenes Programados por Día Hábil]]+Tabla6[[#This Row],[Trenes Programados por Día Hábil]]+MIT_Vic_Cap[[#This Row],[Trenes Programados por Día Hábil]]+Tabla8[[#This Row],[Trenes Programados por Día Hábil]]</f>
        <v>0</v>
      </c>
      <c r="G12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7" s="16">
        <v>13868</v>
      </c>
      <c r="I127" s="16">
        <f>H127-J127</f>
        <v>230</v>
      </c>
      <c r="J127" s="16">
        <f>852+878+2797+3914+5197</f>
        <v>13638</v>
      </c>
      <c r="K127" s="16">
        <f>761+815+2730+3808+5001</f>
        <v>13115</v>
      </c>
      <c r="L127" s="16">
        <f>J127-K127</f>
        <v>523</v>
      </c>
      <c r="M127" s="16"/>
      <c r="N127" s="17"/>
      <c r="O127" s="18">
        <v>2003</v>
      </c>
      <c r="P127" s="21" t="s">
        <v>37</v>
      </c>
      <c r="Q127" s="41"/>
      <c r="R127" s="41"/>
      <c r="S127" s="41"/>
      <c r="T127" s="16"/>
      <c r="U127" s="16"/>
      <c r="V127" s="16"/>
      <c r="W127" s="16"/>
      <c r="X127" s="69">
        <f>(SUM(X$134:X$149)/16)/(SUM($J$134:$J$149)/16)*MITRE[[#This Row],[Trenes Corridos]]</f>
        <v>5085.4260194305589</v>
      </c>
      <c r="Y127" s="16"/>
      <c r="Z127" s="16"/>
      <c r="AA127" s="16"/>
      <c r="AB127" s="17"/>
      <c r="AC127" s="18">
        <v>2003</v>
      </c>
      <c r="AD127" s="21" t="s">
        <v>37</v>
      </c>
      <c r="AE127" s="41"/>
      <c r="AF127" s="41"/>
      <c r="AG127" s="41"/>
      <c r="AH127" s="16"/>
      <c r="AI127" s="16"/>
      <c r="AJ127" s="16"/>
      <c r="AK127" s="16"/>
      <c r="AL127" s="69">
        <f>(SUM(AL$134:AL$149)/16)/(SUM($J$134:$J$149)/16)*MITRE[[#This Row],[Trenes Corridos]]</f>
        <v>3976.8621878961171</v>
      </c>
      <c r="AM127" s="16"/>
      <c r="AN127" s="16"/>
      <c r="AO127" s="16"/>
      <c r="AP127" s="17"/>
      <c r="AQ127" s="18">
        <v>2003</v>
      </c>
      <c r="AR127" s="21" t="s">
        <v>37</v>
      </c>
      <c r="AS127" s="41"/>
      <c r="AT127" s="41"/>
      <c r="AU127" s="41"/>
      <c r="AV127" s="16"/>
      <c r="AW127" s="16"/>
      <c r="AX127" s="16"/>
      <c r="AY127" s="16"/>
      <c r="AZ127" s="69">
        <f>(SUM(AZ$134:AZ$149)/16)/(SUM($J$134:$J$149)/16)*MITRE[[#This Row],[Trenes Corridos]]</f>
        <v>2866.1159179823212</v>
      </c>
      <c r="BA127" s="16"/>
      <c r="BB127" s="16"/>
      <c r="BC127" s="16"/>
      <c r="BD127" s="17"/>
      <c r="BE127" s="18">
        <v>2003</v>
      </c>
      <c r="BF127" s="21" t="s">
        <v>37</v>
      </c>
      <c r="BG127" s="41"/>
      <c r="BH127" s="41"/>
      <c r="BI127" s="41"/>
      <c r="BJ127" s="16"/>
      <c r="BK127" s="16"/>
      <c r="BL127" s="16"/>
      <c r="BM127" s="16"/>
      <c r="BN127" s="69">
        <f>(SUM(BN$134:BN$149)/16)/(SUM($J$134:$J$149)/16)*MITRE[[#This Row],[Trenes Corridos]]</f>
        <v>860.85707547765742</v>
      </c>
      <c r="BO127" s="16"/>
      <c r="BP127" s="16"/>
      <c r="BQ127" s="16"/>
      <c r="BR127" s="17"/>
      <c r="BS127" s="18">
        <v>2003</v>
      </c>
      <c r="BT127" s="21" t="s">
        <v>37</v>
      </c>
      <c r="BU127" s="41"/>
      <c r="BV127" s="41"/>
      <c r="BW127" s="41"/>
      <c r="BX127" s="16"/>
      <c r="BY127" s="16"/>
      <c r="BZ127" s="16"/>
      <c r="CA127" s="16"/>
      <c r="CB127" s="69">
        <f>(SUM(CB$134:CB$149)/16)/(SUM($J$134:$J$149)/16)*MITRE[[#This Row],[Trenes Corridos]]</f>
        <v>848.73879921334458</v>
      </c>
      <c r="CC127" s="16"/>
      <c r="CD127" s="16"/>
      <c r="CI127" s="40"/>
      <c r="CJ127" s="40"/>
      <c r="CK127" s="40"/>
      <c r="CL127" s="40"/>
      <c r="CM127" s="40"/>
    </row>
    <row r="128" spans="1:91" s="18" customFormat="1" ht="15" customHeight="1">
      <c r="A128" s="18">
        <v>2003</v>
      </c>
      <c r="B128" s="21" t="s">
        <v>38</v>
      </c>
      <c r="C128" s="15">
        <f>+MITRE[[#This Row],[Trenes Puntuales]]/MITRE[[#This Row],[Trenes Programados]]</f>
        <v>0.92161456590133206</v>
      </c>
      <c r="D128" s="15">
        <f>+MITRE[[#This Row],[Trenes Puntuales]]/MITRE[[#This Row],[Trenes Corridos]]</f>
        <v>0.96556560768637356</v>
      </c>
      <c r="E128" s="15">
        <f>+MITRE[[#This Row],[Trenes Corridos]]/MITRE[[#This Row],[Trenes Programados]]</f>
        <v>0.95448155833723813</v>
      </c>
      <c r="F128" s="16">
        <f>+Tabla4[[#This Row],[Trenes Programados por Día Hábil]]+Tabla5[[#This Row],[Trenes Programados por Día Hábil]]+Tabla6[[#This Row],[Trenes Programados por Día Hábil]]+MIT_Vic_Cap[[#This Row],[Trenes Programados por Día Hábil]]+Tabla8[[#This Row],[Trenes Programados por Día Hábil]]</f>
        <v>0</v>
      </c>
      <c r="G12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8" s="16">
        <v>14939</v>
      </c>
      <c r="I128" s="16">
        <f>H128-J128</f>
        <v>680</v>
      </c>
      <c r="J128" s="16">
        <f>892+932+3009+4057+5369</f>
        <v>14259</v>
      </c>
      <c r="K128" s="16">
        <f>836+890+2955+3941+5146</f>
        <v>13768</v>
      </c>
      <c r="L128" s="16">
        <f>J128-K128</f>
        <v>491</v>
      </c>
      <c r="M128" s="16"/>
      <c r="N128" s="17"/>
      <c r="O128" s="18">
        <v>2003</v>
      </c>
      <c r="P128" s="21" t="s">
        <v>38</v>
      </c>
      <c r="Q128" s="41"/>
      <c r="R128" s="41"/>
      <c r="S128" s="41"/>
      <c r="T128" s="16"/>
      <c r="U128" s="16"/>
      <c r="V128" s="16"/>
      <c r="W128" s="16"/>
      <c r="X128" s="69">
        <f>(SUM(X$134:X$149)/16)/(SUM($J$134:$J$149)/16)*MITRE[[#This Row],[Trenes Corridos]]</f>
        <v>5316.9885328538157</v>
      </c>
      <c r="Y128" s="16"/>
      <c r="Z128" s="16"/>
      <c r="AA128" s="16"/>
      <c r="AB128" s="17"/>
      <c r="AC128" s="18">
        <v>2003</v>
      </c>
      <c r="AD128" s="21" t="s">
        <v>38</v>
      </c>
      <c r="AE128" s="41"/>
      <c r="AF128" s="41"/>
      <c r="AG128" s="41"/>
      <c r="AH128" s="16"/>
      <c r="AI128" s="16"/>
      <c r="AJ128" s="16"/>
      <c r="AK128" s="16"/>
      <c r="AL128" s="69">
        <f>(SUM(AL$134:AL$149)/16)/(SUM($J$134:$J$149)/16)*MITRE[[#This Row],[Trenes Corridos]]</f>
        <v>4157.9467617840401</v>
      </c>
      <c r="AM128" s="16"/>
      <c r="AN128" s="16"/>
      <c r="AO128" s="16"/>
      <c r="AP128" s="17"/>
      <c r="AQ128" s="18">
        <v>2003</v>
      </c>
      <c r="AR128" s="21" t="s">
        <v>38</v>
      </c>
      <c r="AS128" s="41"/>
      <c r="AT128" s="41"/>
      <c r="AU128" s="41"/>
      <c r="AV128" s="16"/>
      <c r="AW128" s="16"/>
      <c r="AX128" s="16"/>
      <c r="AY128" s="16"/>
      <c r="AZ128" s="69">
        <f>(SUM(AZ$134:AZ$149)/16)/(SUM($J$134:$J$149)/16)*MITRE[[#This Row],[Trenes Corridos]]</f>
        <v>2996.6231760162723</v>
      </c>
      <c r="BA128" s="16"/>
      <c r="BB128" s="16"/>
      <c r="BC128" s="16"/>
      <c r="BD128" s="17"/>
      <c r="BE128" s="18">
        <v>2003</v>
      </c>
      <c r="BF128" s="21" t="s">
        <v>38</v>
      </c>
      <c r="BG128" s="41"/>
      <c r="BH128" s="41"/>
      <c r="BI128" s="41"/>
      <c r="BJ128" s="16"/>
      <c r="BK128" s="16"/>
      <c r="BL128" s="16"/>
      <c r="BM128" s="16"/>
      <c r="BN128" s="69">
        <f>(SUM(BN$134:BN$149)/16)/(SUM($J$134:$J$149)/16)*MITRE[[#This Row],[Trenes Corridos]]</f>
        <v>900.0558028476255</v>
      </c>
      <c r="BO128" s="16"/>
      <c r="BP128" s="16"/>
      <c r="BQ128" s="16"/>
      <c r="BR128" s="17"/>
      <c r="BS128" s="18">
        <v>2003</v>
      </c>
      <c r="BT128" s="21" t="s">
        <v>38</v>
      </c>
      <c r="BU128" s="41"/>
      <c r="BV128" s="41"/>
      <c r="BW128" s="41"/>
      <c r="BX128" s="16"/>
      <c r="BY128" s="16"/>
      <c r="BZ128" s="16"/>
      <c r="CA128" s="16"/>
      <c r="CB128" s="69">
        <f>(SUM(CB$134:CB$149)/16)/(SUM($J$134:$J$149)/16)*MITRE[[#This Row],[Trenes Corridos]]</f>
        <v>887.38572649824607</v>
      </c>
      <c r="CC128" s="16"/>
      <c r="CD128" s="16"/>
      <c r="CI128" s="40"/>
      <c r="CJ128" s="40"/>
      <c r="CK128" s="40"/>
      <c r="CL128" s="40"/>
      <c r="CM128" s="40"/>
    </row>
    <row r="129" spans="1:91" s="18" customFormat="1" ht="15" customHeight="1">
      <c r="A129" s="18">
        <v>2003</v>
      </c>
      <c r="B129" s="21" t="s">
        <v>39</v>
      </c>
      <c r="C129" s="15">
        <f>+MITRE[[#This Row],[Trenes Puntuales]]/MITRE[[#This Row],[Trenes Programados]]</f>
        <v>0.94792651627718494</v>
      </c>
      <c r="D129" s="15">
        <f>+MITRE[[#This Row],[Trenes Puntuales]]/MITRE[[#This Row],[Trenes Corridos]]</f>
        <v>0.96599903640993878</v>
      </c>
      <c r="E129" s="15">
        <f>+MITRE[[#This Row],[Trenes Corridos]]/MITRE[[#This Row],[Trenes Programados]]</f>
        <v>0.98129136836417663</v>
      </c>
      <c r="F129" s="16">
        <f>+Tabla4[[#This Row],[Trenes Programados por Día Hábil]]+Tabla5[[#This Row],[Trenes Programados por Día Hábil]]+Tabla6[[#This Row],[Trenes Programados por Día Hábil]]+MIT_Vic_Cap[[#This Row],[Trenes Programados por Día Hábil]]+Tabla8[[#This Row],[Trenes Programados por Día Hábil]]</f>
        <v>0</v>
      </c>
      <c r="G12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9" s="16">
        <v>14806</v>
      </c>
      <c r="I129" s="16">
        <f>H129-J129</f>
        <v>277</v>
      </c>
      <c r="J129" s="16">
        <v>14529</v>
      </c>
      <c r="K129" s="16">
        <v>14035</v>
      </c>
      <c r="L129" s="16">
        <f>J129-K129</f>
        <v>494</v>
      </c>
      <c r="M129" s="16"/>
      <c r="N129" s="17"/>
      <c r="O129" s="18">
        <v>2003</v>
      </c>
      <c r="P129" s="21" t="s">
        <v>39</v>
      </c>
      <c r="Q129" s="41"/>
      <c r="R129" s="41"/>
      <c r="S129" s="41"/>
      <c r="T129" s="16"/>
      <c r="U129" s="16"/>
      <c r="V129" s="16"/>
      <c r="W129" s="16"/>
      <c r="X129" s="69">
        <f>(SUM(X$134:X$149)/16)/(SUM($J$134:$J$149)/16)*MITRE[[#This Row],[Trenes Corridos]]</f>
        <v>5417.6678865161011</v>
      </c>
      <c r="Y129" s="16"/>
      <c r="Z129" s="16"/>
      <c r="AA129" s="16"/>
      <c r="AB129" s="17"/>
      <c r="AC129" s="18">
        <v>2003</v>
      </c>
      <c r="AD129" s="21" t="s">
        <v>39</v>
      </c>
      <c r="AE129" s="41"/>
      <c r="AF129" s="41"/>
      <c r="AG129" s="41"/>
      <c r="AH129" s="16"/>
      <c r="AI129" s="16"/>
      <c r="AJ129" s="16"/>
      <c r="AK129" s="16"/>
      <c r="AL129" s="69">
        <f>(SUM(AL$134:AL$149)/16)/(SUM($J$134:$J$149)/16)*MITRE[[#This Row],[Trenes Corridos]]</f>
        <v>4236.6791852135711</v>
      </c>
      <c r="AM129" s="16"/>
      <c r="AN129" s="16"/>
      <c r="AO129" s="16"/>
      <c r="AP129" s="17"/>
      <c r="AQ129" s="18">
        <v>2003</v>
      </c>
      <c r="AR129" s="21" t="s">
        <v>39</v>
      </c>
      <c r="AS129" s="41"/>
      <c r="AT129" s="41"/>
      <c r="AU129" s="41"/>
      <c r="AV129" s="16"/>
      <c r="AW129" s="16"/>
      <c r="AX129" s="16"/>
      <c r="AY129" s="16"/>
      <c r="AZ129" s="69">
        <f>(SUM(AZ$134:AZ$149)/16)/(SUM($J$134:$J$149)/16)*MITRE[[#This Row],[Trenes Corridos]]</f>
        <v>3053.3654621179899</v>
      </c>
      <c r="BA129" s="16"/>
      <c r="BB129" s="16"/>
      <c r="BC129" s="16"/>
      <c r="BD129" s="17"/>
      <c r="BE129" s="18">
        <v>2003</v>
      </c>
      <c r="BF129" s="21" t="s">
        <v>39</v>
      </c>
      <c r="BG129" s="41"/>
      <c r="BH129" s="41"/>
      <c r="BI129" s="41"/>
      <c r="BJ129" s="16"/>
      <c r="BK129" s="16"/>
      <c r="BL129" s="16"/>
      <c r="BM129" s="16"/>
      <c r="BN129" s="69">
        <f>(SUM(BN$134:BN$149)/16)/(SUM($J$134:$J$149)/16)*MITRE[[#This Row],[Trenes Corridos]]</f>
        <v>917.09872779108991</v>
      </c>
      <c r="BO129" s="16"/>
      <c r="BP129" s="16"/>
      <c r="BQ129" s="16"/>
      <c r="BR129" s="17"/>
      <c r="BS129" s="18">
        <v>2003</v>
      </c>
      <c r="BT129" s="21" t="s">
        <v>39</v>
      </c>
      <c r="BU129" s="41"/>
      <c r="BV129" s="41"/>
      <c r="BW129" s="41"/>
      <c r="BX129" s="16"/>
      <c r="BY129" s="16"/>
      <c r="BZ129" s="16"/>
      <c r="CA129" s="16"/>
      <c r="CB129" s="69">
        <f>(SUM(CB$134:CB$149)/16)/(SUM($J$134:$J$149)/16)*MITRE[[#This Row],[Trenes Corridos]]</f>
        <v>904.18873836124669</v>
      </c>
      <c r="CC129" s="16"/>
      <c r="CD129" s="16"/>
      <c r="CI129" s="40"/>
      <c r="CJ129" s="40"/>
      <c r="CK129" s="40"/>
      <c r="CL129" s="40"/>
      <c r="CM129" s="40"/>
    </row>
    <row r="130" spans="1:91" s="18" customFormat="1" ht="15" customHeight="1">
      <c r="A130" s="18">
        <v>2003</v>
      </c>
      <c r="B130" s="21" t="s">
        <v>40</v>
      </c>
      <c r="C130" s="15">
        <f>+MITRE[[#This Row],[Trenes Puntuales]]/MITRE[[#This Row],[Trenes Programados]]</f>
        <v>0.94606214578854797</v>
      </c>
      <c r="D130" s="15">
        <f>+MITRE[[#This Row],[Trenes Puntuales]]/MITRE[[#This Row],[Trenes Corridos]]</f>
        <v>0.97014028056112223</v>
      </c>
      <c r="E130" s="15">
        <f>+MITRE[[#This Row],[Trenes Corridos]]/MITRE[[#This Row],[Trenes Programados]]</f>
        <v>0.97518076998241154</v>
      </c>
      <c r="F130" s="16">
        <f>+Tabla4[[#This Row],[Trenes Programados por Día Hábil]]+Tabla5[[#This Row],[Trenes Programados por Día Hábil]]+Tabla6[[#This Row],[Trenes Programados por Día Hábil]]+MIT_Vic_Cap[[#This Row],[Trenes Programados por Día Hábil]]+Tabla8[[#This Row],[Trenes Programados por Día Hábil]]</f>
        <v>0</v>
      </c>
      <c r="G13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0" s="16">
        <v>15351</v>
      </c>
      <c r="I130" s="16">
        <f>H130-J130</f>
        <v>381</v>
      </c>
      <c r="J130" s="16">
        <v>14970</v>
      </c>
      <c r="K130" s="16">
        <v>14523</v>
      </c>
      <c r="L130" s="16">
        <f>J130-K130</f>
        <v>447</v>
      </c>
      <c r="M130" s="16"/>
      <c r="N130" s="17"/>
      <c r="O130" s="18">
        <v>2003</v>
      </c>
      <c r="P130" s="21" t="s">
        <v>40</v>
      </c>
      <c r="Q130" s="41"/>
      <c r="R130" s="41"/>
      <c r="S130" s="41"/>
      <c r="T130" s="16"/>
      <c r="U130" s="16"/>
      <c r="V130" s="16"/>
      <c r="W130" s="16"/>
      <c r="X130" s="69">
        <f>(SUM(X$134:X$149)/16)/(SUM($J$134:$J$149)/16)*MITRE[[#This Row],[Trenes Corridos]]</f>
        <v>5582.1108308311677</v>
      </c>
      <c r="Y130" s="16"/>
      <c r="Z130" s="16"/>
      <c r="AA130" s="16"/>
      <c r="AB130" s="17"/>
      <c r="AC130" s="18">
        <v>2003</v>
      </c>
      <c r="AD130" s="21" t="s">
        <v>40</v>
      </c>
      <c r="AE130" s="41"/>
      <c r="AF130" s="41"/>
      <c r="AG130" s="41"/>
      <c r="AH130" s="16"/>
      <c r="AI130" s="16"/>
      <c r="AJ130" s="16"/>
      <c r="AK130" s="16"/>
      <c r="AL130" s="69">
        <f>(SUM(AL$134:AL$149)/16)/(SUM($J$134:$J$149)/16)*MITRE[[#This Row],[Trenes Corridos]]</f>
        <v>4365.2754768151399</v>
      </c>
      <c r="AM130" s="16"/>
      <c r="AN130" s="16"/>
      <c r="AO130" s="16"/>
      <c r="AP130" s="17"/>
      <c r="AQ130" s="18">
        <v>2003</v>
      </c>
      <c r="AR130" s="21" t="s">
        <v>40</v>
      </c>
      <c r="AS130" s="41"/>
      <c r="AT130" s="41"/>
      <c r="AU130" s="41"/>
      <c r="AV130" s="16"/>
      <c r="AW130" s="16"/>
      <c r="AX130" s="16"/>
      <c r="AY130" s="16"/>
      <c r="AZ130" s="69">
        <f>(SUM(AZ$134:AZ$149)/16)/(SUM($J$134:$J$149)/16)*MITRE[[#This Row],[Trenes Corridos]]</f>
        <v>3146.0445294174624</v>
      </c>
      <c r="BA130" s="16"/>
      <c r="BB130" s="16"/>
      <c r="BC130" s="16"/>
      <c r="BD130" s="17"/>
      <c r="BE130" s="18">
        <v>2003</v>
      </c>
      <c r="BF130" s="21" t="s">
        <v>40</v>
      </c>
      <c r="BG130" s="41"/>
      <c r="BH130" s="41"/>
      <c r="BI130" s="41"/>
      <c r="BJ130" s="16"/>
      <c r="BK130" s="16"/>
      <c r="BL130" s="16"/>
      <c r="BM130" s="16"/>
      <c r="BN130" s="69">
        <f>(SUM(BN$134:BN$149)/16)/(SUM($J$134:$J$149)/16)*MITRE[[#This Row],[Trenes Corridos]]</f>
        <v>944.9355051987485</v>
      </c>
      <c r="BO130" s="16"/>
      <c r="BP130" s="16"/>
      <c r="BQ130" s="16"/>
      <c r="BR130" s="17"/>
      <c r="BS130" s="18">
        <v>2003</v>
      </c>
      <c r="BT130" s="21" t="s">
        <v>40</v>
      </c>
      <c r="BU130" s="41"/>
      <c r="BV130" s="41"/>
      <c r="BW130" s="41"/>
      <c r="BX130" s="16"/>
      <c r="BY130" s="16"/>
      <c r="BZ130" s="16"/>
      <c r="CA130" s="16"/>
      <c r="CB130" s="69">
        <f>(SUM(CB$134:CB$149)/16)/(SUM($J$134:$J$149)/16)*MITRE[[#This Row],[Trenes Corridos]]</f>
        <v>931.63365773748114</v>
      </c>
      <c r="CC130" s="16"/>
      <c r="CD130" s="16"/>
      <c r="CI130" s="40"/>
      <c r="CJ130" s="40"/>
      <c r="CK130" s="40"/>
      <c r="CL130" s="40"/>
      <c r="CM130" s="40"/>
    </row>
    <row r="131" spans="1:91" s="18" customFormat="1" ht="15" customHeight="1">
      <c r="A131" s="18">
        <v>2003</v>
      </c>
      <c r="B131" s="21" t="s">
        <v>41</v>
      </c>
      <c r="C131" s="15">
        <f>+MITRE[[#This Row],[Trenes Puntuales]]/MITRE[[#This Row],[Trenes Programados]]</f>
        <v>0.9497713778748379</v>
      </c>
      <c r="D131" s="15">
        <f>+MITRE[[#This Row],[Trenes Puntuales]]/MITRE[[#This Row],[Trenes Corridos]]</f>
        <v>0.96894799136670617</v>
      </c>
      <c r="E131" s="15">
        <f>+MITRE[[#This Row],[Trenes Corridos]]/MITRE[[#This Row],[Trenes Programados]]</f>
        <v>0.98020883095611822</v>
      </c>
      <c r="F131" s="16">
        <f>+Tabla4[[#This Row],[Trenes Programados por Día Hábil]]+Tabla5[[#This Row],[Trenes Programados por Día Hábil]]+Tabla6[[#This Row],[Trenes Programados por Día Hábil]]+MIT_Vic_Cap[[#This Row],[Trenes Programados por Día Hábil]]+Tabla8[[#This Row],[Trenes Programados por Día Hábil]]</f>
        <v>0</v>
      </c>
      <c r="G13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1" s="16">
        <v>14653</v>
      </c>
      <c r="I131" s="16">
        <v>290</v>
      </c>
      <c r="J131" s="16">
        <v>14363</v>
      </c>
      <c r="K131" s="16">
        <v>13917</v>
      </c>
      <c r="L131" s="16">
        <v>446</v>
      </c>
      <c r="M131" s="16"/>
      <c r="N131" s="17"/>
      <c r="O131" s="18">
        <v>2003</v>
      </c>
      <c r="P131" s="21" t="s">
        <v>41</v>
      </c>
      <c r="Q131" s="15"/>
      <c r="R131" s="15"/>
      <c r="S131" s="15"/>
      <c r="T131" s="16"/>
      <c r="U131" s="16"/>
      <c r="V131" s="16"/>
      <c r="W131" s="16"/>
      <c r="X131" s="69">
        <f>(SUM(X$134:X$149)/16)/(SUM($J$134:$J$149)/16)*MITRE[[#This Row],[Trenes Corridos]]</f>
        <v>5355.7687283385485</v>
      </c>
      <c r="Y131" s="16"/>
      <c r="Z131" s="16"/>
      <c r="AA131" s="16"/>
      <c r="AB131" s="17"/>
      <c r="AC131" s="18">
        <v>2003</v>
      </c>
      <c r="AD131" s="21" t="s">
        <v>41</v>
      </c>
      <c r="AE131" s="15"/>
      <c r="AF131" s="15"/>
      <c r="AG131" s="15"/>
      <c r="AH131" s="16"/>
      <c r="AI131" s="16"/>
      <c r="AJ131" s="16"/>
      <c r="AK131" s="16"/>
      <c r="AL131" s="69">
        <f>(SUM(AL$134:AL$149)/16)/(SUM($J$134:$J$149)/16)*MITRE[[#This Row],[Trenes Corridos]]</f>
        <v>4188.2733248828226</v>
      </c>
      <c r="AM131" s="16"/>
      <c r="AN131" s="16"/>
      <c r="AO131" s="16"/>
      <c r="AP131" s="17"/>
      <c r="AQ131" s="18">
        <v>2003</v>
      </c>
      <c r="AR131" s="21" t="s">
        <v>41</v>
      </c>
      <c r="AS131" s="15"/>
      <c r="AT131" s="15"/>
      <c r="AU131" s="15"/>
      <c r="AV131" s="16"/>
      <c r="AW131" s="16"/>
      <c r="AX131" s="16"/>
      <c r="AY131" s="16"/>
      <c r="AZ131" s="69">
        <f>(SUM(AZ$134:AZ$149)/16)/(SUM($J$134:$J$149)/16)*MITRE[[#This Row],[Trenes Corridos]]</f>
        <v>3018.4794639961929</v>
      </c>
      <c r="BA131" s="16"/>
      <c r="BB131" s="16"/>
      <c r="BC131" s="16"/>
      <c r="BD131" s="17"/>
      <c r="BE131" s="18">
        <v>2003</v>
      </c>
      <c r="BF131" s="21" t="s">
        <v>41</v>
      </c>
      <c r="BG131" s="15"/>
      <c r="BH131" s="15"/>
      <c r="BI131" s="15"/>
      <c r="BJ131" s="16"/>
      <c r="BK131" s="16"/>
      <c r="BL131" s="16"/>
      <c r="BM131" s="16"/>
      <c r="BN131" s="69">
        <f>(SUM(BN$134:BN$149)/16)/(SUM($J$134:$J$149)/16)*MITRE[[#This Row],[Trenes Corridos]]</f>
        <v>906.62048504807103</v>
      </c>
      <c r="BO131" s="16"/>
      <c r="BP131" s="16"/>
      <c r="BQ131" s="16"/>
      <c r="BR131" s="17"/>
      <c r="BS131" s="18">
        <v>2003</v>
      </c>
      <c r="BT131" s="21" t="s">
        <v>41</v>
      </c>
      <c r="BU131" s="15"/>
      <c r="BV131" s="15"/>
      <c r="BW131" s="15"/>
      <c r="BX131" s="16"/>
      <c r="BY131" s="16"/>
      <c r="BZ131" s="16"/>
      <c r="CA131" s="16"/>
      <c r="CB131" s="69">
        <f>(SUM(CB$134:CB$149)/16)/(SUM($J$134:$J$149)/16)*MITRE[[#This Row],[Trenes Corridos]]</f>
        <v>893.85799773436486</v>
      </c>
      <c r="CC131" s="16"/>
      <c r="CD131" s="16"/>
      <c r="CI131" s="40"/>
      <c r="CJ131" s="40"/>
      <c r="CK131" s="40"/>
      <c r="CL131" s="40"/>
      <c r="CM131" s="40"/>
    </row>
    <row r="132" spans="1:91" s="18" customFormat="1" ht="15" customHeight="1">
      <c r="A132" s="18">
        <v>2003</v>
      </c>
      <c r="B132" s="21" t="s">
        <v>42</v>
      </c>
      <c r="C132" s="15">
        <f>+MITRE[[#This Row],[Trenes Puntuales]]/MITRE[[#This Row],[Trenes Programados]]</f>
        <v>0.92664042841473648</v>
      </c>
      <c r="D132" s="15">
        <f>+MITRE[[#This Row],[Trenes Puntuales]]/MITRE[[#This Row],[Trenes Corridos]]</f>
        <v>0.9518822905620361</v>
      </c>
      <c r="E132" s="15">
        <f>+MITRE[[#This Row],[Trenes Corridos]]/MITRE[[#This Row],[Trenes Programados]]</f>
        <v>0.97348216013936384</v>
      </c>
      <c r="F132" s="16">
        <f>+Tabla4[[#This Row],[Trenes Programados por Día Hábil]]+Tabla5[[#This Row],[Trenes Programados por Día Hábil]]+Tabla6[[#This Row],[Trenes Programados por Día Hábil]]+MIT_Vic_Cap[[#This Row],[Trenes Programados por Día Hábil]]+Tabla8[[#This Row],[Trenes Programados por Día Hábil]]</f>
        <v>0</v>
      </c>
      <c r="G13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2" s="16">
        <v>15499</v>
      </c>
      <c r="I132" s="16">
        <v>411</v>
      </c>
      <c r="J132" s="16">
        <v>15088</v>
      </c>
      <c r="K132" s="16">
        <v>14362</v>
      </c>
      <c r="L132" s="16">
        <v>726</v>
      </c>
      <c r="M132" s="16"/>
      <c r="N132" s="17"/>
      <c r="O132" s="18">
        <v>2003</v>
      </c>
      <c r="P132" s="21" t="s">
        <v>42</v>
      </c>
      <c r="Q132" s="15"/>
      <c r="R132" s="15"/>
      <c r="S132" s="15"/>
      <c r="T132" s="16"/>
      <c r="U132" s="16"/>
      <c r="V132" s="16"/>
      <c r="W132" s="16"/>
      <c r="X132" s="69">
        <f>(SUM(X$134:X$149)/16)/(SUM($J$134:$J$149)/16)*MITRE[[#This Row],[Trenes Corridos]]</f>
        <v>5626.1114372465372</v>
      </c>
      <c r="Y132" s="16"/>
      <c r="Z132" s="16"/>
      <c r="AA132" s="16"/>
      <c r="AB132" s="17"/>
      <c r="AC132" s="18">
        <v>2003</v>
      </c>
      <c r="AD132" s="21" t="s">
        <v>42</v>
      </c>
      <c r="AE132" s="15"/>
      <c r="AF132" s="15"/>
      <c r="AG132" s="15"/>
      <c r="AH132" s="16"/>
      <c r="AI132" s="16"/>
      <c r="AJ132" s="16"/>
      <c r="AK132" s="16"/>
      <c r="AL132" s="69">
        <f>(SUM(AL$134:AL$149)/16)/(SUM($J$134:$J$149)/16)*MITRE[[#This Row],[Trenes Corridos]]</f>
        <v>4399.6844618695277</v>
      </c>
      <c r="AM132" s="16"/>
      <c r="AN132" s="16"/>
      <c r="AO132" s="16"/>
      <c r="AP132" s="17"/>
      <c r="AQ132" s="18">
        <v>2003</v>
      </c>
      <c r="AR132" s="21" t="s">
        <v>42</v>
      </c>
      <c r="AS132" s="15"/>
      <c r="AT132" s="15"/>
      <c r="AU132" s="15"/>
      <c r="AV132" s="16"/>
      <c r="AW132" s="16"/>
      <c r="AX132" s="16"/>
      <c r="AY132" s="16"/>
      <c r="AZ132" s="69">
        <f>(SUM(AZ$134:AZ$149)/16)/(SUM($J$134:$J$149)/16)*MITRE[[#This Row],[Trenes Corridos]]</f>
        <v>3170.843010010065</v>
      </c>
      <c r="BA132" s="16"/>
      <c r="BB132" s="16"/>
      <c r="BC132" s="16"/>
      <c r="BD132" s="17"/>
      <c r="BE132" s="18">
        <v>2003</v>
      </c>
      <c r="BF132" s="21" t="s">
        <v>42</v>
      </c>
      <c r="BG132" s="15"/>
      <c r="BH132" s="15"/>
      <c r="BI132" s="15"/>
      <c r="BJ132" s="16"/>
      <c r="BK132" s="16"/>
      <c r="BL132" s="16"/>
      <c r="BM132" s="16"/>
      <c r="BN132" s="69">
        <f>(SUM(BN$134:BN$149)/16)/(SUM($J$134:$J$149)/16)*MITRE[[#This Row],[Trenes Corridos]]</f>
        <v>952.38389461848476</v>
      </c>
      <c r="BO132" s="16"/>
      <c r="BP132" s="16"/>
      <c r="BQ132" s="16"/>
      <c r="BR132" s="17"/>
      <c r="BS132" s="18">
        <v>2003</v>
      </c>
      <c r="BT132" s="21" t="s">
        <v>42</v>
      </c>
      <c r="BU132" s="15"/>
      <c r="BV132" s="15"/>
      <c r="BW132" s="15"/>
      <c r="BX132" s="16"/>
      <c r="BY132" s="16"/>
      <c r="BZ132" s="16"/>
      <c r="CA132" s="16"/>
      <c r="CB132" s="69">
        <f>(SUM(CB$134:CB$149)/16)/(SUM($J$134:$J$149)/16)*MITRE[[#This Row],[Trenes Corridos]]</f>
        <v>938.97719625538514</v>
      </c>
      <c r="CC132" s="16"/>
      <c r="CD132" s="16"/>
      <c r="CI132" s="40"/>
      <c r="CJ132" s="40"/>
      <c r="CK132" s="40"/>
      <c r="CL132" s="40"/>
      <c r="CM132" s="40"/>
    </row>
    <row r="133" spans="1:91" s="18" customFormat="1" ht="15" customHeight="1">
      <c r="A133" s="18">
        <v>2003</v>
      </c>
      <c r="B133" s="21" t="s">
        <v>43</v>
      </c>
      <c r="C133" s="15">
        <f>+MITRE[[#This Row],[Trenes Puntuales]]/MITRE[[#This Row],[Trenes Programados]]</f>
        <v>0.88929074970882116</v>
      </c>
      <c r="D133" s="15">
        <f>+MITRE[[#This Row],[Trenes Puntuales]]/MITRE[[#This Row],[Trenes Corridos]]</f>
        <v>0.90448282311864825</v>
      </c>
      <c r="E133" s="15">
        <f>+MITRE[[#This Row],[Trenes Corridos]]/MITRE[[#This Row],[Trenes Programados]]</f>
        <v>0.98320357996689756</v>
      </c>
      <c r="F133" s="16">
        <f>+Tabla4[[#This Row],[Trenes Programados por Día Hábil]]+Tabla5[[#This Row],[Trenes Programados por Día Hábil]]+Tabla6[[#This Row],[Trenes Programados por Día Hábil]]+MIT_Vic_Cap[[#This Row],[Trenes Programados por Día Hábil]]+Tabla8[[#This Row],[Trenes Programados por Día Hábil]]</f>
        <v>0</v>
      </c>
      <c r="G13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3" s="16">
        <v>16313</v>
      </c>
      <c r="I133" s="16">
        <v>274</v>
      </c>
      <c r="J133" s="16">
        <v>16039</v>
      </c>
      <c r="K133" s="16">
        <v>14507</v>
      </c>
      <c r="L133" s="16">
        <v>1532</v>
      </c>
      <c r="M133" s="16"/>
      <c r="N133" s="17"/>
      <c r="O133" s="18">
        <v>2003</v>
      </c>
      <c r="P133" s="21" t="s">
        <v>43</v>
      </c>
      <c r="Q133" s="15"/>
      <c r="R133" s="15"/>
      <c r="S133" s="15"/>
      <c r="T133" s="16"/>
      <c r="U133" s="16"/>
      <c r="V133" s="16"/>
      <c r="W133" s="16"/>
      <c r="X133" s="69">
        <f>(SUM(X$134:X$149)/16)/(SUM($J$134:$J$149)/16)*MITRE[[#This Row],[Trenes Corridos]]</f>
        <v>5980.7264940348095</v>
      </c>
      <c r="Y133" s="16"/>
      <c r="Z133" s="16"/>
      <c r="AA133" s="16"/>
      <c r="AB133" s="17"/>
      <c r="AC133" s="18">
        <v>2003</v>
      </c>
      <c r="AD133" s="21" t="s">
        <v>43</v>
      </c>
      <c r="AE133" s="15"/>
      <c r="AF133" s="15"/>
      <c r="AG133" s="15"/>
      <c r="AH133" s="16"/>
      <c r="AI133" s="16"/>
      <c r="AJ133" s="16"/>
      <c r="AK133" s="16"/>
      <c r="AL133" s="69">
        <f>(SUM(AL$134:AL$149)/16)/(SUM($J$134:$J$149)/16)*MITRE[[#This Row],[Trenes Corridos]]</f>
        <v>4676.9975532824337</v>
      </c>
      <c r="AM133" s="16"/>
      <c r="AN133" s="16"/>
      <c r="AO133" s="16"/>
      <c r="AP133" s="17"/>
      <c r="AQ133" s="18">
        <v>2003</v>
      </c>
      <c r="AR133" s="21" t="s">
        <v>43</v>
      </c>
      <c r="AS133" s="15"/>
      <c r="AT133" s="15"/>
      <c r="AU133" s="15"/>
      <c r="AV133" s="16"/>
      <c r="AW133" s="16"/>
      <c r="AX133" s="16"/>
      <c r="AY133" s="16"/>
      <c r="AZ133" s="69">
        <f>(SUM(AZ$134:AZ$149)/16)/(SUM($J$134:$J$149)/16)*MITRE[[#This Row],[Trenes Corridos]]</f>
        <v>3370.7019510572263</v>
      </c>
      <c r="BA133" s="16"/>
      <c r="BB133" s="16"/>
      <c r="BC133" s="16"/>
      <c r="BD133" s="17"/>
      <c r="BE133" s="18">
        <v>2003</v>
      </c>
      <c r="BF133" s="21" t="s">
        <v>43</v>
      </c>
      <c r="BG133" s="15"/>
      <c r="BH133" s="15"/>
      <c r="BI133" s="15"/>
      <c r="BJ133" s="16"/>
      <c r="BK133" s="16"/>
      <c r="BL133" s="16"/>
      <c r="BM133" s="16"/>
      <c r="BN133" s="69">
        <f>(SUM(BN$134:BN$149)/16)/(SUM($J$134:$J$149)/16)*MITRE[[#This Row],[Trenes Corridos]]</f>
        <v>1012.4128635860204</v>
      </c>
      <c r="BO133" s="16"/>
      <c r="BP133" s="16"/>
      <c r="BQ133" s="16"/>
      <c r="BR133" s="17"/>
      <c r="BS133" s="18">
        <v>2003</v>
      </c>
      <c r="BT133" s="21" t="s">
        <v>43</v>
      </c>
      <c r="BU133" s="15"/>
      <c r="BV133" s="15"/>
      <c r="BW133" s="15"/>
      <c r="BX133" s="16"/>
      <c r="BY133" s="16"/>
      <c r="BZ133" s="16"/>
      <c r="CA133" s="16"/>
      <c r="CB133" s="69">
        <f>(SUM(CB$134:CB$149)/16)/(SUM($J$134:$J$149)/16)*MITRE[[#This Row],[Trenes Corridos]]</f>
        <v>998.16113803950964</v>
      </c>
      <c r="CC133" s="16"/>
      <c r="CD133" s="16"/>
      <c r="CI133" s="40"/>
      <c r="CJ133" s="40"/>
      <c r="CK133" s="40"/>
      <c r="CL133" s="40"/>
      <c r="CM133" s="40"/>
    </row>
    <row r="134" spans="1:91" s="18" customFormat="1" ht="15" customHeight="1">
      <c r="A134" s="18">
        <v>2003</v>
      </c>
      <c r="B134" s="21" t="s">
        <v>44</v>
      </c>
      <c r="C134" s="15">
        <f>+MITRE[[#This Row],[Trenes Puntuales]]/MITRE[[#This Row],[Trenes Programados]]</f>
        <v>0.9509040517355154</v>
      </c>
      <c r="D134" s="15">
        <f>+MITRE[[#This Row],[Trenes Puntuales]]/MITRE[[#This Row],[Trenes Corridos]]</f>
        <v>0.96111518708730737</v>
      </c>
      <c r="E134" s="15">
        <f>+MITRE[[#This Row],[Trenes Corridos]]/MITRE[[#This Row],[Trenes Programados]]</f>
        <v>0.98937574237824999</v>
      </c>
      <c r="F134" s="16">
        <f>+Tabla4[[#This Row],[Trenes Programados por Día Hábil]]+Tabla5[[#This Row],[Trenes Programados por Día Hábil]]+Tabla6[[#This Row],[Trenes Programados por Día Hábil]]+MIT_Vic_Cap[[#This Row],[Trenes Programados por Día Hábil]]+Tabla8[[#This Row],[Trenes Programados por Día Hábil]]</f>
        <v>0</v>
      </c>
      <c r="G13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4" s="16">
        <f t="shared" ref="H134:H197" si="20">+V134+AJ134+AX134+BL134+BZ134</f>
        <v>15154</v>
      </c>
      <c r="I134" s="16">
        <f t="shared" ref="I134:I197" si="21">H134-J134</f>
        <v>161</v>
      </c>
      <c r="J134" s="16">
        <f t="shared" ref="J134:J197" si="22">+X134+AL134+AZ134+BN134+CB134</f>
        <v>14993</v>
      </c>
      <c r="K134" s="16">
        <f t="shared" ref="K134:K197" si="23">+Y134+AM134+BA134+BO134+CC134</f>
        <v>14410</v>
      </c>
      <c r="L134" s="16">
        <f t="shared" ref="L134:L197" si="24">J134-K134</f>
        <v>583</v>
      </c>
      <c r="M134" s="16"/>
      <c r="N134" s="17"/>
      <c r="O134" s="18">
        <v>2003</v>
      </c>
      <c r="P134" s="21" t="s">
        <v>44</v>
      </c>
      <c r="Q134" s="15">
        <f>+Tabla4[[#This Row],[Trenes Puntuales]]/Tabla4[[#This Row],[Trenes Programados]]</f>
        <v>0.95457734128376004</v>
      </c>
      <c r="R134" s="15">
        <f>+Tabla4[[#This Row],[Trenes Puntuales]]/Tabla4[[#This Row],[Trenes Corridos]]</f>
        <v>0.96234087694483739</v>
      </c>
      <c r="S134" s="15">
        <f>+Tabla4[[#This Row],[Trenes Corridos]]/Tabla4[[#This Row],[Trenes Programados]]</f>
        <v>0.99193265520869867</v>
      </c>
      <c r="T134" s="16"/>
      <c r="U134" s="16"/>
      <c r="V134" s="16">
        <v>5702</v>
      </c>
      <c r="W134" s="16">
        <f>V134-X134</f>
        <v>46</v>
      </c>
      <c r="X134" s="16">
        <v>5656</v>
      </c>
      <c r="Y134" s="16">
        <v>5443</v>
      </c>
      <c r="Z134" s="16">
        <f>X134-Y134</f>
        <v>213</v>
      </c>
      <c r="AA134" s="16"/>
      <c r="AB134" s="17"/>
      <c r="AC134" s="18">
        <v>2003</v>
      </c>
      <c r="AD134" s="21" t="s">
        <v>44</v>
      </c>
      <c r="AE134" s="15">
        <f>+Tabla5[[#This Row],[Trenes Puntuales]]/Tabla5[[#This Row],[Trenes Programados]]</f>
        <v>0.96082004555808653</v>
      </c>
      <c r="AF134" s="15">
        <f>+Tabla5[[#This Row],[Trenes Puntuales]]/Tabla5[[#This Row],[Trenes Corridos]]</f>
        <v>0.96433470507544583</v>
      </c>
      <c r="AG134" s="15">
        <f>+Tabla5[[#This Row],[Trenes Corridos]]/Tabla5[[#This Row],[Trenes Programados]]</f>
        <v>0.99635535307517087</v>
      </c>
      <c r="AH134" s="16"/>
      <c r="AI134" s="16"/>
      <c r="AJ134" s="16">
        <v>4390</v>
      </c>
      <c r="AK134" s="16">
        <f>AJ134-AL134</f>
        <v>16</v>
      </c>
      <c r="AL134" s="16">
        <v>4374</v>
      </c>
      <c r="AM134" s="16">
        <v>4218</v>
      </c>
      <c r="AN134" s="16">
        <f>AL134-AM134</f>
        <v>156</v>
      </c>
      <c r="AO134" s="16"/>
      <c r="AP134" s="17"/>
      <c r="AQ134" s="18">
        <v>2003</v>
      </c>
      <c r="AR134" s="21" t="s">
        <v>44</v>
      </c>
      <c r="AS134" s="15">
        <f>+Tabla6[[#This Row],[Trenes Puntuales]]/Tabla6[[#This Row],[Trenes Programados]]</f>
        <v>0.97131931166347996</v>
      </c>
      <c r="AT134" s="15">
        <f>+Tabla6[[#This Row],[Trenes Puntuales]]/Tabla6[[#This Row],[Trenes Corridos]]</f>
        <v>0.98640776699029131</v>
      </c>
      <c r="AU134" s="15">
        <f>+Tabla6[[#This Row],[Trenes Corridos]]/Tabla6[[#This Row],[Trenes Programados]]</f>
        <v>0.98470363288718932</v>
      </c>
      <c r="AV134" s="16"/>
      <c r="AW134" s="16"/>
      <c r="AX134" s="16">
        <v>3138</v>
      </c>
      <c r="AY134" s="16">
        <f>AX134-AZ134</f>
        <v>48</v>
      </c>
      <c r="AZ134" s="16">
        <v>3090</v>
      </c>
      <c r="BA134" s="16">
        <v>3048</v>
      </c>
      <c r="BB134" s="16">
        <f>AZ134-BA134</f>
        <v>42</v>
      </c>
      <c r="BC134" s="16"/>
      <c r="BD134" s="17"/>
      <c r="BE134" s="18">
        <v>2003</v>
      </c>
      <c r="BF134" s="21" t="s">
        <v>44</v>
      </c>
      <c r="BG134" s="15">
        <f>+MIT_Vic_Cap[[#This Row],[Trenes Puntuales]]/MIT_Vic_Cap[[#This Row],[Trenes Programados]]</f>
        <v>0.88429752066115708</v>
      </c>
      <c r="BH134" s="15">
        <f>+MIT_Vic_Cap[[#This Row],[Trenes Puntuales]]/MIT_Vic_Cap[[#This Row],[Trenes Corridos]]</f>
        <v>0.91160809371671991</v>
      </c>
      <c r="BI134" s="15">
        <f>+MIT_Vic_Cap[[#This Row],[Trenes Corridos]]/MIT_Vic_Cap[[#This Row],[Trenes Programados]]</f>
        <v>0.9700413223140496</v>
      </c>
      <c r="BJ134" s="16"/>
      <c r="BK134" s="16"/>
      <c r="BL134" s="16">
        <v>968</v>
      </c>
      <c r="BM134" s="16">
        <f>BL134-BN134</f>
        <v>29</v>
      </c>
      <c r="BN134" s="16">
        <v>939</v>
      </c>
      <c r="BO134" s="16">
        <v>856</v>
      </c>
      <c r="BP134" s="16">
        <f>BN134-BO134</f>
        <v>83</v>
      </c>
      <c r="BQ134" s="16"/>
      <c r="BR134" s="17"/>
      <c r="BS134" s="18">
        <v>2003</v>
      </c>
      <c r="BT134" s="21" t="s">
        <v>44</v>
      </c>
      <c r="BU134" s="15">
        <f>+Tabla8[[#This Row],[Trenes Puntuales]]/Tabla8[[#This Row],[Trenes Programados]]</f>
        <v>0.88389121338912136</v>
      </c>
      <c r="BV134" s="15">
        <f>+Tabla8[[#This Row],[Trenes Puntuales]]/Tabla8[[#This Row],[Trenes Corridos]]</f>
        <v>0.90471092077087789</v>
      </c>
      <c r="BW134" s="15">
        <f>+Tabla8[[#This Row],[Trenes Corridos]]/Tabla8[[#This Row],[Trenes Programados]]</f>
        <v>0.97698744769874479</v>
      </c>
      <c r="BX134" s="16"/>
      <c r="BY134" s="16"/>
      <c r="BZ134" s="16">
        <v>956</v>
      </c>
      <c r="CA134" s="16">
        <f>BZ134-CB134</f>
        <v>22</v>
      </c>
      <c r="CB134" s="16">
        <v>934</v>
      </c>
      <c r="CC134" s="16">
        <v>845</v>
      </c>
      <c r="CD134" s="16">
        <f>CB134-CC134</f>
        <v>89</v>
      </c>
      <c r="CI134" s="40"/>
      <c r="CJ134" s="40"/>
      <c r="CK134" s="40"/>
      <c r="CL134" s="40"/>
      <c r="CM134" s="40"/>
    </row>
    <row r="135" spans="1:91" s="18" customFormat="1" ht="15" customHeight="1">
      <c r="A135" s="18">
        <v>2003</v>
      </c>
      <c r="B135" s="21" t="s">
        <v>45</v>
      </c>
      <c r="C135" s="15">
        <f>+MITRE[[#This Row],[Trenes Puntuales]]/MITRE[[#This Row],[Trenes Programados]]</f>
        <v>0.93200180983776093</v>
      </c>
      <c r="D135" s="15">
        <f>+MITRE[[#This Row],[Trenes Puntuales]]/MITRE[[#This Row],[Trenes Corridos]]</f>
        <v>0.952000528192262</v>
      </c>
      <c r="E135" s="15">
        <f>+MITRE[[#This Row],[Trenes Corridos]]/MITRE[[#This Row],[Trenes Programados]]</f>
        <v>0.97899295456014479</v>
      </c>
      <c r="F135" s="16">
        <f>+Tabla4[[#This Row],[Trenes Programados por Día Hábil]]+Tabla5[[#This Row],[Trenes Programados por Día Hábil]]+Tabla6[[#This Row],[Trenes Programados por Día Hábil]]+MIT_Vic_Cap[[#This Row],[Trenes Programados por Día Hábil]]+Tabla8[[#This Row],[Trenes Programados por Día Hábil]]</f>
        <v>0</v>
      </c>
      <c r="G13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5" s="16">
        <f t="shared" si="20"/>
        <v>15471</v>
      </c>
      <c r="I135" s="16">
        <f t="shared" si="21"/>
        <v>325</v>
      </c>
      <c r="J135" s="16">
        <f t="shared" si="22"/>
        <v>15146</v>
      </c>
      <c r="K135" s="16">
        <f t="shared" si="23"/>
        <v>14419</v>
      </c>
      <c r="L135" s="16">
        <f t="shared" si="24"/>
        <v>727</v>
      </c>
      <c r="M135" s="16"/>
      <c r="N135" s="17"/>
      <c r="O135" s="18">
        <v>2003</v>
      </c>
      <c r="P135" s="21" t="s">
        <v>45</v>
      </c>
      <c r="Q135" s="15">
        <f>+Tabla4[[#This Row],[Trenes Puntuales]]/Tabla4[[#This Row],[Trenes Programados]]</f>
        <v>0.93629476584022042</v>
      </c>
      <c r="R135" s="15">
        <f>+Tabla4[[#This Row],[Trenes Puntuales]]/Tabla4[[#This Row],[Trenes Corridos]]</f>
        <v>0.95336605890603088</v>
      </c>
      <c r="S135" s="15">
        <f>+Tabla4[[#This Row],[Trenes Corridos]]/Tabla4[[#This Row],[Trenes Programados]]</f>
        <v>0.98209366391184572</v>
      </c>
      <c r="T135" s="16"/>
      <c r="U135" s="16"/>
      <c r="V135" s="16">
        <v>5808</v>
      </c>
      <c r="W135" s="16">
        <f>V135-X135</f>
        <v>104</v>
      </c>
      <c r="X135" s="16">
        <v>5704</v>
      </c>
      <c r="Y135" s="16">
        <v>5438</v>
      </c>
      <c r="Z135" s="16">
        <f>X135-Y135</f>
        <v>266</v>
      </c>
      <c r="AA135" s="16"/>
      <c r="AB135" s="17"/>
      <c r="AC135" s="18">
        <v>2003</v>
      </c>
      <c r="AD135" s="21" t="s">
        <v>45</v>
      </c>
      <c r="AE135" s="15">
        <f>+Tabla5[[#This Row],[Trenes Puntuales]]/Tabla5[[#This Row],[Trenes Programados]]</f>
        <v>0.94284438490734535</v>
      </c>
      <c r="AF135" s="15">
        <f>+Tabla5[[#This Row],[Trenes Puntuales]]/Tabla5[[#This Row],[Trenes Corridos]]</f>
        <v>0.96042756424835118</v>
      </c>
      <c r="AG135" s="15">
        <f>+Tabla5[[#This Row],[Trenes Corridos]]/Tabla5[[#This Row],[Trenes Programados]]</f>
        <v>0.98169234204063405</v>
      </c>
      <c r="AH135" s="16"/>
      <c r="AI135" s="16"/>
      <c r="AJ135" s="16">
        <v>4479</v>
      </c>
      <c r="AK135" s="16">
        <f>AJ135-AL135</f>
        <v>82</v>
      </c>
      <c r="AL135" s="16">
        <v>4397</v>
      </c>
      <c r="AM135" s="16">
        <v>4223</v>
      </c>
      <c r="AN135" s="16">
        <f>AL135-AM135</f>
        <v>174</v>
      </c>
      <c r="AO135" s="16"/>
      <c r="AP135" s="17"/>
      <c r="AQ135" s="18">
        <v>2003</v>
      </c>
      <c r="AR135" s="21" t="s">
        <v>45</v>
      </c>
      <c r="AS135" s="15">
        <f>+Tabla6[[#This Row],[Trenes Puntuales]]/Tabla6[[#This Row],[Trenes Programados]]</f>
        <v>0.96864327848494258</v>
      </c>
      <c r="AT135" s="15">
        <f>+Tabla6[[#This Row],[Trenes Puntuales]]/Tabla6[[#This Row],[Trenes Corridos]]</f>
        <v>0.98422712933753942</v>
      </c>
      <c r="AU135" s="15">
        <f>+Tabla6[[#This Row],[Trenes Corridos]]/Tabla6[[#This Row],[Trenes Programados]]</f>
        <v>0.98416640794784227</v>
      </c>
      <c r="AV135" s="16"/>
      <c r="AW135" s="16"/>
      <c r="AX135" s="16">
        <v>3221</v>
      </c>
      <c r="AY135" s="16">
        <f>AX135-AZ135</f>
        <v>51</v>
      </c>
      <c r="AZ135" s="16">
        <v>3170</v>
      </c>
      <c r="BA135" s="16">
        <v>3120</v>
      </c>
      <c r="BB135" s="16">
        <f>AZ135-BA135</f>
        <v>50</v>
      </c>
      <c r="BC135" s="16"/>
      <c r="BD135" s="17"/>
      <c r="BE135" s="18">
        <v>2003</v>
      </c>
      <c r="BF135" s="21" t="s">
        <v>45</v>
      </c>
      <c r="BG135" s="15">
        <f>+MIT_Vic_Cap[[#This Row],[Trenes Puntuales]]/MIT_Vic_Cap[[#This Row],[Trenes Programados]]</f>
        <v>0.85844287158746213</v>
      </c>
      <c r="BH135" s="15">
        <f>+MIT_Vic_Cap[[#This Row],[Trenes Puntuales]]/MIT_Vic_Cap[[#This Row],[Trenes Corridos]]</f>
        <v>0.89368421052631575</v>
      </c>
      <c r="BI135" s="15">
        <f>+MIT_Vic_Cap[[#This Row],[Trenes Corridos]]/MIT_Vic_Cap[[#This Row],[Trenes Programados]]</f>
        <v>0.96056622851365014</v>
      </c>
      <c r="BJ135" s="16"/>
      <c r="BK135" s="16"/>
      <c r="BL135" s="16">
        <v>989</v>
      </c>
      <c r="BM135" s="16">
        <f>BL135-BN135</f>
        <v>39</v>
      </c>
      <c r="BN135" s="16">
        <v>950</v>
      </c>
      <c r="BO135" s="16">
        <v>849</v>
      </c>
      <c r="BP135" s="16">
        <f>BN135-BO135</f>
        <v>101</v>
      </c>
      <c r="BQ135" s="16"/>
      <c r="BR135" s="17"/>
      <c r="BS135" s="18">
        <v>2003</v>
      </c>
      <c r="BT135" s="21" t="s">
        <v>45</v>
      </c>
      <c r="BU135" s="15">
        <f>+Tabla8[[#This Row],[Trenes Puntuales]]/Tabla8[[#This Row],[Trenes Programados]]</f>
        <v>0.81006160164271046</v>
      </c>
      <c r="BV135" s="15">
        <f>+Tabla8[[#This Row],[Trenes Puntuales]]/Tabla8[[#This Row],[Trenes Corridos]]</f>
        <v>0.85297297297297292</v>
      </c>
      <c r="BW135" s="15">
        <f>+Tabla8[[#This Row],[Trenes Corridos]]/Tabla8[[#This Row],[Trenes Programados]]</f>
        <v>0.94969199178644759</v>
      </c>
      <c r="BX135" s="16"/>
      <c r="BY135" s="16"/>
      <c r="BZ135" s="16">
        <v>974</v>
      </c>
      <c r="CA135" s="16">
        <f>BZ135-CB135</f>
        <v>49</v>
      </c>
      <c r="CB135" s="16">
        <v>925</v>
      </c>
      <c r="CC135" s="16">
        <v>789</v>
      </c>
      <c r="CD135" s="16">
        <f>CB135-CC135</f>
        <v>136</v>
      </c>
      <c r="CI135" s="40"/>
      <c r="CJ135" s="40"/>
      <c r="CK135" s="40"/>
      <c r="CL135" s="40"/>
      <c r="CM135" s="40"/>
    </row>
    <row r="136" spans="1:91" s="18" customFormat="1" ht="15" customHeight="1">
      <c r="A136" s="18">
        <v>2003</v>
      </c>
      <c r="B136" s="21" t="s">
        <v>46</v>
      </c>
      <c r="C136" s="15">
        <f>+MITRE[[#This Row],[Trenes Puntuales]]/MITRE[[#This Row],[Trenes Programados]]</f>
        <v>0.91584625758597438</v>
      </c>
      <c r="D136" s="15">
        <f>+MITRE[[#This Row],[Trenes Puntuales]]/MITRE[[#This Row],[Trenes Corridos]]</f>
        <v>0.94064685920077573</v>
      </c>
      <c r="E136" s="15">
        <f>+MITRE[[#This Row],[Trenes Corridos]]/MITRE[[#This Row],[Trenes Programados]]</f>
        <v>0.9736345246122724</v>
      </c>
      <c r="F136" s="16">
        <f>+Tabla4[[#This Row],[Trenes Programados por Día Hábil]]+Tabla5[[#This Row],[Trenes Programados por Día Hábil]]+Tabla6[[#This Row],[Trenes Programados por Día Hábil]]+MIT_Vic_Cap[[#This Row],[Trenes Programados por Día Hábil]]+Tabla8[[#This Row],[Trenes Programados por Día Hábil]]</f>
        <v>0</v>
      </c>
      <c r="G13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6" s="16">
        <f t="shared" si="20"/>
        <v>14830</v>
      </c>
      <c r="I136" s="16">
        <f t="shared" si="21"/>
        <v>391</v>
      </c>
      <c r="J136" s="16">
        <f t="shared" si="22"/>
        <v>14439</v>
      </c>
      <c r="K136" s="16">
        <f t="shared" si="23"/>
        <v>13582</v>
      </c>
      <c r="L136" s="16">
        <f t="shared" si="24"/>
        <v>857</v>
      </c>
      <c r="M136" s="16"/>
      <c r="N136" s="17"/>
      <c r="O136" s="18">
        <v>2003</v>
      </c>
      <c r="P136" s="21" t="s">
        <v>46</v>
      </c>
      <c r="Q136" s="15">
        <f>+Tabla4[[#This Row],[Trenes Puntuales]]/Tabla4[[#This Row],[Trenes Programados]]</f>
        <v>0.90378378378378377</v>
      </c>
      <c r="R136" s="15">
        <f>+Tabla4[[#This Row],[Trenes Puntuales]]/Tabla4[[#This Row],[Trenes Corridos]]</f>
        <v>0.92324682495858645</v>
      </c>
      <c r="S136" s="15">
        <f>+Tabla4[[#This Row],[Trenes Corridos]]/Tabla4[[#This Row],[Trenes Programados]]</f>
        <v>0.97891891891891891</v>
      </c>
      <c r="T136" s="16"/>
      <c r="U136" s="16"/>
      <c r="V136" s="16">
        <v>5550</v>
      </c>
      <c r="W136" s="16">
        <f t="shared" ref="W136:W149" si="25">V136-X136</f>
        <v>117</v>
      </c>
      <c r="X136" s="16">
        <v>5433</v>
      </c>
      <c r="Y136" s="16">
        <v>5016</v>
      </c>
      <c r="Z136" s="16">
        <f>X136-Y136</f>
        <v>417</v>
      </c>
      <c r="AA136" s="16"/>
      <c r="AB136" s="17"/>
      <c r="AC136" s="18">
        <v>2003</v>
      </c>
      <c r="AD136" s="21" t="s">
        <v>46</v>
      </c>
      <c r="AE136" s="15">
        <f>+Tabla5[[#This Row],[Trenes Puntuales]]/Tabla5[[#This Row],[Trenes Programados]]</f>
        <v>0.94947613504074502</v>
      </c>
      <c r="AF136" s="15">
        <f>+Tabla5[[#This Row],[Trenes Puntuales]]/Tabla5[[#This Row],[Trenes Corridos]]</f>
        <v>0.96315540859707127</v>
      </c>
      <c r="AG136" s="15">
        <f>+Tabla5[[#This Row],[Trenes Corridos]]/Tabla5[[#This Row],[Trenes Programados]]</f>
        <v>0.98579743888242144</v>
      </c>
      <c r="AH136" s="16"/>
      <c r="AI136" s="16"/>
      <c r="AJ136" s="16">
        <v>4295</v>
      </c>
      <c r="AK136" s="16">
        <f>AJ136-AL136</f>
        <v>61</v>
      </c>
      <c r="AL136" s="16">
        <v>4234</v>
      </c>
      <c r="AM136" s="16">
        <v>4078</v>
      </c>
      <c r="AN136" s="16">
        <f>AL136-AM136</f>
        <v>156</v>
      </c>
      <c r="AO136" s="16"/>
      <c r="AP136" s="17"/>
      <c r="AQ136" s="18">
        <v>2003</v>
      </c>
      <c r="AR136" s="21" t="s">
        <v>46</v>
      </c>
      <c r="AS136" s="15">
        <f>+Tabla6[[#This Row],[Trenes Puntuales]]/Tabla6[[#This Row],[Trenes Programados]]</f>
        <v>0.97230273752012886</v>
      </c>
      <c r="AT136" s="15">
        <f>+Tabla6[[#This Row],[Trenes Puntuales]]/Tabla6[[#This Row],[Trenes Corridos]]</f>
        <v>0.98499184339314849</v>
      </c>
      <c r="AU136" s="15">
        <f>+Tabla6[[#This Row],[Trenes Corridos]]/Tabla6[[#This Row],[Trenes Programados]]</f>
        <v>0.98711755233494369</v>
      </c>
      <c r="AV136" s="16"/>
      <c r="AW136" s="16"/>
      <c r="AX136" s="16">
        <v>3105</v>
      </c>
      <c r="AY136" s="16">
        <f>AX136-AZ136</f>
        <v>40</v>
      </c>
      <c r="AZ136" s="16">
        <v>3065</v>
      </c>
      <c r="BA136" s="16">
        <v>3019</v>
      </c>
      <c r="BB136" s="16">
        <f>AZ136-BA136</f>
        <v>46</v>
      </c>
      <c r="BC136" s="16"/>
      <c r="BD136" s="17"/>
      <c r="BE136" s="18">
        <v>2003</v>
      </c>
      <c r="BF136" s="21" t="s">
        <v>46</v>
      </c>
      <c r="BG136" s="15">
        <f>+MIT_Vic_Cap[[#This Row],[Trenes Puntuales]]/MIT_Vic_Cap[[#This Row],[Trenes Programados]]</f>
        <v>0.73821989528795806</v>
      </c>
      <c r="BH136" s="15">
        <f>+MIT_Vic_Cap[[#This Row],[Trenes Puntuales]]/MIT_Vic_Cap[[#This Row],[Trenes Corridos]]</f>
        <v>0.86715867158671589</v>
      </c>
      <c r="BI136" s="15">
        <f>+MIT_Vic_Cap[[#This Row],[Trenes Corridos]]/MIT_Vic_Cap[[#This Row],[Trenes Programados]]</f>
        <v>0.85130890052356023</v>
      </c>
      <c r="BJ136" s="16"/>
      <c r="BK136" s="16"/>
      <c r="BL136" s="16">
        <v>955</v>
      </c>
      <c r="BM136" s="16">
        <f>BL136-BN136</f>
        <v>142</v>
      </c>
      <c r="BN136" s="16">
        <v>813</v>
      </c>
      <c r="BO136" s="16">
        <v>705</v>
      </c>
      <c r="BP136" s="16">
        <f>BN136-BO136</f>
        <v>108</v>
      </c>
      <c r="BQ136" s="16"/>
      <c r="BR136" s="17"/>
      <c r="BS136" s="18">
        <v>2003</v>
      </c>
      <c r="BT136" s="21" t="s">
        <v>46</v>
      </c>
      <c r="BU136" s="15">
        <f>+Tabla8[[#This Row],[Trenes Puntuales]]/Tabla8[[#This Row],[Trenes Programados]]</f>
        <v>0.82594594594594595</v>
      </c>
      <c r="BV136" s="15">
        <f>+Tabla8[[#This Row],[Trenes Puntuales]]/Tabla8[[#This Row],[Trenes Corridos]]</f>
        <v>0.85458612975391501</v>
      </c>
      <c r="BW136" s="15">
        <f>+Tabla8[[#This Row],[Trenes Corridos]]/Tabla8[[#This Row],[Trenes Programados]]</f>
        <v>0.9664864864864865</v>
      </c>
      <c r="BX136" s="16"/>
      <c r="BY136" s="16"/>
      <c r="BZ136" s="16">
        <v>925</v>
      </c>
      <c r="CA136" s="16">
        <f>BZ136-CB136</f>
        <v>31</v>
      </c>
      <c r="CB136" s="16">
        <v>894</v>
      </c>
      <c r="CC136" s="16">
        <v>764</v>
      </c>
      <c r="CD136" s="16">
        <f>CB136-CC136</f>
        <v>130</v>
      </c>
      <c r="CI136" s="40"/>
      <c r="CJ136" s="40"/>
      <c r="CK136" s="40"/>
      <c r="CL136" s="40"/>
      <c r="CM136" s="40"/>
    </row>
    <row r="137" spans="1:91" s="18" customFormat="1" ht="15" customHeight="1">
      <c r="A137" s="18">
        <v>2003</v>
      </c>
      <c r="B137" s="21" t="s">
        <v>47</v>
      </c>
      <c r="C137" s="15">
        <f>+MITRE[[#This Row],[Trenes Puntuales]]/MITRE[[#This Row],[Trenes Programados]]</f>
        <v>0.91254428552683375</v>
      </c>
      <c r="D137" s="15">
        <f>+MITRE[[#This Row],[Trenes Puntuales]]/MITRE[[#This Row],[Trenes Corridos]]</f>
        <v>0.9341168569509738</v>
      </c>
      <c r="E137" s="15">
        <f>+MITRE[[#This Row],[Trenes Corridos]]/MITRE[[#This Row],[Trenes Programados]]</f>
        <v>0.97690591785854874</v>
      </c>
      <c r="F137" s="16">
        <f>+Tabla4[[#This Row],[Trenes Programados por Día Hábil]]+Tabla5[[#This Row],[Trenes Programados por Día Hábil]]+Tabla6[[#This Row],[Trenes Programados por Día Hábil]]+MIT_Vic_Cap[[#This Row],[Trenes Programados por Día Hábil]]+Tabla8[[#This Row],[Trenes Programados por Día Hábil]]</f>
        <v>0</v>
      </c>
      <c r="G13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7" s="16">
        <f t="shared" si="20"/>
        <v>15242</v>
      </c>
      <c r="I137" s="16">
        <f t="shared" si="21"/>
        <v>352</v>
      </c>
      <c r="J137" s="16">
        <f t="shared" si="22"/>
        <v>14890</v>
      </c>
      <c r="K137" s="16">
        <f t="shared" si="23"/>
        <v>13909</v>
      </c>
      <c r="L137" s="16">
        <f t="shared" si="24"/>
        <v>981</v>
      </c>
      <c r="M137" s="16"/>
      <c r="N137" s="17"/>
      <c r="O137" s="18">
        <v>2003</v>
      </c>
      <c r="P137" s="21" t="s">
        <v>47</v>
      </c>
      <c r="Q137" s="15">
        <f>+Tabla4[[#This Row],[Trenes Puntuales]]/Tabla4[[#This Row],[Trenes Programados]]</f>
        <v>0.89957939011566768</v>
      </c>
      <c r="R137" s="15">
        <f>+Tabla4[[#This Row],[Trenes Puntuales]]/Tabla4[[#This Row],[Trenes Corridos]]</f>
        <v>0.93005979344084078</v>
      </c>
      <c r="S137" s="15">
        <f>+Tabla4[[#This Row],[Trenes Corridos]]/Tabla4[[#This Row],[Trenes Programados]]</f>
        <v>0.96722747984577639</v>
      </c>
      <c r="T137" s="16"/>
      <c r="U137" s="16"/>
      <c r="V137" s="16">
        <v>5706</v>
      </c>
      <c r="W137" s="16">
        <f t="shared" si="25"/>
        <v>187</v>
      </c>
      <c r="X137" s="16">
        <v>5519</v>
      </c>
      <c r="Y137" s="16">
        <v>5133</v>
      </c>
      <c r="Z137" s="16">
        <f>X137-Y137</f>
        <v>386</v>
      </c>
      <c r="AA137" s="16"/>
      <c r="AB137" s="17"/>
      <c r="AC137" s="18">
        <v>2003</v>
      </c>
      <c r="AD137" s="21" t="s">
        <v>47</v>
      </c>
      <c r="AE137" s="15">
        <f>+Tabla5[[#This Row],[Trenes Puntuales]]/Tabla5[[#This Row],[Trenes Programados]]</f>
        <v>0.94420503515536403</v>
      </c>
      <c r="AF137" s="15">
        <f>+Tabla5[[#This Row],[Trenes Puntuales]]/Tabla5[[#This Row],[Trenes Corridos]]</f>
        <v>0.95701149425287357</v>
      </c>
      <c r="AG137" s="15">
        <f>+Tabla5[[#This Row],[Trenes Corridos]]/Tabla5[[#This Row],[Trenes Programados]]</f>
        <v>0.98661828078929459</v>
      </c>
      <c r="AH137" s="16"/>
      <c r="AI137" s="16"/>
      <c r="AJ137" s="16">
        <v>4409</v>
      </c>
      <c r="AK137" s="16">
        <f>AJ137-AL137</f>
        <v>59</v>
      </c>
      <c r="AL137" s="16">
        <v>4350</v>
      </c>
      <c r="AM137" s="16">
        <v>4163</v>
      </c>
      <c r="AN137" s="16">
        <f>AL137-AM137</f>
        <v>187</v>
      </c>
      <c r="AO137" s="16"/>
      <c r="AP137" s="17"/>
      <c r="AQ137" s="18">
        <v>2003</v>
      </c>
      <c r="AR137" s="21" t="s">
        <v>47</v>
      </c>
      <c r="AS137" s="15">
        <f>+Tabla6[[#This Row],[Trenes Puntuales]]/Tabla6[[#This Row],[Trenes Programados]]</f>
        <v>0.95680751173708922</v>
      </c>
      <c r="AT137" s="15">
        <f>+Tabla6[[#This Row],[Trenes Puntuales]]/Tabla6[[#This Row],[Trenes Corridos]]</f>
        <v>0.9701682005712472</v>
      </c>
      <c r="AU137" s="15">
        <f>+Tabla6[[#This Row],[Trenes Corridos]]/Tabla6[[#This Row],[Trenes Programados]]</f>
        <v>0.98622848200312985</v>
      </c>
      <c r="AV137" s="16"/>
      <c r="AW137" s="16"/>
      <c r="AX137" s="16">
        <v>3195</v>
      </c>
      <c r="AY137" s="16">
        <f>AX137-AZ137</f>
        <v>44</v>
      </c>
      <c r="AZ137" s="16">
        <v>3151</v>
      </c>
      <c r="BA137" s="16">
        <v>3057</v>
      </c>
      <c r="BB137" s="16">
        <f>AZ137-BA137</f>
        <v>94</v>
      </c>
      <c r="BC137" s="16"/>
      <c r="BD137" s="17"/>
      <c r="BE137" s="18">
        <v>2003</v>
      </c>
      <c r="BF137" s="21" t="s">
        <v>47</v>
      </c>
      <c r="BG137" s="15">
        <f>+MIT_Vic_Cap[[#This Row],[Trenes Puntuales]]/MIT_Vic_Cap[[#This Row],[Trenes Programados]]</f>
        <v>0.77151639344262291</v>
      </c>
      <c r="BH137" s="15">
        <f>+MIT_Vic_Cap[[#This Row],[Trenes Puntuales]]/MIT_Vic_Cap[[#This Row],[Trenes Corridos]]</f>
        <v>0.80277185501066095</v>
      </c>
      <c r="BI137" s="15">
        <f>+MIT_Vic_Cap[[#This Row],[Trenes Corridos]]/MIT_Vic_Cap[[#This Row],[Trenes Programados]]</f>
        <v>0.96106557377049184</v>
      </c>
      <c r="BJ137" s="16"/>
      <c r="BK137" s="16"/>
      <c r="BL137" s="16">
        <v>976</v>
      </c>
      <c r="BM137" s="16">
        <f>BL137-BN137</f>
        <v>38</v>
      </c>
      <c r="BN137" s="16">
        <v>938</v>
      </c>
      <c r="BO137" s="16">
        <v>753</v>
      </c>
      <c r="BP137" s="16">
        <f>BN137-BO137</f>
        <v>185</v>
      </c>
      <c r="BQ137" s="16"/>
      <c r="BR137" s="17"/>
      <c r="BS137" s="18">
        <v>2003</v>
      </c>
      <c r="BT137" s="21" t="s">
        <v>47</v>
      </c>
      <c r="BU137" s="15">
        <f>+Tabla8[[#This Row],[Trenes Puntuales]]/Tabla8[[#This Row],[Trenes Programados]]</f>
        <v>0.83995815899581594</v>
      </c>
      <c r="BV137" s="15">
        <f>+Tabla8[[#This Row],[Trenes Puntuales]]/Tabla8[[#This Row],[Trenes Corridos]]</f>
        <v>0.86158798283261806</v>
      </c>
      <c r="BW137" s="15">
        <f>+Tabla8[[#This Row],[Trenes Corridos]]/Tabla8[[#This Row],[Trenes Programados]]</f>
        <v>0.97489539748953979</v>
      </c>
      <c r="BX137" s="16"/>
      <c r="BY137" s="16"/>
      <c r="BZ137" s="16">
        <v>956</v>
      </c>
      <c r="CA137" s="16">
        <f>BZ137-CB137</f>
        <v>24</v>
      </c>
      <c r="CB137" s="16">
        <v>932</v>
      </c>
      <c r="CC137" s="16">
        <v>803</v>
      </c>
      <c r="CD137" s="16">
        <f>CB137-CC137</f>
        <v>129</v>
      </c>
      <c r="CI137" s="40"/>
      <c r="CJ137" s="40"/>
      <c r="CK137" s="40"/>
      <c r="CL137" s="40"/>
      <c r="CM137" s="40"/>
    </row>
    <row r="138" spans="1:91" s="18" customFormat="1" ht="15" customHeight="1">
      <c r="A138" s="18">
        <v>2004</v>
      </c>
      <c r="B138" s="21" t="s">
        <v>36</v>
      </c>
      <c r="C138" s="15">
        <f>+MITRE[[#This Row],[Trenes Puntuales]]/MITRE[[#This Row],[Trenes Programados]]</f>
        <v>0.93748375357421365</v>
      </c>
      <c r="D138" s="15">
        <f>+MITRE[[#This Row],[Trenes Puntuales]]/MITRE[[#This Row],[Trenes Corridos]]</f>
        <v>0.94758276405675246</v>
      </c>
      <c r="E138" s="15">
        <f>+MITRE[[#This Row],[Trenes Corridos]]/MITRE[[#This Row],[Trenes Programados]]</f>
        <v>0.98934234468416948</v>
      </c>
      <c r="F138" s="16">
        <f>+Tabla4[[#This Row],[Trenes Programados por Día Hábil]]+Tabla5[[#This Row],[Trenes Programados por Día Hábil]]+Tabla6[[#This Row],[Trenes Programados por Día Hábil]]+MIT_Vic_Cap[[#This Row],[Trenes Programados por Día Hábil]]+Tabla8[[#This Row],[Trenes Programados por Día Hábil]]</f>
        <v>0</v>
      </c>
      <c r="G13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8" s="16">
        <f t="shared" si="20"/>
        <v>15388</v>
      </c>
      <c r="I138" s="16">
        <f t="shared" si="21"/>
        <v>164</v>
      </c>
      <c r="J138" s="16">
        <f t="shared" si="22"/>
        <v>15224</v>
      </c>
      <c r="K138" s="16">
        <f t="shared" si="23"/>
        <v>14426</v>
      </c>
      <c r="L138" s="16">
        <f t="shared" si="24"/>
        <v>798</v>
      </c>
      <c r="M138" s="16"/>
      <c r="N138" s="17"/>
      <c r="O138" s="18">
        <v>2004</v>
      </c>
      <c r="P138" s="21" t="s">
        <v>36</v>
      </c>
      <c r="Q138" s="15">
        <f>+Tabla4[[#This Row],[Trenes Puntuales]]/Tabla4[[#This Row],[Trenes Programados]]</f>
        <v>0.9428819444444444</v>
      </c>
      <c r="R138" s="15">
        <f>+Tabla4[[#This Row],[Trenes Puntuales]]/Tabla4[[#This Row],[Trenes Corridos]]</f>
        <v>0.95263988773899311</v>
      </c>
      <c r="S138" s="15">
        <f>+Tabla4[[#This Row],[Trenes Corridos]]/Tabla4[[#This Row],[Trenes Programados]]</f>
        <v>0.9897569444444444</v>
      </c>
      <c r="T138" s="16"/>
      <c r="U138" s="16"/>
      <c r="V138" s="16">
        <v>5760</v>
      </c>
      <c r="W138" s="16">
        <f t="shared" si="25"/>
        <v>59</v>
      </c>
      <c r="X138" s="16">
        <v>5701</v>
      </c>
      <c r="Y138" s="16">
        <v>5431</v>
      </c>
      <c r="Z138" s="16">
        <f t="shared" ref="Z138:Z149" si="26">X138-Y138</f>
        <v>270</v>
      </c>
      <c r="AA138" s="16"/>
      <c r="AB138" s="17"/>
      <c r="AC138" s="18">
        <v>2004</v>
      </c>
      <c r="AD138" s="21" t="s">
        <v>36</v>
      </c>
      <c r="AE138" s="15">
        <f>+Tabla5[[#This Row],[Trenes Puntuales]]/Tabla5[[#This Row],[Trenes Programados]]</f>
        <v>0.96295464750785809</v>
      </c>
      <c r="AF138" s="15">
        <f>+Tabla5[[#This Row],[Trenes Puntuales]]/Tabla5[[#This Row],[Trenes Corridos]]</f>
        <v>0.97036199095022624</v>
      </c>
      <c r="AG138" s="15">
        <f>+Tabla5[[#This Row],[Trenes Corridos]]/Tabla5[[#This Row],[Trenes Programados]]</f>
        <v>0.99236641221374045</v>
      </c>
      <c r="AH138" s="16"/>
      <c r="AI138" s="16"/>
      <c r="AJ138" s="16">
        <v>4454</v>
      </c>
      <c r="AK138" s="16">
        <f t="shared" ref="AK138:AK149" si="27">AJ138-AL138</f>
        <v>34</v>
      </c>
      <c r="AL138" s="16">
        <v>4420</v>
      </c>
      <c r="AM138" s="16">
        <v>4289</v>
      </c>
      <c r="AN138" s="16">
        <f t="shared" ref="AN138:AN149" si="28">AL138-AM138</f>
        <v>131</v>
      </c>
      <c r="AO138" s="16"/>
      <c r="AP138" s="17"/>
      <c r="AQ138" s="18">
        <v>2004</v>
      </c>
      <c r="AR138" s="21" t="s">
        <v>36</v>
      </c>
      <c r="AS138" s="15">
        <f>+Tabla6[[#This Row],[Trenes Puntuales]]/Tabla6[[#This Row],[Trenes Programados]]</f>
        <v>0.97915370255133793</v>
      </c>
      <c r="AT138" s="15">
        <f>+Tabla6[[#This Row],[Trenes Puntuales]]/Tabla6[[#This Row],[Trenes Corridos]]</f>
        <v>0.98466833541927412</v>
      </c>
      <c r="AU138" s="15">
        <f>+Tabla6[[#This Row],[Trenes Corridos]]/Tabla6[[#This Row],[Trenes Programados]]</f>
        <v>0.99439950217797135</v>
      </c>
      <c r="AV138" s="16"/>
      <c r="AW138" s="16"/>
      <c r="AX138" s="16">
        <v>3214</v>
      </c>
      <c r="AY138" s="16">
        <f t="shared" ref="AY138:AY149" si="29">AX138-AZ138</f>
        <v>18</v>
      </c>
      <c r="AZ138" s="16">
        <v>3196</v>
      </c>
      <c r="BA138" s="16">
        <v>3147</v>
      </c>
      <c r="BB138" s="16">
        <f t="shared" ref="BB138:BB149" si="30">AZ138-BA138</f>
        <v>49</v>
      </c>
      <c r="BC138" s="16"/>
      <c r="BD138" s="17"/>
      <c r="BE138" s="18">
        <v>2004</v>
      </c>
      <c r="BF138" s="21" t="s">
        <v>36</v>
      </c>
      <c r="BG138" s="15">
        <f>+MIT_Vic_Cap[[#This Row],[Trenes Puntuales]]/MIT_Vic_Cap[[#This Row],[Trenes Programados]]</f>
        <v>0.71471471471471471</v>
      </c>
      <c r="BH138" s="15">
        <f>+MIT_Vic_Cap[[#This Row],[Trenes Puntuales]]/MIT_Vic_Cap[[#This Row],[Trenes Corridos]]</f>
        <v>0.74143302180685355</v>
      </c>
      <c r="BI138" s="15">
        <f>+MIT_Vic_Cap[[#This Row],[Trenes Corridos]]/MIT_Vic_Cap[[#This Row],[Trenes Programados]]</f>
        <v>0.963963963963964</v>
      </c>
      <c r="BJ138" s="16"/>
      <c r="BK138" s="16"/>
      <c r="BL138" s="16">
        <v>999</v>
      </c>
      <c r="BM138" s="16">
        <f t="shared" ref="BM138:BM149" si="31">BL138-BN138</f>
        <v>36</v>
      </c>
      <c r="BN138" s="16">
        <v>963</v>
      </c>
      <c r="BO138" s="16">
        <v>714</v>
      </c>
      <c r="BP138" s="16">
        <f t="shared" ref="BP138:BP149" si="32">BN138-BO138</f>
        <v>249</v>
      </c>
      <c r="BQ138" s="16"/>
      <c r="BR138" s="17"/>
      <c r="BS138" s="18">
        <v>2004</v>
      </c>
      <c r="BT138" s="21" t="s">
        <v>36</v>
      </c>
      <c r="BU138" s="15">
        <f>+Tabla8[[#This Row],[Trenes Puntuales]]/Tabla8[[#This Row],[Trenes Programados]]</f>
        <v>0.87929240374609785</v>
      </c>
      <c r="BV138" s="15">
        <f>+Tabla8[[#This Row],[Trenes Puntuales]]/Tabla8[[#This Row],[Trenes Corridos]]</f>
        <v>0.8951271186440678</v>
      </c>
      <c r="BW138" s="15">
        <f>+Tabla8[[#This Row],[Trenes Corridos]]/Tabla8[[#This Row],[Trenes Programados]]</f>
        <v>0.98231009365244537</v>
      </c>
      <c r="BX138" s="16"/>
      <c r="BY138" s="16"/>
      <c r="BZ138" s="16">
        <v>961</v>
      </c>
      <c r="CA138" s="16">
        <f t="shared" ref="CA138:CA149" si="33">BZ138-CB138</f>
        <v>17</v>
      </c>
      <c r="CB138" s="16">
        <v>944</v>
      </c>
      <c r="CC138" s="16">
        <v>845</v>
      </c>
      <c r="CD138" s="16">
        <f t="shared" ref="CD138:CD149" si="34">CB138-CC138</f>
        <v>99</v>
      </c>
      <c r="CI138" s="40"/>
      <c r="CJ138" s="40"/>
      <c r="CK138" s="40"/>
      <c r="CL138" s="40"/>
      <c r="CM138" s="40"/>
    </row>
    <row r="139" spans="1:91" s="18" customFormat="1" ht="15" customHeight="1">
      <c r="A139" s="18">
        <v>2004</v>
      </c>
      <c r="B139" s="21" t="s">
        <v>37</v>
      </c>
      <c r="C139" s="15">
        <f>+MITRE[[#This Row],[Trenes Puntuales]]/MITRE[[#This Row],[Trenes Programados]]</f>
        <v>0.9536290322580645</v>
      </c>
      <c r="D139" s="15">
        <f>+MITRE[[#This Row],[Trenes Puntuales]]/MITRE[[#This Row],[Trenes Corridos]]</f>
        <v>0.96037247076944621</v>
      </c>
      <c r="E139" s="15">
        <f>+MITRE[[#This Row],[Trenes Corridos]]/MITRE[[#This Row],[Trenes Programados]]</f>
        <v>0.99297830923248054</v>
      </c>
      <c r="F139" s="16">
        <f>+Tabla4[[#This Row],[Trenes Programados por Día Hábil]]+Tabla5[[#This Row],[Trenes Programados por Día Hábil]]+Tabla6[[#This Row],[Trenes Programados por Día Hábil]]+MIT_Vic_Cap[[#This Row],[Trenes Programados por Día Hábil]]+Tabla8[[#This Row],[Trenes Programados por Día Hábil]]</f>
        <v>0</v>
      </c>
      <c r="G13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9" s="16">
        <f t="shared" si="20"/>
        <v>14384</v>
      </c>
      <c r="I139" s="16">
        <f t="shared" si="21"/>
        <v>101</v>
      </c>
      <c r="J139" s="16">
        <f t="shared" si="22"/>
        <v>14283</v>
      </c>
      <c r="K139" s="16">
        <f t="shared" si="23"/>
        <v>13717</v>
      </c>
      <c r="L139" s="16">
        <f t="shared" si="24"/>
        <v>566</v>
      </c>
      <c r="M139" s="16"/>
      <c r="N139" s="17"/>
      <c r="O139" s="18">
        <v>2004</v>
      </c>
      <c r="P139" s="21" t="s">
        <v>37</v>
      </c>
      <c r="Q139" s="15">
        <f>+Tabla4[[#This Row],[Trenes Puntuales]]/Tabla4[[#This Row],[Trenes Programados]]</f>
        <v>0.94839428253202152</v>
      </c>
      <c r="R139" s="15">
        <f>+Tabla4[[#This Row],[Trenes Puntuales]]/Tabla4[[#This Row],[Trenes Corridos]]</f>
        <v>0.95406162464986</v>
      </c>
      <c r="S139" s="15">
        <f>+Tabla4[[#This Row],[Trenes Corridos]]/Tabla4[[#This Row],[Trenes Programados]]</f>
        <v>0.99405977352886576</v>
      </c>
      <c r="T139" s="16"/>
      <c r="U139" s="16"/>
      <c r="V139" s="16">
        <v>5387</v>
      </c>
      <c r="W139" s="16">
        <f t="shared" si="25"/>
        <v>32</v>
      </c>
      <c r="X139" s="16">
        <v>5355</v>
      </c>
      <c r="Y139" s="16">
        <v>5109</v>
      </c>
      <c r="Z139" s="16">
        <f t="shared" si="26"/>
        <v>246</v>
      </c>
      <c r="AA139" s="16"/>
      <c r="AB139" s="17"/>
      <c r="AC139" s="18">
        <v>2004</v>
      </c>
      <c r="AD139" s="21" t="s">
        <v>37</v>
      </c>
      <c r="AE139" s="15">
        <f>+Tabla5[[#This Row],[Trenes Puntuales]]/Tabla5[[#This Row],[Trenes Programados]]</f>
        <v>0.96947849074741643</v>
      </c>
      <c r="AF139" s="15">
        <f>+Tabla5[[#This Row],[Trenes Puntuales]]/Tabla5[[#This Row],[Trenes Corridos]]</f>
        <v>0.97651900266279357</v>
      </c>
      <c r="AG139" s="15">
        <f>+Tabla5[[#This Row],[Trenes Corridos]]/Tabla5[[#This Row],[Trenes Programados]]</f>
        <v>0.99279019466474405</v>
      </c>
      <c r="AH139" s="16"/>
      <c r="AI139" s="16"/>
      <c r="AJ139" s="16">
        <v>4161</v>
      </c>
      <c r="AK139" s="16">
        <f t="shared" si="27"/>
        <v>30</v>
      </c>
      <c r="AL139" s="16">
        <v>4131</v>
      </c>
      <c r="AM139" s="16">
        <v>4034</v>
      </c>
      <c r="AN139" s="16">
        <f t="shared" si="28"/>
        <v>97</v>
      </c>
      <c r="AO139" s="16"/>
      <c r="AP139" s="17"/>
      <c r="AQ139" s="18">
        <v>2004</v>
      </c>
      <c r="AR139" s="21" t="s">
        <v>37</v>
      </c>
      <c r="AS139" s="15">
        <f>+Tabla6[[#This Row],[Trenes Puntuales]]/Tabla6[[#This Row],[Trenes Programados]]</f>
        <v>0.9853479853479854</v>
      </c>
      <c r="AT139" s="15">
        <f>+Tabla6[[#This Row],[Trenes Puntuales]]/Tabla6[[#This Row],[Trenes Corridos]]</f>
        <v>0.98963210702341142</v>
      </c>
      <c r="AU139" s="15">
        <f>+Tabla6[[#This Row],[Trenes Corridos]]/Tabla6[[#This Row],[Trenes Programados]]</f>
        <v>0.99567099567099571</v>
      </c>
      <c r="AV139" s="16"/>
      <c r="AW139" s="16"/>
      <c r="AX139" s="16">
        <v>3003</v>
      </c>
      <c r="AY139" s="16">
        <f t="shared" si="29"/>
        <v>13</v>
      </c>
      <c r="AZ139" s="16">
        <v>2990</v>
      </c>
      <c r="BA139" s="16">
        <v>2959</v>
      </c>
      <c r="BB139" s="16">
        <f t="shared" si="30"/>
        <v>31</v>
      </c>
      <c r="BC139" s="16"/>
      <c r="BD139" s="17"/>
      <c r="BE139" s="18">
        <v>2004</v>
      </c>
      <c r="BF139" s="21" t="s">
        <v>37</v>
      </c>
      <c r="BG139" s="15">
        <f>+MIT_Vic_Cap[[#This Row],[Trenes Puntuales]]/MIT_Vic_Cap[[#This Row],[Trenes Programados]]</f>
        <v>0.84640171858216973</v>
      </c>
      <c r="BH139" s="15">
        <f>+MIT_Vic_Cap[[#This Row],[Trenes Puntuales]]/MIT_Vic_Cap[[#This Row],[Trenes Corridos]]</f>
        <v>0.86403508771929827</v>
      </c>
      <c r="BI139" s="15">
        <f>+MIT_Vic_Cap[[#This Row],[Trenes Corridos]]/MIT_Vic_Cap[[#This Row],[Trenes Programados]]</f>
        <v>0.97959183673469385</v>
      </c>
      <c r="BJ139" s="16"/>
      <c r="BK139" s="16"/>
      <c r="BL139" s="16">
        <v>931</v>
      </c>
      <c r="BM139" s="16">
        <f t="shared" si="31"/>
        <v>19</v>
      </c>
      <c r="BN139" s="16">
        <v>912</v>
      </c>
      <c r="BO139" s="16">
        <v>788</v>
      </c>
      <c r="BP139" s="16">
        <f t="shared" si="32"/>
        <v>124</v>
      </c>
      <c r="BQ139" s="16"/>
      <c r="BR139" s="17"/>
      <c r="BS139" s="18">
        <v>2004</v>
      </c>
      <c r="BT139" s="21" t="s">
        <v>37</v>
      </c>
      <c r="BU139" s="15">
        <f>+Tabla8[[#This Row],[Trenes Puntuales]]/Tabla8[[#This Row],[Trenes Programados]]</f>
        <v>0.91685144124168516</v>
      </c>
      <c r="BV139" s="15">
        <f>+Tabla8[[#This Row],[Trenes Puntuales]]/Tabla8[[#This Row],[Trenes Corridos]]</f>
        <v>0.92402234636871505</v>
      </c>
      <c r="BW139" s="15">
        <f>+Tabla8[[#This Row],[Trenes Corridos]]/Tabla8[[#This Row],[Trenes Programados]]</f>
        <v>0.9922394678492239</v>
      </c>
      <c r="BX139" s="16"/>
      <c r="BY139" s="16"/>
      <c r="BZ139" s="16">
        <v>902</v>
      </c>
      <c r="CA139" s="16">
        <f t="shared" si="33"/>
        <v>7</v>
      </c>
      <c r="CB139" s="16">
        <v>895</v>
      </c>
      <c r="CC139" s="16">
        <v>827</v>
      </c>
      <c r="CD139" s="16">
        <f t="shared" si="34"/>
        <v>68</v>
      </c>
      <c r="CI139" s="40"/>
      <c r="CJ139" s="40"/>
      <c r="CK139" s="40"/>
      <c r="CL139" s="40"/>
      <c r="CM139" s="40"/>
    </row>
    <row r="140" spans="1:91" s="18" customFormat="1" ht="15" customHeight="1">
      <c r="A140" s="18">
        <v>2004</v>
      </c>
      <c r="B140" s="21" t="s">
        <v>38</v>
      </c>
      <c r="C140" s="15">
        <f>+MITRE[[#This Row],[Trenes Puntuales]]/MITRE[[#This Row],[Trenes Programados]]</f>
        <v>0.87218332272437937</v>
      </c>
      <c r="D140" s="15">
        <f>+MITRE[[#This Row],[Trenes Puntuales]]/MITRE[[#This Row],[Trenes Corridos]]</f>
        <v>0.89526298595230314</v>
      </c>
      <c r="E140" s="15">
        <f>+MITRE[[#This Row],[Trenes Corridos]]/MITRE[[#This Row],[Trenes Programados]]</f>
        <v>0.97422024188415024</v>
      </c>
      <c r="F140" s="16">
        <f>+Tabla4[[#This Row],[Trenes Programados por Día Hábil]]+Tabla5[[#This Row],[Trenes Programados por Día Hábil]]+Tabla6[[#This Row],[Trenes Programados por Día Hábil]]+MIT_Vic_Cap[[#This Row],[Trenes Programados por Día Hábil]]+Tabla8[[#This Row],[Trenes Programados por Día Hábil]]</f>
        <v>0</v>
      </c>
      <c r="G14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0" s="16">
        <f t="shared" si="20"/>
        <v>15710</v>
      </c>
      <c r="I140" s="16">
        <f t="shared" si="21"/>
        <v>405</v>
      </c>
      <c r="J140" s="16">
        <f t="shared" si="22"/>
        <v>15305</v>
      </c>
      <c r="K140" s="16">
        <f t="shared" si="23"/>
        <v>13702</v>
      </c>
      <c r="L140" s="16">
        <f t="shared" si="24"/>
        <v>1603</v>
      </c>
      <c r="M140" s="16"/>
      <c r="N140" s="17"/>
      <c r="O140" s="18">
        <v>2004</v>
      </c>
      <c r="P140" s="21" t="s">
        <v>38</v>
      </c>
      <c r="Q140" s="15">
        <f>+Tabla4[[#This Row],[Trenes Puntuales]]/Tabla4[[#This Row],[Trenes Programados]]</f>
        <v>0.85131935047361296</v>
      </c>
      <c r="R140" s="15">
        <f>+Tabla4[[#This Row],[Trenes Puntuales]]/Tabla4[[#This Row],[Trenes Corridos]]</f>
        <v>0.87728778107024574</v>
      </c>
      <c r="S140" s="15">
        <f>+Tabla4[[#This Row],[Trenes Corridos]]/Tabla4[[#This Row],[Trenes Programados]]</f>
        <v>0.9703991880920162</v>
      </c>
      <c r="T140" s="16"/>
      <c r="U140" s="16"/>
      <c r="V140" s="16">
        <v>5912</v>
      </c>
      <c r="W140" s="16">
        <f t="shared" si="25"/>
        <v>175</v>
      </c>
      <c r="X140" s="16">
        <v>5737</v>
      </c>
      <c r="Y140" s="16">
        <v>5033</v>
      </c>
      <c r="Z140" s="16">
        <f t="shared" si="26"/>
        <v>704</v>
      </c>
      <c r="AA140" s="16"/>
      <c r="AB140" s="17"/>
      <c r="AC140" s="18">
        <v>2004</v>
      </c>
      <c r="AD140" s="21" t="s">
        <v>38</v>
      </c>
      <c r="AE140" s="15">
        <f>+Tabla5[[#This Row],[Trenes Puntuales]]/Tabla5[[#This Row],[Trenes Programados]]</f>
        <v>0.90789184436139814</v>
      </c>
      <c r="AF140" s="15">
        <f>+Tabla5[[#This Row],[Trenes Puntuales]]/Tabla5[[#This Row],[Trenes Corridos]]</f>
        <v>0.92497200447928329</v>
      </c>
      <c r="AG140" s="15">
        <f>+Tabla5[[#This Row],[Trenes Corridos]]/Tabla5[[#This Row],[Trenes Programados]]</f>
        <v>0.98153440316553087</v>
      </c>
      <c r="AH140" s="16"/>
      <c r="AI140" s="16"/>
      <c r="AJ140" s="16">
        <v>4549</v>
      </c>
      <c r="AK140" s="16">
        <f t="shared" si="27"/>
        <v>84</v>
      </c>
      <c r="AL140" s="16">
        <v>4465</v>
      </c>
      <c r="AM140" s="16">
        <v>4130</v>
      </c>
      <c r="AN140" s="16">
        <f t="shared" si="28"/>
        <v>335</v>
      </c>
      <c r="AO140" s="16"/>
      <c r="AP140" s="17"/>
      <c r="AQ140" s="18">
        <v>2004</v>
      </c>
      <c r="AR140" s="21" t="s">
        <v>38</v>
      </c>
      <c r="AS140" s="15">
        <f>+Tabla6[[#This Row],[Trenes Puntuales]]/Tabla6[[#This Row],[Trenes Programados]]</f>
        <v>0.93932861102556209</v>
      </c>
      <c r="AT140" s="15">
        <f>+Tabla6[[#This Row],[Trenes Puntuales]]/Tabla6[[#This Row],[Trenes Corridos]]</f>
        <v>0.95461658841940533</v>
      </c>
      <c r="AU140" s="15">
        <f>+Tabla6[[#This Row],[Trenes Corridos]]/Tabla6[[#This Row],[Trenes Programados]]</f>
        <v>0.98398521712349862</v>
      </c>
      <c r="AV140" s="16"/>
      <c r="AW140" s="16"/>
      <c r="AX140" s="16">
        <v>3247</v>
      </c>
      <c r="AY140" s="16">
        <f t="shared" si="29"/>
        <v>52</v>
      </c>
      <c r="AZ140" s="16">
        <v>3195</v>
      </c>
      <c r="BA140" s="16">
        <v>3050</v>
      </c>
      <c r="BB140" s="16">
        <f t="shared" si="30"/>
        <v>145</v>
      </c>
      <c r="BC140" s="16"/>
      <c r="BD140" s="17"/>
      <c r="BE140" s="18">
        <v>2004</v>
      </c>
      <c r="BF140" s="21" t="s">
        <v>38</v>
      </c>
      <c r="BG140" s="15">
        <f>+MIT_Vic_Cap[[#This Row],[Trenes Puntuales]]/MIT_Vic_Cap[[#This Row],[Trenes Programados]]</f>
        <v>0.72475247524752473</v>
      </c>
      <c r="BH140" s="15">
        <f>+MIT_Vic_Cap[[#This Row],[Trenes Puntuales]]/MIT_Vic_Cap[[#This Row],[Trenes Corridos]]</f>
        <v>0.75619834710743805</v>
      </c>
      <c r="BI140" s="15">
        <f>+MIT_Vic_Cap[[#This Row],[Trenes Corridos]]/MIT_Vic_Cap[[#This Row],[Trenes Programados]]</f>
        <v>0.95841584158415838</v>
      </c>
      <c r="BJ140" s="16"/>
      <c r="BK140" s="16"/>
      <c r="BL140" s="16">
        <v>1010</v>
      </c>
      <c r="BM140" s="16">
        <f t="shared" si="31"/>
        <v>42</v>
      </c>
      <c r="BN140" s="16">
        <v>968</v>
      </c>
      <c r="BO140" s="16">
        <v>732</v>
      </c>
      <c r="BP140" s="16">
        <f t="shared" si="32"/>
        <v>236</v>
      </c>
      <c r="BQ140" s="16"/>
      <c r="BR140" s="17"/>
      <c r="BS140" s="18">
        <v>2004</v>
      </c>
      <c r="BT140" s="21" t="s">
        <v>38</v>
      </c>
      <c r="BU140" s="15">
        <f>+Tabla8[[#This Row],[Trenes Puntuales]]/Tabla8[[#This Row],[Trenes Programados]]</f>
        <v>0.76310483870967738</v>
      </c>
      <c r="BV140" s="15">
        <f>+Tabla8[[#This Row],[Trenes Puntuales]]/Tabla8[[#This Row],[Trenes Corridos]]</f>
        <v>0.80531914893617018</v>
      </c>
      <c r="BW140" s="15">
        <f>+Tabla8[[#This Row],[Trenes Corridos]]/Tabla8[[#This Row],[Trenes Programados]]</f>
        <v>0.94758064516129037</v>
      </c>
      <c r="BX140" s="16"/>
      <c r="BY140" s="16"/>
      <c r="BZ140" s="16">
        <v>992</v>
      </c>
      <c r="CA140" s="16">
        <f t="shared" si="33"/>
        <v>52</v>
      </c>
      <c r="CB140" s="16">
        <v>940</v>
      </c>
      <c r="CC140" s="16">
        <v>757</v>
      </c>
      <c r="CD140" s="16">
        <f t="shared" si="34"/>
        <v>183</v>
      </c>
      <c r="CI140" s="40"/>
      <c r="CJ140" s="40"/>
      <c r="CK140" s="40"/>
      <c r="CL140" s="40"/>
      <c r="CM140" s="40"/>
    </row>
    <row r="141" spans="1:91" s="18" customFormat="1" ht="15" customHeight="1">
      <c r="A141" s="18">
        <v>2004</v>
      </c>
      <c r="B141" s="21" t="s">
        <v>39</v>
      </c>
      <c r="C141" s="15">
        <f>+MITRE[[#This Row],[Trenes Puntuales]]/MITRE[[#This Row],[Trenes Programados]]</f>
        <v>0.87399904181780852</v>
      </c>
      <c r="D141" s="15">
        <f>+MITRE[[#This Row],[Trenes Puntuales]]/MITRE[[#This Row],[Trenes Corridos]]</f>
        <v>0.89488437281009114</v>
      </c>
      <c r="E141" s="15">
        <f>+MITRE[[#This Row],[Trenes Corridos]]/MITRE[[#This Row],[Trenes Programados]]</f>
        <v>0.97666141947847507</v>
      </c>
      <c r="F141" s="16">
        <f>+Tabla4[[#This Row],[Trenes Programados por Día Hábil]]+Tabla5[[#This Row],[Trenes Programados por Día Hábil]]+Tabla6[[#This Row],[Trenes Programados por Día Hábil]]+MIT_Vic_Cap[[#This Row],[Trenes Programados por Día Hábil]]+Tabla8[[#This Row],[Trenes Programados por Día Hábil]]</f>
        <v>0</v>
      </c>
      <c r="G14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1" s="16">
        <f t="shared" si="20"/>
        <v>14611</v>
      </c>
      <c r="I141" s="16">
        <f t="shared" si="21"/>
        <v>341</v>
      </c>
      <c r="J141" s="16">
        <f t="shared" si="22"/>
        <v>14270</v>
      </c>
      <c r="K141" s="16">
        <f t="shared" si="23"/>
        <v>12770</v>
      </c>
      <c r="L141" s="16">
        <f t="shared" si="24"/>
        <v>1500</v>
      </c>
      <c r="M141" s="16"/>
      <c r="N141" s="17"/>
      <c r="O141" s="18">
        <v>2004</v>
      </c>
      <c r="P141" s="21" t="s">
        <v>39</v>
      </c>
      <c r="Q141" s="15">
        <f>+Tabla4[[#This Row],[Trenes Puntuales]]/Tabla4[[#This Row],[Trenes Programados]]</f>
        <v>0.8073815644509732</v>
      </c>
      <c r="R141" s="15">
        <f>+Tabla4[[#This Row],[Trenes Puntuales]]/Tabla4[[#This Row],[Trenes Corridos]]</f>
        <v>0.84444017668523141</v>
      </c>
      <c r="S141" s="15">
        <f>+Tabla4[[#This Row],[Trenes Corridos]]/Tabla4[[#This Row],[Trenes Programados]]</f>
        <v>0.95611457950789569</v>
      </c>
      <c r="T141" s="16"/>
      <c r="U141" s="16"/>
      <c r="V141" s="16">
        <v>5446</v>
      </c>
      <c r="W141" s="16">
        <f t="shared" si="25"/>
        <v>239</v>
      </c>
      <c r="X141" s="16">
        <v>5207</v>
      </c>
      <c r="Y141" s="16">
        <v>4397</v>
      </c>
      <c r="Z141" s="16">
        <f t="shared" si="26"/>
        <v>810</v>
      </c>
      <c r="AA141" s="16"/>
      <c r="AB141" s="17"/>
      <c r="AC141" s="18">
        <v>2004</v>
      </c>
      <c r="AD141" s="21" t="s">
        <v>39</v>
      </c>
      <c r="AE141" s="15">
        <f>+Tabla5[[#This Row],[Trenes Puntuales]]/Tabla5[[#This Row],[Trenes Programados]]</f>
        <v>0.9443786982248521</v>
      </c>
      <c r="AF141" s="15">
        <f>+Tabla5[[#This Row],[Trenes Puntuales]]/Tabla5[[#This Row],[Trenes Corridos]]</f>
        <v>0.9484193011647255</v>
      </c>
      <c r="AG141" s="15">
        <f>+Tabla5[[#This Row],[Trenes Corridos]]/Tabla5[[#This Row],[Trenes Programados]]</f>
        <v>0.99573964497041423</v>
      </c>
      <c r="AH141" s="16"/>
      <c r="AI141" s="16"/>
      <c r="AJ141" s="16">
        <v>4225</v>
      </c>
      <c r="AK141" s="16">
        <f t="shared" si="27"/>
        <v>18</v>
      </c>
      <c r="AL141" s="16">
        <v>4207</v>
      </c>
      <c r="AM141" s="16">
        <v>3990</v>
      </c>
      <c r="AN141" s="16">
        <f t="shared" si="28"/>
        <v>217</v>
      </c>
      <c r="AO141" s="16"/>
      <c r="AP141" s="17"/>
      <c r="AQ141" s="18">
        <v>2004</v>
      </c>
      <c r="AR141" s="21" t="s">
        <v>39</v>
      </c>
      <c r="AS141" s="15">
        <f>+Tabla6[[#This Row],[Trenes Puntuales]]/Tabla6[[#This Row],[Trenes Programados]]</f>
        <v>0.95940240337772009</v>
      </c>
      <c r="AT141" s="15">
        <f>+Tabla6[[#This Row],[Trenes Puntuales]]/Tabla6[[#This Row],[Trenes Corridos]]</f>
        <v>0.96693944353518824</v>
      </c>
      <c r="AU141" s="15">
        <f>+Tabla6[[#This Row],[Trenes Corridos]]/Tabla6[[#This Row],[Trenes Programados]]</f>
        <v>0.99220526144852228</v>
      </c>
      <c r="AV141" s="16"/>
      <c r="AW141" s="16"/>
      <c r="AX141" s="16">
        <v>3079</v>
      </c>
      <c r="AY141" s="16">
        <f t="shared" si="29"/>
        <v>24</v>
      </c>
      <c r="AZ141" s="16">
        <v>3055</v>
      </c>
      <c r="BA141" s="16">
        <v>2954</v>
      </c>
      <c r="BB141" s="16">
        <f t="shared" si="30"/>
        <v>101</v>
      </c>
      <c r="BC141" s="16"/>
      <c r="BD141" s="17"/>
      <c r="BE141" s="18">
        <v>2004</v>
      </c>
      <c r="BF141" s="21" t="s">
        <v>39</v>
      </c>
      <c r="BG141" s="15">
        <f>+MIT_Vic_Cap[[#This Row],[Trenes Puntuales]]/MIT_Vic_Cap[[#This Row],[Trenes Programados]]</f>
        <v>0.71698113207547165</v>
      </c>
      <c r="BH141" s="15">
        <f>+MIT_Vic_Cap[[#This Row],[Trenes Puntuales]]/MIT_Vic_Cap[[#This Row],[Trenes Corridos]]</f>
        <v>0.74754098360655741</v>
      </c>
      <c r="BI141" s="15">
        <f>+MIT_Vic_Cap[[#This Row],[Trenes Corridos]]/MIT_Vic_Cap[[#This Row],[Trenes Programados]]</f>
        <v>0.95911949685534592</v>
      </c>
      <c r="BJ141" s="16"/>
      <c r="BK141" s="16"/>
      <c r="BL141" s="16">
        <v>954</v>
      </c>
      <c r="BM141" s="16">
        <f t="shared" si="31"/>
        <v>39</v>
      </c>
      <c r="BN141" s="16">
        <v>915</v>
      </c>
      <c r="BO141" s="16">
        <v>684</v>
      </c>
      <c r="BP141" s="16">
        <f t="shared" si="32"/>
        <v>231</v>
      </c>
      <c r="BQ141" s="16"/>
      <c r="BR141" s="17"/>
      <c r="BS141" s="18">
        <v>2004</v>
      </c>
      <c r="BT141" s="21" t="s">
        <v>39</v>
      </c>
      <c r="BU141" s="15">
        <f>+Tabla8[[#This Row],[Trenes Puntuales]]/Tabla8[[#This Row],[Trenes Programados]]</f>
        <v>0.82138919514884234</v>
      </c>
      <c r="BV141" s="15">
        <f>+Tabla8[[#This Row],[Trenes Puntuales]]/Tabla8[[#This Row],[Trenes Corridos]]</f>
        <v>0.84085778781038378</v>
      </c>
      <c r="BW141" s="15">
        <f>+Tabla8[[#This Row],[Trenes Corridos]]/Tabla8[[#This Row],[Trenes Programados]]</f>
        <v>0.97684674751929434</v>
      </c>
      <c r="BX141" s="16"/>
      <c r="BY141" s="16"/>
      <c r="BZ141" s="16">
        <v>907</v>
      </c>
      <c r="CA141" s="16">
        <f t="shared" si="33"/>
        <v>21</v>
      </c>
      <c r="CB141" s="16">
        <v>886</v>
      </c>
      <c r="CC141" s="16">
        <v>745</v>
      </c>
      <c r="CD141" s="16">
        <f t="shared" si="34"/>
        <v>141</v>
      </c>
      <c r="CI141" s="40"/>
      <c r="CJ141" s="40"/>
      <c r="CK141" s="40"/>
      <c r="CL141" s="40"/>
      <c r="CM141" s="40"/>
    </row>
    <row r="142" spans="1:91" s="18" customFormat="1" ht="15" customHeight="1">
      <c r="A142" s="18">
        <v>2004</v>
      </c>
      <c r="B142" s="21" t="s">
        <v>40</v>
      </c>
      <c r="C142" s="15">
        <f>+MITRE[[#This Row],[Trenes Puntuales]]/MITRE[[#This Row],[Trenes Programados]]</f>
        <v>0.92186876081458802</v>
      </c>
      <c r="D142" s="15">
        <f>+MITRE[[#This Row],[Trenes Puntuales]]/MITRE[[#This Row],[Trenes Corridos]]</f>
        <v>0.93323452132318263</v>
      </c>
      <c r="E142" s="15">
        <f>+MITRE[[#This Row],[Trenes Corridos]]/MITRE[[#This Row],[Trenes Programados]]</f>
        <v>0.98782111007586848</v>
      </c>
      <c r="F142" s="16">
        <f>+Tabla4[[#This Row],[Trenes Programados por Día Hábil]]+Tabla5[[#This Row],[Trenes Programados por Día Hábil]]+Tabla6[[#This Row],[Trenes Programados por Día Hábil]]+MIT_Vic_Cap[[#This Row],[Trenes Programados por Día Hábil]]+Tabla8[[#This Row],[Trenes Programados por Día Hábil]]</f>
        <v>0</v>
      </c>
      <c r="G14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2" s="16">
        <f t="shared" si="20"/>
        <v>15026</v>
      </c>
      <c r="I142" s="16">
        <f t="shared" si="21"/>
        <v>183</v>
      </c>
      <c r="J142" s="16">
        <f t="shared" si="22"/>
        <v>14843</v>
      </c>
      <c r="K142" s="16">
        <f t="shared" si="23"/>
        <v>13852</v>
      </c>
      <c r="L142" s="16">
        <f t="shared" si="24"/>
        <v>991</v>
      </c>
      <c r="M142" s="16"/>
      <c r="N142" s="17"/>
      <c r="O142" s="18">
        <v>2004</v>
      </c>
      <c r="P142" s="21" t="s">
        <v>40</v>
      </c>
      <c r="Q142" s="15">
        <f>+Tabla4[[#This Row],[Trenes Puntuales]]/Tabla4[[#This Row],[Trenes Programados]]</f>
        <v>0.91807960021417101</v>
      </c>
      <c r="R142" s="15">
        <f>+Tabla4[[#This Row],[Trenes Puntuales]]/Tabla4[[#This Row],[Trenes Corridos]]</f>
        <v>0.93070381762258003</v>
      </c>
      <c r="S142" s="15">
        <f>+Tabla4[[#This Row],[Trenes Corridos]]/Tabla4[[#This Row],[Trenes Programados]]</f>
        <v>0.98643583794395862</v>
      </c>
      <c r="T142" s="16"/>
      <c r="U142" s="16"/>
      <c r="V142" s="16">
        <v>5603</v>
      </c>
      <c r="W142" s="16">
        <f t="shared" si="25"/>
        <v>76</v>
      </c>
      <c r="X142" s="16">
        <v>5527</v>
      </c>
      <c r="Y142" s="16">
        <v>5144</v>
      </c>
      <c r="Z142" s="16">
        <f t="shared" si="26"/>
        <v>383</v>
      </c>
      <c r="AA142" s="16"/>
      <c r="AB142" s="17"/>
      <c r="AC142" s="18">
        <v>2004</v>
      </c>
      <c r="AD142" s="21" t="s">
        <v>40</v>
      </c>
      <c r="AE142" s="15">
        <f>+Tabla5[[#This Row],[Trenes Puntuales]]/Tabla5[[#This Row],[Trenes Programados]]</f>
        <v>0.96220327264346628</v>
      </c>
      <c r="AF142" s="15">
        <f>+Tabla5[[#This Row],[Trenes Puntuales]]/Tabla5[[#This Row],[Trenes Corridos]]</f>
        <v>0.96531791907514453</v>
      </c>
      <c r="AG142" s="15">
        <f>+Tabla5[[#This Row],[Trenes Corridos]]/Tabla5[[#This Row],[Trenes Programados]]</f>
        <v>0.99677345010371055</v>
      </c>
      <c r="AH142" s="16"/>
      <c r="AI142" s="16"/>
      <c r="AJ142" s="16">
        <v>4339</v>
      </c>
      <c r="AK142" s="16">
        <f t="shared" si="27"/>
        <v>14</v>
      </c>
      <c r="AL142" s="16">
        <v>4325</v>
      </c>
      <c r="AM142" s="16">
        <v>4175</v>
      </c>
      <c r="AN142" s="16">
        <f t="shared" si="28"/>
        <v>150</v>
      </c>
      <c r="AO142" s="16"/>
      <c r="AP142" s="17"/>
      <c r="AQ142" s="18">
        <v>2004</v>
      </c>
      <c r="AR142" s="21" t="s">
        <v>40</v>
      </c>
      <c r="AS142" s="15">
        <f>+Tabla6[[#This Row],[Trenes Puntuales]]/Tabla6[[#This Row],[Trenes Programados]]</f>
        <v>0.97727989902177348</v>
      </c>
      <c r="AT142" s="15">
        <f>+Tabla6[[#This Row],[Trenes Puntuales]]/Tabla6[[#This Row],[Trenes Corridos]]</f>
        <v>0.98223913732952739</v>
      </c>
      <c r="AU142" s="15">
        <f>+Tabla6[[#This Row],[Trenes Corridos]]/Tabla6[[#This Row],[Trenes Programados]]</f>
        <v>0.99495108867150517</v>
      </c>
      <c r="AV142" s="16"/>
      <c r="AW142" s="16"/>
      <c r="AX142" s="16">
        <v>3169</v>
      </c>
      <c r="AY142" s="16">
        <f t="shared" si="29"/>
        <v>16</v>
      </c>
      <c r="AZ142" s="16">
        <v>3153</v>
      </c>
      <c r="BA142" s="16">
        <v>3097</v>
      </c>
      <c r="BB142" s="16">
        <f t="shared" si="30"/>
        <v>56</v>
      </c>
      <c r="BC142" s="16"/>
      <c r="BD142" s="17"/>
      <c r="BE142" s="18">
        <v>2004</v>
      </c>
      <c r="BF142" s="21" t="s">
        <v>40</v>
      </c>
      <c r="BG142" s="15">
        <f>+MIT_Vic_Cap[[#This Row],[Trenes Puntuales]]/MIT_Vic_Cap[[#This Row],[Trenes Programados]]</f>
        <v>0.73387922210849543</v>
      </c>
      <c r="BH142" s="15">
        <f>+MIT_Vic_Cap[[#This Row],[Trenes Puntuales]]/MIT_Vic_Cap[[#This Row],[Trenes Corridos]]</f>
        <v>0.76766595289079231</v>
      </c>
      <c r="BI142" s="15">
        <f>+MIT_Vic_Cap[[#This Row],[Trenes Corridos]]/MIT_Vic_Cap[[#This Row],[Trenes Programados]]</f>
        <v>0.95598771750255884</v>
      </c>
      <c r="BJ142" s="16"/>
      <c r="BK142" s="16"/>
      <c r="BL142" s="16">
        <v>977</v>
      </c>
      <c r="BM142" s="16">
        <f t="shared" si="31"/>
        <v>43</v>
      </c>
      <c r="BN142" s="16">
        <v>934</v>
      </c>
      <c r="BO142" s="16">
        <v>717</v>
      </c>
      <c r="BP142" s="16">
        <f t="shared" si="32"/>
        <v>217</v>
      </c>
      <c r="BQ142" s="16"/>
      <c r="BR142" s="17"/>
      <c r="BS142" s="18">
        <v>2004</v>
      </c>
      <c r="BT142" s="21" t="s">
        <v>40</v>
      </c>
      <c r="BU142" s="15">
        <f>+Tabla8[[#This Row],[Trenes Puntuales]]/Tabla8[[#This Row],[Trenes Programados]]</f>
        <v>0.76652452025586348</v>
      </c>
      <c r="BV142" s="15">
        <f>+Tabla8[[#This Row],[Trenes Puntuales]]/Tabla8[[#This Row],[Trenes Corridos]]</f>
        <v>0.79535398230088494</v>
      </c>
      <c r="BW142" s="15">
        <f>+Tabla8[[#This Row],[Trenes Corridos]]/Tabla8[[#This Row],[Trenes Programados]]</f>
        <v>0.96375266524520253</v>
      </c>
      <c r="BX142" s="16"/>
      <c r="BY142" s="16"/>
      <c r="BZ142" s="16">
        <v>938</v>
      </c>
      <c r="CA142" s="16">
        <f t="shared" si="33"/>
        <v>34</v>
      </c>
      <c r="CB142" s="16">
        <v>904</v>
      </c>
      <c r="CC142" s="16">
        <v>719</v>
      </c>
      <c r="CD142" s="16">
        <f t="shared" si="34"/>
        <v>185</v>
      </c>
      <c r="CI142" s="40"/>
      <c r="CJ142" s="40"/>
      <c r="CK142" s="40"/>
      <c r="CL142" s="40"/>
      <c r="CM142" s="40"/>
    </row>
    <row r="143" spans="1:91" s="18" customFormat="1" ht="15" customHeight="1">
      <c r="A143" s="18">
        <v>2004</v>
      </c>
      <c r="B143" s="21" t="s">
        <v>41</v>
      </c>
      <c r="C143" s="15">
        <f>+MITRE[[#This Row],[Trenes Puntuales]]/MITRE[[#This Row],[Trenes Programados]]</f>
        <v>0.9251942137690865</v>
      </c>
      <c r="D143" s="15">
        <f>+MITRE[[#This Row],[Trenes Puntuales]]/MITRE[[#This Row],[Trenes Corridos]]</f>
        <v>0.93584880097547762</v>
      </c>
      <c r="E143" s="15">
        <f>+MITRE[[#This Row],[Trenes Corridos]]/MITRE[[#This Row],[Trenes Programados]]</f>
        <v>0.98861505491561752</v>
      </c>
      <c r="F143" s="16">
        <f>+Tabla4[[#This Row],[Trenes Programados por Día Hábil]]+Tabla5[[#This Row],[Trenes Programados por Día Hábil]]+Tabla6[[#This Row],[Trenes Programados por Día Hábil]]+MIT_Vic_Cap[[#This Row],[Trenes Programados por Día Hábil]]+Tabla8[[#This Row],[Trenes Programados por Día Hábil]]</f>
        <v>0</v>
      </c>
      <c r="G14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3" s="16">
        <f t="shared" si="20"/>
        <v>14932</v>
      </c>
      <c r="I143" s="16">
        <f t="shared" si="21"/>
        <v>170</v>
      </c>
      <c r="J143" s="16">
        <f t="shared" si="22"/>
        <v>14762</v>
      </c>
      <c r="K143" s="16">
        <f t="shared" si="23"/>
        <v>13815</v>
      </c>
      <c r="L143" s="16">
        <f t="shared" si="24"/>
        <v>947</v>
      </c>
      <c r="M143" s="16"/>
      <c r="N143" s="17"/>
      <c r="O143" s="18">
        <v>2004</v>
      </c>
      <c r="P143" s="21" t="s">
        <v>41</v>
      </c>
      <c r="Q143" s="15">
        <f>+Tabla4[[#This Row],[Trenes Puntuales]]/Tabla4[[#This Row],[Trenes Programados]]</f>
        <v>0.91942111845631591</v>
      </c>
      <c r="R143" s="15">
        <f>+Tabla4[[#This Row],[Trenes Puntuales]]/Tabla4[[#This Row],[Trenes Corridos]]</f>
        <v>0.93241529262547562</v>
      </c>
      <c r="S143" s="15">
        <f>+Tabla4[[#This Row],[Trenes Corridos]]/Tabla4[[#This Row],[Trenes Programados]]</f>
        <v>0.98606396283723419</v>
      </c>
      <c r="T143" s="16"/>
      <c r="U143" s="16"/>
      <c r="V143" s="16">
        <v>5597</v>
      </c>
      <c r="W143" s="16">
        <f t="shared" si="25"/>
        <v>78</v>
      </c>
      <c r="X143" s="16">
        <v>5519</v>
      </c>
      <c r="Y143" s="16">
        <v>5146</v>
      </c>
      <c r="Z143" s="16">
        <f t="shared" si="26"/>
        <v>373</v>
      </c>
      <c r="AA143" s="16"/>
      <c r="AB143" s="17"/>
      <c r="AC143" s="18">
        <v>2004</v>
      </c>
      <c r="AD143" s="21" t="s">
        <v>41</v>
      </c>
      <c r="AE143" s="15">
        <f>+Tabla5[[#This Row],[Trenes Puntuales]]/Tabla5[[#This Row],[Trenes Programados]]</f>
        <v>0.95370370370370372</v>
      </c>
      <c r="AF143" s="15">
        <f>+Tabla5[[#This Row],[Trenes Puntuales]]/Tabla5[[#This Row],[Trenes Corridos]]</f>
        <v>0.95724907063197029</v>
      </c>
      <c r="AG143" s="15">
        <f>+Tabla5[[#This Row],[Trenes Corridos]]/Tabla5[[#This Row],[Trenes Programados]]</f>
        <v>0.99629629629629635</v>
      </c>
      <c r="AH143" s="16"/>
      <c r="AI143" s="16"/>
      <c r="AJ143" s="16">
        <v>4320</v>
      </c>
      <c r="AK143" s="16">
        <f t="shared" si="27"/>
        <v>16</v>
      </c>
      <c r="AL143" s="16">
        <v>4304</v>
      </c>
      <c r="AM143" s="16">
        <v>4120</v>
      </c>
      <c r="AN143" s="16">
        <f t="shared" si="28"/>
        <v>184</v>
      </c>
      <c r="AO143" s="16"/>
      <c r="AP143" s="17"/>
      <c r="AQ143" s="18">
        <v>2004</v>
      </c>
      <c r="AR143" s="21" t="s">
        <v>41</v>
      </c>
      <c r="AS143" s="15">
        <f>+Tabla6[[#This Row],[Trenes Puntuales]]/Tabla6[[#This Row],[Trenes Programados]]</f>
        <v>0.9771850899742931</v>
      </c>
      <c r="AT143" s="15">
        <f>+Tabla6[[#This Row],[Trenes Puntuales]]/Tabla6[[#This Row],[Trenes Corridos]]</f>
        <v>0.98096774193548386</v>
      </c>
      <c r="AU143" s="15">
        <f>+Tabla6[[#This Row],[Trenes Corridos]]/Tabla6[[#This Row],[Trenes Programados]]</f>
        <v>0.99614395886889462</v>
      </c>
      <c r="AV143" s="16"/>
      <c r="AW143" s="16"/>
      <c r="AX143" s="16">
        <v>3112</v>
      </c>
      <c r="AY143" s="16">
        <f t="shared" si="29"/>
        <v>12</v>
      </c>
      <c r="AZ143" s="16">
        <v>3100</v>
      </c>
      <c r="BA143" s="16">
        <v>3041</v>
      </c>
      <c r="BB143" s="16">
        <f t="shared" si="30"/>
        <v>59</v>
      </c>
      <c r="BC143" s="16"/>
      <c r="BD143" s="17"/>
      <c r="BE143" s="18">
        <v>2004</v>
      </c>
      <c r="BF143" s="21" t="s">
        <v>41</v>
      </c>
      <c r="BG143" s="15">
        <f>+MIT_Vic_Cap[[#This Row],[Trenes Puntuales]]/MIT_Vic_Cap[[#This Row],[Trenes Programados]]</f>
        <v>0.7865284974093264</v>
      </c>
      <c r="BH143" s="15">
        <f>+MIT_Vic_Cap[[#This Row],[Trenes Puntuales]]/MIT_Vic_Cap[[#This Row],[Trenes Corridos]]</f>
        <v>0.82321041214750545</v>
      </c>
      <c r="BI143" s="15">
        <f>+MIT_Vic_Cap[[#This Row],[Trenes Corridos]]/MIT_Vic_Cap[[#This Row],[Trenes Programados]]</f>
        <v>0.95544041450777206</v>
      </c>
      <c r="BJ143" s="16"/>
      <c r="BK143" s="16"/>
      <c r="BL143" s="16">
        <v>965</v>
      </c>
      <c r="BM143" s="16">
        <f t="shared" si="31"/>
        <v>43</v>
      </c>
      <c r="BN143" s="16">
        <v>922</v>
      </c>
      <c r="BO143" s="16">
        <v>759</v>
      </c>
      <c r="BP143" s="16">
        <f t="shared" si="32"/>
        <v>163</v>
      </c>
      <c r="BQ143" s="16"/>
      <c r="BR143" s="17"/>
      <c r="BS143" s="18">
        <v>2004</v>
      </c>
      <c r="BT143" s="21" t="s">
        <v>41</v>
      </c>
      <c r="BU143" s="15">
        <f>+Tabla8[[#This Row],[Trenes Puntuales]]/Tabla8[[#This Row],[Trenes Programados]]</f>
        <v>0.79850746268656714</v>
      </c>
      <c r="BV143" s="15">
        <f>+Tabla8[[#This Row],[Trenes Puntuales]]/Tabla8[[#This Row],[Trenes Corridos]]</f>
        <v>0.81679389312977102</v>
      </c>
      <c r="BW143" s="15">
        <f>+Tabla8[[#This Row],[Trenes Corridos]]/Tabla8[[#This Row],[Trenes Programados]]</f>
        <v>0.97761194029850751</v>
      </c>
      <c r="BX143" s="16"/>
      <c r="BY143" s="16"/>
      <c r="BZ143" s="16">
        <v>938</v>
      </c>
      <c r="CA143" s="16">
        <f t="shared" si="33"/>
        <v>21</v>
      </c>
      <c r="CB143" s="16">
        <v>917</v>
      </c>
      <c r="CC143" s="16">
        <v>749</v>
      </c>
      <c r="CD143" s="16">
        <f t="shared" si="34"/>
        <v>168</v>
      </c>
      <c r="CI143" s="40"/>
      <c r="CJ143" s="40"/>
      <c r="CK143" s="40"/>
      <c r="CL143" s="40"/>
      <c r="CM143" s="40"/>
    </row>
    <row r="144" spans="1:91" s="18" customFormat="1" ht="15" customHeight="1">
      <c r="A144" s="18">
        <v>2004</v>
      </c>
      <c r="B144" s="21" t="s">
        <v>42</v>
      </c>
      <c r="C144" s="15">
        <f>+MITRE[[#This Row],[Trenes Puntuales]]/MITRE[[#This Row],[Trenes Programados]]</f>
        <v>0.85104308832131015</v>
      </c>
      <c r="D144" s="15">
        <f>+MITRE[[#This Row],[Trenes Puntuales]]/MITRE[[#This Row],[Trenes Corridos]]</f>
        <v>0.87691689546641671</v>
      </c>
      <c r="E144" s="15">
        <f>+MITRE[[#This Row],[Trenes Corridos]]/MITRE[[#This Row],[Trenes Programados]]</f>
        <v>0.97049457334113209</v>
      </c>
      <c r="F144" s="16">
        <f>+Tabla4[[#This Row],[Trenes Programados por Día Hábil]]+Tabla5[[#This Row],[Trenes Programados por Día Hábil]]+Tabla6[[#This Row],[Trenes Programados por Día Hábil]]+MIT_Vic_Cap[[#This Row],[Trenes Programados por Día Hábil]]+Tabla8[[#This Row],[Trenes Programados por Día Hábil]]</f>
        <v>0</v>
      </c>
      <c r="G14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4" s="16">
        <f t="shared" si="20"/>
        <v>15387</v>
      </c>
      <c r="I144" s="16">
        <f t="shared" si="21"/>
        <v>454</v>
      </c>
      <c r="J144" s="16">
        <f t="shared" si="22"/>
        <v>14933</v>
      </c>
      <c r="K144" s="16">
        <f t="shared" si="23"/>
        <v>13095</v>
      </c>
      <c r="L144" s="16">
        <f t="shared" si="24"/>
        <v>1838</v>
      </c>
      <c r="M144" s="16"/>
      <c r="N144" s="17"/>
      <c r="O144" s="18">
        <v>2004</v>
      </c>
      <c r="P144" s="21" t="s">
        <v>42</v>
      </c>
      <c r="Q144" s="15">
        <f>+Tabla4[[#This Row],[Trenes Puntuales]]/Tabla4[[#This Row],[Trenes Programados]]</f>
        <v>0.79492967529084912</v>
      </c>
      <c r="R144" s="15">
        <f>+Tabla4[[#This Row],[Trenes Puntuales]]/Tabla4[[#This Row],[Trenes Corridos]]</f>
        <v>0.82205063745735318</v>
      </c>
      <c r="S144" s="15">
        <f>+Tabla4[[#This Row],[Trenes Corridos]]/Tabla4[[#This Row],[Trenes Programados]]</f>
        <v>0.96700816113908661</v>
      </c>
      <c r="T144" s="16"/>
      <c r="U144" s="16"/>
      <c r="V144" s="16">
        <v>5759</v>
      </c>
      <c r="W144" s="16">
        <f t="shared" si="25"/>
        <v>190</v>
      </c>
      <c r="X144" s="16">
        <v>5569</v>
      </c>
      <c r="Y144" s="16">
        <v>4578</v>
      </c>
      <c r="Z144" s="16">
        <f t="shared" si="26"/>
        <v>991</v>
      </c>
      <c r="AA144" s="16"/>
      <c r="AB144" s="17"/>
      <c r="AC144" s="18">
        <v>2004</v>
      </c>
      <c r="AD144" s="21" t="s">
        <v>42</v>
      </c>
      <c r="AE144" s="15">
        <f>+Tabla5[[#This Row],[Trenes Puntuales]]/Tabla5[[#This Row],[Trenes Programados]]</f>
        <v>0.89043556353839248</v>
      </c>
      <c r="AF144" s="15">
        <f>+Tabla5[[#This Row],[Trenes Puntuales]]/Tabla5[[#This Row],[Trenes Corridos]]</f>
        <v>0.91424619640387272</v>
      </c>
      <c r="AG144" s="15">
        <f>+Tabla5[[#This Row],[Trenes Corridos]]/Tabla5[[#This Row],[Trenes Programados]]</f>
        <v>0.97395599461158511</v>
      </c>
      <c r="AH144" s="16"/>
      <c r="AI144" s="16"/>
      <c r="AJ144" s="16">
        <v>4454</v>
      </c>
      <c r="AK144" s="16">
        <f t="shared" si="27"/>
        <v>116</v>
      </c>
      <c r="AL144" s="16">
        <v>4338</v>
      </c>
      <c r="AM144" s="16">
        <v>3966</v>
      </c>
      <c r="AN144" s="16">
        <f t="shared" si="28"/>
        <v>372</v>
      </c>
      <c r="AO144" s="16"/>
      <c r="AP144" s="17"/>
      <c r="AQ144" s="18">
        <v>2004</v>
      </c>
      <c r="AR144" s="21" t="s">
        <v>42</v>
      </c>
      <c r="AS144" s="15">
        <f>+Tabla6[[#This Row],[Trenes Puntuales]]/Tabla6[[#This Row],[Trenes Programados]]</f>
        <v>0.91537025513378967</v>
      </c>
      <c r="AT144" s="15">
        <f>+Tabla6[[#This Row],[Trenes Puntuales]]/Tabla6[[#This Row],[Trenes Corridos]]</f>
        <v>0.94506906521040801</v>
      </c>
      <c r="AU144" s="15">
        <f>+Tabla6[[#This Row],[Trenes Corridos]]/Tabla6[[#This Row],[Trenes Programados]]</f>
        <v>0.96857498444306156</v>
      </c>
      <c r="AV144" s="16"/>
      <c r="AW144" s="16"/>
      <c r="AX144" s="16">
        <v>3214</v>
      </c>
      <c r="AY144" s="16">
        <f t="shared" si="29"/>
        <v>101</v>
      </c>
      <c r="AZ144" s="16">
        <v>3113</v>
      </c>
      <c r="BA144" s="16">
        <v>2942</v>
      </c>
      <c r="BB144" s="16">
        <f t="shared" si="30"/>
        <v>171</v>
      </c>
      <c r="BC144" s="16"/>
      <c r="BD144" s="17"/>
      <c r="BE144" s="18">
        <v>2004</v>
      </c>
      <c r="BF144" s="21" t="s">
        <v>42</v>
      </c>
      <c r="BG144" s="15">
        <f>+MIT_Vic_Cap[[#This Row],[Trenes Puntuales]]/MIT_Vic_Cap[[#This Row],[Trenes Programados]]</f>
        <v>0.81281281281281281</v>
      </c>
      <c r="BH144" s="15">
        <f>+MIT_Vic_Cap[[#This Row],[Trenes Puntuales]]/MIT_Vic_Cap[[#This Row],[Trenes Corridos]]</f>
        <v>0.83797729618163053</v>
      </c>
      <c r="BI144" s="15">
        <f>+MIT_Vic_Cap[[#This Row],[Trenes Corridos]]/MIT_Vic_Cap[[#This Row],[Trenes Programados]]</f>
        <v>0.96996996996996998</v>
      </c>
      <c r="BJ144" s="16"/>
      <c r="BK144" s="16"/>
      <c r="BL144" s="16">
        <v>999</v>
      </c>
      <c r="BM144" s="16">
        <f t="shared" si="31"/>
        <v>30</v>
      </c>
      <c r="BN144" s="16">
        <v>969</v>
      </c>
      <c r="BO144" s="16">
        <v>812</v>
      </c>
      <c r="BP144" s="16">
        <f t="shared" si="32"/>
        <v>157</v>
      </c>
      <c r="BQ144" s="16"/>
      <c r="BR144" s="17"/>
      <c r="BS144" s="18">
        <v>2004</v>
      </c>
      <c r="BT144" s="21" t="s">
        <v>42</v>
      </c>
      <c r="BU144" s="15">
        <f>+Tabla8[[#This Row],[Trenes Puntuales]]/Tabla8[[#This Row],[Trenes Programados]]</f>
        <v>0.82934443288241411</v>
      </c>
      <c r="BV144" s="15">
        <f>+Tabla8[[#This Row],[Trenes Puntuales]]/Tabla8[[#This Row],[Trenes Corridos]]</f>
        <v>0.84427966101694918</v>
      </c>
      <c r="BW144" s="15">
        <f>+Tabla8[[#This Row],[Trenes Corridos]]/Tabla8[[#This Row],[Trenes Programados]]</f>
        <v>0.98231009365244537</v>
      </c>
      <c r="BX144" s="16"/>
      <c r="BY144" s="16"/>
      <c r="BZ144" s="16">
        <v>961</v>
      </c>
      <c r="CA144" s="16">
        <f t="shared" si="33"/>
        <v>17</v>
      </c>
      <c r="CB144" s="16">
        <v>944</v>
      </c>
      <c r="CC144" s="16">
        <v>797</v>
      </c>
      <c r="CD144" s="16">
        <f t="shared" si="34"/>
        <v>147</v>
      </c>
      <c r="CI144" s="40"/>
      <c r="CJ144" s="40"/>
      <c r="CK144" s="40"/>
      <c r="CL144" s="40"/>
      <c r="CM144" s="40"/>
    </row>
    <row r="145" spans="1:91" s="18" customFormat="1" ht="15" customHeight="1">
      <c r="A145" s="18">
        <v>2004</v>
      </c>
      <c r="B145" s="21" t="s">
        <v>43</v>
      </c>
      <c r="C145" s="15">
        <f>+MITRE[[#This Row],[Trenes Puntuales]]/MITRE[[#This Row],[Trenes Programados]]</f>
        <v>0.83583557332983671</v>
      </c>
      <c r="D145" s="15">
        <f>+MITRE[[#This Row],[Trenes Puntuales]]/MITRE[[#This Row],[Trenes Corridos]]</f>
        <v>0.86322702958900399</v>
      </c>
      <c r="E145" s="15">
        <f>+MITRE[[#This Row],[Trenes Corridos]]/MITRE[[#This Row],[Trenes Programados]]</f>
        <v>0.96826853733691731</v>
      </c>
      <c r="F145" s="16">
        <f>+Tabla4[[#This Row],[Trenes Programados por Día Hábil]]+Tabla5[[#This Row],[Trenes Programados por Día Hábil]]+Tabla6[[#This Row],[Trenes Programados por Día Hábil]]+MIT_Vic_Cap[[#This Row],[Trenes Programados por Día Hábil]]+Tabla8[[#This Row],[Trenes Programados por Día Hábil]]</f>
        <v>0</v>
      </c>
      <c r="G14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5" s="16">
        <f t="shared" si="20"/>
        <v>15253</v>
      </c>
      <c r="I145" s="16">
        <f t="shared" si="21"/>
        <v>484</v>
      </c>
      <c r="J145" s="16">
        <f t="shared" si="22"/>
        <v>14769</v>
      </c>
      <c r="K145" s="16">
        <f t="shared" si="23"/>
        <v>12749</v>
      </c>
      <c r="L145" s="16">
        <f t="shared" si="24"/>
        <v>2020</v>
      </c>
      <c r="M145" s="16"/>
      <c r="N145" s="17"/>
      <c r="O145" s="18">
        <v>2004</v>
      </c>
      <c r="P145" s="21" t="s">
        <v>43</v>
      </c>
      <c r="Q145" s="15">
        <f>+Tabla4[[#This Row],[Trenes Puntuales]]/Tabla4[[#This Row],[Trenes Programados]]</f>
        <v>0.75056967572305</v>
      </c>
      <c r="R145" s="15">
        <f>+Tabla4[[#This Row],[Trenes Puntuales]]/Tabla4[[#This Row],[Trenes Corridos]]</f>
        <v>0.79062038404726731</v>
      </c>
      <c r="S145" s="15">
        <f>+Tabla4[[#This Row],[Trenes Corridos]]/Tabla4[[#This Row],[Trenes Programados]]</f>
        <v>0.94934268185801929</v>
      </c>
      <c r="T145" s="16"/>
      <c r="U145" s="16"/>
      <c r="V145" s="16">
        <v>5705</v>
      </c>
      <c r="W145" s="16">
        <f t="shared" si="25"/>
        <v>289</v>
      </c>
      <c r="X145" s="16">
        <v>5416</v>
      </c>
      <c r="Y145" s="16">
        <v>4282</v>
      </c>
      <c r="Z145" s="16">
        <f t="shared" si="26"/>
        <v>1134</v>
      </c>
      <c r="AA145" s="16"/>
      <c r="AB145" s="17"/>
      <c r="AC145" s="18">
        <v>2004</v>
      </c>
      <c r="AD145" s="21" t="s">
        <v>43</v>
      </c>
      <c r="AE145" s="15">
        <f>+Tabla5[[#This Row],[Trenes Puntuales]]/Tabla5[[#This Row],[Trenes Programados]]</f>
        <v>0.89158539351326827</v>
      </c>
      <c r="AF145" s="15">
        <f>+Tabla5[[#This Row],[Trenes Puntuales]]/Tabla5[[#This Row],[Trenes Corridos]]</f>
        <v>0.91016438990507065</v>
      </c>
      <c r="AG145" s="15">
        <f>+Tabla5[[#This Row],[Trenes Corridos]]/Tabla5[[#This Row],[Trenes Programados]]</f>
        <v>0.97958720798366972</v>
      </c>
      <c r="AH145" s="16"/>
      <c r="AI145" s="16"/>
      <c r="AJ145" s="16">
        <v>4409</v>
      </c>
      <c r="AK145" s="16">
        <f t="shared" si="27"/>
        <v>90</v>
      </c>
      <c r="AL145" s="16">
        <v>4319</v>
      </c>
      <c r="AM145" s="16">
        <v>3931</v>
      </c>
      <c r="AN145" s="16">
        <f t="shared" si="28"/>
        <v>388</v>
      </c>
      <c r="AO145" s="16"/>
      <c r="AP145" s="17"/>
      <c r="AQ145" s="18">
        <v>2004</v>
      </c>
      <c r="AR145" s="21" t="s">
        <v>43</v>
      </c>
      <c r="AS145" s="15">
        <f>+Tabla6[[#This Row],[Trenes Puntuales]]/Tabla6[[#This Row],[Trenes Programados]]</f>
        <v>0.91705790297339596</v>
      </c>
      <c r="AT145" s="15">
        <f>+Tabla6[[#This Row],[Trenes Puntuales]]/Tabla6[[#This Row],[Trenes Corridos]]</f>
        <v>0.93790012804097311</v>
      </c>
      <c r="AU145" s="15">
        <f>+Tabla6[[#This Row],[Trenes Corridos]]/Tabla6[[#This Row],[Trenes Programados]]</f>
        <v>0.97777777777777775</v>
      </c>
      <c r="AV145" s="16"/>
      <c r="AW145" s="16"/>
      <c r="AX145" s="16">
        <v>3195</v>
      </c>
      <c r="AY145" s="16">
        <f t="shared" si="29"/>
        <v>71</v>
      </c>
      <c r="AZ145" s="16">
        <v>3124</v>
      </c>
      <c r="BA145" s="16">
        <v>2930</v>
      </c>
      <c r="BB145" s="16">
        <f t="shared" si="30"/>
        <v>194</v>
      </c>
      <c r="BC145" s="16"/>
      <c r="BD145" s="17"/>
      <c r="BE145" s="18">
        <v>2004</v>
      </c>
      <c r="BF145" s="21" t="s">
        <v>43</v>
      </c>
      <c r="BG145" s="15">
        <f>+MIT_Vic_Cap[[#This Row],[Trenes Puntuales]]/MIT_Vic_Cap[[#This Row],[Trenes Programados]]</f>
        <v>0.86032388663967607</v>
      </c>
      <c r="BH145" s="15">
        <f>+MIT_Vic_Cap[[#This Row],[Trenes Puntuales]]/MIT_Vic_Cap[[#This Row],[Trenes Corridos]]</f>
        <v>0.87991718426501031</v>
      </c>
      <c r="BI145" s="15">
        <f>+MIT_Vic_Cap[[#This Row],[Trenes Corridos]]/MIT_Vic_Cap[[#This Row],[Trenes Programados]]</f>
        <v>0.97773279352226716</v>
      </c>
      <c r="BJ145" s="16"/>
      <c r="BK145" s="16"/>
      <c r="BL145" s="16">
        <v>988</v>
      </c>
      <c r="BM145" s="16">
        <f t="shared" si="31"/>
        <v>22</v>
      </c>
      <c r="BN145" s="16">
        <v>966</v>
      </c>
      <c r="BO145" s="16">
        <v>850</v>
      </c>
      <c r="BP145" s="16">
        <f t="shared" si="32"/>
        <v>116</v>
      </c>
      <c r="BQ145" s="16"/>
      <c r="BR145" s="17"/>
      <c r="BS145" s="18">
        <v>2004</v>
      </c>
      <c r="BT145" s="21" t="s">
        <v>43</v>
      </c>
      <c r="BU145" s="15">
        <f>+Tabla8[[#This Row],[Trenes Puntuales]]/Tabla8[[#This Row],[Trenes Programados]]</f>
        <v>0.79079497907949792</v>
      </c>
      <c r="BV145" s="15">
        <f>+Tabla8[[#This Row],[Trenes Puntuales]]/Tabla8[[#This Row],[Trenes Corridos]]</f>
        <v>0.80084745762711862</v>
      </c>
      <c r="BW145" s="15">
        <f>+Tabla8[[#This Row],[Trenes Corridos]]/Tabla8[[#This Row],[Trenes Programados]]</f>
        <v>0.9874476987447699</v>
      </c>
      <c r="BX145" s="16"/>
      <c r="BY145" s="16"/>
      <c r="BZ145" s="16">
        <v>956</v>
      </c>
      <c r="CA145" s="16">
        <f t="shared" si="33"/>
        <v>12</v>
      </c>
      <c r="CB145" s="16">
        <v>944</v>
      </c>
      <c r="CC145" s="16">
        <v>756</v>
      </c>
      <c r="CD145" s="16">
        <f t="shared" si="34"/>
        <v>188</v>
      </c>
      <c r="CI145" s="40"/>
      <c r="CJ145" s="40"/>
      <c r="CK145" s="40"/>
      <c r="CL145" s="40"/>
      <c r="CM145" s="40"/>
    </row>
    <row r="146" spans="1:91" s="18" customFormat="1" ht="15" customHeight="1">
      <c r="A146" s="18">
        <v>2004</v>
      </c>
      <c r="B146" s="21" t="s">
        <v>44</v>
      </c>
      <c r="C146" s="15">
        <f>+MITRE[[#This Row],[Trenes Puntuales]]/MITRE[[#This Row],[Trenes Programados]]</f>
        <v>0.9027539860324153</v>
      </c>
      <c r="D146" s="15">
        <f>+MITRE[[#This Row],[Trenes Puntuales]]/MITRE[[#This Row],[Trenes Corridos]]</f>
        <v>0.91597031887158231</v>
      </c>
      <c r="E146" s="15">
        <f>+MITRE[[#This Row],[Trenes Corridos]]/MITRE[[#This Row],[Trenes Programados]]</f>
        <v>0.98557122150480958</v>
      </c>
      <c r="F146" s="16">
        <f>+Tabla4[[#This Row],[Trenes Programados por Día Hábil]]+Tabla5[[#This Row],[Trenes Programados por Día Hábil]]+Tabla6[[#This Row],[Trenes Programados por Día Hábil]]+MIT_Vic_Cap[[#This Row],[Trenes Programados por Día Hábil]]+Tabla8[[#This Row],[Trenes Programados por Día Hábil]]</f>
        <v>0</v>
      </c>
      <c r="G14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6" s="16">
        <f t="shared" si="20"/>
        <v>15178</v>
      </c>
      <c r="I146" s="16">
        <f t="shared" si="21"/>
        <v>219</v>
      </c>
      <c r="J146" s="16">
        <f t="shared" si="22"/>
        <v>14959</v>
      </c>
      <c r="K146" s="16">
        <f t="shared" si="23"/>
        <v>13702</v>
      </c>
      <c r="L146" s="16">
        <f t="shared" si="24"/>
        <v>1257</v>
      </c>
      <c r="M146" s="16"/>
      <c r="N146" s="17"/>
      <c r="O146" s="18">
        <v>2004</v>
      </c>
      <c r="P146" s="21" t="s">
        <v>44</v>
      </c>
      <c r="Q146" s="15">
        <f>+Tabla4[[#This Row],[Trenes Puntuales]]/Tabla4[[#This Row],[Trenes Programados]]</f>
        <v>0.84242742217558586</v>
      </c>
      <c r="R146" s="15">
        <f>+Tabla4[[#This Row],[Trenes Puntuales]]/Tabla4[[#This Row],[Trenes Corridos]]</f>
        <v>0.8629523468290935</v>
      </c>
      <c r="S146" s="15">
        <f>+Tabla4[[#This Row],[Trenes Corridos]]/Tabla4[[#This Row],[Trenes Programados]]</f>
        <v>0.97621545995103187</v>
      </c>
      <c r="T146" s="16"/>
      <c r="U146" s="16"/>
      <c r="V146" s="16">
        <v>5718</v>
      </c>
      <c r="W146" s="16">
        <f t="shared" si="25"/>
        <v>136</v>
      </c>
      <c r="X146" s="16">
        <v>5582</v>
      </c>
      <c r="Y146" s="16">
        <v>4817</v>
      </c>
      <c r="Z146" s="16">
        <f t="shared" si="26"/>
        <v>765</v>
      </c>
      <c r="AA146" s="16"/>
      <c r="AB146" s="17"/>
      <c r="AC146" s="18">
        <v>2004</v>
      </c>
      <c r="AD146" s="21" t="s">
        <v>44</v>
      </c>
      <c r="AE146" s="15">
        <f>+Tabla5[[#This Row],[Trenes Puntuales]]/Tabla5[[#This Row],[Trenes Programados]]</f>
        <v>0.94920273348519357</v>
      </c>
      <c r="AF146" s="15">
        <f>+Tabla5[[#This Row],[Trenes Puntuales]]/Tabla5[[#This Row],[Trenes Corridos]]</f>
        <v>0.95573394495412844</v>
      </c>
      <c r="AG146" s="15">
        <f>+Tabla5[[#This Row],[Trenes Corridos]]/Tabla5[[#This Row],[Trenes Programados]]</f>
        <v>0.99316628701594534</v>
      </c>
      <c r="AH146" s="16"/>
      <c r="AI146" s="16"/>
      <c r="AJ146" s="16">
        <v>4390</v>
      </c>
      <c r="AK146" s="16">
        <f t="shared" si="27"/>
        <v>30</v>
      </c>
      <c r="AL146" s="16">
        <v>4360</v>
      </c>
      <c r="AM146" s="16">
        <v>4167</v>
      </c>
      <c r="AN146" s="16">
        <f t="shared" si="28"/>
        <v>193</v>
      </c>
      <c r="AO146" s="16"/>
      <c r="AP146" s="17"/>
      <c r="AQ146" s="18">
        <v>2004</v>
      </c>
      <c r="AR146" s="21" t="s">
        <v>44</v>
      </c>
      <c r="AS146" s="15">
        <f>+Tabla6[[#This Row],[Trenes Puntuales]]/Tabla6[[#This Row],[Trenes Programados]]</f>
        <v>0.97323135755258128</v>
      </c>
      <c r="AT146" s="15">
        <f>+Tabla6[[#This Row],[Trenes Puntuales]]/Tabla6[[#This Row],[Trenes Corridos]]</f>
        <v>0.98010269576379971</v>
      </c>
      <c r="AU146" s="15">
        <f>+Tabla6[[#This Row],[Trenes Corridos]]/Tabla6[[#This Row],[Trenes Programados]]</f>
        <v>0.99298916507329504</v>
      </c>
      <c r="AV146" s="16"/>
      <c r="AW146" s="16"/>
      <c r="AX146" s="16">
        <v>3138</v>
      </c>
      <c r="AY146" s="16">
        <f t="shared" si="29"/>
        <v>22</v>
      </c>
      <c r="AZ146" s="16">
        <v>3116</v>
      </c>
      <c r="BA146" s="16">
        <v>3054</v>
      </c>
      <c r="BB146" s="16">
        <f t="shared" si="30"/>
        <v>62</v>
      </c>
      <c r="BC146" s="16"/>
      <c r="BD146" s="17"/>
      <c r="BE146" s="18">
        <v>2004</v>
      </c>
      <c r="BF146" s="21" t="s">
        <v>44</v>
      </c>
      <c r="BG146" s="15">
        <f>+MIT_Vic_Cap[[#This Row],[Trenes Puntuales]]/MIT_Vic_Cap[[#This Row],[Trenes Programados]]</f>
        <v>0.88934426229508201</v>
      </c>
      <c r="BH146" s="15">
        <f>+MIT_Vic_Cap[[#This Row],[Trenes Puntuales]]/MIT_Vic_Cap[[#This Row],[Trenes Corridos]]</f>
        <v>0.9051094890510949</v>
      </c>
      <c r="BI146" s="15">
        <f>+MIT_Vic_Cap[[#This Row],[Trenes Corridos]]/MIT_Vic_Cap[[#This Row],[Trenes Programados]]</f>
        <v>0.98258196721311475</v>
      </c>
      <c r="BJ146" s="16"/>
      <c r="BK146" s="16"/>
      <c r="BL146" s="16">
        <v>976</v>
      </c>
      <c r="BM146" s="16">
        <f t="shared" si="31"/>
        <v>17</v>
      </c>
      <c r="BN146" s="16">
        <v>959</v>
      </c>
      <c r="BO146" s="16">
        <v>868</v>
      </c>
      <c r="BP146" s="16">
        <f t="shared" si="32"/>
        <v>91</v>
      </c>
      <c r="BQ146" s="16"/>
      <c r="BR146" s="17"/>
      <c r="BS146" s="18">
        <v>2004</v>
      </c>
      <c r="BT146" s="21" t="s">
        <v>44</v>
      </c>
      <c r="BU146" s="15">
        <f>+Tabla8[[#This Row],[Trenes Puntuales]]/Tabla8[[#This Row],[Trenes Programados]]</f>
        <v>0.83263598326359833</v>
      </c>
      <c r="BV146" s="15">
        <f>+Tabla8[[#This Row],[Trenes Puntuales]]/Tabla8[[#This Row],[Trenes Corridos]]</f>
        <v>0.84501061571125269</v>
      </c>
      <c r="BW146" s="15">
        <f>+Tabla8[[#This Row],[Trenes Corridos]]/Tabla8[[#This Row],[Trenes Programados]]</f>
        <v>0.9853556485355649</v>
      </c>
      <c r="BX146" s="16"/>
      <c r="BY146" s="16"/>
      <c r="BZ146" s="16">
        <v>956</v>
      </c>
      <c r="CA146" s="16">
        <f t="shared" si="33"/>
        <v>14</v>
      </c>
      <c r="CB146" s="16">
        <v>942</v>
      </c>
      <c r="CC146" s="16">
        <v>796</v>
      </c>
      <c r="CD146" s="16">
        <f t="shared" si="34"/>
        <v>146</v>
      </c>
      <c r="CI146" s="40"/>
      <c r="CJ146" s="40"/>
      <c r="CK146" s="40"/>
      <c r="CL146" s="40"/>
      <c r="CM146" s="40"/>
    </row>
    <row r="147" spans="1:91" s="18" customFormat="1" ht="15" customHeight="1">
      <c r="A147" s="18">
        <v>2004</v>
      </c>
      <c r="B147" s="21" t="s">
        <v>45</v>
      </c>
      <c r="C147" s="15">
        <f>+MITRE[[#This Row],[Trenes Puntuales]]/MITRE[[#This Row],[Trenes Programados]]</f>
        <v>0.9051253371932364</v>
      </c>
      <c r="D147" s="15">
        <f>+MITRE[[#This Row],[Trenes Puntuales]]/MITRE[[#This Row],[Trenes Corridos]]</f>
        <v>0.91481579997340068</v>
      </c>
      <c r="E147" s="15">
        <f>+MITRE[[#This Row],[Trenes Corridos]]/MITRE[[#This Row],[Trenes Programados]]</f>
        <v>0.98940719784196329</v>
      </c>
      <c r="F147" s="16">
        <f>+Tabla4[[#This Row],[Trenes Programados por Día Hábil]]+Tabla5[[#This Row],[Trenes Programados por Día Hábil]]+Tabla6[[#This Row],[Trenes Programados por Día Hábil]]+MIT_Vic_Cap[[#This Row],[Trenes Programados por Día Hábil]]+Tabla8[[#This Row],[Trenes Programados por Día Hábil]]</f>
        <v>0</v>
      </c>
      <c r="G14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7" s="16">
        <f t="shared" si="20"/>
        <v>15199</v>
      </c>
      <c r="I147" s="16">
        <f t="shared" si="21"/>
        <v>161</v>
      </c>
      <c r="J147" s="16">
        <f t="shared" si="22"/>
        <v>15038</v>
      </c>
      <c r="K147" s="16">
        <f t="shared" si="23"/>
        <v>13757</v>
      </c>
      <c r="L147" s="16">
        <f t="shared" si="24"/>
        <v>1281</v>
      </c>
      <c r="M147" s="16"/>
      <c r="N147" s="17"/>
      <c r="O147" s="18">
        <v>2004</v>
      </c>
      <c r="P147" s="21" t="s">
        <v>45</v>
      </c>
      <c r="Q147" s="15">
        <f>+Tabla4[[#This Row],[Trenes Puntuales]]/Tabla4[[#This Row],[Trenes Programados]]</f>
        <v>0.8209269662921348</v>
      </c>
      <c r="R147" s="15">
        <f>+Tabla4[[#This Row],[Trenes Puntuales]]/Tabla4[[#This Row],[Trenes Corridos]]</f>
        <v>0.83470189218136381</v>
      </c>
      <c r="S147" s="15">
        <f>+Tabla4[[#This Row],[Trenes Corridos]]/Tabla4[[#This Row],[Trenes Programados]]</f>
        <v>0.983497191011236</v>
      </c>
      <c r="T147" s="16"/>
      <c r="U147" s="16"/>
      <c r="V147" s="16">
        <v>5696</v>
      </c>
      <c r="W147" s="16">
        <f t="shared" si="25"/>
        <v>94</v>
      </c>
      <c r="X147" s="16">
        <v>5602</v>
      </c>
      <c r="Y147" s="16">
        <v>4676</v>
      </c>
      <c r="Z147" s="16">
        <f t="shared" si="26"/>
        <v>926</v>
      </c>
      <c r="AA147" s="16"/>
      <c r="AB147" s="17"/>
      <c r="AC147" s="18">
        <v>2004</v>
      </c>
      <c r="AD147" s="21" t="s">
        <v>45</v>
      </c>
      <c r="AE147" s="15">
        <f>+Tabla5[[#This Row],[Trenes Puntuales]]/Tabla5[[#This Row],[Trenes Programados]]</f>
        <v>0.96441605839416056</v>
      </c>
      <c r="AF147" s="15">
        <f>+Tabla5[[#This Row],[Trenes Puntuales]]/Tabla5[[#This Row],[Trenes Corridos]]</f>
        <v>0.96706312900274471</v>
      </c>
      <c r="AG147" s="15">
        <f>+Tabla5[[#This Row],[Trenes Corridos]]/Tabla5[[#This Row],[Trenes Programados]]</f>
        <v>0.99726277372262773</v>
      </c>
      <c r="AH147" s="16"/>
      <c r="AI147" s="16"/>
      <c r="AJ147" s="16">
        <v>4384</v>
      </c>
      <c r="AK147" s="16">
        <f t="shared" si="27"/>
        <v>12</v>
      </c>
      <c r="AL147" s="16">
        <v>4372</v>
      </c>
      <c r="AM147" s="16">
        <v>4228</v>
      </c>
      <c r="AN147" s="16">
        <f t="shared" si="28"/>
        <v>144</v>
      </c>
      <c r="AO147" s="16"/>
      <c r="AP147" s="17"/>
      <c r="AQ147" s="18">
        <v>2004</v>
      </c>
      <c r="AR147" s="21" t="s">
        <v>45</v>
      </c>
      <c r="AS147" s="15">
        <f>+Tabla6[[#This Row],[Trenes Puntuales]]/Tabla6[[#This Row],[Trenes Programados]]</f>
        <v>0.98212045169385198</v>
      </c>
      <c r="AT147" s="15">
        <f>+Tabla6[[#This Row],[Trenes Puntuales]]/Tabla6[[#This Row],[Trenes Corridos]]</f>
        <v>0.98676331547431451</v>
      </c>
      <c r="AU147" s="15">
        <f>+Tabla6[[#This Row],[Trenes Corridos]]/Tabla6[[#This Row],[Trenes Programados]]</f>
        <v>0.99529485570890841</v>
      </c>
      <c r="AV147" s="16"/>
      <c r="AW147" s="16"/>
      <c r="AX147" s="16">
        <v>3188</v>
      </c>
      <c r="AY147" s="16">
        <f t="shared" si="29"/>
        <v>15</v>
      </c>
      <c r="AZ147" s="16">
        <v>3173</v>
      </c>
      <c r="BA147" s="16">
        <v>3131</v>
      </c>
      <c r="BB147" s="16">
        <f t="shared" si="30"/>
        <v>42</v>
      </c>
      <c r="BC147" s="16"/>
      <c r="BD147" s="17"/>
      <c r="BE147" s="18">
        <v>2004</v>
      </c>
      <c r="BF147" s="21" t="s">
        <v>45</v>
      </c>
      <c r="BG147" s="15">
        <f>+MIT_Vic_Cap[[#This Row],[Trenes Puntuales]]/MIT_Vic_Cap[[#This Row],[Trenes Programados]]</f>
        <v>0.88461538461538458</v>
      </c>
      <c r="BH147" s="15">
        <f>+MIT_Vic_Cap[[#This Row],[Trenes Puntuales]]/MIT_Vic_Cap[[#This Row],[Trenes Corridos]]</f>
        <v>0.90569948186528493</v>
      </c>
      <c r="BI147" s="15">
        <f>+MIT_Vic_Cap[[#This Row],[Trenes Corridos]]/MIT_Vic_Cap[[#This Row],[Trenes Programados]]</f>
        <v>0.97672064777327938</v>
      </c>
      <c r="BJ147" s="16"/>
      <c r="BK147" s="16"/>
      <c r="BL147" s="16">
        <v>988</v>
      </c>
      <c r="BM147" s="16">
        <f t="shared" si="31"/>
        <v>23</v>
      </c>
      <c r="BN147" s="16">
        <v>965</v>
      </c>
      <c r="BO147" s="16">
        <v>874</v>
      </c>
      <c r="BP147" s="16">
        <f t="shared" si="32"/>
        <v>91</v>
      </c>
      <c r="BQ147" s="16"/>
      <c r="BR147" s="17"/>
      <c r="BS147" s="18">
        <v>2004</v>
      </c>
      <c r="BT147" s="21" t="s">
        <v>45</v>
      </c>
      <c r="BU147" s="15">
        <f>+Tabla8[[#This Row],[Trenes Puntuales]]/Tabla8[[#This Row],[Trenes Programados]]</f>
        <v>0.89925768822905616</v>
      </c>
      <c r="BV147" s="15">
        <f>+Tabla8[[#This Row],[Trenes Puntuales]]/Tabla8[[#This Row],[Trenes Corridos]]</f>
        <v>0.91576673866090708</v>
      </c>
      <c r="BW147" s="15">
        <f>+Tabla8[[#This Row],[Trenes Corridos]]/Tabla8[[#This Row],[Trenes Programados]]</f>
        <v>0.98197242841993637</v>
      </c>
      <c r="BX147" s="16"/>
      <c r="BY147" s="16"/>
      <c r="BZ147" s="16">
        <v>943</v>
      </c>
      <c r="CA147" s="16">
        <f t="shared" si="33"/>
        <v>17</v>
      </c>
      <c r="CB147" s="16">
        <v>926</v>
      </c>
      <c r="CC147" s="16">
        <v>848</v>
      </c>
      <c r="CD147" s="16">
        <f t="shared" si="34"/>
        <v>78</v>
      </c>
      <c r="CI147" s="40"/>
      <c r="CJ147" s="40"/>
      <c r="CK147" s="40"/>
      <c r="CL147" s="40"/>
      <c r="CM147" s="40"/>
    </row>
    <row r="148" spans="1:91" s="18" customFormat="1" ht="15" customHeight="1">
      <c r="A148" s="18">
        <v>2004</v>
      </c>
      <c r="B148" s="21" t="s">
        <v>46</v>
      </c>
      <c r="C148" s="15">
        <f>+MITRE[[#This Row],[Trenes Puntuales]]/MITRE[[#This Row],[Trenes Programados]]</f>
        <v>0.86709193739313428</v>
      </c>
      <c r="D148" s="15">
        <f>+MITRE[[#This Row],[Trenes Puntuales]]/MITRE[[#This Row],[Trenes Corridos]]</f>
        <v>0.88907619689817941</v>
      </c>
      <c r="E148" s="15">
        <f>+MITRE[[#This Row],[Trenes Corridos]]/MITRE[[#This Row],[Trenes Programados]]</f>
        <v>0.97527291858476917</v>
      </c>
      <c r="F148" s="16">
        <f>+Tabla4[[#This Row],[Trenes Programados por Día Hábil]]+Tabla5[[#This Row],[Trenes Programados por Día Hábil]]+Tabla6[[#This Row],[Trenes Programados por Día Hábil]]+MIT_Vic_Cap[[#This Row],[Trenes Programados por Día Hábil]]+Tabla8[[#This Row],[Trenes Programados por Día Hábil]]</f>
        <v>0</v>
      </c>
      <c r="G14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8" s="16">
        <f t="shared" si="20"/>
        <v>15206</v>
      </c>
      <c r="I148" s="16">
        <f t="shared" si="21"/>
        <v>376</v>
      </c>
      <c r="J148" s="16">
        <f t="shared" si="22"/>
        <v>14830</v>
      </c>
      <c r="K148" s="16">
        <f t="shared" si="23"/>
        <v>13185</v>
      </c>
      <c r="L148" s="16">
        <f t="shared" si="24"/>
        <v>1645</v>
      </c>
      <c r="M148" s="16"/>
      <c r="N148" s="17"/>
      <c r="O148" s="18">
        <v>2004</v>
      </c>
      <c r="P148" s="21" t="s">
        <v>46</v>
      </c>
      <c r="Q148" s="15">
        <f>+Tabla4[[#This Row],[Trenes Puntuales]]/Tabla4[[#This Row],[Trenes Programados]]</f>
        <v>0.79812043160459445</v>
      </c>
      <c r="R148" s="15">
        <f>+Tabla4[[#This Row],[Trenes Puntuales]]/Tabla4[[#This Row],[Trenes Corridos]]</f>
        <v>0.81776034236804562</v>
      </c>
      <c r="S148" s="15">
        <f>+Tabla4[[#This Row],[Trenes Corridos]]/Tabla4[[#This Row],[Trenes Programados]]</f>
        <v>0.97598329272537421</v>
      </c>
      <c r="T148" s="16"/>
      <c r="U148" s="16"/>
      <c r="V148" s="16">
        <v>5746</v>
      </c>
      <c r="W148" s="16">
        <f t="shared" si="25"/>
        <v>138</v>
      </c>
      <c r="X148" s="16">
        <v>5608</v>
      </c>
      <c r="Y148" s="16">
        <v>4586</v>
      </c>
      <c r="Z148" s="16">
        <f t="shared" si="26"/>
        <v>1022</v>
      </c>
      <c r="AA148" s="16"/>
      <c r="AB148" s="17"/>
      <c r="AC148" s="18">
        <v>2004</v>
      </c>
      <c r="AD148" s="21" t="s">
        <v>46</v>
      </c>
      <c r="AE148" s="15">
        <f>+Tabla5[[#This Row],[Trenes Puntuales]]/Tabla5[[#This Row],[Trenes Programados]]</f>
        <v>0.91776765375854219</v>
      </c>
      <c r="AF148" s="15">
        <f>+Tabla5[[#This Row],[Trenes Puntuales]]/Tabla5[[#This Row],[Trenes Corridos]]</f>
        <v>0.94245614035087721</v>
      </c>
      <c r="AG148" s="15">
        <f>+Tabla5[[#This Row],[Trenes Corridos]]/Tabla5[[#This Row],[Trenes Programados]]</f>
        <v>0.9738041002277904</v>
      </c>
      <c r="AH148" s="16"/>
      <c r="AI148" s="16"/>
      <c r="AJ148" s="16">
        <v>4390</v>
      </c>
      <c r="AK148" s="16">
        <f t="shared" si="27"/>
        <v>115</v>
      </c>
      <c r="AL148" s="16">
        <v>4275</v>
      </c>
      <c r="AM148" s="16">
        <v>4029</v>
      </c>
      <c r="AN148" s="16">
        <f t="shared" si="28"/>
        <v>246</v>
      </c>
      <c r="AO148" s="16"/>
      <c r="AP148" s="17"/>
      <c r="AQ148" s="18">
        <v>2004</v>
      </c>
      <c r="AR148" s="21" t="s">
        <v>46</v>
      </c>
      <c r="AS148" s="15">
        <f>+Tabla6[[#This Row],[Trenes Puntuales]]/Tabla6[[#This Row],[Trenes Programados]]</f>
        <v>0.95283620140216696</v>
      </c>
      <c r="AT148" s="15">
        <f>+Tabla6[[#This Row],[Trenes Puntuales]]/Tabla6[[#This Row],[Trenes Corridos]]</f>
        <v>0.9720416124837451</v>
      </c>
      <c r="AU148" s="15">
        <f>+Tabla6[[#This Row],[Trenes Corridos]]/Tabla6[[#This Row],[Trenes Programados]]</f>
        <v>0.98024219247928612</v>
      </c>
      <c r="AV148" s="16"/>
      <c r="AW148" s="16"/>
      <c r="AX148" s="16">
        <v>3138</v>
      </c>
      <c r="AY148" s="16">
        <f t="shared" si="29"/>
        <v>62</v>
      </c>
      <c r="AZ148" s="16">
        <v>3076</v>
      </c>
      <c r="BA148" s="16">
        <v>2990</v>
      </c>
      <c r="BB148" s="16">
        <f t="shared" si="30"/>
        <v>86</v>
      </c>
      <c r="BC148" s="16"/>
      <c r="BD148" s="17"/>
      <c r="BE148" s="18">
        <v>2004</v>
      </c>
      <c r="BF148" s="21" t="s">
        <v>46</v>
      </c>
      <c r="BG148" s="15">
        <f>+MIT_Vic_Cap[[#This Row],[Trenes Puntuales]]/MIT_Vic_Cap[[#This Row],[Trenes Programados]]</f>
        <v>0.86577868852459017</v>
      </c>
      <c r="BH148" s="15">
        <f>+MIT_Vic_Cap[[#This Row],[Trenes Puntuales]]/MIT_Vic_Cap[[#This Row],[Trenes Corridos]]</f>
        <v>0.88760504201680668</v>
      </c>
      <c r="BI148" s="15">
        <f>+MIT_Vic_Cap[[#This Row],[Trenes Corridos]]/MIT_Vic_Cap[[#This Row],[Trenes Programados]]</f>
        <v>0.97540983606557374</v>
      </c>
      <c r="BJ148" s="16"/>
      <c r="BK148" s="16"/>
      <c r="BL148" s="16">
        <v>976</v>
      </c>
      <c r="BM148" s="16">
        <f t="shared" si="31"/>
        <v>24</v>
      </c>
      <c r="BN148" s="16">
        <v>952</v>
      </c>
      <c r="BO148" s="16">
        <v>845</v>
      </c>
      <c r="BP148" s="16">
        <f t="shared" si="32"/>
        <v>107</v>
      </c>
      <c r="BQ148" s="16"/>
      <c r="BR148" s="17"/>
      <c r="BS148" s="18">
        <v>2004</v>
      </c>
      <c r="BT148" s="21" t="s">
        <v>46</v>
      </c>
      <c r="BU148" s="15">
        <f>+Tabla8[[#This Row],[Trenes Puntuales]]/Tabla8[[#This Row],[Trenes Programados]]</f>
        <v>0.76882845188284521</v>
      </c>
      <c r="BV148" s="15">
        <f>+Tabla8[[#This Row],[Trenes Puntuales]]/Tabla8[[#This Row],[Trenes Corridos]]</f>
        <v>0.79978237214363435</v>
      </c>
      <c r="BW148" s="15">
        <f>+Tabla8[[#This Row],[Trenes Corridos]]/Tabla8[[#This Row],[Trenes Programados]]</f>
        <v>0.96129707112970708</v>
      </c>
      <c r="BX148" s="16"/>
      <c r="BY148" s="16"/>
      <c r="BZ148" s="16">
        <v>956</v>
      </c>
      <c r="CA148" s="16">
        <f t="shared" si="33"/>
        <v>37</v>
      </c>
      <c r="CB148" s="16">
        <v>919</v>
      </c>
      <c r="CC148" s="16">
        <v>735</v>
      </c>
      <c r="CD148" s="16">
        <f t="shared" si="34"/>
        <v>184</v>
      </c>
      <c r="CI148" s="40"/>
      <c r="CJ148" s="40"/>
      <c r="CK148" s="40"/>
      <c r="CL148" s="40"/>
      <c r="CM148" s="40"/>
    </row>
    <row r="149" spans="1:91" s="18" customFormat="1" ht="15" customHeight="1">
      <c r="A149" s="18">
        <v>2004</v>
      </c>
      <c r="B149" s="21" t="s">
        <v>47</v>
      </c>
      <c r="C149" s="15">
        <f>+MITRE[[#This Row],[Trenes Puntuales]]/MITRE[[#This Row],[Trenes Programados]]</f>
        <v>0.88499704278110014</v>
      </c>
      <c r="D149" s="15">
        <f>+MITRE[[#This Row],[Trenes Puntuales]]/MITRE[[#This Row],[Trenes Corridos]]</f>
        <v>0.91134871760167824</v>
      </c>
      <c r="E149" s="15">
        <f>+MITRE[[#This Row],[Trenes Corridos]]/MITRE[[#This Row],[Trenes Programados]]</f>
        <v>0.97108497075639089</v>
      </c>
      <c r="F149" s="16">
        <f>+Tabla4[[#This Row],[Trenes Programados por Día Hábil]]+Tabla5[[#This Row],[Trenes Programados por Día Hábil]]+Tabla6[[#This Row],[Trenes Programados por Día Hábil]]+MIT_Vic_Cap[[#This Row],[Trenes Programados por Día Hábil]]+Tabla8[[#This Row],[Trenes Programados por Día Hábil]]</f>
        <v>0</v>
      </c>
      <c r="G14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9" s="16">
        <f t="shared" si="20"/>
        <v>15217</v>
      </c>
      <c r="I149" s="16">
        <f t="shared" si="21"/>
        <v>440</v>
      </c>
      <c r="J149" s="16">
        <f t="shared" si="22"/>
        <v>14777</v>
      </c>
      <c r="K149" s="16">
        <f t="shared" si="23"/>
        <v>13467</v>
      </c>
      <c r="L149" s="16">
        <f t="shared" si="24"/>
        <v>1310</v>
      </c>
      <c r="M149" s="16"/>
      <c r="N149" s="17"/>
      <c r="O149" s="18">
        <v>2004</v>
      </c>
      <c r="P149" s="21" t="s">
        <v>47</v>
      </c>
      <c r="Q149" s="15">
        <f>+Tabla4[[#This Row],[Trenes Puntuales]]/Tabla4[[#This Row],[Trenes Programados]]</f>
        <v>0.86468705547652913</v>
      </c>
      <c r="R149" s="15">
        <f>+Tabla4[[#This Row],[Trenes Puntuales]]/Tabla4[[#This Row],[Trenes Corridos]]</f>
        <v>0.8987248198114951</v>
      </c>
      <c r="S149" s="15">
        <f>+Tabla4[[#This Row],[Trenes Corridos]]/Tabla4[[#This Row],[Trenes Programados]]</f>
        <v>0.96212660028449504</v>
      </c>
      <c r="T149" s="16"/>
      <c r="U149" s="16"/>
      <c r="V149" s="16">
        <v>5624</v>
      </c>
      <c r="W149" s="16">
        <f t="shared" si="25"/>
        <v>213</v>
      </c>
      <c r="X149" s="16">
        <v>5411</v>
      </c>
      <c r="Y149" s="16">
        <v>4863</v>
      </c>
      <c r="Z149" s="16">
        <f t="shared" si="26"/>
        <v>548</v>
      </c>
      <c r="AA149" s="16"/>
      <c r="AB149" s="17"/>
      <c r="AC149" s="18">
        <v>2004</v>
      </c>
      <c r="AD149" s="21" t="s">
        <v>47</v>
      </c>
      <c r="AE149" s="15">
        <f>+Tabla5[[#This Row],[Trenes Puntuales]]/Tabla5[[#This Row],[Trenes Programados]]</f>
        <v>0.93617501127649982</v>
      </c>
      <c r="AF149" s="15">
        <f>+Tabla5[[#This Row],[Trenes Puntuales]]/Tabla5[[#This Row],[Trenes Corridos]]</f>
        <v>0.94923393551337754</v>
      </c>
      <c r="AG149" s="15">
        <f>+Tabla5[[#This Row],[Trenes Corridos]]/Tabla5[[#This Row],[Trenes Programados]]</f>
        <v>0.98624267027514656</v>
      </c>
      <c r="AH149" s="16"/>
      <c r="AI149" s="16"/>
      <c r="AJ149" s="16">
        <v>4434</v>
      </c>
      <c r="AK149" s="16">
        <f t="shared" si="27"/>
        <v>61</v>
      </c>
      <c r="AL149" s="16">
        <v>4373</v>
      </c>
      <c r="AM149" s="16">
        <v>4151</v>
      </c>
      <c r="AN149" s="16">
        <f t="shared" si="28"/>
        <v>222</v>
      </c>
      <c r="AO149" s="16"/>
      <c r="AP149" s="17"/>
      <c r="AQ149" s="18">
        <v>2004</v>
      </c>
      <c r="AR149" s="21" t="s">
        <v>47</v>
      </c>
      <c r="AS149" s="15">
        <f>+Tabla6[[#This Row],[Trenes Puntuales]]/Tabla6[[#This Row],[Trenes Programados]]</f>
        <v>0.9500312304809494</v>
      </c>
      <c r="AT149" s="15">
        <f>+Tabla6[[#This Row],[Trenes Puntuales]]/Tabla6[[#This Row],[Trenes Corridos]]</f>
        <v>0.96971628944851773</v>
      </c>
      <c r="AU149" s="15">
        <f>+Tabla6[[#This Row],[Trenes Corridos]]/Tabla6[[#This Row],[Trenes Programados]]</f>
        <v>0.97970018738288567</v>
      </c>
      <c r="AV149" s="16"/>
      <c r="AW149" s="16"/>
      <c r="AX149" s="16">
        <v>3202</v>
      </c>
      <c r="AY149" s="16">
        <f t="shared" si="29"/>
        <v>65</v>
      </c>
      <c r="AZ149" s="16">
        <v>3137</v>
      </c>
      <c r="BA149" s="16">
        <v>3042</v>
      </c>
      <c r="BB149" s="16">
        <f t="shared" si="30"/>
        <v>95</v>
      </c>
      <c r="BC149" s="16"/>
      <c r="BD149" s="17"/>
      <c r="BE149" s="18">
        <v>2004</v>
      </c>
      <c r="BF149" s="21" t="s">
        <v>47</v>
      </c>
      <c r="BG149" s="15">
        <f>+MIT_Vic_Cap[[#This Row],[Trenes Puntuales]]/MIT_Vic_Cap[[#This Row],[Trenes Programados]]</f>
        <v>0.72368421052631582</v>
      </c>
      <c r="BH149" s="15">
        <f>+MIT_Vic_Cap[[#This Row],[Trenes Puntuales]]/MIT_Vic_Cap[[#This Row],[Trenes Corridos]]</f>
        <v>0.77380952380952384</v>
      </c>
      <c r="BI149" s="15">
        <f>+MIT_Vic_Cap[[#This Row],[Trenes Corridos]]/MIT_Vic_Cap[[#This Row],[Trenes Programados]]</f>
        <v>0.93522267206477738</v>
      </c>
      <c r="BJ149" s="16"/>
      <c r="BK149" s="16"/>
      <c r="BL149" s="16">
        <v>988</v>
      </c>
      <c r="BM149" s="16">
        <f t="shared" si="31"/>
        <v>64</v>
      </c>
      <c r="BN149" s="16">
        <v>924</v>
      </c>
      <c r="BO149" s="16">
        <v>715</v>
      </c>
      <c r="BP149" s="16">
        <f t="shared" si="32"/>
        <v>209</v>
      </c>
      <c r="BQ149" s="16"/>
      <c r="BR149" s="17"/>
      <c r="BS149" s="18">
        <v>2004</v>
      </c>
      <c r="BT149" s="21" t="s">
        <v>47</v>
      </c>
      <c r="BU149" s="15">
        <f>+Tabla8[[#This Row],[Trenes Puntuales]]/Tabla8[[#This Row],[Trenes Programados]]</f>
        <v>0.71826625386996901</v>
      </c>
      <c r="BV149" s="15">
        <f>+Tabla8[[#This Row],[Trenes Puntuales]]/Tabla8[[#This Row],[Trenes Corridos]]</f>
        <v>0.74678111587982832</v>
      </c>
      <c r="BW149" s="15">
        <f>+Tabla8[[#This Row],[Trenes Corridos]]/Tabla8[[#This Row],[Trenes Programados]]</f>
        <v>0.96181630546955621</v>
      </c>
      <c r="BX149" s="16"/>
      <c r="BY149" s="16"/>
      <c r="BZ149" s="16">
        <v>969</v>
      </c>
      <c r="CA149" s="16">
        <f t="shared" si="33"/>
        <v>37</v>
      </c>
      <c r="CB149" s="16">
        <v>932</v>
      </c>
      <c r="CC149" s="16">
        <v>696</v>
      </c>
      <c r="CD149" s="16">
        <f t="shared" si="34"/>
        <v>236</v>
      </c>
      <c r="CI149" s="40"/>
      <c r="CJ149" s="40"/>
      <c r="CK149" s="40"/>
      <c r="CL149" s="40"/>
      <c r="CM149" s="40"/>
    </row>
    <row r="150" spans="1:91" s="18" customFormat="1" ht="15" customHeight="1">
      <c r="A150" s="18">
        <v>2005</v>
      </c>
      <c r="B150" s="21" t="s">
        <v>36</v>
      </c>
      <c r="C150" s="15">
        <f>+MITRE[[#This Row],[Trenes Puntuales]]/MITRE[[#This Row],[Trenes Programados]]</f>
        <v>0.89181286549707606</v>
      </c>
      <c r="D150" s="15">
        <f>+MITRE[[#This Row],[Trenes Puntuales]]/MITRE[[#This Row],[Trenes Corridos]]</f>
        <v>0.91404440811878496</v>
      </c>
      <c r="E150" s="15">
        <f>+MITRE[[#This Row],[Trenes Corridos]]/MITRE[[#This Row],[Trenes Programados]]</f>
        <v>0.97567783094098881</v>
      </c>
      <c r="F150" s="16">
        <f>+Tabla4[[#This Row],[Trenes Programados por Día Hábil]]+Tabla5[[#This Row],[Trenes Programados por Día Hábil]]+Tabla6[[#This Row],[Trenes Programados por Día Hábil]]+MIT_Vic_Cap[[#This Row],[Trenes Programados por Día Hábil]]+Tabla8[[#This Row],[Trenes Programados por Día Hábil]]</f>
        <v>0</v>
      </c>
      <c r="G15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0" s="16">
        <f t="shared" si="20"/>
        <v>15048</v>
      </c>
      <c r="I150" s="16">
        <f t="shared" si="21"/>
        <v>366</v>
      </c>
      <c r="J150" s="16">
        <f t="shared" si="22"/>
        <v>14682</v>
      </c>
      <c r="K150" s="16">
        <f t="shared" si="23"/>
        <v>13420</v>
      </c>
      <c r="L150" s="16">
        <f t="shared" si="24"/>
        <v>1262</v>
      </c>
      <c r="M150" s="16"/>
      <c r="N150" s="17"/>
      <c r="O150" s="18">
        <v>2005</v>
      </c>
      <c r="P150" s="21" t="s">
        <v>36</v>
      </c>
      <c r="Q150" s="15">
        <f>+Tabla4[[#This Row],[Trenes Puntuales]]/Tabla4[[#This Row],[Trenes Programados]]</f>
        <v>0.87854545454545452</v>
      </c>
      <c r="R150" s="15">
        <f>+Tabla4[[#This Row],[Trenes Puntuales]]/Tabla4[[#This Row],[Trenes Corridos]]</f>
        <v>0.89349112426035504</v>
      </c>
      <c r="S150" s="15">
        <f>+Tabla4[[#This Row],[Trenes Corridos]]/Tabla4[[#This Row],[Trenes Programados]]</f>
        <v>0.9832727272727273</v>
      </c>
      <c r="T150" s="16"/>
      <c r="U150" s="16"/>
      <c r="V150" s="16">
        <v>5500</v>
      </c>
      <c r="W150" s="16">
        <f t="shared" ref="W150:W161" si="35">V150-X150</f>
        <v>92</v>
      </c>
      <c r="X150" s="16">
        <v>5408</v>
      </c>
      <c r="Y150" s="16">
        <v>4832</v>
      </c>
      <c r="Z150" s="16">
        <f t="shared" ref="Z150:Z161" si="36">X150-Y150</f>
        <v>576</v>
      </c>
      <c r="AA150" s="16"/>
      <c r="AB150" s="17"/>
      <c r="AC150" s="18">
        <v>2005</v>
      </c>
      <c r="AD150" s="21" t="s">
        <v>36</v>
      </c>
      <c r="AE150" s="15">
        <f>+Tabla5[[#This Row],[Trenes Puntuales]]/Tabla5[[#This Row],[Trenes Programados]]</f>
        <v>0.93195735994556583</v>
      </c>
      <c r="AF150" s="15">
        <f>+Tabla5[[#This Row],[Trenes Puntuales]]/Tabla5[[#This Row],[Trenes Corridos]]</f>
        <v>0.95181839240213106</v>
      </c>
      <c r="AG150" s="15">
        <f>+Tabla5[[#This Row],[Trenes Corridos]]/Tabla5[[#This Row],[Trenes Programados]]</f>
        <v>0.97913359038330683</v>
      </c>
      <c r="AH150" s="16"/>
      <c r="AI150" s="16"/>
      <c r="AJ150" s="16">
        <v>4409</v>
      </c>
      <c r="AK150" s="16">
        <f t="shared" ref="AK150:AK161" si="37">AJ150-AL150</f>
        <v>92</v>
      </c>
      <c r="AL150" s="16">
        <v>4317</v>
      </c>
      <c r="AM150" s="16">
        <v>4109</v>
      </c>
      <c r="AN150" s="16">
        <f t="shared" ref="AN150:AN161" si="38">AL150-AM150</f>
        <v>208</v>
      </c>
      <c r="AO150" s="16"/>
      <c r="AP150" s="17"/>
      <c r="AQ150" s="18">
        <v>2005</v>
      </c>
      <c r="AR150" s="21" t="s">
        <v>36</v>
      </c>
      <c r="AS150" s="15">
        <f>+Tabla6[[#This Row],[Trenes Puntuales]]/Tabla6[[#This Row],[Trenes Programados]]</f>
        <v>0.95492957746478868</v>
      </c>
      <c r="AT150" s="15">
        <f>+Tabla6[[#This Row],[Trenes Puntuales]]/Tabla6[[#This Row],[Trenes Corridos]]</f>
        <v>0.97134670487106012</v>
      </c>
      <c r="AU150" s="15">
        <f>+Tabla6[[#This Row],[Trenes Corridos]]/Tabla6[[#This Row],[Trenes Programados]]</f>
        <v>0.9830985915492958</v>
      </c>
      <c r="AV150" s="16"/>
      <c r="AW150" s="16"/>
      <c r="AX150" s="16">
        <v>3195</v>
      </c>
      <c r="AY150" s="16">
        <f t="shared" ref="AY150:AY161" si="39">AX150-AZ150</f>
        <v>54</v>
      </c>
      <c r="AZ150" s="16">
        <v>3141</v>
      </c>
      <c r="BA150" s="16">
        <v>3051</v>
      </c>
      <c r="BB150" s="16">
        <f t="shared" ref="BB150:BB161" si="40">AZ150-BA150</f>
        <v>90</v>
      </c>
      <c r="BC150" s="16"/>
      <c r="BD150" s="17"/>
      <c r="BE150" s="18">
        <v>2005</v>
      </c>
      <c r="BF150" s="21" t="s">
        <v>36</v>
      </c>
      <c r="BG150" s="15">
        <f>+MIT_Vic_Cap[[#This Row],[Trenes Puntuales]]/MIT_Vic_Cap[[#This Row],[Trenes Programados]]</f>
        <v>0.77429149797570851</v>
      </c>
      <c r="BH150" s="15">
        <f>+MIT_Vic_Cap[[#This Row],[Trenes Puntuales]]/MIT_Vic_Cap[[#This Row],[Trenes Corridos]]</f>
        <v>0.81730769230769229</v>
      </c>
      <c r="BI150" s="15">
        <f>+MIT_Vic_Cap[[#This Row],[Trenes Corridos]]/MIT_Vic_Cap[[#This Row],[Trenes Programados]]</f>
        <v>0.94736842105263153</v>
      </c>
      <c r="BJ150" s="16"/>
      <c r="BK150" s="16"/>
      <c r="BL150" s="16">
        <v>988</v>
      </c>
      <c r="BM150" s="16">
        <f t="shared" ref="BM150:BM161" si="41">BL150-BN150</f>
        <v>52</v>
      </c>
      <c r="BN150" s="16">
        <v>936</v>
      </c>
      <c r="BO150" s="16">
        <v>765</v>
      </c>
      <c r="BP150" s="16">
        <f t="shared" ref="BP150:BP161" si="42">BN150-BO150</f>
        <v>171</v>
      </c>
      <c r="BQ150" s="16"/>
      <c r="BR150" s="17"/>
      <c r="BS150" s="18">
        <v>2005</v>
      </c>
      <c r="BT150" s="21" t="s">
        <v>36</v>
      </c>
      <c r="BU150" s="15">
        <f>+Tabla8[[#This Row],[Trenes Puntuales]]/Tabla8[[#This Row],[Trenes Programados]]</f>
        <v>0.69351464435146448</v>
      </c>
      <c r="BV150" s="15">
        <f>+Tabla8[[#This Row],[Trenes Puntuales]]/Tabla8[[#This Row],[Trenes Corridos]]</f>
        <v>0.75340909090909092</v>
      </c>
      <c r="BW150" s="15">
        <f>+Tabla8[[#This Row],[Trenes Corridos]]/Tabla8[[#This Row],[Trenes Programados]]</f>
        <v>0.92050209205020916</v>
      </c>
      <c r="BX150" s="16"/>
      <c r="BY150" s="16"/>
      <c r="BZ150" s="16">
        <v>956</v>
      </c>
      <c r="CA150" s="16">
        <f t="shared" ref="CA150:CA161" si="43">BZ150-CB150</f>
        <v>76</v>
      </c>
      <c r="CB150" s="16">
        <v>880</v>
      </c>
      <c r="CC150" s="16">
        <v>663</v>
      </c>
      <c r="CD150" s="16">
        <f t="shared" ref="CD150:CD161" si="44">CB150-CC150</f>
        <v>217</v>
      </c>
      <c r="CI150" s="40"/>
      <c r="CJ150" s="40"/>
      <c r="CK150" s="40"/>
      <c r="CL150" s="40"/>
      <c r="CM150" s="40"/>
    </row>
    <row r="151" spans="1:91" s="18" customFormat="1" ht="15" customHeight="1">
      <c r="A151" s="18">
        <v>2005</v>
      </c>
      <c r="B151" s="21" t="s">
        <v>37</v>
      </c>
      <c r="C151" s="15">
        <f>+MITRE[[#This Row],[Trenes Puntuales]]/MITRE[[#This Row],[Trenes Programados]]</f>
        <v>0.86634448932487018</v>
      </c>
      <c r="D151" s="15">
        <f>+MITRE[[#This Row],[Trenes Puntuales]]/MITRE[[#This Row],[Trenes Corridos]]</f>
        <v>0.89049525504151839</v>
      </c>
      <c r="E151" s="15">
        <f>+MITRE[[#This Row],[Trenes Corridos]]/MITRE[[#This Row],[Trenes Programados]]</f>
        <v>0.97287939988459315</v>
      </c>
      <c r="F151" s="16">
        <f>+Tabla4[[#This Row],[Trenes Programados por Día Hábil]]+Tabla5[[#This Row],[Trenes Programados por Día Hábil]]+Tabla6[[#This Row],[Trenes Programados por Día Hábil]]+MIT_Vic_Cap[[#This Row],[Trenes Programados por Día Hábil]]+Tabla8[[#This Row],[Trenes Programados por Día Hábil]]</f>
        <v>0</v>
      </c>
      <c r="G15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1" s="16">
        <f t="shared" si="20"/>
        <v>13864</v>
      </c>
      <c r="I151" s="16">
        <f t="shared" si="21"/>
        <v>376</v>
      </c>
      <c r="J151" s="16">
        <f t="shared" si="22"/>
        <v>13488</v>
      </c>
      <c r="K151" s="16">
        <f t="shared" si="23"/>
        <v>12011</v>
      </c>
      <c r="L151" s="16">
        <f t="shared" si="24"/>
        <v>1477</v>
      </c>
      <c r="M151" s="16"/>
      <c r="N151" s="17"/>
      <c r="O151" s="18">
        <v>2005</v>
      </c>
      <c r="P151" s="21" t="s">
        <v>37</v>
      </c>
      <c r="Q151" s="15">
        <f>+Tabla4[[#This Row],[Trenes Puntuales]]/Tabla4[[#This Row],[Trenes Programados]]</f>
        <v>0.78917322834645665</v>
      </c>
      <c r="R151" s="15">
        <f>+Tabla4[[#This Row],[Trenes Puntuales]]/Tabla4[[#This Row],[Trenes Corridos]]</f>
        <v>0.82404933196300101</v>
      </c>
      <c r="S151" s="15">
        <f>+Tabla4[[#This Row],[Trenes Corridos]]/Tabla4[[#This Row],[Trenes Programados]]</f>
        <v>0.95767716535433067</v>
      </c>
      <c r="T151" s="16"/>
      <c r="U151" s="16"/>
      <c r="V151" s="16">
        <v>5080</v>
      </c>
      <c r="W151" s="16">
        <f t="shared" si="35"/>
        <v>215</v>
      </c>
      <c r="X151" s="16">
        <v>4865</v>
      </c>
      <c r="Y151" s="16">
        <v>4009</v>
      </c>
      <c r="Z151" s="16">
        <f t="shared" si="36"/>
        <v>856</v>
      </c>
      <c r="AA151" s="16"/>
      <c r="AB151" s="17"/>
      <c r="AC151" s="18">
        <v>2005</v>
      </c>
      <c r="AD151" s="21" t="s">
        <v>37</v>
      </c>
      <c r="AE151" s="15">
        <f>+Tabla5[[#This Row],[Trenes Puntuales]]/Tabla5[[#This Row],[Trenes Programados]]</f>
        <v>0.94130648330058941</v>
      </c>
      <c r="AF151" s="15">
        <f>+Tabla5[[#This Row],[Trenes Puntuales]]/Tabla5[[#This Row],[Trenes Corridos]]</f>
        <v>0.9537198308036825</v>
      </c>
      <c r="AG151" s="15">
        <f>+Tabla5[[#This Row],[Trenes Corridos]]/Tabla5[[#This Row],[Trenes Programados]]</f>
        <v>0.98698428290766205</v>
      </c>
      <c r="AH151" s="16"/>
      <c r="AI151" s="16"/>
      <c r="AJ151" s="16">
        <v>4072</v>
      </c>
      <c r="AK151" s="16">
        <f t="shared" si="37"/>
        <v>53</v>
      </c>
      <c r="AL151" s="16">
        <v>4019</v>
      </c>
      <c r="AM151" s="16">
        <v>3833</v>
      </c>
      <c r="AN151" s="16">
        <f t="shared" si="38"/>
        <v>186</v>
      </c>
      <c r="AO151" s="16"/>
      <c r="AP151" s="17"/>
      <c r="AQ151" s="18">
        <v>2005</v>
      </c>
      <c r="AR151" s="21" t="s">
        <v>37</v>
      </c>
      <c r="AS151" s="15">
        <f>+Tabla6[[#This Row],[Trenes Puntuales]]/Tabla6[[#This Row],[Trenes Programados]]</f>
        <v>0.94897260273972606</v>
      </c>
      <c r="AT151" s="15">
        <f>+Tabla6[[#This Row],[Trenes Puntuales]]/Tabla6[[#This Row],[Trenes Corridos]]</f>
        <v>0.96820405310971347</v>
      </c>
      <c r="AU151" s="15">
        <f>+Tabla6[[#This Row],[Trenes Corridos]]/Tabla6[[#This Row],[Trenes Programados]]</f>
        <v>0.98013698630136992</v>
      </c>
      <c r="AV151" s="16"/>
      <c r="AW151" s="16"/>
      <c r="AX151" s="16">
        <v>2920</v>
      </c>
      <c r="AY151" s="16">
        <f t="shared" si="39"/>
        <v>58</v>
      </c>
      <c r="AZ151" s="16">
        <v>2862</v>
      </c>
      <c r="BA151" s="16">
        <v>2771</v>
      </c>
      <c r="BB151" s="16">
        <f t="shared" si="40"/>
        <v>91</v>
      </c>
      <c r="BC151" s="16"/>
      <c r="BD151" s="17"/>
      <c r="BE151" s="18">
        <v>2005</v>
      </c>
      <c r="BF151" s="21" t="s">
        <v>37</v>
      </c>
      <c r="BG151" s="15">
        <f>+MIT_Vic_Cap[[#This Row],[Trenes Puntuales]]/MIT_Vic_Cap[[#This Row],[Trenes Programados]]</f>
        <v>0.77312775330396477</v>
      </c>
      <c r="BH151" s="15">
        <f>+MIT_Vic_Cap[[#This Row],[Trenes Puntuales]]/MIT_Vic_Cap[[#This Row],[Trenes Corridos]]</f>
        <v>0.79591836734693877</v>
      </c>
      <c r="BI151" s="15">
        <f>+MIT_Vic_Cap[[#This Row],[Trenes Corridos]]/MIT_Vic_Cap[[#This Row],[Trenes Programados]]</f>
        <v>0.97136563876651982</v>
      </c>
      <c r="BJ151" s="16"/>
      <c r="BK151" s="16"/>
      <c r="BL151" s="16">
        <v>908</v>
      </c>
      <c r="BM151" s="16">
        <f t="shared" si="41"/>
        <v>26</v>
      </c>
      <c r="BN151" s="16">
        <v>882</v>
      </c>
      <c r="BO151" s="16">
        <v>702</v>
      </c>
      <c r="BP151" s="16">
        <f t="shared" si="42"/>
        <v>180</v>
      </c>
      <c r="BQ151" s="16"/>
      <c r="BR151" s="17"/>
      <c r="BS151" s="18">
        <v>2005</v>
      </c>
      <c r="BT151" s="21" t="s">
        <v>37</v>
      </c>
      <c r="BU151" s="15">
        <f>+Tabla8[[#This Row],[Trenes Puntuales]]/Tabla8[[#This Row],[Trenes Programados]]</f>
        <v>0.78733031674208143</v>
      </c>
      <c r="BV151" s="15">
        <f>+Tabla8[[#This Row],[Trenes Puntuales]]/Tabla8[[#This Row],[Trenes Corridos]]</f>
        <v>0.80930232558139537</v>
      </c>
      <c r="BW151" s="15">
        <f>+Tabla8[[#This Row],[Trenes Corridos]]/Tabla8[[#This Row],[Trenes Programados]]</f>
        <v>0.97285067873303166</v>
      </c>
      <c r="BX151" s="16"/>
      <c r="BY151" s="16"/>
      <c r="BZ151" s="16">
        <v>884</v>
      </c>
      <c r="CA151" s="16">
        <f t="shared" si="43"/>
        <v>24</v>
      </c>
      <c r="CB151" s="16">
        <v>860</v>
      </c>
      <c r="CC151" s="16">
        <v>696</v>
      </c>
      <c r="CD151" s="16">
        <f t="shared" si="44"/>
        <v>164</v>
      </c>
      <c r="CI151" s="40"/>
      <c r="CJ151" s="40"/>
      <c r="CK151" s="40"/>
      <c r="CL151" s="40"/>
      <c r="CM151" s="40"/>
    </row>
    <row r="152" spans="1:91" s="18" customFormat="1" ht="15" customHeight="1">
      <c r="A152" s="18">
        <v>2005</v>
      </c>
      <c r="B152" s="21" t="s">
        <v>38</v>
      </c>
      <c r="C152" s="15">
        <f>+MITRE[[#This Row],[Trenes Puntuales]]/MITRE[[#This Row],[Trenes Programados]]</f>
        <v>0.8482604992465439</v>
      </c>
      <c r="D152" s="15">
        <f>+MITRE[[#This Row],[Trenes Puntuales]]/MITRE[[#This Row],[Trenes Corridos]]</f>
        <v>0.87450185748058085</v>
      </c>
      <c r="E152" s="15">
        <f>+MITRE[[#This Row],[Trenes Corridos]]/MITRE[[#This Row],[Trenes Programados]]</f>
        <v>0.96999279302889341</v>
      </c>
      <c r="F152" s="16">
        <f>+Tabla4[[#This Row],[Trenes Programados por Día Hábil]]+Tabla5[[#This Row],[Trenes Programados por Día Hábil]]+Tabla6[[#This Row],[Trenes Programados por Día Hábil]]+MIT_Vic_Cap[[#This Row],[Trenes Programados por Día Hábil]]+Tabla8[[#This Row],[Trenes Programados por Día Hábil]]</f>
        <v>0</v>
      </c>
      <c r="G15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2" s="16">
        <f t="shared" si="20"/>
        <v>15263</v>
      </c>
      <c r="I152" s="16">
        <f t="shared" si="21"/>
        <v>458</v>
      </c>
      <c r="J152" s="16">
        <f t="shared" si="22"/>
        <v>14805</v>
      </c>
      <c r="K152" s="16">
        <f t="shared" si="23"/>
        <v>12947</v>
      </c>
      <c r="L152" s="16">
        <f t="shared" si="24"/>
        <v>1858</v>
      </c>
      <c r="M152" s="16"/>
      <c r="N152" s="17"/>
      <c r="O152" s="18">
        <v>2005</v>
      </c>
      <c r="P152" s="21" t="s">
        <v>38</v>
      </c>
      <c r="Q152" s="15">
        <f>+Tabla4[[#This Row],[Trenes Puntuales]]/Tabla4[[#This Row],[Trenes Programados]]</f>
        <v>0.85670840787119862</v>
      </c>
      <c r="R152" s="15">
        <f>+Tabla4[[#This Row],[Trenes Puntuales]]/Tabla4[[#This Row],[Trenes Corridos]]</f>
        <v>0.87871559633027518</v>
      </c>
      <c r="S152" s="15">
        <f>+Tabla4[[#This Row],[Trenes Corridos]]/Tabla4[[#This Row],[Trenes Programados]]</f>
        <v>0.97495527728085862</v>
      </c>
      <c r="T152" s="16"/>
      <c r="U152" s="16"/>
      <c r="V152" s="16">
        <v>5590</v>
      </c>
      <c r="W152" s="16">
        <f t="shared" si="35"/>
        <v>140</v>
      </c>
      <c r="X152" s="16">
        <v>5450</v>
      </c>
      <c r="Y152" s="16">
        <v>4789</v>
      </c>
      <c r="Z152" s="16">
        <f t="shared" si="36"/>
        <v>661</v>
      </c>
      <c r="AA152" s="16"/>
      <c r="AB152" s="17"/>
      <c r="AC152" s="18">
        <v>2005</v>
      </c>
      <c r="AD152" s="21" t="s">
        <v>38</v>
      </c>
      <c r="AE152" s="15">
        <f>+Tabla5[[#This Row],[Trenes Puntuales]]/Tabla5[[#This Row],[Trenes Programados]]</f>
        <v>0.86514847064076805</v>
      </c>
      <c r="AF152" s="15">
        <f>+Tabla5[[#This Row],[Trenes Puntuales]]/Tabla5[[#This Row],[Trenes Corridos]]</f>
        <v>0.89019067309901223</v>
      </c>
      <c r="AG152" s="15">
        <f>+Tabla5[[#This Row],[Trenes Corridos]]/Tabla5[[#This Row],[Trenes Programados]]</f>
        <v>0.97186872069658403</v>
      </c>
      <c r="AH152" s="16"/>
      <c r="AI152" s="16"/>
      <c r="AJ152" s="16">
        <v>4479</v>
      </c>
      <c r="AK152" s="16">
        <f t="shared" si="37"/>
        <v>126</v>
      </c>
      <c r="AL152" s="16">
        <v>4353</v>
      </c>
      <c r="AM152" s="16">
        <v>3875</v>
      </c>
      <c r="AN152" s="16">
        <f t="shared" si="38"/>
        <v>478</v>
      </c>
      <c r="AO152" s="16"/>
      <c r="AP152" s="17"/>
      <c r="AQ152" s="18">
        <v>2005</v>
      </c>
      <c r="AR152" s="21" t="s">
        <v>38</v>
      </c>
      <c r="AS152" s="15">
        <f>+Tabla6[[#This Row],[Trenes Puntuales]]/Tabla6[[#This Row],[Trenes Programados]]</f>
        <v>0.88512884197454211</v>
      </c>
      <c r="AT152" s="15">
        <f>+Tabla6[[#This Row],[Trenes Puntuales]]/Tabla6[[#This Row],[Trenes Corridos]]</f>
        <v>0.91348926626081384</v>
      </c>
      <c r="AU152" s="15">
        <f>+Tabla6[[#This Row],[Trenes Corridos]]/Tabla6[[#This Row],[Trenes Programados]]</f>
        <v>0.96895374107420051</v>
      </c>
      <c r="AV152" s="16"/>
      <c r="AW152" s="16"/>
      <c r="AX152" s="16">
        <v>3221</v>
      </c>
      <c r="AY152" s="16">
        <f t="shared" si="39"/>
        <v>100</v>
      </c>
      <c r="AZ152" s="16">
        <v>3121</v>
      </c>
      <c r="BA152" s="16">
        <v>2851</v>
      </c>
      <c r="BB152" s="16">
        <f t="shared" si="40"/>
        <v>270</v>
      </c>
      <c r="BC152" s="16"/>
      <c r="BD152" s="17"/>
      <c r="BE152" s="18">
        <v>2005</v>
      </c>
      <c r="BF152" s="21" t="s">
        <v>38</v>
      </c>
      <c r="BG152" s="15">
        <f>+MIT_Vic_Cap[[#This Row],[Trenes Puntuales]]/MIT_Vic_Cap[[#This Row],[Trenes Programados]]</f>
        <v>0.7357357357357357</v>
      </c>
      <c r="BH152" s="15">
        <f>+MIT_Vic_Cap[[#This Row],[Trenes Puntuales]]/MIT_Vic_Cap[[#This Row],[Trenes Corridos]]</f>
        <v>0.77695560253699791</v>
      </c>
      <c r="BI152" s="15">
        <f>+MIT_Vic_Cap[[#This Row],[Trenes Corridos]]/MIT_Vic_Cap[[#This Row],[Trenes Programados]]</f>
        <v>0.94694694694694692</v>
      </c>
      <c r="BJ152" s="16"/>
      <c r="BK152" s="16"/>
      <c r="BL152" s="16">
        <v>999</v>
      </c>
      <c r="BM152" s="16">
        <f t="shared" si="41"/>
        <v>53</v>
      </c>
      <c r="BN152" s="16">
        <v>946</v>
      </c>
      <c r="BO152" s="16">
        <v>735</v>
      </c>
      <c r="BP152" s="16">
        <f t="shared" si="42"/>
        <v>211</v>
      </c>
      <c r="BQ152" s="16"/>
      <c r="BR152" s="17"/>
      <c r="BS152" s="18">
        <v>2005</v>
      </c>
      <c r="BT152" s="21" t="s">
        <v>38</v>
      </c>
      <c r="BU152" s="15">
        <f>+Tabla8[[#This Row],[Trenes Puntuales]]/Tabla8[[#This Row],[Trenes Programados]]</f>
        <v>0.71560574948665301</v>
      </c>
      <c r="BV152" s="15">
        <f>+Tabla8[[#This Row],[Trenes Puntuales]]/Tabla8[[#This Row],[Trenes Corridos]]</f>
        <v>0.74545454545454548</v>
      </c>
      <c r="BW152" s="15">
        <f>+Tabla8[[#This Row],[Trenes Corridos]]/Tabla8[[#This Row],[Trenes Programados]]</f>
        <v>0.95995893223819306</v>
      </c>
      <c r="BX152" s="16"/>
      <c r="BY152" s="16"/>
      <c r="BZ152" s="16">
        <v>974</v>
      </c>
      <c r="CA152" s="16">
        <f t="shared" si="43"/>
        <v>39</v>
      </c>
      <c r="CB152" s="16">
        <v>935</v>
      </c>
      <c r="CC152" s="16">
        <v>697</v>
      </c>
      <c r="CD152" s="16">
        <f t="shared" si="44"/>
        <v>238</v>
      </c>
      <c r="CI152" s="40"/>
      <c r="CJ152" s="40"/>
      <c r="CK152" s="40"/>
      <c r="CL152" s="40"/>
      <c r="CM152" s="40"/>
    </row>
    <row r="153" spans="1:91" s="18" customFormat="1" ht="15" customHeight="1">
      <c r="A153" s="18">
        <v>2005</v>
      </c>
      <c r="B153" s="21" t="s">
        <v>39</v>
      </c>
      <c r="C153" s="15">
        <f>+MITRE[[#This Row],[Trenes Puntuales]]/MITRE[[#This Row],[Trenes Programados]]</f>
        <v>0.84176570458404076</v>
      </c>
      <c r="D153" s="15">
        <f>+MITRE[[#This Row],[Trenes Puntuales]]/MITRE[[#This Row],[Trenes Corridos]]</f>
        <v>0.86256089074460685</v>
      </c>
      <c r="E153" s="15">
        <f>+MITRE[[#This Row],[Trenes Corridos]]/MITRE[[#This Row],[Trenes Programados]]</f>
        <v>0.97589134125636667</v>
      </c>
      <c r="F153" s="16">
        <f>+Tabla4[[#This Row],[Trenes Programados por Día Hábil]]+Tabla5[[#This Row],[Trenes Programados por Día Hábil]]+Tabla6[[#This Row],[Trenes Programados por Día Hábil]]+MIT_Vic_Cap[[#This Row],[Trenes Programados por Día Hábil]]+Tabla8[[#This Row],[Trenes Programados por Día Hábil]]</f>
        <v>0</v>
      </c>
      <c r="G15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3" s="16">
        <f t="shared" si="20"/>
        <v>14725</v>
      </c>
      <c r="I153" s="16">
        <f t="shared" si="21"/>
        <v>355</v>
      </c>
      <c r="J153" s="16">
        <f t="shared" si="22"/>
        <v>14370</v>
      </c>
      <c r="K153" s="16">
        <f t="shared" si="23"/>
        <v>12395</v>
      </c>
      <c r="L153" s="16">
        <f t="shared" si="24"/>
        <v>1975</v>
      </c>
      <c r="M153" s="16"/>
      <c r="N153" s="17"/>
      <c r="O153" s="18">
        <v>2005</v>
      </c>
      <c r="P153" s="21" t="s">
        <v>39</v>
      </c>
      <c r="Q153" s="15">
        <f>+Tabla4[[#This Row],[Trenes Puntuales]]/Tabla4[[#This Row],[Trenes Programados]]</f>
        <v>0.80946196660482372</v>
      </c>
      <c r="R153" s="15">
        <f>+Tabla4[[#This Row],[Trenes Puntuales]]/Tabla4[[#This Row],[Trenes Corridos]]</f>
        <v>0.8296254040692147</v>
      </c>
      <c r="S153" s="15">
        <f>+Tabla4[[#This Row],[Trenes Corridos]]/Tabla4[[#This Row],[Trenes Programados]]</f>
        <v>0.97569573283859001</v>
      </c>
      <c r="T153" s="16"/>
      <c r="U153" s="16"/>
      <c r="V153" s="16">
        <v>5390</v>
      </c>
      <c r="W153" s="16">
        <f t="shared" si="35"/>
        <v>131</v>
      </c>
      <c r="X153" s="16">
        <v>5259</v>
      </c>
      <c r="Y153" s="16">
        <v>4363</v>
      </c>
      <c r="Z153" s="16">
        <f t="shared" si="36"/>
        <v>896</v>
      </c>
      <c r="AA153" s="16"/>
      <c r="AB153" s="17"/>
      <c r="AC153" s="18">
        <v>2005</v>
      </c>
      <c r="AD153" s="21" t="s">
        <v>39</v>
      </c>
      <c r="AE153" s="15">
        <f>+Tabla5[[#This Row],[Trenes Puntuales]]/Tabla5[[#This Row],[Trenes Programados]]</f>
        <v>0.88287037037037042</v>
      </c>
      <c r="AF153" s="15">
        <f>+Tabla5[[#This Row],[Trenes Puntuales]]/Tabla5[[#This Row],[Trenes Corridos]]</f>
        <v>0.90016521123436388</v>
      </c>
      <c r="AG153" s="15">
        <f>+Tabla5[[#This Row],[Trenes Corridos]]/Tabla5[[#This Row],[Trenes Programados]]</f>
        <v>0.98078703703703707</v>
      </c>
      <c r="AH153" s="16"/>
      <c r="AI153" s="16"/>
      <c r="AJ153" s="16">
        <v>4320</v>
      </c>
      <c r="AK153" s="16">
        <f t="shared" si="37"/>
        <v>83</v>
      </c>
      <c r="AL153" s="16">
        <v>4237</v>
      </c>
      <c r="AM153" s="16">
        <v>3814</v>
      </c>
      <c r="AN153" s="16">
        <f t="shared" si="38"/>
        <v>423</v>
      </c>
      <c r="AO153" s="16"/>
      <c r="AP153" s="17"/>
      <c r="AQ153" s="18">
        <v>2005</v>
      </c>
      <c r="AR153" s="21" t="s">
        <v>39</v>
      </c>
      <c r="AS153" s="15">
        <f>+Tabla6[[#This Row],[Trenes Puntuales]]/Tabla6[[#This Row],[Trenes Programados]]</f>
        <v>0.9209511568123393</v>
      </c>
      <c r="AT153" s="15">
        <f>+Tabla6[[#This Row],[Trenes Puntuales]]/Tabla6[[#This Row],[Trenes Corridos]]</f>
        <v>0.94245314041433736</v>
      </c>
      <c r="AU153" s="15">
        <f>+Tabla6[[#This Row],[Trenes Corridos]]/Tabla6[[#This Row],[Trenes Programados]]</f>
        <v>0.9771850899742931</v>
      </c>
      <c r="AV153" s="16"/>
      <c r="AW153" s="16"/>
      <c r="AX153" s="16">
        <v>3112</v>
      </c>
      <c r="AY153" s="16">
        <f t="shared" si="39"/>
        <v>71</v>
      </c>
      <c r="AZ153" s="16">
        <v>3041</v>
      </c>
      <c r="BA153" s="16">
        <v>2866</v>
      </c>
      <c r="BB153" s="16">
        <f t="shared" si="40"/>
        <v>175</v>
      </c>
      <c r="BC153" s="16"/>
      <c r="BD153" s="17"/>
      <c r="BE153" s="18">
        <v>2005</v>
      </c>
      <c r="BF153" s="21" t="s">
        <v>39</v>
      </c>
      <c r="BG153" s="15">
        <f>+MIT_Vic_Cap[[#This Row],[Trenes Puntuales]]/MIT_Vic_Cap[[#This Row],[Trenes Programados]]</f>
        <v>0.78341968911917104</v>
      </c>
      <c r="BH153" s="15">
        <f>+MIT_Vic_Cap[[#This Row],[Trenes Puntuales]]/MIT_Vic_Cap[[#This Row],[Trenes Corridos]]</f>
        <v>0.81203007518796988</v>
      </c>
      <c r="BI153" s="15">
        <f>+MIT_Vic_Cap[[#This Row],[Trenes Corridos]]/MIT_Vic_Cap[[#This Row],[Trenes Programados]]</f>
        <v>0.96476683937823837</v>
      </c>
      <c r="BJ153" s="16"/>
      <c r="BK153" s="16"/>
      <c r="BL153" s="16">
        <v>965</v>
      </c>
      <c r="BM153" s="16">
        <f t="shared" si="41"/>
        <v>34</v>
      </c>
      <c r="BN153" s="16">
        <v>931</v>
      </c>
      <c r="BO153" s="16">
        <v>756</v>
      </c>
      <c r="BP153" s="16">
        <f t="shared" si="42"/>
        <v>175</v>
      </c>
      <c r="BQ153" s="16"/>
      <c r="BR153" s="17"/>
      <c r="BS153" s="18">
        <v>2005</v>
      </c>
      <c r="BT153" s="21" t="s">
        <v>39</v>
      </c>
      <c r="BU153" s="15">
        <f>+Tabla8[[#This Row],[Trenes Puntuales]]/Tabla8[[#This Row],[Trenes Programados]]</f>
        <v>0.6353944562899787</v>
      </c>
      <c r="BV153" s="15">
        <f>+Tabla8[[#This Row],[Trenes Puntuales]]/Tabla8[[#This Row],[Trenes Corridos]]</f>
        <v>0.6607538802660754</v>
      </c>
      <c r="BW153" s="15">
        <f>+Tabla8[[#This Row],[Trenes Corridos]]/Tabla8[[#This Row],[Trenes Programados]]</f>
        <v>0.96162046908315568</v>
      </c>
      <c r="BX153" s="16"/>
      <c r="BY153" s="16"/>
      <c r="BZ153" s="16">
        <v>938</v>
      </c>
      <c r="CA153" s="16">
        <f t="shared" si="43"/>
        <v>36</v>
      </c>
      <c r="CB153" s="16">
        <v>902</v>
      </c>
      <c r="CC153" s="16">
        <v>596</v>
      </c>
      <c r="CD153" s="16">
        <f t="shared" si="44"/>
        <v>306</v>
      </c>
      <c r="CI153" s="40"/>
      <c r="CJ153" s="40"/>
      <c r="CK153" s="40"/>
      <c r="CL153" s="40"/>
      <c r="CM153" s="40"/>
    </row>
    <row r="154" spans="1:91" s="18" customFormat="1" ht="15" customHeight="1">
      <c r="A154" s="18">
        <v>2005</v>
      </c>
      <c r="B154" s="21" t="s">
        <v>40</v>
      </c>
      <c r="C154" s="15">
        <f>+MITRE[[#This Row],[Trenes Puntuales]]/MITRE[[#This Row],[Trenes Programados]]</f>
        <v>0.85180754917597024</v>
      </c>
      <c r="D154" s="15">
        <f>+MITRE[[#This Row],[Trenes Puntuales]]/MITRE[[#This Row],[Trenes Corridos]]</f>
        <v>0.87417308872672717</v>
      </c>
      <c r="E154" s="15">
        <f>+MITRE[[#This Row],[Trenes Corridos]]/MITRE[[#This Row],[Trenes Programados]]</f>
        <v>0.97441520467836262</v>
      </c>
      <c r="F154" s="16">
        <f>+Tabla4[[#This Row],[Trenes Programados por Día Hábil]]+Tabla5[[#This Row],[Trenes Programados por Día Hábil]]+Tabla6[[#This Row],[Trenes Programados por Día Hábil]]+MIT_Vic_Cap[[#This Row],[Trenes Programados por Día Hábil]]+Tabla8[[#This Row],[Trenes Programados por Día Hábil]]</f>
        <v>0</v>
      </c>
      <c r="G15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4" s="16">
        <f t="shared" si="20"/>
        <v>15048</v>
      </c>
      <c r="I154" s="16">
        <f t="shared" si="21"/>
        <v>385</v>
      </c>
      <c r="J154" s="16">
        <f t="shared" si="22"/>
        <v>14663</v>
      </c>
      <c r="K154" s="16">
        <f t="shared" si="23"/>
        <v>12818</v>
      </c>
      <c r="L154" s="16">
        <f t="shared" si="24"/>
        <v>1845</v>
      </c>
      <c r="M154" s="16"/>
      <c r="N154" s="17"/>
      <c r="O154" s="18">
        <v>2005</v>
      </c>
      <c r="P154" s="21" t="s">
        <v>40</v>
      </c>
      <c r="Q154" s="15">
        <f>+Tabla4[[#This Row],[Trenes Puntuales]]/Tabla4[[#This Row],[Trenes Programados]]</f>
        <v>0.83818181818181814</v>
      </c>
      <c r="R154" s="15">
        <f>+Tabla4[[#This Row],[Trenes Puntuales]]/Tabla4[[#This Row],[Trenes Corridos]]</f>
        <v>0.86216570039274354</v>
      </c>
      <c r="S154" s="15">
        <f>+Tabla4[[#This Row],[Trenes Corridos]]/Tabla4[[#This Row],[Trenes Programados]]</f>
        <v>0.97218181818181815</v>
      </c>
      <c r="T154" s="16"/>
      <c r="U154" s="16"/>
      <c r="V154" s="16">
        <v>5500</v>
      </c>
      <c r="W154" s="16">
        <f t="shared" si="35"/>
        <v>153</v>
      </c>
      <c r="X154" s="16">
        <v>5347</v>
      </c>
      <c r="Y154" s="16">
        <v>4610</v>
      </c>
      <c r="Z154" s="16">
        <f t="shared" si="36"/>
        <v>737</v>
      </c>
      <c r="AA154" s="16"/>
      <c r="AB154" s="17"/>
      <c r="AC154" s="18">
        <v>2005</v>
      </c>
      <c r="AD154" s="21" t="s">
        <v>40</v>
      </c>
      <c r="AE154" s="15">
        <f>+Tabla5[[#This Row],[Trenes Puntuales]]/Tabla5[[#This Row],[Trenes Programados]]</f>
        <v>0.90201859832161491</v>
      </c>
      <c r="AF154" s="15">
        <f>+Tabla5[[#This Row],[Trenes Puntuales]]/Tabla5[[#This Row],[Trenes Corridos]]</f>
        <v>0.91027695124742503</v>
      </c>
      <c r="AG154" s="15">
        <f>+Tabla5[[#This Row],[Trenes Corridos]]/Tabla5[[#This Row],[Trenes Programados]]</f>
        <v>0.99092764799274213</v>
      </c>
      <c r="AH154" s="16"/>
      <c r="AI154" s="16"/>
      <c r="AJ154" s="16">
        <v>4409</v>
      </c>
      <c r="AK154" s="16">
        <f t="shared" si="37"/>
        <v>40</v>
      </c>
      <c r="AL154" s="16">
        <v>4369</v>
      </c>
      <c r="AM154" s="16">
        <v>3977</v>
      </c>
      <c r="AN154" s="16">
        <f t="shared" si="38"/>
        <v>392</v>
      </c>
      <c r="AO154" s="16"/>
      <c r="AP154" s="17"/>
      <c r="AQ154" s="18">
        <v>2005</v>
      </c>
      <c r="AR154" s="21" t="s">
        <v>40</v>
      </c>
      <c r="AS154" s="15">
        <f>+Tabla6[[#This Row],[Trenes Puntuales]]/Tabla6[[#This Row],[Trenes Programados]]</f>
        <v>0.94491392801251961</v>
      </c>
      <c r="AT154" s="15">
        <f>+Tabla6[[#This Row],[Trenes Puntuales]]/Tabla6[[#This Row],[Trenes Corridos]]</f>
        <v>0.96177126473399177</v>
      </c>
      <c r="AU154" s="15">
        <f>+Tabla6[[#This Row],[Trenes Corridos]]/Tabla6[[#This Row],[Trenes Programados]]</f>
        <v>0.98247261345852899</v>
      </c>
      <c r="AV154" s="16"/>
      <c r="AW154" s="16"/>
      <c r="AX154" s="16">
        <v>3195</v>
      </c>
      <c r="AY154" s="16">
        <f t="shared" si="39"/>
        <v>56</v>
      </c>
      <c r="AZ154" s="16">
        <v>3139</v>
      </c>
      <c r="BA154" s="16">
        <v>3019</v>
      </c>
      <c r="BB154" s="16">
        <f t="shared" si="40"/>
        <v>120</v>
      </c>
      <c r="BC154" s="16"/>
      <c r="BD154" s="17"/>
      <c r="BE154" s="18">
        <v>2005</v>
      </c>
      <c r="BF154" s="21" t="s">
        <v>40</v>
      </c>
      <c r="BG154" s="15">
        <f>+MIT_Vic_Cap[[#This Row],[Trenes Puntuales]]/MIT_Vic_Cap[[#This Row],[Trenes Programados]]</f>
        <v>0.66295546558704455</v>
      </c>
      <c r="BH154" s="15">
        <f>+MIT_Vic_Cap[[#This Row],[Trenes Puntuales]]/MIT_Vic_Cap[[#This Row],[Trenes Corridos]]</f>
        <v>0.70810810810810809</v>
      </c>
      <c r="BI154" s="15">
        <f>+MIT_Vic_Cap[[#This Row],[Trenes Corridos]]/MIT_Vic_Cap[[#This Row],[Trenes Programados]]</f>
        <v>0.93623481781376516</v>
      </c>
      <c r="BJ154" s="16"/>
      <c r="BK154" s="16"/>
      <c r="BL154" s="16">
        <v>988</v>
      </c>
      <c r="BM154" s="16">
        <f t="shared" si="41"/>
        <v>63</v>
      </c>
      <c r="BN154" s="16">
        <v>925</v>
      </c>
      <c r="BO154" s="16">
        <v>655</v>
      </c>
      <c r="BP154" s="16">
        <f t="shared" si="42"/>
        <v>270</v>
      </c>
      <c r="BQ154" s="16"/>
      <c r="BR154" s="17"/>
      <c r="BS154" s="18">
        <v>2005</v>
      </c>
      <c r="BT154" s="21" t="s">
        <v>40</v>
      </c>
      <c r="BU154" s="15">
        <f>+Tabla8[[#This Row],[Trenes Puntuales]]/Tabla8[[#This Row],[Trenes Programados]]</f>
        <v>0.58263598326359833</v>
      </c>
      <c r="BV154" s="15">
        <f>+Tabla8[[#This Row],[Trenes Puntuales]]/Tabla8[[#This Row],[Trenes Corridos]]</f>
        <v>0.63080407701019248</v>
      </c>
      <c r="BW154" s="15">
        <f>+Tabla8[[#This Row],[Trenes Corridos]]/Tabla8[[#This Row],[Trenes Programados]]</f>
        <v>0.92364016736401677</v>
      </c>
      <c r="BX154" s="16"/>
      <c r="BY154" s="16"/>
      <c r="BZ154" s="16">
        <v>956</v>
      </c>
      <c r="CA154" s="16">
        <f t="shared" si="43"/>
        <v>73</v>
      </c>
      <c r="CB154" s="16">
        <v>883</v>
      </c>
      <c r="CC154" s="16">
        <v>557</v>
      </c>
      <c r="CD154" s="16">
        <f t="shared" si="44"/>
        <v>326</v>
      </c>
      <c r="CI154" s="40"/>
      <c r="CJ154" s="40"/>
      <c r="CK154" s="40"/>
      <c r="CL154" s="40"/>
      <c r="CM154" s="40"/>
    </row>
    <row r="155" spans="1:91" s="18" customFormat="1" ht="15" customHeight="1">
      <c r="A155" s="18">
        <v>2005</v>
      </c>
      <c r="B155" s="21" t="s">
        <v>41</v>
      </c>
      <c r="C155" s="15">
        <f>+MITRE[[#This Row],[Trenes Puntuales]]/MITRE[[#This Row],[Trenes Programados]]</f>
        <v>0.81259757008077105</v>
      </c>
      <c r="D155" s="15">
        <f>+MITRE[[#This Row],[Trenes Puntuales]]/MITRE[[#This Row],[Trenes Corridos]]</f>
        <v>0.83318254575822948</v>
      </c>
      <c r="E155" s="15">
        <f>+MITRE[[#This Row],[Trenes Corridos]]/MITRE[[#This Row],[Trenes Programados]]</f>
        <v>0.9752935586777981</v>
      </c>
      <c r="F155" s="16">
        <f>+Tabla4[[#This Row],[Trenes Programados por Día Hábil]]+Tabla5[[#This Row],[Trenes Programados por Día Hábil]]+Tabla6[[#This Row],[Trenes Programados por Día Hábil]]+MIT_Vic_Cap[[#This Row],[Trenes Programados por Día Hábil]]+Tabla8[[#This Row],[Trenes Programados por Día Hábil]]</f>
        <v>0</v>
      </c>
      <c r="G15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5" s="16">
        <f t="shared" si="20"/>
        <v>14733</v>
      </c>
      <c r="I155" s="16">
        <f t="shared" si="21"/>
        <v>364</v>
      </c>
      <c r="J155" s="16">
        <f t="shared" si="22"/>
        <v>14369</v>
      </c>
      <c r="K155" s="16">
        <f t="shared" si="23"/>
        <v>11972</v>
      </c>
      <c r="L155" s="16">
        <f t="shared" si="24"/>
        <v>2397</v>
      </c>
      <c r="M155" s="16"/>
      <c r="N155" s="17"/>
      <c r="O155" s="18">
        <v>2005</v>
      </c>
      <c r="P155" s="21" t="s">
        <v>41</v>
      </c>
      <c r="Q155" s="15">
        <f>+Tabla4[[#This Row],[Trenes Puntuales]]/Tabla4[[#This Row],[Trenes Programados]]</f>
        <v>0.75009276437847872</v>
      </c>
      <c r="R155" s="15">
        <f>+Tabla4[[#This Row],[Trenes Puntuales]]/Tabla4[[#This Row],[Trenes Corridos]]</f>
        <v>0.77735050951740048</v>
      </c>
      <c r="S155" s="15">
        <f>+Tabla4[[#This Row],[Trenes Corridos]]/Tabla4[[#This Row],[Trenes Programados]]</f>
        <v>0.96493506493506498</v>
      </c>
      <c r="T155" s="16"/>
      <c r="U155" s="16"/>
      <c r="V155" s="16">
        <v>5390</v>
      </c>
      <c r="W155" s="16">
        <f t="shared" si="35"/>
        <v>189</v>
      </c>
      <c r="X155" s="16">
        <v>5201</v>
      </c>
      <c r="Y155" s="16">
        <v>4043</v>
      </c>
      <c r="Z155" s="16">
        <f t="shared" si="36"/>
        <v>1158</v>
      </c>
      <c r="AA155" s="16"/>
      <c r="AB155" s="17"/>
      <c r="AC155" s="18">
        <v>2005</v>
      </c>
      <c r="AD155" s="21" t="s">
        <v>41</v>
      </c>
      <c r="AE155" s="15">
        <f>+Tabla5[[#This Row],[Trenes Puntuales]]/Tabla5[[#This Row],[Trenes Programados]]</f>
        <v>0.90064695009242146</v>
      </c>
      <c r="AF155" s="15">
        <f>+Tabla5[[#This Row],[Trenes Puntuales]]/Tabla5[[#This Row],[Trenes Corridos]]</f>
        <v>0.91288056206088997</v>
      </c>
      <c r="AG155" s="15">
        <f>+Tabla5[[#This Row],[Trenes Corridos]]/Tabla5[[#This Row],[Trenes Programados]]</f>
        <v>0.9865988909426987</v>
      </c>
      <c r="AH155" s="16"/>
      <c r="AI155" s="16"/>
      <c r="AJ155" s="16">
        <v>4328</v>
      </c>
      <c r="AK155" s="16">
        <f t="shared" si="37"/>
        <v>58</v>
      </c>
      <c r="AL155" s="16">
        <v>4270</v>
      </c>
      <c r="AM155" s="16">
        <v>3898</v>
      </c>
      <c r="AN155" s="16">
        <f t="shared" si="38"/>
        <v>372</v>
      </c>
      <c r="AO155" s="16"/>
      <c r="AP155" s="17"/>
      <c r="AQ155" s="18">
        <v>2005</v>
      </c>
      <c r="AR155" s="21" t="s">
        <v>41</v>
      </c>
      <c r="AS155" s="15">
        <f>+Tabla6[[#This Row],[Trenes Puntuales]]/Tabla6[[#This Row],[Trenes Programados]]</f>
        <v>0.95179948586118257</v>
      </c>
      <c r="AT155" s="15">
        <f>+Tabla6[[#This Row],[Trenes Puntuales]]/Tabla6[[#This Row],[Trenes Corridos]]</f>
        <v>0.95826593335490129</v>
      </c>
      <c r="AU155" s="15">
        <f>+Tabla6[[#This Row],[Trenes Corridos]]/Tabla6[[#This Row],[Trenes Programados]]</f>
        <v>0.9932519280205655</v>
      </c>
      <c r="AV155" s="16"/>
      <c r="AW155" s="16"/>
      <c r="AX155" s="16">
        <v>3112</v>
      </c>
      <c r="AY155" s="16">
        <f t="shared" si="39"/>
        <v>21</v>
      </c>
      <c r="AZ155" s="16">
        <v>3091</v>
      </c>
      <c r="BA155" s="16">
        <v>2962</v>
      </c>
      <c r="BB155" s="16">
        <f t="shared" si="40"/>
        <v>129</v>
      </c>
      <c r="BC155" s="16"/>
      <c r="BD155" s="17"/>
      <c r="BE155" s="18">
        <v>2005</v>
      </c>
      <c r="BF155" s="21" t="s">
        <v>41</v>
      </c>
      <c r="BG155" s="15">
        <f>+MIT_Vic_Cap[[#This Row],[Trenes Puntuales]]/MIT_Vic_Cap[[#This Row],[Trenes Programados]]</f>
        <v>0.53367875647668395</v>
      </c>
      <c r="BH155" s="15">
        <f>+MIT_Vic_Cap[[#This Row],[Trenes Puntuales]]/MIT_Vic_Cap[[#This Row],[Trenes Corridos]]</f>
        <v>0.56843267108167772</v>
      </c>
      <c r="BI155" s="15">
        <f>+MIT_Vic_Cap[[#This Row],[Trenes Corridos]]/MIT_Vic_Cap[[#This Row],[Trenes Programados]]</f>
        <v>0.93886010362694305</v>
      </c>
      <c r="BJ155" s="16"/>
      <c r="BK155" s="16"/>
      <c r="BL155" s="16">
        <v>965</v>
      </c>
      <c r="BM155" s="16">
        <f t="shared" si="41"/>
        <v>59</v>
      </c>
      <c r="BN155" s="16">
        <v>906</v>
      </c>
      <c r="BO155" s="16">
        <v>515</v>
      </c>
      <c r="BP155" s="16">
        <f t="shared" si="42"/>
        <v>391</v>
      </c>
      <c r="BQ155" s="16"/>
      <c r="BR155" s="17"/>
      <c r="BS155" s="18">
        <v>2005</v>
      </c>
      <c r="BT155" s="21" t="s">
        <v>41</v>
      </c>
      <c r="BU155" s="15">
        <f>+Tabla8[[#This Row],[Trenes Puntuales]]/Tabla8[[#This Row],[Trenes Programados]]</f>
        <v>0.59061833688699361</v>
      </c>
      <c r="BV155" s="15">
        <f>+Tabla8[[#This Row],[Trenes Puntuales]]/Tabla8[[#This Row],[Trenes Corridos]]</f>
        <v>0.6148723640399556</v>
      </c>
      <c r="BW155" s="15">
        <f>+Tabla8[[#This Row],[Trenes Corridos]]/Tabla8[[#This Row],[Trenes Programados]]</f>
        <v>0.96055437100213215</v>
      </c>
      <c r="BX155" s="16"/>
      <c r="BY155" s="16"/>
      <c r="BZ155" s="16">
        <v>938</v>
      </c>
      <c r="CA155" s="16">
        <f t="shared" si="43"/>
        <v>37</v>
      </c>
      <c r="CB155" s="16">
        <v>901</v>
      </c>
      <c r="CC155" s="16">
        <v>554</v>
      </c>
      <c r="CD155" s="16">
        <f t="shared" si="44"/>
        <v>347</v>
      </c>
      <c r="CI155" s="40"/>
      <c r="CJ155" s="40"/>
      <c r="CK155" s="40"/>
      <c r="CL155" s="40"/>
      <c r="CM155" s="40"/>
    </row>
    <row r="156" spans="1:91" s="18" customFormat="1" ht="15" customHeight="1">
      <c r="A156" s="18">
        <v>2005</v>
      </c>
      <c r="B156" s="21" t="s">
        <v>42</v>
      </c>
      <c r="C156" s="15">
        <f>+MITRE[[#This Row],[Trenes Puntuales]]/MITRE[[#This Row],[Trenes Programados]]</f>
        <v>0.8296502753998275</v>
      </c>
      <c r="D156" s="15">
        <f>+MITRE[[#This Row],[Trenes Puntuales]]/MITRE[[#This Row],[Trenes Corridos]]</f>
        <v>0.8525059665871122</v>
      </c>
      <c r="E156" s="15">
        <f>+MITRE[[#This Row],[Trenes Corridos]]/MITRE[[#This Row],[Trenes Programados]]</f>
        <v>0.97318999270024553</v>
      </c>
      <c r="F156" s="16">
        <f>+Tabla4[[#This Row],[Trenes Programados por Día Hábil]]+Tabla5[[#This Row],[Trenes Programados por Día Hábil]]+Tabla6[[#This Row],[Trenes Programados por Día Hábil]]+MIT_Vic_Cap[[#This Row],[Trenes Programados por Día Hábil]]+Tabla8[[#This Row],[Trenes Programados por Día Hábil]]</f>
        <v>0</v>
      </c>
      <c r="G15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6" s="16">
        <f t="shared" si="20"/>
        <v>15069</v>
      </c>
      <c r="I156" s="16">
        <f t="shared" si="21"/>
        <v>404</v>
      </c>
      <c r="J156" s="16">
        <f t="shared" si="22"/>
        <v>14665</v>
      </c>
      <c r="K156" s="16">
        <f t="shared" si="23"/>
        <v>12502</v>
      </c>
      <c r="L156" s="16">
        <f t="shared" si="24"/>
        <v>2163</v>
      </c>
      <c r="M156" s="16"/>
      <c r="N156" s="17"/>
      <c r="O156" s="18">
        <v>2005</v>
      </c>
      <c r="P156" s="21" t="s">
        <v>42</v>
      </c>
      <c r="Q156" s="15">
        <f>+Tabla4[[#This Row],[Trenes Puntuales]]/Tabla4[[#This Row],[Trenes Programados]]</f>
        <v>0.78509090909090906</v>
      </c>
      <c r="R156" s="15">
        <f>+Tabla4[[#This Row],[Trenes Puntuales]]/Tabla4[[#This Row],[Trenes Corridos]]</f>
        <v>0.80275144078825056</v>
      </c>
      <c r="S156" s="15">
        <f>+Tabla4[[#This Row],[Trenes Corridos]]/Tabla4[[#This Row],[Trenes Programados]]</f>
        <v>0.97799999999999998</v>
      </c>
      <c r="T156" s="16"/>
      <c r="U156" s="16"/>
      <c r="V156" s="16">
        <v>5500</v>
      </c>
      <c r="W156" s="16">
        <f t="shared" si="35"/>
        <v>121</v>
      </c>
      <c r="X156" s="16">
        <v>5379</v>
      </c>
      <c r="Y156" s="16">
        <v>4318</v>
      </c>
      <c r="Z156" s="16">
        <f t="shared" si="36"/>
        <v>1061</v>
      </c>
      <c r="AA156" s="16"/>
      <c r="AB156" s="17"/>
      <c r="AC156" s="18">
        <v>2005</v>
      </c>
      <c r="AD156" s="21" t="s">
        <v>42</v>
      </c>
      <c r="AE156" s="15">
        <f>+Tabla5[[#This Row],[Trenes Puntuales]]/Tabla5[[#This Row],[Trenes Programados]]</f>
        <v>0.92099322799097061</v>
      </c>
      <c r="AF156" s="15">
        <f>+Tabla5[[#This Row],[Trenes Puntuales]]/Tabla5[[#This Row],[Trenes Corridos]]</f>
        <v>0.93556523733088737</v>
      </c>
      <c r="AG156" s="15">
        <f>+Tabla5[[#This Row],[Trenes Corridos]]/Tabla5[[#This Row],[Trenes Programados]]</f>
        <v>0.9844243792325057</v>
      </c>
      <c r="AH156" s="16"/>
      <c r="AI156" s="16"/>
      <c r="AJ156" s="16">
        <v>4430</v>
      </c>
      <c r="AK156" s="16">
        <f t="shared" si="37"/>
        <v>69</v>
      </c>
      <c r="AL156" s="16">
        <v>4361</v>
      </c>
      <c r="AM156" s="16">
        <v>4080</v>
      </c>
      <c r="AN156" s="16">
        <f t="shared" si="38"/>
        <v>281</v>
      </c>
      <c r="AO156" s="16"/>
      <c r="AP156" s="17"/>
      <c r="AQ156" s="18">
        <v>2005</v>
      </c>
      <c r="AR156" s="21" t="s">
        <v>42</v>
      </c>
      <c r="AS156" s="15">
        <f>+Tabla6[[#This Row],[Trenes Puntuales]]/Tabla6[[#This Row],[Trenes Programados]]</f>
        <v>0.94460093896713615</v>
      </c>
      <c r="AT156" s="15">
        <f>+Tabla6[[#This Row],[Trenes Puntuales]]/Tabla6[[#This Row],[Trenes Corridos]]</f>
        <v>0.96360153256704983</v>
      </c>
      <c r="AU156" s="15">
        <f>+Tabla6[[#This Row],[Trenes Corridos]]/Tabla6[[#This Row],[Trenes Programados]]</f>
        <v>0.9802816901408451</v>
      </c>
      <c r="AV156" s="16"/>
      <c r="AW156" s="16"/>
      <c r="AX156" s="16">
        <v>3195</v>
      </c>
      <c r="AY156" s="16">
        <f t="shared" si="39"/>
        <v>63</v>
      </c>
      <c r="AZ156" s="16">
        <v>3132</v>
      </c>
      <c r="BA156" s="16">
        <v>3018</v>
      </c>
      <c r="BB156" s="16">
        <f t="shared" si="40"/>
        <v>114</v>
      </c>
      <c r="BC156" s="16"/>
      <c r="BD156" s="17"/>
      <c r="BE156" s="18">
        <v>2005</v>
      </c>
      <c r="BF156" s="21" t="s">
        <v>42</v>
      </c>
      <c r="BG156" s="15">
        <f>+MIT_Vic_Cap[[#This Row],[Trenes Puntuales]]/MIT_Vic_Cap[[#This Row],[Trenes Programados]]</f>
        <v>0.43016194331983804</v>
      </c>
      <c r="BH156" s="15">
        <f>+MIT_Vic_Cap[[#This Row],[Trenes Puntuales]]/MIT_Vic_Cap[[#This Row],[Trenes Corridos]]</f>
        <v>0.48350398179749715</v>
      </c>
      <c r="BI156" s="15">
        <f>+MIT_Vic_Cap[[#This Row],[Trenes Corridos]]/MIT_Vic_Cap[[#This Row],[Trenes Programados]]</f>
        <v>0.88967611336032393</v>
      </c>
      <c r="BJ156" s="16"/>
      <c r="BK156" s="16"/>
      <c r="BL156" s="16">
        <v>988</v>
      </c>
      <c r="BM156" s="16">
        <f t="shared" si="41"/>
        <v>109</v>
      </c>
      <c r="BN156" s="16">
        <v>879</v>
      </c>
      <c r="BO156" s="16">
        <v>425</v>
      </c>
      <c r="BP156" s="16">
        <f t="shared" si="42"/>
        <v>454</v>
      </c>
      <c r="BQ156" s="16"/>
      <c r="BR156" s="17"/>
      <c r="BS156" s="18">
        <v>2005</v>
      </c>
      <c r="BT156" s="21" t="s">
        <v>42</v>
      </c>
      <c r="BU156" s="15">
        <f>+Tabla8[[#This Row],[Trenes Puntuales]]/Tabla8[[#This Row],[Trenes Programados]]</f>
        <v>0.69142259414225937</v>
      </c>
      <c r="BV156" s="15">
        <f>+Tabla8[[#This Row],[Trenes Puntuales]]/Tabla8[[#This Row],[Trenes Corridos]]</f>
        <v>0.72319474835886211</v>
      </c>
      <c r="BW156" s="15">
        <f>+Tabla8[[#This Row],[Trenes Corridos]]/Tabla8[[#This Row],[Trenes Programados]]</f>
        <v>0.95606694560669458</v>
      </c>
      <c r="BX156" s="16"/>
      <c r="BY156" s="16"/>
      <c r="BZ156" s="16">
        <v>956</v>
      </c>
      <c r="CA156" s="16">
        <f t="shared" si="43"/>
        <v>42</v>
      </c>
      <c r="CB156" s="16">
        <v>914</v>
      </c>
      <c r="CC156" s="16">
        <v>661</v>
      </c>
      <c r="CD156" s="16">
        <f t="shared" si="44"/>
        <v>253</v>
      </c>
      <c r="CI156" s="40"/>
      <c r="CJ156" s="40"/>
      <c r="CK156" s="40"/>
      <c r="CL156" s="40"/>
      <c r="CM156" s="40"/>
    </row>
    <row r="157" spans="1:91" s="18" customFormat="1" ht="15" customHeight="1">
      <c r="A157" s="18">
        <v>2005</v>
      </c>
      <c r="B157" s="21" t="s">
        <v>43</v>
      </c>
      <c r="C157" s="15">
        <f>+MITRE[[#This Row],[Trenes Puntuales]]/MITRE[[#This Row],[Trenes Programados]]</f>
        <v>0.82296368989205104</v>
      </c>
      <c r="D157" s="15">
        <f>+MITRE[[#This Row],[Trenes Puntuales]]/MITRE[[#This Row],[Trenes Corridos]]</f>
        <v>0.86596447748864103</v>
      </c>
      <c r="E157" s="15">
        <f>+MITRE[[#This Row],[Trenes Corridos]]/MITRE[[#This Row],[Trenes Programados]]</f>
        <v>0.9503434739941119</v>
      </c>
      <c r="F157" s="16">
        <f>+Tabla4[[#This Row],[Trenes Programados por Día Hábil]]+Tabla5[[#This Row],[Trenes Programados por Día Hábil]]+Tabla6[[#This Row],[Trenes Programados por Día Hábil]]+MIT_Vic_Cap[[#This Row],[Trenes Programados por Día Hábil]]+Tabla8[[#This Row],[Trenes Programados por Día Hábil]]</f>
        <v>0</v>
      </c>
      <c r="G15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7" s="16">
        <f t="shared" si="20"/>
        <v>15285</v>
      </c>
      <c r="I157" s="16">
        <f t="shared" si="21"/>
        <v>759</v>
      </c>
      <c r="J157" s="16">
        <f t="shared" si="22"/>
        <v>14526</v>
      </c>
      <c r="K157" s="16">
        <f t="shared" si="23"/>
        <v>12579</v>
      </c>
      <c r="L157" s="16">
        <f t="shared" si="24"/>
        <v>1947</v>
      </c>
      <c r="M157" s="16"/>
      <c r="N157" s="17"/>
      <c r="O157" s="18">
        <v>2005</v>
      </c>
      <c r="P157" s="21" t="s">
        <v>43</v>
      </c>
      <c r="Q157" s="15">
        <f>+Tabla4[[#This Row],[Trenes Puntuales]]/Tabla4[[#This Row],[Trenes Programados]]</f>
        <v>0.78121645796064398</v>
      </c>
      <c r="R157" s="15">
        <f>+Tabla4[[#This Row],[Trenes Puntuales]]/Tabla4[[#This Row],[Trenes Corridos]]</f>
        <v>0.81947832613998872</v>
      </c>
      <c r="S157" s="15">
        <f>+Tabla4[[#This Row],[Trenes Corridos]]/Tabla4[[#This Row],[Trenes Programados]]</f>
        <v>0.95330948121645798</v>
      </c>
      <c r="T157" s="16"/>
      <c r="U157" s="16"/>
      <c r="V157" s="16">
        <v>5590</v>
      </c>
      <c r="W157" s="16">
        <f t="shared" si="35"/>
        <v>261</v>
      </c>
      <c r="X157" s="16">
        <v>5329</v>
      </c>
      <c r="Y157" s="16">
        <v>4367</v>
      </c>
      <c r="Z157" s="16">
        <f t="shared" si="36"/>
        <v>962</v>
      </c>
      <c r="AA157" s="16"/>
      <c r="AB157" s="17"/>
      <c r="AC157" s="18">
        <v>2005</v>
      </c>
      <c r="AD157" s="21" t="s">
        <v>43</v>
      </c>
      <c r="AE157" s="15">
        <f>+Tabla5[[#This Row],[Trenes Puntuales]]/Tabla5[[#This Row],[Trenes Programados]]</f>
        <v>0.90202177293934682</v>
      </c>
      <c r="AF157" s="15">
        <f>+Tabla5[[#This Row],[Trenes Puntuales]]/Tabla5[[#This Row],[Trenes Corridos]]</f>
        <v>0.93786093786093783</v>
      </c>
      <c r="AG157" s="15">
        <f>+Tabla5[[#This Row],[Trenes Corridos]]/Tabla5[[#This Row],[Trenes Programados]]</f>
        <v>0.96178626971784043</v>
      </c>
      <c r="AH157" s="16"/>
      <c r="AI157" s="16"/>
      <c r="AJ157" s="16">
        <v>4501</v>
      </c>
      <c r="AK157" s="16">
        <f t="shared" si="37"/>
        <v>172</v>
      </c>
      <c r="AL157" s="16">
        <v>4329</v>
      </c>
      <c r="AM157" s="16">
        <v>4060</v>
      </c>
      <c r="AN157" s="16">
        <f t="shared" si="38"/>
        <v>269</v>
      </c>
      <c r="AO157" s="16"/>
      <c r="AP157" s="17"/>
      <c r="AQ157" s="18">
        <v>2005</v>
      </c>
      <c r="AR157" s="21" t="s">
        <v>43</v>
      </c>
      <c r="AS157" s="15">
        <f>+Tabla6[[#This Row],[Trenes Puntuales]]/Tabla6[[#This Row],[Trenes Programados]]</f>
        <v>0.92114250232846939</v>
      </c>
      <c r="AT157" s="15">
        <f>+Tabla6[[#This Row],[Trenes Puntuales]]/Tabla6[[#This Row],[Trenes Corridos]]</f>
        <v>0.96707953063885266</v>
      </c>
      <c r="AU157" s="15">
        <f>+Tabla6[[#This Row],[Trenes Corridos]]/Tabla6[[#This Row],[Trenes Programados]]</f>
        <v>0.95249922384352681</v>
      </c>
      <c r="AV157" s="16"/>
      <c r="AW157" s="16"/>
      <c r="AX157" s="16">
        <v>3221</v>
      </c>
      <c r="AY157" s="16">
        <f t="shared" si="39"/>
        <v>153</v>
      </c>
      <c r="AZ157" s="16">
        <v>3068</v>
      </c>
      <c r="BA157" s="16">
        <v>2967</v>
      </c>
      <c r="BB157" s="16">
        <f t="shared" si="40"/>
        <v>101</v>
      </c>
      <c r="BC157" s="16"/>
      <c r="BD157" s="17"/>
      <c r="BE157" s="18">
        <v>2005</v>
      </c>
      <c r="BF157" s="21" t="s">
        <v>43</v>
      </c>
      <c r="BG157" s="15">
        <f>+MIT_Vic_Cap[[#This Row],[Trenes Puntuales]]/MIT_Vic_Cap[[#This Row],[Trenes Programados]]</f>
        <v>0.4974974974974975</v>
      </c>
      <c r="BH157" s="15">
        <f>+MIT_Vic_Cap[[#This Row],[Trenes Puntuales]]/MIT_Vic_Cap[[#This Row],[Trenes Corridos]]</f>
        <v>0.55530726256983243</v>
      </c>
      <c r="BI157" s="15">
        <f>+MIT_Vic_Cap[[#This Row],[Trenes Corridos]]/MIT_Vic_Cap[[#This Row],[Trenes Programados]]</f>
        <v>0.89589589589589591</v>
      </c>
      <c r="BJ157" s="16"/>
      <c r="BK157" s="16"/>
      <c r="BL157" s="16">
        <v>999</v>
      </c>
      <c r="BM157" s="16">
        <f t="shared" si="41"/>
        <v>104</v>
      </c>
      <c r="BN157" s="16">
        <v>895</v>
      </c>
      <c r="BO157" s="16">
        <v>497</v>
      </c>
      <c r="BP157" s="16">
        <f t="shared" si="42"/>
        <v>398</v>
      </c>
      <c r="BQ157" s="16"/>
      <c r="BR157" s="17"/>
      <c r="BS157" s="18">
        <v>2005</v>
      </c>
      <c r="BT157" s="21" t="s">
        <v>43</v>
      </c>
      <c r="BU157" s="15">
        <f>+Tabla8[[#This Row],[Trenes Puntuales]]/Tabla8[[#This Row],[Trenes Programados]]</f>
        <v>0.70636550308008217</v>
      </c>
      <c r="BV157" s="15">
        <f>+Tabla8[[#This Row],[Trenes Puntuales]]/Tabla8[[#This Row],[Trenes Corridos]]</f>
        <v>0.76022099447513813</v>
      </c>
      <c r="BW157" s="15">
        <f>+Tabla8[[#This Row],[Trenes Corridos]]/Tabla8[[#This Row],[Trenes Programados]]</f>
        <v>0.92915811088295686</v>
      </c>
      <c r="BX157" s="16"/>
      <c r="BY157" s="16"/>
      <c r="BZ157" s="16">
        <v>974</v>
      </c>
      <c r="CA157" s="16">
        <f t="shared" si="43"/>
        <v>69</v>
      </c>
      <c r="CB157" s="16">
        <v>905</v>
      </c>
      <c r="CC157" s="16">
        <v>688</v>
      </c>
      <c r="CD157" s="16">
        <f t="shared" si="44"/>
        <v>217</v>
      </c>
      <c r="CI157" s="40"/>
      <c r="CJ157" s="40"/>
      <c r="CK157" s="40"/>
      <c r="CL157" s="40"/>
      <c r="CM157" s="40"/>
    </row>
    <row r="158" spans="1:91" s="18" customFormat="1" ht="15" customHeight="1">
      <c r="A158" s="18">
        <v>2005</v>
      </c>
      <c r="B158" s="21" t="s">
        <v>44</v>
      </c>
      <c r="C158" s="15">
        <f>+MITRE[[#This Row],[Trenes Puntuales]]/MITRE[[#This Row],[Trenes Programados]]</f>
        <v>0.65338858441384839</v>
      </c>
      <c r="D158" s="15">
        <f>+MITRE[[#This Row],[Trenes Puntuales]]/MITRE[[#This Row],[Trenes Corridos]]</f>
        <v>0.68743407636593767</v>
      </c>
      <c r="E158" s="15">
        <f>+MITRE[[#This Row],[Trenes Corridos]]/MITRE[[#This Row],[Trenes Programados]]</f>
        <v>0.95047453548990779</v>
      </c>
      <c r="F158" s="16">
        <f>+Tabla4[[#This Row],[Trenes Programados por Día Hábil]]+Tabla5[[#This Row],[Trenes Programados por Día Hábil]]+Tabla6[[#This Row],[Trenes Programados por Día Hábil]]+MIT_Vic_Cap[[#This Row],[Trenes Programados por Día Hábil]]+Tabla8[[#This Row],[Trenes Programados por Día Hábil]]</f>
        <v>0</v>
      </c>
      <c r="G15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8" s="16">
        <f t="shared" si="20"/>
        <v>14962</v>
      </c>
      <c r="I158" s="16">
        <f t="shared" si="21"/>
        <v>741</v>
      </c>
      <c r="J158" s="16">
        <f t="shared" si="22"/>
        <v>14221</v>
      </c>
      <c r="K158" s="16">
        <f t="shared" si="23"/>
        <v>9776</v>
      </c>
      <c r="L158" s="16">
        <f t="shared" si="24"/>
        <v>4445</v>
      </c>
      <c r="M158" s="16"/>
      <c r="N158" s="17"/>
      <c r="O158" s="18">
        <v>2005</v>
      </c>
      <c r="P158" s="21" t="s">
        <v>44</v>
      </c>
      <c r="Q158" s="15">
        <f>+Tabla4[[#This Row],[Trenes Puntuales]]/Tabla4[[#This Row],[Trenes Programados]]</f>
        <v>0.35383211678832116</v>
      </c>
      <c r="R158" s="15">
        <f>+Tabla4[[#This Row],[Trenes Puntuales]]/Tabla4[[#This Row],[Trenes Corridos]]</f>
        <v>0.38049450549450547</v>
      </c>
      <c r="S158" s="15">
        <f>+Tabla4[[#This Row],[Trenes Corridos]]/Tabla4[[#This Row],[Trenes Programados]]</f>
        <v>0.92992700729927003</v>
      </c>
      <c r="T158" s="16"/>
      <c r="U158" s="16"/>
      <c r="V158" s="16">
        <v>5480</v>
      </c>
      <c r="W158" s="16">
        <f t="shared" si="35"/>
        <v>384</v>
      </c>
      <c r="X158" s="16">
        <v>5096</v>
      </c>
      <c r="Y158" s="16">
        <v>1939</v>
      </c>
      <c r="Z158" s="16">
        <f t="shared" si="36"/>
        <v>3157</v>
      </c>
      <c r="AA158" s="16"/>
      <c r="AB158" s="17"/>
      <c r="AC158" s="18">
        <v>2005</v>
      </c>
      <c r="AD158" s="21" t="s">
        <v>44</v>
      </c>
      <c r="AE158" s="15">
        <f>+Tabla5[[#This Row],[Trenes Puntuales]]/Tabla5[[#This Row],[Trenes Programados]]</f>
        <v>0.86604714415231188</v>
      </c>
      <c r="AF158" s="15">
        <f>+Tabla5[[#This Row],[Trenes Puntuales]]/Tabla5[[#This Row],[Trenes Corridos]]</f>
        <v>0.8890181479758027</v>
      </c>
      <c r="AG158" s="15">
        <f>+Tabla5[[#This Row],[Trenes Corridos]]/Tabla5[[#This Row],[Trenes Programados]]</f>
        <v>0.97416137805983682</v>
      </c>
      <c r="AH158" s="16"/>
      <c r="AI158" s="16"/>
      <c r="AJ158" s="16">
        <v>4412</v>
      </c>
      <c r="AK158" s="16">
        <f t="shared" si="37"/>
        <v>114</v>
      </c>
      <c r="AL158" s="16">
        <v>4298</v>
      </c>
      <c r="AM158" s="16">
        <v>3821</v>
      </c>
      <c r="AN158" s="16">
        <f t="shared" si="38"/>
        <v>477</v>
      </c>
      <c r="AO158" s="16"/>
      <c r="AP158" s="17"/>
      <c r="AQ158" s="18">
        <v>2005</v>
      </c>
      <c r="AR158" s="21" t="s">
        <v>44</v>
      </c>
      <c r="AS158" s="15">
        <f>+Tabla6[[#This Row],[Trenes Puntuales]]/Tabla6[[#This Row],[Trenes Programados]]</f>
        <v>0.89101338432122368</v>
      </c>
      <c r="AT158" s="15">
        <f>+Tabla6[[#This Row],[Trenes Puntuales]]/Tabla6[[#This Row],[Trenes Corridos]]</f>
        <v>0.92216358839050128</v>
      </c>
      <c r="AU158" s="15">
        <f>+Tabla6[[#This Row],[Trenes Corridos]]/Tabla6[[#This Row],[Trenes Programados]]</f>
        <v>0.96622052262587632</v>
      </c>
      <c r="AV158" s="16"/>
      <c r="AW158" s="16"/>
      <c r="AX158" s="16">
        <v>3138</v>
      </c>
      <c r="AY158" s="16">
        <f t="shared" si="39"/>
        <v>106</v>
      </c>
      <c r="AZ158" s="16">
        <v>3032</v>
      </c>
      <c r="BA158" s="16">
        <v>2796</v>
      </c>
      <c r="BB158" s="16">
        <f t="shared" si="40"/>
        <v>236</v>
      </c>
      <c r="BC158" s="16"/>
      <c r="BD158" s="17"/>
      <c r="BE158" s="18">
        <v>2005</v>
      </c>
      <c r="BF158" s="21" t="s">
        <v>44</v>
      </c>
      <c r="BG158" s="15">
        <f>+MIT_Vic_Cap[[#This Row],[Trenes Puntuales]]/MIT_Vic_Cap[[#This Row],[Trenes Programados]]</f>
        <v>0.55635245901639341</v>
      </c>
      <c r="BH158" s="15">
        <f>+MIT_Vic_Cap[[#This Row],[Trenes Puntuales]]/MIT_Vic_Cap[[#This Row],[Trenes Corridos]]</f>
        <v>0.59150326797385622</v>
      </c>
      <c r="BI158" s="15">
        <f>+MIT_Vic_Cap[[#This Row],[Trenes Corridos]]/MIT_Vic_Cap[[#This Row],[Trenes Programados]]</f>
        <v>0.94057377049180324</v>
      </c>
      <c r="BJ158" s="16"/>
      <c r="BK158" s="16"/>
      <c r="BL158" s="16">
        <v>976</v>
      </c>
      <c r="BM158" s="16">
        <f t="shared" si="41"/>
        <v>58</v>
      </c>
      <c r="BN158" s="16">
        <v>918</v>
      </c>
      <c r="BO158" s="16">
        <v>543</v>
      </c>
      <c r="BP158" s="16">
        <f t="shared" si="42"/>
        <v>375</v>
      </c>
      <c r="BQ158" s="16"/>
      <c r="BR158" s="17"/>
      <c r="BS158" s="18">
        <v>2005</v>
      </c>
      <c r="BT158" s="21" t="s">
        <v>44</v>
      </c>
      <c r="BU158" s="15">
        <f>+Tabla8[[#This Row],[Trenes Puntuales]]/Tabla8[[#This Row],[Trenes Programados]]</f>
        <v>0.70815899581589958</v>
      </c>
      <c r="BV158" s="15">
        <f>+Tabla8[[#This Row],[Trenes Puntuales]]/Tabla8[[#This Row],[Trenes Corridos]]</f>
        <v>0.77194982896237174</v>
      </c>
      <c r="BW158" s="15">
        <f>+Tabla8[[#This Row],[Trenes Corridos]]/Tabla8[[#This Row],[Trenes Programados]]</f>
        <v>0.91736401673640167</v>
      </c>
      <c r="BX158" s="16"/>
      <c r="BY158" s="16"/>
      <c r="BZ158" s="16">
        <v>956</v>
      </c>
      <c r="CA158" s="16">
        <f t="shared" si="43"/>
        <v>79</v>
      </c>
      <c r="CB158" s="16">
        <v>877</v>
      </c>
      <c r="CC158" s="16">
        <v>677</v>
      </c>
      <c r="CD158" s="16">
        <f t="shared" si="44"/>
        <v>200</v>
      </c>
      <c r="CI158" s="40"/>
      <c r="CJ158" s="40"/>
      <c r="CK158" s="40"/>
      <c r="CL158" s="40"/>
      <c r="CM158" s="40"/>
    </row>
    <row r="159" spans="1:91" s="18" customFormat="1" ht="15" customHeight="1">
      <c r="A159" s="18">
        <v>2005</v>
      </c>
      <c r="B159" s="21" t="s">
        <v>45</v>
      </c>
      <c r="C159" s="15">
        <f>+MITRE[[#This Row],[Trenes Puntuales]]/MITRE[[#This Row],[Trenes Programados]]</f>
        <v>0.76634641046170271</v>
      </c>
      <c r="D159" s="15">
        <f>+MITRE[[#This Row],[Trenes Puntuales]]/MITRE[[#This Row],[Trenes Corridos]]</f>
        <v>0.80209497206703906</v>
      </c>
      <c r="E159" s="15">
        <f>+MITRE[[#This Row],[Trenes Corridos]]/MITRE[[#This Row],[Trenes Programados]]</f>
        <v>0.9554310114758473</v>
      </c>
      <c r="F159" s="16">
        <f>+Tabla4[[#This Row],[Trenes Programados por Día Hábil]]+Tabla5[[#This Row],[Trenes Programados por Día Hábil]]+Tabla6[[#This Row],[Trenes Programados por Día Hábil]]+MIT_Vic_Cap[[#This Row],[Trenes Programados por Día Hábil]]+Tabla8[[#This Row],[Trenes Programados por Día Hábil]]</f>
        <v>0</v>
      </c>
      <c r="G15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9" s="16">
        <f t="shared" si="20"/>
        <v>14988</v>
      </c>
      <c r="I159" s="16">
        <f t="shared" si="21"/>
        <v>668</v>
      </c>
      <c r="J159" s="16">
        <f t="shared" si="22"/>
        <v>14320</v>
      </c>
      <c r="K159" s="16">
        <f t="shared" si="23"/>
        <v>11486</v>
      </c>
      <c r="L159" s="16">
        <f t="shared" si="24"/>
        <v>2834</v>
      </c>
      <c r="M159" s="16"/>
      <c r="N159" s="17"/>
      <c r="O159" s="18">
        <v>2005</v>
      </c>
      <c r="P159" s="21" t="s">
        <v>45</v>
      </c>
      <c r="Q159" s="15">
        <f>+Tabla4[[#This Row],[Trenes Puntuales]]/Tabla4[[#This Row],[Trenes Programados]]</f>
        <v>0.61611721611721615</v>
      </c>
      <c r="R159" s="15">
        <f>+Tabla4[[#This Row],[Trenes Puntuales]]/Tabla4[[#This Row],[Trenes Corridos]]</f>
        <v>0.64992272024729525</v>
      </c>
      <c r="S159" s="15">
        <f>+Tabla4[[#This Row],[Trenes Corridos]]/Tabla4[[#This Row],[Trenes Programados]]</f>
        <v>0.94798534798534795</v>
      </c>
      <c r="T159" s="16"/>
      <c r="U159" s="16"/>
      <c r="V159" s="16">
        <v>5460</v>
      </c>
      <c r="W159" s="16">
        <f t="shared" si="35"/>
        <v>284</v>
      </c>
      <c r="X159" s="16">
        <v>5176</v>
      </c>
      <c r="Y159" s="16">
        <v>3364</v>
      </c>
      <c r="Z159" s="16">
        <f t="shared" si="36"/>
        <v>1812</v>
      </c>
      <c r="AA159" s="16"/>
      <c r="AB159" s="17"/>
      <c r="AC159" s="18">
        <v>2005</v>
      </c>
      <c r="AD159" s="21" t="s">
        <v>45</v>
      </c>
      <c r="AE159" s="15">
        <f>+Tabla5[[#This Row],[Trenes Puntuales]]/Tabla5[[#This Row],[Trenes Programados]]</f>
        <v>0.88387389430709906</v>
      </c>
      <c r="AF159" s="15">
        <f>+Tabla5[[#This Row],[Trenes Puntuales]]/Tabla5[[#This Row],[Trenes Corridos]]</f>
        <v>0.90817991144255417</v>
      </c>
      <c r="AG159" s="15">
        <f>+Tabla5[[#This Row],[Trenes Corridos]]/Tabla5[[#This Row],[Trenes Programados]]</f>
        <v>0.97323656157858929</v>
      </c>
      <c r="AH159" s="16"/>
      <c r="AI159" s="16"/>
      <c r="AJ159" s="16">
        <v>4409</v>
      </c>
      <c r="AK159" s="16">
        <f t="shared" si="37"/>
        <v>118</v>
      </c>
      <c r="AL159" s="16">
        <v>4291</v>
      </c>
      <c r="AM159" s="16">
        <v>3897</v>
      </c>
      <c r="AN159" s="16">
        <f t="shared" si="38"/>
        <v>394</v>
      </c>
      <c r="AO159" s="16"/>
      <c r="AP159" s="17"/>
      <c r="AQ159" s="18">
        <v>2005</v>
      </c>
      <c r="AR159" s="21" t="s">
        <v>45</v>
      </c>
      <c r="AS159" s="15">
        <f>+Tabla6[[#This Row],[Trenes Puntuales]]/Tabla6[[#This Row],[Trenes Programados]]</f>
        <v>0.92220828105395236</v>
      </c>
      <c r="AT159" s="15">
        <f>+Tabla6[[#This Row],[Trenes Puntuales]]/Tabla6[[#This Row],[Trenes Corridos]]</f>
        <v>0.94594594594594594</v>
      </c>
      <c r="AU159" s="15">
        <f>+Tabla6[[#This Row],[Trenes Corridos]]/Tabla6[[#This Row],[Trenes Programados]]</f>
        <v>0.97490589711417819</v>
      </c>
      <c r="AV159" s="16"/>
      <c r="AW159" s="16"/>
      <c r="AX159" s="16">
        <v>3188</v>
      </c>
      <c r="AY159" s="16">
        <f t="shared" si="39"/>
        <v>80</v>
      </c>
      <c r="AZ159" s="16">
        <v>3108</v>
      </c>
      <c r="BA159" s="16">
        <v>2940</v>
      </c>
      <c r="BB159" s="16">
        <f t="shared" si="40"/>
        <v>168</v>
      </c>
      <c r="BC159" s="16"/>
      <c r="BD159" s="17"/>
      <c r="BE159" s="18">
        <v>2005</v>
      </c>
      <c r="BF159" s="21" t="s">
        <v>45</v>
      </c>
      <c r="BG159" s="15">
        <f>+MIT_Vic_Cap[[#This Row],[Trenes Puntuales]]/MIT_Vic_Cap[[#This Row],[Trenes Programados]]</f>
        <v>0.57894736842105265</v>
      </c>
      <c r="BH159" s="15">
        <f>+MIT_Vic_Cap[[#This Row],[Trenes Puntuales]]/MIT_Vic_Cap[[#This Row],[Trenes Corridos]]</f>
        <v>0.64269662921348314</v>
      </c>
      <c r="BI159" s="15">
        <f>+MIT_Vic_Cap[[#This Row],[Trenes Corridos]]/MIT_Vic_Cap[[#This Row],[Trenes Programados]]</f>
        <v>0.90080971659919029</v>
      </c>
      <c r="BJ159" s="16"/>
      <c r="BK159" s="16"/>
      <c r="BL159" s="16">
        <v>988</v>
      </c>
      <c r="BM159" s="16">
        <f t="shared" si="41"/>
        <v>98</v>
      </c>
      <c r="BN159" s="16">
        <v>890</v>
      </c>
      <c r="BO159" s="16">
        <v>572</v>
      </c>
      <c r="BP159" s="16">
        <f t="shared" si="42"/>
        <v>318</v>
      </c>
      <c r="BQ159" s="16"/>
      <c r="BR159" s="17"/>
      <c r="BS159" s="18">
        <v>2005</v>
      </c>
      <c r="BT159" s="21" t="s">
        <v>45</v>
      </c>
      <c r="BU159" s="15">
        <f>+Tabla8[[#This Row],[Trenes Puntuales]]/Tabla8[[#This Row],[Trenes Programados]]</f>
        <v>0.75609756097560976</v>
      </c>
      <c r="BV159" s="15">
        <f>+Tabla8[[#This Row],[Trenes Puntuales]]/Tabla8[[#This Row],[Trenes Corridos]]</f>
        <v>0.83391812865497073</v>
      </c>
      <c r="BW159" s="15">
        <f>+Tabla8[[#This Row],[Trenes Corridos]]/Tabla8[[#This Row],[Trenes Programados]]</f>
        <v>0.90668080593849421</v>
      </c>
      <c r="BX159" s="16"/>
      <c r="BY159" s="16"/>
      <c r="BZ159" s="16">
        <v>943</v>
      </c>
      <c r="CA159" s="16">
        <f t="shared" si="43"/>
        <v>88</v>
      </c>
      <c r="CB159" s="16">
        <v>855</v>
      </c>
      <c r="CC159" s="16">
        <v>713</v>
      </c>
      <c r="CD159" s="16">
        <f t="shared" si="44"/>
        <v>142</v>
      </c>
      <c r="CI159" s="40"/>
      <c r="CJ159" s="40"/>
      <c r="CK159" s="40"/>
      <c r="CL159" s="40"/>
      <c r="CM159" s="40"/>
    </row>
    <row r="160" spans="1:91" s="18" customFormat="1" ht="15" customHeight="1">
      <c r="A160" s="18">
        <v>2005</v>
      </c>
      <c r="B160" s="21" t="s">
        <v>46</v>
      </c>
      <c r="C160" s="15">
        <f>+MITRE[[#This Row],[Trenes Puntuales]]/MITRE[[#This Row],[Trenes Programados]]</f>
        <v>0.83636242148870776</v>
      </c>
      <c r="D160" s="15">
        <f>+MITRE[[#This Row],[Trenes Puntuales]]/MITRE[[#This Row],[Trenes Corridos]]</f>
        <v>0.86485179299385062</v>
      </c>
      <c r="E160" s="15">
        <f>+MITRE[[#This Row],[Trenes Corridos]]/MITRE[[#This Row],[Trenes Programados]]</f>
        <v>0.96705866631030335</v>
      </c>
      <c r="F160" s="16">
        <f>+Tabla4[[#This Row],[Trenes Programados por Día Hábil]]+Tabla5[[#This Row],[Trenes Programados por Día Hábil]]+Tabla6[[#This Row],[Trenes Programados por Día Hábil]]+MIT_Vic_Cap[[#This Row],[Trenes Programados por Día Hábil]]+Tabla8[[#This Row],[Trenes Programados por Día Hábil]]</f>
        <v>0</v>
      </c>
      <c r="G16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0" s="16">
        <f t="shared" si="20"/>
        <v>14966</v>
      </c>
      <c r="I160" s="16">
        <f t="shared" si="21"/>
        <v>493</v>
      </c>
      <c r="J160" s="16">
        <f t="shared" si="22"/>
        <v>14473</v>
      </c>
      <c r="K160" s="16">
        <f t="shared" si="23"/>
        <v>12517</v>
      </c>
      <c r="L160" s="16">
        <f t="shared" si="24"/>
        <v>1956</v>
      </c>
      <c r="M160" s="16"/>
      <c r="N160" s="17"/>
      <c r="O160" s="18">
        <v>2005</v>
      </c>
      <c r="P160" s="21" t="s">
        <v>46</v>
      </c>
      <c r="Q160" s="15">
        <f>+Tabla4[[#This Row],[Trenes Puntuales]]/Tabla4[[#This Row],[Trenes Programados]]</f>
        <v>0.7728102189781022</v>
      </c>
      <c r="R160" s="15">
        <f>+Tabla4[[#This Row],[Trenes Puntuales]]/Tabla4[[#This Row],[Trenes Corridos]]</f>
        <v>0.79381443298969068</v>
      </c>
      <c r="S160" s="15">
        <f>+Tabla4[[#This Row],[Trenes Corridos]]/Tabla4[[#This Row],[Trenes Programados]]</f>
        <v>0.97354014598540151</v>
      </c>
      <c r="T160" s="16"/>
      <c r="U160" s="16"/>
      <c r="V160" s="16">
        <v>5480</v>
      </c>
      <c r="W160" s="16">
        <f t="shared" si="35"/>
        <v>145</v>
      </c>
      <c r="X160" s="16">
        <v>5335</v>
      </c>
      <c r="Y160" s="16">
        <v>4235</v>
      </c>
      <c r="Z160" s="16">
        <f t="shared" si="36"/>
        <v>1100</v>
      </c>
      <c r="AA160" s="16"/>
      <c r="AB160" s="17"/>
      <c r="AC160" s="18">
        <v>2005</v>
      </c>
      <c r="AD160" s="21" t="s">
        <v>46</v>
      </c>
      <c r="AE160" s="15">
        <f>+Tabla5[[#This Row],[Trenes Puntuales]]/Tabla5[[#This Row],[Trenes Programados]]</f>
        <v>0.89447463768115942</v>
      </c>
      <c r="AF160" s="15">
        <f>+Tabla5[[#This Row],[Trenes Puntuales]]/Tabla5[[#This Row],[Trenes Corridos]]</f>
        <v>0.91498725967106787</v>
      </c>
      <c r="AG160" s="15">
        <f>+Tabla5[[#This Row],[Trenes Corridos]]/Tabla5[[#This Row],[Trenes Programados]]</f>
        <v>0.97758152173913049</v>
      </c>
      <c r="AH160" s="16"/>
      <c r="AI160" s="16"/>
      <c r="AJ160" s="16">
        <v>4416</v>
      </c>
      <c r="AK160" s="16">
        <f t="shared" si="37"/>
        <v>99</v>
      </c>
      <c r="AL160" s="16">
        <v>4317</v>
      </c>
      <c r="AM160" s="16">
        <v>3950</v>
      </c>
      <c r="AN160" s="16">
        <f t="shared" si="38"/>
        <v>367</v>
      </c>
      <c r="AO160" s="16"/>
      <c r="AP160" s="17"/>
      <c r="AQ160" s="18">
        <v>2005</v>
      </c>
      <c r="AR160" s="21" t="s">
        <v>46</v>
      </c>
      <c r="AS160" s="15">
        <f>+Tabla6[[#This Row],[Trenes Puntuales]]/Tabla6[[#This Row],[Trenes Programados]]</f>
        <v>0.92574888463989802</v>
      </c>
      <c r="AT160" s="15">
        <f>+Tabla6[[#This Row],[Trenes Puntuales]]/Tabla6[[#This Row],[Trenes Corridos]]</f>
        <v>0.94318181818181823</v>
      </c>
      <c r="AU160" s="15">
        <f>+Tabla6[[#This Row],[Trenes Corridos]]/Tabla6[[#This Row],[Trenes Programados]]</f>
        <v>0.98151688973868711</v>
      </c>
      <c r="AV160" s="16"/>
      <c r="AW160" s="16"/>
      <c r="AX160" s="16">
        <v>3138</v>
      </c>
      <c r="AY160" s="16">
        <f t="shared" si="39"/>
        <v>58</v>
      </c>
      <c r="AZ160" s="16">
        <v>3080</v>
      </c>
      <c r="BA160" s="16">
        <v>2905</v>
      </c>
      <c r="BB160" s="16">
        <f t="shared" si="40"/>
        <v>175</v>
      </c>
      <c r="BC160" s="16"/>
      <c r="BD160" s="17"/>
      <c r="BE160" s="18">
        <v>2005</v>
      </c>
      <c r="BF160" s="21" t="s">
        <v>46</v>
      </c>
      <c r="BG160" s="15">
        <f>+MIT_Vic_Cap[[#This Row],[Trenes Puntuales]]/MIT_Vic_Cap[[#This Row],[Trenes Programados]]</f>
        <v>0.66598360655737709</v>
      </c>
      <c r="BH160" s="15">
        <f>+MIT_Vic_Cap[[#This Row],[Trenes Puntuales]]/MIT_Vic_Cap[[#This Row],[Trenes Corridos]]</f>
        <v>0.717439293598234</v>
      </c>
      <c r="BI160" s="15">
        <f>+MIT_Vic_Cap[[#This Row],[Trenes Corridos]]/MIT_Vic_Cap[[#This Row],[Trenes Programados]]</f>
        <v>0.92827868852459017</v>
      </c>
      <c r="BJ160" s="16"/>
      <c r="BK160" s="16"/>
      <c r="BL160" s="16">
        <v>976</v>
      </c>
      <c r="BM160" s="16">
        <f t="shared" si="41"/>
        <v>70</v>
      </c>
      <c r="BN160" s="16">
        <v>906</v>
      </c>
      <c r="BO160" s="16">
        <v>650</v>
      </c>
      <c r="BP160" s="16">
        <f t="shared" si="42"/>
        <v>256</v>
      </c>
      <c r="BQ160" s="16"/>
      <c r="BR160" s="17"/>
      <c r="BS160" s="18">
        <v>2005</v>
      </c>
      <c r="BT160" s="21" t="s">
        <v>46</v>
      </c>
      <c r="BU160" s="15">
        <f>+Tabla8[[#This Row],[Trenes Puntuales]]/Tabla8[[#This Row],[Trenes Programados]]</f>
        <v>0.81276150627615062</v>
      </c>
      <c r="BV160" s="15">
        <f>+Tabla8[[#This Row],[Trenes Puntuales]]/Tabla8[[#This Row],[Trenes Corridos]]</f>
        <v>0.93053892215568867</v>
      </c>
      <c r="BW160" s="15">
        <f>+Tabla8[[#This Row],[Trenes Corridos]]/Tabla8[[#This Row],[Trenes Programados]]</f>
        <v>0.87343096234309625</v>
      </c>
      <c r="BX160" s="16"/>
      <c r="BY160" s="16"/>
      <c r="BZ160" s="16">
        <v>956</v>
      </c>
      <c r="CA160" s="16">
        <f t="shared" si="43"/>
        <v>121</v>
      </c>
      <c r="CB160" s="16">
        <v>835</v>
      </c>
      <c r="CC160" s="16">
        <v>777</v>
      </c>
      <c r="CD160" s="16">
        <f t="shared" si="44"/>
        <v>58</v>
      </c>
      <c r="CI160" s="40"/>
      <c r="CJ160" s="40"/>
      <c r="CK160" s="40"/>
      <c r="CL160" s="40"/>
      <c r="CM160" s="40"/>
    </row>
    <row r="161" spans="1:91" s="18" customFormat="1" ht="15" customHeight="1">
      <c r="A161" s="18">
        <v>2005</v>
      </c>
      <c r="B161" s="21" t="s">
        <v>47</v>
      </c>
      <c r="C161" s="15">
        <f>+MITRE[[#This Row],[Trenes Puntuales]]/MITRE[[#This Row],[Trenes Programados]]</f>
        <v>0.89075243357011313</v>
      </c>
      <c r="D161" s="15">
        <f>+MITRE[[#This Row],[Trenes Puntuales]]/MITRE[[#This Row],[Trenes Corridos]]</f>
        <v>0.91377100060724648</v>
      </c>
      <c r="E161" s="15">
        <f>+MITRE[[#This Row],[Trenes Corridos]]/MITRE[[#This Row],[Trenes Programados]]</f>
        <v>0.97480926072086294</v>
      </c>
      <c r="F161" s="16">
        <f>+Tabla4[[#This Row],[Trenes Programados por Día Hábil]]+Tabla5[[#This Row],[Trenes Programados por Día Hábil]]+Tabla6[[#This Row],[Trenes Programados por Día Hábil]]+MIT_Vic_Cap[[#This Row],[Trenes Programados por Día Hábil]]+Tabla8[[#This Row],[Trenes Programados por Día Hábil]]</f>
        <v>0</v>
      </c>
      <c r="G16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1" s="16">
        <f t="shared" si="20"/>
        <v>15204</v>
      </c>
      <c r="I161" s="16">
        <f t="shared" si="21"/>
        <v>383</v>
      </c>
      <c r="J161" s="16">
        <f t="shared" si="22"/>
        <v>14821</v>
      </c>
      <c r="K161" s="16">
        <f t="shared" si="23"/>
        <v>13543</v>
      </c>
      <c r="L161" s="16">
        <f t="shared" si="24"/>
        <v>1278</v>
      </c>
      <c r="M161" s="16"/>
      <c r="N161" s="17"/>
      <c r="O161" s="18">
        <v>2005</v>
      </c>
      <c r="P161" s="21" t="s">
        <v>47</v>
      </c>
      <c r="Q161" s="15">
        <f>+Tabla4[[#This Row],[Trenes Puntuales]]/Tabla4[[#This Row],[Trenes Programados]]</f>
        <v>0.85207207207207203</v>
      </c>
      <c r="R161" s="15">
        <f>+Tabla4[[#This Row],[Trenes Puntuales]]/Tabla4[[#This Row],[Trenes Corridos]]</f>
        <v>0.86722904823033198</v>
      </c>
      <c r="S161" s="15">
        <f>+Tabla4[[#This Row],[Trenes Corridos]]/Tabla4[[#This Row],[Trenes Programados]]</f>
        <v>0.98252252252252248</v>
      </c>
      <c r="T161" s="16"/>
      <c r="U161" s="16"/>
      <c r="V161" s="16">
        <v>5550</v>
      </c>
      <c r="W161" s="16">
        <f t="shared" si="35"/>
        <v>97</v>
      </c>
      <c r="X161" s="16">
        <v>5453</v>
      </c>
      <c r="Y161" s="16">
        <v>4729</v>
      </c>
      <c r="Z161" s="16">
        <f t="shared" si="36"/>
        <v>724</v>
      </c>
      <c r="AA161" s="16"/>
      <c r="AB161" s="17"/>
      <c r="AC161" s="18">
        <v>2005</v>
      </c>
      <c r="AD161" s="21" t="s">
        <v>47</v>
      </c>
      <c r="AE161" s="15">
        <f>+Tabla5[[#This Row],[Trenes Puntuales]]/Tabla5[[#This Row],[Trenes Programados]]</f>
        <v>0.94129464285714282</v>
      </c>
      <c r="AF161" s="15">
        <f>+Tabla5[[#This Row],[Trenes Puntuales]]/Tabla5[[#This Row],[Trenes Corridos]]</f>
        <v>0.95797364834166288</v>
      </c>
      <c r="AG161" s="15">
        <f>+Tabla5[[#This Row],[Trenes Corridos]]/Tabla5[[#This Row],[Trenes Programados]]</f>
        <v>0.98258928571428572</v>
      </c>
      <c r="AH161" s="16"/>
      <c r="AI161" s="16"/>
      <c r="AJ161" s="16">
        <v>4480</v>
      </c>
      <c r="AK161" s="16">
        <f t="shared" si="37"/>
        <v>78</v>
      </c>
      <c r="AL161" s="16">
        <v>4402</v>
      </c>
      <c r="AM161" s="16">
        <v>4217</v>
      </c>
      <c r="AN161" s="16">
        <f t="shared" si="38"/>
        <v>185</v>
      </c>
      <c r="AO161" s="16"/>
      <c r="AP161" s="17"/>
      <c r="AQ161" s="18">
        <v>2005</v>
      </c>
      <c r="AR161" s="21" t="s">
        <v>47</v>
      </c>
      <c r="AS161" s="15">
        <f>+Tabla6[[#This Row],[Trenes Puntuales]]/Tabla6[[#This Row],[Trenes Programados]]</f>
        <v>0.95955196017423772</v>
      </c>
      <c r="AT161" s="15">
        <f>+Tabla6[[#This Row],[Trenes Puntuales]]/Tabla6[[#This Row],[Trenes Corridos]]</f>
        <v>0.97103274559193953</v>
      </c>
      <c r="AU161" s="15">
        <f>+Tabla6[[#This Row],[Trenes Corridos]]/Tabla6[[#This Row],[Trenes Programados]]</f>
        <v>0.98817672682016178</v>
      </c>
      <c r="AV161" s="16"/>
      <c r="AW161" s="16"/>
      <c r="AX161" s="16">
        <v>3214</v>
      </c>
      <c r="AY161" s="16">
        <f t="shared" si="39"/>
        <v>38</v>
      </c>
      <c r="AZ161" s="16">
        <v>3176</v>
      </c>
      <c r="BA161" s="16">
        <v>3084</v>
      </c>
      <c r="BB161" s="16">
        <f t="shared" si="40"/>
        <v>92</v>
      </c>
      <c r="BC161" s="16"/>
      <c r="BD161" s="17"/>
      <c r="BE161" s="18">
        <v>2005</v>
      </c>
      <c r="BF161" s="21" t="s">
        <v>47</v>
      </c>
      <c r="BG161" s="15">
        <f>+MIT_Vic_Cap[[#This Row],[Trenes Puntuales]]/MIT_Vic_Cap[[#This Row],[Trenes Programados]]</f>
        <v>0.72072072072072069</v>
      </c>
      <c r="BH161" s="15">
        <f>+MIT_Vic_Cap[[#This Row],[Trenes Puntuales]]/MIT_Vic_Cap[[#This Row],[Trenes Corridos]]</f>
        <v>0.76433121019108285</v>
      </c>
      <c r="BI161" s="15">
        <f>+MIT_Vic_Cap[[#This Row],[Trenes Corridos]]/MIT_Vic_Cap[[#This Row],[Trenes Programados]]</f>
        <v>0.9429429429429429</v>
      </c>
      <c r="BJ161" s="16"/>
      <c r="BK161" s="16"/>
      <c r="BL161" s="16">
        <v>999</v>
      </c>
      <c r="BM161" s="16">
        <f t="shared" si="41"/>
        <v>57</v>
      </c>
      <c r="BN161" s="16">
        <v>942</v>
      </c>
      <c r="BO161" s="16">
        <v>720</v>
      </c>
      <c r="BP161" s="16">
        <f t="shared" si="42"/>
        <v>222</v>
      </c>
      <c r="BQ161" s="16"/>
      <c r="BR161" s="17"/>
      <c r="BS161" s="18">
        <v>2005</v>
      </c>
      <c r="BT161" s="21" t="s">
        <v>47</v>
      </c>
      <c r="BU161" s="15">
        <f>+Tabla8[[#This Row],[Trenes Puntuales]]/Tabla8[[#This Row],[Trenes Programados]]</f>
        <v>0.82518210197710717</v>
      </c>
      <c r="BV161" s="15">
        <f>+Tabla8[[#This Row],[Trenes Puntuales]]/Tabla8[[#This Row],[Trenes Corridos]]</f>
        <v>0.93514150943396224</v>
      </c>
      <c r="BW161" s="15">
        <f>+Tabla8[[#This Row],[Trenes Corridos]]/Tabla8[[#This Row],[Trenes Programados]]</f>
        <v>0.88241415192507799</v>
      </c>
      <c r="BX161" s="16"/>
      <c r="BY161" s="16"/>
      <c r="BZ161" s="16">
        <v>961</v>
      </c>
      <c r="CA161" s="16">
        <f t="shared" si="43"/>
        <v>113</v>
      </c>
      <c r="CB161" s="16">
        <v>848</v>
      </c>
      <c r="CC161" s="16">
        <v>793</v>
      </c>
      <c r="CD161" s="16">
        <f t="shared" si="44"/>
        <v>55</v>
      </c>
      <c r="CI161" s="40"/>
      <c r="CJ161" s="40"/>
      <c r="CK161" s="40"/>
      <c r="CL161" s="40"/>
      <c r="CM161" s="40"/>
    </row>
    <row r="162" spans="1:91" s="18" customFormat="1" ht="15" customHeight="1">
      <c r="A162" s="18">
        <v>2006</v>
      </c>
      <c r="B162" s="21" t="s">
        <v>36</v>
      </c>
      <c r="C162" s="15">
        <f>+MITRE[[#This Row],[Trenes Puntuales]]/MITRE[[#This Row],[Trenes Programados]]</f>
        <v>0.89430309372751648</v>
      </c>
      <c r="D162" s="15">
        <f>+MITRE[[#This Row],[Trenes Puntuales]]/MITRE[[#This Row],[Trenes Corridos]]</f>
        <v>0.9288722826086957</v>
      </c>
      <c r="E162" s="15">
        <f>+MITRE[[#This Row],[Trenes Corridos]]/MITRE[[#This Row],[Trenes Programados]]</f>
        <v>0.96278370069984953</v>
      </c>
      <c r="F162" s="16">
        <f>+Tabla4[[#This Row],[Trenes Programados por Día Hábil]]+Tabla5[[#This Row],[Trenes Programados por Día Hábil]]+Tabla6[[#This Row],[Trenes Programados por Día Hábil]]+MIT_Vic_Cap[[#This Row],[Trenes Programados por Día Hábil]]+Tabla8[[#This Row],[Trenes Programados por Día Hábil]]</f>
        <v>0</v>
      </c>
      <c r="G16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2" s="16">
        <f t="shared" si="20"/>
        <v>15289</v>
      </c>
      <c r="I162" s="16">
        <f t="shared" si="21"/>
        <v>569</v>
      </c>
      <c r="J162" s="16">
        <f t="shared" si="22"/>
        <v>14720</v>
      </c>
      <c r="K162" s="16">
        <f t="shared" si="23"/>
        <v>13673</v>
      </c>
      <c r="L162" s="16">
        <f t="shared" si="24"/>
        <v>1047</v>
      </c>
      <c r="M162" s="16"/>
      <c r="N162" s="17"/>
      <c r="O162" s="18">
        <v>2006</v>
      </c>
      <c r="P162" s="21" t="s">
        <v>36</v>
      </c>
      <c r="Q162" s="15">
        <f>+Tabla4[[#This Row],[Trenes Puntuales]]/Tabla4[[#This Row],[Trenes Programados]]</f>
        <v>0.89516994633273705</v>
      </c>
      <c r="R162" s="15">
        <f>+Tabla4[[#This Row],[Trenes Puntuales]]/Tabla4[[#This Row],[Trenes Corridos]]</f>
        <v>0.92649509350120351</v>
      </c>
      <c r="S162" s="15">
        <f>+Tabla4[[#This Row],[Trenes Corridos]]/Tabla4[[#This Row],[Trenes Programados]]</f>
        <v>0.96618962432915922</v>
      </c>
      <c r="T162" s="16"/>
      <c r="U162" s="16"/>
      <c r="V162" s="16">
        <v>5590</v>
      </c>
      <c r="W162" s="16">
        <f t="shared" ref="W162:W173" si="45">V162-X162</f>
        <v>189</v>
      </c>
      <c r="X162" s="16">
        <v>5401</v>
      </c>
      <c r="Y162" s="16">
        <v>5004</v>
      </c>
      <c r="Z162" s="16">
        <f t="shared" ref="Z162:Z173" si="46">X162-Y162</f>
        <v>397</v>
      </c>
      <c r="AA162" s="16"/>
      <c r="AB162" s="17"/>
      <c r="AC162" s="18">
        <v>2006</v>
      </c>
      <c r="AD162" s="21" t="s">
        <v>36</v>
      </c>
      <c r="AE162" s="15">
        <f>+Tabla5[[#This Row],[Trenes Puntuales]]/Tabla5[[#This Row],[Trenes Programados]]</f>
        <v>0.92341842397336293</v>
      </c>
      <c r="AF162" s="15">
        <f>+Tabla5[[#This Row],[Trenes Puntuales]]/Tabla5[[#This Row],[Trenes Corridos]]</f>
        <v>0.9407507914970602</v>
      </c>
      <c r="AG162" s="15">
        <f>+Tabla5[[#This Row],[Trenes Corridos]]/Tabla5[[#This Row],[Trenes Programados]]</f>
        <v>0.98157602663706989</v>
      </c>
      <c r="AH162" s="16"/>
      <c r="AI162" s="16"/>
      <c r="AJ162" s="16">
        <v>4505</v>
      </c>
      <c r="AK162" s="16">
        <f t="shared" ref="AK162:AK173" si="47">AJ162-AL162</f>
        <v>83</v>
      </c>
      <c r="AL162" s="16">
        <v>4422</v>
      </c>
      <c r="AM162" s="16">
        <v>4160</v>
      </c>
      <c r="AN162" s="16">
        <f t="shared" ref="AN162:AN173" si="48">AL162-AM162</f>
        <v>262</v>
      </c>
      <c r="AO162" s="16"/>
      <c r="AP162" s="17"/>
      <c r="AQ162" s="18">
        <v>2006</v>
      </c>
      <c r="AR162" s="21" t="s">
        <v>36</v>
      </c>
      <c r="AS162" s="15">
        <f>+Tabla6[[#This Row],[Trenes Puntuales]]/Tabla6[[#This Row],[Trenes Programados]]</f>
        <v>0.93573424402359517</v>
      </c>
      <c r="AT162" s="15">
        <f>+Tabla6[[#This Row],[Trenes Puntuales]]/Tabla6[[#This Row],[Trenes Corridos]]</f>
        <v>0.96571611662928547</v>
      </c>
      <c r="AU162" s="15">
        <f>+Tabla6[[#This Row],[Trenes Corridos]]/Tabla6[[#This Row],[Trenes Programados]]</f>
        <v>0.96895374107420051</v>
      </c>
      <c r="AV162" s="16"/>
      <c r="AW162" s="16"/>
      <c r="AX162" s="16">
        <v>3221</v>
      </c>
      <c r="AY162" s="16">
        <f t="shared" ref="AY162:AY173" si="49">AX162-AZ162</f>
        <v>100</v>
      </c>
      <c r="AZ162" s="16">
        <v>3121</v>
      </c>
      <c r="BA162" s="16">
        <v>3014</v>
      </c>
      <c r="BB162" s="16">
        <f t="shared" ref="BB162:BB173" si="50">AZ162-BA162</f>
        <v>107</v>
      </c>
      <c r="BC162" s="16"/>
      <c r="BD162" s="17"/>
      <c r="BE162" s="18">
        <v>2006</v>
      </c>
      <c r="BF162" s="21" t="s">
        <v>36</v>
      </c>
      <c r="BG162" s="15">
        <f>+MIT_Vic_Cap[[#This Row],[Trenes Puntuales]]/MIT_Vic_Cap[[#This Row],[Trenes Programados]]</f>
        <v>0.73473473473473472</v>
      </c>
      <c r="BH162" s="15">
        <f>+MIT_Vic_Cap[[#This Row],[Trenes Puntuales]]/MIT_Vic_Cap[[#This Row],[Trenes Corridos]]</f>
        <v>0.76858638743455499</v>
      </c>
      <c r="BI162" s="15">
        <f>+MIT_Vic_Cap[[#This Row],[Trenes Corridos]]/MIT_Vic_Cap[[#This Row],[Trenes Programados]]</f>
        <v>0.95595595595595595</v>
      </c>
      <c r="BJ162" s="16"/>
      <c r="BK162" s="16"/>
      <c r="BL162" s="16">
        <v>999</v>
      </c>
      <c r="BM162" s="16">
        <f t="shared" ref="BM162:BM173" si="51">BL162-BN162</f>
        <v>44</v>
      </c>
      <c r="BN162" s="16">
        <v>955</v>
      </c>
      <c r="BO162" s="16">
        <v>734</v>
      </c>
      <c r="BP162" s="16">
        <f t="shared" ref="BP162:BP173" si="52">BN162-BO162</f>
        <v>221</v>
      </c>
      <c r="BQ162" s="16"/>
      <c r="BR162" s="17"/>
      <c r="BS162" s="18">
        <v>2006</v>
      </c>
      <c r="BT162" s="21" t="s">
        <v>36</v>
      </c>
      <c r="BU162" s="15">
        <f>+Tabla8[[#This Row],[Trenes Puntuales]]/Tabla8[[#This Row],[Trenes Programados]]</f>
        <v>0.78131416837782341</v>
      </c>
      <c r="BV162" s="15">
        <f>+Tabla8[[#This Row],[Trenes Puntuales]]/Tabla8[[#This Row],[Trenes Corridos]]</f>
        <v>0.92691839220462846</v>
      </c>
      <c r="BW162" s="15">
        <f>+Tabla8[[#This Row],[Trenes Corridos]]/Tabla8[[#This Row],[Trenes Programados]]</f>
        <v>0.84291581108829572</v>
      </c>
      <c r="BX162" s="16"/>
      <c r="BY162" s="16"/>
      <c r="BZ162" s="16">
        <v>974</v>
      </c>
      <c r="CA162" s="16">
        <f t="shared" ref="CA162:CA173" si="53">BZ162-CB162</f>
        <v>153</v>
      </c>
      <c r="CB162" s="16">
        <v>821</v>
      </c>
      <c r="CC162" s="16">
        <v>761</v>
      </c>
      <c r="CD162" s="16">
        <f t="shared" ref="CD162:CD173" si="54">CB162-CC162</f>
        <v>60</v>
      </c>
      <c r="CI162" s="40"/>
      <c r="CJ162" s="40"/>
      <c r="CK162" s="40"/>
      <c r="CL162" s="40"/>
      <c r="CM162" s="40"/>
    </row>
    <row r="163" spans="1:91" s="18" customFormat="1" ht="15" customHeight="1">
      <c r="A163" s="18">
        <v>2006</v>
      </c>
      <c r="B163" s="21" t="s">
        <v>37</v>
      </c>
      <c r="C163" s="15">
        <f>+MITRE[[#This Row],[Trenes Puntuales]]/MITRE[[#This Row],[Trenes Programados]]</f>
        <v>0.8358155002891845</v>
      </c>
      <c r="D163" s="15">
        <f>+MITRE[[#This Row],[Trenes Puntuales]]/MITRE[[#This Row],[Trenes Corridos]]</f>
        <v>0.87477300242130751</v>
      </c>
      <c r="E163" s="15">
        <f>+MITRE[[#This Row],[Trenes Corridos]]/MITRE[[#This Row],[Trenes Programados]]</f>
        <v>0.95546558704453444</v>
      </c>
      <c r="F163" s="16">
        <f>+Tabla4[[#This Row],[Trenes Programados por Día Hábil]]+Tabla5[[#This Row],[Trenes Programados por Día Hábil]]+Tabla6[[#This Row],[Trenes Programados por Día Hábil]]+MIT_Vic_Cap[[#This Row],[Trenes Programados por Día Hábil]]+Tabla8[[#This Row],[Trenes Programados por Día Hábil]]</f>
        <v>0</v>
      </c>
      <c r="G16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3" s="16">
        <f t="shared" si="20"/>
        <v>13832</v>
      </c>
      <c r="I163" s="16">
        <f t="shared" si="21"/>
        <v>616</v>
      </c>
      <c r="J163" s="16">
        <f t="shared" si="22"/>
        <v>13216</v>
      </c>
      <c r="K163" s="16">
        <f t="shared" si="23"/>
        <v>11561</v>
      </c>
      <c r="L163" s="16">
        <f t="shared" si="24"/>
        <v>1655</v>
      </c>
      <c r="M163" s="16"/>
      <c r="N163" s="17"/>
      <c r="O163" s="18">
        <v>2006</v>
      </c>
      <c r="P163" s="21" t="s">
        <v>37</v>
      </c>
      <c r="Q163" s="15">
        <f>+Tabla4[[#This Row],[Trenes Puntuales]]/Tabla4[[#This Row],[Trenes Programados]]</f>
        <v>0.87952755905511815</v>
      </c>
      <c r="R163" s="15">
        <f>+Tabla4[[#This Row],[Trenes Puntuales]]/Tabla4[[#This Row],[Trenes Corridos]]</f>
        <v>0.90647190099411645</v>
      </c>
      <c r="S163" s="15">
        <f>+Tabla4[[#This Row],[Trenes Corridos]]/Tabla4[[#This Row],[Trenes Programados]]</f>
        <v>0.97027559055118107</v>
      </c>
      <c r="T163" s="16"/>
      <c r="U163" s="16"/>
      <c r="V163" s="16">
        <v>5080</v>
      </c>
      <c r="W163" s="16">
        <f t="shared" si="45"/>
        <v>151</v>
      </c>
      <c r="X163" s="16">
        <v>4929</v>
      </c>
      <c r="Y163" s="16">
        <v>4468</v>
      </c>
      <c r="Z163" s="16">
        <f t="shared" si="46"/>
        <v>461</v>
      </c>
      <c r="AA163" s="16"/>
      <c r="AB163" s="17"/>
      <c r="AC163" s="18">
        <v>2006</v>
      </c>
      <c r="AD163" s="21" t="s">
        <v>37</v>
      </c>
      <c r="AE163" s="15">
        <f>+Tabla5[[#This Row],[Trenes Puntuales]]/Tabla5[[#This Row],[Trenes Programados]]</f>
        <v>0.80859375</v>
      </c>
      <c r="AF163" s="15">
        <f>+Tabla5[[#This Row],[Trenes Puntuales]]/Tabla5[[#This Row],[Trenes Corridos]]</f>
        <v>0.85032092426187422</v>
      </c>
      <c r="AG163" s="15">
        <f>+Tabla5[[#This Row],[Trenes Corridos]]/Tabla5[[#This Row],[Trenes Programados]]</f>
        <v>0.950927734375</v>
      </c>
      <c r="AH163" s="16"/>
      <c r="AI163" s="16"/>
      <c r="AJ163" s="16">
        <v>4096</v>
      </c>
      <c r="AK163" s="16">
        <f t="shared" si="47"/>
        <v>201</v>
      </c>
      <c r="AL163" s="16">
        <v>3895</v>
      </c>
      <c r="AM163" s="16">
        <v>3312</v>
      </c>
      <c r="AN163" s="16">
        <f t="shared" si="48"/>
        <v>583</v>
      </c>
      <c r="AO163" s="16"/>
      <c r="AP163" s="17"/>
      <c r="AQ163" s="18">
        <v>2006</v>
      </c>
      <c r="AR163" s="21" t="s">
        <v>37</v>
      </c>
      <c r="AS163" s="15">
        <f>+Tabla6[[#This Row],[Trenes Puntuales]]/Tabla6[[#This Row],[Trenes Programados]]</f>
        <v>0.84794520547945207</v>
      </c>
      <c r="AT163" s="15">
        <f>+Tabla6[[#This Row],[Trenes Puntuales]]/Tabla6[[#This Row],[Trenes Corridos]]</f>
        <v>0.88968738771110312</v>
      </c>
      <c r="AU163" s="15">
        <f>+Tabla6[[#This Row],[Trenes Corridos]]/Tabla6[[#This Row],[Trenes Programados]]</f>
        <v>0.95308219178082187</v>
      </c>
      <c r="AV163" s="16"/>
      <c r="AW163" s="16"/>
      <c r="AX163" s="16">
        <v>2920</v>
      </c>
      <c r="AY163" s="16">
        <f t="shared" si="49"/>
        <v>137</v>
      </c>
      <c r="AZ163" s="16">
        <v>2783</v>
      </c>
      <c r="BA163" s="16">
        <v>2476</v>
      </c>
      <c r="BB163" s="16">
        <f t="shared" si="50"/>
        <v>307</v>
      </c>
      <c r="BC163" s="16"/>
      <c r="BD163" s="17"/>
      <c r="BE163" s="18">
        <v>2006</v>
      </c>
      <c r="BF163" s="21" t="s">
        <v>37</v>
      </c>
      <c r="BG163" s="15">
        <f>+MIT_Vic_Cap[[#This Row],[Trenes Puntuales]]/MIT_Vic_Cap[[#This Row],[Trenes Programados]]</f>
        <v>0.72136563876651982</v>
      </c>
      <c r="BH163" s="15">
        <f>+MIT_Vic_Cap[[#This Row],[Trenes Puntuales]]/MIT_Vic_Cap[[#This Row],[Trenes Corridos]]</f>
        <v>0.76518691588785048</v>
      </c>
      <c r="BI163" s="15">
        <f>+MIT_Vic_Cap[[#This Row],[Trenes Corridos]]/MIT_Vic_Cap[[#This Row],[Trenes Programados]]</f>
        <v>0.94273127753303965</v>
      </c>
      <c r="BJ163" s="16"/>
      <c r="BK163" s="16"/>
      <c r="BL163" s="16">
        <v>908</v>
      </c>
      <c r="BM163" s="16">
        <f t="shared" si="51"/>
        <v>52</v>
      </c>
      <c r="BN163" s="16">
        <v>856</v>
      </c>
      <c r="BO163" s="16">
        <v>655</v>
      </c>
      <c r="BP163" s="16">
        <f t="shared" si="52"/>
        <v>201</v>
      </c>
      <c r="BQ163" s="16"/>
      <c r="BR163" s="17"/>
      <c r="BS163" s="18">
        <v>2006</v>
      </c>
      <c r="BT163" s="21" t="s">
        <v>37</v>
      </c>
      <c r="BU163" s="15">
        <f>+Tabla8[[#This Row],[Trenes Puntuales]]/Tabla8[[#This Row],[Trenes Programados]]</f>
        <v>0.78502415458937203</v>
      </c>
      <c r="BV163" s="15">
        <f>+Tabla8[[#This Row],[Trenes Puntuales]]/Tabla8[[#This Row],[Trenes Corridos]]</f>
        <v>0.86321381142098275</v>
      </c>
      <c r="BW163" s="15">
        <f>+Tabla8[[#This Row],[Trenes Corridos]]/Tabla8[[#This Row],[Trenes Programados]]</f>
        <v>0.90942028985507251</v>
      </c>
      <c r="BX163" s="16"/>
      <c r="BY163" s="16"/>
      <c r="BZ163" s="16">
        <v>828</v>
      </c>
      <c r="CA163" s="16">
        <f t="shared" si="53"/>
        <v>75</v>
      </c>
      <c r="CB163" s="16">
        <v>753</v>
      </c>
      <c r="CC163" s="16">
        <v>650</v>
      </c>
      <c r="CD163" s="16">
        <f t="shared" si="54"/>
        <v>103</v>
      </c>
      <c r="CI163" s="40"/>
      <c r="CJ163" s="40"/>
      <c r="CK163" s="40"/>
      <c r="CL163" s="40"/>
      <c r="CM163" s="40"/>
    </row>
    <row r="164" spans="1:91" s="18" customFormat="1" ht="15" customHeight="1">
      <c r="A164" s="18">
        <v>2006</v>
      </c>
      <c r="B164" s="21" t="s">
        <v>38</v>
      </c>
      <c r="C164" s="15">
        <f>+MITRE[[#This Row],[Trenes Puntuales]]/MITRE[[#This Row],[Trenes Programados]]</f>
        <v>0.73594212430121675</v>
      </c>
      <c r="D164" s="15">
        <f>+MITRE[[#This Row],[Trenes Puntuales]]/MITRE[[#This Row],[Trenes Corridos]]</f>
        <v>0.76691110958810227</v>
      </c>
      <c r="E164" s="15">
        <f>+MITRE[[#This Row],[Trenes Corridos]]/MITRE[[#This Row],[Trenes Programados]]</f>
        <v>0.95961854653074652</v>
      </c>
      <c r="F164" s="16">
        <f>+Tabla4[[#This Row],[Trenes Programados por Día Hábil]]+Tabla5[[#This Row],[Trenes Programados por Día Hábil]]+Tabla6[[#This Row],[Trenes Programados por Día Hábil]]+MIT_Vic_Cap[[#This Row],[Trenes Programados por Día Hábil]]+Tabla8[[#This Row],[Trenes Programados por Día Hábil]]</f>
        <v>0</v>
      </c>
      <c r="G16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4" s="16">
        <f t="shared" si="20"/>
        <v>15205</v>
      </c>
      <c r="I164" s="16">
        <f t="shared" si="21"/>
        <v>614</v>
      </c>
      <c r="J164" s="16">
        <f t="shared" si="22"/>
        <v>14591</v>
      </c>
      <c r="K164" s="16">
        <f t="shared" si="23"/>
        <v>11190</v>
      </c>
      <c r="L164" s="16">
        <f t="shared" si="24"/>
        <v>3401</v>
      </c>
      <c r="M164" s="16"/>
      <c r="N164" s="17"/>
      <c r="O164" s="18">
        <v>2006</v>
      </c>
      <c r="P164" s="21" t="s">
        <v>38</v>
      </c>
      <c r="Q164" s="15">
        <f>+Tabla4[[#This Row],[Trenes Puntuales]]/Tabla4[[#This Row],[Trenes Programados]]</f>
        <v>0.78872987477638645</v>
      </c>
      <c r="R164" s="15">
        <f>+Tabla4[[#This Row],[Trenes Puntuales]]/Tabla4[[#This Row],[Trenes Corridos]]</f>
        <v>0.81152217927480208</v>
      </c>
      <c r="S164" s="15">
        <f>+Tabla4[[#This Row],[Trenes Corridos]]/Tabla4[[#This Row],[Trenes Programados]]</f>
        <v>0.97191413237924862</v>
      </c>
      <c r="T164" s="16"/>
      <c r="U164" s="16"/>
      <c r="V164" s="16">
        <v>5590</v>
      </c>
      <c r="W164" s="16">
        <f t="shared" si="45"/>
        <v>157</v>
      </c>
      <c r="X164" s="16">
        <v>5433</v>
      </c>
      <c r="Y164" s="16">
        <v>4409</v>
      </c>
      <c r="Z164" s="16">
        <f t="shared" si="46"/>
        <v>1024</v>
      </c>
      <c r="AA164" s="16"/>
      <c r="AB164" s="17"/>
      <c r="AC164" s="18">
        <v>2006</v>
      </c>
      <c r="AD164" s="21" t="s">
        <v>38</v>
      </c>
      <c r="AE164" s="15">
        <f>+Tabla5[[#This Row],[Trenes Puntuales]]/Tabla5[[#This Row],[Trenes Programados]]</f>
        <v>0.6694178005799688</v>
      </c>
      <c r="AF164" s="15">
        <f>+Tabla5[[#This Row],[Trenes Puntuales]]/Tabla5[[#This Row],[Trenes Corridos]]</f>
        <v>0.69871944121071017</v>
      </c>
      <c r="AG164" s="15">
        <f>+Tabla5[[#This Row],[Trenes Corridos]]/Tabla5[[#This Row],[Trenes Programados]]</f>
        <v>0.95806379656480034</v>
      </c>
      <c r="AH164" s="16"/>
      <c r="AI164" s="16"/>
      <c r="AJ164" s="16">
        <v>4483</v>
      </c>
      <c r="AK164" s="16">
        <f t="shared" si="47"/>
        <v>188</v>
      </c>
      <c r="AL164" s="16">
        <v>4295</v>
      </c>
      <c r="AM164" s="16">
        <v>3001</v>
      </c>
      <c r="AN164" s="16">
        <f t="shared" si="48"/>
        <v>1294</v>
      </c>
      <c r="AO164" s="16"/>
      <c r="AP164" s="17"/>
      <c r="AQ164" s="18">
        <v>2006</v>
      </c>
      <c r="AR164" s="21" t="s">
        <v>38</v>
      </c>
      <c r="AS164" s="15">
        <f>+Tabla6[[#This Row],[Trenes Puntuales]]/Tabla6[[#This Row],[Trenes Programados]]</f>
        <v>0.71064886681154926</v>
      </c>
      <c r="AT164" s="15">
        <f>+Tabla6[[#This Row],[Trenes Puntuales]]/Tabla6[[#This Row],[Trenes Corridos]]</f>
        <v>0.74975433999344909</v>
      </c>
      <c r="AU164" s="15">
        <f>+Tabla6[[#This Row],[Trenes Corridos]]/Tabla6[[#This Row],[Trenes Programados]]</f>
        <v>0.94784228500465695</v>
      </c>
      <c r="AV164" s="16"/>
      <c r="AW164" s="16"/>
      <c r="AX164" s="16">
        <v>3221</v>
      </c>
      <c r="AY164" s="16">
        <f t="shared" si="49"/>
        <v>168</v>
      </c>
      <c r="AZ164" s="16">
        <v>3053</v>
      </c>
      <c r="BA164" s="16">
        <v>2289</v>
      </c>
      <c r="BB164" s="16">
        <f t="shared" si="50"/>
        <v>764</v>
      </c>
      <c r="BC164" s="16"/>
      <c r="BD164" s="17"/>
      <c r="BE164" s="18">
        <v>2006</v>
      </c>
      <c r="BF164" s="21" t="s">
        <v>38</v>
      </c>
      <c r="BG164" s="15">
        <f>+MIT_Vic_Cap[[#This Row],[Trenes Puntuales]]/MIT_Vic_Cap[[#This Row],[Trenes Programados]]</f>
        <v>0.7047047047047047</v>
      </c>
      <c r="BH164" s="15">
        <f>+MIT_Vic_Cap[[#This Row],[Trenes Puntuales]]/MIT_Vic_Cap[[#This Row],[Trenes Corridos]]</f>
        <v>0.75294117647058822</v>
      </c>
      <c r="BI164" s="15">
        <f>+MIT_Vic_Cap[[#This Row],[Trenes Corridos]]/MIT_Vic_Cap[[#This Row],[Trenes Programados]]</f>
        <v>0.93593593593593594</v>
      </c>
      <c r="BJ164" s="16"/>
      <c r="BK164" s="16"/>
      <c r="BL164" s="16">
        <v>999</v>
      </c>
      <c r="BM164" s="16">
        <f t="shared" si="51"/>
        <v>64</v>
      </c>
      <c r="BN164" s="16">
        <v>935</v>
      </c>
      <c r="BO164" s="16">
        <v>704</v>
      </c>
      <c r="BP164" s="16">
        <f t="shared" si="52"/>
        <v>231</v>
      </c>
      <c r="BQ164" s="16"/>
      <c r="BR164" s="17"/>
      <c r="BS164" s="18">
        <v>2006</v>
      </c>
      <c r="BT164" s="21" t="s">
        <v>38</v>
      </c>
      <c r="BU164" s="15">
        <f>+Tabla8[[#This Row],[Trenes Puntuales]]/Tabla8[[#This Row],[Trenes Programados]]</f>
        <v>0.86293859649122806</v>
      </c>
      <c r="BV164" s="15">
        <f>+Tabla8[[#This Row],[Trenes Puntuales]]/Tabla8[[#This Row],[Trenes Corridos]]</f>
        <v>0.89942857142857147</v>
      </c>
      <c r="BW164" s="15">
        <f>+Tabla8[[#This Row],[Trenes Corridos]]/Tabla8[[#This Row],[Trenes Programados]]</f>
        <v>0.95942982456140347</v>
      </c>
      <c r="BX164" s="16"/>
      <c r="BY164" s="16"/>
      <c r="BZ164" s="16">
        <v>912</v>
      </c>
      <c r="CA164" s="16">
        <f t="shared" si="53"/>
        <v>37</v>
      </c>
      <c r="CB164" s="16">
        <v>875</v>
      </c>
      <c r="CC164" s="16">
        <v>787</v>
      </c>
      <c r="CD164" s="16">
        <f t="shared" si="54"/>
        <v>88</v>
      </c>
      <c r="CI164" s="40"/>
      <c r="CJ164" s="40"/>
      <c r="CK164" s="40"/>
      <c r="CL164" s="40"/>
      <c r="CM164" s="40"/>
    </row>
    <row r="165" spans="1:91" s="18" customFormat="1" ht="15" customHeight="1">
      <c r="A165" s="18">
        <v>2006</v>
      </c>
      <c r="B165" s="21" t="s">
        <v>39</v>
      </c>
      <c r="C165" s="15">
        <f>+MITRE[[#This Row],[Trenes Puntuales]]/MITRE[[#This Row],[Trenes Programados]]</f>
        <v>0.79638135003479471</v>
      </c>
      <c r="D165" s="15">
        <f>+MITRE[[#This Row],[Trenes Puntuales]]/MITRE[[#This Row],[Trenes Corridos]]</f>
        <v>0.83023795705165404</v>
      </c>
      <c r="E165" s="15">
        <f>+MITRE[[#This Row],[Trenes Corridos]]/MITRE[[#This Row],[Trenes Programados]]</f>
        <v>0.95922059846903274</v>
      </c>
      <c r="F165" s="16">
        <f>+Tabla4[[#This Row],[Trenes Programados por Día Hábil]]+Tabla5[[#This Row],[Trenes Programados por Día Hábil]]+Tabla6[[#This Row],[Trenes Programados por Día Hábil]]+MIT_Vic_Cap[[#This Row],[Trenes Programados por Día Hábil]]+Tabla8[[#This Row],[Trenes Programados por Día Hábil]]</f>
        <v>0</v>
      </c>
      <c r="G16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5" s="16">
        <f t="shared" si="20"/>
        <v>14370</v>
      </c>
      <c r="I165" s="16">
        <f t="shared" si="21"/>
        <v>586</v>
      </c>
      <c r="J165" s="16">
        <f t="shared" si="22"/>
        <v>13784</v>
      </c>
      <c r="K165" s="16">
        <f t="shared" si="23"/>
        <v>11444</v>
      </c>
      <c r="L165" s="16">
        <f t="shared" si="24"/>
        <v>2340</v>
      </c>
      <c r="M165" s="16"/>
      <c r="N165" s="17"/>
      <c r="O165" s="18">
        <v>2006</v>
      </c>
      <c r="P165" s="21" t="s">
        <v>39</v>
      </c>
      <c r="Q165" s="15">
        <f>+Tabla4[[#This Row],[Trenes Puntuales]]/Tabla4[[#This Row],[Trenes Programados]]</f>
        <v>1</v>
      </c>
      <c r="R165" s="15">
        <f>+Tabla4[[#This Row],[Trenes Puntuales]]/Tabla4[[#This Row],[Trenes Corridos]]</f>
        <v>1</v>
      </c>
      <c r="S165" s="15">
        <f>+Tabla4[[#This Row],[Trenes Corridos]]/Tabla4[[#This Row],[Trenes Programados]]</f>
        <v>1</v>
      </c>
      <c r="T165" s="16"/>
      <c r="U165" s="16"/>
      <c r="V165" s="16">
        <v>5260</v>
      </c>
      <c r="W165" s="16">
        <f t="shared" si="45"/>
        <v>0</v>
      </c>
      <c r="X165" s="16">
        <v>5260</v>
      </c>
      <c r="Y165" s="16">
        <v>5260</v>
      </c>
      <c r="Z165" s="16">
        <f t="shared" si="46"/>
        <v>0</v>
      </c>
      <c r="AA165" s="16"/>
      <c r="AB165" s="17"/>
      <c r="AC165" s="18">
        <v>2006</v>
      </c>
      <c r="AD165" s="21" t="s">
        <v>39</v>
      </c>
      <c r="AE165" s="15">
        <f>+Tabla5[[#This Row],[Trenes Puntuales]]/Tabla5[[#This Row],[Trenes Programados]]</f>
        <v>0.66217494089834517</v>
      </c>
      <c r="AF165" s="15">
        <f>+Tabla5[[#This Row],[Trenes Puntuales]]/Tabla5[[#This Row],[Trenes Corridos]]</f>
        <v>0.69007144616900717</v>
      </c>
      <c r="AG165" s="15">
        <f>+Tabla5[[#This Row],[Trenes Corridos]]/Tabla5[[#This Row],[Trenes Programados]]</f>
        <v>0.95957446808510638</v>
      </c>
      <c r="AH165" s="16"/>
      <c r="AI165" s="16"/>
      <c r="AJ165" s="16">
        <v>4230</v>
      </c>
      <c r="AK165" s="16">
        <f t="shared" si="47"/>
        <v>171</v>
      </c>
      <c r="AL165" s="16">
        <v>4059</v>
      </c>
      <c r="AM165" s="16">
        <v>2801</v>
      </c>
      <c r="AN165" s="16">
        <f t="shared" si="48"/>
        <v>1258</v>
      </c>
      <c r="AO165" s="16"/>
      <c r="AP165" s="17"/>
      <c r="AQ165" s="18">
        <v>2006</v>
      </c>
      <c r="AR165" s="21" t="s">
        <v>39</v>
      </c>
      <c r="AS165" s="15">
        <f>+Tabla6[[#This Row],[Trenes Puntuales]]/Tabla6[[#This Row],[Trenes Programados]]</f>
        <v>0.69795388113023704</v>
      </c>
      <c r="AT165" s="15">
        <f>+Tabla6[[#This Row],[Trenes Puntuales]]/Tabla6[[#This Row],[Trenes Corridos]]</f>
        <v>0.74001377410468316</v>
      </c>
      <c r="AU165" s="15">
        <f>+Tabla6[[#This Row],[Trenes Corridos]]/Tabla6[[#This Row],[Trenes Programados]]</f>
        <v>0.94316336472880802</v>
      </c>
      <c r="AV165" s="16"/>
      <c r="AW165" s="16"/>
      <c r="AX165" s="16">
        <v>3079</v>
      </c>
      <c r="AY165" s="16">
        <f t="shared" si="49"/>
        <v>175</v>
      </c>
      <c r="AZ165" s="16">
        <v>2904</v>
      </c>
      <c r="BA165" s="16">
        <v>2149</v>
      </c>
      <c r="BB165" s="16">
        <f t="shared" si="50"/>
        <v>755</v>
      </c>
      <c r="BC165" s="16"/>
      <c r="BD165" s="17"/>
      <c r="BE165" s="18">
        <v>2006</v>
      </c>
      <c r="BF165" s="21" t="s">
        <v>39</v>
      </c>
      <c r="BG165" s="15">
        <f>+MIT_Vic_Cap[[#This Row],[Trenes Puntuales]]/MIT_Vic_Cap[[#This Row],[Trenes Programados]]</f>
        <v>0.69077568134171907</v>
      </c>
      <c r="BH165" s="15">
        <f>+MIT_Vic_Cap[[#This Row],[Trenes Puntuales]]/MIT_Vic_Cap[[#This Row],[Trenes Corridos]]</f>
        <v>0.76627906976744187</v>
      </c>
      <c r="BI165" s="15">
        <f>+MIT_Vic_Cap[[#This Row],[Trenes Corridos]]/MIT_Vic_Cap[[#This Row],[Trenes Programados]]</f>
        <v>0.90146750524109009</v>
      </c>
      <c r="BJ165" s="16"/>
      <c r="BK165" s="16"/>
      <c r="BL165" s="16">
        <v>954</v>
      </c>
      <c r="BM165" s="16">
        <f t="shared" si="51"/>
        <v>94</v>
      </c>
      <c r="BN165" s="16">
        <v>860</v>
      </c>
      <c r="BO165" s="16">
        <v>659</v>
      </c>
      <c r="BP165" s="16">
        <f t="shared" si="52"/>
        <v>201</v>
      </c>
      <c r="BQ165" s="16"/>
      <c r="BR165" s="17"/>
      <c r="BS165" s="18">
        <v>2006</v>
      </c>
      <c r="BT165" s="21" t="s">
        <v>39</v>
      </c>
      <c r="BU165" s="15">
        <f>+Tabla8[[#This Row],[Trenes Puntuales]]/Tabla8[[#This Row],[Trenes Programados]]</f>
        <v>0.6788665879574971</v>
      </c>
      <c r="BV165" s="15">
        <f>+Tabla8[[#This Row],[Trenes Puntuales]]/Tabla8[[#This Row],[Trenes Corridos]]</f>
        <v>0.82025677603423686</v>
      </c>
      <c r="BW165" s="15">
        <f>+Tabla8[[#This Row],[Trenes Corridos]]/Tabla8[[#This Row],[Trenes Programados]]</f>
        <v>0.82762691853600945</v>
      </c>
      <c r="BX165" s="16"/>
      <c r="BY165" s="16"/>
      <c r="BZ165" s="16">
        <v>847</v>
      </c>
      <c r="CA165" s="16">
        <f t="shared" si="53"/>
        <v>146</v>
      </c>
      <c r="CB165" s="16">
        <v>701</v>
      </c>
      <c r="CC165" s="16">
        <v>575</v>
      </c>
      <c r="CD165" s="16">
        <f t="shared" si="54"/>
        <v>126</v>
      </c>
      <c r="CI165" s="40"/>
      <c r="CJ165" s="40"/>
      <c r="CK165" s="40"/>
      <c r="CL165" s="40"/>
      <c r="CM165" s="40"/>
    </row>
    <row r="166" spans="1:91" s="18" customFormat="1" ht="15" customHeight="1">
      <c r="A166" s="18">
        <v>2006</v>
      </c>
      <c r="B166" s="21" t="s">
        <v>40</v>
      </c>
      <c r="C166" s="15">
        <f>+MITRE[[#This Row],[Trenes Puntuales]]/MITRE[[#This Row],[Trenes Programados]]</f>
        <v>0.85290193462308206</v>
      </c>
      <c r="D166" s="15">
        <f>+MITRE[[#This Row],[Trenes Puntuales]]/MITRE[[#This Row],[Trenes Corridos]]</f>
        <v>0.87875455357756549</v>
      </c>
      <c r="E166" s="15">
        <f>+MITRE[[#This Row],[Trenes Corridos]]/MITRE[[#This Row],[Trenes Programados]]</f>
        <v>0.97058038692461646</v>
      </c>
      <c r="F166" s="16">
        <f>+Tabla4[[#This Row],[Trenes Programados por Día Hábil]]+Tabla5[[#This Row],[Trenes Programados por Día Hábil]]+Tabla6[[#This Row],[Trenes Programados por Día Hábil]]+MIT_Vic_Cap[[#This Row],[Trenes Programados por Día Hábil]]+Tabla8[[#This Row],[Trenes Programados por Día Hábil]]</f>
        <v>0</v>
      </c>
      <c r="G16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6" s="16">
        <f t="shared" si="20"/>
        <v>14990</v>
      </c>
      <c r="I166" s="16">
        <f t="shared" si="21"/>
        <v>441</v>
      </c>
      <c r="J166" s="16">
        <f t="shared" si="22"/>
        <v>14549</v>
      </c>
      <c r="K166" s="16">
        <f t="shared" si="23"/>
        <v>12785</v>
      </c>
      <c r="L166" s="16">
        <f t="shared" si="24"/>
        <v>1764</v>
      </c>
      <c r="M166" s="16"/>
      <c r="N166" s="17"/>
      <c r="O166" s="18">
        <v>2006</v>
      </c>
      <c r="P166" s="21" t="s">
        <v>40</v>
      </c>
      <c r="Q166" s="15">
        <f>+Tabla4[[#This Row],[Trenes Puntuales]]/Tabla4[[#This Row],[Trenes Programados]]</f>
        <v>0.88327272727272732</v>
      </c>
      <c r="R166" s="15">
        <f>+Tabla4[[#This Row],[Trenes Puntuales]]/Tabla4[[#This Row],[Trenes Corridos]]</f>
        <v>0.90146594915568756</v>
      </c>
      <c r="S166" s="15">
        <f>+Tabla4[[#This Row],[Trenes Corridos]]/Tabla4[[#This Row],[Trenes Programados]]</f>
        <v>0.97981818181818181</v>
      </c>
      <c r="T166" s="16"/>
      <c r="U166" s="16"/>
      <c r="V166" s="16">
        <v>5500</v>
      </c>
      <c r="W166" s="16">
        <f t="shared" si="45"/>
        <v>111</v>
      </c>
      <c r="X166" s="16">
        <v>5389</v>
      </c>
      <c r="Y166" s="16">
        <v>4858</v>
      </c>
      <c r="Z166" s="16">
        <f t="shared" si="46"/>
        <v>531</v>
      </c>
      <c r="AA166" s="16"/>
      <c r="AB166" s="17"/>
      <c r="AC166" s="18">
        <v>2006</v>
      </c>
      <c r="AD166" s="21" t="s">
        <v>40</v>
      </c>
      <c r="AE166" s="15">
        <f>+Tabla5[[#This Row],[Trenes Puntuales]]/Tabla5[[#This Row],[Trenes Programados]]</f>
        <v>0.87378200770450942</v>
      </c>
      <c r="AF166" s="15">
        <f>+Tabla5[[#This Row],[Trenes Puntuales]]/Tabla5[[#This Row],[Trenes Corridos]]</f>
        <v>0.8880700138185168</v>
      </c>
      <c r="AG166" s="15">
        <f>+Tabla5[[#This Row],[Trenes Corridos]]/Tabla5[[#This Row],[Trenes Programados]]</f>
        <v>0.98391117153863583</v>
      </c>
      <c r="AH166" s="16"/>
      <c r="AI166" s="16"/>
      <c r="AJ166" s="16">
        <v>4413</v>
      </c>
      <c r="AK166" s="16">
        <f t="shared" si="47"/>
        <v>71</v>
      </c>
      <c r="AL166" s="16">
        <v>4342</v>
      </c>
      <c r="AM166" s="16">
        <v>3856</v>
      </c>
      <c r="AN166" s="16">
        <f t="shared" si="48"/>
        <v>486</v>
      </c>
      <c r="AO166" s="16"/>
      <c r="AP166" s="17"/>
      <c r="AQ166" s="18">
        <v>2006</v>
      </c>
      <c r="AR166" s="21" t="s">
        <v>40</v>
      </c>
      <c r="AS166" s="15">
        <f>+Tabla6[[#This Row],[Trenes Puntuales]]/Tabla6[[#This Row],[Trenes Programados]]</f>
        <v>0.90798122065727704</v>
      </c>
      <c r="AT166" s="15">
        <f>+Tabla6[[#This Row],[Trenes Puntuales]]/Tabla6[[#This Row],[Trenes Corridos]]</f>
        <v>0.92980769230769234</v>
      </c>
      <c r="AU166" s="15">
        <f>+Tabla6[[#This Row],[Trenes Corridos]]/Tabla6[[#This Row],[Trenes Programados]]</f>
        <v>0.97652582159624413</v>
      </c>
      <c r="AV166" s="16"/>
      <c r="AW166" s="16"/>
      <c r="AX166" s="16">
        <v>3195</v>
      </c>
      <c r="AY166" s="16">
        <f t="shared" si="49"/>
        <v>75</v>
      </c>
      <c r="AZ166" s="16">
        <v>3120</v>
      </c>
      <c r="BA166" s="16">
        <v>2901</v>
      </c>
      <c r="BB166" s="16">
        <f t="shared" si="50"/>
        <v>219</v>
      </c>
      <c r="BC166" s="16"/>
      <c r="BD166" s="17"/>
      <c r="BE166" s="18">
        <v>2006</v>
      </c>
      <c r="BF166" s="21" t="s">
        <v>40</v>
      </c>
      <c r="BG166" s="15">
        <f>+MIT_Vic_Cap[[#This Row],[Trenes Puntuales]]/MIT_Vic_Cap[[#This Row],[Trenes Programados]]</f>
        <v>0.46963562753036436</v>
      </c>
      <c r="BH166" s="15">
        <f>+MIT_Vic_Cap[[#This Row],[Trenes Puntuales]]/MIT_Vic_Cap[[#This Row],[Trenes Corridos]]</f>
        <v>0.53089244851258577</v>
      </c>
      <c r="BI166" s="15">
        <f>+MIT_Vic_Cap[[#This Row],[Trenes Corridos]]/MIT_Vic_Cap[[#This Row],[Trenes Programados]]</f>
        <v>0.88461538461538458</v>
      </c>
      <c r="BJ166" s="16"/>
      <c r="BK166" s="16"/>
      <c r="BL166" s="16">
        <v>988</v>
      </c>
      <c r="BM166" s="16">
        <f t="shared" si="51"/>
        <v>114</v>
      </c>
      <c r="BN166" s="16">
        <v>874</v>
      </c>
      <c r="BO166" s="16">
        <v>464</v>
      </c>
      <c r="BP166" s="16">
        <f t="shared" si="52"/>
        <v>410</v>
      </c>
      <c r="BQ166" s="16"/>
      <c r="BR166" s="17"/>
      <c r="BS166" s="18">
        <v>2006</v>
      </c>
      <c r="BT166" s="21" t="s">
        <v>40</v>
      </c>
      <c r="BU166" s="15">
        <f>+Tabla8[[#This Row],[Trenes Puntuales]]/Tabla8[[#This Row],[Trenes Programados]]</f>
        <v>0.78970917225950787</v>
      </c>
      <c r="BV166" s="15">
        <f>+Tabla8[[#This Row],[Trenes Puntuales]]/Tabla8[[#This Row],[Trenes Corridos]]</f>
        <v>0.85679611650485432</v>
      </c>
      <c r="BW166" s="15">
        <f>+Tabla8[[#This Row],[Trenes Corridos]]/Tabla8[[#This Row],[Trenes Programados]]</f>
        <v>0.92170022371364657</v>
      </c>
      <c r="BX166" s="16"/>
      <c r="BY166" s="16"/>
      <c r="BZ166" s="16">
        <v>894</v>
      </c>
      <c r="CA166" s="16">
        <f t="shared" si="53"/>
        <v>70</v>
      </c>
      <c r="CB166" s="16">
        <v>824</v>
      </c>
      <c r="CC166" s="16">
        <v>706</v>
      </c>
      <c r="CD166" s="16">
        <f t="shared" si="54"/>
        <v>118</v>
      </c>
      <c r="CI166" s="40"/>
      <c r="CJ166" s="40"/>
      <c r="CK166" s="40"/>
      <c r="CL166" s="40"/>
      <c r="CM166" s="40"/>
    </row>
    <row r="167" spans="1:91" s="18" customFormat="1" ht="15" customHeight="1">
      <c r="A167" s="18">
        <v>2006</v>
      </c>
      <c r="B167" s="21" t="s">
        <v>41</v>
      </c>
      <c r="C167" s="15">
        <f>+MITRE[[#This Row],[Trenes Puntuales]]/MITRE[[#This Row],[Trenes Programados]]</f>
        <v>0.84990107116053759</v>
      </c>
      <c r="D167" s="15">
        <f>+MITRE[[#This Row],[Trenes Puntuales]]/MITRE[[#This Row],[Trenes Corridos]]</f>
        <v>0.87148453896739886</v>
      </c>
      <c r="E167" s="15">
        <f>+MITRE[[#This Row],[Trenes Corridos]]/MITRE[[#This Row],[Trenes Programados]]</f>
        <v>0.97523367674148875</v>
      </c>
      <c r="F167" s="16">
        <f>+Tabla4[[#This Row],[Trenes Programados por Día Hábil]]+Tabla5[[#This Row],[Trenes Programados por Día Hábil]]+Tabla6[[#This Row],[Trenes Programados por Día Hábil]]+MIT_Vic_Cap[[#This Row],[Trenes Programados por Día Hábil]]+Tabla8[[#This Row],[Trenes Programados por Día Hábil]]</f>
        <v>0</v>
      </c>
      <c r="G16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7" s="16">
        <f t="shared" si="20"/>
        <v>14657</v>
      </c>
      <c r="I167" s="16">
        <f t="shared" si="21"/>
        <v>363</v>
      </c>
      <c r="J167" s="16">
        <f t="shared" si="22"/>
        <v>14294</v>
      </c>
      <c r="K167" s="16">
        <f t="shared" si="23"/>
        <v>12457</v>
      </c>
      <c r="L167" s="16">
        <f t="shared" si="24"/>
        <v>1837</v>
      </c>
      <c r="M167" s="16"/>
      <c r="N167" s="17"/>
      <c r="O167" s="18">
        <v>2006</v>
      </c>
      <c r="P167" s="21" t="s">
        <v>41</v>
      </c>
      <c r="Q167" s="15">
        <f>+Tabla4[[#This Row],[Trenes Puntuales]]/Tabla4[[#This Row],[Trenes Programados]]</f>
        <v>0.85343228200371057</v>
      </c>
      <c r="R167" s="15">
        <f>+Tabla4[[#This Row],[Trenes Puntuales]]/Tabla4[[#This Row],[Trenes Corridos]]</f>
        <v>0.87585681645087587</v>
      </c>
      <c r="S167" s="15">
        <f>+Tabla4[[#This Row],[Trenes Corridos]]/Tabla4[[#This Row],[Trenes Programados]]</f>
        <v>0.97439703153988866</v>
      </c>
      <c r="T167" s="16"/>
      <c r="U167" s="16"/>
      <c r="V167" s="16">
        <v>5390</v>
      </c>
      <c r="W167" s="16">
        <f t="shared" si="45"/>
        <v>138</v>
      </c>
      <c r="X167" s="16">
        <v>5252</v>
      </c>
      <c r="Y167" s="16">
        <v>4600</v>
      </c>
      <c r="Z167" s="16">
        <f t="shared" si="46"/>
        <v>652</v>
      </c>
      <c r="AA167" s="16"/>
      <c r="AB167" s="17"/>
      <c r="AC167" s="18">
        <v>2006</v>
      </c>
      <c r="AD167" s="21" t="s">
        <v>41</v>
      </c>
      <c r="AE167" s="15">
        <f>+Tabla5[[#This Row],[Trenes Puntuales]]/Tabla5[[#This Row],[Trenes Programados]]</f>
        <v>0.85037002775208137</v>
      </c>
      <c r="AF167" s="15">
        <f>+Tabla5[[#This Row],[Trenes Puntuales]]/Tabla5[[#This Row],[Trenes Corridos]]</f>
        <v>0.86619552414605416</v>
      </c>
      <c r="AG167" s="15">
        <f>+Tabla5[[#This Row],[Trenes Corridos]]/Tabla5[[#This Row],[Trenes Programados]]</f>
        <v>0.98172987974098058</v>
      </c>
      <c r="AH167" s="16"/>
      <c r="AI167" s="16"/>
      <c r="AJ167" s="16">
        <v>4324</v>
      </c>
      <c r="AK167" s="16">
        <f t="shared" si="47"/>
        <v>79</v>
      </c>
      <c r="AL167" s="16">
        <v>4245</v>
      </c>
      <c r="AM167" s="16">
        <v>3677</v>
      </c>
      <c r="AN167" s="16">
        <f t="shared" si="48"/>
        <v>568</v>
      </c>
      <c r="AO167" s="16"/>
      <c r="AP167" s="17"/>
      <c r="AQ167" s="18">
        <v>2006</v>
      </c>
      <c r="AR167" s="21" t="s">
        <v>41</v>
      </c>
      <c r="AS167" s="15">
        <f>+Tabla6[[#This Row],[Trenes Puntuales]]/Tabla6[[#This Row],[Trenes Programados]]</f>
        <v>0.90713367609254503</v>
      </c>
      <c r="AT167" s="15">
        <f>+Tabla6[[#This Row],[Trenes Puntuales]]/Tabla6[[#This Row],[Trenes Corridos]]</f>
        <v>0.92194644023514039</v>
      </c>
      <c r="AU167" s="15">
        <f>+Tabla6[[#This Row],[Trenes Corridos]]/Tabla6[[#This Row],[Trenes Programados]]</f>
        <v>0.98393316195372749</v>
      </c>
      <c r="AV167" s="16"/>
      <c r="AW167" s="16"/>
      <c r="AX167" s="16">
        <v>3112</v>
      </c>
      <c r="AY167" s="16">
        <f t="shared" si="49"/>
        <v>50</v>
      </c>
      <c r="AZ167" s="16">
        <v>3062</v>
      </c>
      <c r="BA167" s="16">
        <v>2823</v>
      </c>
      <c r="BB167" s="16">
        <f t="shared" si="50"/>
        <v>239</v>
      </c>
      <c r="BC167" s="16"/>
      <c r="BD167" s="17"/>
      <c r="BE167" s="18">
        <v>2006</v>
      </c>
      <c r="BF167" s="21" t="s">
        <v>41</v>
      </c>
      <c r="BG167" s="15">
        <f>+MIT_Vic_Cap[[#This Row],[Trenes Puntuales]]/MIT_Vic_Cap[[#This Row],[Trenes Programados]]</f>
        <v>0.65477439664218262</v>
      </c>
      <c r="BH167" s="15">
        <f>+MIT_Vic_Cap[[#This Row],[Trenes Puntuales]]/MIT_Vic_Cap[[#This Row],[Trenes Corridos]]</f>
        <v>0.68646864686468645</v>
      </c>
      <c r="BI167" s="15">
        <f>+MIT_Vic_Cap[[#This Row],[Trenes Corridos]]/MIT_Vic_Cap[[#This Row],[Trenes Programados]]</f>
        <v>0.95383001049317939</v>
      </c>
      <c r="BJ167" s="16"/>
      <c r="BK167" s="16"/>
      <c r="BL167" s="16">
        <v>953</v>
      </c>
      <c r="BM167" s="16">
        <f t="shared" si="51"/>
        <v>44</v>
      </c>
      <c r="BN167" s="16">
        <v>909</v>
      </c>
      <c r="BO167" s="16">
        <v>624</v>
      </c>
      <c r="BP167" s="16">
        <f t="shared" si="52"/>
        <v>285</v>
      </c>
      <c r="BQ167" s="16"/>
      <c r="BR167" s="17"/>
      <c r="BS167" s="18">
        <v>2006</v>
      </c>
      <c r="BT167" s="21" t="s">
        <v>41</v>
      </c>
      <c r="BU167" s="15">
        <f>+Tabla8[[#This Row],[Trenes Puntuales]]/Tabla8[[#This Row],[Trenes Programados]]</f>
        <v>0.83485193621867881</v>
      </c>
      <c r="BV167" s="15">
        <f>+Tabla8[[#This Row],[Trenes Puntuales]]/Tabla8[[#This Row],[Trenes Corridos]]</f>
        <v>0.88740920096852305</v>
      </c>
      <c r="BW167" s="15">
        <f>+Tabla8[[#This Row],[Trenes Corridos]]/Tabla8[[#This Row],[Trenes Programados]]</f>
        <v>0.94077448747152614</v>
      </c>
      <c r="BX167" s="16"/>
      <c r="BY167" s="16"/>
      <c r="BZ167" s="16">
        <v>878</v>
      </c>
      <c r="CA167" s="16">
        <f t="shared" si="53"/>
        <v>52</v>
      </c>
      <c r="CB167" s="16">
        <v>826</v>
      </c>
      <c r="CC167" s="16">
        <v>733</v>
      </c>
      <c r="CD167" s="16">
        <f t="shared" si="54"/>
        <v>93</v>
      </c>
      <c r="CI167" s="40"/>
      <c r="CJ167" s="40"/>
      <c r="CK167" s="40"/>
      <c r="CL167" s="40"/>
      <c r="CM167" s="40"/>
    </row>
    <row r="168" spans="1:91" s="18" customFormat="1" ht="15" customHeight="1">
      <c r="A168" s="18">
        <v>2006</v>
      </c>
      <c r="B168" s="21" t="s">
        <v>42</v>
      </c>
      <c r="C168" s="15">
        <f>+MITRE[[#This Row],[Trenes Puntuales]]/MITRE[[#This Row],[Trenes Programados]]</f>
        <v>0.90788167560055588</v>
      </c>
      <c r="D168" s="15">
        <f>+MITRE[[#This Row],[Trenes Puntuales]]/MITRE[[#This Row],[Trenes Corridos]]</f>
        <v>0.9275234940166317</v>
      </c>
      <c r="E168" s="15">
        <f>+MITRE[[#This Row],[Trenes Corridos]]/MITRE[[#This Row],[Trenes Programados]]</f>
        <v>0.97882337370127726</v>
      </c>
      <c r="F168" s="16">
        <f>+Tabla4[[#This Row],[Trenes Programados por Día Hábil]]+Tabla5[[#This Row],[Trenes Programados por Día Hábil]]+Tabla6[[#This Row],[Trenes Programados por Día Hábil]]+MIT_Vic_Cap[[#This Row],[Trenes Programados por Día Hábil]]+Tabla8[[#This Row],[Trenes Programados por Día Hábil]]</f>
        <v>0</v>
      </c>
      <c r="G16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8" s="16">
        <f t="shared" si="20"/>
        <v>15111</v>
      </c>
      <c r="I168" s="16">
        <f t="shared" si="21"/>
        <v>320</v>
      </c>
      <c r="J168" s="16">
        <f t="shared" si="22"/>
        <v>14791</v>
      </c>
      <c r="K168" s="16">
        <f t="shared" si="23"/>
        <v>13719</v>
      </c>
      <c r="L168" s="16">
        <f t="shared" si="24"/>
        <v>1072</v>
      </c>
      <c r="M168" s="16"/>
      <c r="N168" s="17"/>
      <c r="O168" s="18">
        <v>2006</v>
      </c>
      <c r="P168" s="21" t="s">
        <v>42</v>
      </c>
      <c r="Q168" s="15">
        <f>+Tabla4[[#This Row],[Trenes Puntuales]]/Tabla4[[#This Row],[Trenes Programados]]</f>
        <v>0.90306306306306305</v>
      </c>
      <c r="R168" s="15">
        <f>+Tabla4[[#This Row],[Trenes Puntuales]]/Tabla4[[#This Row],[Trenes Corridos]]</f>
        <v>0.91980179849513677</v>
      </c>
      <c r="S168" s="15">
        <f>+Tabla4[[#This Row],[Trenes Corridos]]/Tabla4[[#This Row],[Trenes Programados]]</f>
        <v>0.98180180180180177</v>
      </c>
      <c r="T168" s="16"/>
      <c r="U168" s="16"/>
      <c r="V168" s="16">
        <v>5550</v>
      </c>
      <c r="W168" s="16">
        <f t="shared" si="45"/>
        <v>101</v>
      </c>
      <c r="X168" s="16">
        <v>5449</v>
      </c>
      <c r="Y168" s="16">
        <v>5012</v>
      </c>
      <c r="Z168" s="16">
        <f t="shared" si="46"/>
        <v>437</v>
      </c>
      <c r="AA168" s="16"/>
      <c r="AB168" s="17"/>
      <c r="AC168" s="18">
        <v>2006</v>
      </c>
      <c r="AD168" s="21" t="s">
        <v>42</v>
      </c>
      <c r="AE168" s="15">
        <f>+Tabla5[[#This Row],[Trenes Puntuales]]/Tabla5[[#This Row],[Trenes Programados]]</f>
        <v>0.92195559542498318</v>
      </c>
      <c r="AF168" s="15">
        <f>+Tabla5[[#This Row],[Trenes Puntuales]]/Tabla5[[#This Row],[Trenes Corridos]]</f>
        <v>0.93665983139667353</v>
      </c>
      <c r="AG168" s="15">
        <f>+Tabla5[[#This Row],[Trenes Corridos]]/Tabla5[[#This Row],[Trenes Programados]]</f>
        <v>0.98430141287284145</v>
      </c>
      <c r="AH168" s="16"/>
      <c r="AI168" s="16"/>
      <c r="AJ168" s="16">
        <v>4459</v>
      </c>
      <c r="AK168" s="16">
        <f t="shared" si="47"/>
        <v>70</v>
      </c>
      <c r="AL168" s="16">
        <v>4389</v>
      </c>
      <c r="AM168" s="16">
        <v>4111</v>
      </c>
      <c r="AN168" s="16">
        <f t="shared" si="48"/>
        <v>278</v>
      </c>
      <c r="AO168" s="16"/>
      <c r="AP168" s="17"/>
      <c r="AQ168" s="18">
        <v>2006</v>
      </c>
      <c r="AR168" s="21" t="s">
        <v>42</v>
      </c>
      <c r="AS168" s="15">
        <f>+Tabla6[[#This Row],[Trenes Puntuales]]/Tabla6[[#This Row],[Trenes Programados]]</f>
        <v>0.94492843808338522</v>
      </c>
      <c r="AT168" s="15">
        <f>+Tabla6[[#This Row],[Trenes Puntuales]]/Tabla6[[#This Row],[Trenes Corridos]]</f>
        <v>0.96719745222929931</v>
      </c>
      <c r="AU168" s="15">
        <f>+Tabla6[[#This Row],[Trenes Corridos]]/Tabla6[[#This Row],[Trenes Programados]]</f>
        <v>0.97697573117610459</v>
      </c>
      <c r="AV168" s="16"/>
      <c r="AW168" s="16"/>
      <c r="AX168" s="16">
        <v>3214</v>
      </c>
      <c r="AY168" s="16">
        <f t="shared" si="49"/>
        <v>74</v>
      </c>
      <c r="AZ168" s="16">
        <v>3140</v>
      </c>
      <c r="BA168" s="16">
        <v>3037</v>
      </c>
      <c r="BB168" s="16">
        <f t="shared" si="50"/>
        <v>103</v>
      </c>
      <c r="BC168" s="16"/>
      <c r="BD168" s="17"/>
      <c r="BE168" s="18">
        <v>2006</v>
      </c>
      <c r="BF168" s="21" t="s">
        <v>42</v>
      </c>
      <c r="BG168" s="15">
        <f>+MIT_Vic_Cap[[#This Row],[Trenes Puntuales]]/MIT_Vic_Cap[[#This Row],[Trenes Programados]]</f>
        <v>0.84226491405460058</v>
      </c>
      <c r="BH168" s="15">
        <f>+MIT_Vic_Cap[[#This Row],[Trenes Puntuales]]/MIT_Vic_Cap[[#This Row],[Trenes Corridos]]</f>
        <v>0.86500519210799587</v>
      </c>
      <c r="BI168" s="15">
        <f>+MIT_Vic_Cap[[#This Row],[Trenes Corridos]]/MIT_Vic_Cap[[#This Row],[Trenes Programados]]</f>
        <v>0.97371081900910006</v>
      </c>
      <c r="BJ168" s="16"/>
      <c r="BK168" s="16"/>
      <c r="BL168" s="16">
        <v>989</v>
      </c>
      <c r="BM168" s="16">
        <f t="shared" si="51"/>
        <v>26</v>
      </c>
      <c r="BN168" s="16">
        <v>963</v>
      </c>
      <c r="BO168" s="16">
        <v>833</v>
      </c>
      <c r="BP168" s="16">
        <f t="shared" si="52"/>
        <v>130</v>
      </c>
      <c r="BQ168" s="16"/>
      <c r="BR168" s="17"/>
      <c r="BS168" s="18">
        <v>2006</v>
      </c>
      <c r="BT168" s="21" t="s">
        <v>42</v>
      </c>
      <c r="BU168" s="15">
        <f>+Tabla8[[#This Row],[Trenes Puntuales]]/Tabla8[[#This Row],[Trenes Programados]]</f>
        <v>0.80756395995550612</v>
      </c>
      <c r="BV168" s="15">
        <f>+Tabla8[[#This Row],[Trenes Puntuales]]/Tabla8[[#This Row],[Trenes Corridos]]</f>
        <v>0.85411764705882354</v>
      </c>
      <c r="BW168" s="15">
        <f>+Tabla8[[#This Row],[Trenes Corridos]]/Tabla8[[#This Row],[Trenes Programados]]</f>
        <v>0.94549499443826479</v>
      </c>
      <c r="BX168" s="16"/>
      <c r="BY168" s="16"/>
      <c r="BZ168" s="16">
        <v>899</v>
      </c>
      <c r="CA168" s="16">
        <f t="shared" si="53"/>
        <v>49</v>
      </c>
      <c r="CB168" s="16">
        <v>850</v>
      </c>
      <c r="CC168" s="16">
        <v>726</v>
      </c>
      <c r="CD168" s="16">
        <f t="shared" si="54"/>
        <v>124</v>
      </c>
      <c r="CI168" s="40"/>
      <c r="CJ168" s="40"/>
      <c r="CK168" s="40"/>
      <c r="CL168" s="40"/>
      <c r="CM168" s="40"/>
    </row>
    <row r="169" spans="1:91" s="18" customFormat="1" ht="15" customHeight="1">
      <c r="A169" s="18">
        <v>2006</v>
      </c>
      <c r="B169" s="21" t="s">
        <v>43</v>
      </c>
      <c r="C169" s="15">
        <f>+MITRE[[#This Row],[Trenes Puntuales]]/MITRE[[#This Row],[Trenes Programados]]</f>
        <v>0.8888376990917467</v>
      </c>
      <c r="D169" s="15">
        <f>+MITRE[[#This Row],[Trenes Puntuales]]/MITRE[[#This Row],[Trenes Corridos]]</f>
        <v>0.90887677501850728</v>
      </c>
      <c r="E169" s="15">
        <f>+MITRE[[#This Row],[Trenes Corridos]]/MITRE[[#This Row],[Trenes Programados]]</f>
        <v>0.97795182308806106</v>
      </c>
      <c r="F169" s="16">
        <f>+Tabla4[[#This Row],[Trenes Programados por Día Hábil]]+Tabla5[[#This Row],[Trenes Programados por Día Hábil]]+Tabla6[[#This Row],[Trenes Programados por Día Hábil]]+MIT_Vic_Cap[[#This Row],[Trenes Programados por Día Hábil]]+Tabla8[[#This Row],[Trenes Programados por Día Hábil]]</f>
        <v>0</v>
      </c>
      <c r="G16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9" s="16">
        <f t="shared" si="20"/>
        <v>15194</v>
      </c>
      <c r="I169" s="16">
        <f t="shared" si="21"/>
        <v>335</v>
      </c>
      <c r="J169" s="16">
        <f t="shared" si="22"/>
        <v>14859</v>
      </c>
      <c r="K169" s="16">
        <f t="shared" si="23"/>
        <v>13505</v>
      </c>
      <c r="L169" s="16">
        <f t="shared" si="24"/>
        <v>1354</v>
      </c>
      <c r="M169" s="16"/>
      <c r="N169" s="17"/>
      <c r="O169" s="18">
        <v>2006</v>
      </c>
      <c r="P169" s="21" t="s">
        <v>43</v>
      </c>
      <c r="Q169" s="15">
        <f>+Tabla4[[#This Row],[Trenes Puntuales]]/Tabla4[[#This Row],[Trenes Programados]]</f>
        <v>0.88962432915921286</v>
      </c>
      <c r="R169" s="15">
        <f>+Tabla4[[#This Row],[Trenes Puntuales]]/Tabla4[[#This Row],[Trenes Corridos]]</f>
        <v>0.90467527742404952</v>
      </c>
      <c r="S169" s="15">
        <f>+Tabla4[[#This Row],[Trenes Corridos]]/Tabla4[[#This Row],[Trenes Programados]]</f>
        <v>0.98336314847942752</v>
      </c>
      <c r="T169" s="16"/>
      <c r="U169" s="16"/>
      <c r="V169" s="16">
        <v>5590</v>
      </c>
      <c r="W169" s="16">
        <f t="shared" si="45"/>
        <v>93</v>
      </c>
      <c r="X169" s="16">
        <v>5497</v>
      </c>
      <c r="Y169" s="16">
        <v>4973</v>
      </c>
      <c r="Z169" s="16">
        <f t="shared" si="46"/>
        <v>524</v>
      </c>
      <c r="AA169" s="16"/>
      <c r="AB169" s="17"/>
      <c r="AC169" s="18">
        <v>2006</v>
      </c>
      <c r="AD169" s="21" t="s">
        <v>43</v>
      </c>
      <c r="AE169" s="15">
        <f>+Tabla5[[#This Row],[Trenes Puntuales]]/Tabla5[[#This Row],[Trenes Programados]]</f>
        <v>0.89716707561900511</v>
      </c>
      <c r="AF169" s="15">
        <f>+Tabla5[[#This Row],[Trenes Puntuales]]/Tabla5[[#This Row],[Trenes Corridos]]</f>
        <v>0.91450659390632105</v>
      </c>
      <c r="AG169" s="15">
        <f>+Tabla5[[#This Row],[Trenes Corridos]]/Tabla5[[#This Row],[Trenes Programados]]</f>
        <v>0.98103948248940442</v>
      </c>
      <c r="AH169" s="16"/>
      <c r="AI169" s="16"/>
      <c r="AJ169" s="16">
        <v>4483</v>
      </c>
      <c r="AK169" s="16">
        <f t="shared" si="47"/>
        <v>85</v>
      </c>
      <c r="AL169" s="16">
        <v>4398</v>
      </c>
      <c r="AM169" s="16">
        <v>4022</v>
      </c>
      <c r="AN169" s="16">
        <f t="shared" si="48"/>
        <v>376</v>
      </c>
      <c r="AO169" s="16"/>
      <c r="AP169" s="17"/>
      <c r="AQ169" s="18">
        <v>2006</v>
      </c>
      <c r="AR169" s="21" t="s">
        <v>43</v>
      </c>
      <c r="AS169" s="15">
        <f>+Tabla6[[#This Row],[Trenes Puntuales]]/Tabla6[[#This Row],[Trenes Programados]]</f>
        <v>0.91524371313256747</v>
      </c>
      <c r="AT169" s="15">
        <f>+Tabla6[[#This Row],[Trenes Puntuales]]/Tabla6[[#This Row],[Trenes Corridos]]</f>
        <v>0.94065092533503514</v>
      </c>
      <c r="AU169" s="15">
        <f>+Tabla6[[#This Row],[Trenes Corridos]]/Tabla6[[#This Row],[Trenes Programados]]</f>
        <v>0.97298975473455451</v>
      </c>
      <c r="AV169" s="16"/>
      <c r="AW169" s="16"/>
      <c r="AX169" s="16">
        <v>3221</v>
      </c>
      <c r="AY169" s="16">
        <f t="shared" si="49"/>
        <v>87</v>
      </c>
      <c r="AZ169" s="16">
        <v>3134</v>
      </c>
      <c r="BA169" s="16">
        <v>2948</v>
      </c>
      <c r="BB169" s="16">
        <f t="shared" si="50"/>
        <v>186</v>
      </c>
      <c r="BC169" s="16"/>
      <c r="BD169" s="17"/>
      <c r="BE169" s="18">
        <v>2006</v>
      </c>
      <c r="BF169" s="21" t="s">
        <v>43</v>
      </c>
      <c r="BG169" s="15">
        <f>+MIT_Vic_Cap[[#This Row],[Trenes Puntuales]]/MIT_Vic_Cap[[#This Row],[Trenes Programados]]</f>
        <v>0.83805668016194335</v>
      </c>
      <c r="BH169" s="15">
        <f>+MIT_Vic_Cap[[#This Row],[Trenes Puntuales]]/MIT_Vic_Cap[[#This Row],[Trenes Corridos]]</f>
        <v>0.8633993743482794</v>
      </c>
      <c r="BI169" s="15">
        <f>+MIT_Vic_Cap[[#This Row],[Trenes Corridos]]/MIT_Vic_Cap[[#This Row],[Trenes Programados]]</f>
        <v>0.97064777327935226</v>
      </c>
      <c r="BJ169" s="16"/>
      <c r="BK169" s="16"/>
      <c r="BL169" s="16">
        <v>988</v>
      </c>
      <c r="BM169" s="16">
        <f t="shared" si="51"/>
        <v>29</v>
      </c>
      <c r="BN169" s="16">
        <v>959</v>
      </c>
      <c r="BO169" s="16">
        <v>828</v>
      </c>
      <c r="BP169" s="16">
        <f t="shared" si="52"/>
        <v>131</v>
      </c>
      <c r="BQ169" s="16"/>
      <c r="BR169" s="17"/>
      <c r="BS169" s="18">
        <v>2006</v>
      </c>
      <c r="BT169" s="21" t="s">
        <v>43</v>
      </c>
      <c r="BU169" s="15">
        <f>+Tabla8[[#This Row],[Trenes Puntuales]]/Tabla8[[#This Row],[Trenes Programados]]</f>
        <v>0.80482456140350878</v>
      </c>
      <c r="BV169" s="15">
        <f>+Tabla8[[#This Row],[Trenes Puntuales]]/Tabla8[[#This Row],[Trenes Corridos]]</f>
        <v>0.8427095292766934</v>
      </c>
      <c r="BW169" s="15">
        <f>+Tabla8[[#This Row],[Trenes Corridos]]/Tabla8[[#This Row],[Trenes Programados]]</f>
        <v>0.95504385964912286</v>
      </c>
      <c r="BX169" s="16"/>
      <c r="BY169" s="16"/>
      <c r="BZ169" s="16">
        <v>912</v>
      </c>
      <c r="CA169" s="16">
        <f t="shared" si="53"/>
        <v>41</v>
      </c>
      <c r="CB169" s="16">
        <v>871</v>
      </c>
      <c r="CC169" s="16">
        <v>734</v>
      </c>
      <c r="CD169" s="16">
        <f t="shared" si="54"/>
        <v>137</v>
      </c>
      <c r="CI169" s="40"/>
      <c r="CJ169" s="40"/>
      <c r="CK169" s="40"/>
      <c r="CL169" s="40"/>
      <c r="CM169" s="40"/>
    </row>
    <row r="170" spans="1:91" s="18" customFormat="1" ht="15" customHeight="1">
      <c r="A170" s="18">
        <v>2006</v>
      </c>
      <c r="B170" s="21" t="s">
        <v>44</v>
      </c>
      <c r="C170" s="15">
        <f>+MITRE[[#This Row],[Trenes Puntuales]]/MITRE[[#This Row],[Trenes Programados]]</f>
        <v>0.91671173607355327</v>
      </c>
      <c r="D170" s="15">
        <f>+MITRE[[#This Row],[Trenes Puntuales]]/MITRE[[#This Row],[Trenes Corridos]]</f>
        <v>0.93743518838575868</v>
      </c>
      <c r="E170" s="15">
        <f>+MITRE[[#This Row],[Trenes Corridos]]/MITRE[[#This Row],[Trenes Programados]]</f>
        <v>0.97789345592212007</v>
      </c>
      <c r="F170" s="16">
        <f>+Tabla4[[#This Row],[Trenes Programados por Día Hábil]]+Tabla5[[#This Row],[Trenes Programados por Día Hábil]]+Tabla6[[#This Row],[Trenes Programados por Día Hábil]]+MIT_Vic_Cap[[#This Row],[Trenes Programados por Día Hábil]]+Tabla8[[#This Row],[Trenes Programados por Día Hábil]]</f>
        <v>0</v>
      </c>
      <c r="G17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0" s="16">
        <f t="shared" si="20"/>
        <v>14792</v>
      </c>
      <c r="I170" s="16">
        <f t="shared" si="21"/>
        <v>327</v>
      </c>
      <c r="J170" s="16">
        <f t="shared" si="22"/>
        <v>14465</v>
      </c>
      <c r="K170" s="16">
        <f t="shared" si="23"/>
        <v>13560</v>
      </c>
      <c r="L170" s="16">
        <f t="shared" si="24"/>
        <v>905</v>
      </c>
      <c r="M170" s="16"/>
      <c r="N170" s="17"/>
      <c r="O170" s="18">
        <v>2006</v>
      </c>
      <c r="P170" s="21" t="s">
        <v>44</v>
      </c>
      <c r="Q170" s="15">
        <f>+Tabla4[[#This Row],[Trenes Puntuales]]/Tabla4[[#This Row],[Trenes Programados]]</f>
        <v>0.90110294117647061</v>
      </c>
      <c r="R170" s="15">
        <f>+Tabla4[[#This Row],[Trenes Puntuales]]/Tabla4[[#This Row],[Trenes Corridos]]</f>
        <v>0.92647892647892649</v>
      </c>
      <c r="S170" s="15">
        <f>+Tabla4[[#This Row],[Trenes Corridos]]/Tabla4[[#This Row],[Trenes Programados]]</f>
        <v>0.9726102941176471</v>
      </c>
      <c r="T170" s="16"/>
      <c r="U170" s="16"/>
      <c r="V170" s="16">
        <v>5440</v>
      </c>
      <c r="W170" s="16">
        <f t="shared" si="45"/>
        <v>149</v>
      </c>
      <c r="X170" s="16">
        <v>5291</v>
      </c>
      <c r="Y170" s="16">
        <v>4902</v>
      </c>
      <c r="Z170" s="16">
        <f t="shared" si="46"/>
        <v>389</v>
      </c>
      <c r="AA170" s="16"/>
      <c r="AB170" s="17"/>
      <c r="AC170" s="18">
        <v>2006</v>
      </c>
      <c r="AD170" s="21" t="s">
        <v>44</v>
      </c>
      <c r="AE170" s="15">
        <f>+Tabla5[[#This Row],[Trenes Puntuales]]/Tabla5[[#This Row],[Trenes Programados]]</f>
        <v>0.92585812356979402</v>
      </c>
      <c r="AF170" s="15">
        <f>+Tabla5[[#This Row],[Trenes Puntuales]]/Tabla5[[#This Row],[Trenes Corridos]]</f>
        <v>0.94093023255813957</v>
      </c>
      <c r="AG170" s="15">
        <f>+Tabla5[[#This Row],[Trenes Corridos]]/Tabla5[[#This Row],[Trenes Programados]]</f>
        <v>0.98398169336384445</v>
      </c>
      <c r="AH170" s="16"/>
      <c r="AI170" s="16"/>
      <c r="AJ170" s="16">
        <v>4370</v>
      </c>
      <c r="AK170" s="16">
        <f t="shared" si="47"/>
        <v>70</v>
      </c>
      <c r="AL170" s="16">
        <v>4300</v>
      </c>
      <c r="AM170" s="16">
        <v>4046</v>
      </c>
      <c r="AN170" s="16">
        <f t="shared" si="48"/>
        <v>254</v>
      </c>
      <c r="AO170" s="16"/>
      <c r="AP170" s="17"/>
      <c r="AQ170" s="18">
        <v>2006</v>
      </c>
      <c r="AR170" s="21" t="s">
        <v>44</v>
      </c>
      <c r="AS170" s="15">
        <f>+Tabla6[[#This Row],[Trenes Puntuales]]/Tabla6[[#This Row],[Trenes Programados]]</f>
        <v>0.94251038007026511</v>
      </c>
      <c r="AT170" s="15">
        <f>+Tabla6[[#This Row],[Trenes Puntuales]]/Tabla6[[#This Row],[Trenes Corridos]]</f>
        <v>0.96500981033355138</v>
      </c>
      <c r="AU170" s="15">
        <f>+Tabla6[[#This Row],[Trenes Corridos]]/Tabla6[[#This Row],[Trenes Programados]]</f>
        <v>0.97668476525071857</v>
      </c>
      <c r="AV170" s="16"/>
      <c r="AW170" s="16"/>
      <c r="AX170" s="16">
        <v>3131</v>
      </c>
      <c r="AY170" s="16">
        <f t="shared" si="49"/>
        <v>73</v>
      </c>
      <c r="AZ170" s="16">
        <v>3058</v>
      </c>
      <c r="BA170" s="16">
        <v>2951</v>
      </c>
      <c r="BB170" s="16">
        <f t="shared" si="50"/>
        <v>107</v>
      </c>
      <c r="BC170" s="16"/>
      <c r="BD170" s="17"/>
      <c r="BE170" s="18">
        <v>2006</v>
      </c>
      <c r="BF170" s="21" t="s">
        <v>44</v>
      </c>
      <c r="BG170" s="15">
        <f>+MIT_Vic_Cap[[#This Row],[Trenes Puntuales]]/MIT_Vic_Cap[[#This Row],[Trenes Programados]]</f>
        <v>0.8925619834710744</v>
      </c>
      <c r="BH170" s="15">
        <f>+MIT_Vic_Cap[[#This Row],[Trenes Puntuales]]/MIT_Vic_Cap[[#This Row],[Trenes Corridos]]</f>
        <v>0.91235480464625129</v>
      </c>
      <c r="BI170" s="15">
        <f>+MIT_Vic_Cap[[#This Row],[Trenes Corridos]]/MIT_Vic_Cap[[#This Row],[Trenes Programados]]</f>
        <v>0.97830578512396693</v>
      </c>
      <c r="BJ170" s="16"/>
      <c r="BK170" s="16"/>
      <c r="BL170" s="16">
        <v>968</v>
      </c>
      <c r="BM170" s="16">
        <f t="shared" si="51"/>
        <v>21</v>
      </c>
      <c r="BN170" s="16">
        <v>947</v>
      </c>
      <c r="BO170" s="16">
        <v>864</v>
      </c>
      <c r="BP170" s="16">
        <f t="shared" si="52"/>
        <v>83</v>
      </c>
      <c r="BQ170" s="16"/>
      <c r="BR170" s="17"/>
      <c r="BS170" s="18">
        <v>2006</v>
      </c>
      <c r="BT170" s="21" t="s">
        <v>44</v>
      </c>
      <c r="BU170" s="15">
        <f>+Tabla8[[#This Row],[Trenes Puntuales]]/Tabla8[[#This Row],[Trenes Programados]]</f>
        <v>0.90260475651189132</v>
      </c>
      <c r="BV170" s="15">
        <f>+Tabla8[[#This Row],[Trenes Puntuales]]/Tabla8[[#This Row],[Trenes Corridos]]</f>
        <v>0.91714614499424629</v>
      </c>
      <c r="BW170" s="15">
        <f>+Tabla8[[#This Row],[Trenes Corridos]]/Tabla8[[#This Row],[Trenes Programados]]</f>
        <v>0.98414496036240096</v>
      </c>
      <c r="BX170" s="16"/>
      <c r="BY170" s="16"/>
      <c r="BZ170" s="16">
        <v>883</v>
      </c>
      <c r="CA170" s="16">
        <f t="shared" si="53"/>
        <v>14</v>
      </c>
      <c r="CB170" s="16">
        <v>869</v>
      </c>
      <c r="CC170" s="16">
        <v>797</v>
      </c>
      <c r="CD170" s="16">
        <f t="shared" si="54"/>
        <v>72</v>
      </c>
      <c r="CI170" s="40"/>
      <c r="CJ170" s="40"/>
      <c r="CK170" s="40"/>
      <c r="CL170" s="40"/>
      <c r="CM170" s="40"/>
    </row>
    <row r="171" spans="1:91" s="18" customFormat="1" ht="15" customHeight="1">
      <c r="A171" s="18">
        <v>2006</v>
      </c>
      <c r="B171" s="21" t="s">
        <v>45</v>
      </c>
      <c r="C171" s="15">
        <f>+MITRE[[#This Row],[Trenes Puntuales]]/MITRE[[#This Row],[Trenes Programados]]</f>
        <v>0.90632302864392067</v>
      </c>
      <c r="D171" s="15">
        <f>+MITRE[[#This Row],[Trenes Puntuales]]/MITRE[[#This Row],[Trenes Corridos]]</f>
        <v>0.92617358078602618</v>
      </c>
      <c r="E171" s="15">
        <f>+MITRE[[#This Row],[Trenes Corridos]]/MITRE[[#This Row],[Trenes Programados]]</f>
        <v>0.97856713627562264</v>
      </c>
      <c r="F171" s="16">
        <f>+Tabla4[[#This Row],[Trenes Programados por Día Hábil]]+Tabla5[[#This Row],[Trenes Programados por Día Hábil]]+Tabla6[[#This Row],[Trenes Programados por Día Hábil]]+MIT_Vic_Cap[[#This Row],[Trenes Programados por Día Hábil]]+Tabla8[[#This Row],[Trenes Programados por Día Hábil]]</f>
        <v>0</v>
      </c>
      <c r="G17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1" s="16">
        <f t="shared" si="20"/>
        <v>14977</v>
      </c>
      <c r="I171" s="16">
        <f t="shared" si="21"/>
        <v>321</v>
      </c>
      <c r="J171" s="16">
        <f t="shared" si="22"/>
        <v>14656</v>
      </c>
      <c r="K171" s="16">
        <f t="shared" si="23"/>
        <v>13574</v>
      </c>
      <c r="L171" s="16">
        <f t="shared" si="24"/>
        <v>1082</v>
      </c>
      <c r="M171" s="16"/>
      <c r="N171" s="17"/>
      <c r="O171" s="18">
        <v>2006</v>
      </c>
      <c r="P171" s="21" t="s">
        <v>45</v>
      </c>
      <c r="Q171" s="15">
        <f>+Tabla4[[#This Row],[Trenes Puntuales]]/Tabla4[[#This Row],[Trenes Programados]]</f>
        <v>0.89381818181818184</v>
      </c>
      <c r="R171" s="15">
        <f>+Tabla4[[#This Row],[Trenes Puntuales]]/Tabla4[[#This Row],[Trenes Corridos]]</f>
        <v>0.91613865076407008</v>
      </c>
      <c r="S171" s="15">
        <f>+Tabla4[[#This Row],[Trenes Corridos]]/Tabla4[[#This Row],[Trenes Programados]]</f>
        <v>0.97563636363636363</v>
      </c>
      <c r="T171" s="16"/>
      <c r="U171" s="16"/>
      <c r="V171" s="16">
        <v>5500</v>
      </c>
      <c r="W171" s="16">
        <f t="shared" si="45"/>
        <v>134</v>
      </c>
      <c r="X171" s="16">
        <v>5366</v>
      </c>
      <c r="Y171" s="16">
        <v>4916</v>
      </c>
      <c r="Z171" s="16">
        <f t="shared" si="46"/>
        <v>450</v>
      </c>
      <c r="AA171" s="16"/>
      <c r="AB171" s="17"/>
      <c r="AC171" s="18">
        <v>2006</v>
      </c>
      <c r="AD171" s="21" t="s">
        <v>45</v>
      </c>
      <c r="AE171" s="15">
        <f>+Tabla5[[#This Row],[Trenes Puntuales]]/Tabla5[[#This Row],[Trenes Programados]]</f>
        <v>0.90369363244958079</v>
      </c>
      <c r="AF171" s="15">
        <f>+Tabla5[[#This Row],[Trenes Puntuales]]/Tabla5[[#This Row],[Trenes Corridos]]</f>
        <v>0.92400370713623725</v>
      </c>
      <c r="AG171" s="15">
        <f>+Tabla5[[#This Row],[Trenes Corridos]]/Tabla5[[#This Row],[Trenes Programados]]</f>
        <v>0.97801948787672788</v>
      </c>
      <c r="AH171" s="16"/>
      <c r="AI171" s="16"/>
      <c r="AJ171" s="16">
        <v>4413</v>
      </c>
      <c r="AK171" s="16">
        <f t="shared" si="47"/>
        <v>97</v>
      </c>
      <c r="AL171" s="16">
        <v>4316</v>
      </c>
      <c r="AM171" s="16">
        <v>3988</v>
      </c>
      <c r="AN171" s="16">
        <f t="shared" si="48"/>
        <v>328</v>
      </c>
      <c r="AO171" s="16"/>
      <c r="AP171" s="17"/>
      <c r="AQ171" s="18">
        <v>2006</v>
      </c>
      <c r="AR171" s="21" t="s">
        <v>45</v>
      </c>
      <c r="AS171" s="15">
        <f>+Tabla6[[#This Row],[Trenes Puntuales]]/Tabla6[[#This Row],[Trenes Programados]]</f>
        <v>0.9336463223787167</v>
      </c>
      <c r="AT171" s="15">
        <f>+Tabla6[[#This Row],[Trenes Puntuales]]/Tabla6[[#This Row],[Trenes Corridos]]</f>
        <v>0.95364450127877243</v>
      </c>
      <c r="AU171" s="15">
        <f>+Tabla6[[#This Row],[Trenes Corridos]]/Tabla6[[#This Row],[Trenes Programados]]</f>
        <v>0.97902973395931148</v>
      </c>
      <c r="AV171" s="16"/>
      <c r="AW171" s="16"/>
      <c r="AX171" s="16">
        <v>3195</v>
      </c>
      <c r="AY171" s="16">
        <f t="shared" si="49"/>
        <v>67</v>
      </c>
      <c r="AZ171" s="16">
        <v>3128</v>
      </c>
      <c r="BA171" s="16">
        <v>2983</v>
      </c>
      <c r="BB171" s="16">
        <f t="shared" si="50"/>
        <v>145</v>
      </c>
      <c r="BC171" s="16"/>
      <c r="BD171" s="17"/>
      <c r="BE171" s="18">
        <v>2006</v>
      </c>
      <c r="BF171" s="21" t="s">
        <v>45</v>
      </c>
      <c r="BG171" s="15">
        <f>+MIT_Vic_Cap[[#This Row],[Trenes Puntuales]]/MIT_Vic_Cap[[#This Row],[Trenes Programados]]</f>
        <v>0.88205128205128203</v>
      </c>
      <c r="BH171" s="15">
        <f>+MIT_Vic_Cap[[#This Row],[Trenes Puntuales]]/MIT_Vic_Cap[[#This Row],[Trenes Corridos]]</f>
        <v>0.89583333333333337</v>
      </c>
      <c r="BI171" s="15">
        <f>+MIT_Vic_Cap[[#This Row],[Trenes Corridos]]/MIT_Vic_Cap[[#This Row],[Trenes Programados]]</f>
        <v>0.98461538461538467</v>
      </c>
      <c r="BJ171" s="16"/>
      <c r="BK171" s="16"/>
      <c r="BL171" s="16">
        <v>975</v>
      </c>
      <c r="BM171" s="16">
        <f t="shared" si="51"/>
        <v>15</v>
      </c>
      <c r="BN171" s="16">
        <v>960</v>
      </c>
      <c r="BO171" s="16">
        <v>860</v>
      </c>
      <c r="BP171" s="16">
        <f t="shared" si="52"/>
        <v>100</v>
      </c>
      <c r="BQ171" s="16"/>
      <c r="BR171" s="17"/>
      <c r="BS171" s="18">
        <v>2006</v>
      </c>
      <c r="BT171" s="21" t="s">
        <v>45</v>
      </c>
      <c r="BU171" s="15">
        <f>+Tabla8[[#This Row],[Trenes Puntuales]]/Tabla8[[#This Row],[Trenes Programados]]</f>
        <v>0.92505592841163309</v>
      </c>
      <c r="BV171" s="15">
        <f>+Tabla8[[#This Row],[Trenes Puntuales]]/Tabla8[[#This Row],[Trenes Corridos]]</f>
        <v>0.93340857787810383</v>
      </c>
      <c r="BW171" s="15">
        <f>+Tabla8[[#This Row],[Trenes Corridos]]/Tabla8[[#This Row],[Trenes Programados]]</f>
        <v>0.99105145413870244</v>
      </c>
      <c r="BX171" s="16"/>
      <c r="BY171" s="16"/>
      <c r="BZ171" s="16">
        <v>894</v>
      </c>
      <c r="CA171" s="16">
        <f t="shared" si="53"/>
        <v>8</v>
      </c>
      <c r="CB171" s="16">
        <v>886</v>
      </c>
      <c r="CC171" s="16">
        <v>827</v>
      </c>
      <c r="CD171" s="16">
        <f t="shared" si="54"/>
        <v>59</v>
      </c>
      <c r="CI171" s="40"/>
      <c r="CJ171" s="40"/>
      <c r="CK171" s="40"/>
      <c r="CL171" s="40"/>
      <c r="CM171" s="40"/>
    </row>
    <row r="172" spans="1:91" s="18" customFormat="1" ht="15" customHeight="1">
      <c r="A172" s="18">
        <v>2006</v>
      </c>
      <c r="B172" s="21" t="s">
        <v>46</v>
      </c>
      <c r="C172" s="15">
        <f>+MITRE[[#This Row],[Trenes Puntuales]]/MITRE[[#This Row],[Trenes Programados]]</f>
        <v>0.91032535627856948</v>
      </c>
      <c r="D172" s="15">
        <f>+MITRE[[#This Row],[Trenes Puntuales]]/MITRE[[#This Row],[Trenes Corridos]]</f>
        <v>0.93052978767264483</v>
      </c>
      <c r="E172" s="15">
        <f>+MITRE[[#This Row],[Trenes Corridos]]/MITRE[[#This Row],[Trenes Programados]]</f>
        <v>0.97828717397149767</v>
      </c>
      <c r="F172" s="16">
        <f>+Tabla4[[#This Row],[Trenes Programados por Día Hábil]]+Tabla5[[#This Row],[Trenes Programados por Día Hábil]]+Tabla6[[#This Row],[Trenes Programados por Día Hábil]]+MIT_Vic_Cap[[#This Row],[Trenes Programados por Día Hábil]]+Tabla8[[#This Row],[Trenes Programados por Día Hábil]]</f>
        <v>0</v>
      </c>
      <c r="G17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2" s="16">
        <f t="shared" si="20"/>
        <v>14876</v>
      </c>
      <c r="I172" s="16">
        <f t="shared" si="21"/>
        <v>323</v>
      </c>
      <c r="J172" s="16">
        <f t="shared" si="22"/>
        <v>14553</v>
      </c>
      <c r="K172" s="16">
        <f t="shared" si="23"/>
        <v>13542</v>
      </c>
      <c r="L172" s="16">
        <f t="shared" si="24"/>
        <v>1011</v>
      </c>
      <c r="M172" s="16"/>
      <c r="N172" s="17"/>
      <c r="O172" s="18">
        <v>2006</v>
      </c>
      <c r="P172" s="21" t="s">
        <v>46</v>
      </c>
      <c r="Q172" s="15">
        <f>+Tabla4[[#This Row],[Trenes Puntuales]]/Tabla4[[#This Row],[Trenes Programados]]</f>
        <v>0.91459854014598541</v>
      </c>
      <c r="R172" s="15">
        <f>+Tabla4[[#This Row],[Trenes Puntuales]]/Tabla4[[#This Row],[Trenes Corridos]]</f>
        <v>0.92900834105653385</v>
      </c>
      <c r="S172" s="15">
        <f>+Tabla4[[#This Row],[Trenes Corridos]]/Tabla4[[#This Row],[Trenes Programados]]</f>
        <v>0.98448905109489049</v>
      </c>
      <c r="T172" s="16"/>
      <c r="U172" s="16"/>
      <c r="V172" s="16">
        <v>5480</v>
      </c>
      <c r="W172" s="16">
        <f t="shared" si="45"/>
        <v>85</v>
      </c>
      <c r="X172" s="16">
        <v>5395</v>
      </c>
      <c r="Y172" s="16">
        <v>5012</v>
      </c>
      <c r="Z172" s="16">
        <f t="shared" si="46"/>
        <v>383</v>
      </c>
      <c r="AA172" s="16"/>
      <c r="AB172" s="17"/>
      <c r="AC172" s="18">
        <v>2006</v>
      </c>
      <c r="AD172" s="21" t="s">
        <v>46</v>
      </c>
      <c r="AE172" s="15">
        <f>+Tabla5[[#This Row],[Trenes Puntuales]]/Tabla5[[#This Row],[Trenes Programados]]</f>
        <v>0.91010468821119705</v>
      </c>
      <c r="AF172" s="15">
        <f>+Tabla5[[#This Row],[Trenes Puntuales]]/Tabla5[[#This Row],[Trenes Corridos]]</f>
        <v>0.93195059426707061</v>
      </c>
      <c r="AG172" s="15">
        <f>+Tabla5[[#This Row],[Trenes Corridos]]/Tabla5[[#This Row],[Trenes Programados]]</f>
        <v>0.97655894401456533</v>
      </c>
      <c r="AH172" s="16"/>
      <c r="AI172" s="16"/>
      <c r="AJ172" s="16">
        <v>4394</v>
      </c>
      <c r="AK172" s="16">
        <f t="shared" si="47"/>
        <v>103</v>
      </c>
      <c r="AL172" s="16">
        <v>4291</v>
      </c>
      <c r="AM172" s="16">
        <v>3999</v>
      </c>
      <c r="AN172" s="16">
        <f t="shared" si="48"/>
        <v>292</v>
      </c>
      <c r="AO172" s="16"/>
      <c r="AP172" s="17"/>
      <c r="AQ172" s="18">
        <v>2006</v>
      </c>
      <c r="AR172" s="21" t="s">
        <v>46</v>
      </c>
      <c r="AS172" s="15">
        <f>+Tabla6[[#This Row],[Trenes Puntuales]]/Tabla6[[#This Row],[Trenes Programados]]</f>
        <v>0.93371574251115363</v>
      </c>
      <c r="AT172" s="15">
        <f>+Tabla6[[#This Row],[Trenes Puntuales]]/Tabla6[[#This Row],[Trenes Corridos]]</f>
        <v>0.9622331691297209</v>
      </c>
      <c r="AU172" s="15">
        <f>+Tabla6[[#This Row],[Trenes Corridos]]/Tabla6[[#This Row],[Trenes Programados]]</f>
        <v>0.9703632887189293</v>
      </c>
      <c r="AV172" s="16"/>
      <c r="AW172" s="16"/>
      <c r="AX172" s="16">
        <v>3138</v>
      </c>
      <c r="AY172" s="16">
        <f t="shared" si="49"/>
        <v>93</v>
      </c>
      <c r="AZ172" s="16">
        <v>3045</v>
      </c>
      <c r="BA172" s="16">
        <v>2930</v>
      </c>
      <c r="BB172" s="16">
        <f t="shared" si="50"/>
        <v>115</v>
      </c>
      <c r="BC172" s="16"/>
      <c r="BD172" s="17"/>
      <c r="BE172" s="18">
        <v>2006</v>
      </c>
      <c r="BF172" s="21" t="s">
        <v>46</v>
      </c>
      <c r="BG172" s="15">
        <f>+MIT_Vic_Cap[[#This Row],[Trenes Puntuales]]/MIT_Vic_Cap[[#This Row],[Trenes Programados]]</f>
        <v>0.84607438016528924</v>
      </c>
      <c r="BH172" s="15">
        <f>+MIT_Vic_Cap[[#This Row],[Trenes Puntuales]]/MIT_Vic_Cap[[#This Row],[Trenes Corridos]]</f>
        <v>0.86850477200424181</v>
      </c>
      <c r="BI172" s="15">
        <f>+MIT_Vic_Cap[[#This Row],[Trenes Corridos]]/MIT_Vic_Cap[[#This Row],[Trenes Programados]]</f>
        <v>0.97417355371900827</v>
      </c>
      <c r="BJ172" s="16"/>
      <c r="BK172" s="16"/>
      <c r="BL172" s="16">
        <v>968</v>
      </c>
      <c r="BM172" s="16">
        <f t="shared" si="51"/>
        <v>25</v>
      </c>
      <c r="BN172" s="16">
        <v>943</v>
      </c>
      <c r="BO172" s="16">
        <v>819</v>
      </c>
      <c r="BP172" s="16">
        <f t="shared" si="52"/>
        <v>124</v>
      </c>
      <c r="BQ172" s="16"/>
      <c r="BR172" s="17"/>
      <c r="BS172" s="18">
        <v>2006</v>
      </c>
      <c r="BT172" s="21" t="s">
        <v>46</v>
      </c>
      <c r="BU172" s="15">
        <f>+Tabla8[[#This Row],[Trenes Puntuales]]/Tabla8[[#This Row],[Trenes Programados]]</f>
        <v>0.8727678571428571</v>
      </c>
      <c r="BV172" s="15">
        <f>+Tabla8[[#This Row],[Trenes Puntuales]]/Tabla8[[#This Row],[Trenes Corridos]]</f>
        <v>0.88964732650739475</v>
      </c>
      <c r="BW172" s="15">
        <f>+Tabla8[[#This Row],[Trenes Corridos]]/Tabla8[[#This Row],[Trenes Programados]]</f>
        <v>0.9810267857142857</v>
      </c>
      <c r="BX172" s="16"/>
      <c r="BY172" s="16"/>
      <c r="BZ172" s="16">
        <v>896</v>
      </c>
      <c r="CA172" s="16">
        <f t="shared" si="53"/>
        <v>17</v>
      </c>
      <c r="CB172" s="16">
        <v>879</v>
      </c>
      <c r="CC172" s="16">
        <v>782</v>
      </c>
      <c r="CD172" s="16">
        <f t="shared" si="54"/>
        <v>97</v>
      </c>
      <c r="CI172" s="40"/>
      <c r="CJ172" s="40"/>
      <c r="CK172" s="40"/>
      <c r="CL172" s="40"/>
      <c r="CM172" s="40"/>
    </row>
    <row r="173" spans="1:91" s="18" customFormat="1" ht="15" customHeight="1">
      <c r="A173" s="18">
        <v>2006</v>
      </c>
      <c r="B173" s="21" t="s">
        <v>47</v>
      </c>
      <c r="C173" s="15">
        <f>+MITRE[[#This Row],[Trenes Puntuales]]/MITRE[[#This Row],[Trenes Programados]]</f>
        <v>0.89055472263868063</v>
      </c>
      <c r="D173" s="15">
        <f>+MITRE[[#This Row],[Trenes Puntuales]]/MITRE[[#This Row],[Trenes Corridos]]</f>
        <v>0.91679528553388523</v>
      </c>
      <c r="E173" s="15">
        <f>+MITRE[[#This Row],[Trenes Corridos]]/MITRE[[#This Row],[Trenes Programados]]</f>
        <v>0.97137794738994143</v>
      </c>
      <c r="F173" s="16">
        <f>+Tabla4[[#This Row],[Trenes Programados por Día Hábil]]+Tabla5[[#This Row],[Trenes Programados por Día Hábil]]+Tabla6[[#This Row],[Trenes Programados por Día Hábil]]+MIT_Vic_Cap[[#This Row],[Trenes Programados por Día Hábil]]+Tabla8[[#This Row],[Trenes Programados por Día Hábil]]</f>
        <v>0</v>
      </c>
      <c r="G17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3" s="16">
        <f t="shared" si="20"/>
        <v>14674</v>
      </c>
      <c r="I173" s="16">
        <f t="shared" si="21"/>
        <v>420</v>
      </c>
      <c r="J173" s="16">
        <f t="shared" si="22"/>
        <v>14254</v>
      </c>
      <c r="K173" s="16">
        <f t="shared" si="23"/>
        <v>13068</v>
      </c>
      <c r="L173" s="16">
        <f t="shared" si="24"/>
        <v>1186</v>
      </c>
      <c r="M173" s="16"/>
      <c r="N173" s="17"/>
      <c r="O173" s="18">
        <v>2006</v>
      </c>
      <c r="P173" s="21" t="s">
        <v>47</v>
      </c>
      <c r="Q173" s="15">
        <f>+Tabla4[[#This Row],[Trenes Puntuales]]/Tabla4[[#This Row],[Trenes Programados]]</f>
        <v>0.86461824953445066</v>
      </c>
      <c r="R173" s="15">
        <f>+Tabla4[[#This Row],[Trenes Puntuales]]/Tabla4[[#This Row],[Trenes Corridos]]</f>
        <v>0.8989351403678606</v>
      </c>
      <c r="S173" s="15">
        <f>+Tabla4[[#This Row],[Trenes Corridos]]/Tabla4[[#This Row],[Trenes Programados]]</f>
        <v>0.96182495344506513</v>
      </c>
      <c r="T173" s="16"/>
      <c r="U173" s="16"/>
      <c r="V173" s="16">
        <v>5370</v>
      </c>
      <c r="W173" s="16">
        <f t="shared" si="45"/>
        <v>205</v>
      </c>
      <c r="X173" s="16">
        <v>5165</v>
      </c>
      <c r="Y173" s="16">
        <v>4643</v>
      </c>
      <c r="Z173" s="16">
        <f t="shared" si="46"/>
        <v>522</v>
      </c>
      <c r="AA173" s="16"/>
      <c r="AB173" s="17"/>
      <c r="AC173" s="18">
        <v>2006</v>
      </c>
      <c r="AD173" s="21" t="s">
        <v>47</v>
      </c>
      <c r="AE173" s="15">
        <f>+Tabla5[[#This Row],[Trenes Puntuales]]/Tabla5[[#This Row],[Trenes Programados]]</f>
        <v>0.90831210928455663</v>
      </c>
      <c r="AF173" s="15">
        <f>+Tabla5[[#This Row],[Trenes Puntuales]]/Tabla5[[#This Row],[Trenes Corridos]]</f>
        <v>0.92676588707772267</v>
      </c>
      <c r="AG173" s="15">
        <f>+Tabla5[[#This Row],[Trenes Corridos]]/Tabla5[[#This Row],[Trenes Programados]]</f>
        <v>0.98008798332947444</v>
      </c>
      <c r="AH173" s="16"/>
      <c r="AI173" s="16"/>
      <c r="AJ173" s="16">
        <v>4319</v>
      </c>
      <c r="AK173" s="16">
        <f t="shared" si="47"/>
        <v>86</v>
      </c>
      <c r="AL173" s="16">
        <v>4233</v>
      </c>
      <c r="AM173" s="16">
        <v>3923</v>
      </c>
      <c r="AN173" s="16">
        <f t="shared" si="48"/>
        <v>310</v>
      </c>
      <c r="AO173" s="16"/>
      <c r="AP173" s="17"/>
      <c r="AQ173" s="18">
        <v>2006</v>
      </c>
      <c r="AR173" s="21" t="s">
        <v>47</v>
      </c>
      <c r="AS173" s="15">
        <f>+Tabla6[[#This Row],[Trenes Puntuales]]/Tabla6[[#This Row],[Trenes Programados]]</f>
        <v>0.93991144845034791</v>
      </c>
      <c r="AT173" s="15">
        <f>+Tabla6[[#This Row],[Trenes Puntuales]]/Tabla6[[#This Row],[Trenes Corridos]]</f>
        <v>0.96462187601428107</v>
      </c>
      <c r="AU173" s="15">
        <f>+Tabla6[[#This Row],[Trenes Corridos]]/Tabla6[[#This Row],[Trenes Programados]]</f>
        <v>0.97438330170777987</v>
      </c>
      <c r="AV173" s="16"/>
      <c r="AW173" s="16"/>
      <c r="AX173" s="16">
        <v>3162</v>
      </c>
      <c r="AY173" s="16">
        <f t="shared" si="49"/>
        <v>81</v>
      </c>
      <c r="AZ173" s="16">
        <v>3081</v>
      </c>
      <c r="BA173" s="16">
        <v>2972</v>
      </c>
      <c r="BB173" s="16">
        <f t="shared" si="50"/>
        <v>109</v>
      </c>
      <c r="BC173" s="16"/>
      <c r="BD173" s="17"/>
      <c r="BE173" s="18">
        <v>2006</v>
      </c>
      <c r="BF173" s="21" t="s">
        <v>47</v>
      </c>
      <c r="BG173" s="15">
        <f>+MIT_Vic_Cap[[#This Row],[Trenes Puntuales]]/MIT_Vic_Cap[[#This Row],[Trenes Programados]]</f>
        <v>0.84375</v>
      </c>
      <c r="BH173" s="15">
        <f>+MIT_Vic_Cap[[#This Row],[Trenes Puntuales]]/MIT_Vic_Cap[[#This Row],[Trenes Corridos]]</f>
        <v>0.86538461538461542</v>
      </c>
      <c r="BI173" s="15">
        <f>+MIT_Vic_Cap[[#This Row],[Trenes Corridos]]/MIT_Vic_Cap[[#This Row],[Trenes Programados]]</f>
        <v>0.97499999999999998</v>
      </c>
      <c r="BJ173" s="16"/>
      <c r="BK173" s="16"/>
      <c r="BL173" s="16">
        <v>960</v>
      </c>
      <c r="BM173" s="16">
        <f t="shared" si="51"/>
        <v>24</v>
      </c>
      <c r="BN173" s="16">
        <v>936</v>
      </c>
      <c r="BO173" s="16">
        <v>810</v>
      </c>
      <c r="BP173" s="16">
        <f t="shared" si="52"/>
        <v>126</v>
      </c>
      <c r="BQ173" s="16"/>
      <c r="BR173" s="17"/>
      <c r="BS173" s="18">
        <v>2006</v>
      </c>
      <c r="BT173" s="21" t="s">
        <v>47</v>
      </c>
      <c r="BU173" s="15">
        <f>+Tabla8[[#This Row],[Trenes Puntuales]]/Tabla8[[#This Row],[Trenes Programados]]</f>
        <v>0.83429895712630364</v>
      </c>
      <c r="BV173" s="15">
        <f>+Tabla8[[#This Row],[Trenes Puntuales]]/Tabla8[[#This Row],[Trenes Corridos]]</f>
        <v>0.85816448152562574</v>
      </c>
      <c r="BW173" s="15">
        <f>+Tabla8[[#This Row],[Trenes Corridos]]/Tabla8[[#This Row],[Trenes Programados]]</f>
        <v>0.97219003476245658</v>
      </c>
      <c r="BX173" s="16"/>
      <c r="BY173" s="16"/>
      <c r="BZ173" s="16">
        <v>863</v>
      </c>
      <c r="CA173" s="16">
        <f t="shared" si="53"/>
        <v>24</v>
      </c>
      <c r="CB173" s="16">
        <v>839</v>
      </c>
      <c r="CC173" s="16">
        <v>720</v>
      </c>
      <c r="CD173" s="16">
        <f t="shared" si="54"/>
        <v>119</v>
      </c>
      <c r="CI173" s="40"/>
      <c r="CJ173" s="40"/>
      <c r="CK173" s="40"/>
      <c r="CL173" s="40"/>
      <c r="CM173" s="40"/>
    </row>
    <row r="174" spans="1:91" s="18" customFormat="1" ht="15" customHeight="1">
      <c r="A174" s="18">
        <v>2007</v>
      </c>
      <c r="B174" s="21" t="s">
        <v>36</v>
      </c>
      <c r="C174" s="15">
        <f>+MITRE[[#This Row],[Trenes Puntuales]]/MITRE[[#This Row],[Trenes Programados]]</f>
        <v>0.92069237857048836</v>
      </c>
      <c r="D174" s="15">
        <f>+MITRE[[#This Row],[Trenes Puntuales]]/MITRE[[#This Row],[Trenes Corridos]]</f>
        <v>0.93948959032907997</v>
      </c>
      <c r="E174" s="15">
        <f>+MITRE[[#This Row],[Trenes Corridos]]/MITRE[[#This Row],[Trenes Programados]]</f>
        <v>0.97999210214558374</v>
      </c>
      <c r="F174" s="16">
        <f>+Tabla4[[#This Row],[Trenes Programados por Día Hábil]]+Tabla5[[#This Row],[Trenes Programados por Día Hábil]]+Tabla6[[#This Row],[Trenes Programados por Día Hábil]]+MIT_Vic_Cap[[#This Row],[Trenes Programados por Día Hábil]]+Tabla8[[#This Row],[Trenes Programados por Día Hábil]]</f>
        <v>0</v>
      </c>
      <c r="G17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4" s="16">
        <f t="shared" si="20"/>
        <v>15194</v>
      </c>
      <c r="I174" s="16">
        <f t="shared" si="21"/>
        <v>304</v>
      </c>
      <c r="J174" s="16">
        <f t="shared" si="22"/>
        <v>14890</v>
      </c>
      <c r="K174" s="16">
        <f t="shared" si="23"/>
        <v>13989</v>
      </c>
      <c r="L174" s="16">
        <f t="shared" si="24"/>
        <v>901</v>
      </c>
      <c r="M174" s="16"/>
      <c r="N174" s="17"/>
      <c r="O174" s="18">
        <v>2007</v>
      </c>
      <c r="P174" s="21" t="s">
        <v>36</v>
      </c>
      <c r="Q174" s="15">
        <f>+Tabla4[[#This Row],[Trenes Puntuales]]/Tabla4[[#This Row],[Trenes Programados]]</f>
        <v>0.92343470483005363</v>
      </c>
      <c r="R174" s="15">
        <f>+Tabla4[[#This Row],[Trenes Puntuales]]/Tabla4[[#This Row],[Trenes Corridos]]</f>
        <v>0.94042630715977404</v>
      </c>
      <c r="S174" s="15">
        <f>+Tabla4[[#This Row],[Trenes Corridos]]/Tabla4[[#This Row],[Trenes Programados]]</f>
        <v>0.98193202146690517</v>
      </c>
      <c r="T174" s="16"/>
      <c r="U174" s="16"/>
      <c r="V174" s="16">
        <v>5590</v>
      </c>
      <c r="W174" s="16">
        <f t="shared" ref="W174:W185" si="55">V174-X174</f>
        <v>101</v>
      </c>
      <c r="X174" s="16">
        <v>5489</v>
      </c>
      <c r="Y174" s="16">
        <v>5162</v>
      </c>
      <c r="Z174" s="16">
        <f t="shared" ref="Z174:Z185" si="56">X174-Y174</f>
        <v>327</v>
      </c>
      <c r="AA174" s="16"/>
      <c r="AB174" s="17"/>
      <c r="AC174" s="18">
        <v>2007</v>
      </c>
      <c r="AD174" s="21" t="s">
        <v>36</v>
      </c>
      <c r="AE174" s="15">
        <f>+Tabla5[[#This Row],[Trenes Puntuales]]/Tabla5[[#This Row],[Trenes Programados]]</f>
        <v>0.93464198081641758</v>
      </c>
      <c r="AF174" s="15">
        <f>+Tabla5[[#This Row],[Trenes Puntuales]]/Tabla5[[#This Row],[Trenes Corridos]]</f>
        <v>0.95032887276026312</v>
      </c>
      <c r="AG174" s="15">
        <f>+Tabla5[[#This Row],[Trenes Corridos]]/Tabla5[[#This Row],[Trenes Programados]]</f>
        <v>0.98349319652018741</v>
      </c>
      <c r="AH174" s="16"/>
      <c r="AI174" s="16"/>
      <c r="AJ174" s="16">
        <v>4483</v>
      </c>
      <c r="AK174" s="16">
        <f t="shared" ref="AK174:AK185" si="57">AJ174-AL174</f>
        <v>74</v>
      </c>
      <c r="AL174" s="16">
        <v>4409</v>
      </c>
      <c r="AM174" s="16">
        <v>4190</v>
      </c>
      <c r="AN174" s="16">
        <f t="shared" ref="AN174:AN185" si="58">AL174-AM174</f>
        <v>219</v>
      </c>
      <c r="AO174" s="16"/>
      <c r="AP174" s="17"/>
      <c r="AQ174" s="18">
        <v>2007</v>
      </c>
      <c r="AR174" s="21" t="s">
        <v>36</v>
      </c>
      <c r="AS174" s="15">
        <f>+Tabla6[[#This Row],[Trenes Puntuales]]/Tabla6[[#This Row],[Trenes Programados]]</f>
        <v>0.94846321018317292</v>
      </c>
      <c r="AT174" s="15">
        <f>+Tabla6[[#This Row],[Trenes Puntuales]]/Tabla6[[#This Row],[Trenes Corridos]]</f>
        <v>0.96677215189873422</v>
      </c>
      <c r="AU174" s="15">
        <f>+Tabla6[[#This Row],[Trenes Corridos]]/Tabla6[[#This Row],[Trenes Programados]]</f>
        <v>0.98106178205526229</v>
      </c>
      <c r="AV174" s="16"/>
      <c r="AW174" s="16"/>
      <c r="AX174" s="16">
        <v>3221</v>
      </c>
      <c r="AY174" s="16">
        <f t="shared" ref="AY174:AY185" si="59">AX174-AZ174</f>
        <v>61</v>
      </c>
      <c r="AZ174" s="16">
        <v>3160</v>
      </c>
      <c r="BA174" s="16">
        <v>3055</v>
      </c>
      <c r="BB174" s="16">
        <f t="shared" ref="BB174:BB185" si="60">AZ174-BA174</f>
        <v>105</v>
      </c>
      <c r="BC174" s="16"/>
      <c r="BD174" s="17"/>
      <c r="BE174" s="18">
        <v>2007</v>
      </c>
      <c r="BF174" s="21" t="s">
        <v>36</v>
      </c>
      <c r="BG174" s="15">
        <f>+MIT_Vic_Cap[[#This Row],[Trenes Puntuales]]/MIT_Vic_Cap[[#This Row],[Trenes Programados]]</f>
        <v>0.84109311740890691</v>
      </c>
      <c r="BH174" s="15">
        <f>+MIT_Vic_Cap[[#This Row],[Trenes Puntuales]]/MIT_Vic_Cap[[#This Row],[Trenes Corridos]]</f>
        <v>0.87106918238993714</v>
      </c>
      <c r="BI174" s="15">
        <f>+MIT_Vic_Cap[[#This Row],[Trenes Corridos]]/MIT_Vic_Cap[[#This Row],[Trenes Programados]]</f>
        <v>0.96558704453441291</v>
      </c>
      <c r="BJ174" s="16"/>
      <c r="BK174" s="16"/>
      <c r="BL174" s="16">
        <v>988</v>
      </c>
      <c r="BM174" s="16">
        <f t="shared" ref="BM174:BM185" si="61">BL174-BN174</f>
        <v>34</v>
      </c>
      <c r="BN174" s="16">
        <v>954</v>
      </c>
      <c r="BO174" s="16">
        <v>831</v>
      </c>
      <c r="BP174" s="16">
        <f t="shared" ref="BP174:BP185" si="62">BN174-BO174</f>
        <v>123</v>
      </c>
      <c r="BQ174" s="16"/>
      <c r="BR174" s="17"/>
      <c r="BS174" s="18">
        <v>2007</v>
      </c>
      <c r="BT174" s="21" t="s">
        <v>36</v>
      </c>
      <c r="BU174" s="15">
        <f>+Tabla8[[#This Row],[Trenes Puntuales]]/Tabla8[[#This Row],[Trenes Programados]]</f>
        <v>0.82346491228070173</v>
      </c>
      <c r="BV174" s="15">
        <f>+Tabla8[[#This Row],[Trenes Puntuales]]/Tabla8[[#This Row],[Trenes Corridos]]</f>
        <v>0.8553530751708428</v>
      </c>
      <c r="BW174" s="15">
        <f>+Tabla8[[#This Row],[Trenes Corridos]]/Tabla8[[#This Row],[Trenes Programados]]</f>
        <v>0.96271929824561409</v>
      </c>
      <c r="BX174" s="16"/>
      <c r="BY174" s="16"/>
      <c r="BZ174" s="16">
        <v>912</v>
      </c>
      <c r="CA174" s="16">
        <f t="shared" ref="CA174:CA185" si="63">BZ174-CB174</f>
        <v>34</v>
      </c>
      <c r="CB174" s="16">
        <v>878</v>
      </c>
      <c r="CC174" s="16">
        <v>751</v>
      </c>
      <c r="CD174" s="16">
        <f t="shared" ref="CD174:CD185" si="64">CB174-CC174</f>
        <v>127</v>
      </c>
      <c r="CI174" s="40"/>
      <c r="CJ174" s="40"/>
      <c r="CK174" s="40"/>
      <c r="CL174" s="40"/>
      <c r="CM174" s="40"/>
    </row>
    <row r="175" spans="1:91" s="18" customFormat="1" ht="15" customHeight="1">
      <c r="A175" s="18">
        <v>2007</v>
      </c>
      <c r="B175" s="21" t="s">
        <v>37</v>
      </c>
      <c r="C175" s="15">
        <f>+MITRE[[#This Row],[Trenes Puntuales]]/MITRE[[#This Row],[Trenes Programados]]</f>
        <v>0.90111561866125756</v>
      </c>
      <c r="D175" s="15">
        <f>+MITRE[[#This Row],[Trenes Puntuales]]/MITRE[[#This Row],[Trenes Corridos]]</f>
        <v>0.92181710389802873</v>
      </c>
      <c r="E175" s="15">
        <f>+MITRE[[#This Row],[Trenes Corridos]]/MITRE[[#This Row],[Trenes Programados]]</f>
        <v>0.97754274123442475</v>
      </c>
      <c r="F175" s="16">
        <f>+Tabla4[[#This Row],[Trenes Programados por Día Hábil]]+Tabla5[[#This Row],[Trenes Programados por Día Hábil]]+Tabla6[[#This Row],[Trenes Programados por Día Hábil]]+MIT_Vic_Cap[[#This Row],[Trenes Programados por Día Hábil]]+Tabla8[[#This Row],[Trenes Programados por Día Hábil]]</f>
        <v>0</v>
      </c>
      <c r="G17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5" s="16">
        <f t="shared" si="20"/>
        <v>13804</v>
      </c>
      <c r="I175" s="16">
        <f t="shared" si="21"/>
        <v>310</v>
      </c>
      <c r="J175" s="16">
        <f t="shared" si="22"/>
        <v>13494</v>
      </c>
      <c r="K175" s="16">
        <f t="shared" si="23"/>
        <v>12439</v>
      </c>
      <c r="L175" s="16">
        <f t="shared" si="24"/>
        <v>1055</v>
      </c>
      <c r="M175" s="16"/>
      <c r="N175" s="17"/>
      <c r="O175" s="18">
        <v>2007</v>
      </c>
      <c r="P175" s="21" t="s">
        <v>37</v>
      </c>
      <c r="Q175" s="15">
        <f>+Tabla4[[#This Row],[Trenes Puntuales]]/Tabla4[[#This Row],[Trenes Programados]]</f>
        <v>0.89389763779527565</v>
      </c>
      <c r="R175" s="15">
        <f>+Tabla4[[#This Row],[Trenes Puntuales]]/Tabla4[[#This Row],[Trenes Corridos]]</f>
        <v>0.911115569823435</v>
      </c>
      <c r="S175" s="15">
        <f>+Tabla4[[#This Row],[Trenes Corridos]]/Tabla4[[#This Row],[Trenes Programados]]</f>
        <v>0.98110236220472435</v>
      </c>
      <c r="T175" s="16"/>
      <c r="U175" s="16"/>
      <c r="V175" s="16">
        <v>5080</v>
      </c>
      <c r="W175" s="16">
        <f t="shared" si="55"/>
        <v>96</v>
      </c>
      <c r="X175" s="16">
        <v>4984</v>
      </c>
      <c r="Y175" s="16">
        <v>4541</v>
      </c>
      <c r="Z175" s="16">
        <f t="shared" si="56"/>
        <v>443</v>
      </c>
      <c r="AA175" s="16"/>
      <c r="AB175" s="17"/>
      <c r="AC175" s="18">
        <v>2007</v>
      </c>
      <c r="AD175" s="21" t="s">
        <v>37</v>
      </c>
      <c r="AE175" s="15">
        <f>+Tabla5[[#This Row],[Trenes Puntuales]]/Tabla5[[#This Row],[Trenes Programados]]</f>
        <v>0.91364082433758587</v>
      </c>
      <c r="AF175" s="15">
        <f>+Tabla5[[#This Row],[Trenes Puntuales]]/Tabla5[[#This Row],[Trenes Corridos]]</f>
        <v>0.9342699448068239</v>
      </c>
      <c r="AG175" s="15">
        <f>+Tabla5[[#This Row],[Trenes Corridos]]/Tabla5[[#This Row],[Trenes Programados]]</f>
        <v>0.97791952894995093</v>
      </c>
      <c r="AH175" s="16"/>
      <c r="AI175" s="16"/>
      <c r="AJ175" s="16">
        <v>4076</v>
      </c>
      <c r="AK175" s="16">
        <f t="shared" si="57"/>
        <v>90</v>
      </c>
      <c r="AL175" s="16">
        <v>3986</v>
      </c>
      <c r="AM175" s="16">
        <v>3724</v>
      </c>
      <c r="AN175" s="16">
        <f t="shared" si="58"/>
        <v>262</v>
      </c>
      <c r="AO175" s="16"/>
      <c r="AP175" s="17"/>
      <c r="AQ175" s="18">
        <v>2007</v>
      </c>
      <c r="AR175" s="21" t="s">
        <v>37</v>
      </c>
      <c r="AS175" s="15">
        <f>+Tabla6[[#This Row],[Trenes Puntuales]]/Tabla6[[#This Row],[Trenes Programados]]</f>
        <v>0.91849315068493154</v>
      </c>
      <c r="AT175" s="15">
        <f>+Tabla6[[#This Row],[Trenes Puntuales]]/Tabla6[[#This Row],[Trenes Corridos]]</f>
        <v>0.94237526352775824</v>
      </c>
      <c r="AU175" s="15">
        <f>+Tabla6[[#This Row],[Trenes Corridos]]/Tabla6[[#This Row],[Trenes Programados]]</f>
        <v>0.97465753424657531</v>
      </c>
      <c r="AV175" s="16"/>
      <c r="AW175" s="16"/>
      <c r="AX175" s="16">
        <v>2920</v>
      </c>
      <c r="AY175" s="16">
        <f t="shared" si="59"/>
        <v>74</v>
      </c>
      <c r="AZ175" s="16">
        <v>2846</v>
      </c>
      <c r="BA175" s="16">
        <v>2682</v>
      </c>
      <c r="BB175" s="16">
        <f t="shared" si="60"/>
        <v>164</v>
      </c>
      <c r="BC175" s="16"/>
      <c r="BD175" s="17"/>
      <c r="BE175" s="18">
        <v>2007</v>
      </c>
      <c r="BF175" s="21" t="s">
        <v>37</v>
      </c>
      <c r="BG175" s="15">
        <f>+MIT_Vic_Cap[[#This Row],[Trenes Puntuales]]/MIT_Vic_Cap[[#This Row],[Trenes Programados]]</f>
        <v>0.84</v>
      </c>
      <c r="BH175" s="15">
        <f>+MIT_Vic_Cap[[#This Row],[Trenes Puntuales]]/MIT_Vic_Cap[[#This Row],[Trenes Corridos]]</f>
        <v>0.86896551724137927</v>
      </c>
      <c r="BI175" s="15">
        <f>+MIT_Vic_Cap[[#This Row],[Trenes Corridos]]/MIT_Vic_Cap[[#This Row],[Trenes Programados]]</f>
        <v>0.96666666666666667</v>
      </c>
      <c r="BJ175" s="16"/>
      <c r="BK175" s="16"/>
      <c r="BL175" s="16">
        <v>900</v>
      </c>
      <c r="BM175" s="16">
        <f t="shared" si="61"/>
        <v>30</v>
      </c>
      <c r="BN175" s="16">
        <v>870</v>
      </c>
      <c r="BO175" s="16">
        <v>756</v>
      </c>
      <c r="BP175" s="16">
        <f t="shared" si="62"/>
        <v>114</v>
      </c>
      <c r="BQ175" s="16"/>
      <c r="BR175" s="17"/>
      <c r="BS175" s="18">
        <v>2007</v>
      </c>
      <c r="BT175" s="21" t="s">
        <v>37</v>
      </c>
      <c r="BU175" s="15">
        <f>+Tabla8[[#This Row],[Trenes Puntuales]]/Tabla8[[#This Row],[Trenes Programados]]</f>
        <v>0.88888888888888884</v>
      </c>
      <c r="BV175" s="15">
        <f>+Tabla8[[#This Row],[Trenes Puntuales]]/Tabla8[[#This Row],[Trenes Corridos]]</f>
        <v>0.91089108910891092</v>
      </c>
      <c r="BW175" s="15">
        <f>+Tabla8[[#This Row],[Trenes Corridos]]/Tabla8[[#This Row],[Trenes Programados]]</f>
        <v>0.97584541062801933</v>
      </c>
      <c r="BX175" s="16"/>
      <c r="BY175" s="16"/>
      <c r="BZ175" s="16">
        <v>828</v>
      </c>
      <c r="CA175" s="16">
        <f t="shared" si="63"/>
        <v>20</v>
      </c>
      <c r="CB175" s="16">
        <v>808</v>
      </c>
      <c r="CC175" s="16">
        <v>736</v>
      </c>
      <c r="CD175" s="16">
        <f t="shared" si="64"/>
        <v>72</v>
      </c>
      <c r="CI175" s="40"/>
      <c r="CJ175" s="40"/>
      <c r="CK175" s="40"/>
      <c r="CL175" s="40"/>
      <c r="CM175" s="40"/>
    </row>
    <row r="176" spans="1:91" s="18" customFormat="1" ht="15" customHeight="1">
      <c r="A176" s="18">
        <v>2007</v>
      </c>
      <c r="B176" s="21" t="s">
        <v>38</v>
      </c>
      <c r="C176" s="15">
        <f>+MITRE[[#This Row],[Trenes Puntuales]]/MITRE[[#This Row],[Trenes Programados]]</f>
        <v>0.89383967355535077</v>
      </c>
      <c r="D176" s="15">
        <f>+MITRE[[#This Row],[Trenes Puntuales]]/MITRE[[#This Row],[Trenes Corridos]]</f>
        <v>0.91349969731620362</v>
      </c>
      <c r="E176" s="15">
        <f>+MITRE[[#This Row],[Trenes Corridos]]/MITRE[[#This Row],[Trenes Programados]]</f>
        <v>0.97847834671580891</v>
      </c>
      <c r="F176" s="16">
        <f>+Tabla4[[#This Row],[Trenes Programados por Día Hábil]]+Tabla5[[#This Row],[Trenes Programados por Día Hábil]]+Tabla6[[#This Row],[Trenes Programados por Día Hábil]]+MIT_Vic_Cap[[#This Row],[Trenes Programados por Día Hábil]]+Tabla8[[#This Row],[Trenes Programados por Día Hábil]]</f>
        <v>0</v>
      </c>
      <c r="G17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6" s="16">
        <f t="shared" si="20"/>
        <v>15194</v>
      </c>
      <c r="I176" s="16">
        <f t="shared" si="21"/>
        <v>327</v>
      </c>
      <c r="J176" s="16">
        <f t="shared" si="22"/>
        <v>14867</v>
      </c>
      <c r="K176" s="16">
        <f t="shared" si="23"/>
        <v>13581</v>
      </c>
      <c r="L176" s="16">
        <f t="shared" si="24"/>
        <v>1286</v>
      </c>
      <c r="M176" s="16"/>
      <c r="N176" s="17"/>
      <c r="O176" s="18">
        <v>2007</v>
      </c>
      <c r="P176" s="21" t="s">
        <v>38</v>
      </c>
      <c r="Q176" s="15">
        <f>+Tabla4[[#This Row],[Trenes Puntuales]]/Tabla4[[#This Row],[Trenes Programados]]</f>
        <v>0.86851520572450802</v>
      </c>
      <c r="R176" s="15">
        <f>+Tabla4[[#This Row],[Trenes Puntuales]]/Tabla4[[#This Row],[Trenes Corridos]]</f>
        <v>0.8895199706852327</v>
      </c>
      <c r="S176" s="15">
        <f>+Tabla4[[#This Row],[Trenes Corridos]]/Tabla4[[#This Row],[Trenes Programados]]</f>
        <v>0.97638640429338108</v>
      </c>
      <c r="T176" s="16"/>
      <c r="U176" s="16"/>
      <c r="V176" s="16">
        <v>5590</v>
      </c>
      <c r="W176" s="16">
        <f t="shared" si="55"/>
        <v>132</v>
      </c>
      <c r="X176" s="16">
        <v>5458</v>
      </c>
      <c r="Y176" s="16">
        <v>4855</v>
      </c>
      <c r="Z176" s="16">
        <f t="shared" si="56"/>
        <v>603</v>
      </c>
      <c r="AA176" s="16"/>
      <c r="AB176" s="17"/>
      <c r="AC176" s="18">
        <v>2007</v>
      </c>
      <c r="AD176" s="21" t="s">
        <v>38</v>
      </c>
      <c r="AE176" s="15">
        <f>+Tabla5[[#This Row],[Trenes Puntuales]]/Tabla5[[#This Row],[Trenes Programados]]</f>
        <v>0.91278161945126035</v>
      </c>
      <c r="AF176" s="15">
        <f>+Tabla5[[#This Row],[Trenes Puntuales]]/Tabla5[[#This Row],[Trenes Corridos]]</f>
        <v>0.93021141168447374</v>
      </c>
      <c r="AG176" s="15">
        <f>+Tabla5[[#This Row],[Trenes Corridos]]/Tabla5[[#This Row],[Trenes Programados]]</f>
        <v>0.98126254740129382</v>
      </c>
      <c r="AH176" s="16"/>
      <c r="AI176" s="16"/>
      <c r="AJ176" s="16">
        <v>4483</v>
      </c>
      <c r="AK176" s="16">
        <f t="shared" si="57"/>
        <v>84</v>
      </c>
      <c r="AL176" s="16">
        <v>4399</v>
      </c>
      <c r="AM176" s="16">
        <v>4092</v>
      </c>
      <c r="AN176" s="16">
        <f t="shared" si="58"/>
        <v>307</v>
      </c>
      <c r="AO176" s="16"/>
      <c r="AP176" s="17"/>
      <c r="AQ176" s="18">
        <v>2007</v>
      </c>
      <c r="AR176" s="21" t="s">
        <v>38</v>
      </c>
      <c r="AS176" s="15">
        <f>+Tabla6[[#This Row],[Trenes Puntuales]]/Tabla6[[#This Row],[Trenes Programados]]</f>
        <v>0.94101210804098101</v>
      </c>
      <c r="AT176" s="15">
        <f>+Tabla6[[#This Row],[Trenes Puntuales]]/Tabla6[[#This Row],[Trenes Corridos]]</f>
        <v>0.96467218332272442</v>
      </c>
      <c r="AU176" s="15">
        <f>+Tabla6[[#This Row],[Trenes Corridos]]/Tabla6[[#This Row],[Trenes Programados]]</f>
        <v>0.97547345544861841</v>
      </c>
      <c r="AV176" s="16"/>
      <c r="AW176" s="16"/>
      <c r="AX176" s="16">
        <v>3221</v>
      </c>
      <c r="AY176" s="16">
        <f t="shared" si="59"/>
        <v>79</v>
      </c>
      <c r="AZ176" s="16">
        <v>3142</v>
      </c>
      <c r="BA176" s="16">
        <v>3031</v>
      </c>
      <c r="BB176" s="16">
        <f t="shared" si="60"/>
        <v>111</v>
      </c>
      <c r="BC176" s="16"/>
      <c r="BD176" s="17"/>
      <c r="BE176" s="18">
        <v>2007</v>
      </c>
      <c r="BF176" s="21" t="s">
        <v>38</v>
      </c>
      <c r="BG176" s="15">
        <f>+MIT_Vic_Cap[[#This Row],[Trenes Puntuales]]/MIT_Vic_Cap[[#This Row],[Trenes Programados]]</f>
        <v>0.79959514170040491</v>
      </c>
      <c r="BH176" s="15">
        <f>+MIT_Vic_Cap[[#This Row],[Trenes Puntuales]]/MIT_Vic_Cap[[#This Row],[Trenes Corridos]]</f>
        <v>0.81359423274974252</v>
      </c>
      <c r="BI176" s="15">
        <f>+MIT_Vic_Cap[[#This Row],[Trenes Corridos]]/MIT_Vic_Cap[[#This Row],[Trenes Programados]]</f>
        <v>0.98279352226720651</v>
      </c>
      <c r="BJ176" s="16"/>
      <c r="BK176" s="16"/>
      <c r="BL176" s="16">
        <v>988</v>
      </c>
      <c r="BM176" s="16">
        <f t="shared" si="61"/>
        <v>17</v>
      </c>
      <c r="BN176" s="16">
        <v>971</v>
      </c>
      <c r="BO176" s="16">
        <v>790</v>
      </c>
      <c r="BP176" s="16">
        <f t="shared" si="62"/>
        <v>181</v>
      </c>
      <c r="BQ176" s="16"/>
      <c r="BR176" s="17"/>
      <c r="BS176" s="18">
        <v>2007</v>
      </c>
      <c r="BT176" s="21" t="s">
        <v>38</v>
      </c>
      <c r="BU176" s="15">
        <f>+Tabla8[[#This Row],[Trenes Puntuales]]/Tabla8[[#This Row],[Trenes Programados]]</f>
        <v>0.89144736842105265</v>
      </c>
      <c r="BV176" s="15">
        <f>+Tabla8[[#This Row],[Trenes Puntuales]]/Tabla8[[#This Row],[Trenes Corridos]]</f>
        <v>0.90635451505016718</v>
      </c>
      <c r="BW176" s="15">
        <f>+Tabla8[[#This Row],[Trenes Corridos]]/Tabla8[[#This Row],[Trenes Programados]]</f>
        <v>0.98355263157894735</v>
      </c>
      <c r="BX176" s="16"/>
      <c r="BY176" s="16"/>
      <c r="BZ176" s="16">
        <v>912</v>
      </c>
      <c r="CA176" s="16">
        <f t="shared" si="63"/>
        <v>15</v>
      </c>
      <c r="CB176" s="16">
        <v>897</v>
      </c>
      <c r="CC176" s="16">
        <v>813</v>
      </c>
      <c r="CD176" s="16">
        <f t="shared" si="64"/>
        <v>84</v>
      </c>
      <c r="CI176" s="40"/>
      <c r="CJ176" s="40"/>
      <c r="CK176" s="40"/>
      <c r="CL176" s="40"/>
      <c r="CM176" s="40"/>
    </row>
    <row r="177" spans="1:91" s="18" customFormat="1" ht="15" customHeight="1">
      <c r="A177" s="18">
        <v>2007</v>
      </c>
      <c r="B177" s="21" t="s">
        <v>39</v>
      </c>
      <c r="C177" s="15">
        <f>+MITRE[[#This Row],[Trenes Puntuales]]/MITRE[[#This Row],[Trenes Programados]]</f>
        <v>0.84376318379974691</v>
      </c>
      <c r="D177" s="15">
        <f>+MITRE[[#This Row],[Trenes Puntuales]]/MITRE[[#This Row],[Trenes Corridos]]</f>
        <v>0.87970090169342419</v>
      </c>
      <c r="E177" s="15">
        <f>+MITRE[[#This Row],[Trenes Corridos]]/MITRE[[#This Row],[Trenes Programados]]</f>
        <v>0.95914779918436222</v>
      </c>
      <c r="F177" s="16">
        <f>+Tabla4[[#This Row],[Trenes Programados por Día Hábil]]+Tabla5[[#This Row],[Trenes Programados por Día Hábil]]+Tabla6[[#This Row],[Trenes Programados por Día Hábil]]+MIT_Vic_Cap[[#This Row],[Trenes Programados por Día Hábil]]+Tabla8[[#This Row],[Trenes Programados por Día Hábil]]</f>
        <v>0</v>
      </c>
      <c r="G17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7" s="16">
        <f t="shared" si="20"/>
        <v>14222</v>
      </c>
      <c r="I177" s="16">
        <f t="shared" si="21"/>
        <v>581</v>
      </c>
      <c r="J177" s="16">
        <f t="shared" si="22"/>
        <v>13641</v>
      </c>
      <c r="K177" s="16">
        <f t="shared" si="23"/>
        <v>12000</v>
      </c>
      <c r="L177" s="16">
        <f t="shared" si="24"/>
        <v>1641</v>
      </c>
      <c r="M177" s="16"/>
      <c r="N177" s="17"/>
      <c r="O177" s="18">
        <v>2007</v>
      </c>
      <c r="P177" s="21" t="s">
        <v>39</v>
      </c>
      <c r="Q177" s="15">
        <f>+Tabla4[[#This Row],[Trenes Puntuales]]/Tabla4[[#This Row],[Trenes Programados]]</f>
        <v>0.83666026871401156</v>
      </c>
      <c r="R177" s="15">
        <f>+Tabla4[[#This Row],[Trenes Puntuales]]/Tabla4[[#This Row],[Trenes Corridos]]</f>
        <v>0.87512547681188513</v>
      </c>
      <c r="S177" s="15">
        <f>+Tabla4[[#This Row],[Trenes Corridos]]/Tabla4[[#This Row],[Trenes Programados]]</f>
        <v>0.95604606525911706</v>
      </c>
      <c r="T177" s="16"/>
      <c r="U177" s="16"/>
      <c r="V177" s="16">
        <v>5210</v>
      </c>
      <c r="W177" s="16">
        <f t="shared" si="55"/>
        <v>229</v>
      </c>
      <c r="X177" s="16">
        <v>4981</v>
      </c>
      <c r="Y177" s="16">
        <v>4359</v>
      </c>
      <c r="Z177" s="16">
        <f t="shared" si="56"/>
        <v>622</v>
      </c>
      <c r="AA177" s="16"/>
      <c r="AB177" s="17"/>
      <c r="AC177" s="18">
        <v>2007</v>
      </c>
      <c r="AD177" s="21" t="s">
        <v>39</v>
      </c>
      <c r="AE177" s="15">
        <f>+Tabla5[[#This Row],[Trenes Puntuales]]/Tabla5[[#This Row],[Trenes Programados]]</f>
        <v>0.85205544933078392</v>
      </c>
      <c r="AF177" s="15">
        <f>+Tabla5[[#This Row],[Trenes Puntuales]]/Tabla5[[#This Row],[Trenes Corridos]]</f>
        <v>0.88308149616051523</v>
      </c>
      <c r="AG177" s="15">
        <f>+Tabla5[[#This Row],[Trenes Corridos]]/Tabla5[[#This Row],[Trenes Programados]]</f>
        <v>0.96486615678776289</v>
      </c>
      <c r="AH177" s="16"/>
      <c r="AI177" s="16"/>
      <c r="AJ177" s="16">
        <v>4184</v>
      </c>
      <c r="AK177" s="16">
        <f t="shared" si="57"/>
        <v>147</v>
      </c>
      <c r="AL177" s="16">
        <v>4037</v>
      </c>
      <c r="AM177" s="16">
        <v>3565</v>
      </c>
      <c r="AN177" s="16">
        <f t="shared" si="58"/>
        <v>472</v>
      </c>
      <c r="AO177" s="16"/>
      <c r="AP177" s="17"/>
      <c r="AQ177" s="18">
        <v>2007</v>
      </c>
      <c r="AR177" s="21" t="s">
        <v>39</v>
      </c>
      <c r="AS177" s="15">
        <f>+Tabla6[[#This Row],[Trenes Puntuales]]/Tabla6[[#This Row],[Trenes Programados]]</f>
        <v>0.90751633986928104</v>
      </c>
      <c r="AT177" s="15">
        <f>+Tabla6[[#This Row],[Trenes Puntuales]]/Tabla6[[#This Row],[Trenes Corridos]]</f>
        <v>0.93817567567567572</v>
      </c>
      <c r="AU177" s="15">
        <f>+Tabla6[[#This Row],[Trenes Corridos]]/Tabla6[[#This Row],[Trenes Programados]]</f>
        <v>0.9673202614379085</v>
      </c>
      <c r="AV177" s="16"/>
      <c r="AW177" s="16"/>
      <c r="AX177" s="16">
        <v>3060</v>
      </c>
      <c r="AY177" s="16">
        <f t="shared" si="59"/>
        <v>100</v>
      </c>
      <c r="AZ177" s="16">
        <v>2960</v>
      </c>
      <c r="BA177" s="16">
        <v>2777</v>
      </c>
      <c r="BB177" s="16">
        <f t="shared" si="60"/>
        <v>183</v>
      </c>
      <c r="BC177" s="16"/>
      <c r="BD177" s="17"/>
      <c r="BE177" s="18">
        <v>2007</v>
      </c>
      <c r="BF177" s="21" t="s">
        <v>39</v>
      </c>
      <c r="BG177" s="15">
        <f>+MIT_Vic_Cap[[#This Row],[Trenes Puntuales]]/MIT_Vic_Cap[[#This Row],[Trenes Programados]]</f>
        <v>0.62203023758099352</v>
      </c>
      <c r="BH177" s="15">
        <f>+MIT_Vic_Cap[[#This Row],[Trenes Puntuales]]/MIT_Vic_Cap[[#This Row],[Trenes Corridos]]</f>
        <v>0.68246445497630337</v>
      </c>
      <c r="BI177" s="15">
        <f>+MIT_Vic_Cap[[#This Row],[Trenes Corridos]]/MIT_Vic_Cap[[#This Row],[Trenes Programados]]</f>
        <v>0.91144708423326137</v>
      </c>
      <c r="BJ177" s="16"/>
      <c r="BK177" s="16"/>
      <c r="BL177" s="16">
        <v>926</v>
      </c>
      <c r="BM177" s="16">
        <f t="shared" si="61"/>
        <v>82</v>
      </c>
      <c r="BN177" s="16">
        <v>844</v>
      </c>
      <c r="BO177" s="16">
        <v>576</v>
      </c>
      <c r="BP177" s="16">
        <f t="shared" si="62"/>
        <v>268</v>
      </c>
      <c r="BQ177" s="16"/>
      <c r="BR177" s="17"/>
      <c r="BS177" s="18">
        <v>2007</v>
      </c>
      <c r="BT177" s="21" t="s">
        <v>39</v>
      </c>
      <c r="BU177" s="15">
        <f>+Tabla8[[#This Row],[Trenes Puntuales]]/Tabla8[[#This Row],[Trenes Programados]]</f>
        <v>0.85866983372921613</v>
      </c>
      <c r="BV177" s="15">
        <f>+Tabla8[[#This Row],[Trenes Puntuales]]/Tabla8[[#This Row],[Trenes Corridos]]</f>
        <v>0.88278388278388276</v>
      </c>
      <c r="BW177" s="15">
        <f>+Tabla8[[#This Row],[Trenes Corridos]]/Tabla8[[#This Row],[Trenes Programados]]</f>
        <v>0.97268408551068886</v>
      </c>
      <c r="BX177" s="16"/>
      <c r="BY177" s="16"/>
      <c r="BZ177" s="16">
        <v>842</v>
      </c>
      <c r="CA177" s="16">
        <f t="shared" si="63"/>
        <v>23</v>
      </c>
      <c r="CB177" s="16">
        <v>819</v>
      </c>
      <c r="CC177" s="16">
        <v>723</v>
      </c>
      <c r="CD177" s="16">
        <f t="shared" si="64"/>
        <v>96</v>
      </c>
      <c r="CI177" s="40"/>
      <c r="CJ177" s="40"/>
      <c r="CK177" s="40"/>
      <c r="CL177" s="40"/>
      <c r="CM177" s="40"/>
    </row>
    <row r="178" spans="1:91" s="18" customFormat="1" ht="15" customHeight="1">
      <c r="A178" s="18">
        <v>2007</v>
      </c>
      <c r="B178" s="21" t="s">
        <v>40</v>
      </c>
      <c r="C178" s="15">
        <f>+MITRE[[#This Row],[Trenes Puntuales]]/MITRE[[#This Row],[Trenes Programados]]</f>
        <v>0.83907585470085466</v>
      </c>
      <c r="D178" s="15">
        <f>+MITRE[[#This Row],[Trenes Puntuales]]/MITRE[[#This Row],[Trenes Corridos]]</f>
        <v>0.86931857488758213</v>
      </c>
      <c r="E178" s="15">
        <f>+MITRE[[#This Row],[Trenes Corridos]]/MITRE[[#This Row],[Trenes Programados]]</f>
        <v>0.96521100427350426</v>
      </c>
      <c r="F178" s="16">
        <f>+Tabla4[[#This Row],[Trenes Programados por Día Hábil]]+Tabla5[[#This Row],[Trenes Programados por Día Hábil]]+Tabla6[[#This Row],[Trenes Programados por Día Hábil]]+MIT_Vic_Cap[[#This Row],[Trenes Programados por Día Hábil]]+Tabla8[[#This Row],[Trenes Programados por Día Hábil]]</f>
        <v>0</v>
      </c>
      <c r="G17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8" s="16">
        <f t="shared" si="20"/>
        <v>14976</v>
      </c>
      <c r="I178" s="16">
        <f t="shared" si="21"/>
        <v>521</v>
      </c>
      <c r="J178" s="16">
        <f t="shared" si="22"/>
        <v>14455</v>
      </c>
      <c r="K178" s="16">
        <f t="shared" si="23"/>
        <v>12566</v>
      </c>
      <c r="L178" s="16">
        <f t="shared" si="24"/>
        <v>1889</v>
      </c>
      <c r="M178" s="16"/>
      <c r="N178" s="17"/>
      <c r="O178" s="18">
        <v>2007</v>
      </c>
      <c r="P178" s="21" t="s">
        <v>40</v>
      </c>
      <c r="Q178" s="15">
        <f>+Tabla4[[#This Row],[Trenes Puntuales]]/Tabla4[[#This Row],[Trenes Programados]]</f>
        <v>0.86909090909090914</v>
      </c>
      <c r="R178" s="15">
        <f>+Tabla4[[#This Row],[Trenes Puntuales]]/Tabla4[[#This Row],[Trenes Corridos]]</f>
        <v>0.89529874508334895</v>
      </c>
      <c r="S178" s="15">
        <f>+Tabla4[[#This Row],[Trenes Corridos]]/Tabla4[[#This Row],[Trenes Programados]]</f>
        <v>0.97072727272727277</v>
      </c>
      <c r="T178" s="16"/>
      <c r="U178" s="16"/>
      <c r="V178" s="16">
        <v>5500</v>
      </c>
      <c r="W178" s="16">
        <f t="shared" si="55"/>
        <v>161</v>
      </c>
      <c r="X178" s="16">
        <v>5339</v>
      </c>
      <c r="Y178" s="16">
        <v>4780</v>
      </c>
      <c r="Z178" s="16">
        <f t="shared" si="56"/>
        <v>559</v>
      </c>
      <c r="AA178" s="16"/>
      <c r="AB178" s="17"/>
      <c r="AC178" s="18">
        <v>2007</v>
      </c>
      <c r="AD178" s="21" t="s">
        <v>40</v>
      </c>
      <c r="AE178" s="15">
        <f>+Tabla5[[#This Row],[Trenes Puntuales]]/Tabla5[[#This Row],[Trenes Programados]]</f>
        <v>0.82891457058690232</v>
      </c>
      <c r="AF178" s="15">
        <f>+Tabla5[[#This Row],[Trenes Puntuales]]/Tabla5[[#This Row],[Trenes Corridos]]</f>
        <v>0.85949248120300747</v>
      </c>
      <c r="AG178" s="15">
        <f>+Tabla5[[#This Row],[Trenes Corridos]]/Tabla5[[#This Row],[Trenes Programados]]</f>
        <v>0.96442329481078626</v>
      </c>
      <c r="AH178" s="16"/>
      <c r="AI178" s="16"/>
      <c r="AJ178" s="16">
        <v>4413</v>
      </c>
      <c r="AK178" s="16">
        <f t="shared" si="57"/>
        <v>157</v>
      </c>
      <c r="AL178" s="16">
        <v>4256</v>
      </c>
      <c r="AM178" s="16">
        <v>3658</v>
      </c>
      <c r="AN178" s="16">
        <f t="shared" si="58"/>
        <v>598</v>
      </c>
      <c r="AO178" s="16"/>
      <c r="AP178" s="17"/>
      <c r="AQ178" s="18">
        <v>2007</v>
      </c>
      <c r="AR178" s="21" t="s">
        <v>40</v>
      </c>
      <c r="AS178" s="15">
        <f>+Tabla6[[#This Row],[Trenes Puntuales]]/Tabla6[[#This Row],[Trenes Programados]]</f>
        <v>0.88794992175273868</v>
      </c>
      <c r="AT178" s="15">
        <f>+Tabla6[[#This Row],[Trenes Puntuales]]/Tabla6[[#This Row],[Trenes Corridos]]</f>
        <v>0.92320208265538561</v>
      </c>
      <c r="AU178" s="15">
        <f>+Tabla6[[#This Row],[Trenes Corridos]]/Tabla6[[#This Row],[Trenes Programados]]</f>
        <v>0.96181533646322381</v>
      </c>
      <c r="AV178" s="16"/>
      <c r="AW178" s="16"/>
      <c r="AX178" s="16">
        <v>3195</v>
      </c>
      <c r="AY178" s="16">
        <f t="shared" si="59"/>
        <v>122</v>
      </c>
      <c r="AZ178" s="16">
        <v>3073</v>
      </c>
      <c r="BA178" s="16">
        <v>2837</v>
      </c>
      <c r="BB178" s="16">
        <f t="shared" si="60"/>
        <v>236</v>
      </c>
      <c r="BC178" s="16"/>
      <c r="BD178" s="17"/>
      <c r="BE178" s="18">
        <v>2007</v>
      </c>
      <c r="BF178" s="21" t="s">
        <v>40</v>
      </c>
      <c r="BG178" s="15">
        <f>+MIT_Vic_Cap[[#This Row],[Trenes Puntuales]]/MIT_Vic_Cap[[#This Row],[Trenes Programados]]</f>
        <v>0.5770020533880903</v>
      </c>
      <c r="BH178" s="15">
        <f>+MIT_Vic_Cap[[#This Row],[Trenes Puntuales]]/MIT_Vic_Cap[[#This Row],[Trenes Corridos]]</f>
        <v>0.61153427638737756</v>
      </c>
      <c r="BI178" s="15">
        <f>+MIT_Vic_Cap[[#This Row],[Trenes Corridos]]/MIT_Vic_Cap[[#This Row],[Trenes Programados]]</f>
        <v>0.94353182751540043</v>
      </c>
      <c r="BJ178" s="16"/>
      <c r="BK178" s="16"/>
      <c r="BL178" s="16">
        <v>974</v>
      </c>
      <c r="BM178" s="16">
        <f t="shared" si="61"/>
        <v>55</v>
      </c>
      <c r="BN178" s="16">
        <v>919</v>
      </c>
      <c r="BO178" s="16">
        <v>562</v>
      </c>
      <c r="BP178" s="16">
        <f t="shared" si="62"/>
        <v>357</v>
      </c>
      <c r="BQ178" s="16"/>
      <c r="BR178" s="17"/>
      <c r="BS178" s="18">
        <v>2007</v>
      </c>
      <c r="BT178" s="21" t="s">
        <v>40</v>
      </c>
      <c r="BU178" s="15">
        <f>+Tabla8[[#This Row],[Trenes Puntuales]]/Tabla8[[#This Row],[Trenes Programados]]</f>
        <v>0.81543624161073824</v>
      </c>
      <c r="BV178" s="15">
        <f>+Tabla8[[#This Row],[Trenes Puntuales]]/Tabla8[[#This Row],[Trenes Corridos]]</f>
        <v>0.83986175115207373</v>
      </c>
      <c r="BW178" s="15">
        <f>+Tabla8[[#This Row],[Trenes Corridos]]/Tabla8[[#This Row],[Trenes Programados]]</f>
        <v>0.970917225950783</v>
      </c>
      <c r="BX178" s="16"/>
      <c r="BY178" s="16"/>
      <c r="BZ178" s="16">
        <v>894</v>
      </c>
      <c r="CA178" s="16">
        <f t="shared" si="63"/>
        <v>26</v>
      </c>
      <c r="CB178" s="16">
        <v>868</v>
      </c>
      <c r="CC178" s="16">
        <v>729</v>
      </c>
      <c r="CD178" s="16">
        <f t="shared" si="64"/>
        <v>139</v>
      </c>
      <c r="CI178" s="40"/>
      <c r="CJ178" s="40"/>
      <c r="CK178" s="40"/>
      <c r="CL178" s="40"/>
      <c r="CM178" s="40"/>
    </row>
    <row r="179" spans="1:91" s="18" customFormat="1" ht="15" customHeight="1">
      <c r="A179" s="18">
        <v>2007</v>
      </c>
      <c r="B179" s="21" t="s">
        <v>41</v>
      </c>
      <c r="C179" s="15">
        <f>+MITRE[[#This Row],[Trenes Puntuales]]/MITRE[[#This Row],[Trenes Programados]]</f>
        <v>0.83194949564262677</v>
      </c>
      <c r="D179" s="15">
        <f>+MITRE[[#This Row],[Trenes Puntuales]]/MITRE[[#This Row],[Trenes Corridos]]</f>
        <v>0.86445632798573979</v>
      </c>
      <c r="E179" s="15">
        <f>+MITRE[[#This Row],[Trenes Corridos]]/MITRE[[#This Row],[Trenes Programados]]</f>
        <v>0.96239621217319704</v>
      </c>
      <c r="F179" s="16">
        <f>+Tabla4[[#This Row],[Trenes Programados por Día Hábil]]+Tabla5[[#This Row],[Trenes Programados por Día Hábil]]+Tabla6[[#This Row],[Trenes Programados por Día Hábil]]+MIT_Vic_Cap[[#This Row],[Trenes Programados por Día Hábil]]+Tabla8[[#This Row],[Trenes Programados por Día Hábil]]</f>
        <v>0</v>
      </c>
      <c r="G17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9" s="16">
        <f t="shared" si="20"/>
        <v>14573</v>
      </c>
      <c r="I179" s="16">
        <f t="shared" si="21"/>
        <v>548</v>
      </c>
      <c r="J179" s="16">
        <f t="shared" si="22"/>
        <v>14025</v>
      </c>
      <c r="K179" s="16">
        <f t="shared" si="23"/>
        <v>12124</v>
      </c>
      <c r="L179" s="16">
        <f t="shared" si="24"/>
        <v>1901</v>
      </c>
      <c r="M179" s="16"/>
      <c r="N179" s="17"/>
      <c r="O179" s="18">
        <v>2007</v>
      </c>
      <c r="P179" s="21" t="s">
        <v>41</v>
      </c>
      <c r="Q179" s="15">
        <f>+Tabla4[[#This Row],[Trenes Puntuales]]/Tabla4[[#This Row],[Trenes Programados]]</f>
        <v>0.84635514018691593</v>
      </c>
      <c r="R179" s="15">
        <f>+Tabla4[[#This Row],[Trenes Puntuales]]/Tabla4[[#This Row],[Trenes Corridos]]</f>
        <v>0.8773493509009882</v>
      </c>
      <c r="S179" s="15">
        <f>+Tabla4[[#This Row],[Trenes Corridos]]/Tabla4[[#This Row],[Trenes Programados]]</f>
        <v>0.9646728971962617</v>
      </c>
      <c r="T179" s="16"/>
      <c r="U179" s="16"/>
      <c r="V179" s="16">
        <v>5350</v>
      </c>
      <c r="W179" s="16">
        <f t="shared" si="55"/>
        <v>189</v>
      </c>
      <c r="X179" s="16">
        <v>5161</v>
      </c>
      <c r="Y179" s="16">
        <v>4528</v>
      </c>
      <c r="Z179" s="16">
        <f t="shared" si="56"/>
        <v>633</v>
      </c>
      <c r="AA179" s="16"/>
      <c r="AB179" s="17"/>
      <c r="AC179" s="18">
        <v>2007</v>
      </c>
      <c r="AD179" s="21" t="s">
        <v>41</v>
      </c>
      <c r="AE179" s="15">
        <f>+Tabla5[[#This Row],[Trenes Puntuales]]/Tabla5[[#This Row],[Trenes Programados]]</f>
        <v>0.85395348837209306</v>
      </c>
      <c r="AF179" s="15">
        <f>+Tabla5[[#This Row],[Trenes Puntuales]]/Tabla5[[#This Row],[Trenes Corridos]]</f>
        <v>0.87470223916150547</v>
      </c>
      <c r="AG179" s="15">
        <f>+Tabla5[[#This Row],[Trenes Corridos]]/Tabla5[[#This Row],[Trenes Programados]]</f>
        <v>0.97627906976744183</v>
      </c>
      <c r="AH179" s="16"/>
      <c r="AI179" s="16"/>
      <c r="AJ179" s="16">
        <v>4300</v>
      </c>
      <c r="AK179" s="16">
        <f t="shared" si="57"/>
        <v>102</v>
      </c>
      <c r="AL179" s="16">
        <v>4198</v>
      </c>
      <c r="AM179" s="16">
        <v>3672</v>
      </c>
      <c r="AN179" s="16">
        <f t="shared" si="58"/>
        <v>526</v>
      </c>
      <c r="AO179" s="16"/>
      <c r="AP179" s="17"/>
      <c r="AQ179" s="18">
        <v>2007</v>
      </c>
      <c r="AR179" s="21" t="s">
        <v>41</v>
      </c>
      <c r="AS179" s="15">
        <f>+Tabla6[[#This Row],[Trenes Puntuales]]/Tabla6[[#This Row],[Trenes Programados]]</f>
        <v>0.91336553945249599</v>
      </c>
      <c r="AT179" s="15">
        <f>+Tabla6[[#This Row],[Trenes Puntuales]]/Tabla6[[#This Row],[Trenes Corridos]]</f>
        <v>0.93845135671740565</v>
      </c>
      <c r="AU179" s="15">
        <f>+Tabla6[[#This Row],[Trenes Corridos]]/Tabla6[[#This Row],[Trenes Programados]]</f>
        <v>0.97326892109500807</v>
      </c>
      <c r="AV179" s="16"/>
      <c r="AW179" s="16"/>
      <c r="AX179" s="16">
        <v>3105</v>
      </c>
      <c r="AY179" s="16">
        <f t="shared" si="59"/>
        <v>83</v>
      </c>
      <c r="AZ179" s="16">
        <v>3022</v>
      </c>
      <c r="BA179" s="16">
        <v>2836</v>
      </c>
      <c r="BB179" s="16">
        <f t="shared" si="60"/>
        <v>186</v>
      </c>
      <c r="BC179" s="16"/>
      <c r="BD179" s="17"/>
      <c r="BE179" s="18">
        <v>2007</v>
      </c>
      <c r="BF179" s="21" t="s">
        <v>41</v>
      </c>
      <c r="BG179" s="15">
        <f>+MIT_Vic_Cap[[#This Row],[Trenes Puntuales]]/MIT_Vic_Cap[[#This Row],[Trenes Programados]]</f>
        <v>0.48373557187827909</v>
      </c>
      <c r="BH179" s="15">
        <f>+MIT_Vic_Cap[[#This Row],[Trenes Puntuales]]/MIT_Vic_Cap[[#This Row],[Trenes Corridos]]</f>
        <v>0.56425948592411257</v>
      </c>
      <c r="BI179" s="15">
        <f>+MIT_Vic_Cap[[#This Row],[Trenes Corridos]]/MIT_Vic_Cap[[#This Row],[Trenes Programados]]</f>
        <v>0.85729275970619101</v>
      </c>
      <c r="BJ179" s="16"/>
      <c r="BK179" s="16"/>
      <c r="BL179" s="16">
        <v>953</v>
      </c>
      <c r="BM179" s="16">
        <f t="shared" si="61"/>
        <v>136</v>
      </c>
      <c r="BN179" s="16">
        <v>817</v>
      </c>
      <c r="BO179" s="16">
        <v>461</v>
      </c>
      <c r="BP179" s="16">
        <f t="shared" si="62"/>
        <v>356</v>
      </c>
      <c r="BQ179" s="16"/>
      <c r="BR179" s="17"/>
      <c r="BS179" s="18">
        <v>2007</v>
      </c>
      <c r="BT179" s="21" t="s">
        <v>41</v>
      </c>
      <c r="BU179" s="15">
        <f>+Tabla8[[#This Row],[Trenes Puntuales]]/Tabla8[[#This Row],[Trenes Programados]]</f>
        <v>0.7248554913294798</v>
      </c>
      <c r="BV179" s="15">
        <f>+Tabla8[[#This Row],[Trenes Puntuales]]/Tabla8[[#This Row],[Trenes Corridos]]</f>
        <v>0.7581620314389359</v>
      </c>
      <c r="BW179" s="15">
        <f>+Tabla8[[#This Row],[Trenes Corridos]]/Tabla8[[#This Row],[Trenes Programados]]</f>
        <v>0.95606936416184973</v>
      </c>
      <c r="BX179" s="16"/>
      <c r="BY179" s="16"/>
      <c r="BZ179" s="16">
        <v>865</v>
      </c>
      <c r="CA179" s="16">
        <f t="shared" si="63"/>
        <v>38</v>
      </c>
      <c r="CB179" s="16">
        <v>827</v>
      </c>
      <c r="CC179" s="16">
        <v>627</v>
      </c>
      <c r="CD179" s="16">
        <f t="shared" si="64"/>
        <v>200</v>
      </c>
      <c r="CI179" s="40"/>
      <c r="CJ179" s="40"/>
      <c r="CK179" s="40"/>
      <c r="CL179" s="40"/>
      <c r="CM179" s="40"/>
    </row>
    <row r="180" spans="1:91" s="18" customFormat="1" ht="15" customHeight="1">
      <c r="A180" s="18">
        <v>2007</v>
      </c>
      <c r="B180" s="21" t="s">
        <v>42</v>
      </c>
      <c r="C180" s="15">
        <f>+MITRE[[#This Row],[Trenes Puntuales]]/MITRE[[#This Row],[Trenes Programados]]</f>
        <v>0.82671360255047821</v>
      </c>
      <c r="D180" s="15">
        <f>+MITRE[[#This Row],[Trenes Puntuales]]/MITRE[[#This Row],[Trenes Corridos]]</f>
        <v>0.85693631669535286</v>
      </c>
      <c r="E180" s="15">
        <f>+MITRE[[#This Row],[Trenes Corridos]]/MITRE[[#This Row],[Trenes Programados]]</f>
        <v>0.96473166843783209</v>
      </c>
      <c r="F180" s="16">
        <f>+Tabla4[[#This Row],[Trenes Programados por Día Hábil]]+Tabla5[[#This Row],[Trenes Programados por Día Hábil]]+Tabla6[[#This Row],[Trenes Programados por Día Hábil]]+MIT_Vic_Cap[[#This Row],[Trenes Programados por Día Hábil]]+Tabla8[[#This Row],[Trenes Programados por Día Hábil]]</f>
        <v>0</v>
      </c>
      <c r="G18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0" s="16">
        <f t="shared" si="20"/>
        <v>15056</v>
      </c>
      <c r="I180" s="16">
        <f t="shared" si="21"/>
        <v>531</v>
      </c>
      <c r="J180" s="16">
        <f t="shared" si="22"/>
        <v>14525</v>
      </c>
      <c r="K180" s="16">
        <f t="shared" si="23"/>
        <v>12447</v>
      </c>
      <c r="L180" s="16">
        <f t="shared" si="24"/>
        <v>2078</v>
      </c>
      <c r="M180" s="16"/>
      <c r="N180" s="17"/>
      <c r="O180" s="18">
        <v>2007</v>
      </c>
      <c r="P180" s="21" t="s">
        <v>42</v>
      </c>
      <c r="Q180" s="15">
        <f>+Tabla4[[#This Row],[Trenes Puntuales]]/Tabla4[[#This Row],[Trenes Programados]]</f>
        <v>0.83563636363636362</v>
      </c>
      <c r="R180" s="15">
        <f>+Tabla4[[#This Row],[Trenes Puntuales]]/Tabla4[[#This Row],[Trenes Corridos]]</f>
        <v>0.86930206166067714</v>
      </c>
      <c r="S180" s="15">
        <f>+Tabla4[[#This Row],[Trenes Corridos]]/Tabla4[[#This Row],[Trenes Programados]]</f>
        <v>0.96127272727272728</v>
      </c>
      <c r="T180" s="16"/>
      <c r="U180" s="16"/>
      <c r="V180" s="16">
        <v>5500</v>
      </c>
      <c r="W180" s="16">
        <f t="shared" si="55"/>
        <v>213</v>
      </c>
      <c r="X180" s="16">
        <v>5287</v>
      </c>
      <c r="Y180" s="16">
        <v>4596</v>
      </c>
      <c r="Z180" s="16">
        <f t="shared" si="56"/>
        <v>691</v>
      </c>
      <c r="AA180" s="16"/>
      <c r="AB180" s="17"/>
      <c r="AC180" s="18">
        <v>2007</v>
      </c>
      <c r="AD180" s="21" t="s">
        <v>42</v>
      </c>
      <c r="AE180" s="15">
        <f>+Tabla5[[#This Row],[Trenes Puntuales]]/Tabla5[[#This Row],[Trenes Programados]]</f>
        <v>0.92091547699977339</v>
      </c>
      <c r="AF180" s="15">
        <f>+Tabla5[[#This Row],[Trenes Puntuales]]/Tabla5[[#This Row],[Trenes Corridos]]</f>
        <v>0.93511274735388861</v>
      </c>
      <c r="AG180" s="15">
        <f>+Tabla5[[#This Row],[Trenes Corridos]]/Tabla5[[#This Row],[Trenes Programados]]</f>
        <v>0.98481758440969858</v>
      </c>
      <c r="AH180" s="16"/>
      <c r="AI180" s="16"/>
      <c r="AJ180" s="16">
        <v>4413</v>
      </c>
      <c r="AK180" s="16">
        <f t="shared" si="57"/>
        <v>67</v>
      </c>
      <c r="AL180" s="16">
        <v>4346</v>
      </c>
      <c r="AM180" s="16">
        <v>4064</v>
      </c>
      <c r="AN180" s="16">
        <f t="shared" si="58"/>
        <v>282</v>
      </c>
      <c r="AO180" s="16"/>
      <c r="AP180" s="17"/>
      <c r="AQ180" s="18">
        <v>2007</v>
      </c>
      <c r="AR180" s="21" t="s">
        <v>42</v>
      </c>
      <c r="AS180" s="15">
        <f>+Tabla6[[#This Row],[Trenes Puntuales]]/Tabla6[[#This Row],[Trenes Programados]]</f>
        <v>0.95367762128325506</v>
      </c>
      <c r="AT180" s="15">
        <f>+Tabla6[[#This Row],[Trenes Puntuales]]/Tabla6[[#This Row],[Trenes Corridos]]</f>
        <v>0.96607482561826252</v>
      </c>
      <c r="AU180" s="15">
        <f>+Tabla6[[#This Row],[Trenes Corridos]]/Tabla6[[#This Row],[Trenes Programados]]</f>
        <v>0.98716744913928012</v>
      </c>
      <c r="AV180" s="16"/>
      <c r="AW180" s="16"/>
      <c r="AX180" s="16">
        <v>3195</v>
      </c>
      <c r="AY180" s="16">
        <f t="shared" si="59"/>
        <v>41</v>
      </c>
      <c r="AZ180" s="16">
        <v>3154</v>
      </c>
      <c r="BA180" s="16">
        <v>3047</v>
      </c>
      <c r="BB180" s="16">
        <f t="shared" si="60"/>
        <v>107</v>
      </c>
      <c r="BC180" s="16"/>
      <c r="BD180" s="17"/>
      <c r="BE180" s="18">
        <v>2007</v>
      </c>
      <c r="BF180" s="21" t="s">
        <v>42</v>
      </c>
      <c r="BG180" s="15">
        <f>+MIT_Vic_Cap[[#This Row],[Trenes Puntuales]]/MIT_Vic_Cap[[#This Row],[Trenes Programados]]</f>
        <v>0.37987679671457908</v>
      </c>
      <c r="BH180" s="15">
        <f>+MIT_Vic_Cap[[#This Row],[Trenes Puntuales]]/MIT_Vic_Cap[[#This Row],[Trenes Corridos]]</f>
        <v>0.42577675489067895</v>
      </c>
      <c r="BI180" s="15">
        <f>+MIT_Vic_Cap[[#This Row],[Trenes Corridos]]/MIT_Vic_Cap[[#This Row],[Trenes Programados]]</f>
        <v>0.8921971252566735</v>
      </c>
      <c r="BJ180" s="16"/>
      <c r="BK180" s="16"/>
      <c r="BL180" s="16">
        <v>974</v>
      </c>
      <c r="BM180" s="16">
        <f t="shared" si="61"/>
        <v>105</v>
      </c>
      <c r="BN180" s="16">
        <v>869</v>
      </c>
      <c r="BO180" s="16">
        <v>370</v>
      </c>
      <c r="BP180" s="16">
        <f t="shared" si="62"/>
        <v>499</v>
      </c>
      <c r="BQ180" s="16"/>
      <c r="BR180" s="17"/>
      <c r="BS180" s="18">
        <v>2007</v>
      </c>
      <c r="BT180" s="21" t="s">
        <v>42</v>
      </c>
      <c r="BU180" s="15">
        <f>+Tabla8[[#This Row],[Trenes Puntuales]]/Tabla8[[#This Row],[Trenes Programados]]</f>
        <v>0.37987679671457908</v>
      </c>
      <c r="BV180" s="15">
        <f>+Tabla8[[#This Row],[Trenes Puntuales]]/Tabla8[[#This Row],[Trenes Corridos]]</f>
        <v>0.42577675489067895</v>
      </c>
      <c r="BW180" s="15">
        <f>+Tabla8[[#This Row],[Trenes Corridos]]/Tabla8[[#This Row],[Trenes Programados]]</f>
        <v>0.8921971252566735</v>
      </c>
      <c r="BX180" s="16"/>
      <c r="BY180" s="16"/>
      <c r="BZ180" s="16">
        <v>974</v>
      </c>
      <c r="CA180" s="16">
        <f t="shared" si="63"/>
        <v>105</v>
      </c>
      <c r="CB180" s="16">
        <v>869</v>
      </c>
      <c r="CC180" s="16">
        <v>370</v>
      </c>
      <c r="CD180" s="16">
        <f t="shared" si="64"/>
        <v>499</v>
      </c>
      <c r="CI180" s="40"/>
      <c r="CJ180" s="40"/>
      <c r="CK180" s="40"/>
      <c r="CL180" s="40"/>
      <c r="CM180" s="40"/>
    </row>
    <row r="181" spans="1:91" s="18" customFormat="1" ht="15" customHeight="1">
      <c r="A181" s="18">
        <v>2007</v>
      </c>
      <c r="B181" s="21" t="s">
        <v>43</v>
      </c>
      <c r="C181" s="15">
        <f>+MITRE[[#This Row],[Trenes Puntuales]]/MITRE[[#This Row],[Trenes Programados]]</f>
        <v>0.85890617818921933</v>
      </c>
      <c r="D181" s="15">
        <f>+MITRE[[#This Row],[Trenes Puntuales]]/MITRE[[#This Row],[Trenes Corridos]]</f>
        <v>0.88129884128267311</v>
      </c>
      <c r="E181" s="15">
        <f>+MITRE[[#This Row],[Trenes Corridos]]/MITRE[[#This Row],[Trenes Programados]]</f>
        <v>0.97459129407130196</v>
      </c>
      <c r="F181" s="16">
        <f>+Tabla4[[#This Row],[Trenes Programados por Día Hábil]]+Tabla5[[#This Row],[Trenes Programados por Día Hábil]]+Tabla6[[#This Row],[Trenes Programados por Día Hábil]]+MIT_Vic_Cap[[#This Row],[Trenes Programados por Día Hábil]]+Tabla8[[#This Row],[Trenes Programados por Día Hábil]]</f>
        <v>0</v>
      </c>
      <c r="G18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1" s="16">
        <f t="shared" si="20"/>
        <v>15231</v>
      </c>
      <c r="I181" s="16">
        <f t="shared" si="21"/>
        <v>387</v>
      </c>
      <c r="J181" s="16">
        <f t="shared" si="22"/>
        <v>14844</v>
      </c>
      <c r="K181" s="16">
        <f t="shared" si="23"/>
        <v>13082</v>
      </c>
      <c r="L181" s="16">
        <f t="shared" si="24"/>
        <v>1762</v>
      </c>
      <c r="M181" s="16"/>
      <c r="N181" s="17"/>
      <c r="O181" s="18">
        <v>2007</v>
      </c>
      <c r="P181" s="21" t="s">
        <v>43</v>
      </c>
      <c r="Q181" s="15">
        <f>+Tabla4[[#This Row],[Trenes Puntuales]]/Tabla4[[#This Row],[Trenes Programados]]</f>
        <v>0.85438282647584973</v>
      </c>
      <c r="R181" s="15">
        <f>+Tabla4[[#This Row],[Trenes Puntuales]]/Tabla4[[#This Row],[Trenes Corridos]]</f>
        <v>0.88020641356431994</v>
      </c>
      <c r="S181" s="15">
        <f>+Tabla4[[#This Row],[Trenes Corridos]]/Tabla4[[#This Row],[Trenes Programados]]</f>
        <v>0.97066189624329158</v>
      </c>
      <c r="T181" s="16"/>
      <c r="U181" s="16"/>
      <c r="V181" s="16">
        <v>5590</v>
      </c>
      <c r="W181" s="16">
        <f t="shared" si="55"/>
        <v>164</v>
      </c>
      <c r="X181" s="16">
        <v>5426</v>
      </c>
      <c r="Y181" s="16">
        <v>4776</v>
      </c>
      <c r="Z181" s="16">
        <f t="shared" si="56"/>
        <v>650</v>
      </c>
      <c r="AA181" s="16"/>
      <c r="AB181" s="17"/>
      <c r="AC181" s="18">
        <v>2007</v>
      </c>
      <c r="AD181" s="21" t="s">
        <v>43</v>
      </c>
      <c r="AE181" s="15">
        <f>+Tabla5[[#This Row],[Trenes Puntuales]]/Tabla5[[#This Row],[Trenes Programados]]</f>
        <v>0.91055097033236676</v>
      </c>
      <c r="AF181" s="15">
        <f>+Tabla5[[#This Row],[Trenes Puntuales]]/Tabla5[[#This Row],[Trenes Corridos]]</f>
        <v>0.92082111436950143</v>
      </c>
      <c r="AG181" s="15">
        <f>+Tabla5[[#This Row],[Trenes Corridos]]/Tabla5[[#This Row],[Trenes Programados]]</f>
        <v>0.98884675440553205</v>
      </c>
      <c r="AH181" s="16"/>
      <c r="AI181" s="16"/>
      <c r="AJ181" s="16">
        <v>4483</v>
      </c>
      <c r="AK181" s="16">
        <f t="shared" si="57"/>
        <v>50</v>
      </c>
      <c r="AL181" s="16">
        <v>4433</v>
      </c>
      <c r="AM181" s="16">
        <v>4082</v>
      </c>
      <c r="AN181" s="16">
        <f t="shared" si="58"/>
        <v>351</v>
      </c>
      <c r="AO181" s="16"/>
      <c r="AP181" s="17"/>
      <c r="AQ181" s="18">
        <v>2007</v>
      </c>
      <c r="AR181" s="21" t="s">
        <v>43</v>
      </c>
      <c r="AS181" s="15">
        <f>+Tabla6[[#This Row],[Trenes Puntuales]]/Tabla6[[#This Row],[Trenes Programados]]</f>
        <v>0.92766221670288729</v>
      </c>
      <c r="AT181" s="15">
        <f>+Tabla6[[#This Row],[Trenes Puntuales]]/Tabla6[[#This Row],[Trenes Corridos]]</f>
        <v>0.94977749523204069</v>
      </c>
      <c r="AU181" s="15">
        <f>+Tabla6[[#This Row],[Trenes Corridos]]/Tabla6[[#This Row],[Trenes Programados]]</f>
        <v>0.97671530580565047</v>
      </c>
      <c r="AV181" s="16"/>
      <c r="AW181" s="16"/>
      <c r="AX181" s="16">
        <v>3221</v>
      </c>
      <c r="AY181" s="16">
        <f t="shared" si="59"/>
        <v>75</v>
      </c>
      <c r="AZ181" s="16">
        <v>3146</v>
      </c>
      <c r="BA181" s="16">
        <v>2988</v>
      </c>
      <c r="BB181" s="16">
        <f t="shared" si="60"/>
        <v>158</v>
      </c>
      <c r="BC181" s="16"/>
      <c r="BD181" s="17"/>
      <c r="BE181" s="18">
        <v>2007</v>
      </c>
      <c r="BF181" s="21" t="s">
        <v>43</v>
      </c>
      <c r="BG181" s="15">
        <f>+MIT_Vic_Cap[[#This Row],[Trenes Puntuales]]/MIT_Vic_Cap[[#This Row],[Trenes Programados]]</f>
        <v>0.52077001013171231</v>
      </c>
      <c r="BH181" s="15">
        <f>+MIT_Vic_Cap[[#This Row],[Trenes Puntuales]]/MIT_Vic_Cap[[#This Row],[Trenes Corridos]]</f>
        <v>0.55447680690399137</v>
      </c>
      <c r="BI181" s="15">
        <f>+MIT_Vic_Cap[[#This Row],[Trenes Corridos]]/MIT_Vic_Cap[[#This Row],[Trenes Programados]]</f>
        <v>0.93920972644376899</v>
      </c>
      <c r="BJ181" s="16"/>
      <c r="BK181" s="16"/>
      <c r="BL181" s="16">
        <v>987</v>
      </c>
      <c r="BM181" s="16">
        <f t="shared" si="61"/>
        <v>60</v>
      </c>
      <c r="BN181" s="16">
        <v>927</v>
      </c>
      <c r="BO181" s="16">
        <v>514</v>
      </c>
      <c r="BP181" s="16">
        <f t="shared" si="62"/>
        <v>413</v>
      </c>
      <c r="BQ181" s="16"/>
      <c r="BR181" s="17"/>
      <c r="BS181" s="18">
        <v>2007</v>
      </c>
      <c r="BT181" s="21" t="s">
        <v>43</v>
      </c>
      <c r="BU181" s="15">
        <f>+Tabla8[[#This Row],[Trenes Puntuales]]/Tabla8[[#This Row],[Trenes Programados]]</f>
        <v>0.76</v>
      </c>
      <c r="BV181" s="15">
        <f>+Tabla8[[#This Row],[Trenes Puntuales]]/Tabla8[[#This Row],[Trenes Corridos]]</f>
        <v>0.79166666666666663</v>
      </c>
      <c r="BW181" s="15">
        <f>+Tabla8[[#This Row],[Trenes Corridos]]/Tabla8[[#This Row],[Trenes Programados]]</f>
        <v>0.96</v>
      </c>
      <c r="BX181" s="16"/>
      <c r="BY181" s="16"/>
      <c r="BZ181" s="16">
        <v>950</v>
      </c>
      <c r="CA181" s="16">
        <f t="shared" si="63"/>
        <v>38</v>
      </c>
      <c r="CB181" s="16">
        <v>912</v>
      </c>
      <c r="CC181" s="16">
        <v>722</v>
      </c>
      <c r="CD181" s="16">
        <f t="shared" si="64"/>
        <v>190</v>
      </c>
      <c r="CI181" s="40"/>
      <c r="CJ181" s="40"/>
      <c r="CK181" s="40"/>
      <c r="CL181" s="40"/>
      <c r="CM181" s="40"/>
    </row>
    <row r="182" spans="1:91" s="18" customFormat="1" ht="15" customHeight="1">
      <c r="A182" s="18">
        <v>2007</v>
      </c>
      <c r="B182" s="21" t="s">
        <v>44</v>
      </c>
      <c r="C182" s="15">
        <f>+MITRE[[#This Row],[Trenes Puntuales]]/MITRE[[#This Row],[Trenes Programados]]</f>
        <v>0.86766114684549067</v>
      </c>
      <c r="D182" s="15">
        <f>+MITRE[[#This Row],[Trenes Puntuales]]/MITRE[[#This Row],[Trenes Corridos]]</f>
        <v>0.88895120583286591</v>
      </c>
      <c r="E182" s="15">
        <f>+MITRE[[#This Row],[Trenes Corridos]]/MITRE[[#This Row],[Trenes Programados]]</f>
        <v>0.97605036266593681</v>
      </c>
      <c r="F182" s="16">
        <f>+Tabla4[[#This Row],[Trenes Programados por Día Hábil]]+Tabla5[[#This Row],[Trenes Programados por Día Hábil]]+Tabla6[[#This Row],[Trenes Programados por Día Hábil]]+MIT_Vic_Cap[[#This Row],[Trenes Programados por Día Hábil]]+Tabla8[[#This Row],[Trenes Programados por Día Hábil]]</f>
        <v>0</v>
      </c>
      <c r="G18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2" s="16">
        <f t="shared" si="20"/>
        <v>14614</v>
      </c>
      <c r="I182" s="16">
        <f t="shared" si="21"/>
        <v>350</v>
      </c>
      <c r="J182" s="16">
        <f t="shared" si="22"/>
        <v>14264</v>
      </c>
      <c r="K182" s="16">
        <f t="shared" si="23"/>
        <v>12680</v>
      </c>
      <c r="L182" s="16">
        <f t="shared" si="24"/>
        <v>1584</v>
      </c>
      <c r="M182" s="16"/>
      <c r="N182" s="17"/>
      <c r="O182" s="18">
        <v>2007</v>
      </c>
      <c r="P182" s="21" t="s">
        <v>44</v>
      </c>
      <c r="Q182" s="15">
        <f>+Tabla4[[#This Row],[Trenes Puntuales]]/Tabla4[[#This Row],[Trenes Programados]]</f>
        <v>0.86878504672897194</v>
      </c>
      <c r="R182" s="15">
        <f>+Tabla4[[#This Row],[Trenes Puntuales]]/Tabla4[[#This Row],[Trenes Corridos]]</f>
        <v>0.89315910837817059</v>
      </c>
      <c r="S182" s="15">
        <f>+Tabla4[[#This Row],[Trenes Corridos]]/Tabla4[[#This Row],[Trenes Programados]]</f>
        <v>0.97271028037383178</v>
      </c>
      <c r="T182" s="16"/>
      <c r="U182" s="16"/>
      <c r="V182" s="16">
        <v>5350</v>
      </c>
      <c r="W182" s="16">
        <f t="shared" si="55"/>
        <v>146</v>
      </c>
      <c r="X182" s="16">
        <v>5204</v>
      </c>
      <c r="Y182" s="16">
        <v>4648</v>
      </c>
      <c r="Z182" s="16">
        <f t="shared" si="56"/>
        <v>556</v>
      </c>
      <c r="AA182" s="16"/>
      <c r="AB182" s="17"/>
      <c r="AC182" s="18">
        <v>2007</v>
      </c>
      <c r="AD182" s="21" t="s">
        <v>44</v>
      </c>
      <c r="AE182" s="15">
        <f>+Tabla5[[#This Row],[Trenes Puntuales]]/Tabla5[[#This Row],[Trenes Programados]]</f>
        <v>0.89930232558139533</v>
      </c>
      <c r="AF182" s="15">
        <f>+Tabla5[[#This Row],[Trenes Puntuales]]/Tabla5[[#This Row],[Trenes Corridos]]</f>
        <v>0.91267406183620481</v>
      </c>
      <c r="AG182" s="15">
        <f>+Tabla5[[#This Row],[Trenes Corridos]]/Tabla5[[#This Row],[Trenes Programados]]</f>
        <v>0.98534883720930233</v>
      </c>
      <c r="AH182" s="16"/>
      <c r="AI182" s="16"/>
      <c r="AJ182" s="16">
        <v>4300</v>
      </c>
      <c r="AK182" s="16">
        <f t="shared" si="57"/>
        <v>63</v>
      </c>
      <c r="AL182" s="16">
        <v>4237</v>
      </c>
      <c r="AM182" s="16">
        <v>3867</v>
      </c>
      <c r="AN182" s="16">
        <f t="shared" si="58"/>
        <v>370</v>
      </c>
      <c r="AO182" s="16"/>
      <c r="AP182" s="17"/>
      <c r="AQ182" s="18">
        <v>2007</v>
      </c>
      <c r="AR182" s="21" t="s">
        <v>44</v>
      </c>
      <c r="AS182" s="15">
        <f>+Tabla6[[#This Row],[Trenes Puntuales]]/Tabla6[[#This Row],[Trenes Programados]]</f>
        <v>0.93945249597423508</v>
      </c>
      <c r="AT182" s="15">
        <f>+Tabla6[[#This Row],[Trenes Puntuales]]/Tabla6[[#This Row],[Trenes Corridos]]</f>
        <v>0.95514079895219384</v>
      </c>
      <c r="AU182" s="15">
        <f>+Tabla6[[#This Row],[Trenes Corridos]]/Tabla6[[#This Row],[Trenes Programados]]</f>
        <v>0.98357487922705311</v>
      </c>
      <c r="AV182" s="16"/>
      <c r="AW182" s="16"/>
      <c r="AX182" s="16">
        <v>3105</v>
      </c>
      <c r="AY182" s="16">
        <f t="shared" si="59"/>
        <v>51</v>
      </c>
      <c r="AZ182" s="16">
        <v>3054</v>
      </c>
      <c r="BA182" s="16">
        <v>2917</v>
      </c>
      <c r="BB182" s="16">
        <f t="shared" si="60"/>
        <v>137</v>
      </c>
      <c r="BC182" s="16"/>
      <c r="BD182" s="17"/>
      <c r="BE182" s="18">
        <v>2007</v>
      </c>
      <c r="BF182" s="21" t="s">
        <v>44</v>
      </c>
      <c r="BG182" s="15">
        <f>+MIT_Vic_Cap[[#This Row],[Trenes Puntuales]]/MIT_Vic_Cap[[#This Row],[Trenes Programados]]</f>
        <v>0.62997903563941304</v>
      </c>
      <c r="BH182" s="15">
        <f>+MIT_Vic_Cap[[#This Row],[Trenes Puntuales]]/MIT_Vic_Cap[[#This Row],[Trenes Corridos]]</f>
        <v>0.67225950782997768</v>
      </c>
      <c r="BI182" s="15">
        <f>+MIT_Vic_Cap[[#This Row],[Trenes Corridos]]/MIT_Vic_Cap[[#This Row],[Trenes Programados]]</f>
        <v>0.93710691823899372</v>
      </c>
      <c r="BJ182" s="16"/>
      <c r="BK182" s="16"/>
      <c r="BL182" s="16">
        <v>954</v>
      </c>
      <c r="BM182" s="16">
        <f t="shared" si="61"/>
        <v>60</v>
      </c>
      <c r="BN182" s="16">
        <v>894</v>
      </c>
      <c r="BO182" s="16">
        <v>601</v>
      </c>
      <c r="BP182" s="16">
        <f t="shared" si="62"/>
        <v>293</v>
      </c>
      <c r="BQ182" s="16"/>
      <c r="BR182" s="17"/>
      <c r="BS182" s="18">
        <v>2007</v>
      </c>
      <c r="BT182" s="21" t="s">
        <v>44</v>
      </c>
      <c r="BU182" s="15">
        <f>+Tabla8[[#This Row],[Trenes Puntuales]]/Tabla8[[#This Row],[Trenes Programados]]</f>
        <v>0.7149171270718232</v>
      </c>
      <c r="BV182" s="15">
        <f>+Tabla8[[#This Row],[Trenes Puntuales]]/Tabla8[[#This Row],[Trenes Corridos]]</f>
        <v>0.73942857142857144</v>
      </c>
      <c r="BW182" s="15">
        <f>+Tabla8[[#This Row],[Trenes Corridos]]/Tabla8[[#This Row],[Trenes Programados]]</f>
        <v>0.96685082872928174</v>
      </c>
      <c r="BX182" s="16"/>
      <c r="BY182" s="16"/>
      <c r="BZ182" s="16">
        <v>905</v>
      </c>
      <c r="CA182" s="16">
        <f t="shared" si="63"/>
        <v>30</v>
      </c>
      <c r="CB182" s="16">
        <v>875</v>
      </c>
      <c r="CC182" s="16">
        <v>647</v>
      </c>
      <c r="CD182" s="16">
        <f t="shared" si="64"/>
        <v>228</v>
      </c>
      <c r="CI182" s="40"/>
      <c r="CJ182" s="40"/>
      <c r="CK182" s="40"/>
      <c r="CL182" s="40"/>
      <c r="CM182" s="40"/>
    </row>
    <row r="183" spans="1:91" s="18" customFormat="1" ht="15" customHeight="1">
      <c r="A183" s="18">
        <v>2007</v>
      </c>
      <c r="B183" s="21" t="s">
        <v>45</v>
      </c>
      <c r="C183" s="15">
        <f>+MITRE[[#This Row],[Trenes Puntuales]]/MITRE[[#This Row],[Trenes Programados]]</f>
        <v>0.87452421577634865</v>
      </c>
      <c r="D183" s="15">
        <f>+MITRE[[#This Row],[Trenes Puntuales]]/MITRE[[#This Row],[Trenes Corridos]]</f>
        <v>0.90223425863236295</v>
      </c>
      <c r="E183" s="15">
        <f>+MITRE[[#This Row],[Trenes Corridos]]/MITRE[[#This Row],[Trenes Programados]]</f>
        <v>0.96928730804567531</v>
      </c>
      <c r="F183" s="16">
        <f>+Tabla4[[#This Row],[Trenes Programados por Día Hábil]]+Tabla5[[#This Row],[Trenes Programados por Día Hábil]]+Tabla6[[#This Row],[Trenes Programados por Día Hábil]]+MIT_Vic_Cap[[#This Row],[Trenes Programados por Día Hábil]]+Tabla8[[#This Row],[Trenes Programados por Día Hábil]]</f>
        <v>0</v>
      </c>
      <c r="G18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3" s="16">
        <f t="shared" si="20"/>
        <v>15238</v>
      </c>
      <c r="I183" s="16">
        <f t="shared" si="21"/>
        <v>468</v>
      </c>
      <c r="J183" s="16">
        <f t="shared" si="22"/>
        <v>14770</v>
      </c>
      <c r="K183" s="16">
        <f t="shared" si="23"/>
        <v>13326</v>
      </c>
      <c r="L183" s="16">
        <f t="shared" si="24"/>
        <v>1444</v>
      </c>
      <c r="M183" s="16"/>
      <c r="N183" s="17"/>
      <c r="O183" s="18">
        <v>2007</v>
      </c>
      <c r="P183" s="21" t="s">
        <v>45</v>
      </c>
      <c r="Q183" s="15">
        <f>+Tabla4[[#This Row],[Trenes Puntuales]]/Tabla4[[#This Row],[Trenes Programados]]</f>
        <v>0.87728085867620753</v>
      </c>
      <c r="R183" s="15">
        <f>+Tabla4[[#This Row],[Trenes Puntuales]]/Tabla4[[#This Row],[Trenes Corridos]]</f>
        <v>0.90031209840279047</v>
      </c>
      <c r="S183" s="15">
        <f>+Tabla4[[#This Row],[Trenes Corridos]]/Tabla4[[#This Row],[Trenes Programados]]</f>
        <v>0.97441860465116281</v>
      </c>
      <c r="T183" s="16"/>
      <c r="U183" s="16"/>
      <c r="V183" s="16">
        <v>5590</v>
      </c>
      <c r="W183" s="16">
        <f t="shared" si="55"/>
        <v>143</v>
      </c>
      <c r="X183" s="16">
        <v>5447</v>
      </c>
      <c r="Y183" s="16">
        <v>4904</v>
      </c>
      <c r="Z183" s="16">
        <f t="shared" si="56"/>
        <v>543</v>
      </c>
      <c r="AA183" s="16"/>
      <c r="AB183" s="17"/>
      <c r="AC183" s="18">
        <v>2007</v>
      </c>
      <c r="AD183" s="21" t="s">
        <v>45</v>
      </c>
      <c r="AE183" s="15">
        <f>+Tabla5[[#This Row],[Trenes Puntuales]]/Tabla5[[#This Row],[Trenes Programados]]</f>
        <v>0.9034128931519072</v>
      </c>
      <c r="AF183" s="15">
        <f>+Tabla5[[#This Row],[Trenes Puntuales]]/Tabla5[[#This Row],[Trenes Corridos]]</f>
        <v>0.92486869148207351</v>
      </c>
      <c r="AG183" s="15">
        <f>+Tabla5[[#This Row],[Trenes Corridos]]/Tabla5[[#This Row],[Trenes Programados]]</f>
        <v>0.97680124916350664</v>
      </c>
      <c r="AH183" s="16"/>
      <c r="AI183" s="16"/>
      <c r="AJ183" s="16">
        <v>4483</v>
      </c>
      <c r="AK183" s="16">
        <f t="shared" si="57"/>
        <v>104</v>
      </c>
      <c r="AL183" s="16">
        <v>4379</v>
      </c>
      <c r="AM183" s="16">
        <v>4050</v>
      </c>
      <c r="AN183" s="16">
        <f t="shared" si="58"/>
        <v>329</v>
      </c>
      <c r="AO183" s="16"/>
      <c r="AP183" s="17"/>
      <c r="AQ183" s="18">
        <v>2007</v>
      </c>
      <c r="AR183" s="21" t="s">
        <v>45</v>
      </c>
      <c r="AS183" s="15">
        <f>+Tabla6[[#This Row],[Trenes Puntuales]]/Tabla6[[#This Row],[Trenes Programados]]</f>
        <v>0.93418193107730518</v>
      </c>
      <c r="AT183" s="15">
        <f>+Tabla6[[#This Row],[Trenes Puntuales]]/Tabla6[[#This Row],[Trenes Corridos]]</f>
        <v>0.9579751671442216</v>
      </c>
      <c r="AU183" s="15">
        <f>+Tabla6[[#This Row],[Trenes Corridos]]/Tabla6[[#This Row],[Trenes Programados]]</f>
        <v>0.97516299285936048</v>
      </c>
      <c r="AV183" s="16"/>
      <c r="AW183" s="16"/>
      <c r="AX183" s="16">
        <v>3221</v>
      </c>
      <c r="AY183" s="16">
        <f t="shared" si="59"/>
        <v>80</v>
      </c>
      <c r="AZ183" s="16">
        <v>3141</v>
      </c>
      <c r="BA183" s="16">
        <v>3009</v>
      </c>
      <c r="BB183" s="16">
        <f t="shared" si="60"/>
        <v>132</v>
      </c>
      <c r="BC183" s="16"/>
      <c r="BD183" s="17"/>
      <c r="BE183" s="18">
        <v>2007</v>
      </c>
      <c r="BF183" s="21" t="s">
        <v>45</v>
      </c>
      <c r="BG183" s="15">
        <f>+MIT_Vic_Cap[[#This Row],[Trenes Puntuales]]/MIT_Vic_Cap[[#This Row],[Trenes Programados]]</f>
        <v>0.59109311740890691</v>
      </c>
      <c r="BH183" s="15">
        <f>+MIT_Vic_Cap[[#This Row],[Trenes Puntuales]]/MIT_Vic_Cap[[#This Row],[Trenes Corridos]]</f>
        <v>0.65914221218961622</v>
      </c>
      <c r="BI183" s="15">
        <f>+MIT_Vic_Cap[[#This Row],[Trenes Corridos]]/MIT_Vic_Cap[[#This Row],[Trenes Programados]]</f>
        <v>0.89676113360323884</v>
      </c>
      <c r="BJ183" s="16"/>
      <c r="BK183" s="16"/>
      <c r="BL183" s="16">
        <v>988</v>
      </c>
      <c r="BM183" s="16">
        <f t="shared" si="61"/>
        <v>102</v>
      </c>
      <c r="BN183" s="16">
        <v>886</v>
      </c>
      <c r="BO183" s="16">
        <v>584</v>
      </c>
      <c r="BP183" s="16">
        <f t="shared" si="62"/>
        <v>302</v>
      </c>
      <c r="BQ183" s="16"/>
      <c r="BR183" s="17"/>
      <c r="BS183" s="18">
        <v>2007</v>
      </c>
      <c r="BT183" s="21" t="s">
        <v>45</v>
      </c>
      <c r="BU183" s="15">
        <f>+Tabla8[[#This Row],[Trenes Puntuales]]/Tabla8[[#This Row],[Trenes Programados]]</f>
        <v>0.81485355648535562</v>
      </c>
      <c r="BV183" s="15">
        <f>+Tabla8[[#This Row],[Trenes Puntuales]]/Tabla8[[#This Row],[Trenes Corridos]]</f>
        <v>0.84950926935659765</v>
      </c>
      <c r="BW183" s="15">
        <f>+Tabla8[[#This Row],[Trenes Corridos]]/Tabla8[[#This Row],[Trenes Programados]]</f>
        <v>0.95920502092050208</v>
      </c>
      <c r="BX183" s="16"/>
      <c r="BY183" s="16"/>
      <c r="BZ183" s="16">
        <v>956</v>
      </c>
      <c r="CA183" s="16">
        <f t="shared" si="63"/>
        <v>39</v>
      </c>
      <c r="CB183" s="16">
        <v>917</v>
      </c>
      <c r="CC183" s="16">
        <v>779</v>
      </c>
      <c r="CD183" s="16">
        <f t="shared" si="64"/>
        <v>138</v>
      </c>
      <c r="CI183" s="40"/>
      <c r="CJ183" s="40"/>
      <c r="CK183" s="40"/>
      <c r="CL183" s="40"/>
      <c r="CM183" s="40"/>
    </row>
    <row r="184" spans="1:91" s="18" customFormat="1" ht="15" customHeight="1">
      <c r="A184" s="18">
        <v>2007</v>
      </c>
      <c r="B184" s="21" t="s">
        <v>46</v>
      </c>
      <c r="C184" s="15">
        <f>+MITRE[[#This Row],[Trenes Puntuales]]/MITRE[[#This Row],[Trenes Programados]]</f>
        <v>0.8910187667560322</v>
      </c>
      <c r="D184" s="15">
        <f>+MITRE[[#This Row],[Trenes Puntuales]]/MITRE[[#This Row],[Trenes Corridos]]</f>
        <v>0.9151235630205824</v>
      </c>
      <c r="E184" s="15">
        <f>+MITRE[[#This Row],[Trenes Corridos]]/MITRE[[#This Row],[Trenes Programados]]</f>
        <v>0.97365951742627344</v>
      </c>
      <c r="F184" s="16">
        <f>+Tabla4[[#This Row],[Trenes Programados por Día Hábil]]+Tabla5[[#This Row],[Trenes Programados por Día Hábil]]+Tabla6[[#This Row],[Trenes Programados por Día Hábil]]+MIT_Vic_Cap[[#This Row],[Trenes Programados por Día Hábil]]+Tabla8[[#This Row],[Trenes Programados por Día Hábil]]</f>
        <v>0</v>
      </c>
      <c r="G18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4" s="16">
        <f t="shared" si="20"/>
        <v>14920</v>
      </c>
      <c r="I184" s="16">
        <f t="shared" si="21"/>
        <v>393</v>
      </c>
      <c r="J184" s="16">
        <f t="shared" si="22"/>
        <v>14527</v>
      </c>
      <c r="K184" s="16">
        <f t="shared" si="23"/>
        <v>13294</v>
      </c>
      <c r="L184" s="16">
        <f t="shared" si="24"/>
        <v>1233</v>
      </c>
      <c r="M184" s="16"/>
      <c r="N184" s="17"/>
      <c r="O184" s="18">
        <v>2007</v>
      </c>
      <c r="P184" s="21" t="s">
        <v>46</v>
      </c>
      <c r="Q184" s="15">
        <f>+Tabla4[[#This Row],[Trenes Puntuales]]/Tabla4[[#This Row],[Trenes Programados]]</f>
        <v>0.90072992700729926</v>
      </c>
      <c r="R184" s="15">
        <f>+Tabla4[[#This Row],[Trenes Puntuales]]/Tabla4[[#This Row],[Trenes Corridos]]</f>
        <v>0.92227204783258598</v>
      </c>
      <c r="S184" s="15">
        <f>+Tabla4[[#This Row],[Trenes Corridos]]/Tabla4[[#This Row],[Trenes Programados]]</f>
        <v>0.97664233576642334</v>
      </c>
      <c r="T184" s="16"/>
      <c r="U184" s="16"/>
      <c r="V184" s="16">
        <v>5480</v>
      </c>
      <c r="W184" s="16">
        <f t="shared" si="55"/>
        <v>128</v>
      </c>
      <c r="X184" s="16">
        <v>5352</v>
      </c>
      <c r="Y184" s="16">
        <v>4936</v>
      </c>
      <c r="Z184" s="16">
        <f t="shared" si="56"/>
        <v>416</v>
      </c>
      <c r="AA184" s="16"/>
      <c r="AB184" s="17"/>
      <c r="AC184" s="18">
        <v>2007</v>
      </c>
      <c r="AD184" s="21" t="s">
        <v>46</v>
      </c>
      <c r="AE184" s="15">
        <f>+Tabla5[[#This Row],[Trenes Puntuales]]/Tabla5[[#This Row],[Trenes Programados]]</f>
        <v>0.89849795175238967</v>
      </c>
      <c r="AF184" s="15">
        <f>+Tabla5[[#This Row],[Trenes Puntuales]]/Tabla5[[#This Row],[Trenes Corridos]]</f>
        <v>0.91537213076744728</v>
      </c>
      <c r="AG184" s="15">
        <f>+Tabla5[[#This Row],[Trenes Corridos]]/Tabla5[[#This Row],[Trenes Programados]]</f>
        <v>0.98156577150659996</v>
      </c>
      <c r="AH184" s="16"/>
      <c r="AI184" s="16"/>
      <c r="AJ184" s="16">
        <v>4394</v>
      </c>
      <c r="AK184" s="16">
        <f t="shared" si="57"/>
        <v>81</v>
      </c>
      <c r="AL184" s="16">
        <v>4313</v>
      </c>
      <c r="AM184" s="16">
        <v>3948</v>
      </c>
      <c r="AN184" s="16">
        <f t="shared" si="58"/>
        <v>365</v>
      </c>
      <c r="AO184" s="16"/>
      <c r="AP184" s="17"/>
      <c r="AQ184" s="18">
        <v>2007</v>
      </c>
      <c r="AR184" s="21" t="s">
        <v>46</v>
      </c>
      <c r="AS184" s="15">
        <f>+Tabla6[[#This Row],[Trenes Puntuales]]/Tabla6[[#This Row],[Trenes Programados]]</f>
        <v>0.94008922880815804</v>
      </c>
      <c r="AT184" s="15">
        <f>+Tabla6[[#This Row],[Trenes Puntuales]]/Tabla6[[#This Row],[Trenes Corridos]]</f>
        <v>0.95934959349593496</v>
      </c>
      <c r="AU184" s="15">
        <f>+Tabla6[[#This Row],[Trenes Corridos]]/Tabla6[[#This Row],[Trenes Programados]]</f>
        <v>0.9799235181644359</v>
      </c>
      <c r="AV184" s="16"/>
      <c r="AW184" s="16"/>
      <c r="AX184" s="16">
        <v>3138</v>
      </c>
      <c r="AY184" s="16">
        <f t="shared" si="59"/>
        <v>63</v>
      </c>
      <c r="AZ184" s="16">
        <v>3075</v>
      </c>
      <c r="BA184" s="16">
        <v>2950</v>
      </c>
      <c r="BB184" s="16">
        <f t="shared" si="60"/>
        <v>125</v>
      </c>
      <c r="BC184" s="16"/>
      <c r="BD184" s="17"/>
      <c r="BE184" s="18">
        <v>2007</v>
      </c>
      <c r="BF184" s="21" t="s">
        <v>46</v>
      </c>
      <c r="BG184" s="15">
        <f>+MIT_Vic_Cap[[#This Row],[Trenes Puntuales]]/MIT_Vic_Cap[[#This Row],[Trenes Programados]]</f>
        <v>0.6973140495867769</v>
      </c>
      <c r="BH184" s="15">
        <f>+MIT_Vic_Cap[[#This Row],[Trenes Puntuales]]/MIT_Vic_Cap[[#This Row],[Trenes Corridos]]</f>
        <v>0.76099210822998875</v>
      </c>
      <c r="BI184" s="15">
        <f>+MIT_Vic_Cap[[#This Row],[Trenes Corridos]]/MIT_Vic_Cap[[#This Row],[Trenes Programados]]</f>
        <v>0.91632231404958675</v>
      </c>
      <c r="BJ184" s="16"/>
      <c r="BK184" s="16"/>
      <c r="BL184" s="16">
        <v>968</v>
      </c>
      <c r="BM184" s="16">
        <f t="shared" si="61"/>
        <v>81</v>
      </c>
      <c r="BN184" s="16">
        <v>887</v>
      </c>
      <c r="BO184" s="16">
        <v>675</v>
      </c>
      <c r="BP184" s="16">
        <f t="shared" si="62"/>
        <v>212</v>
      </c>
      <c r="BQ184" s="16"/>
      <c r="BR184" s="17"/>
      <c r="BS184" s="18">
        <v>2007</v>
      </c>
      <c r="BT184" s="21" t="s">
        <v>46</v>
      </c>
      <c r="BU184" s="15">
        <f>+Tabla8[[#This Row],[Trenes Puntuales]]/Tabla8[[#This Row],[Trenes Programados]]</f>
        <v>0.83510638297872342</v>
      </c>
      <c r="BV184" s="15">
        <f>+Tabla8[[#This Row],[Trenes Puntuales]]/Tabla8[[#This Row],[Trenes Corridos]]</f>
        <v>0.87222222222222223</v>
      </c>
      <c r="BW184" s="15">
        <f>+Tabla8[[#This Row],[Trenes Corridos]]/Tabla8[[#This Row],[Trenes Programados]]</f>
        <v>0.95744680851063835</v>
      </c>
      <c r="BX184" s="16"/>
      <c r="BY184" s="16"/>
      <c r="BZ184" s="16">
        <v>940</v>
      </c>
      <c r="CA184" s="16">
        <f t="shared" si="63"/>
        <v>40</v>
      </c>
      <c r="CB184" s="16">
        <v>900</v>
      </c>
      <c r="CC184" s="16">
        <v>785</v>
      </c>
      <c r="CD184" s="16">
        <f t="shared" si="64"/>
        <v>115</v>
      </c>
      <c r="CI184" s="40"/>
      <c r="CJ184" s="40"/>
      <c r="CK184" s="40"/>
      <c r="CL184" s="40"/>
      <c r="CM184" s="40"/>
    </row>
    <row r="185" spans="1:91" s="18" customFormat="1" ht="15" customHeight="1">
      <c r="A185" s="18">
        <v>2007</v>
      </c>
      <c r="B185" s="21" t="s">
        <v>47</v>
      </c>
      <c r="C185" s="15">
        <f>+MITRE[[#This Row],[Trenes Puntuales]]/MITRE[[#This Row],[Trenes Programados]]</f>
        <v>0.89289816879518891</v>
      </c>
      <c r="D185" s="15">
        <f>+MITRE[[#This Row],[Trenes Puntuales]]/MITRE[[#This Row],[Trenes Corridos]]</f>
        <v>0.92496150076998462</v>
      </c>
      <c r="E185" s="15">
        <f>+MITRE[[#This Row],[Trenes Corridos]]/MITRE[[#This Row],[Trenes Programados]]</f>
        <v>0.96533549564159737</v>
      </c>
      <c r="F185" s="16">
        <f>+Tabla4[[#This Row],[Trenes Programados por Día Hábil]]+Tabla5[[#This Row],[Trenes Programados por Día Hábil]]+Tabla6[[#This Row],[Trenes Programados por Día Hábil]]+MIT_Vic_Cap[[#This Row],[Trenes Programados por Día Hábil]]+Tabla8[[#This Row],[Trenes Programados por Día Hábil]]</f>
        <v>0</v>
      </c>
      <c r="G18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5" s="16">
        <f t="shared" si="20"/>
        <v>14799</v>
      </c>
      <c r="I185" s="16">
        <f t="shared" si="21"/>
        <v>513</v>
      </c>
      <c r="J185" s="16">
        <f t="shared" si="22"/>
        <v>14286</v>
      </c>
      <c r="K185" s="16">
        <f t="shared" si="23"/>
        <v>13214</v>
      </c>
      <c r="L185" s="16">
        <f t="shared" si="24"/>
        <v>1072</v>
      </c>
      <c r="M185" s="16"/>
      <c r="N185" s="17"/>
      <c r="O185" s="18">
        <v>2007</v>
      </c>
      <c r="P185" s="21" t="s">
        <v>47</v>
      </c>
      <c r="Q185" s="15">
        <f>+Tabla4[[#This Row],[Trenes Puntuales]]/Tabla4[[#This Row],[Trenes Programados]]</f>
        <v>0.88946395563770797</v>
      </c>
      <c r="R185" s="15">
        <f>+Tabla4[[#This Row],[Trenes Puntuales]]/Tabla4[[#This Row],[Trenes Corridos]]</f>
        <v>0.92574066948826472</v>
      </c>
      <c r="S185" s="15">
        <f>+Tabla4[[#This Row],[Trenes Corridos]]/Tabla4[[#This Row],[Trenes Programados]]</f>
        <v>0.9608133086876155</v>
      </c>
      <c r="T185" s="16"/>
      <c r="U185" s="16"/>
      <c r="V185" s="16">
        <v>5410</v>
      </c>
      <c r="W185" s="16">
        <f t="shared" si="55"/>
        <v>212</v>
      </c>
      <c r="X185" s="16">
        <v>5198</v>
      </c>
      <c r="Y185" s="16">
        <v>4812</v>
      </c>
      <c r="Z185" s="16">
        <f t="shared" si="56"/>
        <v>386</v>
      </c>
      <c r="AA185" s="16"/>
      <c r="AB185" s="17"/>
      <c r="AC185" s="18">
        <v>2007</v>
      </c>
      <c r="AD185" s="21" t="s">
        <v>47</v>
      </c>
      <c r="AE185" s="15">
        <f>+Tabla5[[#This Row],[Trenes Puntuales]]/Tabla5[[#This Row],[Trenes Programados]]</f>
        <v>0.91503568961547321</v>
      </c>
      <c r="AF185" s="15">
        <f>+Tabla5[[#This Row],[Trenes Puntuales]]/Tabla5[[#This Row],[Trenes Corridos]]</f>
        <v>0.93925785866225475</v>
      </c>
      <c r="AG185" s="15">
        <f>+Tabla5[[#This Row],[Trenes Corridos]]/Tabla5[[#This Row],[Trenes Programados]]</f>
        <v>0.97421137462583463</v>
      </c>
      <c r="AH185" s="16"/>
      <c r="AI185" s="16"/>
      <c r="AJ185" s="16">
        <v>4343</v>
      </c>
      <c r="AK185" s="16">
        <f t="shared" si="57"/>
        <v>112</v>
      </c>
      <c r="AL185" s="16">
        <v>4231</v>
      </c>
      <c r="AM185" s="16">
        <v>3974</v>
      </c>
      <c r="AN185" s="16">
        <f t="shared" si="58"/>
        <v>257</v>
      </c>
      <c r="AO185" s="16"/>
      <c r="AP185" s="17"/>
      <c r="AQ185" s="18">
        <v>2007</v>
      </c>
      <c r="AR185" s="21" t="s">
        <v>47</v>
      </c>
      <c r="AS185" s="15">
        <f>+Tabla6[[#This Row],[Trenes Puntuales]]/Tabla6[[#This Row],[Trenes Programados]]</f>
        <v>0.9416219627642789</v>
      </c>
      <c r="AT185" s="15">
        <f>+Tabla6[[#This Row],[Trenes Puntuales]]/Tabla6[[#This Row],[Trenes Corridos]]</f>
        <v>0.96382428940568476</v>
      </c>
      <c r="AU185" s="15">
        <f>+Tabla6[[#This Row],[Trenes Corridos]]/Tabla6[[#This Row],[Trenes Programados]]</f>
        <v>0.9769643420637425</v>
      </c>
      <c r="AV185" s="16"/>
      <c r="AW185" s="16"/>
      <c r="AX185" s="16">
        <v>3169</v>
      </c>
      <c r="AY185" s="16">
        <f t="shared" si="59"/>
        <v>73</v>
      </c>
      <c r="AZ185" s="16">
        <v>3096</v>
      </c>
      <c r="BA185" s="16">
        <v>2984</v>
      </c>
      <c r="BB185" s="16">
        <f t="shared" si="60"/>
        <v>112</v>
      </c>
      <c r="BC185" s="16"/>
      <c r="BD185" s="17"/>
      <c r="BE185" s="18">
        <v>2007</v>
      </c>
      <c r="BF185" s="21" t="s">
        <v>47</v>
      </c>
      <c r="BG185" s="15">
        <f>+MIT_Vic_Cap[[#This Row],[Trenes Puntuales]]/MIT_Vic_Cap[[#This Row],[Trenes Programados]]</f>
        <v>0.70655567117585849</v>
      </c>
      <c r="BH185" s="15">
        <f>+MIT_Vic_Cap[[#This Row],[Trenes Puntuales]]/MIT_Vic_Cap[[#This Row],[Trenes Corridos]]</f>
        <v>0.77246871444823662</v>
      </c>
      <c r="BI185" s="15">
        <f>+MIT_Vic_Cap[[#This Row],[Trenes Corridos]]/MIT_Vic_Cap[[#This Row],[Trenes Programados]]</f>
        <v>0.91467221644120711</v>
      </c>
      <c r="BJ185" s="16"/>
      <c r="BK185" s="16"/>
      <c r="BL185" s="16">
        <v>961</v>
      </c>
      <c r="BM185" s="16">
        <f t="shared" si="61"/>
        <v>82</v>
      </c>
      <c r="BN185" s="16">
        <v>879</v>
      </c>
      <c r="BO185" s="16">
        <v>679</v>
      </c>
      <c r="BP185" s="16">
        <f t="shared" si="62"/>
        <v>200</v>
      </c>
      <c r="BQ185" s="16"/>
      <c r="BR185" s="17"/>
      <c r="BS185" s="18">
        <v>2007</v>
      </c>
      <c r="BT185" s="21" t="s">
        <v>47</v>
      </c>
      <c r="BU185" s="15">
        <f>+Tabla8[[#This Row],[Trenes Puntuales]]/Tabla8[[#This Row],[Trenes Programados]]</f>
        <v>0.83515283842794763</v>
      </c>
      <c r="BV185" s="15">
        <f>+Tabla8[[#This Row],[Trenes Puntuales]]/Tabla8[[#This Row],[Trenes Corridos]]</f>
        <v>0.86734693877551017</v>
      </c>
      <c r="BW185" s="15">
        <f>+Tabla8[[#This Row],[Trenes Corridos]]/Tabla8[[#This Row],[Trenes Programados]]</f>
        <v>0.96288209606986896</v>
      </c>
      <c r="BX185" s="16"/>
      <c r="BY185" s="16"/>
      <c r="BZ185" s="16">
        <v>916</v>
      </c>
      <c r="CA185" s="16">
        <f t="shared" si="63"/>
        <v>34</v>
      </c>
      <c r="CB185" s="16">
        <v>882</v>
      </c>
      <c r="CC185" s="16">
        <v>765</v>
      </c>
      <c r="CD185" s="16">
        <f t="shared" si="64"/>
        <v>117</v>
      </c>
      <c r="CI185" s="40"/>
      <c r="CJ185" s="40"/>
      <c r="CK185" s="40"/>
      <c r="CL185" s="40"/>
      <c r="CM185" s="40"/>
    </row>
    <row r="186" spans="1:91" s="18" customFormat="1" ht="15" customHeight="1">
      <c r="A186" s="18">
        <v>2008</v>
      </c>
      <c r="B186" s="21" t="s">
        <v>36</v>
      </c>
      <c r="C186" s="15">
        <f>+MITRE[[#This Row],[Trenes Puntuales]]/MITRE[[#This Row],[Trenes Programados]]</f>
        <v>0.91932839247065001</v>
      </c>
      <c r="D186" s="15">
        <f>+MITRE[[#This Row],[Trenes Puntuales]]/MITRE[[#This Row],[Trenes Corridos]]</f>
        <v>0.94193938579396541</v>
      </c>
      <c r="E186" s="15">
        <f>+MITRE[[#This Row],[Trenes Corridos]]/MITRE[[#This Row],[Trenes Programados]]</f>
        <v>0.9759952777595593</v>
      </c>
      <c r="F186" s="16">
        <f>+Tabla4[[#This Row],[Trenes Programados por Día Hábil]]+Tabla5[[#This Row],[Trenes Programados por Día Hábil]]+Tabla6[[#This Row],[Trenes Programados por Día Hábil]]+MIT_Vic_Cap[[#This Row],[Trenes Programados por Día Hábil]]+Tabla8[[#This Row],[Trenes Programados por Día Hábil]]</f>
        <v>0</v>
      </c>
      <c r="G18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6" s="16">
        <f t="shared" si="20"/>
        <v>15247</v>
      </c>
      <c r="I186" s="16">
        <f t="shared" si="21"/>
        <v>366</v>
      </c>
      <c r="J186" s="16">
        <f t="shared" si="22"/>
        <v>14881</v>
      </c>
      <c r="K186" s="16">
        <f t="shared" si="23"/>
        <v>14017</v>
      </c>
      <c r="L186" s="16">
        <f t="shared" si="24"/>
        <v>864</v>
      </c>
      <c r="M186" s="16"/>
      <c r="N186" s="17"/>
      <c r="O186" s="18">
        <v>2008</v>
      </c>
      <c r="P186" s="21" t="s">
        <v>36</v>
      </c>
      <c r="Q186" s="15">
        <f>+Tabla4[[#This Row],[Trenes Puntuales]]/Tabla4[[#This Row],[Trenes Programados]]</f>
        <v>0.91144901610017892</v>
      </c>
      <c r="R186" s="15">
        <f>+Tabla4[[#This Row],[Trenes Puntuales]]/Tabla4[[#This Row],[Trenes Corridos]]</f>
        <v>0.93417675100843423</v>
      </c>
      <c r="S186" s="15">
        <f>+Tabla4[[#This Row],[Trenes Corridos]]/Tabla4[[#This Row],[Trenes Programados]]</f>
        <v>0.97567084078711985</v>
      </c>
      <c r="T186" s="16"/>
      <c r="U186" s="16"/>
      <c r="V186" s="16">
        <v>5590</v>
      </c>
      <c r="W186" s="16">
        <f t="shared" ref="W186:W197" si="65">V186-X186</f>
        <v>136</v>
      </c>
      <c r="X186" s="16">
        <v>5454</v>
      </c>
      <c r="Y186" s="16">
        <v>5095</v>
      </c>
      <c r="Z186" s="16">
        <f t="shared" ref="Z186:Z197" si="66">X186-Y186</f>
        <v>359</v>
      </c>
      <c r="AA186" s="16"/>
      <c r="AB186" s="17"/>
      <c r="AC186" s="18">
        <v>2008</v>
      </c>
      <c r="AD186" s="21" t="s">
        <v>36</v>
      </c>
      <c r="AE186" s="15">
        <f>+Tabla5[[#This Row],[Trenes Puntuales]]/Tabla5[[#This Row],[Trenes Programados]]</f>
        <v>0.93285746152130267</v>
      </c>
      <c r="AF186" s="15">
        <f>+Tabla5[[#This Row],[Trenes Puntuales]]/Tabla5[[#This Row],[Trenes Corridos]]</f>
        <v>0.94615384615384612</v>
      </c>
      <c r="AG186" s="15">
        <f>+Tabla5[[#This Row],[Trenes Corridos]]/Tabla5[[#This Row],[Trenes Programados]]</f>
        <v>0.98594691055097028</v>
      </c>
      <c r="AH186" s="16"/>
      <c r="AI186" s="16"/>
      <c r="AJ186" s="16">
        <v>4483</v>
      </c>
      <c r="AK186" s="16">
        <f t="shared" ref="AK186:AK197" si="67">AJ186-AL186</f>
        <v>63</v>
      </c>
      <c r="AL186" s="16">
        <v>4420</v>
      </c>
      <c r="AM186" s="16">
        <v>4182</v>
      </c>
      <c r="AN186" s="16">
        <f t="shared" ref="AN186:AN197" si="68">AL186-AM186</f>
        <v>238</v>
      </c>
      <c r="AO186" s="16"/>
      <c r="AP186" s="17"/>
      <c r="AQ186" s="18">
        <v>2008</v>
      </c>
      <c r="AR186" s="21" t="s">
        <v>36</v>
      </c>
      <c r="AS186" s="15">
        <f>+Tabla6[[#This Row],[Trenes Puntuales]]/Tabla6[[#This Row],[Trenes Programados]]</f>
        <v>0.94442719652281903</v>
      </c>
      <c r="AT186" s="15">
        <f>+Tabla6[[#This Row],[Trenes Puntuales]]/Tabla6[[#This Row],[Trenes Corridos]]</f>
        <v>0.96817313812858052</v>
      </c>
      <c r="AU186" s="15">
        <f>+Tabla6[[#This Row],[Trenes Corridos]]/Tabla6[[#This Row],[Trenes Programados]]</f>
        <v>0.97547345544861841</v>
      </c>
      <c r="AV186" s="16"/>
      <c r="AW186" s="16"/>
      <c r="AX186" s="16">
        <v>3221</v>
      </c>
      <c r="AY186" s="16">
        <f t="shared" ref="AY186:AY197" si="69">AX186-AZ186</f>
        <v>79</v>
      </c>
      <c r="AZ186" s="16">
        <v>3142</v>
      </c>
      <c r="BA186" s="16">
        <v>3042</v>
      </c>
      <c r="BB186" s="16">
        <f t="shared" ref="BB186:BB197" si="70">AZ186-BA186</f>
        <v>100</v>
      </c>
      <c r="BC186" s="16"/>
      <c r="BD186" s="17"/>
      <c r="BE186" s="18">
        <v>2008</v>
      </c>
      <c r="BF186" s="21" t="s">
        <v>36</v>
      </c>
      <c r="BG186" s="15">
        <f>+MIT_Vic_Cap[[#This Row],[Trenes Puntuales]]/MIT_Vic_Cap[[#This Row],[Trenes Programados]]</f>
        <v>0.87662988966900701</v>
      </c>
      <c r="BH186" s="15">
        <f>+MIT_Vic_Cap[[#This Row],[Trenes Puntuales]]/MIT_Vic_Cap[[#This Row],[Trenes Corridos]]</f>
        <v>0.91806722689075626</v>
      </c>
      <c r="BI186" s="15">
        <f>+MIT_Vic_Cap[[#This Row],[Trenes Corridos]]/MIT_Vic_Cap[[#This Row],[Trenes Programados]]</f>
        <v>0.95486459378134403</v>
      </c>
      <c r="BJ186" s="16"/>
      <c r="BK186" s="16"/>
      <c r="BL186" s="16">
        <v>997</v>
      </c>
      <c r="BM186" s="16">
        <f t="shared" ref="BM186:BM197" si="71">BL186-BN186</f>
        <v>45</v>
      </c>
      <c r="BN186" s="16">
        <v>952</v>
      </c>
      <c r="BO186" s="16">
        <v>874</v>
      </c>
      <c r="BP186" s="16">
        <f t="shared" ref="BP186:BP197" si="72">BN186-BO186</f>
        <v>78</v>
      </c>
      <c r="BQ186" s="16"/>
      <c r="BR186" s="17"/>
      <c r="BS186" s="18">
        <v>2008</v>
      </c>
      <c r="BT186" s="21" t="s">
        <v>36</v>
      </c>
      <c r="BU186" s="15">
        <f>+Tabla8[[#This Row],[Trenes Puntuales]]/Tabla8[[#This Row],[Trenes Programados]]</f>
        <v>0.86192468619246865</v>
      </c>
      <c r="BV186" s="15">
        <f>+Tabla8[[#This Row],[Trenes Puntuales]]/Tabla8[[#This Row],[Trenes Corridos]]</f>
        <v>0.90251916757940853</v>
      </c>
      <c r="BW186" s="15">
        <f>+Tabla8[[#This Row],[Trenes Corridos]]/Tabla8[[#This Row],[Trenes Programados]]</f>
        <v>0.95502092050209209</v>
      </c>
      <c r="BX186" s="16"/>
      <c r="BY186" s="16"/>
      <c r="BZ186" s="16">
        <v>956</v>
      </c>
      <c r="CA186" s="16">
        <f t="shared" ref="CA186:CA197" si="73">BZ186-CB186</f>
        <v>43</v>
      </c>
      <c r="CB186" s="16">
        <v>913</v>
      </c>
      <c r="CC186" s="16">
        <v>824</v>
      </c>
      <c r="CD186" s="16">
        <f t="shared" ref="CD186:CD197" si="74">CB186-CC186</f>
        <v>89</v>
      </c>
      <c r="CI186" s="40"/>
      <c r="CJ186" s="40"/>
      <c r="CK186" s="40"/>
      <c r="CL186" s="40"/>
      <c r="CM186" s="40"/>
    </row>
    <row r="187" spans="1:91" s="18" customFormat="1" ht="15" customHeight="1">
      <c r="A187" s="18">
        <v>2008</v>
      </c>
      <c r="B187" s="21" t="s">
        <v>37</v>
      </c>
      <c r="C187" s="15">
        <f>+MITRE[[#This Row],[Trenes Puntuales]]/MITRE[[#This Row],[Trenes Programados]]</f>
        <v>0.91737317581653921</v>
      </c>
      <c r="D187" s="15">
        <f>+MITRE[[#This Row],[Trenes Puntuales]]/MITRE[[#This Row],[Trenes Corridos]]</f>
        <v>0.93777083185337784</v>
      </c>
      <c r="E187" s="15">
        <f>+MITRE[[#This Row],[Trenes Corridos]]/MITRE[[#This Row],[Trenes Programados]]</f>
        <v>0.97824878387769287</v>
      </c>
      <c r="F187" s="16">
        <f>+Tabla4[[#This Row],[Trenes Programados por Día Hábil]]+Tabla5[[#This Row],[Trenes Programados por Día Hábil]]+Tabla6[[#This Row],[Trenes Programados por Día Hábil]]+MIT_Vic_Cap[[#This Row],[Trenes Programados por Día Hábil]]+Tabla8[[#This Row],[Trenes Programados por Día Hábil]]</f>
        <v>0</v>
      </c>
      <c r="G18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7" s="16">
        <f t="shared" si="20"/>
        <v>14390</v>
      </c>
      <c r="I187" s="16">
        <f t="shared" si="21"/>
        <v>313</v>
      </c>
      <c r="J187" s="16">
        <f t="shared" si="22"/>
        <v>14077</v>
      </c>
      <c r="K187" s="16">
        <f t="shared" si="23"/>
        <v>13201</v>
      </c>
      <c r="L187" s="16">
        <f t="shared" si="24"/>
        <v>876</v>
      </c>
      <c r="M187" s="16"/>
      <c r="N187" s="17"/>
      <c r="O187" s="18">
        <v>2008</v>
      </c>
      <c r="P187" s="21" t="s">
        <v>37</v>
      </c>
      <c r="Q187" s="15">
        <f>+Tabla4[[#This Row],[Trenes Puntuales]]/Tabla4[[#This Row],[Trenes Programados]]</f>
        <v>0.90625</v>
      </c>
      <c r="R187" s="15">
        <f>+Tabla4[[#This Row],[Trenes Puntuales]]/Tabla4[[#This Row],[Trenes Corridos]]</f>
        <v>0.92768514928266765</v>
      </c>
      <c r="S187" s="15">
        <f>+Tabla4[[#This Row],[Trenes Corridos]]/Tabla4[[#This Row],[Trenes Programados]]</f>
        <v>0.97689393939393943</v>
      </c>
      <c r="T187" s="16"/>
      <c r="U187" s="16"/>
      <c r="V187" s="16">
        <v>5280</v>
      </c>
      <c r="W187" s="16">
        <f t="shared" si="65"/>
        <v>122</v>
      </c>
      <c r="X187" s="16">
        <v>5158</v>
      </c>
      <c r="Y187" s="16">
        <v>4785</v>
      </c>
      <c r="Z187" s="16">
        <f t="shared" si="66"/>
        <v>373</v>
      </c>
      <c r="AA187" s="16"/>
      <c r="AB187" s="17"/>
      <c r="AC187" s="18">
        <v>2008</v>
      </c>
      <c r="AD187" s="21" t="s">
        <v>37</v>
      </c>
      <c r="AE187" s="15">
        <f>+Tabla5[[#This Row],[Trenes Puntuales]]/Tabla5[[#This Row],[Trenes Programados]]</f>
        <v>0.93482880755608033</v>
      </c>
      <c r="AF187" s="15">
        <f>+Tabla5[[#This Row],[Trenes Puntuales]]/Tabla5[[#This Row],[Trenes Corridos]]</f>
        <v>0.94985604606525909</v>
      </c>
      <c r="AG187" s="15">
        <f>+Tabla5[[#This Row],[Trenes Corridos]]/Tabla5[[#This Row],[Trenes Programados]]</f>
        <v>0.98417945690672959</v>
      </c>
      <c r="AH187" s="16"/>
      <c r="AI187" s="16"/>
      <c r="AJ187" s="16">
        <v>4235</v>
      </c>
      <c r="AK187" s="16">
        <f t="shared" si="67"/>
        <v>67</v>
      </c>
      <c r="AL187" s="16">
        <v>4168</v>
      </c>
      <c r="AM187" s="16">
        <v>3959</v>
      </c>
      <c r="AN187" s="16">
        <f t="shared" si="68"/>
        <v>209</v>
      </c>
      <c r="AO187" s="16"/>
      <c r="AP187" s="17"/>
      <c r="AQ187" s="18">
        <v>2008</v>
      </c>
      <c r="AR187" s="21" t="s">
        <v>37</v>
      </c>
      <c r="AS187" s="15">
        <f>+Tabla6[[#This Row],[Trenes Puntuales]]/Tabla6[[#This Row],[Trenes Programados]]</f>
        <v>0.94486629250577747</v>
      </c>
      <c r="AT187" s="15">
        <f>+Tabla6[[#This Row],[Trenes Puntuales]]/Tabla6[[#This Row],[Trenes Corridos]]</f>
        <v>0.97148676171079429</v>
      </c>
      <c r="AU187" s="15">
        <f>+Tabla6[[#This Row],[Trenes Corridos]]/Tabla6[[#This Row],[Trenes Programados]]</f>
        <v>0.97259821723341033</v>
      </c>
      <c r="AV187" s="16"/>
      <c r="AW187" s="16"/>
      <c r="AX187" s="16">
        <v>3029</v>
      </c>
      <c r="AY187" s="16">
        <f t="shared" si="69"/>
        <v>83</v>
      </c>
      <c r="AZ187" s="16">
        <v>2946</v>
      </c>
      <c r="BA187" s="16">
        <v>2862</v>
      </c>
      <c r="BB187" s="16">
        <f t="shared" si="70"/>
        <v>84</v>
      </c>
      <c r="BC187" s="16"/>
      <c r="BD187" s="17"/>
      <c r="BE187" s="18">
        <v>2008</v>
      </c>
      <c r="BF187" s="21" t="s">
        <v>37</v>
      </c>
      <c r="BG187" s="15">
        <f>+MIT_Vic_Cap[[#This Row],[Trenes Puntuales]]/MIT_Vic_Cap[[#This Row],[Trenes Programados]]</f>
        <v>0.92356687898089174</v>
      </c>
      <c r="BH187" s="15">
        <f>+MIT_Vic_Cap[[#This Row],[Trenes Puntuales]]/MIT_Vic_Cap[[#This Row],[Trenes Corridos]]</f>
        <v>0.94462540716612375</v>
      </c>
      <c r="BI187" s="15">
        <f>+MIT_Vic_Cap[[#This Row],[Trenes Corridos]]/MIT_Vic_Cap[[#This Row],[Trenes Programados]]</f>
        <v>0.97770700636942676</v>
      </c>
      <c r="BJ187" s="16"/>
      <c r="BK187" s="16"/>
      <c r="BL187" s="16">
        <v>942</v>
      </c>
      <c r="BM187" s="16">
        <f t="shared" si="71"/>
        <v>21</v>
      </c>
      <c r="BN187" s="16">
        <v>921</v>
      </c>
      <c r="BO187" s="16">
        <v>870</v>
      </c>
      <c r="BP187" s="16">
        <f t="shared" si="72"/>
        <v>51</v>
      </c>
      <c r="BQ187" s="16"/>
      <c r="BR187" s="17"/>
      <c r="BS187" s="18">
        <v>2008</v>
      </c>
      <c r="BT187" s="21" t="s">
        <v>37</v>
      </c>
      <c r="BU187" s="15">
        <f>+Tabla8[[#This Row],[Trenes Puntuales]]/Tabla8[[#This Row],[Trenes Programados]]</f>
        <v>0.80199115044247793</v>
      </c>
      <c r="BV187" s="15">
        <f>+Tabla8[[#This Row],[Trenes Puntuales]]/Tabla8[[#This Row],[Trenes Corridos]]</f>
        <v>0.82013574660633481</v>
      </c>
      <c r="BW187" s="15">
        <f>+Tabla8[[#This Row],[Trenes Corridos]]/Tabla8[[#This Row],[Trenes Programados]]</f>
        <v>0.97787610619469023</v>
      </c>
      <c r="BX187" s="16"/>
      <c r="BY187" s="16"/>
      <c r="BZ187" s="16">
        <v>904</v>
      </c>
      <c r="CA187" s="16">
        <f t="shared" si="73"/>
        <v>20</v>
      </c>
      <c r="CB187" s="16">
        <v>884</v>
      </c>
      <c r="CC187" s="16">
        <v>725</v>
      </c>
      <c r="CD187" s="16">
        <f t="shared" si="74"/>
        <v>159</v>
      </c>
      <c r="CI187" s="40"/>
      <c r="CJ187" s="40"/>
      <c r="CK187" s="40"/>
      <c r="CL187" s="40"/>
      <c r="CM187" s="40"/>
    </row>
    <row r="188" spans="1:91" s="18" customFormat="1" ht="15" customHeight="1">
      <c r="A188" s="18">
        <v>2008</v>
      </c>
      <c r="B188" s="21" t="s">
        <v>38</v>
      </c>
      <c r="C188" s="15">
        <f>+MITRE[[#This Row],[Trenes Puntuales]]/MITRE[[#This Row],[Trenes Programados]]</f>
        <v>0.90262782644123041</v>
      </c>
      <c r="D188" s="15">
        <f>+MITRE[[#This Row],[Trenes Puntuales]]/MITRE[[#This Row],[Trenes Corridos]]</f>
        <v>0.92331735778287138</v>
      </c>
      <c r="E188" s="15">
        <f>+MITRE[[#This Row],[Trenes Corridos]]/MITRE[[#This Row],[Trenes Programados]]</f>
        <v>0.97759217763291917</v>
      </c>
      <c r="F188" s="16">
        <f>+Tabla4[[#This Row],[Trenes Programados por Día Hábil]]+Tabla5[[#This Row],[Trenes Programados por Día Hábil]]+Tabla6[[#This Row],[Trenes Programados por Día Hábil]]+MIT_Vic_Cap[[#This Row],[Trenes Programados por Día Hábil]]+Tabla8[[#This Row],[Trenes Programados por Día Hábil]]</f>
        <v>0</v>
      </c>
      <c r="G18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8" s="16">
        <f t="shared" si="20"/>
        <v>14727</v>
      </c>
      <c r="I188" s="16">
        <f t="shared" si="21"/>
        <v>330</v>
      </c>
      <c r="J188" s="16">
        <f t="shared" si="22"/>
        <v>14397</v>
      </c>
      <c r="K188" s="16">
        <f t="shared" si="23"/>
        <v>13293</v>
      </c>
      <c r="L188" s="16">
        <f t="shared" si="24"/>
        <v>1104</v>
      </c>
      <c r="M188" s="16"/>
      <c r="N188" s="17"/>
      <c r="O188" s="18">
        <v>2008</v>
      </c>
      <c r="P188" s="21" t="s">
        <v>38</v>
      </c>
      <c r="Q188" s="15">
        <f>+Tabla4[[#This Row],[Trenes Puntuales]]/Tabla4[[#This Row],[Trenes Programados]]</f>
        <v>0.87225325884543758</v>
      </c>
      <c r="R188" s="15">
        <f>+Tabla4[[#This Row],[Trenes Puntuales]]/Tabla4[[#This Row],[Trenes Corridos]]</f>
        <v>0.90250481695568396</v>
      </c>
      <c r="S188" s="15">
        <f>+Tabla4[[#This Row],[Trenes Corridos]]/Tabla4[[#This Row],[Trenes Programados]]</f>
        <v>0.96648044692737434</v>
      </c>
      <c r="T188" s="16"/>
      <c r="U188" s="16"/>
      <c r="V188" s="16">
        <v>5370</v>
      </c>
      <c r="W188" s="16">
        <f t="shared" si="65"/>
        <v>180</v>
      </c>
      <c r="X188" s="16">
        <v>5190</v>
      </c>
      <c r="Y188" s="16">
        <v>4684</v>
      </c>
      <c r="Z188" s="16">
        <f t="shared" si="66"/>
        <v>506</v>
      </c>
      <c r="AA188" s="16"/>
      <c r="AB188" s="17"/>
      <c r="AC188" s="18">
        <v>2008</v>
      </c>
      <c r="AD188" s="21" t="s">
        <v>38</v>
      </c>
      <c r="AE188" s="15">
        <f>+Tabla5[[#This Row],[Trenes Puntuales]]/Tabla5[[#This Row],[Trenes Programados]]</f>
        <v>0.91201667052558466</v>
      </c>
      <c r="AF188" s="15">
        <f>+Tabla5[[#This Row],[Trenes Puntuales]]/Tabla5[[#This Row],[Trenes Corridos]]</f>
        <v>0.92660550458715596</v>
      </c>
      <c r="AG188" s="15">
        <f>+Tabla5[[#This Row],[Trenes Corridos]]/Tabla5[[#This Row],[Trenes Programados]]</f>
        <v>0.98425561472563095</v>
      </c>
      <c r="AH188" s="16"/>
      <c r="AI188" s="16"/>
      <c r="AJ188" s="16">
        <v>4319</v>
      </c>
      <c r="AK188" s="16">
        <f t="shared" si="67"/>
        <v>68</v>
      </c>
      <c r="AL188" s="16">
        <v>4251</v>
      </c>
      <c r="AM188" s="16">
        <v>3939</v>
      </c>
      <c r="AN188" s="16">
        <f t="shared" si="68"/>
        <v>312</v>
      </c>
      <c r="AO188" s="16"/>
      <c r="AP188" s="17"/>
      <c r="AQ188" s="18">
        <v>2008</v>
      </c>
      <c r="AR188" s="21" t="s">
        <v>38</v>
      </c>
      <c r="AS188" s="15">
        <f>+Tabla6[[#This Row],[Trenes Puntuales]]/Tabla6[[#This Row],[Trenes Programados]]</f>
        <v>0.9512966476913346</v>
      </c>
      <c r="AT188" s="15">
        <f>+Tabla6[[#This Row],[Trenes Puntuales]]/Tabla6[[#This Row],[Trenes Corridos]]</f>
        <v>0.96472097498396403</v>
      </c>
      <c r="AU188" s="15">
        <f>+Tabla6[[#This Row],[Trenes Corridos]]/Tabla6[[#This Row],[Trenes Programados]]</f>
        <v>0.98608475648323846</v>
      </c>
      <c r="AV188" s="16"/>
      <c r="AW188" s="16"/>
      <c r="AX188" s="16">
        <v>3162</v>
      </c>
      <c r="AY188" s="16">
        <f t="shared" si="69"/>
        <v>44</v>
      </c>
      <c r="AZ188" s="16">
        <v>3118</v>
      </c>
      <c r="BA188" s="16">
        <v>3008</v>
      </c>
      <c r="BB188" s="16">
        <f t="shared" si="70"/>
        <v>110</v>
      </c>
      <c r="BC188" s="16"/>
      <c r="BD188" s="17"/>
      <c r="BE188" s="18">
        <v>2008</v>
      </c>
      <c r="BF188" s="21" t="s">
        <v>38</v>
      </c>
      <c r="BG188" s="15">
        <f>+MIT_Vic_Cap[[#This Row],[Trenes Puntuales]]/MIT_Vic_Cap[[#This Row],[Trenes Programados]]</f>
        <v>0.88512820512820511</v>
      </c>
      <c r="BH188" s="15">
        <f>+MIT_Vic_Cap[[#This Row],[Trenes Puntuales]]/MIT_Vic_Cap[[#This Row],[Trenes Corridos]]</f>
        <v>0.91322751322751328</v>
      </c>
      <c r="BI188" s="15">
        <f>+MIT_Vic_Cap[[#This Row],[Trenes Corridos]]/MIT_Vic_Cap[[#This Row],[Trenes Programados]]</f>
        <v>0.96923076923076923</v>
      </c>
      <c r="BJ188" s="16"/>
      <c r="BK188" s="16"/>
      <c r="BL188" s="16">
        <v>975</v>
      </c>
      <c r="BM188" s="16">
        <f t="shared" si="71"/>
        <v>30</v>
      </c>
      <c r="BN188" s="16">
        <v>945</v>
      </c>
      <c r="BO188" s="16">
        <v>863</v>
      </c>
      <c r="BP188" s="16">
        <f t="shared" si="72"/>
        <v>82</v>
      </c>
      <c r="BQ188" s="16"/>
      <c r="BR188" s="17"/>
      <c r="BS188" s="18">
        <v>2008</v>
      </c>
      <c r="BT188" s="21" t="s">
        <v>38</v>
      </c>
      <c r="BU188" s="15">
        <f>+Tabla8[[#This Row],[Trenes Puntuales]]/Tabla8[[#This Row],[Trenes Programados]]</f>
        <v>0.8867924528301887</v>
      </c>
      <c r="BV188" s="15">
        <f>+Tabla8[[#This Row],[Trenes Puntuales]]/Tabla8[[#This Row],[Trenes Corridos]]</f>
        <v>0.89473684210526316</v>
      </c>
      <c r="BW188" s="15">
        <f>+Tabla8[[#This Row],[Trenes Corridos]]/Tabla8[[#This Row],[Trenes Programados]]</f>
        <v>0.99112097669256383</v>
      </c>
      <c r="BX188" s="16"/>
      <c r="BY188" s="16"/>
      <c r="BZ188" s="16">
        <v>901</v>
      </c>
      <c r="CA188" s="16">
        <f t="shared" si="73"/>
        <v>8</v>
      </c>
      <c r="CB188" s="16">
        <v>893</v>
      </c>
      <c r="CC188" s="16">
        <v>799</v>
      </c>
      <c r="CD188" s="16">
        <f t="shared" si="74"/>
        <v>94</v>
      </c>
      <c r="CI188" s="40"/>
      <c r="CJ188" s="40"/>
      <c r="CK188" s="40"/>
      <c r="CL188" s="40"/>
      <c r="CM188" s="40"/>
    </row>
    <row r="189" spans="1:91" s="18" customFormat="1" ht="15" customHeight="1">
      <c r="A189" s="18">
        <v>2008</v>
      </c>
      <c r="B189" s="21" t="s">
        <v>39</v>
      </c>
      <c r="C189" s="15">
        <f>+MITRE[[#This Row],[Trenes Puntuales]]/MITRE[[#This Row],[Trenes Programados]]</f>
        <v>0.86625416468348404</v>
      </c>
      <c r="D189" s="15">
        <f>+MITRE[[#This Row],[Trenes Puntuales]]/MITRE[[#This Row],[Trenes Corridos]]</f>
        <v>0.89573226464177735</v>
      </c>
      <c r="E189" s="15">
        <f>+MITRE[[#This Row],[Trenes Corridos]]/MITRE[[#This Row],[Trenes Programados]]</f>
        <v>0.96709050112191475</v>
      </c>
      <c r="F189" s="16">
        <f>+Tabla4[[#This Row],[Trenes Programados por Día Hábil]]+Tabla5[[#This Row],[Trenes Programados por Día Hábil]]+Tabla6[[#This Row],[Trenes Programados por Día Hábil]]+MIT_Vic_Cap[[#This Row],[Trenes Programados por Día Hábil]]+Tabla8[[#This Row],[Trenes Programados por Día Hábil]]</f>
        <v>0</v>
      </c>
      <c r="G18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9" s="16">
        <f t="shared" si="20"/>
        <v>14707</v>
      </c>
      <c r="I189" s="16">
        <f t="shared" si="21"/>
        <v>484</v>
      </c>
      <c r="J189" s="16">
        <f t="shared" si="22"/>
        <v>14223</v>
      </c>
      <c r="K189" s="16">
        <f t="shared" si="23"/>
        <v>12740</v>
      </c>
      <c r="L189" s="16">
        <f t="shared" si="24"/>
        <v>1483</v>
      </c>
      <c r="M189" s="16"/>
      <c r="N189" s="17"/>
      <c r="O189" s="18">
        <v>2008</v>
      </c>
      <c r="P189" s="21" t="s">
        <v>39</v>
      </c>
      <c r="Q189" s="15">
        <f>+Tabla4[[#This Row],[Trenes Puntuales]]/Tabla4[[#This Row],[Trenes Programados]]</f>
        <v>0.80983302411873836</v>
      </c>
      <c r="R189" s="15">
        <f>+Tabla4[[#This Row],[Trenes Puntuales]]/Tabla4[[#This Row],[Trenes Corridos]]</f>
        <v>0.85353930387172472</v>
      </c>
      <c r="S189" s="15">
        <f>+Tabla4[[#This Row],[Trenes Corridos]]/Tabla4[[#This Row],[Trenes Programados]]</f>
        <v>0.94879406307977732</v>
      </c>
      <c r="T189" s="16"/>
      <c r="U189" s="16"/>
      <c r="V189" s="16">
        <v>5390</v>
      </c>
      <c r="W189" s="16">
        <f t="shared" si="65"/>
        <v>276</v>
      </c>
      <c r="X189" s="16">
        <v>5114</v>
      </c>
      <c r="Y189" s="16">
        <v>4365</v>
      </c>
      <c r="Z189" s="16">
        <f t="shared" si="66"/>
        <v>749</v>
      </c>
      <c r="AA189" s="16"/>
      <c r="AB189" s="17"/>
      <c r="AC189" s="18">
        <v>2008</v>
      </c>
      <c r="AD189" s="21" t="s">
        <v>39</v>
      </c>
      <c r="AE189" s="15">
        <f>+Tabla5[[#This Row],[Trenes Puntuales]]/Tabla5[[#This Row],[Trenes Programados]]</f>
        <v>0.8837962962962963</v>
      </c>
      <c r="AF189" s="15">
        <f>+Tabla5[[#This Row],[Trenes Puntuales]]/Tabla5[[#This Row],[Trenes Corridos]]</f>
        <v>0.89519343493552173</v>
      </c>
      <c r="AG189" s="15">
        <f>+Tabla5[[#This Row],[Trenes Corridos]]/Tabla5[[#This Row],[Trenes Programados]]</f>
        <v>0.98726851851851849</v>
      </c>
      <c r="AH189" s="16"/>
      <c r="AI189" s="16"/>
      <c r="AJ189" s="16">
        <v>4320</v>
      </c>
      <c r="AK189" s="16">
        <f t="shared" si="67"/>
        <v>55</v>
      </c>
      <c r="AL189" s="16">
        <v>4265</v>
      </c>
      <c r="AM189" s="16">
        <v>3818</v>
      </c>
      <c r="AN189" s="16">
        <f t="shared" si="68"/>
        <v>447</v>
      </c>
      <c r="AO189" s="16"/>
      <c r="AP189" s="17"/>
      <c r="AQ189" s="18">
        <v>2008</v>
      </c>
      <c r="AR189" s="21" t="s">
        <v>39</v>
      </c>
      <c r="AS189" s="15">
        <f>+Tabla6[[#This Row],[Trenes Puntuales]]/Tabla6[[#This Row],[Trenes Programados]]</f>
        <v>0.9177377892030848</v>
      </c>
      <c r="AT189" s="15">
        <f>+Tabla6[[#This Row],[Trenes Puntuales]]/Tabla6[[#This Row],[Trenes Corridos]]</f>
        <v>0.95550351288056201</v>
      </c>
      <c r="AU189" s="15">
        <f>+Tabla6[[#This Row],[Trenes Corridos]]/Tabla6[[#This Row],[Trenes Programados]]</f>
        <v>0.96047557840616971</v>
      </c>
      <c r="AV189" s="16"/>
      <c r="AW189" s="16"/>
      <c r="AX189" s="16">
        <v>3112</v>
      </c>
      <c r="AY189" s="16">
        <f t="shared" si="69"/>
        <v>123</v>
      </c>
      <c r="AZ189" s="16">
        <v>2989</v>
      </c>
      <c r="BA189" s="16">
        <v>2856</v>
      </c>
      <c r="BB189" s="16">
        <f t="shared" si="70"/>
        <v>133</v>
      </c>
      <c r="BC189" s="16"/>
      <c r="BD189" s="17"/>
      <c r="BE189" s="18">
        <v>2008</v>
      </c>
      <c r="BF189" s="21" t="s">
        <v>39</v>
      </c>
      <c r="BG189" s="15">
        <f>+MIT_Vic_Cap[[#This Row],[Trenes Puntuales]]/MIT_Vic_Cap[[#This Row],[Trenes Programados]]</f>
        <v>0.91398963730569949</v>
      </c>
      <c r="BH189" s="15">
        <f>+MIT_Vic_Cap[[#This Row],[Trenes Puntuales]]/MIT_Vic_Cap[[#This Row],[Trenes Corridos]]</f>
        <v>0.92647058823529416</v>
      </c>
      <c r="BI189" s="15">
        <f>+MIT_Vic_Cap[[#This Row],[Trenes Corridos]]/MIT_Vic_Cap[[#This Row],[Trenes Programados]]</f>
        <v>0.98652849740932647</v>
      </c>
      <c r="BJ189" s="16"/>
      <c r="BK189" s="16"/>
      <c r="BL189" s="16">
        <v>965</v>
      </c>
      <c r="BM189" s="16">
        <f t="shared" si="71"/>
        <v>13</v>
      </c>
      <c r="BN189" s="16">
        <v>952</v>
      </c>
      <c r="BO189" s="16">
        <v>882</v>
      </c>
      <c r="BP189" s="16">
        <f t="shared" si="72"/>
        <v>70</v>
      </c>
      <c r="BQ189" s="16"/>
      <c r="BR189" s="17"/>
      <c r="BS189" s="18">
        <v>2008</v>
      </c>
      <c r="BT189" s="21" t="s">
        <v>39</v>
      </c>
      <c r="BU189" s="15">
        <f>+Tabla8[[#This Row],[Trenes Puntuales]]/Tabla8[[#This Row],[Trenes Programados]]</f>
        <v>0.89021739130434785</v>
      </c>
      <c r="BV189" s="15">
        <f>+Tabla8[[#This Row],[Trenes Puntuales]]/Tabla8[[#This Row],[Trenes Corridos]]</f>
        <v>0.90697674418604646</v>
      </c>
      <c r="BW189" s="15">
        <f>+Tabla8[[#This Row],[Trenes Corridos]]/Tabla8[[#This Row],[Trenes Programados]]</f>
        <v>0.98152173913043483</v>
      </c>
      <c r="BX189" s="16"/>
      <c r="BY189" s="16"/>
      <c r="BZ189" s="16">
        <v>920</v>
      </c>
      <c r="CA189" s="16">
        <f t="shared" si="73"/>
        <v>17</v>
      </c>
      <c r="CB189" s="16">
        <v>903</v>
      </c>
      <c r="CC189" s="16">
        <v>819</v>
      </c>
      <c r="CD189" s="16">
        <f t="shared" si="74"/>
        <v>84</v>
      </c>
      <c r="CI189" s="40"/>
      <c r="CJ189" s="40"/>
      <c r="CK189" s="40"/>
      <c r="CL189" s="40"/>
      <c r="CM189" s="40"/>
    </row>
    <row r="190" spans="1:91" s="18" customFormat="1" ht="15" customHeight="1">
      <c r="A190" s="18">
        <v>2008</v>
      </c>
      <c r="B190" s="21" t="s">
        <v>40</v>
      </c>
      <c r="C190" s="15">
        <f>+MITRE[[#This Row],[Trenes Puntuales]]/MITRE[[#This Row],[Trenes Programados]]</f>
        <v>0.91310945437751534</v>
      </c>
      <c r="D190" s="15">
        <f>+MITRE[[#This Row],[Trenes Puntuales]]/MITRE[[#This Row],[Trenes Corridos]]</f>
        <v>0.93067043238517921</v>
      </c>
      <c r="E190" s="15">
        <f>+MITRE[[#This Row],[Trenes Corridos]]/MITRE[[#This Row],[Trenes Programados]]</f>
        <v>0.98113083063930862</v>
      </c>
      <c r="F190" s="16">
        <f>+Tabla4[[#This Row],[Trenes Programados por Día Hábil]]+Tabla5[[#This Row],[Trenes Programados por Día Hábil]]+Tabla6[[#This Row],[Trenes Programados por Día Hábil]]+MIT_Vic_Cap[[#This Row],[Trenes Programados por Día Hábil]]+Tabla8[[#This Row],[Trenes Programados por Día Hábil]]</f>
        <v>0</v>
      </c>
      <c r="G19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0" s="16">
        <f t="shared" si="20"/>
        <v>15157</v>
      </c>
      <c r="I190" s="16">
        <f t="shared" si="21"/>
        <v>286</v>
      </c>
      <c r="J190" s="16">
        <f t="shared" si="22"/>
        <v>14871</v>
      </c>
      <c r="K190" s="16">
        <f t="shared" si="23"/>
        <v>13840</v>
      </c>
      <c r="L190" s="16">
        <f t="shared" si="24"/>
        <v>1031</v>
      </c>
      <c r="M190" s="16"/>
      <c r="N190" s="17"/>
      <c r="O190" s="18">
        <v>2008</v>
      </c>
      <c r="P190" s="21" t="s">
        <v>40</v>
      </c>
      <c r="Q190" s="15">
        <f>+Tabla4[[#This Row],[Trenes Puntuales]]/Tabla4[[#This Row],[Trenes Programados]]</f>
        <v>0.90558558558558555</v>
      </c>
      <c r="R190" s="15">
        <f>+Tabla4[[#This Row],[Trenes Puntuales]]/Tabla4[[#This Row],[Trenes Corridos]]</f>
        <v>0.92169448010269572</v>
      </c>
      <c r="S190" s="15">
        <f>+Tabla4[[#This Row],[Trenes Corridos]]/Tabla4[[#This Row],[Trenes Programados]]</f>
        <v>0.98252252252252248</v>
      </c>
      <c r="T190" s="16"/>
      <c r="U190" s="16"/>
      <c r="V190" s="16">
        <v>5550</v>
      </c>
      <c r="W190" s="16">
        <f t="shared" si="65"/>
        <v>97</v>
      </c>
      <c r="X190" s="16">
        <v>5453</v>
      </c>
      <c r="Y190" s="16">
        <v>5026</v>
      </c>
      <c r="Z190" s="16">
        <f t="shared" si="66"/>
        <v>427</v>
      </c>
      <c r="AA190" s="16"/>
      <c r="AB190" s="17"/>
      <c r="AC190" s="18">
        <v>2008</v>
      </c>
      <c r="AD190" s="21" t="s">
        <v>40</v>
      </c>
      <c r="AE190" s="15">
        <f>+Tabla5[[#This Row],[Trenes Puntuales]]/Tabla5[[#This Row],[Trenes Programados]]</f>
        <v>0.91221374045801529</v>
      </c>
      <c r="AF190" s="15">
        <f>+Tabla5[[#This Row],[Trenes Puntuales]]/Tabla5[[#This Row],[Trenes Corridos]]</f>
        <v>0.92572339940760995</v>
      </c>
      <c r="AG190" s="15">
        <f>+Tabla5[[#This Row],[Trenes Corridos]]/Tabla5[[#This Row],[Trenes Programados]]</f>
        <v>0.98540637629097438</v>
      </c>
      <c r="AH190" s="16"/>
      <c r="AI190" s="16"/>
      <c r="AJ190" s="16">
        <v>4454</v>
      </c>
      <c r="AK190" s="16">
        <f t="shared" si="67"/>
        <v>65</v>
      </c>
      <c r="AL190" s="16">
        <v>4389</v>
      </c>
      <c r="AM190" s="16">
        <v>4063</v>
      </c>
      <c r="AN190" s="16">
        <f t="shared" si="68"/>
        <v>326</v>
      </c>
      <c r="AO190" s="16"/>
      <c r="AP190" s="17"/>
      <c r="AQ190" s="18">
        <v>2008</v>
      </c>
      <c r="AR190" s="21" t="s">
        <v>40</v>
      </c>
      <c r="AS190" s="15">
        <f>+Tabla6[[#This Row],[Trenes Puntuales]]/Tabla6[[#This Row],[Trenes Programados]]</f>
        <v>0.94772868699439949</v>
      </c>
      <c r="AT190" s="15">
        <f>+Tabla6[[#This Row],[Trenes Puntuales]]/Tabla6[[#This Row],[Trenes Corridos]]</f>
        <v>0.97409657818995843</v>
      </c>
      <c r="AU190" s="15">
        <f>+Tabla6[[#This Row],[Trenes Corridos]]/Tabla6[[#This Row],[Trenes Programados]]</f>
        <v>0.97293092719352836</v>
      </c>
      <c r="AV190" s="16"/>
      <c r="AW190" s="16"/>
      <c r="AX190" s="16">
        <v>3214</v>
      </c>
      <c r="AY190" s="16">
        <f t="shared" si="69"/>
        <v>87</v>
      </c>
      <c r="AZ190" s="16">
        <v>3127</v>
      </c>
      <c r="BA190" s="16">
        <v>3046</v>
      </c>
      <c r="BB190" s="16">
        <f t="shared" si="70"/>
        <v>81</v>
      </c>
      <c r="BC190" s="16"/>
      <c r="BD190" s="17"/>
      <c r="BE190" s="18">
        <v>2008</v>
      </c>
      <c r="BF190" s="21" t="s">
        <v>40</v>
      </c>
      <c r="BG190" s="15">
        <f>+MIT_Vic_Cap[[#This Row],[Trenes Puntuales]]/MIT_Vic_Cap[[#This Row],[Trenes Programados]]</f>
        <v>0.90681362725450898</v>
      </c>
      <c r="BH190" s="15">
        <f>+MIT_Vic_Cap[[#This Row],[Trenes Puntuales]]/MIT_Vic_Cap[[#This Row],[Trenes Corridos]]</f>
        <v>0.92630501535312182</v>
      </c>
      <c r="BI190" s="15">
        <f>+MIT_Vic_Cap[[#This Row],[Trenes Corridos]]/MIT_Vic_Cap[[#This Row],[Trenes Programados]]</f>
        <v>0.97895791583166336</v>
      </c>
      <c r="BJ190" s="16"/>
      <c r="BK190" s="16"/>
      <c r="BL190" s="16">
        <v>998</v>
      </c>
      <c r="BM190" s="16">
        <f t="shared" si="71"/>
        <v>21</v>
      </c>
      <c r="BN190" s="16">
        <v>977</v>
      </c>
      <c r="BO190" s="16">
        <v>905</v>
      </c>
      <c r="BP190" s="16">
        <f t="shared" si="72"/>
        <v>72</v>
      </c>
      <c r="BQ190" s="16"/>
      <c r="BR190" s="17"/>
      <c r="BS190" s="18">
        <v>2008</v>
      </c>
      <c r="BT190" s="21" t="s">
        <v>40</v>
      </c>
      <c r="BU190" s="15">
        <f>+Tabla8[[#This Row],[Trenes Puntuales]]/Tabla8[[#This Row],[Trenes Programados]]</f>
        <v>0.85015940488841657</v>
      </c>
      <c r="BV190" s="15">
        <f>+Tabla8[[#This Row],[Trenes Puntuales]]/Tabla8[[#This Row],[Trenes Corridos]]</f>
        <v>0.86486486486486491</v>
      </c>
      <c r="BW190" s="15">
        <f>+Tabla8[[#This Row],[Trenes Corridos]]/Tabla8[[#This Row],[Trenes Programados]]</f>
        <v>0.98299681190223165</v>
      </c>
      <c r="BX190" s="16"/>
      <c r="BY190" s="16"/>
      <c r="BZ190" s="16">
        <v>941</v>
      </c>
      <c r="CA190" s="16">
        <f t="shared" si="73"/>
        <v>16</v>
      </c>
      <c r="CB190" s="16">
        <v>925</v>
      </c>
      <c r="CC190" s="16">
        <v>800</v>
      </c>
      <c r="CD190" s="16">
        <f t="shared" si="74"/>
        <v>125</v>
      </c>
      <c r="CI190" s="40"/>
      <c r="CJ190" s="40"/>
      <c r="CK190" s="40"/>
      <c r="CL190" s="40"/>
      <c r="CM190" s="40"/>
    </row>
    <row r="191" spans="1:91" s="18" customFormat="1" ht="15" customHeight="1">
      <c r="A191" s="18">
        <v>2008</v>
      </c>
      <c r="B191" s="21" t="s">
        <v>41</v>
      </c>
      <c r="C191" s="15">
        <f>+MITRE[[#This Row],[Trenes Puntuales]]/MITRE[[#This Row],[Trenes Programados]]</f>
        <v>0.90668783214852644</v>
      </c>
      <c r="D191" s="15">
        <f>+MITRE[[#This Row],[Trenes Puntuales]]/MITRE[[#This Row],[Trenes Corridos]]</f>
        <v>0.92488031540411153</v>
      </c>
      <c r="E191" s="15">
        <f>+MITRE[[#This Row],[Trenes Corridos]]/MITRE[[#This Row],[Trenes Programados]]</f>
        <v>0.98032990544551035</v>
      </c>
      <c r="F191" s="16">
        <f>+Tabla4[[#This Row],[Trenes Programados por Día Hábil]]+Tabla5[[#This Row],[Trenes Programados por Día Hábil]]+Tabla6[[#This Row],[Trenes Programados por Día Hábil]]+MIT_Vic_Cap[[#This Row],[Trenes Programados por Día Hábil]]+Tabla8[[#This Row],[Trenes Programados por Día Hábil]]</f>
        <v>0</v>
      </c>
      <c r="G19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1" s="16">
        <f t="shared" si="20"/>
        <v>14489</v>
      </c>
      <c r="I191" s="16">
        <f t="shared" si="21"/>
        <v>285</v>
      </c>
      <c r="J191" s="16">
        <f t="shared" si="22"/>
        <v>14204</v>
      </c>
      <c r="K191" s="16">
        <f t="shared" si="23"/>
        <v>13137</v>
      </c>
      <c r="L191" s="16">
        <f t="shared" si="24"/>
        <v>1067</v>
      </c>
      <c r="M191" s="16"/>
      <c r="N191" s="17"/>
      <c r="O191" s="18">
        <v>2008</v>
      </c>
      <c r="P191" s="21" t="s">
        <v>41</v>
      </c>
      <c r="Q191" s="15">
        <f>+Tabla4[[#This Row],[Trenes Puntuales]]/Tabla4[[#This Row],[Trenes Programados]]</f>
        <v>0.87754716981132075</v>
      </c>
      <c r="R191" s="15">
        <f>+Tabla4[[#This Row],[Trenes Puntuales]]/Tabla4[[#This Row],[Trenes Corridos]]</f>
        <v>0.90153130451637919</v>
      </c>
      <c r="S191" s="15">
        <f>+Tabla4[[#This Row],[Trenes Corridos]]/Tabla4[[#This Row],[Trenes Programados]]</f>
        <v>0.97339622641509438</v>
      </c>
      <c r="T191" s="16"/>
      <c r="U191" s="16"/>
      <c r="V191" s="16">
        <v>5300</v>
      </c>
      <c r="W191" s="16">
        <f t="shared" si="65"/>
        <v>141</v>
      </c>
      <c r="X191" s="16">
        <v>5159</v>
      </c>
      <c r="Y191" s="16">
        <v>4651</v>
      </c>
      <c r="Z191" s="16">
        <f t="shared" si="66"/>
        <v>508</v>
      </c>
      <c r="AA191" s="16"/>
      <c r="AB191" s="17"/>
      <c r="AC191" s="18">
        <v>2008</v>
      </c>
      <c r="AD191" s="21" t="s">
        <v>41</v>
      </c>
      <c r="AE191" s="15">
        <f>+Tabla5[[#This Row],[Trenes Puntuales]]/Tabla5[[#This Row],[Trenes Programados]]</f>
        <v>0.91623529411764704</v>
      </c>
      <c r="AF191" s="15">
        <f>+Tabla5[[#This Row],[Trenes Puntuales]]/Tabla5[[#This Row],[Trenes Corridos]]</f>
        <v>0.92538022813688214</v>
      </c>
      <c r="AG191" s="15">
        <f>+Tabla5[[#This Row],[Trenes Corridos]]/Tabla5[[#This Row],[Trenes Programados]]</f>
        <v>0.99011764705882355</v>
      </c>
      <c r="AH191" s="16"/>
      <c r="AI191" s="16"/>
      <c r="AJ191" s="16">
        <v>4250</v>
      </c>
      <c r="AK191" s="16">
        <f t="shared" si="67"/>
        <v>42</v>
      </c>
      <c r="AL191" s="16">
        <v>4208</v>
      </c>
      <c r="AM191" s="16">
        <v>3894</v>
      </c>
      <c r="AN191" s="16">
        <f t="shared" si="68"/>
        <v>314</v>
      </c>
      <c r="AO191" s="16"/>
      <c r="AP191" s="17"/>
      <c r="AQ191" s="18">
        <v>2008</v>
      </c>
      <c r="AR191" s="21" t="s">
        <v>41</v>
      </c>
      <c r="AS191" s="15">
        <f>+Tabla6[[#This Row],[Trenes Puntuales]]/Tabla6[[#This Row],[Trenes Programados]]</f>
        <v>0.94750486066104989</v>
      </c>
      <c r="AT191" s="15">
        <f>+Tabla6[[#This Row],[Trenes Puntuales]]/Tabla6[[#This Row],[Trenes Corridos]]</f>
        <v>0.96374423203691495</v>
      </c>
      <c r="AU191" s="15">
        <f>+Tabla6[[#This Row],[Trenes Corridos]]/Tabla6[[#This Row],[Trenes Programados]]</f>
        <v>0.98314970836033699</v>
      </c>
      <c r="AV191" s="16"/>
      <c r="AW191" s="16"/>
      <c r="AX191" s="16">
        <v>3086</v>
      </c>
      <c r="AY191" s="16">
        <f t="shared" si="69"/>
        <v>52</v>
      </c>
      <c r="AZ191" s="16">
        <v>3034</v>
      </c>
      <c r="BA191" s="16">
        <v>2924</v>
      </c>
      <c r="BB191" s="16">
        <f t="shared" si="70"/>
        <v>110</v>
      </c>
      <c r="BC191" s="16"/>
      <c r="BD191" s="17"/>
      <c r="BE191" s="18">
        <v>2008</v>
      </c>
      <c r="BF191" s="21" t="s">
        <v>41</v>
      </c>
      <c r="BG191" s="15">
        <f>+MIT_Vic_Cap[[#This Row],[Trenes Puntuales]]/MIT_Vic_Cap[[#This Row],[Trenes Programados]]</f>
        <v>0.9055613850996852</v>
      </c>
      <c r="BH191" s="15">
        <f>+MIT_Vic_Cap[[#This Row],[Trenes Puntuales]]/MIT_Vic_Cap[[#This Row],[Trenes Corridos]]</f>
        <v>0.93096008629989213</v>
      </c>
      <c r="BI191" s="15">
        <f>+MIT_Vic_Cap[[#This Row],[Trenes Corridos]]/MIT_Vic_Cap[[#This Row],[Trenes Programados]]</f>
        <v>0.97271773347324242</v>
      </c>
      <c r="BJ191" s="16"/>
      <c r="BK191" s="16"/>
      <c r="BL191" s="16">
        <v>953</v>
      </c>
      <c r="BM191" s="16">
        <f t="shared" si="71"/>
        <v>26</v>
      </c>
      <c r="BN191" s="16">
        <v>927</v>
      </c>
      <c r="BO191" s="16">
        <v>863</v>
      </c>
      <c r="BP191" s="16">
        <f t="shared" si="72"/>
        <v>64</v>
      </c>
      <c r="BQ191" s="16"/>
      <c r="BR191" s="17"/>
      <c r="BS191" s="18">
        <v>2008</v>
      </c>
      <c r="BT191" s="21" t="s">
        <v>41</v>
      </c>
      <c r="BU191" s="15">
        <f>+Tabla8[[#This Row],[Trenes Puntuales]]/Tabla8[[#This Row],[Trenes Programados]]</f>
        <v>0.89444444444444449</v>
      </c>
      <c r="BV191" s="15">
        <f>+Tabla8[[#This Row],[Trenes Puntuales]]/Tabla8[[#This Row],[Trenes Corridos]]</f>
        <v>0.91894977168949776</v>
      </c>
      <c r="BW191" s="15">
        <f>+Tabla8[[#This Row],[Trenes Corridos]]/Tabla8[[#This Row],[Trenes Programados]]</f>
        <v>0.97333333333333338</v>
      </c>
      <c r="BX191" s="16"/>
      <c r="BY191" s="16"/>
      <c r="BZ191" s="16">
        <v>900</v>
      </c>
      <c r="CA191" s="16">
        <f t="shared" si="73"/>
        <v>24</v>
      </c>
      <c r="CB191" s="16">
        <v>876</v>
      </c>
      <c r="CC191" s="16">
        <v>805</v>
      </c>
      <c r="CD191" s="16">
        <f t="shared" si="74"/>
        <v>71</v>
      </c>
      <c r="CI191" s="40"/>
      <c r="CJ191" s="40"/>
      <c r="CK191" s="40"/>
      <c r="CL191" s="40"/>
      <c r="CM191" s="40"/>
    </row>
    <row r="192" spans="1:91" s="18" customFormat="1" ht="15" customHeight="1">
      <c r="A192" s="18">
        <v>2008</v>
      </c>
      <c r="B192" s="21" t="s">
        <v>42</v>
      </c>
      <c r="C192" s="15">
        <f>+MITRE[[#This Row],[Trenes Puntuales]]/MITRE[[#This Row],[Trenes Programados]]</f>
        <v>0.89701541489012793</v>
      </c>
      <c r="D192" s="15">
        <f>+MITRE[[#This Row],[Trenes Puntuales]]/MITRE[[#This Row],[Trenes Corridos]]</f>
        <v>0.90936294720042554</v>
      </c>
      <c r="E192" s="15">
        <f>+MITRE[[#This Row],[Trenes Corridos]]/MITRE[[#This Row],[Trenes Programados]]</f>
        <v>0.98642177763201044</v>
      </c>
      <c r="F192" s="16">
        <f>+Tabla4[[#This Row],[Trenes Programados por Día Hábil]]+Tabla5[[#This Row],[Trenes Programados por Día Hábil]]+Tabla6[[#This Row],[Trenes Programados por Día Hábil]]+MIT_Vic_Cap[[#This Row],[Trenes Programados por Día Hábil]]+Tabla8[[#This Row],[Trenes Programados por Día Hábil]]</f>
        <v>0</v>
      </c>
      <c r="G19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2" s="16">
        <f t="shared" si="20"/>
        <v>15245</v>
      </c>
      <c r="I192" s="16">
        <f t="shared" si="21"/>
        <v>207</v>
      </c>
      <c r="J192" s="16">
        <f t="shared" si="22"/>
        <v>15038</v>
      </c>
      <c r="K192" s="16">
        <f t="shared" si="23"/>
        <v>13675</v>
      </c>
      <c r="L192" s="16">
        <f t="shared" si="24"/>
        <v>1363</v>
      </c>
      <c r="M192" s="16"/>
      <c r="N192" s="17"/>
      <c r="O192" s="18">
        <v>2008</v>
      </c>
      <c r="P192" s="21" t="s">
        <v>42</v>
      </c>
      <c r="Q192" s="15">
        <f>+Tabla4[[#This Row],[Trenes Puntuales]]/Tabla4[[#This Row],[Trenes Programados]]</f>
        <v>0.87745974955277284</v>
      </c>
      <c r="R192" s="15">
        <f>+Tabla4[[#This Row],[Trenes Puntuales]]/Tabla4[[#This Row],[Trenes Corridos]]</f>
        <v>0.8879435191889935</v>
      </c>
      <c r="S192" s="15">
        <f>+Tabla4[[#This Row],[Trenes Corridos]]/Tabla4[[#This Row],[Trenes Programados]]</f>
        <v>0.98819320214669049</v>
      </c>
      <c r="T192" s="16"/>
      <c r="U192" s="16"/>
      <c r="V192" s="16">
        <v>5590</v>
      </c>
      <c r="W192" s="16">
        <f t="shared" si="65"/>
        <v>66</v>
      </c>
      <c r="X192" s="16">
        <v>5524</v>
      </c>
      <c r="Y192" s="16">
        <v>4905</v>
      </c>
      <c r="Z192" s="16">
        <f t="shared" si="66"/>
        <v>619</v>
      </c>
      <c r="AA192" s="16"/>
      <c r="AB192" s="17"/>
      <c r="AC192" s="18">
        <v>2008</v>
      </c>
      <c r="AD192" s="21" t="s">
        <v>42</v>
      </c>
      <c r="AE192" s="15">
        <f>+Tabla5[[#This Row],[Trenes Puntuales]]/Tabla5[[#This Row],[Trenes Programados]]</f>
        <v>0.89662871176601922</v>
      </c>
      <c r="AF192" s="15">
        <f>+Tabla5[[#This Row],[Trenes Puntuales]]/Tabla5[[#This Row],[Trenes Corridos]]</f>
        <v>0.90511606941627221</v>
      </c>
      <c r="AG192" s="15">
        <f>+Tabla5[[#This Row],[Trenes Corridos]]/Tabla5[[#This Row],[Trenes Programados]]</f>
        <v>0.99062290689886134</v>
      </c>
      <c r="AH192" s="16"/>
      <c r="AI192" s="16"/>
      <c r="AJ192" s="16">
        <v>4479</v>
      </c>
      <c r="AK192" s="16">
        <f t="shared" si="67"/>
        <v>42</v>
      </c>
      <c r="AL192" s="16">
        <v>4437</v>
      </c>
      <c r="AM192" s="16">
        <v>4016</v>
      </c>
      <c r="AN192" s="16">
        <f t="shared" si="68"/>
        <v>421</v>
      </c>
      <c r="AO192" s="16"/>
      <c r="AP192" s="17"/>
      <c r="AQ192" s="18">
        <v>2008</v>
      </c>
      <c r="AR192" s="21" t="s">
        <v>42</v>
      </c>
      <c r="AS192" s="15">
        <f>+Tabla6[[#This Row],[Trenes Puntuales]]/Tabla6[[#This Row],[Trenes Programados]]</f>
        <v>0.94101210804098101</v>
      </c>
      <c r="AT192" s="15">
        <f>+Tabla6[[#This Row],[Trenes Puntuales]]/Tabla6[[#This Row],[Trenes Corridos]]</f>
        <v>0.95645313979173241</v>
      </c>
      <c r="AU192" s="15">
        <f>+Tabla6[[#This Row],[Trenes Corridos]]/Tabla6[[#This Row],[Trenes Programados]]</f>
        <v>0.98385594535858434</v>
      </c>
      <c r="AV192" s="16"/>
      <c r="AW192" s="16"/>
      <c r="AX192" s="16">
        <v>3221</v>
      </c>
      <c r="AY192" s="16">
        <f t="shared" si="69"/>
        <v>52</v>
      </c>
      <c r="AZ192" s="16">
        <v>3169</v>
      </c>
      <c r="BA192" s="16">
        <v>3031</v>
      </c>
      <c r="BB192" s="16">
        <f t="shared" si="70"/>
        <v>138</v>
      </c>
      <c r="BC192" s="16"/>
      <c r="BD192" s="17"/>
      <c r="BE192" s="18">
        <v>2008</v>
      </c>
      <c r="BF192" s="21" t="s">
        <v>42</v>
      </c>
      <c r="BG192" s="15">
        <f>+MIT_Vic_Cap[[#This Row],[Trenes Puntuales]]/MIT_Vic_Cap[[#This Row],[Trenes Programados]]</f>
        <v>0.8808808808808809</v>
      </c>
      <c r="BH192" s="15">
        <f>+MIT_Vic_Cap[[#This Row],[Trenes Puntuales]]/MIT_Vic_Cap[[#This Row],[Trenes Corridos]]</f>
        <v>0.91571279916753379</v>
      </c>
      <c r="BI192" s="15">
        <f>+MIT_Vic_Cap[[#This Row],[Trenes Corridos]]/MIT_Vic_Cap[[#This Row],[Trenes Programados]]</f>
        <v>0.96196196196196193</v>
      </c>
      <c r="BJ192" s="16"/>
      <c r="BK192" s="16"/>
      <c r="BL192" s="16">
        <v>999</v>
      </c>
      <c r="BM192" s="16">
        <f t="shared" si="71"/>
        <v>38</v>
      </c>
      <c r="BN192" s="16">
        <v>961</v>
      </c>
      <c r="BO192" s="16">
        <v>880</v>
      </c>
      <c r="BP192" s="16">
        <f t="shared" si="72"/>
        <v>81</v>
      </c>
      <c r="BQ192" s="16"/>
      <c r="BR192" s="17"/>
      <c r="BS192" s="18">
        <v>2008</v>
      </c>
      <c r="BT192" s="21" t="s">
        <v>42</v>
      </c>
      <c r="BU192" s="15">
        <f>+Tabla8[[#This Row],[Trenes Puntuales]]/Tabla8[[#This Row],[Trenes Programados]]</f>
        <v>0.88179916317991636</v>
      </c>
      <c r="BV192" s="15">
        <f>+Tabla8[[#This Row],[Trenes Puntuales]]/Tabla8[[#This Row],[Trenes Corridos]]</f>
        <v>0.89017951425554387</v>
      </c>
      <c r="BW192" s="15">
        <f>+Tabla8[[#This Row],[Trenes Corridos]]/Tabla8[[#This Row],[Trenes Programados]]</f>
        <v>0.9905857740585774</v>
      </c>
      <c r="BX192" s="16"/>
      <c r="BY192" s="16"/>
      <c r="BZ192" s="16">
        <v>956</v>
      </c>
      <c r="CA192" s="16">
        <f t="shared" si="73"/>
        <v>9</v>
      </c>
      <c r="CB192" s="16">
        <v>947</v>
      </c>
      <c r="CC192" s="16">
        <v>843</v>
      </c>
      <c r="CD192" s="16">
        <f t="shared" si="74"/>
        <v>104</v>
      </c>
      <c r="CI192" s="40"/>
      <c r="CJ192" s="40"/>
      <c r="CK192" s="40"/>
      <c r="CL192" s="40"/>
      <c r="CM192" s="40"/>
    </row>
    <row r="193" spans="1:91" s="18" customFormat="1" ht="15" customHeight="1">
      <c r="A193" s="18">
        <v>2008</v>
      </c>
      <c r="B193" s="21" t="s">
        <v>43</v>
      </c>
      <c r="C193" s="15">
        <f>+MITRE[[#This Row],[Trenes Puntuales]]/MITRE[[#This Row],[Trenes Programados]]</f>
        <v>0.91880313273980851</v>
      </c>
      <c r="D193" s="15">
        <f>+MITRE[[#This Row],[Trenes Puntuales]]/MITRE[[#This Row],[Trenes Corridos]]</f>
        <v>0.93253617772946529</v>
      </c>
      <c r="E193" s="15">
        <f>+MITRE[[#This Row],[Trenes Corridos]]/MITRE[[#This Row],[Trenes Programados]]</f>
        <v>0.98527344534440053</v>
      </c>
      <c r="F193" s="16">
        <f>+Tabla4[[#This Row],[Trenes Programados por Día Hábil]]+Tabla5[[#This Row],[Trenes Programados por Día Hábil]]+Tabla6[[#This Row],[Trenes Programados por Día Hábil]]+MIT_Vic_Cap[[#This Row],[Trenes Programados por Día Hábil]]+Tabla8[[#This Row],[Trenes Programados por Día Hábil]]</f>
        <v>0</v>
      </c>
      <c r="G19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3" s="16">
        <f t="shared" si="20"/>
        <v>14939</v>
      </c>
      <c r="I193" s="16">
        <f t="shared" si="21"/>
        <v>220</v>
      </c>
      <c r="J193" s="16">
        <f t="shared" si="22"/>
        <v>14719</v>
      </c>
      <c r="K193" s="16">
        <f t="shared" si="23"/>
        <v>13726</v>
      </c>
      <c r="L193" s="16">
        <f t="shared" si="24"/>
        <v>993</v>
      </c>
      <c r="M193" s="16"/>
      <c r="N193" s="17"/>
      <c r="O193" s="18">
        <v>2008</v>
      </c>
      <c r="P193" s="21" t="s">
        <v>43</v>
      </c>
      <c r="Q193" s="15">
        <f>+Tabla4[[#This Row],[Trenes Puntuales]]/Tabla4[[#This Row],[Trenes Programados]]</f>
        <v>0.89450549450549455</v>
      </c>
      <c r="R193" s="15">
        <f>+Tabla4[[#This Row],[Trenes Puntuales]]/Tabla4[[#This Row],[Trenes Corridos]]</f>
        <v>0.91238557818045951</v>
      </c>
      <c r="S193" s="15">
        <f>+Tabla4[[#This Row],[Trenes Corridos]]/Tabla4[[#This Row],[Trenes Programados]]</f>
        <v>0.98040293040293036</v>
      </c>
      <c r="T193" s="16"/>
      <c r="U193" s="16"/>
      <c r="V193" s="16">
        <v>5460</v>
      </c>
      <c r="W193" s="16">
        <f t="shared" si="65"/>
        <v>107</v>
      </c>
      <c r="X193" s="16">
        <v>5353</v>
      </c>
      <c r="Y193" s="16">
        <v>4884</v>
      </c>
      <c r="Z193" s="16">
        <f t="shared" si="66"/>
        <v>469</v>
      </c>
      <c r="AA193" s="16"/>
      <c r="AB193" s="17"/>
      <c r="AC193" s="18">
        <v>2008</v>
      </c>
      <c r="AD193" s="21" t="s">
        <v>43</v>
      </c>
      <c r="AE193" s="15">
        <f>+Tabla5[[#This Row],[Trenes Puntuales]]/Tabla5[[#This Row],[Trenes Programados]]</f>
        <v>0.91811131386861311</v>
      </c>
      <c r="AF193" s="15">
        <f>+Tabla5[[#This Row],[Trenes Puntuales]]/Tabla5[[#This Row],[Trenes Corridos]]</f>
        <v>0.9282749077490775</v>
      </c>
      <c r="AG193" s="15">
        <f>+Tabla5[[#This Row],[Trenes Corridos]]/Tabla5[[#This Row],[Trenes Programados]]</f>
        <v>0.98905109489051091</v>
      </c>
      <c r="AH193" s="16"/>
      <c r="AI193" s="16"/>
      <c r="AJ193" s="16">
        <v>4384</v>
      </c>
      <c r="AK193" s="16">
        <f t="shared" si="67"/>
        <v>48</v>
      </c>
      <c r="AL193" s="16">
        <v>4336</v>
      </c>
      <c r="AM193" s="16">
        <v>4025</v>
      </c>
      <c r="AN193" s="16">
        <f t="shared" si="68"/>
        <v>311</v>
      </c>
      <c r="AO193" s="16"/>
      <c r="AP193" s="17"/>
      <c r="AQ193" s="18">
        <v>2008</v>
      </c>
      <c r="AR193" s="21" t="s">
        <v>43</v>
      </c>
      <c r="AS193" s="15">
        <f>+Tabla6[[#This Row],[Trenes Puntuales]]/Tabla6[[#This Row],[Trenes Programados]]</f>
        <v>0.96675031367628605</v>
      </c>
      <c r="AT193" s="15">
        <f>+Tabla6[[#This Row],[Trenes Puntuales]]/Tabla6[[#This Row],[Trenes Corridos]]</f>
        <v>0.97562519784742008</v>
      </c>
      <c r="AU193" s="15">
        <f>+Tabla6[[#This Row],[Trenes Corridos]]/Tabla6[[#This Row],[Trenes Programados]]</f>
        <v>0.99090338770388964</v>
      </c>
      <c r="AV193" s="16"/>
      <c r="AW193" s="16"/>
      <c r="AX193" s="16">
        <v>3188</v>
      </c>
      <c r="AY193" s="16">
        <f t="shared" si="69"/>
        <v>29</v>
      </c>
      <c r="AZ193" s="16">
        <v>3159</v>
      </c>
      <c r="BA193" s="16">
        <v>3082</v>
      </c>
      <c r="BB193" s="16">
        <f t="shared" si="70"/>
        <v>77</v>
      </c>
      <c r="BC193" s="16"/>
      <c r="BD193" s="17"/>
      <c r="BE193" s="18">
        <v>2008</v>
      </c>
      <c r="BF193" s="21" t="s">
        <v>43</v>
      </c>
      <c r="BG193" s="15">
        <f>+MIT_Vic_Cap[[#This Row],[Trenes Puntuales]]/MIT_Vic_Cap[[#This Row],[Trenes Programados]]</f>
        <v>0.93509127789046653</v>
      </c>
      <c r="BH193" s="15">
        <f>+MIT_Vic_Cap[[#This Row],[Trenes Puntuales]]/MIT_Vic_Cap[[#This Row],[Trenes Corridos]]</f>
        <v>0.95051546391752573</v>
      </c>
      <c r="BI193" s="15">
        <f>+MIT_Vic_Cap[[#This Row],[Trenes Corridos]]/MIT_Vic_Cap[[#This Row],[Trenes Programados]]</f>
        <v>0.98377281947261663</v>
      </c>
      <c r="BJ193" s="16"/>
      <c r="BK193" s="16"/>
      <c r="BL193" s="16">
        <v>986</v>
      </c>
      <c r="BM193" s="16">
        <f t="shared" si="71"/>
        <v>16</v>
      </c>
      <c r="BN193" s="16">
        <v>970</v>
      </c>
      <c r="BO193" s="16">
        <v>922</v>
      </c>
      <c r="BP193" s="16">
        <f t="shared" si="72"/>
        <v>48</v>
      </c>
      <c r="BQ193" s="16"/>
      <c r="BR193" s="17"/>
      <c r="BS193" s="18">
        <v>2008</v>
      </c>
      <c r="BT193" s="21" t="s">
        <v>43</v>
      </c>
      <c r="BU193" s="15">
        <f>+Tabla8[[#This Row],[Trenes Puntuales]]/Tabla8[[#This Row],[Trenes Programados]]</f>
        <v>0.88273615635179148</v>
      </c>
      <c r="BV193" s="15">
        <f>+Tabla8[[#This Row],[Trenes Puntuales]]/Tabla8[[#This Row],[Trenes Corridos]]</f>
        <v>0.90233074361820198</v>
      </c>
      <c r="BW193" s="15">
        <f>+Tabla8[[#This Row],[Trenes Corridos]]/Tabla8[[#This Row],[Trenes Programados]]</f>
        <v>0.9782844733984799</v>
      </c>
      <c r="BX193" s="16"/>
      <c r="BY193" s="16"/>
      <c r="BZ193" s="16">
        <v>921</v>
      </c>
      <c r="CA193" s="16">
        <f t="shared" si="73"/>
        <v>20</v>
      </c>
      <c r="CB193" s="16">
        <v>901</v>
      </c>
      <c r="CC193" s="16">
        <v>813</v>
      </c>
      <c r="CD193" s="16">
        <f t="shared" si="74"/>
        <v>88</v>
      </c>
      <c r="CI193" s="40"/>
      <c r="CJ193" s="40"/>
      <c r="CK193" s="40"/>
      <c r="CL193" s="40"/>
      <c r="CM193" s="40"/>
    </row>
    <row r="194" spans="1:91" s="18" customFormat="1" ht="15" customHeight="1">
      <c r="A194" s="18">
        <v>2008</v>
      </c>
      <c r="B194" s="21" t="s">
        <v>44</v>
      </c>
      <c r="C194" s="15">
        <f>+MITRE[[#This Row],[Trenes Puntuales]]/MITRE[[#This Row],[Trenes Programados]]</f>
        <v>0.89520938023450591</v>
      </c>
      <c r="D194" s="15">
        <f>+MITRE[[#This Row],[Trenes Puntuales]]/MITRE[[#This Row],[Trenes Corridos]]</f>
        <v>0.92367784306947809</v>
      </c>
      <c r="E194" s="15">
        <f>+MITRE[[#This Row],[Trenes Corridos]]/MITRE[[#This Row],[Trenes Programados]]</f>
        <v>0.96917922948073698</v>
      </c>
      <c r="F194" s="16">
        <f>+Tabla4[[#This Row],[Trenes Programados por Día Hábil]]+Tabla5[[#This Row],[Trenes Programados por Día Hábil]]+Tabla6[[#This Row],[Trenes Programados por Día Hábil]]+MIT_Vic_Cap[[#This Row],[Trenes Programados por Día Hábil]]+Tabla8[[#This Row],[Trenes Programados por Día Hábil]]</f>
        <v>0</v>
      </c>
      <c r="G19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4" s="16">
        <f t="shared" si="20"/>
        <v>14925</v>
      </c>
      <c r="I194" s="16">
        <f t="shared" si="21"/>
        <v>460</v>
      </c>
      <c r="J194" s="16">
        <f t="shared" si="22"/>
        <v>14465</v>
      </c>
      <c r="K194" s="16">
        <f t="shared" si="23"/>
        <v>13361</v>
      </c>
      <c r="L194" s="16">
        <f t="shared" si="24"/>
        <v>1104</v>
      </c>
      <c r="M194" s="16"/>
      <c r="N194" s="17"/>
      <c r="O194" s="18">
        <v>2008</v>
      </c>
      <c r="P194" s="21" t="s">
        <v>44</v>
      </c>
      <c r="Q194" s="15">
        <f>+Tabla4[[#This Row],[Trenes Puntuales]]/Tabla4[[#This Row],[Trenes Programados]]</f>
        <v>0.8978102189781022</v>
      </c>
      <c r="R194" s="15">
        <f>+Tabla4[[#This Row],[Trenes Puntuales]]/Tabla4[[#This Row],[Trenes Corridos]]</f>
        <v>0.92672819740064039</v>
      </c>
      <c r="S194" s="15">
        <f>+Tabla4[[#This Row],[Trenes Corridos]]/Tabla4[[#This Row],[Trenes Programados]]</f>
        <v>0.9687956204379562</v>
      </c>
      <c r="T194" s="16"/>
      <c r="U194" s="16"/>
      <c r="V194" s="16">
        <v>5480</v>
      </c>
      <c r="W194" s="16">
        <f t="shared" si="65"/>
        <v>171</v>
      </c>
      <c r="X194" s="16">
        <v>5309</v>
      </c>
      <c r="Y194" s="16">
        <v>4920</v>
      </c>
      <c r="Z194" s="16">
        <f t="shared" si="66"/>
        <v>389</v>
      </c>
      <c r="AA194" s="16"/>
      <c r="AB194" s="17"/>
      <c r="AC194" s="18">
        <v>2008</v>
      </c>
      <c r="AD194" s="21" t="s">
        <v>44</v>
      </c>
      <c r="AE194" s="15">
        <f>+Tabla5[[#This Row],[Trenes Puntuales]]/Tabla5[[#This Row],[Trenes Programados]]</f>
        <v>0.87357630979498857</v>
      </c>
      <c r="AF194" s="15">
        <f>+Tabla5[[#This Row],[Trenes Puntuales]]/Tabla5[[#This Row],[Trenes Corridos]]</f>
        <v>0.89939024390243905</v>
      </c>
      <c r="AG194" s="15">
        <f>+Tabla5[[#This Row],[Trenes Corridos]]/Tabla5[[#This Row],[Trenes Programados]]</f>
        <v>0.97129840546697044</v>
      </c>
      <c r="AH194" s="16"/>
      <c r="AI194" s="16"/>
      <c r="AJ194" s="16">
        <v>4390</v>
      </c>
      <c r="AK194" s="16">
        <f t="shared" si="67"/>
        <v>126</v>
      </c>
      <c r="AL194" s="16">
        <v>4264</v>
      </c>
      <c r="AM194" s="16">
        <v>3835</v>
      </c>
      <c r="AN194" s="16">
        <f t="shared" si="68"/>
        <v>429</v>
      </c>
      <c r="AO194" s="16"/>
      <c r="AP194" s="17"/>
      <c r="AQ194" s="18">
        <v>2008</v>
      </c>
      <c r="AR194" s="21" t="s">
        <v>44</v>
      </c>
      <c r="AS194" s="15">
        <f>+Tabla6[[#This Row],[Trenes Puntuales]]/Tabla6[[#This Row],[Trenes Programados]]</f>
        <v>0.92989165073295088</v>
      </c>
      <c r="AT194" s="15">
        <f>+Tabla6[[#This Row],[Trenes Puntuales]]/Tabla6[[#This Row],[Trenes Corridos]]</f>
        <v>0.95734908136482944</v>
      </c>
      <c r="AU194" s="15">
        <f>+Tabla6[[#This Row],[Trenes Corridos]]/Tabla6[[#This Row],[Trenes Programados]]</f>
        <v>0.97131931166347996</v>
      </c>
      <c r="AV194" s="16"/>
      <c r="AW194" s="16"/>
      <c r="AX194" s="16">
        <v>3138</v>
      </c>
      <c r="AY194" s="16">
        <f t="shared" si="69"/>
        <v>90</v>
      </c>
      <c r="AZ194" s="16">
        <v>3048</v>
      </c>
      <c r="BA194" s="16">
        <v>2918</v>
      </c>
      <c r="BB194" s="16">
        <f t="shared" si="70"/>
        <v>130</v>
      </c>
      <c r="BC194" s="16"/>
      <c r="BD194" s="17"/>
      <c r="BE194" s="18">
        <v>2008</v>
      </c>
      <c r="BF194" s="21" t="s">
        <v>44</v>
      </c>
      <c r="BG194" s="15">
        <f>+MIT_Vic_Cap[[#This Row],[Trenes Puntuales]]/MIT_Vic_Cap[[#This Row],[Trenes Programados]]</f>
        <v>0.88945752302968273</v>
      </c>
      <c r="BH194" s="15">
        <f>+MIT_Vic_Cap[[#This Row],[Trenes Puntuales]]/MIT_Vic_Cap[[#This Row],[Trenes Corridos]]</f>
        <v>0.92841880341880345</v>
      </c>
      <c r="BI194" s="15">
        <f>+MIT_Vic_Cap[[#This Row],[Trenes Corridos]]/MIT_Vic_Cap[[#This Row],[Trenes Programados]]</f>
        <v>0.95803480040941658</v>
      </c>
      <c r="BJ194" s="16"/>
      <c r="BK194" s="16"/>
      <c r="BL194" s="16">
        <v>977</v>
      </c>
      <c r="BM194" s="16">
        <f t="shared" si="71"/>
        <v>41</v>
      </c>
      <c r="BN194" s="16">
        <v>936</v>
      </c>
      <c r="BO194" s="16">
        <v>869</v>
      </c>
      <c r="BP194" s="16">
        <f t="shared" si="72"/>
        <v>67</v>
      </c>
      <c r="BQ194" s="16"/>
      <c r="BR194" s="17"/>
      <c r="BS194" s="18">
        <v>2008</v>
      </c>
      <c r="BT194" s="21" t="s">
        <v>44</v>
      </c>
      <c r="BU194" s="15">
        <f>+Tabla8[[#This Row],[Trenes Puntuales]]/Tabla8[[#This Row],[Trenes Programados]]</f>
        <v>0.87127659574468086</v>
      </c>
      <c r="BV194" s="15">
        <f>+Tabla8[[#This Row],[Trenes Puntuales]]/Tabla8[[#This Row],[Trenes Corridos]]</f>
        <v>0.90198237885462551</v>
      </c>
      <c r="BW194" s="15">
        <f>+Tabla8[[#This Row],[Trenes Corridos]]/Tabla8[[#This Row],[Trenes Programados]]</f>
        <v>0.96595744680851059</v>
      </c>
      <c r="BX194" s="16"/>
      <c r="BY194" s="16"/>
      <c r="BZ194" s="16">
        <v>940</v>
      </c>
      <c r="CA194" s="16">
        <f t="shared" si="73"/>
        <v>32</v>
      </c>
      <c r="CB194" s="16">
        <v>908</v>
      </c>
      <c r="CC194" s="16">
        <v>819</v>
      </c>
      <c r="CD194" s="16">
        <f t="shared" si="74"/>
        <v>89</v>
      </c>
      <c r="CI194" s="40"/>
      <c r="CJ194" s="40"/>
      <c r="CK194" s="40"/>
      <c r="CL194" s="40"/>
      <c r="CM194" s="40"/>
    </row>
    <row r="195" spans="1:91" s="18" customFormat="1" ht="15" customHeight="1">
      <c r="A195" s="18">
        <v>2008</v>
      </c>
      <c r="B195" s="21" t="s">
        <v>45</v>
      </c>
      <c r="C195" s="15">
        <f>+MITRE[[#This Row],[Trenes Puntuales]]/MITRE[[#This Row],[Trenes Programados]]</f>
        <v>0.91137496720020994</v>
      </c>
      <c r="D195" s="15">
        <f>+MITRE[[#This Row],[Trenes Puntuales]]/MITRE[[#This Row],[Trenes Corridos]]</f>
        <v>0.92336833709956134</v>
      </c>
      <c r="E195" s="15">
        <f>+MITRE[[#This Row],[Trenes Corridos]]/MITRE[[#This Row],[Trenes Programados]]</f>
        <v>0.98701128312778796</v>
      </c>
      <c r="F195" s="16">
        <f>+Tabla4[[#This Row],[Trenes Programados por Día Hábil]]+Tabla5[[#This Row],[Trenes Programados por Día Hábil]]+Tabla6[[#This Row],[Trenes Programados por Día Hábil]]+MIT_Vic_Cap[[#This Row],[Trenes Programados por Día Hábil]]+Tabla8[[#This Row],[Trenes Programados por Día Hábil]]</f>
        <v>0</v>
      </c>
      <c r="G19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5" s="16">
        <f t="shared" si="20"/>
        <v>15244</v>
      </c>
      <c r="I195" s="16">
        <f t="shared" si="21"/>
        <v>198</v>
      </c>
      <c r="J195" s="16">
        <f t="shared" si="22"/>
        <v>15046</v>
      </c>
      <c r="K195" s="16">
        <f t="shared" si="23"/>
        <v>13893</v>
      </c>
      <c r="L195" s="16">
        <f t="shared" si="24"/>
        <v>1153</v>
      </c>
      <c r="M195" s="16"/>
      <c r="N195" s="17"/>
      <c r="O195" s="18">
        <v>2008</v>
      </c>
      <c r="P195" s="21" t="s">
        <v>45</v>
      </c>
      <c r="Q195" s="15">
        <f>+Tabla4[[#This Row],[Trenes Puntuales]]/Tabla4[[#This Row],[Trenes Programados]]</f>
        <v>0.88640429338103754</v>
      </c>
      <c r="R195" s="15">
        <f>+Tabla4[[#This Row],[Trenes Puntuales]]/Tabla4[[#This Row],[Trenes Corridos]]</f>
        <v>0.90222141296431169</v>
      </c>
      <c r="S195" s="15">
        <f>+Tabla4[[#This Row],[Trenes Corridos]]/Tabla4[[#This Row],[Trenes Programados]]</f>
        <v>0.98246869409660109</v>
      </c>
      <c r="T195" s="16"/>
      <c r="U195" s="16"/>
      <c r="V195" s="16">
        <v>5590</v>
      </c>
      <c r="W195" s="16">
        <f t="shared" si="65"/>
        <v>98</v>
      </c>
      <c r="X195" s="16">
        <v>5492</v>
      </c>
      <c r="Y195" s="16">
        <v>4955</v>
      </c>
      <c r="Z195" s="16">
        <f t="shared" si="66"/>
        <v>537</v>
      </c>
      <c r="AA195" s="16"/>
      <c r="AB195" s="17"/>
      <c r="AC195" s="18">
        <v>2008</v>
      </c>
      <c r="AD195" s="21" t="s">
        <v>45</v>
      </c>
      <c r="AE195" s="15">
        <f>+Tabla5[[#This Row],[Trenes Puntuales]]/Tabla5[[#This Row],[Trenes Programados]]</f>
        <v>0.91471310560392949</v>
      </c>
      <c r="AF195" s="15">
        <f>+Tabla5[[#This Row],[Trenes Puntuales]]/Tabla5[[#This Row],[Trenes Corridos]]</f>
        <v>0.92129525522824374</v>
      </c>
      <c r="AG195" s="15">
        <f>+Tabla5[[#This Row],[Trenes Corridos]]/Tabla5[[#This Row],[Trenes Programados]]</f>
        <v>0.99285554811341814</v>
      </c>
      <c r="AH195" s="16"/>
      <c r="AI195" s="16"/>
      <c r="AJ195" s="16">
        <v>4479</v>
      </c>
      <c r="AK195" s="16">
        <f t="shared" si="67"/>
        <v>32</v>
      </c>
      <c r="AL195" s="16">
        <v>4447</v>
      </c>
      <c r="AM195" s="16">
        <v>4097</v>
      </c>
      <c r="AN195" s="16">
        <f t="shared" si="68"/>
        <v>350</v>
      </c>
      <c r="AO195" s="16"/>
      <c r="AP195" s="17"/>
      <c r="AQ195" s="18">
        <v>2008</v>
      </c>
      <c r="AR195" s="21" t="s">
        <v>45</v>
      </c>
      <c r="AS195" s="15">
        <f>+Tabla6[[#This Row],[Trenes Puntuales]]/Tabla6[[#This Row],[Trenes Programados]]</f>
        <v>0.94473765911207697</v>
      </c>
      <c r="AT195" s="15">
        <f>+Tabla6[[#This Row],[Trenes Puntuales]]/Tabla6[[#This Row],[Trenes Corridos]]</f>
        <v>0.95782184450739694</v>
      </c>
      <c r="AU195" s="15">
        <f>+Tabla6[[#This Row],[Trenes Corridos]]/Tabla6[[#This Row],[Trenes Programados]]</f>
        <v>0.98633964607264824</v>
      </c>
      <c r="AV195" s="16"/>
      <c r="AW195" s="16"/>
      <c r="AX195" s="16">
        <v>3221</v>
      </c>
      <c r="AY195" s="16">
        <f t="shared" si="69"/>
        <v>44</v>
      </c>
      <c r="AZ195" s="16">
        <v>3177</v>
      </c>
      <c r="BA195" s="16">
        <v>3043</v>
      </c>
      <c r="BB195" s="16">
        <f t="shared" si="70"/>
        <v>134</v>
      </c>
      <c r="BC195" s="16"/>
      <c r="BD195" s="17"/>
      <c r="BE195" s="18">
        <v>2008</v>
      </c>
      <c r="BF195" s="21" t="s">
        <v>45</v>
      </c>
      <c r="BG195" s="15">
        <f>+MIT_Vic_Cap[[#This Row],[Trenes Puntuales]]/MIT_Vic_Cap[[#This Row],[Trenes Programados]]</f>
        <v>0.94288577154308617</v>
      </c>
      <c r="BH195" s="15">
        <f>+MIT_Vic_Cap[[#This Row],[Trenes Puntuales]]/MIT_Vic_Cap[[#This Row],[Trenes Corridos]]</f>
        <v>0.95242914979757087</v>
      </c>
      <c r="BI195" s="15">
        <f>+MIT_Vic_Cap[[#This Row],[Trenes Corridos]]/MIT_Vic_Cap[[#This Row],[Trenes Programados]]</f>
        <v>0.98997995991983967</v>
      </c>
      <c r="BJ195" s="16"/>
      <c r="BK195" s="16"/>
      <c r="BL195" s="16">
        <v>998</v>
      </c>
      <c r="BM195" s="16">
        <f t="shared" si="71"/>
        <v>10</v>
      </c>
      <c r="BN195" s="16">
        <v>988</v>
      </c>
      <c r="BO195" s="16">
        <v>941</v>
      </c>
      <c r="BP195" s="16">
        <f t="shared" si="72"/>
        <v>47</v>
      </c>
      <c r="BQ195" s="16"/>
      <c r="BR195" s="17"/>
      <c r="BS195" s="18">
        <v>2008</v>
      </c>
      <c r="BT195" s="21" t="s">
        <v>45</v>
      </c>
      <c r="BU195" s="15">
        <f>+Tabla8[[#This Row],[Trenes Puntuales]]/Tabla8[[#This Row],[Trenes Programados]]</f>
        <v>0.89644351464435146</v>
      </c>
      <c r="BV195" s="15">
        <f>+Tabla8[[#This Row],[Trenes Puntuales]]/Tabla8[[#This Row],[Trenes Corridos]]</f>
        <v>0.90976645435244163</v>
      </c>
      <c r="BW195" s="15">
        <f>+Tabla8[[#This Row],[Trenes Corridos]]/Tabla8[[#This Row],[Trenes Programados]]</f>
        <v>0.9853556485355649</v>
      </c>
      <c r="BX195" s="16"/>
      <c r="BY195" s="16"/>
      <c r="BZ195" s="16">
        <v>956</v>
      </c>
      <c r="CA195" s="16">
        <f t="shared" si="73"/>
        <v>14</v>
      </c>
      <c r="CB195" s="16">
        <v>942</v>
      </c>
      <c r="CC195" s="16">
        <v>857</v>
      </c>
      <c r="CD195" s="16">
        <f t="shared" si="74"/>
        <v>85</v>
      </c>
      <c r="CI195" s="40"/>
      <c r="CJ195" s="40"/>
      <c r="CK195" s="40"/>
      <c r="CL195" s="40"/>
      <c r="CM195" s="40"/>
    </row>
    <row r="196" spans="1:91" s="18" customFormat="1" ht="15" customHeight="1">
      <c r="A196" s="18">
        <v>2008</v>
      </c>
      <c r="B196" s="21" t="s">
        <v>46</v>
      </c>
      <c r="C196" s="15">
        <f>+MITRE[[#This Row],[Trenes Puntuales]]/MITRE[[#This Row],[Trenes Programados]]</f>
        <v>0.90033518024488679</v>
      </c>
      <c r="D196" s="15">
        <f>+MITRE[[#This Row],[Trenes Puntuales]]/MITRE[[#This Row],[Trenes Corridos]]</f>
        <v>0.916829200334355</v>
      </c>
      <c r="E196" s="15">
        <f>+MITRE[[#This Row],[Trenes Corridos]]/MITRE[[#This Row],[Trenes Programados]]</f>
        <v>0.98200971338668852</v>
      </c>
      <c r="F196" s="16">
        <f>+Tabla4[[#This Row],[Trenes Programados por Día Hábil]]+Tabla5[[#This Row],[Trenes Programados por Día Hábil]]+Tabla6[[#This Row],[Trenes Programados por Día Hábil]]+MIT_Vic_Cap[[#This Row],[Trenes Programados por Día Hábil]]+Tabla8[[#This Row],[Trenes Programados por Día Hábil]]</f>
        <v>0</v>
      </c>
      <c r="G19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6" s="16">
        <f t="shared" si="20"/>
        <v>14619</v>
      </c>
      <c r="I196" s="16">
        <f t="shared" si="21"/>
        <v>263</v>
      </c>
      <c r="J196" s="16">
        <f t="shared" si="22"/>
        <v>14356</v>
      </c>
      <c r="K196" s="16">
        <f t="shared" si="23"/>
        <v>13162</v>
      </c>
      <c r="L196" s="16">
        <f t="shared" si="24"/>
        <v>1194</v>
      </c>
      <c r="M196" s="16"/>
      <c r="N196" s="17"/>
      <c r="O196" s="18">
        <v>2008</v>
      </c>
      <c r="P196" s="21" t="s">
        <v>46</v>
      </c>
      <c r="Q196" s="15">
        <f>+Tabla4[[#This Row],[Trenes Puntuales]]/Tabla4[[#This Row],[Trenes Programados]]</f>
        <v>0.86280373831775703</v>
      </c>
      <c r="R196" s="15">
        <f>+Tabla4[[#This Row],[Trenes Puntuales]]/Tabla4[[#This Row],[Trenes Corridos]]</f>
        <v>0.88463012648524342</v>
      </c>
      <c r="S196" s="15">
        <f>+Tabla4[[#This Row],[Trenes Corridos]]/Tabla4[[#This Row],[Trenes Programados]]</f>
        <v>0.97532710280373835</v>
      </c>
      <c r="T196" s="16"/>
      <c r="U196" s="16"/>
      <c r="V196" s="16">
        <v>5350</v>
      </c>
      <c r="W196" s="16">
        <f t="shared" si="65"/>
        <v>132</v>
      </c>
      <c r="X196" s="16">
        <v>5218</v>
      </c>
      <c r="Y196" s="16">
        <v>4616</v>
      </c>
      <c r="Z196" s="16">
        <f t="shared" si="66"/>
        <v>602</v>
      </c>
      <c r="AA196" s="16"/>
      <c r="AB196" s="17"/>
      <c r="AC196" s="18">
        <v>2008</v>
      </c>
      <c r="AD196" s="21" t="s">
        <v>46</v>
      </c>
      <c r="AE196" s="15">
        <f>+Tabla5[[#This Row],[Trenes Puntuales]]/Tabla5[[#This Row],[Trenes Programados]]</f>
        <v>0.91362048894062864</v>
      </c>
      <c r="AF196" s="15">
        <f>+Tabla5[[#This Row],[Trenes Puntuales]]/Tabla5[[#This Row],[Trenes Corridos]]</f>
        <v>0.92177589852008457</v>
      </c>
      <c r="AG196" s="15">
        <f>+Tabla5[[#This Row],[Trenes Corridos]]/Tabla5[[#This Row],[Trenes Programados]]</f>
        <v>0.99115250291036083</v>
      </c>
      <c r="AH196" s="16"/>
      <c r="AI196" s="16"/>
      <c r="AJ196" s="16">
        <v>4295</v>
      </c>
      <c r="AK196" s="16">
        <f t="shared" si="67"/>
        <v>38</v>
      </c>
      <c r="AL196" s="16">
        <v>4257</v>
      </c>
      <c r="AM196" s="16">
        <v>3924</v>
      </c>
      <c r="AN196" s="16">
        <f t="shared" si="68"/>
        <v>333</v>
      </c>
      <c r="AO196" s="16"/>
      <c r="AP196" s="17"/>
      <c r="AQ196" s="18">
        <v>2008</v>
      </c>
      <c r="AR196" s="21" t="s">
        <v>46</v>
      </c>
      <c r="AS196" s="15">
        <f>+Tabla6[[#This Row],[Trenes Puntuales]]/Tabla6[[#This Row],[Trenes Programados]]</f>
        <v>0.94943639291465376</v>
      </c>
      <c r="AT196" s="15">
        <f>+Tabla6[[#This Row],[Trenes Puntuales]]/Tabla6[[#This Row],[Trenes Corridos]]</f>
        <v>0.96560759908286931</v>
      </c>
      <c r="AU196" s="15">
        <f>+Tabla6[[#This Row],[Trenes Corridos]]/Tabla6[[#This Row],[Trenes Programados]]</f>
        <v>0.98325281803542675</v>
      </c>
      <c r="AV196" s="16"/>
      <c r="AW196" s="16"/>
      <c r="AX196" s="16">
        <v>3105</v>
      </c>
      <c r="AY196" s="16">
        <f t="shared" si="69"/>
        <v>52</v>
      </c>
      <c r="AZ196" s="16">
        <v>3053</v>
      </c>
      <c r="BA196" s="16">
        <v>2948</v>
      </c>
      <c r="BB196" s="16">
        <f t="shared" si="70"/>
        <v>105</v>
      </c>
      <c r="BC196" s="16"/>
      <c r="BD196" s="17"/>
      <c r="BE196" s="18">
        <v>2008</v>
      </c>
      <c r="BF196" s="21" t="s">
        <v>46</v>
      </c>
      <c r="BG196" s="15">
        <f>+MIT_Vic_Cap[[#This Row],[Trenes Puntuales]]/MIT_Vic_Cap[[#This Row],[Trenes Programados]]</f>
        <v>0.94605809128630702</v>
      </c>
      <c r="BH196" s="15">
        <f>+MIT_Vic_Cap[[#This Row],[Trenes Puntuales]]/MIT_Vic_Cap[[#This Row],[Trenes Corridos]]</f>
        <v>0.95697796432318993</v>
      </c>
      <c r="BI196" s="15">
        <f>+MIT_Vic_Cap[[#This Row],[Trenes Corridos]]/MIT_Vic_Cap[[#This Row],[Trenes Programados]]</f>
        <v>0.9885892116182573</v>
      </c>
      <c r="BJ196" s="16"/>
      <c r="BK196" s="16"/>
      <c r="BL196" s="16">
        <v>964</v>
      </c>
      <c r="BM196" s="16">
        <f t="shared" si="71"/>
        <v>11</v>
      </c>
      <c r="BN196" s="16">
        <v>953</v>
      </c>
      <c r="BO196" s="16">
        <v>912</v>
      </c>
      <c r="BP196" s="16">
        <f t="shared" si="72"/>
        <v>41</v>
      </c>
      <c r="BQ196" s="16"/>
      <c r="BR196" s="17"/>
      <c r="BS196" s="18">
        <v>2008</v>
      </c>
      <c r="BT196" s="21" t="s">
        <v>46</v>
      </c>
      <c r="BU196" s="15">
        <f>+Tabla8[[#This Row],[Trenes Puntuales]]/Tabla8[[#This Row],[Trenes Programados]]</f>
        <v>0.8419889502762431</v>
      </c>
      <c r="BV196" s="15">
        <f>+Tabla8[[#This Row],[Trenes Puntuales]]/Tabla8[[#This Row],[Trenes Corridos]]</f>
        <v>0.87085714285714289</v>
      </c>
      <c r="BW196" s="15">
        <f>+Tabla8[[#This Row],[Trenes Corridos]]/Tabla8[[#This Row],[Trenes Programados]]</f>
        <v>0.96685082872928174</v>
      </c>
      <c r="BX196" s="16"/>
      <c r="BY196" s="16"/>
      <c r="BZ196" s="16">
        <v>905</v>
      </c>
      <c r="CA196" s="16">
        <f t="shared" si="73"/>
        <v>30</v>
      </c>
      <c r="CB196" s="16">
        <v>875</v>
      </c>
      <c r="CC196" s="16">
        <v>762</v>
      </c>
      <c r="CD196" s="16">
        <f t="shared" si="74"/>
        <v>113</v>
      </c>
      <c r="CI196" s="40"/>
      <c r="CJ196" s="40"/>
      <c r="CK196" s="40"/>
      <c r="CL196" s="40"/>
      <c r="CM196" s="40"/>
    </row>
    <row r="197" spans="1:91" s="18" customFormat="1" ht="15" customHeight="1">
      <c r="A197" s="18">
        <v>2008</v>
      </c>
      <c r="B197" s="21" t="s">
        <v>47</v>
      </c>
      <c r="C197" s="15">
        <f>+MITRE[[#This Row],[Trenes Puntuales]]/MITRE[[#This Row],[Trenes Programados]]</f>
        <v>0.90374832663989291</v>
      </c>
      <c r="D197" s="15">
        <f>+MITRE[[#This Row],[Trenes Puntuales]]/MITRE[[#This Row],[Trenes Corridos]]</f>
        <v>0.92612662048151451</v>
      </c>
      <c r="E197" s="15">
        <f>+MITRE[[#This Row],[Trenes Corridos]]/MITRE[[#This Row],[Trenes Programados]]</f>
        <v>0.97583668005354751</v>
      </c>
      <c r="F197" s="16">
        <f>+Tabla4[[#This Row],[Trenes Programados por Día Hábil]]+Tabla5[[#This Row],[Trenes Programados por Día Hábil]]+Tabla6[[#This Row],[Trenes Programados por Día Hábil]]+MIT_Vic_Cap[[#This Row],[Trenes Programados por Día Hábil]]+Tabla8[[#This Row],[Trenes Programados por Día Hábil]]</f>
        <v>0</v>
      </c>
      <c r="G19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7" s="16">
        <f t="shared" si="20"/>
        <v>14940</v>
      </c>
      <c r="I197" s="16">
        <f t="shared" si="21"/>
        <v>361</v>
      </c>
      <c r="J197" s="16">
        <f t="shared" si="22"/>
        <v>14579</v>
      </c>
      <c r="K197" s="16">
        <f t="shared" si="23"/>
        <v>13502</v>
      </c>
      <c r="L197" s="16">
        <f t="shared" si="24"/>
        <v>1077</v>
      </c>
      <c r="M197" s="16"/>
      <c r="N197" s="17"/>
      <c r="O197" s="18">
        <v>2008</v>
      </c>
      <c r="P197" s="21" t="s">
        <v>47</v>
      </c>
      <c r="Q197" s="15">
        <f>+Tabla4[[#This Row],[Trenes Puntuales]]/Tabla4[[#This Row],[Trenes Programados]]</f>
        <v>0.88736263736263732</v>
      </c>
      <c r="R197" s="15">
        <f>+Tabla4[[#This Row],[Trenes Puntuales]]/Tabla4[[#This Row],[Trenes Corridos]]</f>
        <v>0.90798350824587704</v>
      </c>
      <c r="S197" s="15">
        <f>+Tabla4[[#This Row],[Trenes Corridos]]/Tabla4[[#This Row],[Trenes Programados]]</f>
        <v>0.97728937728937726</v>
      </c>
      <c r="T197" s="16"/>
      <c r="U197" s="16"/>
      <c r="V197" s="16">
        <v>5460</v>
      </c>
      <c r="W197" s="16">
        <f t="shared" si="65"/>
        <v>124</v>
      </c>
      <c r="X197" s="16">
        <v>5336</v>
      </c>
      <c r="Y197" s="16">
        <v>4845</v>
      </c>
      <c r="Z197" s="16">
        <f t="shared" si="66"/>
        <v>491</v>
      </c>
      <c r="AA197" s="16"/>
      <c r="AB197" s="17"/>
      <c r="AC197" s="18">
        <v>2008</v>
      </c>
      <c r="AD197" s="21" t="s">
        <v>47</v>
      </c>
      <c r="AE197" s="15">
        <f>+Tabla5[[#This Row],[Trenes Puntuales]]/Tabla5[[#This Row],[Trenes Programados]]</f>
        <v>0.90328467153284675</v>
      </c>
      <c r="AF197" s="15">
        <f>+Tabla5[[#This Row],[Trenes Puntuales]]/Tabla5[[#This Row],[Trenes Corridos]]</f>
        <v>0.92544987146529567</v>
      </c>
      <c r="AG197" s="15">
        <f>+Tabla5[[#This Row],[Trenes Corridos]]/Tabla5[[#This Row],[Trenes Programados]]</f>
        <v>0.97604927007299269</v>
      </c>
      <c r="AH197" s="16"/>
      <c r="AI197" s="16"/>
      <c r="AJ197" s="16">
        <v>4384</v>
      </c>
      <c r="AK197" s="16">
        <f t="shared" si="67"/>
        <v>105</v>
      </c>
      <c r="AL197" s="16">
        <v>4279</v>
      </c>
      <c r="AM197" s="16">
        <v>3960</v>
      </c>
      <c r="AN197" s="16">
        <f t="shared" si="68"/>
        <v>319</v>
      </c>
      <c r="AO197" s="16"/>
      <c r="AP197" s="17"/>
      <c r="AQ197" s="18">
        <v>2008</v>
      </c>
      <c r="AR197" s="21" t="s">
        <v>47</v>
      </c>
      <c r="AS197" s="15">
        <f>+Tabla6[[#This Row],[Trenes Puntuales]]/Tabla6[[#This Row],[Trenes Programados]]</f>
        <v>0.94228356336260977</v>
      </c>
      <c r="AT197" s="15">
        <f>+Tabla6[[#This Row],[Trenes Puntuales]]/Tabla6[[#This Row],[Trenes Corridos]]</f>
        <v>0.96282051282051284</v>
      </c>
      <c r="AU197" s="15">
        <f>+Tabla6[[#This Row],[Trenes Corridos]]/Tabla6[[#This Row],[Trenes Programados]]</f>
        <v>0.97867001254705144</v>
      </c>
      <c r="AV197" s="16"/>
      <c r="AW197" s="16"/>
      <c r="AX197" s="16">
        <v>3188</v>
      </c>
      <c r="AY197" s="16">
        <f t="shared" si="69"/>
        <v>68</v>
      </c>
      <c r="AZ197" s="16">
        <v>3120</v>
      </c>
      <c r="BA197" s="16">
        <v>3004</v>
      </c>
      <c r="BB197" s="16">
        <f t="shared" si="70"/>
        <v>116</v>
      </c>
      <c r="BC197" s="16"/>
      <c r="BD197" s="17"/>
      <c r="BE197" s="18">
        <v>2008</v>
      </c>
      <c r="BF197" s="21" t="s">
        <v>47</v>
      </c>
      <c r="BG197" s="15">
        <f>+MIT_Vic_Cap[[#This Row],[Trenes Puntuales]]/MIT_Vic_Cap[[#This Row],[Trenes Programados]]</f>
        <v>0.91894630192502536</v>
      </c>
      <c r="BH197" s="15">
        <f>+MIT_Vic_Cap[[#This Row],[Trenes Puntuales]]/MIT_Vic_Cap[[#This Row],[Trenes Corridos]]</f>
        <v>0.95273109243697474</v>
      </c>
      <c r="BI197" s="15">
        <f>+MIT_Vic_Cap[[#This Row],[Trenes Corridos]]/MIT_Vic_Cap[[#This Row],[Trenes Programados]]</f>
        <v>0.96453900709219853</v>
      </c>
      <c r="BJ197" s="16"/>
      <c r="BK197" s="16"/>
      <c r="BL197" s="16">
        <v>987</v>
      </c>
      <c r="BM197" s="16">
        <f t="shared" si="71"/>
        <v>35</v>
      </c>
      <c r="BN197" s="16">
        <v>952</v>
      </c>
      <c r="BO197" s="16">
        <v>907</v>
      </c>
      <c r="BP197" s="16">
        <f t="shared" si="72"/>
        <v>45</v>
      </c>
      <c r="BQ197" s="16"/>
      <c r="BR197" s="17"/>
      <c r="BS197" s="18">
        <v>2008</v>
      </c>
      <c r="BT197" s="21" t="s">
        <v>47</v>
      </c>
      <c r="BU197" s="15">
        <f>+Tabla8[[#This Row],[Trenes Puntuales]]/Tabla8[[#This Row],[Trenes Programados]]</f>
        <v>0.85342019543973946</v>
      </c>
      <c r="BV197" s="15">
        <f>+Tabla8[[#This Row],[Trenes Puntuales]]/Tabla8[[#This Row],[Trenes Corridos]]</f>
        <v>0.8811659192825112</v>
      </c>
      <c r="BW197" s="15">
        <f>+Tabla8[[#This Row],[Trenes Corridos]]/Tabla8[[#This Row],[Trenes Programados]]</f>
        <v>0.96851248642779586</v>
      </c>
      <c r="BX197" s="16"/>
      <c r="BY197" s="16"/>
      <c r="BZ197" s="16">
        <v>921</v>
      </c>
      <c r="CA197" s="16">
        <f t="shared" si="73"/>
        <v>29</v>
      </c>
      <c r="CB197" s="16">
        <v>892</v>
      </c>
      <c r="CC197" s="16">
        <v>786</v>
      </c>
      <c r="CD197" s="16">
        <f t="shared" si="74"/>
        <v>106</v>
      </c>
      <c r="CI197" s="40"/>
      <c r="CJ197" s="40"/>
      <c r="CK197" s="40"/>
      <c r="CL197" s="40"/>
      <c r="CM197" s="40"/>
    </row>
    <row r="198" spans="1:91" s="18" customFormat="1" ht="15" customHeight="1">
      <c r="A198" s="18">
        <v>2009</v>
      </c>
      <c r="B198" s="21" t="s">
        <v>36</v>
      </c>
      <c r="C198" s="15">
        <f>+MITRE[[#This Row],[Trenes Puntuales]]/MITRE[[#This Row],[Trenes Programados]]</f>
        <v>0.8966157929661579</v>
      </c>
      <c r="D198" s="15">
        <f>+MITRE[[#This Row],[Trenes Puntuales]]/MITRE[[#This Row],[Trenes Corridos]]</f>
        <v>0.91774774162874417</v>
      </c>
      <c r="E198" s="15">
        <f>+MITRE[[#This Row],[Trenes Corridos]]/MITRE[[#This Row],[Trenes Programados]]</f>
        <v>0.97697412076974122</v>
      </c>
      <c r="F198" s="16">
        <f>+Tabla4[[#This Row],[Trenes Programados por Día Hábil]]+Tabla5[[#This Row],[Trenes Programados por Día Hábil]]+Tabla6[[#This Row],[Trenes Programados por Día Hábil]]+MIT_Vic_Cap[[#This Row],[Trenes Programados por Día Hábil]]+Tabla8[[#This Row],[Trenes Programados por Día Hábil]]</f>
        <v>0</v>
      </c>
      <c r="G19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8" s="16">
        <f t="shared" ref="H198:H261" si="75">+V198+AJ198+AX198+BL198+BZ198</f>
        <v>15070</v>
      </c>
      <c r="I198" s="16">
        <f t="shared" ref="I198:I261" si="76">H198-J198</f>
        <v>347</v>
      </c>
      <c r="J198" s="16">
        <f t="shared" ref="J198:J261" si="77">+X198+AL198+AZ198+BN198+CB198</f>
        <v>14723</v>
      </c>
      <c r="K198" s="16">
        <f t="shared" ref="K198:K261" si="78">+Y198+AM198+BA198+BO198+CC198</f>
        <v>13512</v>
      </c>
      <c r="L198" s="16">
        <f t="shared" ref="L198:L261" si="79">J198-K198</f>
        <v>1211</v>
      </c>
      <c r="M198" s="16"/>
      <c r="N198" s="17"/>
      <c r="O198" s="18">
        <v>2009</v>
      </c>
      <c r="P198" s="21" t="s">
        <v>36</v>
      </c>
      <c r="Q198" s="15">
        <f>+Tabla4[[#This Row],[Trenes Puntuales]]/Tabla4[[#This Row],[Trenes Programados]]</f>
        <v>0.85226860254083481</v>
      </c>
      <c r="R198" s="15">
        <f>+Tabla4[[#This Row],[Trenes Puntuales]]/Tabla4[[#This Row],[Trenes Corridos]]</f>
        <v>0.88138138138138133</v>
      </c>
      <c r="S198" s="15">
        <f>+Tabla4[[#This Row],[Trenes Corridos]]/Tabla4[[#This Row],[Trenes Programados]]</f>
        <v>0.96696914700544467</v>
      </c>
      <c r="T198" s="16"/>
      <c r="U198" s="16"/>
      <c r="V198" s="16">
        <v>5510</v>
      </c>
      <c r="W198" s="16">
        <f t="shared" ref="W198:W209" si="80">V198-X198</f>
        <v>182</v>
      </c>
      <c r="X198" s="16">
        <v>5328</v>
      </c>
      <c r="Y198" s="16">
        <v>4696</v>
      </c>
      <c r="Z198" s="16">
        <f t="shared" ref="Z198:Z209" si="81">X198-Y198</f>
        <v>632</v>
      </c>
      <c r="AA198" s="16"/>
      <c r="AB198" s="17"/>
      <c r="AC198" s="18">
        <v>2009</v>
      </c>
      <c r="AD198" s="21" t="s">
        <v>36</v>
      </c>
      <c r="AE198" s="15">
        <f>+Tabla5[[#This Row],[Trenes Puntuales]]/Tabla5[[#This Row],[Trenes Programados]]</f>
        <v>0.92120117407992774</v>
      </c>
      <c r="AF198" s="15">
        <f>+Tabla5[[#This Row],[Trenes Puntuales]]/Tabla5[[#This Row],[Trenes Corridos]]</f>
        <v>0.934493815849748</v>
      </c>
      <c r="AG198" s="15">
        <f>+Tabla5[[#This Row],[Trenes Corridos]]/Tabla5[[#This Row],[Trenes Programados]]</f>
        <v>0.98577557010611871</v>
      </c>
      <c r="AH198" s="16"/>
      <c r="AI198" s="16"/>
      <c r="AJ198" s="16">
        <v>4429</v>
      </c>
      <c r="AK198" s="16">
        <f t="shared" ref="AK198:AK209" si="82">AJ198-AL198</f>
        <v>63</v>
      </c>
      <c r="AL198" s="16">
        <v>4366</v>
      </c>
      <c r="AM198" s="16">
        <v>4080</v>
      </c>
      <c r="AN198" s="16">
        <f t="shared" ref="AN198:AN209" si="83">AL198-AM198</f>
        <v>286</v>
      </c>
      <c r="AO198" s="16"/>
      <c r="AP198" s="17"/>
      <c r="AQ198" s="18">
        <v>2009</v>
      </c>
      <c r="AR198" s="21" t="s">
        <v>36</v>
      </c>
      <c r="AS198" s="15">
        <f>+Tabla6[[#This Row],[Trenes Puntuales]]/Tabla6[[#This Row],[Trenes Programados]]</f>
        <v>0.9448082319925164</v>
      </c>
      <c r="AT198" s="15">
        <f>+Tabla6[[#This Row],[Trenes Puntuales]]/Tabla6[[#This Row],[Trenes Corridos]]</f>
        <v>0.96466093600764091</v>
      </c>
      <c r="AU198" s="15">
        <f>+Tabla6[[#This Row],[Trenes Corridos]]/Tabla6[[#This Row],[Trenes Programados]]</f>
        <v>0.97942001870907391</v>
      </c>
      <c r="AV198" s="16"/>
      <c r="AW198" s="16"/>
      <c r="AX198" s="16">
        <v>3207</v>
      </c>
      <c r="AY198" s="16">
        <f t="shared" ref="AY198:AY209" si="84">AX198-AZ198</f>
        <v>66</v>
      </c>
      <c r="AZ198" s="16">
        <v>3141</v>
      </c>
      <c r="BA198" s="16">
        <v>3030</v>
      </c>
      <c r="BB198" s="16">
        <f t="shared" ref="BB198:BB209" si="85">AZ198-BA198</f>
        <v>111</v>
      </c>
      <c r="BC198" s="16"/>
      <c r="BD198" s="17"/>
      <c r="BE198" s="18">
        <v>2009</v>
      </c>
      <c r="BF198" s="21" t="s">
        <v>36</v>
      </c>
      <c r="BG198" s="15">
        <f>+MIT_Vic_Cap[[#This Row],[Trenes Puntuales]]/MIT_Vic_Cap[[#This Row],[Trenes Programados]]</f>
        <v>0.90080160320641278</v>
      </c>
      <c r="BH198" s="15">
        <f>+MIT_Vic_Cap[[#This Row],[Trenes Puntuales]]/MIT_Vic_Cap[[#This Row],[Trenes Corridos]]</f>
        <v>0.9182839632277835</v>
      </c>
      <c r="BI198" s="15">
        <f>+MIT_Vic_Cap[[#This Row],[Trenes Corridos]]/MIT_Vic_Cap[[#This Row],[Trenes Programados]]</f>
        <v>0.98096192384769543</v>
      </c>
      <c r="BJ198" s="16"/>
      <c r="BK198" s="16"/>
      <c r="BL198" s="16">
        <v>998</v>
      </c>
      <c r="BM198" s="16">
        <f t="shared" ref="BM198:BM209" si="86">BL198-BN198</f>
        <v>19</v>
      </c>
      <c r="BN198" s="16">
        <v>979</v>
      </c>
      <c r="BO198" s="16">
        <v>899</v>
      </c>
      <c r="BP198" s="16">
        <f t="shared" ref="BP198:BP209" si="87">BN198-BO198</f>
        <v>80</v>
      </c>
      <c r="BQ198" s="16"/>
      <c r="BR198" s="17"/>
      <c r="BS198" s="18">
        <v>2009</v>
      </c>
      <c r="BT198" s="21" t="s">
        <v>36</v>
      </c>
      <c r="BU198" s="15">
        <f>+Tabla8[[#This Row],[Trenes Puntuales]]/Tabla8[[#This Row],[Trenes Programados]]</f>
        <v>0.87149028077753776</v>
      </c>
      <c r="BV198" s="15">
        <f>+Tabla8[[#This Row],[Trenes Puntuales]]/Tabla8[[#This Row],[Trenes Corridos]]</f>
        <v>0.88778877887788776</v>
      </c>
      <c r="BW198" s="15">
        <f>+Tabla8[[#This Row],[Trenes Corridos]]/Tabla8[[#This Row],[Trenes Programados]]</f>
        <v>0.98164146868250535</v>
      </c>
      <c r="BX198" s="16"/>
      <c r="BY198" s="16"/>
      <c r="BZ198" s="16">
        <v>926</v>
      </c>
      <c r="CA198" s="16">
        <f t="shared" ref="CA198:CA209" si="88">BZ198-CB198</f>
        <v>17</v>
      </c>
      <c r="CB198" s="16">
        <v>909</v>
      </c>
      <c r="CC198" s="16">
        <v>807</v>
      </c>
      <c r="CD198" s="16">
        <f t="shared" ref="CD198:CD209" si="89">CB198-CC198</f>
        <v>102</v>
      </c>
      <c r="CI198" s="40"/>
      <c r="CJ198" s="40"/>
      <c r="CK198" s="40"/>
      <c r="CL198" s="40"/>
      <c r="CM198" s="40"/>
    </row>
    <row r="199" spans="1:91" s="18" customFormat="1" ht="15" customHeight="1">
      <c r="A199" s="18">
        <v>2009</v>
      </c>
      <c r="B199" s="21" t="s">
        <v>37</v>
      </c>
      <c r="C199" s="15">
        <f>+MITRE[[#This Row],[Trenes Puntuales]]/MITRE[[#This Row],[Trenes Programados]]</f>
        <v>0.90460716348931258</v>
      </c>
      <c r="D199" s="15">
        <f>+MITRE[[#This Row],[Trenes Puntuales]]/MITRE[[#This Row],[Trenes Corridos]]</f>
        <v>0.9194803288314739</v>
      </c>
      <c r="E199" s="15">
        <f>+MITRE[[#This Row],[Trenes Corridos]]/MITRE[[#This Row],[Trenes Programados]]</f>
        <v>0.98382437897169261</v>
      </c>
      <c r="F199" s="16">
        <f>+Tabla4[[#This Row],[Trenes Programados por Día Hábil]]+Tabla5[[#This Row],[Trenes Programados por Día Hábil]]+Tabla6[[#This Row],[Trenes Programados por Día Hábil]]+MIT_Vic_Cap[[#This Row],[Trenes Programados por Día Hábil]]+Tabla8[[#This Row],[Trenes Programados por Día Hábil]]</f>
        <v>0</v>
      </c>
      <c r="G19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9" s="16">
        <f t="shared" si="75"/>
        <v>13848</v>
      </c>
      <c r="I199" s="16">
        <f t="shared" si="76"/>
        <v>224</v>
      </c>
      <c r="J199" s="16">
        <f t="shared" si="77"/>
        <v>13624</v>
      </c>
      <c r="K199" s="16">
        <f t="shared" si="78"/>
        <v>12527</v>
      </c>
      <c r="L199" s="16">
        <f t="shared" si="79"/>
        <v>1097</v>
      </c>
      <c r="M199" s="16"/>
      <c r="N199" s="17"/>
      <c r="O199" s="18">
        <v>2009</v>
      </c>
      <c r="P199" s="21" t="s">
        <v>37</v>
      </c>
      <c r="Q199" s="15">
        <f>+Tabla4[[#This Row],[Trenes Puntuales]]/Tabla4[[#This Row],[Trenes Programados]]</f>
        <v>0.89251968503937007</v>
      </c>
      <c r="R199" s="15">
        <f>+Tabla4[[#This Row],[Trenes Puntuales]]/Tabla4[[#This Row],[Trenes Corridos]]</f>
        <v>0.9095285857572718</v>
      </c>
      <c r="S199" s="15">
        <f>+Tabla4[[#This Row],[Trenes Corridos]]/Tabla4[[#This Row],[Trenes Programados]]</f>
        <v>0.98129921259842523</v>
      </c>
      <c r="T199" s="16"/>
      <c r="U199" s="16"/>
      <c r="V199" s="16">
        <v>5080</v>
      </c>
      <c r="W199" s="16">
        <f t="shared" si="80"/>
        <v>95</v>
      </c>
      <c r="X199" s="16">
        <v>4985</v>
      </c>
      <c r="Y199" s="16">
        <v>4534</v>
      </c>
      <c r="Z199" s="16">
        <f t="shared" si="81"/>
        <v>451</v>
      </c>
      <c r="AA199" s="16"/>
      <c r="AB199" s="17"/>
      <c r="AC199" s="18">
        <v>2009</v>
      </c>
      <c r="AD199" s="21" t="s">
        <v>37</v>
      </c>
      <c r="AE199" s="15">
        <f>+Tabla5[[#This Row],[Trenes Puntuales]]/Tabla5[[#This Row],[Trenes Programados]]</f>
        <v>0.89611984282907664</v>
      </c>
      <c r="AF199" s="15">
        <f>+Tabla5[[#This Row],[Trenes Puntuales]]/Tabla5[[#This Row],[Trenes Corridos]]</f>
        <v>0.91156632525605796</v>
      </c>
      <c r="AG199" s="15">
        <f>+Tabla5[[#This Row],[Trenes Corridos]]/Tabla5[[#This Row],[Trenes Programados]]</f>
        <v>0.98305500982318272</v>
      </c>
      <c r="AH199" s="16"/>
      <c r="AI199" s="16"/>
      <c r="AJ199" s="16">
        <v>4072</v>
      </c>
      <c r="AK199" s="16">
        <f t="shared" si="82"/>
        <v>69</v>
      </c>
      <c r="AL199" s="16">
        <v>4003</v>
      </c>
      <c r="AM199" s="16">
        <v>3649</v>
      </c>
      <c r="AN199" s="16">
        <f t="shared" si="83"/>
        <v>354</v>
      </c>
      <c r="AO199" s="16"/>
      <c r="AP199" s="17"/>
      <c r="AQ199" s="18">
        <v>2009</v>
      </c>
      <c r="AR199" s="21" t="s">
        <v>37</v>
      </c>
      <c r="AS199" s="15">
        <f>+Tabla6[[#This Row],[Trenes Puntuales]]/Tabla6[[#This Row],[Trenes Programados]]</f>
        <v>0.95376712328767121</v>
      </c>
      <c r="AT199" s="15">
        <f>+Tabla6[[#This Row],[Trenes Puntuales]]/Tabla6[[#This Row],[Trenes Corridos]]</f>
        <v>0.96500346500346501</v>
      </c>
      <c r="AU199" s="15">
        <f>+Tabla6[[#This Row],[Trenes Corridos]]/Tabla6[[#This Row],[Trenes Programados]]</f>
        <v>0.98835616438356166</v>
      </c>
      <c r="AV199" s="16"/>
      <c r="AW199" s="16"/>
      <c r="AX199" s="16">
        <v>2920</v>
      </c>
      <c r="AY199" s="16">
        <f t="shared" si="84"/>
        <v>34</v>
      </c>
      <c r="AZ199" s="16">
        <v>2886</v>
      </c>
      <c r="BA199" s="16">
        <v>2785</v>
      </c>
      <c r="BB199" s="16">
        <f t="shared" si="85"/>
        <v>101</v>
      </c>
      <c r="BC199" s="16"/>
      <c r="BD199" s="17"/>
      <c r="BE199" s="18">
        <v>2009</v>
      </c>
      <c r="BF199" s="21" t="s">
        <v>37</v>
      </c>
      <c r="BG199" s="15">
        <f>+MIT_Vic_Cap[[#This Row],[Trenes Puntuales]]/MIT_Vic_Cap[[#This Row],[Trenes Programados]]</f>
        <v>0.92841409691629961</v>
      </c>
      <c r="BH199" s="15">
        <f>+MIT_Vic_Cap[[#This Row],[Trenes Puntuales]]/MIT_Vic_Cap[[#This Row],[Trenes Corridos]]</f>
        <v>0.9408482142857143</v>
      </c>
      <c r="BI199" s="15">
        <f>+MIT_Vic_Cap[[#This Row],[Trenes Corridos]]/MIT_Vic_Cap[[#This Row],[Trenes Programados]]</f>
        <v>0.986784140969163</v>
      </c>
      <c r="BJ199" s="16"/>
      <c r="BK199" s="16"/>
      <c r="BL199" s="16">
        <v>908</v>
      </c>
      <c r="BM199" s="16">
        <f t="shared" si="86"/>
        <v>12</v>
      </c>
      <c r="BN199" s="16">
        <v>896</v>
      </c>
      <c r="BO199" s="16">
        <v>843</v>
      </c>
      <c r="BP199" s="16">
        <f t="shared" si="87"/>
        <v>53</v>
      </c>
      <c r="BQ199" s="16"/>
      <c r="BR199" s="17"/>
      <c r="BS199" s="18">
        <v>2009</v>
      </c>
      <c r="BT199" s="21" t="s">
        <v>37</v>
      </c>
      <c r="BU199" s="15">
        <f>+Tabla8[[#This Row],[Trenes Puntuales]]/Tabla8[[#This Row],[Trenes Programados]]</f>
        <v>0.82488479262672809</v>
      </c>
      <c r="BV199" s="15">
        <f>+Tabla8[[#This Row],[Trenes Puntuales]]/Tabla8[[#This Row],[Trenes Corridos]]</f>
        <v>0.83840749414519911</v>
      </c>
      <c r="BW199" s="15">
        <f>+Tabla8[[#This Row],[Trenes Corridos]]/Tabla8[[#This Row],[Trenes Programados]]</f>
        <v>0.9838709677419355</v>
      </c>
      <c r="BX199" s="16"/>
      <c r="BY199" s="16"/>
      <c r="BZ199" s="16">
        <v>868</v>
      </c>
      <c r="CA199" s="16">
        <f t="shared" si="88"/>
        <v>14</v>
      </c>
      <c r="CB199" s="16">
        <v>854</v>
      </c>
      <c r="CC199" s="16">
        <v>716</v>
      </c>
      <c r="CD199" s="16">
        <f t="shared" si="89"/>
        <v>138</v>
      </c>
      <c r="CI199" s="40"/>
      <c r="CJ199" s="40"/>
      <c r="CK199" s="40"/>
      <c r="CL199" s="40"/>
      <c r="CM199" s="40"/>
    </row>
    <row r="200" spans="1:91" s="18" customFormat="1" ht="15" customHeight="1">
      <c r="A200" s="18">
        <v>2009</v>
      </c>
      <c r="B200" s="21" t="s">
        <v>38</v>
      </c>
      <c r="C200" s="15">
        <f>+MITRE[[#This Row],[Trenes Puntuales]]/MITRE[[#This Row],[Trenes Programados]]</f>
        <v>0.87456747404844293</v>
      </c>
      <c r="D200" s="15">
        <f>+MITRE[[#This Row],[Trenes Puntuales]]/MITRE[[#This Row],[Trenes Corridos]]</f>
        <v>0.88954314720812178</v>
      </c>
      <c r="E200" s="15">
        <f>+MITRE[[#This Row],[Trenes Corridos]]/MITRE[[#This Row],[Trenes Programados]]</f>
        <v>0.98316475911631618</v>
      </c>
      <c r="F200" s="16">
        <f>+Tabla4[[#This Row],[Trenes Programados por Día Hábil]]+Tabla5[[#This Row],[Trenes Programados por Día Hábil]]+Tabla6[[#This Row],[Trenes Programados por Día Hábil]]+MIT_Vic_Cap[[#This Row],[Trenes Programados por Día Hábil]]+Tabla8[[#This Row],[Trenes Programados por Día Hábil]]</f>
        <v>0</v>
      </c>
      <c r="G20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0" s="16">
        <f t="shared" si="75"/>
        <v>15028</v>
      </c>
      <c r="I200" s="16">
        <f t="shared" si="76"/>
        <v>253</v>
      </c>
      <c r="J200" s="16">
        <f t="shared" si="77"/>
        <v>14775</v>
      </c>
      <c r="K200" s="16">
        <f t="shared" si="78"/>
        <v>13143</v>
      </c>
      <c r="L200" s="16">
        <f t="shared" si="79"/>
        <v>1632</v>
      </c>
      <c r="M200" s="16"/>
      <c r="N200" s="17"/>
      <c r="O200" s="18">
        <v>2009</v>
      </c>
      <c r="P200" s="21" t="s">
        <v>38</v>
      </c>
      <c r="Q200" s="15">
        <f>+Tabla4[[#This Row],[Trenes Puntuales]]/Tabla4[[#This Row],[Trenes Programados]]</f>
        <v>0.88454545454545452</v>
      </c>
      <c r="R200" s="15">
        <f>+Tabla4[[#This Row],[Trenes Puntuales]]/Tabla4[[#This Row],[Trenes Corridos]]</f>
        <v>0.90326773115484593</v>
      </c>
      <c r="S200" s="15">
        <f>+Tabla4[[#This Row],[Trenes Corridos]]/Tabla4[[#This Row],[Trenes Programados]]</f>
        <v>0.97927272727272729</v>
      </c>
      <c r="T200" s="16"/>
      <c r="U200" s="16"/>
      <c r="V200" s="16">
        <v>5500</v>
      </c>
      <c r="W200" s="16">
        <f t="shared" si="80"/>
        <v>114</v>
      </c>
      <c r="X200" s="16">
        <v>5386</v>
      </c>
      <c r="Y200" s="16">
        <v>4865</v>
      </c>
      <c r="Z200" s="16">
        <f t="shared" si="81"/>
        <v>521</v>
      </c>
      <c r="AA200" s="16"/>
      <c r="AB200" s="17"/>
      <c r="AC200" s="18">
        <v>2009</v>
      </c>
      <c r="AD200" s="21" t="s">
        <v>38</v>
      </c>
      <c r="AE200" s="15">
        <f>+Tabla5[[#This Row],[Trenes Puntuales]]/Tabla5[[#This Row],[Trenes Programados]]</f>
        <v>0.84939895667951915</v>
      </c>
      <c r="AF200" s="15">
        <f>+Tabla5[[#This Row],[Trenes Puntuales]]/Tabla5[[#This Row],[Trenes Corridos]]</f>
        <v>0.85894495412844041</v>
      </c>
      <c r="AG200" s="15">
        <f>+Tabla5[[#This Row],[Trenes Corridos]]/Tabla5[[#This Row],[Trenes Programados]]</f>
        <v>0.98888636879110914</v>
      </c>
      <c r="AH200" s="16"/>
      <c r="AI200" s="16"/>
      <c r="AJ200" s="16">
        <v>4409</v>
      </c>
      <c r="AK200" s="16">
        <f t="shared" si="82"/>
        <v>49</v>
      </c>
      <c r="AL200" s="16">
        <v>4360</v>
      </c>
      <c r="AM200" s="16">
        <v>3745</v>
      </c>
      <c r="AN200" s="16">
        <f t="shared" si="83"/>
        <v>615</v>
      </c>
      <c r="AO200" s="16"/>
      <c r="AP200" s="17"/>
      <c r="AQ200" s="18">
        <v>2009</v>
      </c>
      <c r="AR200" s="21" t="s">
        <v>38</v>
      </c>
      <c r="AS200" s="15">
        <f>+Tabla6[[#This Row],[Trenes Puntuales]]/Tabla6[[#This Row],[Trenes Programados]]</f>
        <v>0.91392801251956179</v>
      </c>
      <c r="AT200" s="15">
        <f>+Tabla6[[#This Row],[Trenes Puntuales]]/Tabla6[[#This Row],[Trenes Corridos]]</f>
        <v>0.92610212496035527</v>
      </c>
      <c r="AU200" s="15">
        <f>+Tabla6[[#This Row],[Trenes Corridos]]/Tabla6[[#This Row],[Trenes Programados]]</f>
        <v>0.98685446009389677</v>
      </c>
      <c r="AV200" s="16"/>
      <c r="AW200" s="16"/>
      <c r="AX200" s="16">
        <v>3195</v>
      </c>
      <c r="AY200" s="16">
        <f t="shared" si="84"/>
        <v>42</v>
      </c>
      <c r="AZ200" s="16">
        <v>3153</v>
      </c>
      <c r="BA200" s="16">
        <v>2920</v>
      </c>
      <c r="BB200" s="16">
        <f t="shared" si="85"/>
        <v>233</v>
      </c>
      <c r="BC200" s="16"/>
      <c r="BD200" s="17"/>
      <c r="BE200" s="18">
        <v>2009</v>
      </c>
      <c r="BF200" s="21" t="s">
        <v>38</v>
      </c>
      <c r="BG200" s="15">
        <f>+MIT_Vic_Cap[[#This Row],[Trenes Puntuales]]/MIT_Vic_Cap[[#This Row],[Trenes Programados]]</f>
        <v>0.95344129554655865</v>
      </c>
      <c r="BH200" s="15">
        <f>+MIT_Vic_Cap[[#This Row],[Trenes Puntuales]]/MIT_Vic_Cap[[#This Row],[Trenes Corridos]]</f>
        <v>0.96417604912998978</v>
      </c>
      <c r="BI200" s="15">
        <f>+MIT_Vic_Cap[[#This Row],[Trenes Corridos]]/MIT_Vic_Cap[[#This Row],[Trenes Programados]]</f>
        <v>0.98886639676113364</v>
      </c>
      <c r="BJ200" s="16"/>
      <c r="BK200" s="16"/>
      <c r="BL200" s="16">
        <v>988</v>
      </c>
      <c r="BM200" s="16">
        <f t="shared" si="86"/>
        <v>11</v>
      </c>
      <c r="BN200" s="16">
        <v>977</v>
      </c>
      <c r="BO200" s="16">
        <v>942</v>
      </c>
      <c r="BP200" s="16">
        <f t="shared" si="87"/>
        <v>35</v>
      </c>
      <c r="BQ200" s="16"/>
      <c r="BR200" s="17"/>
      <c r="BS200" s="18">
        <v>2009</v>
      </c>
      <c r="BT200" s="21" t="s">
        <v>38</v>
      </c>
      <c r="BU200" s="15">
        <f>+Tabla8[[#This Row],[Trenes Puntuales]]/Tabla8[[#This Row],[Trenes Programados]]</f>
        <v>0.71688034188034189</v>
      </c>
      <c r="BV200" s="15">
        <f>+Tabla8[[#This Row],[Trenes Puntuales]]/Tabla8[[#This Row],[Trenes Corridos]]</f>
        <v>0.74638487208008897</v>
      </c>
      <c r="BW200" s="15">
        <f>+Tabla8[[#This Row],[Trenes Corridos]]/Tabla8[[#This Row],[Trenes Programados]]</f>
        <v>0.9604700854700855</v>
      </c>
      <c r="BX200" s="16"/>
      <c r="BY200" s="16"/>
      <c r="BZ200" s="16">
        <v>936</v>
      </c>
      <c r="CA200" s="16">
        <f t="shared" si="88"/>
        <v>37</v>
      </c>
      <c r="CB200" s="16">
        <v>899</v>
      </c>
      <c r="CC200" s="16">
        <v>671</v>
      </c>
      <c r="CD200" s="16">
        <f t="shared" si="89"/>
        <v>228</v>
      </c>
      <c r="CI200" s="40"/>
      <c r="CJ200" s="40"/>
      <c r="CK200" s="40"/>
      <c r="CL200" s="40"/>
      <c r="CM200" s="40"/>
    </row>
    <row r="201" spans="1:91" s="18" customFormat="1" ht="15" customHeight="1">
      <c r="A201" s="18">
        <v>2009</v>
      </c>
      <c r="B201" s="21" t="s">
        <v>39</v>
      </c>
      <c r="C201" s="15">
        <f>+MITRE[[#This Row],[Trenes Puntuales]]/MITRE[[#This Row],[Trenes Programados]]</f>
        <v>0.85808945334069575</v>
      </c>
      <c r="D201" s="15">
        <f>+MITRE[[#This Row],[Trenes Puntuales]]/MITRE[[#This Row],[Trenes Corridos]]</f>
        <v>0.8886982629208664</v>
      </c>
      <c r="E201" s="15">
        <f>+MITRE[[#This Row],[Trenes Corridos]]/MITRE[[#This Row],[Trenes Programados]]</f>
        <v>0.96555770292655996</v>
      </c>
      <c r="F201" s="16">
        <f>+Tabla4[[#This Row],[Trenes Programados por Día Hábil]]+Tabla5[[#This Row],[Trenes Programados por Día Hábil]]+Tabla6[[#This Row],[Trenes Programados por Día Hábil]]+MIT_Vic_Cap[[#This Row],[Trenes Programados por Día Hábil]]+Tabla8[[#This Row],[Trenes Programados por Día Hábil]]</f>
        <v>0</v>
      </c>
      <c r="G20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1" s="16">
        <f t="shared" si="75"/>
        <v>14488</v>
      </c>
      <c r="I201" s="16">
        <f t="shared" si="76"/>
        <v>499</v>
      </c>
      <c r="J201" s="16">
        <f t="shared" si="77"/>
        <v>13989</v>
      </c>
      <c r="K201" s="16">
        <f t="shared" si="78"/>
        <v>12432</v>
      </c>
      <c r="L201" s="16">
        <f t="shared" si="79"/>
        <v>1557</v>
      </c>
      <c r="M201" s="16"/>
      <c r="N201" s="17"/>
      <c r="O201" s="18">
        <v>2009</v>
      </c>
      <c r="P201" s="21" t="s">
        <v>39</v>
      </c>
      <c r="Q201" s="15">
        <f>+Tabla4[[#This Row],[Trenes Puntuales]]/Tabla4[[#This Row],[Trenes Programados]]</f>
        <v>0.82811320754716977</v>
      </c>
      <c r="R201" s="15">
        <f>+Tabla4[[#This Row],[Trenes Puntuales]]/Tabla4[[#This Row],[Trenes Corridos]]</f>
        <v>0.86533911671924291</v>
      </c>
      <c r="S201" s="15">
        <f>+Tabla4[[#This Row],[Trenes Corridos]]/Tabla4[[#This Row],[Trenes Programados]]</f>
        <v>0.95698113207547175</v>
      </c>
      <c r="T201" s="16"/>
      <c r="U201" s="16"/>
      <c r="V201" s="16">
        <v>5300</v>
      </c>
      <c r="W201" s="16">
        <f t="shared" si="80"/>
        <v>228</v>
      </c>
      <c r="X201" s="16">
        <v>5072</v>
      </c>
      <c r="Y201" s="16">
        <v>4389</v>
      </c>
      <c r="Z201" s="16">
        <f t="shared" si="81"/>
        <v>683</v>
      </c>
      <c r="AA201" s="16"/>
      <c r="AB201" s="17"/>
      <c r="AC201" s="18">
        <v>2009</v>
      </c>
      <c r="AD201" s="21" t="s">
        <v>39</v>
      </c>
      <c r="AE201" s="15">
        <f>+Tabla5[[#This Row],[Trenes Puntuales]]/Tabla5[[#This Row],[Trenes Programados]]</f>
        <v>0.85411764705882354</v>
      </c>
      <c r="AF201" s="15">
        <f>+Tabla5[[#This Row],[Trenes Puntuales]]/Tabla5[[#This Row],[Trenes Corridos]]</f>
        <v>0.88</v>
      </c>
      <c r="AG201" s="15">
        <f>+Tabla5[[#This Row],[Trenes Corridos]]/Tabla5[[#This Row],[Trenes Programados]]</f>
        <v>0.97058823529411764</v>
      </c>
      <c r="AH201" s="16"/>
      <c r="AI201" s="16"/>
      <c r="AJ201" s="16">
        <v>4250</v>
      </c>
      <c r="AK201" s="16">
        <f t="shared" si="82"/>
        <v>125</v>
      </c>
      <c r="AL201" s="16">
        <v>4125</v>
      </c>
      <c r="AM201" s="16">
        <v>3630</v>
      </c>
      <c r="AN201" s="16">
        <f t="shared" si="83"/>
        <v>495</v>
      </c>
      <c r="AO201" s="16"/>
      <c r="AP201" s="17"/>
      <c r="AQ201" s="18">
        <v>2009</v>
      </c>
      <c r="AR201" s="21" t="s">
        <v>39</v>
      </c>
      <c r="AS201" s="15">
        <f>+Tabla6[[#This Row],[Trenes Puntuales]]/Tabla6[[#This Row],[Trenes Programados]]</f>
        <v>0.91315618924173692</v>
      </c>
      <c r="AT201" s="15">
        <f>+Tabla6[[#This Row],[Trenes Puntuales]]/Tabla6[[#This Row],[Trenes Corridos]]</f>
        <v>0.93745841650033268</v>
      </c>
      <c r="AU201" s="15">
        <f>+Tabla6[[#This Row],[Trenes Corridos]]/Tabla6[[#This Row],[Trenes Programados]]</f>
        <v>0.97407647440051848</v>
      </c>
      <c r="AV201" s="16"/>
      <c r="AW201" s="16"/>
      <c r="AX201" s="16">
        <v>3086</v>
      </c>
      <c r="AY201" s="16">
        <f t="shared" si="84"/>
        <v>80</v>
      </c>
      <c r="AZ201" s="16">
        <v>3006</v>
      </c>
      <c r="BA201" s="16">
        <v>2818</v>
      </c>
      <c r="BB201" s="16">
        <f t="shared" si="85"/>
        <v>188</v>
      </c>
      <c r="BC201" s="16"/>
      <c r="BD201" s="17"/>
      <c r="BE201" s="18">
        <v>2009</v>
      </c>
      <c r="BF201" s="21" t="s">
        <v>39</v>
      </c>
      <c r="BG201" s="15">
        <f>+MIT_Vic_Cap[[#This Row],[Trenes Puntuales]]/MIT_Vic_Cap[[#This Row],[Trenes Programados]]</f>
        <v>0.93697478991596639</v>
      </c>
      <c r="BH201" s="15">
        <f>+MIT_Vic_Cap[[#This Row],[Trenes Puntuales]]/MIT_Vic_Cap[[#This Row],[Trenes Corridos]]</f>
        <v>0.96120689655172409</v>
      </c>
      <c r="BI201" s="15">
        <f>+MIT_Vic_Cap[[#This Row],[Trenes Corridos]]/MIT_Vic_Cap[[#This Row],[Trenes Programados]]</f>
        <v>0.97478991596638653</v>
      </c>
      <c r="BJ201" s="16"/>
      <c r="BK201" s="16"/>
      <c r="BL201" s="16">
        <v>952</v>
      </c>
      <c r="BM201" s="16">
        <f t="shared" si="86"/>
        <v>24</v>
      </c>
      <c r="BN201" s="16">
        <v>928</v>
      </c>
      <c r="BO201" s="16">
        <v>892</v>
      </c>
      <c r="BP201" s="16">
        <f t="shared" si="87"/>
        <v>36</v>
      </c>
      <c r="BQ201" s="16"/>
      <c r="BR201" s="17"/>
      <c r="BS201" s="18">
        <v>2009</v>
      </c>
      <c r="BT201" s="21" t="s">
        <v>39</v>
      </c>
      <c r="BU201" s="15">
        <f>+Tabla8[[#This Row],[Trenes Puntuales]]/Tabla8[[#This Row],[Trenes Programados]]</f>
        <v>0.78111111111111109</v>
      </c>
      <c r="BV201" s="15">
        <f>+Tabla8[[#This Row],[Trenes Puntuales]]/Tabla8[[#This Row],[Trenes Corridos]]</f>
        <v>0.8193473193473193</v>
      </c>
      <c r="BW201" s="15">
        <f>+Tabla8[[#This Row],[Trenes Corridos]]/Tabla8[[#This Row],[Trenes Programados]]</f>
        <v>0.95333333333333337</v>
      </c>
      <c r="BX201" s="16"/>
      <c r="BY201" s="16"/>
      <c r="BZ201" s="16">
        <v>900</v>
      </c>
      <c r="CA201" s="16">
        <f t="shared" si="88"/>
        <v>42</v>
      </c>
      <c r="CB201" s="16">
        <v>858</v>
      </c>
      <c r="CC201" s="16">
        <v>703</v>
      </c>
      <c r="CD201" s="16">
        <f t="shared" si="89"/>
        <v>155</v>
      </c>
      <c r="CI201" s="40"/>
      <c r="CJ201" s="40"/>
      <c r="CK201" s="40"/>
      <c r="CL201" s="40"/>
      <c r="CM201" s="40"/>
    </row>
    <row r="202" spans="1:91" s="18" customFormat="1" ht="15" customHeight="1">
      <c r="A202" s="18">
        <v>2009</v>
      </c>
      <c r="B202" s="21" t="s">
        <v>40</v>
      </c>
      <c r="C202" s="15">
        <f>+MITRE[[#This Row],[Trenes Puntuales]]/MITRE[[#This Row],[Trenes Programados]]</f>
        <v>0.86141304347826086</v>
      </c>
      <c r="D202" s="15">
        <f>+MITRE[[#This Row],[Trenes Puntuales]]/MITRE[[#This Row],[Trenes Corridos]]</f>
        <v>0.87665929203539827</v>
      </c>
      <c r="E202" s="15">
        <f>+MITRE[[#This Row],[Trenes Corridos]]/MITRE[[#This Row],[Trenes Programados]]</f>
        <v>0.9826086956521739</v>
      </c>
      <c r="F202" s="16">
        <f>+Tabla4[[#This Row],[Trenes Programados por Día Hábil]]+Tabla5[[#This Row],[Trenes Programados por Día Hábil]]+Tabla6[[#This Row],[Trenes Programados por Día Hábil]]+MIT_Vic_Cap[[#This Row],[Trenes Programados por Día Hábil]]+Tabla8[[#This Row],[Trenes Programados por Día Hábil]]</f>
        <v>0</v>
      </c>
      <c r="G20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2" s="16">
        <f t="shared" si="75"/>
        <v>14720</v>
      </c>
      <c r="I202" s="16">
        <f t="shared" si="76"/>
        <v>256</v>
      </c>
      <c r="J202" s="16">
        <f t="shared" si="77"/>
        <v>14464</v>
      </c>
      <c r="K202" s="16">
        <f t="shared" si="78"/>
        <v>12680</v>
      </c>
      <c r="L202" s="16">
        <f t="shared" si="79"/>
        <v>1784</v>
      </c>
      <c r="M202" s="16"/>
      <c r="N202" s="17"/>
      <c r="O202" s="18">
        <v>2009</v>
      </c>
      <c r="P202" s="21" t="s">
        <v>40</v>
      </c>
      <c r="Q202" s="15">
        <f>+Tabla4[[#This Row],[Trenes Puntuales]]/Tabla4[[#This Row],[Trenes Programados]]</f>
        <v>0.84152700186219742</v>
      </c>
      <c r="R202" s="15">
        <f>+Tabla4[[#This Row],[Trenes Puntuales]]/Tabla4[[#This Row],[Trenes Corridos]]</f>
        <v>0.86653883029721956</v>
      </c>
      <c r="S202" s="15">
        <f>+Tabla4[[#This Row],[Trenes Corridos]]/Tabla4[[#This Row],[Trenes Programados]]</f>
        <v>0.97113594040968343</v>
      </c>
      <c r="T202" s="16"/>
      <c r="U202" s="16"/>
      <c r="V202" s="16">
        <v>5370</v>
      </c>
      <c r="W202" s="16">
        <f t="shared" si="80"/>
        <v>155</v>
      </c>
      <c r="X202" s="16">
        <v>5215</v>
      </c>
      <c r="Y202" s="16">
        <v>4519</v>
      </c>
      <c r="Z202" s="16">
        <f t="shared" si="81"/>
        <v>696</v>
      </c>
      <c r="AA202" s="16"/>
      <c r="AB202" s="17"/>
      <c r="AC202" s="18">
        <v>2009</v>
      </c>
      <c r="AD202" s="21" t="s">
        <v>40</v>
      </c>
      <c r="AE202" s="15">
        <f>+Tabla5[[#This Row],[Trenes Puntuales]]/Tabla5[[#This Row],[Trenes Programados]]</f>
        <v>0.84214186369958277</v>
      </c>
      <c r="AF202" s="15">
        <f>+Tabla5[[#This Row],[Trenes Puntuales]]/Tabla5[[#This Row],[Trenes Corridos]]</f>
        <v>0.85022232623449567</v>
      </c>
      <c r="AG202" s="15">
        <f>+Tabla5[[#This Row],[Trenes Corridos]]/Tabla5[[#This Row],[Trenes Programados]]</f>
        <v>0.99049605934167828</v>
      </c>
      <c r="AH202" s="16"/>
      <c r="AI202" s="16"/>
      <c r="AJ202" s="16">
        <v>4314</v>
      </c>
      <c r="AK202" s="16">
        <f t="shared" si="82"/>
        <v>41</v>
      </c>
      <c r="AL202" s="16">
        <v>4273</v>
      </c>
      <c r="AM202" s="16">
        <v>3633</v>
      </c>
      <c r="AN202" s="16">
        <f t="shared" si="83"/>
        <v>640</v>
      </c>
      <c r="AO202" s="16"/>
      <c r="AP202" s="17"/>
      <c r="AQ202" s="18">
        <v>2009</v>
      </c>
      <c r="AR202" s="21" t="s">
        <v>40</v>
      </c>
      <c r="AS202" s="15">
        <f>+Tabla6[[#This Row],[Trenes Puntuales]]/Tabla6[[#This Row],[Trenes Programados]]</f>
        <v>0.92283364958886782</v>
      </c>
      <c r="AT202" s="15">
        <f>+Tabla6[[#This Row],[Trenes Puntuales]]/Tabla6[[#This Row],[Trenes Corridos]]</f>
        <v>0.92693773824650572</v>
      </c>
      <c r="AU202" s="15">
        <f>+Tabla6[[#This Row],[Trenes Corridos]]/Tabla6[[#This Row],[Trenes Programados]]</f>
        <v>0.99557242251739408</v>
      </c>
      <c r="AV202" s="16"/>
      <c r="AW202" s="16"/>
      <c r="AX202" s="16">
        <v>3162</v>
      </c>
      <c r="AY202" s="16">
        <f t="shared" si="84"/>
        <v>14</v>
      </c>
      <c r="AZ202" s="16">
        <v>3148</v>
      </c>
      <c r="BA202" s="16">
        <v>2918</v>
      </c>
      <c r="BB202" s="16">
        <f t="shared" si="85"/>
        <v>230</v>
      </c>
      <c r="BC202" s="16"/>
      <c r="BD202" s="17"/>
      <c r="BE202" s="18">
        <v>2009</v>
      </c>
      <c r="BF202" s="21" t="s">
        <v>40</v>
      </c>
      <c r="BG202" s="15">
        <f>+MIT_Vic_Cap[[#This Row],[Trenes Puntuales]]/MIT_Vic_Cap[[#This Row],[Trenes Programados]]</f>
        <v>0.91058581706063724</v>
      </c>
      <c r="BH202" s="15">
        <f>+MIT_Vic_Cap[[#This Row],[Trenes Puntuales]]/MIT_Vic_Cap[[#This Row],[Trenes Corridos]]</f>
        <v>0.92677824267782427</v>
      </c>
      <c r="BI202" s="15">
        <f>+MIT_Vic_Cap[[#This Row],[Trenes Corridos]]/MIT_Vic_Cap[[#This Row],[Trenes Programados]]</f>
        <v>0.9825282631038027</v>
      </c>
      <c r="BJ202" s="16"/>
      <c r="BK202" s="16"/>
      <c r="BL202" s="16">
        <v>973</v>
      </c>
      <c r="BM202" s="16">
        <f t="shared" si="86"/>
        <v>17</v>
      </c>
      <c r="BN202" s="16">
        <v>956</v>
      </c>
      <c r="BO202" s="16">
        <v>886</v>
      </c>
      <c r="BP202" s="16">
        <f t="shared" si="87"/>
        <v>70</v>
      </c>
      <c r="BQ202" s="16"/>
      <c r="BR202" s="17"/>
      <c r="BS202" s="18">
        <v>2009</v>
      </c>
      <c r="BT202" s="21" t="s">
        <v>40</v>
      </c>
      <c r="BU202" s="15">
        <f>+Tabla8[[#This Row],[Trenes Puntuales]]/Tabla8[[#This Row],[Trenes Programados]]</f>
        <v>0.80355160932297442</v>
      </c>
      <c r="BV202" s="15">
        <f>+Tabla8[[#This Row],[Trenes Puntuales]]/Tabla8[[#This Row],[Trenes Corridos]]</f>
        <v>0.83027522935779818</v>
      </c>
      <c r="BW202" s="15">
        <f>+Tabla8[[#This Row],[Trenes Corridos]]/Tabla8[[#This Row],[Trenes Programados]]</f>
        <v>0.9678135405105438</v>
      </c>
      <c r="BX202" s="16"/>
      <c r="BY202" s="16"/>
      <c r="BZ202" s="16">
        <v>901</v>
      </c>
      <c r="CA202" s="16">
        <f t="shared" si="88"/>
        <v>29</v>
      </c>
      <c r="CB202" s="16">
        <v>872</v>
      </c>
      <c r="CC202" s="16">
        <v>724</v>
      </c>
      <c r="CD202" s="16">
        <f t="shared" si="89"/>
        <v>148</v>
      </c>
      <c r="CI202" s="40"/>
      <c r="CJ202" s="40"/>
      <c r="CK202" s="40"/>
      <c r="CL202" s="40"/>
      <c r="CM202" s="40"/>
    </row>
    <row r="203" spans="1:91" s="18" customFormat="1" ht="15" customHeight="1">
      <c r="A203" s="18">
        <v>2009</v>
      </c>
      <c r="B203" s="21" t="s">
        <v>41</v>
      </c>
      <c r="C203" s="15">
        <f>+MITRE[[#This Row],[Trenes Puntuales]]/MITRE[[#This Row],[Trenes Programados]]</f>
        <v>0.84706922344621238</v>
      </c>
      <c r="D203" s="15">
        <f>+MITRE[[#This Row],[Trenes Puntuales]]/MITRE[[#This Row],[Trenes Corridos]]</f>
        <v>0.86639310057031571</v>
      </c>
      <c r="E203" s="15">
        <f>+MITRE[[#This Row],[Trenes Corridos]]/MITRE[[#This Row],[Trenes Programados]]</f>
        <v>0.97769617843057255</v>
      </c>
      <c r="F203" s="16">
        <f>+Tabla4[[#This Row],[Trenes Programados por Día Hábil]]+Tabla5[[#This Row],[Trenes Programados por Día Hábil]]+Tabla6[[#This Row],[Trenes Programados por Día Hábil]]+MIT_Vic_Cap[[#This Row],[Trenes Programados por Día Hábil]]+Tabla8[[#This Row],[Trenes Programados por Día Hábil]]</f>
        <v>0</v>
      </c>
      <c r="G20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3" s="16">
        <f t="shared" si="75"/>
        <v>14706</v>
      </c>
      <c r="I203" s="16">
        <f t="shared" si="76"/>
        <v>328</v>
      </c>
      <c r="J203" s="16">
        <f t="shared" si="77"/>
        <v>14378</v>
      </c>
      <c r="K203" s="16">
        <f t="shared" si="78"/>
        <v>12457</v>
      </c>
      <c r="L203" s="16">
        <f t="shared" si="79"/>
        <v>1921</v>
      </c>
      <c r="M203" s="16"/>
      <c r="N203" s="17"/>
      <c r="O203" s="18">
        <v>2009</v>
      </c>
      <c r="P203" s="21" t="s">
        <v>41</v>
      </c>
      <c r="Q203" s="15">
        <f>+Tabla4[[#This Row],[Trenes Puntuales]]/Tabla4[[#This Row],[Trenes Programados]]</f>
        <v>0.80853432282003712</v>
      </c>
      <c r="R203" s="15">
        <f>+Tabla4[[#This Row],[Trenes Puntuales]]/Tabla4[[#This Row],[Trenes Corridos]]</f>
        <v>0.83566634707574305</v>
      </c>
      <c r="S203" s="15">
        <f>+Tabla4[[#This Row],[Trenes Corridos]]/Tabla4[[#This Row],[Trenes Programados]]</f>
        <v>0.96753246753246758</v>
      </c>
      <c r="T203" s="16"/>
      <c r="U203" s="16"/>
      <c r="V203" s="16">
        <v>5390</v>
      </c>
      <c r="W203" s="16">
        <f t="shared" si="80"/>
        <v>175</v>
      </c>
      <c r="X203" s="16">
        <v>5215</v>
      </c>
      <c r="Y203" s="16">
        <v>4358</v>
      </c>
      <c r="Z203" s="16">
        <f t="shared" si="81"/>
        <v>857</v>
      </c>
      <c r="AA203" s="16"/>
      <c r="AB203" s="17"/>
      <c r="AC203" s="18">
        <v>2009</v>
      </c>
      <c r="AD203" s="21" t="s">
        <v>41</v>
      </c>
      <c r="AE203" s="15">
        <f>+Tabla5[[#This Row],[Trenes Puntuales]]/Tabla5[[#This Row],[Trenes Programados]]</f>
        <v>0.84467592592592589</v>
      </c>
      <c r="AF203" s="15">
        <f>+Tabla5[[#This Row],[Trenes Puntuales]]/Tabla5[[#This Row],[Trenes Corridos]]</f>
        <v>0.85798260051728192</v>
      </c>
      <c r="AG203" s="15">
        <f>+Tabla5[[#This Row],[Trenes Corridos]]/Tabla5[[#This Row],[Trenes Programados]]</f>
        <v>0.98449074074074072</v>
      </c>
      <c r="AH203" s="16"/>
      <c r="AI203" s="16"/>
      <c r="AJ203" s="16">
        <v>4320</v>
      </c>
      <c r="AK203" s="16">
        <f t="shared" si="82"/>
        <v>67</v>
      </c>
      <c r="AL203" s="16">
        <v>4253</v>
      </c>
      <c r="AM203" s="16">
        <v>3649</v>
      </c>
      <c r="AN203" s="16">
        <f t="shared" si="83"/>
        <v>604</v>
      </c>
      <c r="AO203" s="16"/>
      <c r="AP203" s="17"/>
      <c r="AQ203" s="18">
        <v>2009</v>
      </c>
      <c r="AR203" s="21" t="s">
        <v>41</v>
      </c>
      <c r="AS203" s="15">
        <f>+Tabla6[[#This Row],[Trenes Puntuales]]/Tabla6[[#This Row],[Trenes Programados]]</f>
        <v>0.90520565552699228</v>
      </c>
      <c r="AT203" s="15">
        <f>+Tabla6[[#This Row],[Trenes Puntuales]]/Tabla6[[#This Row],[Trenes Corridos]]</f>
        <v>0.92239685658153237</v>
      </c>
      <c r="AU203" s="15">
        <f>+Tabla6[[#This Row],[Trenes Corridos]]/Tabla6[[#This Row],[Trenes Programados]]</f>
        <v>0.98136246786632386</v>
      </c>
      <c r="AV203" s="16"/>
      <c r="AW203" s="16"/>
      <c r="AX203" s="16">
        <v>3112</v>
      </c>
      <c r="AY203" s="16">
        <f t="shared" si="84"/>
        <v>58</v>
      </c>
      <c r="AZ203" s="16">
        <v>3054</v>
      </c>
      <c r="BA203" s="16">
        <v>2817</v>
      </c>
      <c r="BB203" s="16">
        <f t="shared" si="85"/>
        <v>237</v>
      </c>
      <c r="BC203" s="16"/>
      <c r="BD203" s="17"/>
      <c r="BE203" s="18">
        <v>2009</v>
      </c>
      <c r="BF203" s="21" t="s">
        <v>41</v>
      </c>
      <c r="BG203" s="15">
        <f>+MIT_Vic_Cap[[#This Row],[Trenes Puntuales]]/MIT_Vic_Cap[[#This Row],[Trenes Programados]]</f>
        <v>0.91286307053941906</v>
      </c>
      <c r="BH203" s="15">
        <f>+MIT_Vic_Cap[[#This Row],[Trenes Puntuales]]/MIT_Vic_Cap[[#This Row],[Trenes Corridos]]</f>
        <v>0.92729188619599578</v>
      </c>
      <c r="BI203" s="15">
        <f>+MIT_Vic_Cap[[#This Row],[Trenes Corridos]]/MIT_Vic_Cap[[#This Row],[Trenes Programados]]</f>
        <v>0.98443983402489632</v>
      </c>
      <c r="BJ203" s="16"/>
      <c r="BK203" s="16"/>
      <c r="BL203" s="16">
        <v>964</v>
      </c>
      <c r="BM203" s="16">
        <f t="shared" si="86"/>
        <v>15</v>
      </c>
      <c r="BN203" s="16">
        <v>949</v>
      </c>
      <c r="BO203" s="16">
        <v>880</v>
      </c>
      <c r="BP203" s="16">
        <f t="shared" si="87"/>
        <v>69</v>
      </c>
      <c r="BQ203" s="16"/>
      <c r="BR203" s="17"/>
      <c r="BS203" s="18">
        <v>2009</v>
      </c>
      <c r="BT203" s="21" t="s">
        <v>41</v>
      </c>
      <c r="BU203" s="15">
        <f>+Tabla8[[#This Row],[Trenes Puntuales]]/Tabla8[[#This Row],[Trenes Programados]]</f>
        <v>0.81847826086956521</v>
      </c>
      <c r="BV203" s="15">
        <f>+Tabla8[[#This Row],[Trenes Puntuales]]/Tabla8[[#This Row],[Trenes Corridos]]</f>
        <v>0.83020948180815879</v>
      </c>
      <c r="BW203" s="15">
        <f>+Tabla8[[#This Row],[Trenes Corridos]]/Tabla8[[#This Row],[Trenes Programados]]</f>
        <v>0.98586956521739133</v>
      </c>
      <c r="BX203" s="16"/>
      <c r="BY203" s="16"/>
      <c r="BZ203" s="16">
        <v>920</v>
      </c>
      <c r="CA203" s="16">
        <f t="shared" si="88"/>
        <v>13</v>
      </c>
      <c r="CB203" s="16">
        <v>907</v>
      </c>
      <c r="CC203" s="16">
        <v>753</v>
      </c>
      <c r="CD203" s="16">
        <f t="shared" si="89"/>
        <v>154</v>
      </c>
      <c r="CI203" s="40"/>
      <c r="CJ203" s="40"/>
      <c r="CK203" s="40"/>
      <c r="CL203" s="40"/>
      <c r="CM203" s="40"/>
    </row>
    <row r="204" spans="1:91" s="18" customFormat="1" ht="15" customHeight="1">
      <c r="A204" s="18">
        <v>2009</v>
      </c>
      <c r="B204" s="21" t="s">
        <v>42</v>
      </c>
      <c r="C204" s="15">
        <f>+MITRE[[#This Row],[Trenes Puntuales]]/MITRE[[#This Row],[Trenes Programados]]</f>
        <v>0.85782146862835651</v>
      </c>
      <c r="D204" s="15">
        <f>+MITRE[[#This Row],[Trenes Puntuales]]/MITRE[[#This Row],[Trenes Corridos]]</f>
        <v>0.88981658910484529</v>
      </c>
      <c r="E204" s="15">
        <f>+MITRE[[#This Row],[Trenes Corridos]]/MITRE[[#This Row],[Trenes Programados]]</f>
        <v>0.96404301642805301</v>
      </c>
      <c r="F204" s="16">
        <f>+Tabla4[[#This Row],[Trenes Programados por Día Hábil]]+Tabla5[[#This Row],[Trenes Programados por Día Hábil]]+Tabla6[[#This Row],[Trenes Programados por Día Hábil]]+MIT_Vic_Cap[[#This Row],[Trenes Programados por Día Hábil]]+Tabla8[[#This Row],[Trenes Programados por Día Hábil]]</f>
        <v>0</v>
      </c>
      <c r="G20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4" s="16">
        <f t="shared" si="75"/>
        <v>15157</v>
      </c>
      <c r="I204" s="16">
        <f t="shared" si="76"/>
        <v>545</v>
      </c>
      <c r="J204" s="16">
        <f t="shared" si="77"/>
        <v>14612</v>
      </c>
      <c r="K204" s="16">
        <f t="shared" si="78"/>
        <v>13002</v>
      </c>
      <c r="L204" s="16">
        <f t="shared" si="79"/>
        <v>1610</v>
      </c>
      <c r="M204" s="16"/>
      <c r="N204" s="17"/>
      <c r="O204" s="18">
        <v>2009</v>
      </c>
      <c r="P204" s="21" t="s">
        <v>42</v>
      </c>
      <c r="Q204" s="15">
        <f>+Tabla4[[#This Row],[Trenes Puntuales]]/Tabla4[[#This Row],[Trenes Programados]]</f>
        <v>0.87693693693693697</v>
      </c>
      <c r="R204" s="15">
        <f>+Tabla4[[#This Row],[Trenes Puntuales]]/Tabla4[[#This Row],[Trenes Corridos]]</f>
        <v>0.90447872142724406</v>
      </c>
      <c r="S204" s="15">
        <f>+Tabla4[[#This Row],[Trenes Corridos]]/Tabla4[[#This Row],[Trenes Programados]]</f>
        <v>0.96954954954954953</v>
      </c>
      <c r="T204" s="16"/>
      <c r="U204" s="16"/>
      <c r="V204" s="16">
        <v>5550</v>
      </c>
      <c r="W204" s="16">
        <f t="shared" si="80"/>
        <v>169</v>
      </c>
      <c r="X204" s="16">
        <v>5381</v>
      </c>
      <c r="Y204" s="16">
        <v>4867</v>
      </c>
      <c r="Z204" s="16">
        <f t="shared" si="81"/>
        <v>514</v>
      </c>
      <c r="AA204" s="16"/>
      <c r="AB204" s="17"/>
      <c r="AC204" s="18">
        <v>2009</v>
      </c>
      <c r="AD204" s="21" t="s">
        <v>42</v>
      </c>
      <c r="AE204" s="15">
        <f>+Tabla5[[#This Row],[Trenes Puntuales]]/Tabla5[[#This Row],[Trenes Programados]]</f>
        <v>0.84463403682083515</v>
      </c>
      <c r="AF204" s="15">
        <f>+Tabla5[[#This Row],[Trenes Puntuales]]/Tabla5[[#This Row],[Trenes Corridos]]</f>
        <v>0.87692307692307692</v>
      </c>
      <c r="AG204" s="15">
        <f>+Tabla5[[#This Row],[Trenes Corridos]]/Tabla5[[#This Row],[Trenes Programados]]</f>
        <v>0.96317916479568921</v>
      </c>
      <c r="AH204" s="16"/>
      <c r="AI204" s="16"/>
      <c r="AJ204" s="16">
        <v>4454</v>
      </c>
      <c r="AK204" s="16">
        <f t="shared" si="82"/>
        <v>164</v>
      </c>
      <c r="AL204" s="16">
        <v>4290</v>
      </c>
      <c r="AM204" s="16">
        <v>3762</v>
      </c>
      <c r="AN204" s="16">
        <f t="shared" si="83"/>
        <v>528</v>
      </c>
      <c r="AO204" s="16"/>
      <c r="AP204" s="17"/>
      <c r="AQ204" s="18">
        <v>2009</v>
      </c>
      <c r="AR204" s="21" t="s">
        <v>42</v>
      </c>
      <c r="AS204" s="15">
        <f>+Tabla6[[#This Row],[Trenes Puntuales]]/Tabla6[[#This Row],[Trenes Programados]]</f>
        <v>0.89265712507778472</v>
      </c>
      <c r="AT204" s="15">
        <f>+Tabla6[[#This Row],[Trenes Puntuales]]/Tabla6[[#This Row],[Trenes Corridos]]</f>
        <v>0.92399355877616751</v>
      </c>
      <c r="AU204" s="15">
        <f>+Tabla6[[#This Row],[Trenes Corridos]]/Tabla6[[#This Row],[Trenes Programados]]</f>
        <v>0.96608587429993775</v>
      </c>
      <c r="AV204" s="16"/>
      <c r="AW204" s="16"/>
      <c r="AX204" s="16">
        <v>3214</v>
      </c>
      <c r="AY204" s="16">
        <f t="shared" si="84"/>
        <v>109</v>
      </c>
      <c r="AZ204" s="16">
        <v>3105</v>
      </c>
      <c r="BA204" s="16">
        <v>2869</v>
      </c>
      <c r="BB204" s="16">
        <f t="shared" si="85"/>
        <v>236</v>
      </c>
      <c r="BC204" s="16"/>
      <c r="BD204" s="17"/>
      <c r="BE204" s="18">
        <v>2009</v>
      </c>
      <c r="BF204" s="21" t="s">
        <v>42</v>
      </c>
      <c r="BG204" s="15">
        <f>+MIT_Vic_Cap[[#This Row],[Trenes Puntuales]]/MIT_Vic_Cap[[#This Row],[Trenes Programados]]</f>
        <v>0.85971943887775548</v>
      </c>
      <c r="BH204" s="15">
        <f>+MIT_Vic_Cap[[#This Row],[Trenes Puntuales]]/MIT_Vic_Cap[[#This Row],[Trenes Corridos]]</f>
        <v>0.90126050420168069</v>
      </c>
      <c r="BI204" s="15">
        <f>+MIT_Vic_Cap[[#This Row],[Trenes Corridos]]/MIT_Vic_Cap[[#This Row],[Trenes Programados]]</f>
        <v>0.95390781563126248</v>
      </c>
      <c r="BJ204" s="16"/>
      <c r="BK204" s="16"/>
      <c r="BL204" s="16">
        <v>998</v>
      </c>
      <c r="BM204" s="16">
        <f t="shared" si="86"/>
        <v>46</v>
      </c>
      <c r="BN204" s="16">
        <v>952</v>
      </c>
      <c r="BO204" s="16">
        <v>858</v>
      </c>
      <c r="BP204" s="16">
        <f t="shared" si="87"/>
        <v>94</v>
      </c>
      <c r="BQ204" s="16"/>
      <c r="BR204" s="17"/>
      <c r="BS204" s="18">
        <v>2009</v>
      </c>
      <c r="BT204" s="21" t="s">
        <v>42</v>
      </c>
      <c r="BU204" s="15">
        <f>+Tabla8[[#This Row],[Trenes Puntuales]]/Tabla8[[#This Row],[Trenes Programados]]</f>
        <v>0.68650371944739641</v>
      </c>
      <c r="BV204" s="15">
        <f>+Tabla8[[#This Row],[Trenes Puntuales]]/Tabla8[[#This Row],[Trenes Corridos]]</f>
        <v>0.73076923076923073</v>
      </c>
      <c r="BW204" s="15">
        <f>+Tabla8[[#This Row],[Trenes Corridos]]/Tabla8[[#This Row],[Trenes Programados]]</f>
        <v>0.9394261424017003</v>
      </c>
      <c r="BX204" s="16"/>
      <c r="BY204" s="16"/>
      <c r="BZ204" s="16">
        <v>941</v>
      </c>
      <c r="CA204" s="16">
        <f t="shared" si="88"/>
        <v>57</v>
      </c>
      <c r="CB204" s="16">
        <v>884</v>
      </c>
      <c r="CC204" s="16">
        <v>646</v>
      </c>
      <c r="CD204" s="16">
        <f t="shared" si="89"/>
        <v>238</v>
      </c>
      <c r="CI204" s="40"/>
      <c r="CJ204" s="40"/>
      <c r="CK204" s="40"/>
      <c r="CL204" s="40"/>
      <c r="CM204" s="40"/>
    </row>
    <row r="205" spans="1:91" s="18" customFormat="1" ht="15" customHeight="1">
      <c r="A205" s="18">
        <v>2009</v>
      </c>
      <c r="B205" s="21" t="s">
        <v>43</v>
      </c>
      <c r="C205" s="15">
        <f>+MITRE[[#This Row],[Trenes Puntuales]]/MITRE[[#This Row],[Trenes Programados]]</f>
        <v>0.83051074369101008</v>
      </c>
      <c r="D205" s="15">
        <f>+MITRE[[#This Row],[Trenes Puntuales]]/MITRE[[#This Row],[Trenes Corridos]]</f>
        <v>0.85242184816214361</v>
      </c>
      <c r="E205" s="15">
        <f>+MITRE[[#This Row],[Trenes Corridos]]/MITRE[[#This Row],[Trenes Programados]]</f>
        <v>0.97429546823749913</v>
      </c>
      <c r="F205" s="16">
        <f>+Tabla4[[#This Row],[Trenes Programados por Día Hábil]]+Tabla5[[#This Row],[Trenes Programados por Día Hábil]]+Tabla6[[#This Row],[Trenes Programados por Día Hábil]]+MIT_Vic_Cap[[#This Row],[Trenes Programados por Día Hábil]]+Tabla8[[#This Row],[Trenes Programados por Día Hábil]]</f>
        <v>0</v>
      </c>
      <c r="G20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5" s="16">
        <f t="shared" si="75"/>
        <v>14939</v>
      </c>
      <c r="I205" s="16">
        <f t="shared" si="76"/>
        <v>384</v>
      </c>
      <c r="J205" s="16">
        <f t="shared" si="77"/>
        <v>14555</v>
      </c>
      <c r="K205" s="16">
        <f t="shared" si="78"/>
        <v>12407</v>
      </c>
      <c r="L205" s="16">
        <f t="shared" si="79"/>
        <v>2148</v>
      </c>
      <c r="M205" s="16"/>
      <c r="N205" s="17"/>
      <c r="O205" s="18">
        <v>2009</v>
      </c>
      <c r="P205" s="21" t="s">
        <v>43</v>
      </c>
      <c r="Q205" s="15">
        <f>+Tabla4[[#This Row],[Trenes Puntuales]]/Tabla4[[#This Row],[Trenes Programados]]</f>
        <v>0.86336996336996341</v>
      </c>
      <c r="R205" s="15">
        <f>+Tabla4[[#This Row],[Trenes Puntuales]]/Tabla4[[#This Row],[Trenes Corridos]]</f>
        <v>0.88079222720478323</v>
      </c>
      <c r="S205" s="15">
        <f>+Tabla4[[#This Row],[Trenes Corridos]]/Tabla4[[#This Row],[Trenes Programados]]</f>
        <v>0.98021978021978018</v>
      </c>
      <c r="T205" s="16"/>
      <c r="U205" s="16"/>
      <c r="V205" s="16">
        <v>5460</v>
      </c>
      <c r="W205" s="16">
        <f t="shared" si="80"/>
        <v>108</v>
      </c>
      <c r="X205" s="16">
        <v>5352</v>
      </c>
      <c r="Y205" s="16">
        <v>4714</v>
      </c>
      <c r="Z205" s="16">
        <f t="shared" si="81"/>
        <v>638</v>
      </c>
      <c r="AA205" s="16"/>
      <c r="AB205" s="17"/>
      <c r="AC205" s="18">
        <v>2009</v>
      </c>
      <c r="AD205" s="21" t="s">
        <v>43</v>
      </c>
      <c r="AE205" s="15">
        <f>+Tabla5[[#This Row],[Trenes Puntuales]]/Tabla5[[#This Row],[Trenes Programados]]</f>
        <v>0.77965328467153283</v>
      </c>
      <c r="AF205" s="15">
        <f>+Tabla5[[#This Row],[Trenes Puntuales]]/Tabla5[[#This Row],[Trenes Corridos]]</f>
        <v>0.80310150375939848</v>
      </c>
      <c r="AG205" s="15">
        <f>+Tabla5[[#This Row],[Trenes Corridos]]/Tabla5[[#This Row],[Trenes Programados]]</f>
        <v>0.97080291970802923</v>
      </c>
      <c r="AH205" s="16"/>
      <c r="AI205" s="16"/>
      <c r="AJ205" s="16">
        <v>4384</v>
      </c>
      <c r="AK205" s="16">
        <f t="shared" si="82"/>
        <v>128</v>
      </c>
      <c r="AL205" s="16">
        <v>4256</v>
      </c>
      <c r="AM205" s="16">
        <v>3418</v>
      </c>
      <c r="AN205" s="16">
        <f t="shared" si="83"/>
        <v>838</v>
      </c>
      <c r="AO205" s="16"/>
      <c r="AP205" s="17"/>
      <c r="AQ205" s="18">
        <v>2009</v>
      </c>
      <c r="AR205" s="21" t="s">
        <v>43</v>
      </c>
      <c r="AS205" s="15">
        <f>+Tabla6[[#This Row],[Trenes Puntuales]]/Tabla6[[#This Row],[Trenes Programados]]</f>
        <v>0.87170639899623592</v>
      </c>
      <c r="AT205" s="15">
        <f>+Tabla6[[#This Row],[Trenes Puntuales]]/Tabla6[[#This Row],[Trenes Corridos]]</f>
        <v>0.89964389770152153</v>
      </c>
      <c r="AU205" s="15">
        <f>+Tabla6[[#This Row],[Trenes Corridos]]/Tabla6[[#This Row],[Trenes Programados]]</f>
        <v>0.96894604767879544</v>
      </c>
      <c r="AV205" s="16"/>
      <c r="AW205" s="16"/>
      <c r="AX205" s="16">
        <v>3188</v>
      </c>
      <c r="AY205" s="16">
        <f t="shared" si="84"/>
        <v>99</v>
      </c>
      <c r="AZ205" s="16">
        <v>3089</v>
      </c>
      <c r="BA205" s="16">
        <v>2779</v>
      </c>
      <c r="BB205" s="16">
        <f t="shared" si="85"/>
        <v>310</v>
      </c>
      <c r="BC205" s="16"/>
      <c r="BD205" s="17"/>
      <c r="BE205" s="18">
        <v>2009</v>
      </c>
      <c r="BF205" s="21" t="s">
        <v>43</v>
      </c>
      <c r="BG205" s="15">
        <f>+MIT_Vic_Cap[[#This Row],[Trenes Puntuales]]/MIT_Vic_Cap[[#This Row],[Trenes Programados]]</f>
        <v>0.92900608519269778</v>
      </c>
      <c r="BH205" s="15">
        <f>+MIT_Vic_Cap[[#This Row],[Trenes Puntuales]]/MIT_Vic_Cap[[#This Row],[Trenes Corridos]]</f>
        <v>0.93660531697341509</v>
      </c>
      <c r="BI205" s="15">
        <f>+MIT_Vic_Cap[[#This Row],[Trenes Corridos]]/MIT_Vic_Cap[[#This Row],[Trenes Programados]]</f>
        <v>0.99188640973630826</v>
      </c>
      <c r="BJ205" s="16"/>
      <c r="BK205" s="16"/>
      <c r="BL205" s="16">
        <v>986</v>
      </c>
      <c r="BM205" s="16">
        <f t="shared" si="86"/>
        <v>8</v>
      </c>
      <c r="BN205" s="16">
        <v>978</v>
      </c>
      <c r="BO205" s="16">
        <v>916</v>
      </c>
      <c r="BP205" s="16">
        <f t="shared" si="87"/>
        <v>62</v>
      </c>
      <c r="BQ205" s="16"/>
      <c r="BR205" s="17"/>
      <c r="BS205" s="18">
        <v>2009</v>
      </c>
      <c r="BT205" s="21" t="s">
        <v>43</v>
      </c>
      <c r="BU205" s="15">
        <f>+Tabla8[[#This Row],[Trenes Puntuales]]/Tabla8[[#This Row],[Trenes Programados]]</f>
        <v>0.62975027144408247</v>
      </c>
      <c r="BV205" s="15">
        <f>+Tabla8[[#This Row],[Trenes Puntuales]]/Tabla8[[#This Row],[Trenes Corridos]]</f>
        <v>0.65909090909090906</v>
      </c>
      <c r="BW205" s="15">
        <f>+Tabla8[[#This Row],[Trenes Corridos]]/Tabla8[[#This Row],[Trenes Programados]]</f>
        <v>0.9554831704668838</v>
      </c>
      <c r="BX205" s="16"/>
      <c r="BY205" s="16"/>
      <c r="BZ205" s="16">
        <v>921</v>
      </c>
      <c r="CA205" s="16">
        <f t="shared" si="88"/>
        <v>41</v>
      </c>
      <c r="CB205" s="16">
        <v>880</v>
      </c>
      <c r="CC205" s="16">
        <v>580</v>
      </c>
      <c r="CD205" s="16">
        <f t="shared" si="89"/>
        <v>300</v>
      </c>
      <c r="CI205" s="40"/>
      <c r="CJ205" s="40"/>
      <c r="CK205" s="40"/>
      <c r="CL205" s="40"/>
      <c r="CM205" s="40"/>
    </row>
    <row r="206" spans="1:91" s="18" customFormat="1" ht="15" customHeight="1">
      <c r="A206" s="18">
        <v>2009</v>
      </c>
      <c r="B206" s="21" t="s">
        <v>44</v>
      </c>
      <c r="C206" s="15">
        <f>+MITRE[[#This Row],[Trenes Puntuales]]/MITRE[[#This Row],[Trenes Programados]]</f>
        <v>0.85861699276333425</v>
      </c>
      <c r="D206" s="15">
        <f>+MITRE[[#This Row],[Trenes Puntuales]]/MITRE[[#This Row],[Trenes Corridos]]</f>
        <v>0.86968915433690785</v>
      </c>
      <c r="E206" s="15">
        <f>+MITRE[[#This Row],[Trenes Corridos]]/MITRE[[#This Row],[Trenes Programados]]</f>
        <v>0.98726882873224342</v>
      </c>
      <c r="F206" s="16">
        <f>+Tabla4[[#This Row],[Trenes Programados por Día Hábil]]+Tabla5[[#This Row],[Trenes Programados por Día Hábil]]+Tabla6[[#This Row],[Trenes Programados por Día Hábil]]+MIT_Vic_Cap[[#This Row],[Trenes Programados por Día Hábil]]+Tabla8[[#This Row],[Trenes Programados por Día Hábil]]</f>
        <v>0</v>
      </c>
      <c r="G20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6" s="16">
        <f t="shared" si="75"/>
        <v>14924</v>
      </c>
      <c r="I206" s="16">
        <f t="shared" si="76"/>
        <v>190</v>
      </c>
      <c r="J206" s="16">
        <f t="shared" si="77"/>
        <v>14734</v>
      </c>
      <c r="K206" s="16">
        <f t="shared" si="78"/>
        <v>12814</v>
      </c>
      <c r="L206" s="16">
        <f t="shared" si="79"/>
        <v>1920</v>
      </c>
      <c r="M206" s="16"/>
      <c r="N206" s="17"/>
      <c r="O206" s="18">
        <v>2009</v>
      </c>
      <c r="P206" s="21" t="s">
        <v>44</v>
      </c>
      <c r="Q206" s="15">
        <f>+Tabla4[[#This Row],[Trenes Puntuales]]/Tabla4[[#This Row],[Trenes Programados]]</f>
        <v>0.86240875912408754</v>
      </c>
      <c r="R206" s="15">
        <f>+Tabla4[[#This Row],[Trenes Puntuales]]/Tabla4[[#This Row],[Trenes Corridos]]</f>
        <v>0.87115207373271886</v>
      </c>
      <c r="S206" s="15">
        <f>+Tabla4[[#This Row],[Trenes Corridos]]/Tabla4[[#This Row],[Trenes Programados]]</f>
        <v>0.98996350364963503</v>
      </c>
      <c r="T206" s="16"/>
      <c r="U206" s="16"/>
      <c r="V206" s="16">
        <v>5480</v>
      </c>
      <c r="W206" s="16">
        <f t="shared" si="80"/>
        <v>55</v>
      </c>
      <c r="X206" s="16">
        <v>5425</v>
      </c>
      <c r="Y206" s="16">
        <v>4726</v>
      </c>
      <c r="Z206" s="16">
        <f t="shared" si="81"/>
        <v>699</v>
      </c>
      <c r="AA206" s="16"/>
      <c r="AB206" s="17"/>
      <c r="AC206" s="18">
        <v>2009</v>
      </c>
      <c r="AD206" s="21" t="s">
        <v>44</v>
      </c>
      <c r="AE206" s="15">
        <f>+Tabla5[[#This Row],[Trenes Puntuales]]/Tabla5[[#This Row],[Trenes Programados]]</f>
        <v>0.84236902050113893</v>
      </c>
      <c r="AF206" s="15">
        <f>+Tabla5[[#This Row],[Trenes Puntuales]]/Tabla5[[#This Row],[Trenes Corridos]]</f>
        <v>0.85031041618762937</v>
      </c>
      <c r="AG206" s="15">
        <f>+Tabla5[[#This Row],[Trenes Corridos]]/Tabla5[[#This Row],[Trenes Programados]]</f>
        <v>0.99066059225512526</v>
      </c>
      <c r="AH206" s="16"/>
      <c r="AI206" s="16"/>
      <c r="AJ206" s="16">
        <v>4390</v>
      </c>
      <c r="AK206" s="16">
        <f t="shared" si="82"/>
        <v>41</v>
      </c>
      <c r="AL206" s="16">
        <v>4349</v>
      </c>
      <c r="AM206" s="16">
        <v>3698</v>
      </c>
      <c r="AN206" s="16">
        <f t="shared" si="83"/>
        <v>651</v>
      </c>
      <c r="AO206" s="16"/>
      <c r="AP206" s="17"/>
      <c r="AQ206" s="18">
        <v>2009</v>
      </c>
      <c r="AR206" s="21" t="s">
        <v>44</v>
      </c>
      <c r="AS206" s="15">
        <f>+Tabla6[[#This Row],[Trenes Puntuales]]/Tabla6[[#This Row],[Trenes Programados]]</f>
        <v>0.8989802421924793</v>
      </c>
      <c r="AT206" s="15">
        <f>+Tabla6[[#This Row],[Trenes Puntuales]]/Tabla6[[#This Row],[Trenes Corridos]]</f>
        <v>0.90882731958762886</v>
      </c>
      <c r="AU206" s="15">
        <f>+Tabla6[[#This Row],[Trenes Corridos]]/Tabla6[[#This Row],[Trenes Programados]]</f>
        <v>0.9891650732950924</v>
      </c>
      <c r="AV206" s="16"/>
      <c r="AW206" s="16"/>
      <c r="AX206" s="16">
        <v>3138</v>
      </c>
      <c r="AY206" s="16">
        <f t="shared" si="84"/>
        <v>34</v>
      </c>
      <c r="AZ206" s="16">
        <v>3104</v>
      </c>
      <c r="BA206" s="16">
        <v>2821</v>
      </c>
      <c r="BB206" s="16">
        <f t="shared" si="85"/>
        <v>283</v>
      </c>
      <c r="BC206" s="16"/>
      <c r="BD206" s="17"/>
      <c r="BE206" s="18">
        <v>2009</v>
      </c>
      <c r="BF206" s="21" t="s">
        <v>44</v>
      </c>
      <c r="BG206" s="15">
        <f>+MIT_Vic_Cap[[#This Row],[Trenes Puntuales]]/MIT_Vic_Cap[[#This Row],[Trenes Programados]]</f>
        <v>0.91086065573770492</v>
      </c>
      <c r="BH206" s="15">
        <f>+MIT_Vic_Cap[[#This Row],[Trenes Puntuales]]/MIT_Vic_Cap[[#This Row],[Trenes Corridos]]</f>
        <v>0.92991631799163177</v>
      </c>
      <c r="BI206" s="15">
        <f>+MIT_Vic_Cap[[#This Row],[Trenes Corridos]]/MIT_Vic_Cap[[#This Row],[Trenes Programados]]</f>
        <v>0.97950819672131151</v>
      </c>
      <c r="BJ206" s="16"/>
      <c r="BK206" s="16"/>
      <c r="BL206" s="16">
        <v>976</v>
      </c>
      <c r="BM206" s="16">
        <f t="shared" si="86"/>
        <v>20</v>
      </c>
      <c r="BN206" s="16">
        <v>956</v>
      </c>
      <c r="BO206" s="16">
        <v>889</v>
      </c>
      <c r="BP206" s="16">
        <f t="shared" si="87"/>
        <v>67</v>
      </c>
      <c r="BQ206" s="16"/>
      <c r="BR206" s="17"/>
      <c r="BS206" s="18">
        <v>2009</v>
      </c>
      <c r="BT206" s="21" t="s">
        <v>44</v>
      </c>
      <c r="BU206" s="15">
        <f>+Tabla8[[#This Row],[Trenes Puntuales]]/Tabla8[[#This Row],[Trenes Programados]]</f>
        <v>0.72340425531914898</v>
      </c>
      <c r="BV206" s="15">
        <f>+Tabla8[[#This Row],[Trenes Puntuales]]/Tabla8[[#This Row],[Trenes Corridos]]</f>
        <v>0.75555555555555554</v>
      </c>
      <c r="BW206" s="15">
        <f>+Tabla8[[#This Row],[Trenes Corridos]]/Tabla8[[#This Row],[Trenes Programados]]</f>
        <v>0.95744680851063835</v>
      </c>
      <c r="BX206" s="16"/>
      <c r="BY206" s="16"/>
      <c r="BZ206" s="16">
        <v>940</v>
      </c>
      <c r="CA206" s="16">
        <f t="shared" si="88"/>
        <v>40</v>
      </c>
      <c r="CB206" s="16">
        <v>900</v>
      </c>
      <c r="CC206" s="16">
        <v>680</v>
      </c>
      <c r="CD206" s="16">
        <f t="shared" si="89"/>
        <v>220</v>
      </c>
      <c r="CI206" s="40"/>
      <c r="CJ206" s="40"/>
      <c r="CK206" s="40"/>
      <c r="CL206" s="40"/>
      <c r="CM206" s="40"/>
    </row>
    <row r="207" spans="1:91" s="18" customFormat="1" ht="15" customHeight="1">
      <c r="A207" s="18">
        <v>2009</v>
      </c>
      <c r="B207" s="21" t="s">
        <v>45</v>
      </c>
      <c r="C207" s="15">
        <f>+MITRE[[#This Row],[Trenes Puntuales]]/MITRE[[#This Row],[Trenes Programados]]</f>
        <v>0.85451306413301664</v>
      </c>
      <c r="D207" s="15">
        <f>+MITRE[[#This Row],[Trenes Puntuales]]/MITRE[[#This Row],[Trenes Corridos]]</f>
        <v>0.86948640483383688</v>
      </c>
      <c r="E207" s="15">
        <f>+MITRE[[#This Row],[Trenes Corridos]]/MITRE[[#This Row],[Trenes Programados]]</f>
        <v>0.98277909738717339</v>
      </c>
      <c r="F207" s="16">
        <f>+Tabla4[[#This Row],[Trenes Programados por Día Hábil]]+Tabla5[[#This Row],[Trenes Programados por Día Hábil]]+Tabla6[[#This Row],[Trenes Programados por Día Hábil]]+MIT_Vic_Cap[[#This Row],[Trenes Programados por Día Hábil]]+Tabla8[[#This Row],[Trenes Programados por Día Hábil]]</f>
        <v>0</v>
      </c>
      <c r="G20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7" s="16">
        <f t="shared" si="75"/>
        <v>15156</v>
      </c>
      <c r="I207" s="16">
        <f t="shared" si="76"/>
        <v>261</v>
      </c>
      <c r="J207" s="16">
        <f t="shared" si="77"/>
        <v>14895</v>
      </c>
      <c r="K207" s="16">
        <f t="shared" si="78"/>
        <v>12951</v>
      </c>
      <c r="L207" s="16">
        <f t="shared" si="79"/>
        <v>1944</v>
      </c>
      <c r="M207" s="16"/>
      <c r="N207" s="17"/>
      <c r="O207" s="18">
        <v>2009</v>
      </c>
      <c r="P207" s="21" t="s">
        <v>45</v>
      </c>
      <c r="Q207" s="15">
        <f>+Tabla4[[#This Row],[Trenes Puntuales]]/Tabla4[[#This Row],[Trenes Programados]]</f>
        <v>0.83657657657657658</v>
      </c>
      <c r="R207" s="15">
        <f>+Tabla4[[#This Row],[Trenes Puntuales]]/Tabla4[[#This Row],[Trenes Corridos]]</f>
        <v>0.85333578386326048</v>
      </c>
      <c r="S207" s="15">
        <f>+Tabla4[[#This Row],[Trenes Corridos]]/Tabla4[[#This Row],[Trenes Programados]]</f>
        <v>0.98036036036036034</v>
      </c>
      <c r="T207" s="16"/>
      <c r="U207" s="16"/>
      <c r="V207" s="16">
        <v>5550</v>
      </c>
      <c r="W207" s="16">
        <f t="shared" si="80"/>
        <v>109</v>
      </c>
      <c r="X207" s="16">
        <v>5441</v>
      </c>
      <c r="Y207" s="16">
        <v>4643</v>
      </c>
      <c r="Z207" s="16">
        <f t="shared" si="81"/>
        <v>798</v>
      </c>
      <c r="AA207" s="16"/>
      <c r="AB207" s="17"/>
      <c r="AC207" s="18">
        <v>2009</v>
      </c>
      <c r="AD207" s="21" t="s">
        <v>45</v>
      </c>
      <c r="AE207" s="15">
        <f>+Tabla5[[#This Row],[Trenes Puntuales]]/Tabla5[[#This Row],[Trenes Programados]]</f>
        <v>0.85496183206106868</v>
      </c>
      <c r="AF207" s="15">
        <f>+Tabla5[[#This Row],[Trenes Puntuales]]/Tabla5[[#This Row],[Trenes Corridos]]</f>
        <v>0.86861313868613144</v>
      </c>
      <c r="AG207" s="15">
        <f>+Tabla5[[#This Row],[Trenes Corridos]]/Tabla5[[#This Row],[Trenes Programados]]</f>
        <v>0.98428378985181864</v>
      </c>
      <c r="AH207" s="16"/>
      <c r="AI207" s="16"/>
      <c r="AJ207" s="16">
        <v>4454</v>
      </c>
      <c r="AK207" s="16">
        <f t="shared" si="82"/>
        <v>70</v>
      </c>
      <c r="AL207" s="16">
        <v>4384</v>
      </c>
      <c r="AM207" s="16">
        <v>3808</v>
      </c>
      <c r="AN207" s="16">
        <f t="shared" si="83"/>
        <v>576</v>
      </c>
      <c r="AO207" s="16"/>
      <c r="AP207" s="17"/>
      <c r="AQ207" s="18">
        <v>2009</v>
      </c>
      <c r="AR207" s="21" t="s">
        <v>45</v>
      </c>
      <c r="AS207" s="15">
        <f>+Tabla6[[#This Row],[Trenes Puntuales]]/Tabla6[[#This Row],[Trenes Programados]]</f>
        <v>0.9013690105787181</v>
      </c>
      <c r="AT207" s="15">
        <f>+Tabla6[[#This Row],[Trenes Puntuales]]/Tabla6[[#This Row],[Trenes Corridos]]</f>
        <v>0.9121536523929471</v>
      </c>
      <c r="AU207" s="15">
        <f>+Tabla6[[#This Row],[Trenes Corridos]]/Tabla6[[#This Row],[Trenes Programados]]</f>
        <v>0.98817672682016178</v>
      </c>
      <c r="AV207" s="16"/>
      <c r="AW207" s="16"/>
      <c r="AX207" s="16">
        <v>3214</v>
      </c>
      <c r="AY207" s="16">
        <f t="shared" si="84"/>
        <v>38</v>
      </c>
      <c r="AZ207" s="16">
        <v>3176</v>
      </c>
      <c r="BA207" s="16">
        <v>2897</v>
      </c>
      <c r="BB207" s="16">
        <f t="shared" si="85"/>
        <v>279</v>
      </c>
      <c r="BC207" s="16"/>
      <c r="BD207" s="17"/>
      <c r="BE207" s="18">
        <v>2009</v>
      </c>
      <c r="BF207" s="21" t="s">
        <v>45</v>
      </c>
      <c r="BG207" s="15">
        <f>+MIT_Vic_Cap[[#This Row],[Trenes Puntuales]]/MIT_Vic_Cap[[#This Row],[Trenes Programados]]</f>
        <v>0.93279839518555663</v>
      </c>
      <c r="BH207" s="15">
        <f>+MIT_Vic_Cap[[#This Row],[Trenes Puntuales]]/MIT_Vic_Cap[[#This Row],[Trenes Corridos]]</f>
        <v>0.94512195121951215</v>
      </c>
      <c r="BI207" s="15">
        <f>+MIT_Vic_Cap[[#This Row],[Trenes Corridos]]/MIT_Vic_Cap[[#This Row],[Trenes Programados]]</f>
        <v>0.98696088264794379</v>
      </c>
      <c r="BJ207" s="16"/>
      <c r="BK207" s="16"/>
      <c r="BL207" s="16">
        <v>997</v>
      </c>
      <c r="BM207" s="16">
        <f t="shared" si="86"/>
        <v>13</v>
      </c>
      <c r="BN207" s="16">
        <v>984</v>
      </c>
      <c r="BO207" s="16">
        <v>930</v>
      </c>
      <c r="BP207" s="16">
        <f t="shared" si="87"/>
        <v>54</v>
      </c>
      <c r="BQ207" s="16"/>
      <c r="BR207" s="17"/>
      <c r="BS207" s="18">
        <v>2009</v>
      </c>
      <c r="BT207" s="21" t="s">
        <v>45</v>
      </c>
      <c r="BU207" s="15">
        <f>+Tabla8[[#This Row],[Trenes Puntuales]]/Tabla8[[#This Row],[Trenes Programados]]</f>
        <v>0.71519659936238045</v>
      </c>
      <c r="BV207" s="15">
        <f>+Tabla8[[#This Row],[Trenes Puntuales]]/Tabla8[[#This Row],[Trenes Corridos]]</f>
        <v>0.7395604395604396</v>
      </c>
      <c r="BW207" s="15">
        <f>+Tabla8[[#This Row],[Trenes Corridos]]/Tabla8[[#This Row],[Trenes Programados]]</f>
        <v>0.96705632306057387</v>
      </c>
      <c r="BX207" s="16"/>
      <c r="BY207" s="16"/>
      <c r="BZ207" s="16">
        <v>941</v>
      </c>
      <c r="CA207" s="16">
        <f t="shared" si="88"/>
        <v>31</v>
      </c>
      <c r="CB207" s="16">
        <v>910</v>
      </c>
      <c r="CC207" s="16">
        <v>673</v>
      </c>
      <c r="CD207" s="16">
        <f t="shared" si="89"/>
        <v>237</v>
      </c>
      <c r="CI207" s="40"/>
      <c r="CJ207" s="40"/>
      <c r="CK207" s="40"/>
      <c r="CL207" s="40"/>
      <c r="CM207" s="40"/>
    </row>
    <row r="208" spans="1:91" s="18" customFormat="1" ht="15" customHeight="1">
      <c r="A208" s="18">
        <v>2009</v>
      </c>
      <c r="B208" s="21" t="s">
        <v>46</v>
      </c>
      <c r="C208" s="15">
        <f>+MITRE[[#This Row],[Trenes Puntuales]]/MITRE[[#This Row],[Trenes Programados]]</f>
        <v>0.83606445910110827</v>
      </c>
      <c r="D208" s="15">
        <f>+MITRE[[#This Row],[Trenes Puntuales]]/MITRE[[#This Row],[Trenes Corridos]]</f>
        <v>0.85794027351381519</v>
      </c>
      <c r="E208" s="15">
        <f>+MITRE[[#This Row],[Trenes Corridos]]/MITRE[[#This Row],[Trenes Programados]]</f>
        <v>0.97450193785272321</v>
      </c>
      <c r="F208" s="16">
        <f>+Tabla4[[#This Row],[Trenes Programados por Día Hábil]]+Tabla5[[#This Row],[Trenes Programados por Día Hábil]]+Tabla6[[#This Row],[Trenes Programados por Día Hábil]]+MIT_Vic_Cap[[#This Row],[Trenes Programados por Día Hábil]]+Tabla8[[#This Row],[Trenes Programados por Día Hábil]]</f>
        <v>0</v>
      </c>
      <c r="G20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8" s="16">
        <f t="shared" si="75"/>
        <v>14707</v>
      </c>
      <c r="I208" s="16">
        <f t="shared" si="76"/>
        <v>375</v>
      </c>
      <c r="J208" s="16">
        <f t="shared" si="77"/>
        <v>14332</v>
      </c>
      <c r="K208" s="16">
        <f t="shared" si="78"/>
        <v>12296</v>
      </c>
      <c r="L208" s="16">
        <f t="shared" si="79"/>
        <v>2036</v>
      </c>
      <c r="M208" s="16"/>
      <c r="N208" s="17"/>
      <c r="O208" s="18">
        <v>2009</v>
      </c>
      <c r="P208" s="21" t="s">
        <v>46</v>
      </c>
      <c r="Q208" s="15">
        <f>+Tabla4[[#This Row],[Trenes Puntuales]]/Tabla4[[#This Row],[Trenes Programados]]</f>
        <v>0.80408163265306121</v>
      </c>
      <c r="R208" s="15">
        <f>+Tabla4[[#This Row],[Trenes Puntuales]]/Tabla4[[#This Row],[Trenes Corridos]]</f>
        <v>0.82631077216396565</v>
      </c>
      <c r="S208" s="15">
        <f>+Tabla4[[#This Row],[Trenes Corridos]]/Tabla4[[#This Row],[Trenes Programados]]</f>
        <v>0.97309833024118741</v>
      </c>
      <c r="T208" s="16"/>
      <c r="U208" s="16"/>
      <c r="V208" s="16">
        <v>5390</v>
      </c>
      <c r="W208" s="16">
        <f t="shared" si="80"/>
        <v>145</v>
      </c>
      <c r="X208" s="16">
        <v>5245</v>
      </c>
      <c r="Y208" s="16">
        <v>4334</v>
      </c>
      <c r="Z208" s="16">
        <f t="shared" si="81"/>
        <v>911</v>
      </c>
      <c r="AA208" s="16"/>
      <c r="AB208" s="17"/>
      <c r="AC208" s="18">
        <v>2009</v>
      </c>
      <c r="AD208" s="21" t="s">
        <v>46</v>
      </c>
      <c r="AE208" s="15">
        <f>+Tabla5[[#This Row],[Trenes Puntuales]]/Tabla5[[#This Row],[Trenes Programados]]</f>
        <v>0.843287037037037</v>
      </c>
      <c r="AF208" s="15">
        <f>+Tabla5[[#This Row],[Trenes Puntuales]]/Tabla5[[#This Row],[Trenes Corridos]]</f>
        <v>0.86388427792269384</v>
      </c>
      <c r="AG208" s="15">
        <f>+Tabla5[[#This Row],[Trenes Corridos]]/Tabla5[[#This Row],[Trenes Programados]]</f>
        <v>0.97615740740740742</v>
      </c>
      <c r="AH208" s="16"/>
      <c r="AI208" s="16"/>
      <c r="AJ208" s="16">
        <v>4320</v>
      </c>
      <c r="AK208" s="16">
        <f t="shared" si="82"/>
        <v>103</v>
      </c>
      <c r="AL208" s="16">
        <v>4217</v>
      </c>
      <c r="AM208" s="16">
        <v>3643</v>
      </c>
      <c r="AN208" s="16">
        <f t="shared" si="83"/>
        <v>574</v>
      </c>
      <c r="AO208" s="16"/>
      <c r="AP208" s="17"/>
      <c r="AQ208" s="18">
        <v>2009</v>
      </c>
      <c r="AR208" s="21" t="s">
        <v>46</v>
      </c>
      <c r="AS208" s="15">
        <f>+Tabla6[[#This Row],[Trenes Puntuales]]/Tabla6[[#This Row],[Trenes Programados]]</f>
        <v>0.89170951156812339</v>
      </c>
      <c r="AT208" s="15">
        <f>+Tabla6[[#This Row],[Trenes Puntuales]]/Tabla6[[#This Row],[Trenes Corridos]]</f>
        <v>0.91765873015873012</v>
      </c>
      <c r="AU208" s="15">
        <f>+Tabla6[[#This Row],[Trenes Corridos]]/Tabla6[[#This Row],[Trenes Programados]]</f>
        <v>0.97172236503856046</v>
      </c>
      <c r="AV208" s="16"/>
      <c r="AW208" s="16"/>
      <c r="AX208" s="16">
        <v>3112</v>
      </c>
      <c r="AY208" s="16">
        <f t="shared" si="84"/>
        <v>88</v>
      </c>
      <c r="AZ208" s="16">
        <v>3024</v>
      </c>
      <c r="BA208" s="16">
        <v>2775</v>
      </c>
      <c r="BB208" s="16">
        <f t="shared" si="85"/>
        <v>249</v>
      </c>
      <c r="BC208" s="16"/>
      <c r="BD208" s="17"/>
      <c r="BE208" s="18">
        <v>2009</v>
      </c>
      <c r="BF208" s="21" t="s">
        <v>46</v>
      </c>
      <c r="BG208" s="15">
        <f>+MIT_Vic_Cap[[#This Row],[Trenes Puntuales]]/MIT_Vic_Cap[[#This Row],[Trenes Programados]]</f>
        <v>0.91088082901554401</v>
      </c>
      <c r="BH208" s="15">
        <f>+MIT_Vic_Cap[[#This Row],[Trenes Puntuales]]/MIT_Vic_Cap[[#This Row],[Trenes Corridos]]</f>
        <v>0.93213149522799577</v>
      </c>
      <c r="BI208" s="15">
        <f>+MIT_Vic_Cap[[#This Row],[Trenes Corridos]]/MIT_Vic_Cap[[#This Row],[Trenes Programados]]</f>
        <v>0.97720207253886016</v>
      </c>
      <c r="BJ208" s="16"/>
      <c r="BK208" s="16"/>
      <c r="BL208" s="16">
        <v>965</v>
      </c>
      <c r="BM208" s="16">
        <f t="shared" si="86"/>
        <v>22</v>
      </c>
      <c r="BN208" s="16">
        <v>943</v>
      </c>
      <c r="BO208" s="16">
        <v>879</v>
      </c>
      <c r="BP208" s="16">
        <f t="shared" si="87"/>
        <v>64</v>
      </c>
      <c r="BQ208" s="16"/>
      <c r="BR208" s="17"/>
      <c r="BS208" s="18">
        <v>2009</v>
      </c>
      <c r="BT208" s="21" t="s">
        <v>46</v>
      </c>
      <c r="BU208" s="15">
        <f>+Tabla8[[#This Row],[Trenes Puntuales]]/Tabla8[[#This Row],[Trenes Programados]]</f>
        <v>0.72282608695652173</v>
      </c>
      <c r="BV208" s="15">
        <f>+Tabla8[[#This Row],[Trenes Puntuales]]/Tabla8[[#This Row],[Trenes Corridos]]</f>
        <v>0.73643410852713176</v>
      </c>
      <c r="BW208" s="15">
        <f>+Tabla8[[#This Row],[Trenes Corridos]]/Tabla8[[#This Row],[Trenes Programados]]</f>
        <v>0.98152173913043483</v>
      </c>
      <c r="BX208" s="16"/>
      <c r="BY208" s="16"/>
      <c r="BZ208" s="16">
        <v>920</v>
      </c>
      <c r="CA208" s="16">
        <f t="shared" si="88"/>
        <v>17</v>
      </c>
      <c r="CB208" s="16">
        <v>903</v>
      </c>
      <c r="CC208" s="16">
        <v>665</v>
      </c>
      <c r="CD208" s="16">
        <f t="shared" si="89"/>
        <v>238</v>
      </c>
      <c r="CI208" s="40"/>
      <c r="CJ208" s="40"/>
      <c r="CK208" s="40"/>
      <c r="CL208" s="40"/>
      <c r="CM208" s="40"/>
    </row>
    <row r="209" spans="1:91" s="18" customFormat="1" ht="15" customHeight="1">
      <c r="A209" s="18">
        <v>2009</v>
      </c>
      <c r="B209" s="21" t="s">
        <v>47</v>
      </c>
      <c r="C209" s="15">
        <f>+MITRE[[#This Row],[Trenes Puntuales]]/MITRE[[#This Row],[Trenes Programados]]</f>
        <v>0.79603380581619754</v>
      </c>
      <c r="D209" s="15">
        <f>+MITRE[[#This Row],[Trenes Puntuales]]/MITRE[[#This Row],[Trenes Corridos]]</f>
        <v>0.82382920110192837</v>
      </c>
      <c r="E209" s="15">
        <f>+MITRE[[#This Row],[Trenes Corridos]]/MITRE[[#This Row],[Trenes Programados]]</f>
        <v>0.96626073068476737</v>
      </c>
      <c r="F209" s="16">
        <f>+Tabla4[[#This Row],[Trenes Programados por Día Hábil]]+Tabla5[[#This Row],[Trenes Programados por Día Hábil]]+Tabla6[[#This Row],[Trenes Programados por Día Hábil]]+MIT_Vic_Cap[[#This Row],[Trenes Programados por Día Hábil]]+Tabla8[[#This Row],[Trenes Programados por Día Hábil]]</f>
        <v>0</v>
      </c>
      <c r="G20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9" s="16">
        <f t="shared" si="75"/>
        <v>15027</v>
      </c>
      <c r="I209" s="16">
        <f t="shared" si="76"/>
        <v>507</v>
      </c>
      <c r="J209" s="16">
        <f t="shared" si="77"/>
        <v>14520</v>
      </c>
      <c r="K209" s="16">
        <f t="shared" si="78"/>
        <v>11962</v>
      </c>
      <c r="L209" s="16">
        <f t="shared" si="79"/>
        <v>2558</v>
      </c>
      <c r="M209" s="16"/>
      <c r="N209" s="17"/>
      <c r="O209" s="18">
        <v>2009</v>
      </c>
      <c r="P209" s="21" t="s">
        <v>47</v>
      </c>
      <c r="Q209" s="15">
        <f>+Tabla4[[#This Row],[Trenes Puntuales]]/Tabla4[[#This Row],[Trenes Programados]]</f>
        <v>0.74272727272727268</v>
      </c>
      <c r="R209" s="15">
        <f>+Tabla4[[#This Row],[Trenes Puntuales]]/Tabla4[[#This Row],[Trenes Corridos]]</f>
        <v>0.7729422894985809</v>
      </c>
      <c r="S209" s="15">
        <f>+Tabla4[[#This Row],[Trenes Corridos]]/Tabla4[[#This Row],[Trenes Programados]]</f>
        <v>0.96090909090909093</v>
      </c>
      <c r="T209" s="16"/>
      <c r="U209" s="16"/>
      <c r="V209" s="16">
        <v>5500</v>
      </c>
      <c r="W209" s="16">
        <f t="shared" si="80"/>
        <v>215</v>
      </c>
      <c r="X209" s="16">
        <v>5285</v>
      </c>
      <c r="Y209" s="16">
        <v>4085</v>
      </c>
      <c r="Z209" s="16">
        <f t="shared" si="81"/>
        <v>1200</v>
      </c>
      <c r="AA209" s="16"/>
      <c r="AB209" s="17"/>
      <c r="AC209" s="18">
        <v>2009</v>
      </c>
      <c r="AD209" s="21" t="s">
        <v>47</v>
      </c>
      <c r="AE209" s="15">
        <f>+Tabla5[[#This Row],[Trenes Puntuales]]/Tabla5[[#This Row],[Trenes Programados]]</f>
        <v>0.83080063506464052</v>
      </c>
      <c r="AF209" s="15">
        <f>+Tabla5[[#This Row],[Trenes Puntuales]]/Tabla5[[#This Row],[Trenes Corridos]]</f>
        <v>0.84948979591836737</v>
      </c>
      <c r="AG209" s="15">
        <f>+Tabla5[[#This Row],[Trenes Corridos]]/Tabla5[[#This Row],[Trenes Programados]]</f>
        <v>0.97799954638239961</v>
      </c>
      <c r="AH209" s="16"/>
      <c r="AI209" s="16"/>
      <c r="AJ209" s="16">
        <v>4409</v>
      </c>
      <c r="AK209" s="16">
        <f t="shared" si="82"/>
        <v>97</v>
      </c>
      <c r="AL209" s="16">
        <v>4312</v>
      </c>
      <c r="AM209" s="16">
        <v>3663</v>
      </c>
      <c r="AN209" s="16">
        <f t="shared" si="83"/>
        <v>649</v>
      </c>
      <c r="AO209" s="16"/>
      <c r="AP209" s="17"/>
      <c r="AQ209" s="18">
        <v>2009</v>
      </c>
      <c r="AR209" s="21" t="s">
        <v>47</v>
      </c>
      <c r="AS209" s="15">
        <f>+Tabla6[[#This Row],[Trenes Puntuales]]/Tabla6[[#This Row],[Trenes Programados]]</f>
        <v>0.85226917057902973</v>
      </c>
      <c r="AT209" s="15">
        <f>+Tabla6[[#This Row],[Trenes Puntuales]]/Tabla6[[#This Row],[Trenes Corridos]]</f>
        <v>0.88065976714100902</v>
      </c>
      <c r="AU209" s="15">
        <f>+Tabla6[[#This Row],[Trenes Corridos]]/Tabla6[[#This Row],[Trenes Programados]]</f>
        <v>0.96776212832550856</v>
      </c>
      <c r="AV209" s="16"/>
      <c r="AW209" s="16"/>
      <c r="AX209" s="16">
        <v>3195</v>
      </c>
      <c r="AY209" s="16">
        <f t="shared" si="84"/>
        <v>103</v>
      </c>
      <c r="AZ209" s="16">
        <v>3092</v>
      </c>
      <c r="BA209" s="16">
        <v>2723</v>
      </c>
      <c r="BB209" s="16">
        <f t="shared" si="85"/>
        <v>369</v>
      </c>
      <c r="BC209" s="16"/>
      <c r="BD209" s="17"/>
      <c r="BE209" s="18">
        <v>2009</v>
      </c>
      <c r="BF209" s="21" t="s">
        <v>47</v>
      </c>
      <c r="BG209" s="15">
        <f>+MIT_Vic_Cap[[#This Row],[Trenes Puntuales]]/MIT_Vic_Cap[[#This Row],[Trenes Programados]]</f>
        <v>0.86018237082066873</v>
      </c>
      <c r="BH209" s="15">
        <f>+MIT_Vic_Cap[[#This Row],[Trenes Puntuales]]/MIT_Vic_Cap[[#This Row],[Trenes Corridos]]</f>
        <v>0.89556962025316456</v>
      </c>
      <c r="BI209" s="15">
        <f>+MIT_Vic_Cap[[#This Row],[Trenes Corridos]]/MIT_Vic_Cap[[#This Row],[Trenes Programados]]</f>
        <v>0.96048632218844987</v>
      </c>
      <c r="BJ209" s="16"/>
      <c r="BK209" s="16"/>
      <c r="BL209" s="16">
        <v>987</v>
      </c>
      <c r="BM209" s="16">
        <f t="shared" si="86"/>
        <v>39</v>
      </c>
      <c r="BN209" s="16">
        <v>948</v>
      </c>
      <c r="BO209" s="16">
        <v>849</v>
      </c>
      <c r="BP209" s="16">
        <f t="shared" si="87"/>
        <v>99</v>
      </c>
      <c r="BQ209" s="16"/>
      <c r="BR209" s="17"/>
      <c r="BS209" s="18">
        <v>2009</v>
      </c>
      <c r="BT209" s="21" t="s">
        <v>47</v>
      </c>
      <c r="BU209" s="15">
        <f>+Tabla8[[#This Row],[Trenes Puntuales]]/Tabla8[[#This Row],[Trenes Programados]]</f>
        <v>0.6858974358974359</v>
      </c>
      <c r="BV209" s="15">
        <f>+Tabla8[[#This Row],[Trenes Puntuales]]/Tabla8[[#This Row],[Trenes Corridos]]</f>
        <v>0.72706681766704417</v>
      </c>
      <c r="BW209" s="15">
        <f>+Tabla8[[#This Row],[Trenes Corridos]]/Tabla8[[#This Row],[Trenes Programados]]</f>
        <v>0.94337606837606836</v>
      </c>
      <c r="BX209" s="16"/>
      <c r="BY209" s="16"/>
      <c r="BZ209" s="16">
        <v>936</v>
      </c>
      <c r="CA209" s="16">
        <f t="shared" si="88"/>
        <v>53</v>
      </c>
      <c r="CB209" s="16">
        <v>883</v>
      </c>
      <c r="CC209" s="16">
        <v>642</v>
      </c>
      <c r="CD209" s="16">
        <f t="shared" si="89"/>
        <v>241</v>
      </c>
      <c r="CI209" s="40"/>
      <c r="CJ209" s="40"/>
      <c r="CK209" s="40"/>
      <c r="CL209" s="40"/>
      <c r="CM209" s="40"/>
    </row>
    <row r="210" spans="1:91" s="18" customFormat="1" ht="15" customHeight="1">
      <c r="A210" s="18">
        <v>2010</v>
      </c>
      <c r="B210" s="21" t="s">
        <v>36</v>
      </c>
      <c r="C210" s="15">
        <f>+MITRE[[#This Row],[Trenes Puntuales]]/MITRE[[#This Row],[Trenes Programados]]</f>
        <v>0.83312136019813909</v>
      </c>
      <c r="D210" s="15">
        <f>+MITRE[[#This Row],[Trenes Puntuales]]/MITRE[[#This Row],[Trenes Corridos]]</f>
        <v>0.85970850314291636</v>
      </c>
      <c r="E210" s="15">
        <f>+MITRE[[#This Row],[Trenes Corridos]]/MITRE[[#This Row],[Trenes Programados]]</f>
        <v>0.96907423522324121</v>
      </c>
      <c r="F210" s="16">
        <f>+Tabla4[[#This Row],[Trenes Programados por Día Hábil]]+Tabla5[[#This Row],[Trenes Programados por Día Hábil]]+Tabla6[[#This Row],[Trenes Programados por Día Hábil]]+MIT_Vic_Cap[[#This Row],[Trenes Programados por Día Hábil]]+Tabla8[[#This Row],[Trenes Programados por Día Hábil]]</f>
        <v>0</v>
      </c>
      <c r="G21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0" s="16">
        <f t="shared" si="75"/>
        <v>14939</v>
      </c>
      <c r="I210" s="16">
        <f t="shared" si="76"/>
        <v>462</v>
      </c>
      <c r="J210" s="16">
        <f t="shared" si="77"/>
        <v>14477</v>
      </c>
      <c r="K210" s="16">
        <f t="shared" si="78"/>
        <v>12446</v>
      </c>
      <c r="L210" s="16">
        <f t="shared" si="79"/>
        <v>2031</v>
      </c>
      <c r="M210" s="16"/>
      <c r="N210" s="17"/>
      <c r="O210" s="18">
        <v>2010</v>
      </c>
      <c r="P210" s="21" t="s">
        <v>36</v>
      </c>
      <c r="Q210" s="15">
        <f>+Tabla4[[#This Row],[Trenes Puntuales]]/Tabla4[[#This Row],[Trenes Programados]]</f>
        <v>0.78919413919413917</v>
      </c>
      <c r="R210" s="15">
        <f>+Tabla4[[#This Row],[Trenes Puntuales]]/Tabla4[[#This Row],[Trenes Corridos]]</f>
        <v>0.83410762679055361</v>
      </c>
      <c r="S210" s="15">
        <f>+Tabla4[[#This Row],[Trenes Corridos]]/Tabla4[[#This Row],[Trenes Programados]]</f>
        <v>0.94615384615384612</v>
      </c>
      <c r="T210" s="16"/>
      <c r="U210" s="16"/>
      <c r="V210" s="16">
        <v>5460</v>
      </c>
      <c r="W210" s="16">
        <f t="shared" ref="W210:W221" si="90">V210-X210</f>
        <v>294</v>
      </c>
      <c r="X210" s="16">
        <v>5166</v>
      </c>
      <c r="Y210" s="16">
        <v>4309</v>
      </c>
      <c r="Z210" s="16">
        <f t="shared" ref="Z210:Z221" si="91">X210-Y210</f>
        <v>857</v>
      </c>
      <c r="AA210" s="16"/>
      <c r="AB210" s="17"/>
      <c r="AC210" s="18">
        <v>2010</v>
      </c>
      <c r="AD210" s="21" t="s">
        <v>36</v>
      </c>
      <c r="AE210" s="15">
        <f>+Tabla5[[#This Row],[Trenes Puntuales]]/Tabla5[[#This Row],[Trenes Programados]]</f>
        <v>0.85355839416058399</v>
      </c>
      <c r="AF210" s="15">
        <f>+Tabla5[[#This Row],[Trenes Puntuales]]/Tabla5[[#This Row],[Trenes Corridos]]</f>
        <v>0.86962584243551011</v>
      </c>
      <c r="AG210" s="15">
        <f>+Tabla5[[#This Row],[Trenes Corridos]]/Tabla5[[#This Row],[Trenes Programados]]</f>
        <v>0.98152372262773724</v>
      </c>
      <c r="AH210" s="16"/>
      <c r="AI210" s="16"/>
      <c r="AJ210" s="16">
        <v>4384</v>
      </c>
      <c r="AK210" s="16">
        <f t="shared" ref="AK210:AK221" si="92">AJ210-AL210</f>
        <v>81</v>
      </c>
      <c r="AL210" s="16">
        <v>4303</v>
      </c>
      <c r="AM210" s="16">
        <v>3742</v>
      </c>
      <c r="AN210" s="16">
        <f t="shared" ref="AN210:AN221" si="93">AL210-AM210</f>
        <v>561</v>
      </c>
      <c r="AO210" s="16"/>
      <c r="AP210" s="17"/>
      <c r="AQ210" s="18">
        <v>2010</v>
      </c>
      <c r="AR210" s="21" t="s">
        <v>36</v>
      </c>
      <c r="AS210" s="15">
        <f>+Tabla6[[#This Row],[Trenes Puntuales]]/Tabla6[[#This Row],[Trenes Programados]]</f>
        <v>0.88958594730238394</v>
      </c>
      <c r="AT210" s="15">
        <f>+Tabla6[[#This Row],[Trenes Puntuales]]/Tabla6[[#This Row],[Trenes Corridos]]</f>
        <v>0.9031847133757962</v>
      </c>
      <c r="AU210" s="15">
        <f>+Tabla6[[#This Row],[Trenes Corridos]]/Tabla6[[#This Row],[Trenes Programados]]</f>
        <v>0.98494353826850689</v>
      </c>
      <c r="AV210" s="16"/>
      <c r="AW210" s="16"/>
      <c r="AX210" s="16">
        <v>3188</v>
      </c>
      <c r="AY210" s="16">
        <f t="shared" ref="AY210:AY221" si="94">AX210-AZ210</f>
        <v>48</v>
      </c>
      <c r="AZ210" s="16">
        <v>3140</v>
      </c>
      <c r="BA210" s="16">
        <v>2836</v>
      </c>
      <c r="BB210" s="16">
        <f t="shared" ref="BB210:BB221" si="95">AZ210-BA210</f>
        <v>304</v>
      </c>
      <c r="BC210" s="16"/>
      <c r="BD210" s="17"/>
      <c r="BE210" s="18">
        <v>2010</v>
      </c>
      <c r="BF210" s="21" t="s">
        <v>36</v>
      </c>
      <c r="BG210" s="15">
        <f>+MIT_Vic_Cap[[#This Row],[Trenes Puntuales]]/MIT_Vic_Cap[[#This Row],[Trenes Programados]]</f>
        <v>0.86916835699797157</v>
      </c>
      <c r="BH210" s="15">
        <f>+MIT_Vic_Cap[[#This Row],[Trenes Puntuales]]/MIT_Vic_Cap[[#This Row],[Trenes Corridos]]</f>
        <v>0.88992731048805818</v>
      </c>
      <c r="BI210" s="15">
        <f>+MIT_Vic_Cap[[#This Row],[Trenes Corridos]]/MIT_Vic_Cap[[#This Row],[Trenes Programados]]</f>
        <v>0.97667342799188639</v>
      </c>
      <c r="BJ210" s="16"/>
      <c r="BK210" s="16"/>
      <c r="BL210" s="16">
        <v>986</v>
      </c>
      <c r="BM210" s="16">
        <f t="shared" ref="BM210:BM221" si="96">BL210-BN210</f>
        <v>23</v>
      </c>
      <c r="BN210" s="16">
        <v>963</v>
      </c>
      <c r="BO210" s="16">
        <v>857</v>
      </c>
      <c r="BP210" s="16">
        <f t="shared" ref="BP210:BP221" si="97">BN210-BO210</f>
        <v>106</v>
      </c>
      <c r="BQ210" s="16"/>
      <c r="BR210" s="17"/>
      <c r="BS210" s="18">
        <v>2010</v>
      </c>
      <c r="BT210" s="21" t="s">
        <v>36</v>
      </c>
      <c r="BU210" s="15">
        <f>+Tabla8[[#This Row],[Trenes Puntuales]]/Tabla8[[#This Row],[Trenes Programados]]</f>
        <v>0.76221498371335505</v>
      </c>
      <c r="BV210" s="15">
        <f>+Tabla8[[#This Row],[Trenes Puntuales]]/Tabla8[[#This Row],[Trenes Corridos]]</f>
        <v>0.77569060773480658</v>
      </c>
      <c r="BW210" s="15">
        <f>+Tabla8[[#This Row],[Trenes Corridos]]/Tabla8[[#This Row],[Trenes Programados]]</f>
        <v>0.98262757871878392</v>
      </c>
      <c r="BX210" s="16"/>
      <c r="BY210" s="16"/>
      <c r="BZ210" s="16">
        <v>921</v>
      </c>
      <c r="CA210" s="16">
        <v>57</v>
      </c>
      <c r="CB210" s="16">
        <v>905</v>
      </c>
      <c r="CC210" s="16">
        <v>702</v>
      </c>
      <c r="CD210" s="16">
        <f t="shared" ref="CD210:CD221" si="98">CB210-CC210</f>
        <v>203</v>
      </c>
      <c r="CI210" s="40"/>
      <c r="CJ210" s="40"/>
      <c r="CK210" s="40"/>
      <c r="CL210" s="40"/>
      <c r="CM210" s="40"/>
    </row>
    <row r="211" spans="1:91" s="18" customFormat="1" ht="15" customHeight="1">
      <c r="A211" s="18">
        <v>2010</v>
      </c>
      <c r="B211" s="21" t="s">
        <v>37</v>
      </c>
      <c r="C211" s="15">
        <f>+MITRE[[#This Row],[Trenes Puntuales]]/MITRE[[#This Row],[Trenes Programados]]</f>
        <v>0.82733968804159441</v>
      </c>
      <c r="D211" s="15">
        <f>+MITRE[[#This Row],[Trenes Puntuales]]/MITRE[[#This Row],[Trenes Corridos]]</f>
        <v>0.85499999999999998</v>
      </c>
      <c r="E211" s="15">
        <f>+MITRE[[#This Row],[Trenes Corridos]]/MITRE[[#This Row],[Trenes Programados]]</f>
        <v>0.96764875794338534</v>
      </c>
      <c r="F211" s="16">
        <f>+Tabla4[[#This Row],[Trenes Programados por Día Hábil]]+Tabla5[[#This Row],[Trenes Programados por Día Hábil]]+Tabla6[[#This Row],[Trenes Programados por Día Hábil]]+MIT_Vic_Cap[[#This Row],[Trenes Programados por Día Hábil]]+Tabla8[[#This Row],[Trenes Programados por Día Hábil]]</f>
        <v>0</v>
      </c>
      <c r="G21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1" s="16">
        <f t="shared" si="75"/>
        <v>13848</v>
      </c>
      <c r="I211" s="16">
        <f t="shared" si="76"/>
        <v>448</v>
      </c>
      <c r="J211" s="16">
        <f t="shared" si="77"/>
        <v>13400</v>
      </c>
      <c r="K211" s="16">
        <f t="shared" si="78"/>
        <v>11457</v>
      </c>
      <c r="L211" s="16">
        <f t="shared" si="79"/>
        <v>1943</v>
      </c>
      <c r="M211" s="16"/>
      <c r="N211" s="17"/>
      <c r="O211" s="18">
        <v>2010</v>
      </c>
      <c r="P211" s="21" t="s">
        <v>37</v>
      </c>
      <c r="Q211" s="15">
        <f>+Tabla4[[#This Row],[Trenes Puntuales]]/Tabla4[[#This Row],[Trenes Programados]]</f>
        <v>0.79566929133858266</v>
      </c>
      <c r="R211" s="15">
        <f>+Tabla4[[#This Row],[Trenes Puntuales]]/Tabla4[[#This Row],[Trenes Corridos]]</f>
        <v>0.83168724279835393</v>
      </c>
      <c r="S211" s="15">
        <f>+Tabla4[[#This Row],[Trenes Corridos]]/Tabla4[[#This Row],[Trenes Programados]]</f>
        <v>0.95669291338582674</v>
      </c>
      <c r="T211" s="16"/>
      <c r="U211" s="16"/>
      <c r="V211" s="16">
        <v>5080</v>
      </c>
      <c r="W211" s="16">
        <f t="shared" si="90"/>
        <v>220</v>
      </c>
      <c r="X211" s="16">
        <v>4860</v>
      </c>
      <c r="Y211" s="16">
        <v>4042</v>
      </c>
      <c r="Z211" s="16">
        <f t="shared" si="91"/>
        <v>818</v>
      </c>
      <c r="AA211" s="16"/>
      <c r="AB211" s="17"/>
      <c r="AC211" s="18">
        <v>2010</v>
      </c>
      <c r="AD211" s="21" t="s">
        <v>37</v>
      </c>
      <c r="AE211" s="15">
        <f>+Tabla5[[#This Row],[Trenes Puntuales]]/Tabla5[[#This Row],[Trenes Programados]]</f>
        <v>0.84503929273084477</v>
      </c>
      <c r="AF211" s="15">
        <f>+Tabla5[[#This Row],[Trenes Puntuales]]/Tabla5[[#This Row],[Trenes Corridos]]</f>
        <v>0.86522504400301736</v>
      </c>
      <c r="AG211" s="15">
        <f>+Tabla5[[#This Row],[Trenes Corridos]]/Tabla5[[#This Row],[Trenes Programados]]</f>
        <v>0.97666994106090377</v>
      </c>
      <c r="AH211" s="16"/>
      <c r="AI211" s="16"/>
      <c r="AJ211" s="16">
        <v>4072</v>
      </c>
      <c r="AK211" s="16">
        <f t="shared" si="92"/>
        <v>95</v>
      </c>
      <c r="AL211" s="16">
        <v>3977</v>
      </c>
      <c r="AM211" s="16">
        <v>3441</v>
      </c>
      <c r="AN211" s="16">
        <f t="shared" si="93"/>
        <v>536</v>
      </c>
      <c r="AO211" s="16"/>
      <c r="AP211" s="17"/>
      <c r="AQ211" s="18">
        <v>2010</v>
      </c>
      <c r="AR211" s="21" t="s">
        <v>37</v>
      </c>
      <c r="AS211" s="15">
        <f>+Tabla6[[#This Row],[Trenes Puntuales]]/Tabla6[[#This Row],[Trenes Programados]]</f>
        <v>0.84452054794520548</v>
      </c>
      <c r="AT211" s="15">
        <f>+Tabla6[[#This Row],[Trenes Puntuales]]/Tabla6[[#This Row],[Trenes Corridos]]</f>
        <v>0.87322946175637395</v>
      </c>
      <c r="AU211" s="15">
        <f>+Tabla6[[#This Row],[Trenes Corridos]]/Tabla6[[#This Row],[Trenes Programados]]</f>
        <v>0.9671232876712329</v>
      </c>
      <c r="AV211" s="16"/>
      <c r="AW211" s="16"/>
      <c r="AX211" s="16">
        <v>2920</v>
      </c>
      <c r="AY211" s="16">
        <f t="shared" si="94"/>
        <v>96</v>
      </c>
      <c r="AZ211" s="16">
        <v>2824</v>
      </c>
      <c r="BA211" s="16">
        <v>2466</v>
      </c>
      <c r="BB211" s="16">
        <f t="shared" si="95"/>
        <v>358</v>
      </c>
      <c r="BC211" s="16"/>
      <c r="BD211" s="17"/>
      <c r="BE211" s="18">
        <v>2010</v>
      </c>
      <c r="BF211" s="21" t="s">
        <v>37</v>
      </c>
      <c r="BG211" s="15">
        <f>+MIT_Vic_Cap[[#This Row],[Trenes Puntuales]]/MIT_Vic_Cap[[#This Row],[Trenes Programados]]</f>
        <v>0.85682819383259912</v>
      </c>
      <c r="BH211" s="15">
        <f>+MIT_Vic_Cap[[#This Row],[Trenes Puntuales]]/MIT_Vic_Cap[[#This Row],[Trenes Corridos]]</f>
        <v>0.88208616780045357</v>
      </c>
      <c r="BI211" s="15">
        <f>+MIT_Vic_Cap[[#This Row],[Trenes Corridos]]/MIT_Vic_Cap[[#This Row],[Trenes Programados]]</f>
        <v>0.97136563876651982</v>
      </c>
      <c r="BJ211" s="16"/>
      <c r="BK211" s="16"/>
      <c r="BL211" s="16">
        <v>908</v>
      </c>
      <c r="BM211" s="16">
        <f t="shared" si="96"/>
        <v>26</v>
      </c>
      <c r="BN211" s="16">
        <v>882</v>
      </c>
      <c r="BO211" s="16">
        <v>778</v>
      </c>
      <c r="BP211" s="16">
        <f t="shared" si="97"/>
        <v>104</v>
      </c>
      <c r="BQ211" s="16"/>
      <c r="BR211" s="17"/>
      <c r="BS211" s="18">
        <v>2010</v>
      </c>
      <c r="BT211" s="21" t="s">
        <v>37</v>
      </c>
      <c r="BU211" s="15">
        <f>+Tabla8[[#This Row],[Trenes Puntuales]]/Tabla8[[#This Row],[Trenes Programados]]</f>
        <v>0.84101382488479259</v>
      </c>
      <c r="BV211" s="15">
        <f>+Tabla8[[#This Row],[Trenes Puntuales]]/Tabla8[[#This Row],[Trenes Corridos]]</f>
        <v>0.85180863477246205</v>
      </c>
      <c r="BW211" s="15">
        <f>+Tabla8[[#This Row],[Trenes Corridos]]/Tabla8[[#This Row],[Trenes Programados]]</f>
        <v>0.98732718894009219</v>
      </c>
      <c r="BX211" s="16"/>
      <c r="BY211" s="16"/>
      <c r="BZ211" s="16">
        <v>868</v>
      </c>
      <c r="CA211" s="16">
        <v>75</v>
      </c>
      <c r="CB211" s="16">
        <v>857</v>
      </c>
      <c r="CC211" s="16">
        <v>730</v>
      </c>
      <c r="CD211" s="16">
        <f t="shared" si="98"/>
        <v>127</v>
      </c>
      <c r="CI211" s="40"/>
      <c r="CJ211" s="40"/>
      <c r="CK211" s="40"/>
      <c r="CL211" s="40"/>
      <c r="CM211" s="40"/>
    </row>
    <row r="212" spans="1:91" s="18" customFormat="1" ht="15" customHeight="1">
      <c r="A212" s="18">
        <v>2010</v>
      </c>
      <c r="B212" s="21" t="s">
        <v>38</v>
      </c>
      <c r="C212" s="15">
        <f>+MITRE[[#This Row],[Trenes Puntuales]]/MITRE[[#This Row],[Trenes Programados]]</f>
        <v>0.83673335519842573</v>
      </c>
      <c r="D212" s="15">
        <f>+MITRE[[#This Row],[Trenes Puntuales]]/MITRE[[#This Row],[Trenes Corridos]]</f>
        <v>0.85702768073098634</v>
      </c>
      <c r="E212" s="15">
        <f>+MITRE[[#This Row],[Trenes Corridos]]/MITRE[[#This Row],[Trenes Programados]]</f>
        <v>0.97632010495244348</v>
      </c>
      <c r="F212" s="16">
        <f>+Tabla4[[#This Row],[Trenes Programados por Día Hábil]]+Tabla5[[#This Row],[Trenes Programados por Día Hábil]]+Tabla6[[#This Row],[Trenes Programados por Día Hábil]]+MIT_Vic_Cap[[#This Row],[Trenes Programados por Día Hábil]]+Tabla8[[#This Row],[Trenes Programados por Día Hábil]]</f>
        <v>0</v>
      </c>
      <c r="G21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2" s="16">
        <f t="shared" si="75"/>
        <v>15245</v>
      </c>
      <c r="I212" s="16">
        <f t="shared" si="76"/>
        <v>361</v>
      </c>
      <c r="J212" s="16">
        <f t="shared" si="77"/>
        <v>14884</v>
      </c>
      <c r="K212" s="16">
        <f t="shared" si="78"/>
        <v>12756</v>
      </c>
      <c r="L212" s="16">
        <f t="shared" si="79"/>
        <v>2128</v>
      </c>
      <c r="M212" s="16"/>
      <c r="N212" s="17"/>
      <c r="O212" s="18">
        <v>2010</v>
      </c>
      <c r="P212" s="21" t="s">
        <v>38</v>
      </c>
      <c r="Q212" s="15">
        <f>+Tabla4[[#This Row],[Trenes Puntuales]]/Tabla4[[#This Row],[Trenes Programados]]</f>
        <v>0.79856887298747758</v>
      </c>
      <c r="R212" s="15">
        <f>+Tabla4[[#This Row],[Trenes Puntuales]]/Tabla4[[#This Row],[Trenes Corridos]]</f>
        <v>0.8272794662713121</v>
      </c>
      <c r="S212" s="15">
        <f>+Tabla4[[#This Row],[Trenes Corridos]]/Tabla4[[#This Row],[Trenes Programados]]</f>
        <v>0.96529516994633269</v>
      </c>
      <c r="T212" s="16"/>
      <c r="U212" s="16"/>
      <c r="V212" s="16">
        <v>5590</v>
      </c>
      <c r="W212" s="16">
        <f t="shared" si="90"/>
        <v>194</v>
      </c>
      <c r="X212" s="16">
        <v>5396</v>
      </c>
      <c r="Y212" s="16">
        <v>4464</v>
      </c>
      <c r="Z212" s="16">
        <f t="shared" si="91"/>
        <v>932</v>
      </c>
      <c r="AA212" s="16"/>
      <c r="AB212" s="17"/>
      <c r="AC212" s="18">
        <v>2010</v>
      </c>
      <c r="AD212" s="21" t="s">
        <v>38</v>
      </c>
      <c r="AE212" s="15">
        <f>+Tabla5[[#This Row],[Trenes Puntuales]]/Tabla5[[#This Row],[Trenes Programados]]</f>
        <v>0.84706407680285778</v>
      </c>
      <c r="AF212" s="15">
        <f>+Tabla5[[#This Row],[Trenes Puntuales]]/Tabla5[[#This Row],[Trenes Corridos]]</f>
        <v>0.85875961973743775</v>
      </c>
      <c r="AG212" s="15">
        <f>+Tabla5[[#This Row],[Trenes Corridos]]/Tabla5[[#This Row],[Trenes Programados]]</f>
        <v>0.98638088859120343</v>
      </c>
      <c r="AH212" s="16"/>
      <c r="AI212" s="16"/>
      <c r="AJ212" s="16">
        <v>4479</v>
      </c>
      <c r="AK212" s="16">
        <f t="shared" si="92"/>
        <v>61</v>
      </c>
      <c r="AL212" s="16">
        <v>4418</v>
      </c>
      <c r="AM212" s="16">
        <v>3794</v>
      </c>
      <c r="AN212" s="16">
        <f t="shared" si="93"/>
        <v>624</v>
      </c>
      <c r="AO212" s="16"/>
      <c r="AP212" s="17"/>
      <c r="AQ212" s="18">
        <v>2010</v>
      </c>
      <c r="AR212" s="21" t="s">
        <v>38</v>
      </c>
      <c r="AS212" s="15">
        <f>+Tabla6[[#This Row],[Trenes Puntuales]]/Tabla6[[#This Row],[Trenes Programados]]</f>
        <v>0.89102763117044392</v>
      </c>
      <c r="AT212" s="15">
        <f>+Tabla6[[#This Row],[Trenes Puntuales]]/Tabla6[[#This Row],[Trenes Corridos]]</f>
        <v>0.90966719492868464</v>
      </c>
      <c r="AU212" s="15">
        <f>+Tabla6[[#This Row],[Trenes Corridos]]/Tabla6[[#This Row],[Trenes Programados]]</f>
        <v>0.97950946910897241</v>
      </c>
      <c r="AV212" s="16"/>
      <c r="AW212" s="16"/>
      <c r="AX212" s="16">
        <v>3221</v>
      </c>
      <c r="AY212" s="16">
        <f t="shared" si="94"/>
        <v>66</v>
      </c>
      <c r="AZ212" s="16">
        <v>3155</v>
      </c>
      <c r="BA212" s="16">
        <v>2870</v>
      </c>
      <c r="BB212" s="16">
        <f t="shared" si="95"/>
        <v>285</v>
      </c>
      <c r="BC212" s="16"/>
      <c r="BD212" s="17"/>
      <c r="BE212" s="18">
        <v>2010</v>
      </c>
      <c r="BF212" s="21" t="s">
        <v>38</v>
      </c>
      <c r="BG212" s="15">
        <f>+MIT_Vic_Cap[[#This Row],[Trenes Puntuales]]/MIT_Vic_Cap[[#This Row],[Trenes Programados]]</f>
        <v>0.8858858858858859</v>
      </c>
      <c r="BH212" s="15">
        <f>+MIT_Vic_Cap[[#This Row],[Trenes Puntuales]]/MIT_Vic_Cap[[#This Row],[Trenes Corridos]]</f>
        <v>0.91143151390319255</v>
      </c>
      <c r="BI212" s="15">
        <f>+MIT_Vic_Cap[[#This Row],[Trenes Corridos]]/MIT_Vic_Cap[[#This Row],[Trenes Programados]]</f>
        <v>0.97197197197197194</v>
      </c>
      <c r="BJ212" s="16"/>
      <c r="BK212" s="16"/>
      <c r="BL212" s="16">
        <v>999</v>
      </c>
      <c r="BM212" s="16">
        <f t="shared" si="96"/>
        <v>28</v>
      </c>
      <c r="BN212" s="16">
        <v>971</v>
      </c>
      <c r="BO212" s="16">
        <v>885</v>
      </c>
      <c r="BP212" s="16">
        <f t="shared" si="97"/>
        <v>86</v>
      </c>
      <c r="BQ212" s="16"/>
      <c r="BR212" s="17"/>
      <c r="BS212" s="18">
        <v>2010</v>
      </c>
      <c r="BT212" s="21" t="s">
        <v>38</v>
      </c>
      <c r="BU212" s="15">
        <f>+Tabla8[[#This Row],[Trenes Puntuales]]/Tabla8[[#This Row],[Trenes Programados]]</f>
        <v>0.77719665271966532</v>
      </c>
      <c r="BV212" s="15">
        <f>+Tabla8[[#This Row],[Trenes Puntuales]]/Tabla8[[#This Row],[Trenes Corridos]]</f>
        <v>0.78707627118644063</v>
      </c>
      <c r="BW212" s="15">
        <f>+Tabla8[[#This Row],[Trenes Corridos]]/Tabla8[[#This Row],[Trenes Programados]]</f>
        <v>0.9874476987447699</v>
      </c>
      <c r="BX212" s="16"/>
      <c r="BY212" s="16"/>
      <c r="BZ212" s="16">
        <v>956</v>
      </c>
      <c r="CA212" s="16">
        <v>14</v>
      </c>
      <c r="CB212" s="16">
        <v>944</v>
      </c>
      <c r="CC212" s="16">
        <v>743</v>
      </c>
      <c r="CD212" s="16">
        <f t="shared" si="98"/>
        <v>201</v>
      </c>
      <c r="CI212" s="40"/>
      <c r="CJ212" s="40"/>
      <c r="CK212" s="40"/>
      <c r="CL212" s="40"/>
      <c r="CM212" s="40"/>
    </row>
    <row r="213" spans="1:91" s="18" customFormat="1" ht="15" customHeight="1">
      <c r="A213" s="18">
        <v>2010</v>
      </c>
      <c r="B213" s="21" t="s">
        <v>39</v>
      </c>
      <c r="C213" s="15">
        <f>+MITRE[[#This Row],[Trenes Puntuales]]/MITRE[[#This Row],[Trenes Programados]]</f>
        <v>0.83190534475724198</v>
      </c>
      <c r="D213" s="15">
        <f>+MITRE[[#This Row],[Trenes Puntuales]]/MITRE[[#This Row],[Trenes Corridos]]</f>
        <v>0.84576564120290354</v>
      </c>
      <c r="E213" s="15">
        <f>+MITRE[[#This Row],[Trenes Corridos]]/MITRE[[#This Row],[Trenes Programados]]</f>
        <v>0.9836121311029512</v>
      </c>
      <c r="F213" s="16">
        <f>+Tabla4[[#This Row],[Trenes Programados por Día Hábil]]+Tabla5[[#This Row],[Trenes Programados por Día Hábil]]+Tabla6[[#This Row],[Trenes Programados por Día Hábil]]+MIT_Vic_Cap[[#This Row],[Trenes Programados por Día Hábil]]+Tabla8[[#This Row],[Trenes Programados por Día Hábil]]</f>
        <v>0</v>
      </c>
      <c r="G21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3" s="16">
        <f t="shared" si="75"/>
        <v>14706</v>
      </c>
      <c r="I213" s="16">
        <f t="shared" si="76"/>
        <v>241</v>
      </c>
      <c r="J213" s="16">
        <f t="shared" si="77"/>
        <v>14465</v>
      </c>
      <c r="K213" s="16">
        <f t="shared" si="78"/>
        <v>12234</v>
      </c>
      <c r="L213" s="16">
        <f t="shared" si="79"/>
        <v>2231</v>
      </c>
      <c r="M213" s="16"/>
      <c r="N213" s="17"/>
      <c r="O213" s="18">
        <v>2010</v>
      </c>
      <c r="P213" s="21" t="s">
        <v>39</v>
      </c>
      <c r="Q213" s="15">
        <f>+Tabla4[[#This Row],[Trenes Puntuales]]/Tabla4[[#This Row],[Trenes Programados]]</f>
        <v>0.81391465677179964</v>
      </c>
      <c r="R213" s="15">
        <f>+Tabla4[[#This Row],[Trenes Puntuales]]/Tabla4[[#This Row],[Trenes Corridos]]</f>
        <v>0.83213201820940819</v>
      </c>
      <c r="S213" s="15">
        <f>+Tabla4[[#This Row],[Trenes Corridos]]/Tabla4[[#This Row],[Trenes Programados]]</f>
        <v>0.97810760667903529</v>
      </c>
      <c r="T213" s="16"/>
      <c r="U213" s="16"/>
      <c r="V213" s="16">
        <v>5390</v>
      </c>
      <c r="W213" s="16">
        <f t="shared" si="90"/>
        <v>118</v>
      </c>
      <c r="X213" s="16">
        <v>5272</v>
      </c>
      <c r="Y213" s="16">
        <v>4387</v>
      </c>
      <c r="Z213" s="16">
        <f t="shared" si="91"/>
        <v>885</v>
      </c>
      <c r="AA213" s="16"/>
      <c r="AB213" s="17"/>
      <c r="AC213" s="18">
        <v>2010</v>
      </c>
      <c r="AD213" s="21" t="s">
        <v>39</v>
      </c>
      <c r="AE213" s="15">
        <f>+Tabla5[[#This Row],[Trenes Puntuales]]/Tabla5[[#This Row],[Trenes Programados]]</f>
        <v>0.80740740740740746</v>
      </c>
      <c r="AF213" s="15">
        <f>+Tabla5[[#This Row],[Trenes Puntuales]]/Tabla5[[#This Row],[Trenes Corridos]]</f>
        <v>0.817244611059044</v>
      </c>
      <c r="AG213" s="15">
        <f>+Tabla5[[#This Row],[Trenes Corridos]]/Tabla5[[#This Row],[Trenes Programados]]</f>
        <v>0.98796296296296293</v>
      </c>
      <c r="AH213" s="16"/>
      <c r="AI213" s="16"/>
      <c r="AJ213" s="16">
        <v>4320</v>
      </c>
      <c r="AK213" s="16">
        <f t="shared" si="92"/>
        <v>52</v>
      </c>
      <c r="AL213" s="16">
        <v>4268</v>
      </c>
      <c r="AM213" s="16">
        <v>3488</v>
      </c>
      <c r="AN213" s="16">
        <f t="shared" si="93"/>
        <v>780</v>
      </c>
      <c r="AO213" s="16"/>
      <c r="AP213" s="17"/>
      <c r="AQ213" s="18">
        <v>2010</v>
      </c>
      <c r="AR213" s="21" t="s">
        <v>39</v>
      </c>
      <c r="AS213" s="15">
        <f>+Tabla6[[#This Row],[Trenes Puntuales]]/Tabla6[[#This Row],[Trenes Programados]]</f>
        <v>0.88913881748071977</v>
      </c>
      <c r="AT213" s="15">
        <f>+Tabla6[[#This Row],[Trenes Puntuales]]/Tabla6[[#This Row],[Trenes Corridos]]</f>
        <v>0.89837662337662338</v>
      </c>
      <c r="AU213" s="15">
        <f>+Tabla6[[#This Row],[Trenes Corridos]]/Tabla6[[#This Row],[Trenes Programados]]</f>
        <v>0.98971722365038561</v>
      </c>
      <c r="AV213" s="16"/>
      <c r="AW213" s="16"/>
      <c r="AX213" s="16">
        <v>3112</v>
      </c>
      <c r="AY213" s="16">
        <f t="shared" si="94"/>
        <v>32</v>
      </c>
      <c r="AZ213" s="16">
        <v>3080</v>
      </c>
      <c r="BA213" s="16">
        <v>2767</v>
      </c>
      <c r="BB213" s="16">
        <f t="shared" si="95"/>
        <v>313</v>
      </c>
      <c r="BC213" s="16"/>
      <c r="BD213" s="17"/>
      <c r="BE213" s="18">
        <v>2010</v>
      </c>
      <c r="BF213" s="21" t="s">
        <v>39</v>
      </c>
      <c r="BG213" s="15">
        <f>+MIT_Vic_Cap[[#This Row],[Trenes Puntuales]]/MIT_Vic_Cap[[#This Row],[Trenes Programados]]</f>
        <v>0.86618257261410792</v>
      </c>
      <c r="BH213" s="15">
        <f>+MIT_Vic_Cap[[#This Row],[Trenes Puntuales]]/MIT_Vic_Cap[[#This Row],[Trenes Corridos]]</f>
        <v>0.8835978835978836</v>
      </c>
      <c r="BI213" s="15">
        <f>+MIT_Vic_Cap[[#This Row],[Trenes Corridos]]/MIT_Vic_Cap[[#This Row],[Trenes Programados]]</f>
        <v>0.98029045643153523</v>
      </c>
      <c r="BJ213" s="16"/>
      <c r="BK213" s="16"/>
      <c r="BL213" s="16">
        <v>964</v>
      </c>
      <c r="BM213" s="16">
        <f t="shared" si="96"/>
        <v>19</v>
      </c>
      <c r="BN213" s="16">
        <v>945</v>
      </c>
      <c r="BO213" s="16">
        <v>835</v>
      </c>
      <c r="BP213" s="16">
        <f t="shared" si="97"/>
        <v>110</v>
      </c>
      <c r="BQ213" s="16"/>
      <c r="BR213" s="17"/>
      <c r="BS213" s="18">
        <v>2010</v>
      </c>
      <c r="BT213" s="21" t="s">
        <v>39</v>
      </c>
      <c r="BU213" s="15">
        <f>+Tabla8[[#This Row],[Trenes Puntuales]]/Tabla8[[#This Row],[Trenes Programados]]</f>
        <v>0.82282608695652171</v>
      </c>
      <c r="BV213" s="15">
        <f>+Tabla8[[#This Row],[Trenes Puntuales]]/Tabla8[[#This Row],[Trenes Corridos]]</f>
        <v>0.84111111111111114</v>
      </c>
      <c r="BW213" s="15">
        <f>+Tabla8[[#This Row],[Trenes Corridos]]/Tabla8[[#This Row],[Trenes Programados]]</f>
        <v>0.97826086956521741</v>
      </c>
      <c r="BX213" s="16"/>
      <c r="BY213" s="16"/>
      <c r="BZ213" s="16">
        <v>920</v>
      </c>
      <c r="CA213" s="16">
        <v>54</v>
      </c>
      <c r="CB213" s="16">
        <v>900</v>
      </c>
      <c r="CC213" s="16">
        <v>757</v>
      </c>
      <c r="CD213" s="16">
        <f t="shared" si="98"/>
        <v>143</v>
      </c>
      <c r="CI213" s="40"/>
      <c r="CJ213" s="40"/>
      <c r="CK213" s="40"/>
      <c r="CL213" s="40"/>
      <c r="CM213" s="40"/>
    </row>
    <row r="214" spans="1:91" s="18" customFormat="1" ht="15" customHeight="1">
      <c r="A214" s="18">
        <v>2010</v>
      </c>
      <c r="B214" s="21" t="s">
        <v>40</v>
      </c>
      <c r="C214" s="15">
        <f>+MITRE[[#This Row],[Trenes Puntuales]]/MITRE[[#This Row],[Trenes Programados]]</f>
        <v>0.82734749828649756</v>
      </c>
      <c r="D214" s="15">
        <f>+MITRE[[#This Row],[Trenes Puntuales]]/MITRE[[#This Row],[Trenes Corridos]]</f>
        <v>0.85181003457765858</v>
      </c>
      <c r="E214" s="15">
        <f>+MITRE[[#This Row],[Trenes Corridos]]/MITRE[[#This Row],[Trenes Programados]]</f>
        <v>0.97128169979437973</v>
      </c>
      <c r="F214" s="16">
        <f>+Tabla4[[#This Row],[Trenes Programados por Día Hábil]]+Tabla5[[#This Row],[Trenes Programados por Día Hábil]]+Tabla6[[#This Row],[Trenes Programados por Día Hábil]]+MIT_Vic_Cap[[#This Row],[Trenes Programados por Día Hábil]]+Tabla8[[#This Row],[Trenes Programados por Día Hábil]]</f>
        <v>0</v>
      </c>
      <c r="G21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4" s="16">
        <f t="shared" si="75"/>
        <v>14590</v>
      </c>
      <c r="I214" s="16">
        <f t="shared" si="76"/>
        <v>419</v>
      </c>
      <c r="J214" s="16">
        <f t="shared" si="77"/>
        <v>14171</v>
      </c>
      <c r="K214" s="16">
        <f t="shared" si="78"/>
        <v>12071</v>
      </c>
      <c r="L214" s="16">
        <f t="shared" si="79"/>
        <v>2100</v>
      </c>
      <c r="M214" s="16"/>
      <c r="N214" s="17"/>
      <c r="O214" s="18">
        <v>2010</v>
      </c>
      <c r="P214" s="21" t="s">
        <v>40</v>
      </c>
      <c r="Q214" s="15">
        <f>+Tabla4[[#This Row],[Trenes Puntuales]]/Tabla4[[#This Row],[Trenes Programados]]</f>
        <v>0.80225563909774433</v>
      </c>
      <c r="R214" s="15">
        <f>+Tabla4[[#This Row],[Trenes Puntuales]]/Tabla4[[#This Row],[Trenes Corridos]]</f>
        <v>0.82857697534459329</v>
      </c>
      <c r="S214" s="15">
        <f>+Tabla4[[#This Row],[Trenes Corridos]]/Tabla4[[#This Row],[Trenes Programados]]</f>
        <v>0.96823308270676689</v>
      </c>
      <c r="T214" s="16"/>
      <c r="U214" s="16"/>
      <c r="V214" s="16">
        <v>5320</v>
      </c>
      <c r="W214" s="16">
        <f t="shared" si="90"/>
        <v>169</v>
      </c>
      <c r="X214" s="16">
        <v>5151</v>
      </c>
      <c r="Y214" s="16">
        <v>4268</v>
      </c>
      <c r="Z214" s="16">
        <f t="shared" si="91"/>
        <v>883</v>
      </c>
      <c r="AA214" s="16"/>
      <c r="AB214" s="17"/>
      <c r="AC214" s="18">
        <v>2010</v>
      </c>
      <c r="AD214" s="21" t="s">
        <v>40</v>
      </c>
      <c r="AE214" s="15">
        <f>+Tabla5[[#This Row],[Trenes Puntuales]]/Tabla5[[#This Row],[Trenes Programados]]</f>
        <v>0.80698055750761299</v>
      </c>
      <c r="AF214" s="15">
        <f>+Tabla5[[#This Row],[Trenes Puntuales]]/Tabla5[[#This Row],[Trenes Corridos]]</f>
        <v>0.82992050108407611</v>
      </c>
      <c r="AG214" s="15">
        <f>+Tabla5[[#This Row],[Trenes Corridos]]/Tabla5[[#This Row],[Trenes Programados]]</f>
        <v>0.97235886624502221</v>
      </c>
      <c r="AH214" s="16"/>
      <c r="AI214" s="16"/>
      <c r="AJ214" s="16">
        <v>4269</v>
      </c>
      <c r="AK214" s="16">
        <f t="shared" si="92"/>
        <v>118</v>
      </c>
      <c r="AL214" s="16">
        <v>4151</v>
      </c>
      <c r="AM214" s="16">
        <v>3445</v>
      </c>
      <c r="AN214" s="16">
        <f t="shared" si="93"/>
        <v>706</v>
      </c>
      <c r="AO214" s="16"/>
      <c r="AP214" s="17"/>
      <c r="AQ214" s="18">
        <v>2010</v>
      </c>
      <c r="AR214" s="21" t="s">
        <v>40</v>
      </c>
      <c r="AS214" s="15">
        <f>+Tabla6[[#This Row],[Trenes Puntuales]]/Tabla6[[#This Row],[Trenes Programados]]</f>
        <v>0.88545975182946235</v>
      </c>
      <c r="AT214" s="15">
        <f>+Tabla6[[#This Row],[Trenes Puntuales]]/Tabla6[[#This Row],[Trenes Corridos]]</f>
        <v>0.91066753926701571</v>
      </c>
      <c r="AU214" s="15">
        <f>+Tabla6[[#This Row],[Trenes Corridos]]/Tabla6[[#This Row],[Trenes Programados]]</f>
        <v>0.97231944002545334</v>
      </c>
      <c r="AV214" s="16"/>
      <c r="AW214" s="16"/>
      <c r="AX214" s="16">
        <v>3143</v>
      </c>
      <c r="AY214" s="16">
        <f t="shared" si="94"/>
        <v>87</v>
      </c>
      <c r="AZ214" s="16">
        <v>3056</v>
      </c>
      <c r="BA214" s="16">
        <v>2783</v>
      </c>
      <c r="BB214" s="16">
        <f t="shared" si="95"/>
        <v>273</v>
      </c>
      <c r="BC214" s="16"/>
      <c r="BD214" s="17"/>
      <c r="BE214" s="18">
        <v>2010</v>
      </c>
      <c r="BF214" s="21" t="s">
        <v>40</v>
      </c>
      <c r="BG214" s="15">
        <f>+MIT_Vic_Cap[[#This Row],[Trenes Puntuales]]/MIT_Vic_Cap[[#This Row],[Trenes Programados]]</f>
        <v>0.93243243243243246</v>
      </c>
      <c r="BH214" s="15">
        <f>+MIT_Vic_Cap[[#This Row],[Trenes Puntuales]]/MIT_Vic_Cap[[#This Row],[Trenes Corridos]]</f>
        <v>0.93437499999999996</v>
      </c>
      <c r="BI214" s="15">
        <f>+MIT_Vic_Cap[[#This Row],[Trenes Corridos]]/MIT_Vic_Cap[[#This Row],[Trenes Programados]]</f>
        <v>0.99792099792099798</v>
      </c>
      <c r="BJ214" s="16"/>
      <c r="BK214" s="16"/>
      <c r="BL214" s="16">
        <v>962</v>
      </c>
      <c r="BM214" s="16">
        <f t="shared" si="96"/>
        <v>2</v>
      </c>
      <c r="BN214" s="16">
        <v>960</v>
      </c>
      <c r="BO214" s="16">
        <v>897</v>
      </c>
      <c r="BP214" s="16">
        <f t="shared" si="97"/>
        <v>63</v>
      </c>
      <c r="BQ214" s="16"/>
      <c r="BR214" s="17"/>
      <c r="BS214" s="18">
        <v>2010</v>
      </c>
      <c r="BT214" s="21" t="s">
        <v>40</v>
      </c>
      <c r="BU214" s="15">
        <f>+Tabla8[[#This Row],[Trenes Puntuales]]/Tabla8[[#This Row],[Trenes Programados]]</f>
        <v>0.7566964285714286</v>
      </c>
      <c r="BV214" s="15">
        <f>+Tabla8[[#This Row],[Trenes Puntuales]]/Tabla8[[#This Row],[Trenes Corridos]]</f>
        <v>0.79484173505275502</v>
      </c>
      <c r="BW214" s="15">
        <f>+Tabla8[[#This Row],[Trenes Corridos]]/Tabla8[[#This Row],[Trenes Programados]]</f>
        <v>0.9520089285714286</v>
      </c>
      <c r="BX214" s="16"/>
      <c r="BY214" s="16"/>
      <c r="BZ214" s="16">
        <v>896</v>
      </c>
      <c r="CA214" s="16">
        <v>84</v>
      </c>
      <c r="CB214" s="16">
        <v>853</v>
      </c>
      <c r="CC214" s="16">
        <v>678</v>
      </c>
      <c r="CD214" s="16">
        <f t="shared" si="98"/>
        <v>175</v>
      </c>
      <c r="CI214" s="40"/>
      <c r="CJ214" s="40"/>
      <c r="CK214" s="40"/>
      <c r="CL214" s="40"/>
      <c r="CM214" s="40"/>
    </row>
    <row r="215" spans="1:91" s="18" customFormat="1" ht="15" customHeight="1">
      <c r="A215" s="18">
        <v>2010</v>
      </c>
      <c r="B215" s="21" t="s">
        <v>41</v>
      </c>
      <c r="C215" s="15">
        <f>+MITRE[[#This Row],[Trenes Puntuales]]/MITRE[[#This Row],[Trenes Programados]]</f>
        <v>0.84659322725418196</v>
      </c>
      <c r="D215" s="15">
        <f>+MITRE[[#This Row],[Trenes Puntuales]]/MITRE[[#This Row],[Trenes Corridos]]</f>
        <v>0.87123862841147659</v>
      </c>
      <c r="E215" s="15">
        <f>+MITRE[[#This Row],[Trenes Corridos]]/MITRE[[#This Row],[Trenes Programados]]</f>
        <v>0.97171222630218956</v>
      </c>
      <c r="F215" s="16">
        <f>+Tabla4[[#This Row],[Trenes Programados por Día Hábil]]+Tabla5[[#This Row],[Trenes Programados por Día Hábil]]+Tabla6[[#This Row],[Trenes Programados por Día Hábil]]+MIT_Vic_Cap[[#This Row],[Trenes Programados por Día Hábil]]+Tabla8[[#This Row],[Trenes Programados por Día Hábil]]</f>
        <v>0</v>
      </c>
      <c r="G21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5" s="16">
        <f t="shared" si="75"/>
        <v>14706</v>
      </c>
      <c r="I215" s="16">
        <f t="shared" si="76"/>
        <v>416</v>
      </c>
      <c r="J215" s="16">
        <f t="shared" si="77"/>
        <v>14290</v>
      </c>
      <c r="K215" s="16">
        <f t="shared" si="78"/>
        <v>12450</v>
      </c>
      <c r="L215" s="16">
        <f t="shared" si="79"/>
        <v>1840</v>
      </c>
      <c r="M215" s="16"/>
      <c r="N215" s="17"/>
      <c r="O215" s="18">
        <v>2010</v>
      </c>
      <c r="P215" s="21" t="s">
        <v>41</v>
      </c>
      <c r="Q215" s="15">
        <f>+Tabla4[[#This Row],[Trenes Puntuales]]/Tabla4[[#This Row],[Trenes Programados]]</f>
        <v>0.85083487940630798</v>
      </c>
      <c r="R215" s="15">
        <f>+Tabla4[[#This Row],[Trenes Puntuales]]/Tabla4[[#This Row],[Trenes Corridos]]</f>
        <v>0.87252663622526638</v>
      </c>
      <c r="S215" s="15">
        <f>+Tabla4[[#This Row],[Trenes Corridos]]/Tabla4[[#This Row],[Trenes Programados]]</f>
        <v>0.97513914656771805</v>
      </c>
      <c r="T215" s="16"/>
      <c r="U215" s="16"/>
      <c r="V215" s="16">
        <v>5390</v>
      </c>
      <c r="W215" s="16">
        <f t="shared" si="90"/>
        <v>134</v>
      </c>
      <c r="X215" s="16">
        <v>5256</v>
      </c>
      <c r="Y215" s="16">
        <v>4586</v>
      </c>
      <c r="Z215" s="16">
        <f t="shared" si="91"/>
        <v>670</v>
      </c>
      <c r="AA215" s="16"/>
      <c r="AB215" s="17"/>
      <c r="AC215" s="18">
        <v>2010</v>
      </c>
      <c r="AD215" s="21" t="s">
        <v>41</v>
      </c>
      <c r="AE215" s="15">
        <f>+Tabla5[[#This Row],[Trenes Puntuales]]/Tabla5[[#This Row],[Trenes Programados]]</f>
        <v>0.8349537037037037</v>
      </c>
      <c r="AF215" s="15">
        <f>+Tabla5[[#This Row],[Trenes Puntuales]]/Tabla5[[#This Row],[Trenes Corridos]]</f>
        <v>0.86003814973772053</v>
      </c>
      <c r="AG215" s="15">
        <f>+Tabla5[[#This Row],[Trenes Corridos]]/Tabla5[[#This Row],[Trenes Programados]]</f>
        <v>0.97083333333333333</v>
      </c>
      <c r="AH215" s="16"/>
      <c r="AI215" s="16"/>
      <c r="AJ215" s="16">
        <v>4320</v>
      </c>
      <c r="AK215" s="16">
        <f t="shared" si="92"/>
        <v>126</v>
      </c>
      <c r="AL215" s="16">
        <v>4194</v>
      </c>
      <c r="AM215" s="16">
        <v>3607</v>
      </c>
      <c r="AN215" s="16">
        <f t="shared" si="93"/>
        <v>587</v>
      </c>
      <c r="AO215" s="16"/>
      <c r="AP215" s="17"/>
      <c r="AQ215" s="18">
        <v>2010</v>
      </c>
      <c r="AR215" s="21" t="s">
        <v>41</v>
      </c>
      <c r="AS215" s="15">
        <f>+Tabla6[[#This Row],[Trenes Puntuales]]/Tabla6[[#This Row],[Trenes Programados]]</f>
        <v>0.87371465295629824</v>
      </c>
      <c r="AT215" s="15">
        <f>+Tabla6[[#This Row],[Trenes Puntuales]]/Tabla6[[#This Row],[Trenes Corridos]]</f>
        <v>0.90122638382499176</v>
      </c>
      <c r="AU215" s="15">
        <f>+Tabla6[[#This Row],[Trenes Corridos]]/Tabla6[[#This Row],[Trenes Programados]]</f>
        <v>0.96947300771208222</v>
      </c>
      <c r="AV215" s="16"/>
      <c r="AW215" s="16"/>
      <c r="AX215" s="16">
        <v>3112</v>
      </c>
      <c r="AY215" s="16">
        <f t="shared" si="94"/>
        <v>95</v>
      </c>
      <c r="AZ215" s="16">
        <v>3017</v>
      </c>
      <c r="BA215" s="16">
        <v>2719</v>
      </c>
      <c r="BB215" s="16">
        <f t="shared" si="95"/>
        <v>298</v>
      </c>
      <c r="BC215" s="16"/>
      <c r="BD215" s="17"/>
      <c r="BE215" s="18">
        <v>2010</v>
      </c>
      <c r="BF215" s="21" t="s">
        <v>41</v>
      </c>
      <c r="BG215" s="15">
        <f>+MIT_Vic_Cap[[#This Row],[Trenes Puntuales]]/MIT_Vic_Cap[[#This Row],[Trenes Programados]]</f>
        <v>0.89419087136929465</v>
      </c>
      <c r="BH215" s="15">
        <f>+MIT_Vic_Cap[[#This Row],[Trenes Puntuales]]/MIT_Vic_Cap[[#This Row],[Trenes Corridos]]</f>
        <v>0.93088552915766742</v>
      </c>
      <c r="BI215" s="15">
        <f>+MIT_Vic_Cap[[#This Row],[Trenes Corridos]]/MIT_Vic_Cap[[#This Row],[Trenes Programados]]</f>
        <v>0.96058091286307057</v>
      </c>
      <c r="BJ215" s="16"/>
      <c r="BK215" s="16"/>
      <c r="BL215" s="16">
        <v>964</v>
      </c>
      <c r="BM215" s="16">
        <f t="shared" si="96"/>
        <v>38</v>
      </c>
      <c r="BN215" s="16">
        <v>926</v>
      </c>
      <c r="BO215" s="16">
        <v>862</v>
      </c>
      <c r="BP215" s="16">
        <f t="shared" si="97"/>
        <v>64</v>
      </c>
      <c r="BQ215" s="16"/>
      <c r="BR215" s="17"/>
      <c r="BS215" s="18">
        <v>2010</v>
      </c>
      <c r="BT215" s="21" t="s">
        <v>41</v>
      </c>
      <c r="BU215" s="15">
        <f>+Tabla8[[#This Row],[Trenes Puntuales]]/Tabla8[[#This Row],[Trenes Programados]]</f>
        <v>0.73478260869565215</v>
      </c>
      <c r="BV215" s="15">
        <f>+Tabla8[[#This Row],[Trenes Puntuales]]/Tabla8[[#This Row],[Trenes Corridos]]</f>
        <v>0.75362318840579712</v>
      </c>
      <c r="BW215" s="15">
        <f>+Tabla8[[#This Row],[Trenes Corridos]]/Tabla8[[#This Row],[Trenes Programados]]</f>
        <v>0.97499999999999998</v>
      </c>
      <c r="BX215" s="16"/>
      <c r="BY215" s="16"/>
      <c r="BZ215" s="16">
        <v>920</v>
      </c>
      <c r="CA215" s="16">
        <v>46</v>
      </c>
      <c r="CB215" s="16">
        <v>897</v>
      </c>
      <c r="CC215" s="16">
        <v>676</v>
      </c>
      <c r="CD215" s="16">
        <f t="shared" si="98"/>
        <v>221</v>
      </c>
      <c r="CI215" s="40"/>
      <c r="CJ215" s="40"/>
      <c r="CK215" s="40"/>
      <c r="CL215" s="40"/>
      <c r="CM215" s="40"/>
    </row>
    <row r="216" spans="1:91" s="18" customFormat="1" ht="15" customHeight="1">
      <c r="A216" s="18">
        <v>2010</v>
      </c>
      <c r="B216" s="21" t="s">
        <v>42</v>
      </c>
      <c r="C216" s="15">
        <f>+MITRE[[#This Row],[Trenes Puntuales]]/MITRE[[#This Row],[Trenes Programados]]</f>
        <v>0.87442259469447015</v>
      </c>
      <c r="D216" s="15">
        <f>+MITRE[[#This Row],[Trenes Puntuales]]/MITRE[[#This Row],[Trenes Corridos]]</f>
        <v>0.89533783783783782</v>
      </c>
      <c r="E216" s="15">
        <f>+MITRE[[#This Row],[Trenes Corridos]]/MITRE[[#This Row],[Trenes Programados]]</f>
        <v>0.97663983106770491</v>
      </c>
      <c r="F216" s="16">
        <f>+Tabla4[[#This Row],[Trenes Programados por Día Hábil]]+Tabla5[[#This Row],[Trenes Programados por Día Hábil]]+Tabla6[[#This Row],[Trenes Programados por Día Hábil]]+MIT_Vic_Cap[[#This Row],[Trenes Programados por Día Hábil]]+Tabla8[[#This Row],[Trenes Programados por Día Hábil]]</f>
        <v>0</v>
      </c>
      <c r="G21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6" s="16">
        <f t="shared" si="75"/>
        <v>15154</v>
      </c>
      <c r="I216" s="16">
        <f t="shared" si="76"/>
        <v>354</v>
      </c>
      <c r="J216" s="16">
        <f t="shared" si="77"/>
        <v>14800</v>
      </c>
      <c r="K216" s="16">
        <f t="shared" si="78"/>
        <v>13251</v>
      </c>
      <c r="L216" s="16">
        <f t="shared" si="79"/>
        <v>1549</v>
      </c>
      <c r="M216" s="16"/>
      <c r="N216" s="17"/>
      <c r="O216" s="18">
        <v>2010</v>
      </c>
      <c r="P216" s="21" t="s">
        <v>42</v>
      </c>
      <c r="Q216" s="15">
        <f>+Tabla4[[#This Row],[Trenes Puntuales]]/Tabla4[[#This Row],[Trenes Programados]]</f>
        <v>0.86594594594594598</v>
      </c>
      <c r="R216" s="15">
        <f>+Tabla4[[#This Row],[Trenes Puntuales]]/Tabla4[[#This Row],[Trenes Corridos]]</f>
        <v>0.89497206703910615</v>
      </c>
      <c r="S216" s="15">
        <f>+Tabla4[[#This Row],[Trenes Corridos]]/Tabla4[[#This Row],[Trenes Programados]]</f>
        <v>0.96756756756756757</v>
      </c>
      <c r="T216" s="16"/>
      <c r="U216" s="16"/>
      <c r="V216" s="16">
        <v>5550</v>
      </c>
      <c r="W216" s="16">
        <f t="shared" si="90"/>
        <v>180</v>
      </c>
      <c r="X216" s="16">
        <v>5370</v>
      </c>
      <c r="Y216" s="16">
        <v>4806</v>
      </c>
      <c r="Z216" s="16">
        <f t="shared" si="91"/>
        <v>564</v>
      </c>
      <c r="AA216" s="16"/>
      <c r="AB216" s="17"/>
      <c r="AC216" s="18">
        <v>2010</v>
      </c>
      <c r="AD216" s="21" t="s">
        <v>42</v>
      </c>
      <c r="AE216" s="15">
        <f>+Tabla5[[#This Row],[Trenes Puntuales]]/Tabla5[[#This Row],[Trenes Programados]]</f>
        <v>0.87876066457117197</v>
      </c>
      <c r="AF216" s="15">
        <f>+Tabla5[[#This Row],[Trenes Puntuales]]/Tabla5[[#This Row],[Trenes Corridos]]</f>
        <v>0.88873751135331513</v>
      </c>
      <c r="AG216" s="15">
        <f>+Tabla5[[#This Row],[Trenes Corridos]]/Tabla5[[#This Row],[Trenes Programados]]</f>
        <v>0.98877413560844185</v>
      </c>
      <c r="AH216" s="16"/>
      <c r="AI216" s="16"/>
      <c r="AJ216" s="16">
        <v>4454</v>
      </c>
      <c r="AK216" s="16">
        <f t="shared" si="92"/>
        <v>50</v>
      </c>
      <c r="AL216" s="16">
        <v>4404</v>
      </c>
      <c r="AM216" s="16">
        <v>3914</v>
      </c>
      <c r="AN216" s="16">
        <f t="shared" si="93"/>
        <v>490</v>
      </c>
      <c r="AO216" s="16"/>
      <c r="AP216" s="17"/>
      <c r="AQ216" s="18">
        <v>2010</v>
      </c>
      <c r="AR216" s="21" t="s">
        <v>42</v>
      </c>
      <c r="AS216" s="15">
        <f>+Tabla6[[#This Row],[Trenes Puntuales]]/Tabla6[[#This Row],[Trenes Programados]]</f>
        <v>0.91039203484754205</v>
      </c>
      <c r="AT216" s="15">
        <f>+Tabla6[[#This Row],[Trenes Puntuales]]/Tabla6[[#This Row],[Trenes Corridos]]</f>
        <v>0.92361111111111116</v>
      </c>
      <c r="AU216" s="15">
        <f>+Tabla6[[#This Row],[Trenes Corridos]]/Tabla6[[#This Row],[Trenes Programados]]</f>
        <v>0.98568761667703797</v>
      </c>
      <c r="AV216" s="16"/>
      <c r="AW216" s="16"/>
      <c r="AX216" s="16">
        <v>3214</v>
      </c>
      <c r="AY216" s="16">
        <f t="shared" si="94"/>
        <v>46</v>
      </c>
      <c r="AZ216" s="16">
        <v>3168</v>
      </c>
      <c r="BA216" s="16">
        <v>2926</v>
      </c>
      <c r="BB216" s="16">
        <f t="shared" si="95"/>
        <v>242</v>
      </c>
      <c r="BC216" s="16"/>
      <c r="BD216" s="17"/>
      <c r="BE216" s="18">
        <v>2010</v>
      </c>
      <c r="BF216" s="21" t="s">
        <v>42</v>
      </c>
      <c r="BG216" s="15">
        <f>+MIT_Vic_Cap[[#This Row],[Trenes Puntuales]]/MIT_Vic_Cap[[#This Row],[Trenes Programados]]</f>
        <v>0.82512562814070356</v>
      </c>
      <c r="BH216" s="15">
        <f>+MIT_Vic_Cap[[#This Row],[Trenes Puntuales]]/MIT_Vic_Cap[[#This Row],[Trenes Corridos]]</f>
        <v>0.86694825765575501</v>
      </c>
      <c r="BI216" s="15">
        <f>+MIT_Vic_Cap[[#This Row],[Trenes Corridos]]/MIT_Vic_Cap[[#This Row],[Trenes Programados]]</f>
        <v>0.95175879396984919</v>
      </c>
      <c r="BJ216" s="16"/>
      <c r="BK216" s="16"/>
      <c r="BL216" s="16">
        <v>995</v>
      </c>
      <c r="BM216" s="16">
        <f t="shared" si="96"/>
        <v>48</v>
      </c>
      <c r="BN216" s="16">
        <v>947</v>
      </c>
      <c r="BO216" s="16">
        <v>821</v>
      </c>
      <c r="BP216" s="16">
        <f t="shared" si="97"/>
        <v>126</v>
      </c>
      <c r="BQ216" s="16"/>
      <c r="BR216" s="17"/>
      <c r="BS216" s="18">
        <v>2010</v>
      </c>
      <c r="BT216" s="21" t="s">
        <v>42</v>
      </c>
      <c r="BU216" s="15">
        <f>+Tabla8[[#This Row],[Trenes Puntuales]]/Tabla8[[#This Row],[Trenes Programados]]</f>
        <v>0.83315621679064822</v>
      </c>
      <c r="BV216" s="15">
        <f>+Tabla8[[#This Row],[Trenes Puntuales]]/Tabla8[[#This Row],[Trenes Corridos]]</f>
        <v>0.86059275521405054</v>
      </c>
      <c r="BW216" s="15">
        <f>+Tabla8[[#This Row],[Trenes Corridos]]/Tabla8[[#This Row],[Trenes Programados]]</f>
        <v>0.96811902231668434</v>
      </c>
      <c r="BX216" s="16"/>
      <c r="BY216" s="16"/>
      <c r="BZ216" s="16">
        <v>941</v>
      </c>
      <c r="CA216" s="16">
        <v>95</v>
      </c>
      <c r="CB216" s="16">
        <v>911</v>
      </c>
      <c r="CC216" s="16">
        <v>784</v>
      </c>
      <c r="CD216" s="16">
        <f t="shared" si="98"/>
        <v>127</v>
      </c>
      <c r="CI216" s="40"/>
      <c r="CJ216" s="40"/>
      <c r="CK216" s="40"/>
      <c r="CL216" s="40"/>
      <c r="CM216" s="40"/>
    </row>
    <row r="217" spans="1:91" s="18" customFormat="1" ht="15" customHeight="1">
      <c r="A217" s="18">
        <v>2010</v>
      </c>
      <c r="B217" s="21" t="s">
        <v>43</v>
      </c>
      <c r="C217" s="15">
        <f>+MITRE[[#This Row],[Trenes Puntuales]]/MITRE[[#This Row],[Trenes Programados]]</f>
        <v>0.88596724803621352</v>
      </c>
      <c r="D217" s="15">
        <f>+MITRE[[#This Row],[Trenes Puntuales]]/MITRE[[#This Row],[Trenes Corridos]]</f>
        <v>0.90077834179357019</v>
      </c>
      <c r="E217" s="15">
        <f>+MITRE[[#This Row],[Trenes Corridos]]/MITRE[[#This Row],[Trenes Programados]]</f>
        <v>0.98355744907469045</v>
      </c>
      <c r="F217" s="16">
        <f>+Tabla4[[#This Row],[Trenes Programados por Día Hábil]]+Tabla5[[#This Row],[Trenes Programados por Día Hábil]]+Tabla6[[#This Row],[Trenes Programados por Día Hábil]]+MIT_Vic_Cap[[#This Row],[Trenes Programados por Día Hábil]]+Tabla8[[#This Row],[Trenes Programados por Día Hábil]]</f>
        <v>0</v>
      </c>
      <c r="G21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7" s="16">
        <f t="shared" si="75"/>
        <v>15022</v>
      </c>
      <c r="I217" s="16">
        <f t="shared" si="76"/>
        <v>247</v>
      </c>
      <c r="J217" s="16">
        <f t="shared" si="77"/>
        <v>14775</v>
      </c>
      <c r="K217" s="16">
        <f t="shared" si="78"/>
        <v>13309</v>
      </c>
      <c r="L217" s="16">
        <f t="shared" si="79"/>
        <v>1466</v>
      </c>
      <c r="M217" s="16"/>
      <c r="N217" s="17"/>
      <c r="O217" s="18">
        <v>2010</v>
      </c>
      <c r="P217" s="21" t="s">
        <v>43</v>
      </c>
      <c r="Q217" s="15">
        <f>+Tabla4[[#This Row],[Trenes Puntuales]]/Tabla4[[#This Row],[Trenes Programados]]</f>
        <v>0.90072727272727271</v>
      </c>
      <c r="R217" s="15">
        <f>+Tabla4[[#This Row],[Trenes Puntuales]]/Tabla4[[#This Row],[Trenes Corridos]]</f>
        <v>0.91469719350073853</v>
      </c>
      <c r="S217" s="15">
        <f>+Tabla4[[#This Row],[Trenes Corridos]]/Tabla4[[#This Row],[Trenes Programados]]</f>
        <v>0.98472727272727267</v>
      </c>
      <c r="T217" s="16"/>
      <c r="U217" s="16"/>
      <c r="V217" s="16">
        <v>5500</v>
      </c>
      <c r="W217" s="16">
        <f t="shared" si="90"/>
        <v>84</v>
      </c>
      <c r="X217" s="16">
        <v>5416</v>
      </c>
      <c r="Y217" s="16">
        <v>4954</v>
      </c>
      <c r="Z217" s="16">
        <f t="shared" si="91"/>
        <v>462</v>
      </c>
      <c r="AA217" s="16"/>
      <c r="AB217" s="17"/>
      <c r="AC217" s="18">
        <v>2010</v>
      </c>
      <c r="AD217" s="21" t="s">
        <v>43</v>
      </c>
      <c r="AE217" s="15">
        <f>+Tabla5[[#This Row],[Trenes Puntuales]]/Tabla5[[#This Row],[Trenes Programados]]</f>
        <v>0.87230664549784531</v>
      </c>
      <c r="AF217" s="15">
        <f>+Tabla5[[#This Row],[Trenes Puntuales]]/Tabla5[[#This Row],[Trenes Corridos]]</f>
        <v>0.88109965635738829</v>
      </c>
      <c r="AG217" s="15">
        <f>+Tabla5[[#This Row],[Trenes Corridos]]/Tabla5[[#This Row],[Trenes Programados]]</f>
        <v>0.99002041279201636</v>
      </c>
      <c r="AH217" s="16"/>
      <c r="AI217" s="16"/>
      <c r="AJ217" s="16">
        <v>4409</v>
      </c>
      <c r="AK217" s="16">
        <f t="shared" si="92"/>
        <v>44</v>
      </c>
      <c r="AL217" s="16">
        <v>4365</v>
      </c>
      <c r="AM217" s="16">
        <v>3846</v>
      </c>
      <c r="AN217" s="16">
        <f t="shared" si="93"/>
        <v>519</v>
      </c>
      <c r="AO217" s="16"/>
      <c r="AP217" s="17"/>
      <c r="AQ217" s="18">
        <v>2010</v>
      </c>
      <c r="AR217" s="21" t="s">
        <v>43</v>
      </c>
      <c r="AS217" s="15">
        <f>+Tabla6[[#This Row],[Trenes Puntuales]]/Tabla6[[#This Row],[Trenes Programados]]</f>
        <v>0.89577464788732397</v>
      </c>
      <c r="AT217" s="15">
        <f>+Tabla6[[#This Row],[Trenes Puntuales]]/Tabla6[[#This Row],[Trenes Corridos]]</f>
        <v>0.91088478676002549</v>
      </c>
      <c r="AU217" s="15">
        <f>+Tabla6[[#This Row],[Trenes Corridos]]/Tabla6[[#This Row],[Trenes Programados]]</f>
        <v>0.98341158059467915</v>
      </c>
      <c r="AV217" s="16"/>
      <c r="AW217" s="16"/>
      <c r="AX217" s="16">
        <v>3195</v>
      </c>
      <c r="AY217" s="16">
        <f t="shared" si="94"/>
        <v>53</v>
      </c>
      <c r="AZ217" s="16">
        <v>3142</v>
      </c>
      <c r="BA217" s="16">
        <v>2862</v>
      </c>
      <c r="BB217" s="16">
        <f t="shared" si="95"/>
        <v>280</v>
      </c>
      <c r="BC217" s="16"/>
      <c r="BD217" s="17"/>
      <c r="BE217" s="18">
        <v>2010</v>
      </c>
      <c r="BF217" s="21" t="s">
        <v>43</v>
      </c>
      <c r="BG217" s="15">
        <f>+MIT_Vic_Cap[[#This Row],[Trenes Puntuales]]/MIT_Vic_Cap[[#This Row],[Trenes Programados]]</f>
        <v>0.84012219959266798</v>
      </c>
      <c r="BH217" s="15">
        <f>+MIT_Vic_Cap[[#This Row],[Trenes Puntuales]]/MIT_Vic_Cap[[#This Row],[Trenes Corridos]]</f>
        <v>0.88329764453961457</v>
      </c>
      <c r="BI217" s="15">
        <f>+MIT_Vic_Cap[[#This Row],[Trenes Corridos]]/MIT_Vic_Cap[[#This Row],[Trenes Programados]]</f>
        <v>0.95112016293279023</v>
      </c>
      <c r="BJ217" s="16"/>
      <c r="BK217" s="16"/>
      <c r="BL217" s="16">
        <v>982</v>
      </c>
      <c r="BM217" s="16">
        <f t="shared" si="96"/>
        <v>48</v>
      </c>
      <c r="BN217" s="16">
        <v>934</v>
      </c>
      <c r="BO217" s="16">
        <v>825</v>
      </c>
      <c r="BP217" s="16">
        <f t="shared" si="97"/>
        <v>109</v>
      </c>
      <c r="BQ217" s="16"/>
      <c r="BR217" s="17"/>
      <c r="BS217" s="18">
        <v>2010</v>
      </c>
      <c r="BT217" s="21" t="s">
        <v>43</v>
      </c>
      <c r="BU217" s="15">
        <f>+Tabla8[[#This Row],[Trenes Puntuales]]/Tabla8[[#This Row],[Trenes Programados]]</f>
        <v>0.87820512820512819</v>
      </c>
      <c r="BV217" s="15">
        <f>+Tabla8[[#This Row],[Trenes Puntuales]]/Tabla8[[#This Row],[Trenes Corridos]]</f>
        <v>0.89542483660130723</v>
      </c>
      <c r="BW217" s="15">
        <f>+Tabla8[[#This Row],[Trenes Corridos]]/Tabla8[[#This Row],[Trenes Programados]]</f>
        <v>0.98076923076923073</v>
      </c>
      <c r="BX217" s="16"/>
      <c r="BY217" s="16"/>
      <c r="BZ217" s="16">
        <v>936</v>
      </c>
      <c r="CA217" s="16">
        <v>94</v>
      </c>
      <c r="CB217" s="16">
        <v>918</v>
      </c>
      <c r="CC217" s="16">
        <v>822</v>
      </c>
      <c r="CD217" s="16">
        <f t="shared" si="98"/>
        <v>96</v>
      </c>
      <c r="CI217" s="40"/>
      <c r="CJ217" s="40"/>
      <c r="CK217" s="40"/>
      <c r="CL217" s="40"/>
      <c r="CM217" s="40"/>
    </row>
    <row r="218" spans="1:91" s="18" customFormat="1" ht="15" customHeight="1">
      <c r="A218" s="18">
        <v>2010</v>
      </c>
      <c r="B218" s="21" t="s">
        <v>44</v>
      </c>
      <c r="C218" s="15">
        <f>+MITRE[[#This Row],[Trenes Puntuales]]/MITRE[[#This Row],[Trenes Programados]]</f>
        <v>0.8396112600536193</v>
      </c>
      <c r="D218" s="15">
        <f>+MITRE[[#This Row],[Trenes Puntuales]]/MITRE[[#This Row],[Trenes Corridos]]</f>
        <v>0.86208794990021331</v>
      </c>
      <c r="E218" s="15">
        <f>+MITRE[[#This Row],[Trenes Corridos]]/MITRE[[#This Row],[Trenes Programados]]</f>
        <v>0.97392761394101879</v>
      </c>
      <c r="F218" s="16">
        <f>+Tabla4[[#This Row],[Trenes Programados por Día Hábil]]+Tabla5[[#This Row],[Trenes Programados por Día Hábil]]+Tabla6[[#This Row],[Trenes Programados por Día Hábil]]+MIT_Vic_Cap[[#This Row],[Trenes Programados por Día Hábil]]+Tabla8[[#This Row],[Trenes Programados por Día Hábil]]</f>
        <v>0</v>
      </c>
      <c r="G21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8" s="16">
        <f t="shared" si="75"/>
        <v>14920</v>
      </c>
      <c r="I218" s="16">
        <f t="shared" si="76"/>
        <v>389</v>
      </c>
      <c r="J218" s="16">
        <f t="shared" si="77"/>
        <v>14531</v>
      </c>
      <c r="K218" s="16">
        <f t="shared" si="78"/>
        <v>12527</v>
      </c>
      <c r="L218" s="16">
        <f t="shared" si="79"/>
        <v>2004</v>
      </c>
      <c r="M218" s="16"/>
      <c r="N218" s="17"/>
      <c r="O218" s="18">
        <v>2010</v>
      </c>
      <c r="P218" s="21" t="s">
        <v>44</v>
      </c>
      <c r="Q218" s="15">
        <f>+Tabla4[[#This Row],[Trenes Puntuales]]/Tabla4[[#This Row],[Trenes Programados]]</f>
        <v>0.80145985401459852</v>
      </c>
      <c r="R218" s="15">
        <f>+Tabla4[[#This Row],[Trenes Puntuales]]/Tabla4[[#This Row],[Trenes Corridos]]</f>
        <v>0.83545748525775154</v>
      </c>
      <c r="S218" s="15">
        <f>+Tabla4[[#This Row],[Trenes Corridos]]/Tabla4[[#This Row],[Trenes Programados]]</f>
        <v>0.95930656934306568</v>
      </c>
      <c r="T218" s="16"/>
      <c r="U218" s="16"/>
      <c r="V218" s="16">
        <v>5480</v>
      </c>
      <c r="W218" s="16">
        <f t="shared" si="90"/>
        <v>223</v>
      </c>
      <c r="X218" s="16">
        <v>5257</v>
      </c>
      <c r="Y218" s="16">
        <v>4392</v>
      </c>
      <c r="Z218" s="16">
        <f t="shared" si="91"/>
        <v>865</v>
      </c>
      <c r="AA218" s="16"/>
      <c r="AB218" s="17"/>
      <c r="AC218" s="18">
        <v>2010</v>
      </c>
      <c r="AD218" s="21" t="s">
        <v>44</v>
      </c>
      <c r="AE218" s="15">
        <f>+Tabla5[[#This Row],[Trenes Puntuales]]/Tabla5[[#This Row],[Trenes Programados]]</f>
        <v>0.84373576309794984</v>
      </c>
      <c r="AF218" s="15">
        <f>+Tabla5[[#This Row],[Trenes Puntuales]]/Tabla5[[#This Row],[Trenes Corridos]]</f>
        <v>0.85800324299281905</v>
      </c>
      <c r="AG218" s="15">
        <f>+Tabla5[[#This Row],[Trenes Corridos]]/Tabla5[[#This Row],[Trenes Programados]]</f>
        <v>0.983371298405467</v>
      </c>
      <c r="AH218" s="16"/>
      <c r="AI218" s="16"/>
      <c r="AJ218" s="16">
        <v>4390</v>
      </c>
      <c r="AK218" s="16">
        <f t="shared" si="92"/>
        <v>73</v>
      </c>
      <c r="AL218" s="16">
        <v>4317</v>
      </c>
      <c r="AM218" s="16">
        <v>3704</v>
      </c>
      <c r="AN218" s="16">
        <f t="shared" si="93"/>
        <v>613</v>
      </c>
      <c r="AO218" s="16"/>
      <c r="AP218" s="17"/>
      <c r="AQ218" s="18">
        <v>2010</v>
      </c>
      <c r="AR218" s="21" t="s">
        <v>44</v>
      </c>
      <c r="AS218" s="15">
        <f>+Tabla6[[#This Row],[Trenes Puntuales]]/Tabla6[[#This Row],[Trenes Programados]]</f>
        <v>0.88336520076481839</v>
      </c>
      <c r="AT218" s="15">
        <f>+Tabla6[[#This Row],[Trenes Puntuales]]/Tabla6[[#This Row],[Trenes Corridos]]</f>
        <v>0.8985413290113452</v>
      </c>
      <c r="AU218" s="15">
        <f>+Tabla6[[#This Row],[Trenes Corridos]]/Tabla6[[#This Row],[Trenes Programados]]</f>
        <v>0.98311026131293822</v>
      </c>
      <c r="AV218" s="16"/>
      <c r="AW218" s="16"/>
      <c r="AX218" s="16">
        <v>3138</v>
      </c>
      <c r="AY218" s="16">
        <f t="shared" si="94"/>
        <v>53</v>
      </c>
      <c r="AZ218" s="16">
        <v>3085</v>
      </c>
      <c r="BA218" s="16">
        <v>2772</v>
      </c>
      <c r="BB218" s="16">
        <f t="shared" si="95"/>
        <v>313</v>
      </c>
      <c r="BC218" s="16"/>
      <c r="BD218" s="17"/>
      <c r="BE218" s="18">
        <v>2010</v>
      </c>
      <c r="BF218" s="21" t="s">
        <v>44</v>
      </c>
      <c r="BG218" s="15">
        <f>+MIT_Vic_Cap[[#This Row],[Trenes Puntuales]]/MIT_Vic_Cap[[#This Row],[Trenes Programados]]</f>
        <v>0.83847736625514402</v>
      </c>
      <c r="BH218" s="15">
        <f>+MIT_Vic_Cap[[#This Row],[Trenes Puntuales]]/MIT_Vic_Cap[[#This Row],[Trenes Corridos]]</f>
        <v>0.87072649572649574</v>
      </c>
      <c r="BI218" s="15">
        <f>+MIT_Vic_Cap[[#This Row],[Trenes Corridos]]/MIT_Vic_Cap[[#This Row],[Trenes Programados]]</f>
        <v>0.96296296296296291</v>
      </c>
      <c r="BJ218" s="16"/>
      <c r="BK218" s="16"/>
      <c r="BL218" s="16">
        <v>972</v>
      </c>
      <c r="BM218" s="16">
        <f t="shared" si="96"/>
        <v>36</v>
      </c>
      <c r="BN218" s="16">
        <v>936</v>
      </c>
      <c r="BO218" s="16">
        <v>815</v>
      </c>
      <c r="BP218" s="16">
        <f t="shared" si="97"/>
        <v>121</v>
      </c>
      <c r="BQ218" s="16"/>
      <c r="BR218" s="17"/>
      <c r="BS218" s="18">
        <v>2010</v>
      </c>
      <c r="BT218" s="21" t="s">
        <v>44</v>
      </c>
      <c r="BU218" s="15">
        <f>+Tabla8[[#This Row],[Trenes Puntuales]]/Tabla8[[#This Row],[Trenes Programados]]</f>
        <v>0.89787234042553188</v>
      </c>
      <c r="BV218" s="15">
        <f>+Tabla8[[#This Row],[Trenes Puntuales]]/Tabla8[[#This Row],[Trenes Corridos]]</f>
        <v>0.90170940170940173</v>
      </c>
      <c r="BW218" s="15">
        <f>+Tabla8[[#This Row],[Trenes Corridos]]/Tabla8[[#This Row],[Trenes Programados]]</f>
        <v>0.99574468085106382</v>
      </c>
      <c r="BX218" s="16"/>
      <c r="BY218" s="16"/>
      <c r="BZ218" s="16">
        <v>940</v>
      </c>
      <c r="CA218" s="16">
        <v>142</v>
      </c>
      <c r="CB218" s="16">
        <v>936</v>
      </c>
      <c r="CC218" s="16">
        <v>844</v>
      </c>
      <c r="CD218" s="16">
        <f t="shared" si="98"/>
        <v>92</v>
      </c>
      <c r="CI218" s="40"/>
      <c r="CJ218" s="40"/>
      <c r="CK218" s="40"/>
      <c r="CL218" s="40"/>
      <c r="CM218" s="40"/>
    </row>
    <row r="219" spans="1:91" s="18" customFormat="1" ht="15" customHeight="1">
      <c r="A219" s="18">
        <v>2010</v>
      </c>
      <c r="B219" s="21" t="s">
        <v>45</v>
      </c>
      <c r="C219" s="15">
        <f>+MITRE[[#This Row],[Trenes Puntuales]]/MITRE[[#This Row],[Trenes Programados]]</f>
        <v>0.86870540265035678</v>
      </c>
      <c r="D219" s="15">
        <f>+MITRE[[#This Row],[Trenes Puntuales]]/MITRE[[#This Row],[Trenes Corridos]]</f>
        <v>0.88727701811619353</v>
      </c>
      <c r="E219" s="15">
        <f>+MITRE[[#This Row],[Trenes Corridos]]/MITRE[[#This Row],[Trenes Programados]]</f>
        <v>0.9790689772341149</v>
      </c>
      <c r="F219" s="16">
        <f>+Tabla4[[#This Row],[Trenes Programados por Día Hábil]]+Tabla5[[#This Row],[Trenes Programados por Día Hábil]]+Tabla6[[#This Row],[Trenes Programados por Día Hábil]]+MIT_Vic_Cap[[#This Row],[Trenes Programados por Día Hábil]]+Tabla8[[#This Row],[Trenes Programados por Día Hábil]]</f>
        <v>0</v>
      </c>
      <c r="G21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9" s="16">
        <f t="shared" si="75"/>
        <v>14715</v>
      </c>
      <c r="I219" s="16">
        <f t="shared" si="76"/>
        <v>308</v>
      </c>
      <c r="J219" s="16">
        <f t="shared" si="77"/>
        <v>14407</v>
      </c>
      <c r="K219" s="16">
        <f t="shared" si="78"/>
        <v>12783</v>
      </c>
      <c r="L219" s="16">
        <f t="shared" si="79"/>
        <v>1624</v>
      </c>
      <c r="M219" s="16"/>
      <c r="N219" s="17"/>
      <c r="O219" s="18">
        <v>2010</v>
      </c>
      <c r="P219" s="21" t="s">
        <v>45</v>
      </c>
      <c r="Q219" s="15">
        <f>+Tabla4[[#This Row],[Trenes Puntuales]]/Tabla4[[#This Row],[Trenes Programados]]</f>
        <v>0.84972067039106147</v>
      </c>
      <c r="R219" s="15">
        <f>+Tabla4[[#This Row],[Trenes Puntuales]]/Tabla4[[#This Row],[Trenes Corridos]]</f>
        <v>0.86732560349743393</v>
      </c>
      <c r="S219" s="15">
        <f>+Tabla4[[#This Row],[Trenes Corridos]]/Tabla4[[#This Row],[Trenes Programados]]</f>
        <v>0.97970204841713227</v>
      </c>
      <c r="T219" s="16"/>
      <c r="U219" s="16"/>
      <c r="V219" s="16">
        <v>5370</v>
      </c>
      <c r="W219" s="16">
        <f t="shared" si="90"/>
        <v>109</v>
      </c>
      <c r="X219" s="16">
        <v>5261</v>
      </c>
      <c r="Y219" s="16">
        <v>4563</v>
      </c>
      <c r="Z219" s="16">
        <f t="shared" si="91"/>
        <v>698</v>
      </c>
      <c r="AA219" s="16"/>
      <c r="AB219" s="17"/>
      <c r="AC219" s="18">
        <v>2010</v>
      </c>
      <c r="AD219" s="21" t="s">
        <v>45</v>
      </c>
      <c r="AE219" s="15">
        <f>+Tabla5[[#This Row],[Trenes Puntuales]]/Tabla5[[#This Row],[Trenes Programados]]</f>
        <v>0.86323597589244316</v>
      </c>
      <c r="AF219" s="15">
        <f>+Tabla5[[#This Row],[Trenes Puntuales]]/Tabla5[[#This Row],[Trenes Corridos]]</f>
        <v>0.87933884297520659</v>
      </c>
      <c r="AG219" s="15">
        <f>+Tabla5[[#This Row],[Trenes Corridos]]/Tabla5[[#This Row],[Trenes Programados]]</f>
        <v>0.98168752897542888</v>
      </c>
      <c r="AH219" s="16"/>
      <c r="AI219" s="16"/>
      <c r="AJ219" s="16">
        <v>4314</v>
      </c>
      <c r="AK219" s="16">
        <f t="shared" si="92"/>
        <v>79</v>
      </c>
      <c r="AL219" s="16">
        <v>4235</v>
      </c>
      <c r="AM219" s="16">
        <v>3724</v>
      </c>
      <c r="AN219" s="16">
        <f t="shared" si="93"/>
        <v>511</v>
      </c>
      <c r="AO219" s="16"/>
      <c r="AP219" s="17"/>
      <c r="AQ219" s="18">
        <v>2010</v>
      </c>
      <c r="AR219" s="21" t="s">
        <v>45</v>
      </c>
      <c r="AS219" s="15">
        <f>+Tabla6[[#This Row],[Trenes Puntuales]]/Tabla6[[#This Row],[Trenes Programados]]</f>
        <v>0.90796963946869069</v>
      </c>
      <c r="AT219" s="15">
        <f>+Tabla6[[#This Row],[Trenes Puntuales]]/Tabla6[[#This Row],[Trenes Corridos]]</f>
        <v>0.92762520193861064</v>
      </c>
      <c r="AU219" s="15">
        <f>+Tabla6[[#This Row],[Trenes Corridos]]/Tabla6[[#This Row],[Trenes Programados]]</f>
        <v>0.97881087919038579</v>
      </c>
      <c r="AV219" s="16"/>
      <c r="AW219" s="16"/>
      <c r="AX219" s="16">
        <v>3162</v>
      </c>
      <c r="AY219" s="16">
        <f t="shared" si="94"/>
        <v>67</v>
      </c>
      <c r="AZ219" s="16">
        <v>3095</v>
      </c>
      <c r="BA219" s="16">
        <v>2871</v>
      </c>
      <c r="BB219" s="16">
        <f t="shared" si="95"/>
        <v>224</v>
      </c>
      <c r="BC219" s="16"/>
      <c r="BD219" s="17"/>
      <c r="BE219" s="18">
        <v>2010</v>
      </c>
      <c r="BF219" s="21" t="s">
        <v>45</v>
      </c>
      <c r="BG219" s="15">
        <f>+MIT_Vic_Cap[[#This Row],[Trenes Puntuales]]/MIT_Vic_Cap[[#This Row],[Trenes Programados]]</f>
        <v>0.86673553719008267</v>
      </c>
      <c r="BH219" s="15">
        <f>+MIT_Vic_Cap[[#This Row],[Trenes Puntuales]]/MIT_Vic_Cap[[#This Row],[Trenes Corridos]]</f>
        <v>0.90021459227467815</v>
      </c>
      <c r="BI219" s="15">
        <f>+MIT_Vic_Cap[[#This Row],[Trenes Corridos]]/MIT_Vic_Cap[[#This Row],[Trenes Programados]]</f>
        <v>0.96280991735537191</v>
      </c>
      <c r="BJ219" s="16"/>
      <c r="BK219" s="16"/>
      <c r="BL219" s="16">
        <v>968</v>
      </c>
      <c r="BM219" s="16">
        <f t="shared" si="96"/>
        <v>36</v>
      </c>
      <c r="BN219" s="16">
        <v>932</v>
      </c>
      <c r="BO219" s="16">
        <v>839</v>
      </c>
      <c r="BP219" s="16">
        <f t="shared" si="97"/>
        <v>93</v>
      </c>
      <c r="BQ219" s="16"/>
      <c r="BR219" s="17"/>
      <c r="BS219" s="18">
        <v>2010</v>
      </c>
      <c r="BT219" s="21" t="s">
        <v>45</v>
      </c>
      <c r="BU219" s="15">
        <f>+Tabla8[[#This Row],[Trenes Puntuales]]/Tabla8[[#This Row],[Trenes Programados]]</f>
        <v>0.87236403995560485</v>
      </c>
      <c r="BV219" s="15">
        <f>+Tabla8[[#This Row],[Trenes Puntuales]]/Tabla8[[#This Row],[Trenes Corridos]]</f>
        <v>0.88914027149321262</v>
      </c>
      <c r="BW219" s="15">
        <f>+Tabla8[[#This Row],[Trenes Corridos]]/Tabla8[[#This Row],[Trenes Programados]]</f>
        <v>0.98113207547169812</v>
      </c>
      <c r="BX219" s="16"/>
      <c r="BY219" s="16"/>
      <c r="BZ219" s="16">
        <v>901</v>
      </c>
      <c r="CA219" s="16">
        <v>90</v>
      </c>
      <c r="CB219" s="16">
        <v>884</v>
      </c>
      <c r="CC219" s="16">
        <v>786</v>
      </c>
      <c r="CD219" s="16">
        <f t="shared" si="98"/>
        <v>98</v>
      </c>
      <c r="CI219" s="40"/>
      <c r="CJ219" s="40"/>
      <c r="CK219" s="40"/>
      <c r="CL219" s="40"/>
      <c r="CM219" s="40"/>
    </row>
    <row r="220" spans="1:91" s="18" customFormat="1" ht="15" customHeight="1">
      <c r="A220" s="18">
        <v>2010</v>
      </c>
      <c r="B220" s="21" t="s">
        <v>46</v>
      </c>
      <c r="C220" s="15">
        <f>+MITRE[[#This Row],[Trenes Puntuales]]/MITRE[[#This Row],[Trenes Programados]]</f>
        <v>0.80463914019454463</v>
      </c>
      <c r="D220" s="15">
        <f>+MITRE[[#This Row],[Trenes Puntuales]]/MITRE[[#This Row],[Trenes Corridos]]</f>
        <v>0.82466536530953705</v>
      </c>
      <c r="E220" s="15">
        <f>+MITRE[[#This Row],[Trenes Corridos]]/MITRE[[#This Row],[Trenes Programados]]</f>
        <v>0.97571593769131348</v>
      </c>
      <c r="F220" s="16">
        <f>+Tabla4[[#This Row],[Trenes Programados por Día Hábil]]+Tabla5[[#This Row],[Trenes Programados por Día Hábil]]+Tabla6[[#This Row],[Trenes Programados por Día Hábil]]+MIT_Vic_Cap[[#This Row],[Trenes Programados por Día Hábil]]+Tabla8[[#This Row],[Trenes Programados por Día Hábil]]</f>
        <v>0</v>
      </c>
      <c r="G22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0" s="16">
        <f t="shared" si="75"/>
        <v>14701</v>
      </c>
      <c r="I220" s="16">
        <f t="shared" si="76"/>
        <v>357</v>
      </c>
      <c r="J220" s="16">
        <f t="shared" si="77"/>
        <v>14344</v>
      </c>
      <c r="K220" s="16">
        <f t="shared" si="78"/>
        <v>11829</v>
      </c>
      <c r="L220" s="16">
        <f t="shared" si="79"/>
        <v>2515</v>
      </c>
      <c r="M220" s="16"/>
      <c r="N220" s="17"/>
      <c r="O220" s="18">
        <v>2010</v>
      </c>
      <c r="P220" s="21" t="s">
        <v>46</v>
      </c>
      <c r="Q220" s="15">
        <f>+Tabla4[[#This Row],[Trenes Puntuales]]/Tabla4[[#This Row],[Trenes Programados]]</f>
        <v>0.78775510204081634</v>
      </c>
      <c r="R220" s="15">
        <f>+Tabla4[[#This Row],[Trenes Puntuales]]/Tabla4[[#This Row],[Trenes Corridos]]</f>
        <v>0.81030534351145034</v>
      </c>
      <c r="S220" s="15">
        <f>+Tabla4[[#This Row],[Trenes Corridos]]/Tabla4[[#This Row],[Trenes Programados]]</f>
        <v>0.9721706864564007</v>
      </c>
      <c r="T220" s="16"/>
      <c r="U220" s="16"/>
      <c r="V220" s="16">
        <v>5390</v>
      </c>
      <c r="W220" s="16">
        <f t="shared" si="90"/>
        <v>150</v>
      </c>
      <c r="X220" s="16">
        <v>5240</v>
      </c>
      <c r="Y220" s="16">
        <v>4246</v>
      </c>
      <c r="Z220" s="16">
        <f t="shared" si="91"/>
        <v>994</v>
      </c>
      <c r="AA220" s="16"/>
      <c r="AB220" s="17"/>
      <c r="AC220" s="18">
        <v>2010</v>
      </c>
      <c r="AD220" s="21" t="s">
        <v>46</v>
      </c>
      <c r="AE220" s="15">
        <f>+Tabla5[[#This Row],[Trenes Puntuales]]/Tabla5[[#This Row],[Trenes Programados]]</f>
        <v>0.78703703703703709</v>
      </c>
      <c r="AF220" s="15">
        <f>+Tabla5[[#This Row],[Trenes Puntuales]]/Tabla5[[#This Row],[Trenes Corridos]]</f>
        <v>0.80530554239696828</v>
      </c>
      <c r="AG220" s="15">
        <f>+Tabla5[[#This Row],[Trenes Corridos]]/Tabla5[[#This Row],[Trenes Programados]]</f>
        <v>0.97731481481481486</v>
      </c>
      <c r="AH220" s="16"/>
      <c r="AI220" s="16"/>
      <c r="AJ220" s="16">
        <v>4320</v>
      </c>
      <c r="AK220" s="16">
        <f t="shared" si="92"/>
        <v>98</v>
      </c>
      <c r="AL220" s="16">
        <v>4222</v>
      </c>
      <c r="AM220" s="16">
        <v>3400</v>
      </c>
      <c r="AN220" s="16">
        <f t="shared" si="93"/>
        <v>822</v>
      </c>
      <c r="AO220" s="16"/>
      <c r="AP220" s="17"/>
      <c r="AQ220" s="18">
        <v>2010</v>
      </c>
      <c r="AR220" s="21" t="s">
        <v>46</v>
      </c>
      <c r="AS220" s="15">
        <f>+Tabla6[[#This Row],[Trenes Puntuales]]/Tabla6[[#This Row],[Trenes Programados]]</f>
        <v>0.82487146529562982</v>
      </c>
      <c r="AT220" s="15">
        <f>+Tabla6[[#This Row],[Trenes Puntuales]]/Tabla6[[#This Row],[Trenes Corridos]]</f>
        <v>0.8410878112712975</v>
      </c>
      <c r="AU220" s="15">
        <f>+Tabla6[[#This Row],[Trenes Corridos]]/Tabla6[[#This Row],[Trenes Programados]]</f>
        <v>0.98071979434447298</v>
      </c>
      <c r="AV220" s="16"/>
      <c r="AW220" s="16"/>
      <c r="AX220" s="16">
        <v>3112</v>
      </c>
      <c r="AY220" s="16">
        <f t="shared" si="94"/>
        <v>60</v>
      </c>
      <c r="AZ220" s="16">
        <v>3052</v>
      </c>
      <c r="BA220" s="16">
        <v>2567</v>
      </c>
      <c r="BB220" s="16">
        <f t="shared" si="95"/>
        <v>485</v>
      </c>
      <c r="BC220" s="16"/>
      <c r="BD220" s="17"/>
      <c r="BE220" s="18">
        <v>2010</v>
      </c>
      <c r="BF220" s="21" t="s">
        <v>46</v>
      </c>
      <c r="BG220" s="15">
        <f>+MIT_Vic_Cap[[#This Row],[Trenes Puntuales]]/MIT_Vic_Cap[[#This Row],[Trenes Programados]]</f>
        <v>0.8915537017726799</v>
      </c>
      <c r="BH220" s="15">
        <f>+MIT_Vic_Cap[[#This Row],[Trenes Puntuales]]/MIT_Vic_Cap[[#This Row],[Trenes Corridos]]</f>
        <v>0.91443850267379678</v>
      </c>
      <c r="BI220" s="15">
        <f>+MIT_Vic_Cap[[#This Row],[Trenes Corridos]]/MIT_Vic_Cap[[#This Row],[Trenes Programados]]</f>
        <v>0.97497393117831077</v>
      </c>
      <c r="BJ220" s="16"/>
      <c r="BK220" s="16"/>
      <c r="BL220" s="16">
        <v>959</v>
      </c>
      <c r="BM220" s="16">
        <f t="shared" si="96"/>
        <v>24</v>
      </c>
      <c r="BN220" s="16">
        <v>935</v>
      </c>
      <c r="BO220" s="16">
        <v>855</v>
      </c>
      <c r="BP220" s="16">
        <f t="shared" si="97"/>
        <v>80</v>
      </c>
      <c r="BQ220" s="16"/>
      <c r="BR220" s="17"/>
      <c r="BS220" s="18">
        <v>2010</v>
      </c>
      <c r="BT220" s="21" t="s">
        <v>46</v>
      </c>
      <c r="BU220" s="15">
        <f>+Tabla8[[#This Row],[Trenes Puntuales]]/Tabla8[[#This Row],[Trenes Programados]]</f>
        <v>0.82717391304347831</v>
      </c>
      <c r="BV220" s="15">
        <f>+Tabla8[[#This Row],[Trenes Puntuales]]/Tabla8[[#This Row],[Trenes Corridos]]</f>
        <v>0.85027932960893859</v>
      </c>
      <c r="BW220" s="15">
        <f>+Tabla8[[#This Row],[Trenes Corridos]]/Tabla8[[#This Row],[Trenes Programados]]</f>
        <v>0.97282608695652173</v>
      </c>
      <c r="BX220" s="16"/>
      <c r="BY220" s="16"/>
      <c r="BZ220" s="16">
        <v>920</v>
      </c>
      <c r="CA220" s="16">
        <v>91</v>
      </c>
      <c r="CB220" s="16">
        <v>895</v>
      </c>
      <c r="CC220" s="16">
        <v>761</v>
      </c>
      <c r="CD220" s="16">
        <f t="shared" si="98"/>
        <v>134</v>
      </c>
      <c r="CI220" s="40"/>
      <c r="CJ220" s="40"/>
      <c r="CK220" s="40"/>
      <c r="CL220" s="40"/>
      <c r="CM220" s="40"/>
    </row>
    <row r="221" spans="1:91" s="18" customFormat="1" ht="15" customHeight="1">
      <c r="A221" s="18">
        <v>2010</v>
      </c>
      <c r="B221" s="21" t="s">
        <v>47</v>
      </c>
      <c r="C221" s="15">
        <f>+MITRE[[#This Row],[Trenes Puntuales]]/MITRE[[#This Row],[Trenes Programados]]</f>
        <v>0.76229562454491295</v>
      </c>
      <c r="D221" s="15">
        <f>+MITRE[[#This Row],[Trenes Puntuales]]/MITRE[[#This Row],[Trenes Corridos]]</f>
        <v>0.80374092685650478</v>
      </c>
      <c r="E221" s="15">
        <f>+MITRE[[#This Row],[Trenes Corridos]]/MITRE[[#This Row],[Trenes Programados]]</f>
        <v>0.9484345005626531</v>
      </c>
      <c r="F221" s="16">
        <f>+Tabla4[[#This Row],[Trenes Programados por Día Hábil]]+Tabla5[[#This Row],[Trenes Programados por Día Hábil]]+Tabla6[[#This Row],[Trenes Programados por Día Hábil]]+MIT_Vic_Cap[[#This Row],[Trenes Programados por Día Hábil]]+Tabla8[[#This Row],[Trenes Programados por Día Hábil]]</f>
        <v>0</v>
      </c>
      <c r="G22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1" s="16">
        <f t="shared" si="75"/>
        <v>15107</v>
      </c>
      <c r="I221" s="16">
        <f t="shared" si="76"/>
        <v>779</v>
      </c>
      <c r="J221" s="16">
        <f t="shared" si="77"/>
        <v>14328</v>
      </c>
      <c r="K221" s="16">
        <f t="shared" si="78"/>
        <v>11516</v>
      </c>
      <c r="L221" s="16">
        <f t="shared" si="79"/>
        <v>2812</v>
      </c>
      <c r="M221" s="16"/>
      <c r="N221" s="17"/>
      <c r="O221" s="18">
        <v>2010</v>
      </c>
      <c r="P221" s="21" t="s">
        <v>47</v>
      </c>
      <c r="Q221" s="15">
        <f>+Tabla4[[#This Row],[Trenes Puntuales]]/Tabla4[[#This Row],[Trenes Programados]]</f>
        <v>0.69747292418772566</v>
      </c>
      <c r="R221" s="15">
        <f>+Tabla4[[#This Row],[Trenes Puntuales]]/Tabla4[[#This Row],[Trenes Corridos]]</f>
        <v>0.74941815360744768</v>
      </c>
      <c r="S221" s="15">
        <f>+Tabla4[[#This Row],[Trenes Corridos]]/Tabla4[[#This Row],[Trenes Programados]]</f>
        <v>0.93068592057761734</v>
      </c>
      <c r="T221" s="16"/>
      <c r="U221" s="16"/>
      <c r="V221" s="16">
        <v>5540</v>
      </c>
      <c r="W221" s="16">
        <f t="shared" si="90"/>
        <v>384</v>
      </c>
      <c r="X221" s="16">
        <v>5156</v>
      </c>
      <c r="Y221" s="16">
        <v>3864</v>
      </c>
      <c r="Z221" s="16">
        <f t="shared" si="91"/>
        <v>1292</v>
      </c>
      <c r="AA221" s="16"/>
      <c r="AB221" s="17"/>
      <c r="AC221" s="18">
        <v>2010</v>
      </c>
      <c r="AD221" s="21" t="s">
        <v>47</v>
      </c>
      <c r="AE221" s="15">
        <f>+Tabla5[[#This Row],[Trenes Puntuales]]/Tabla5[[#This Row],[Trenes Programados]]</f>
        <v>0.76883175462336495</v>
      </c>
      <c r="AF221" s="15">
        <f>+Tabla5[[#This Row],[Trenes Puntuales]]/Tabla5[[#This Row],[Trenes Corridos]]</f>
        <v>0.80287329251059825</v>
      </c>
      <c r="AG221" s="15">
        <f>+Tabla5[[#This Row],[Trenes Corridos]]/Tabla5[[#This Row],[Trenes Programados]]</f>
        <v>0.95760036084799283</v>
      </c>
      <c r="AH221" s="16"/>
      <c r="AI221" s="16"/>
      <c r="AJ221" s="16">
        <v>4434</v>
      </c>
      <c r="AK221" s="16">
        <f t="shared" si="92"/>
        <v>188</v>
      </c>
      <c r="AL221" s="16">
        <v>4246</v>
      </c>
      <c r="AM221" s="16">
        <v>3409</v>
      </c>
      <c r="AN221" s="16">
        <f t="shared" si="93"/>
        <v>837</v>
      </c>
      <c r="AO221" s="16"/>
      <c r="AP221" s="17"/>
      <c r="AQ221" s="18">
        <v>2010</v>
      </c>
      <c r="AR221" s="21" t="s">
        <v>47</v>
      </c>
      <c r="AS221" s="15">
        <f>+Tabla6[[#This Row],[Trenes Puntuales]]/Tabla6[[#This Row],[Trenes Programados]]</f>
        <v>0.82885696439725176</v>
      </c>
      <c r="AT221" s="15">
        <f>+Tabla6[[#This Row],[Trenes Puntuales]]/Tabla6[[#This Row],[Trenes Corridos]]</f>
        <v>0.86449511400651469</v>
      </c>
      <c r="AU221" s="15">
        <f>+Tabla6[[#This Row],[Trenes Corridos]]/Tabla6[[#This Row],[Trenes Programados]]</f>
        <v>0.95877576514678331</v>
      </c>
      <c r="AV221" s="16"/>
      <c r="AW221" s="16"/>
      <c r="AX221" s="16">
        <v>3202</v>
      </c>
      <c r="AY221" s="16">
        <f t="shared" si="94"/>
        <v>132</v>
      </c>
      <c r="AZ221" s="16">
        <v>3070</v>
      </c>
      <c r="BA221" s="16">
        <v>2654</v>
      </c>
      <c r="BB221" s="16">
        <f t="shared" si="95"/>
        <v>416</v>
      </c>
      <c r="BC221" s="16"/>
      <c r="BD221" s="17"/>
      <c r="BE221" s="18">
        <v>2010</v>
      </c>
      <c r="BF221" s="21" t="s">
        <v>47</v>
      </c>
      <c r="BG221" s="15">
        <f>+MIT_Vic_Cap[[#This Row],[Trenes Puntuales]]/MIT_Vic_Cap[[#This Row],[Trenes Programados]]</f>
        <v>0.82959183673469383</v>
      </c>
      <c r="BH221" s="15">
        <f>+MIT_Vic_Cap[[#This Row],[Trenes Puntuales]]/MIT_Vic_Cap[[#This Row],[Trenes Corridos]]</f>
        <v>0.86305732484076436</v>
      </c>
      <c r="BI221" s="15">
        <f>+MIT_Vic_Cap[[#This Row],[Trenes Corridos]]/MIT_Vic_Cap[[#This Row],[Trenes Programados]]</f>
        <v>0.96122448979591835</v>
      </c>
      <c r="BJ221" s="16"/>
      <c r="BK221" s="16"/>
      <c r="BL221" s="16">
        <v>980</v>
      </c>
      <c r="BM221" s="16">
        <f t="shared" si="96"/>
        <v>38</v>
      </c>
      <c r="BN221" s="16">
        <v>942</v>
      </c>
      <c r="BO221" s="16">
        <v>813</v>
      </c>
      <c r="BP221" s="16">
        <f t="shared" si="97"/>
        <v>129</v>
      </c>
      <c r="BQ221" s="16"/>
      <c r="BR221" s="17"/>
      <c r="BS221" s="18">
        <v>2010</v>
      </c>
      <c r="BT221" s="21" t="s">
        <v>47</v>
      </c>
      <c r="BU221" s="15">
        <f>+Tabla8[[#This Row],[Trenes Puntuales]]/Tabla8[[#This Row],[Trenes Programados]]</f>
        <v>0.81598317560462674</v>
      </c>
      <c r="BV221" s="15">
        <f>+Tabla8[[#This Row],[Trenes Puntuales]]/Tabla8[[#This Row],[Trenes Corridos]]</f>
        <v>0.84901531728665203</v>
      </c>
      <c r="BW221" s="15">
        <f>+Tabla8[[#This Row],[Trenes Corridos]]/Tabla8[[#This Row],[Trenes Programados]]</f>
        <v>0.96109358569926395</v>
      </c>
      <c r="BX221" s="16"/>
      <c r="BY221" s="16"/>
      <c r="BZ221" s="16">
        <v>951</v>
      </c>
      <c r="CA221" s="16">
        <v>87</v>
      </c>
      <c r="CB221" s="16">
        <v>914</v>
      </c>
      <c r="CC221" s="16">
        <v>776</v>
      </c>
      <c r="CD221" s="16">
        <f t="shared" si="98"/>
        <v>138</v>
      </c>
      <c r="CI221" s="40"/>
      <c r="CJ221" s="40"/>
      <c r="CK221" s="40"/>
      <c r="CL221" s="40"/>
      <c r="CM221" s="40"/>
    </row>
    <row r="222" spans="1:91" s="18" customFormat="1" ht="15" customHeight="1">
      <c r="A222" s="18">
        <v>2011</v>
      </c>
      <c r="B222" s="21" t="s">
        <v>36</v>
      </c>
      <c r="C222" s="15">
        <f>+MITRE[[#This Row],[Trenes Puntuales]]/MITRE[[#This Row],[Trenes Programados]]</f>
        <v>0.59503361959922774</v>
      </c>
      <c r="D222" s="15">
        <f>+MITRE[[#This Row],[Trenes Puntuales]]/MITRE[[#This Row],[Trenes Corridos]]</f>
        <v>0.63642836798632874</v>
      </c>
      <c r="E222" s="15">
        <f>+MITRE[[#This Row],[Trenes Corridos]]/MITRE[[#This Row],[Trenes Programados]]</f>
        <v>0.93495772585047598</v>
      </c>
      <c r="F222" s="16">
        <f>+Tabla4[[#This Row],[Trenes Programados por Día Hábil]]+Tabla5[[#This Row],[Trenes Programados por Día Hábil]]+Tabla6[[#This Row],[Trenes Programados por Día Hábil]]+MIT_Vic_Cap[[#This Row],[Trenes Programados por Día Hábil]]+Tabla8[[#This Row],[Trenes Programados por Día Hábil]]</f>
        <v>0</v>
      </c>
      <c r="G22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2" s="16">
        <f t="shared" si="75"/>
        <v>15021</v>
      </c>
      <c r="I222" s="16">
        <f t="shared" si="76"/>
        <v>977</v>
      </c>
      <c r="J222" s="16">
        <f t="shared" si="77"/>
        <v>14044</v>
      </c>
      <c r="K222" s="16">
        <f t="shared" si="78"/>
        <v>8938</v>
      </c>
      <c r="L222" s="16">
        <f t="shared" si="79"/>
        <v>5106</v>
      </c>
      <c r="M222" s="16"/>
      <c r="N222" s="17"/>
      <c r="O222" s="18">
        <v>2011</v>
      </c>
      <c r="P222" s="21" t="s">
        <v>36</v>
      </c>
      <c r="Q222" s="15">
        <f>+Tabla4[[#This Row],[Trenes Puntuales]]/Tabla4[[#This Row],[Trenes Programados]]</f>
        <v>0.68927272727272726</v>
      </c>
      <c r="R222" s="15">
        <f>+Tabla4[[#This Row],[Trenes Puntuales]]/Tabla4[[#This Row],[Trenes Corridos]]</f>
        <v>0.74057433092400859</v>
      </c>
      <c r="S222" s="15">
        <f>+Tabla4[[#This Row],[Trenes Corridos]]/Tabla4[[#This Row],[Trenes Programados]]</f>
        <v>0.93072727272727274</v>
      </c>
      <c r="T222" s="16"/>
      <c r="U222" s="16"/>
      <c r="V222" s="16">
        <v>5500</v>
      </c>
      <c r="W222" s="16">
        <f t="shared" ref="W222:W233" si="99">V222-X222</f>
        <v>381</v>
      </c>
      <c r="X222" s="16">
        <v>5119</v>
      </c>
      <c r="Y222" s="16">
        <v>3791</v>
      </c>
      <c r="Z222" s="16">
        <f t="shared" ref="Z222:Z233" si="100">X222-Y222</f>
        <v>1328</v>
      </c>
      <c r="AA222" s="16"/>
      <c r="AB222" s="17"/>
      <c r="AC222" s="18">
        <v>2011</v>
      </c>
      <c r="AD222" s="21" t="s">
        <v>36</v>
      </c>
      <c r="AE222" s="15">
        <f>+Tabla5[[#This Row],[Trenes Puntuales]]/Tabla5[[#This Row],[Trenes Programados]]</f>
        <v>0.48242231798593788</v>
      </c>
      <c r="AF222" s="15">
        <f>+Tabla5[[#This Row],[Trenes Puntuales]]/Tabla5[[#This Row],[Trenes Corridos]]</f>
        <v>0.51080691642651299</v>
      </c>
      <c r="AG222" s="15">
        <f>+Tabla5[[#This Row],[Trenes Corridos]]/Tabla5[[#This Row],[Trenes Programados]]</f>
        <v>0.94443184395554547</v>
      </c>
      <c r="AH222" s="16"/>
      <c r="AI222" s="16"/>
      <c r="AJ222" s="16">
        <v>4409</v>
      </c>
      <c r="AK222" s="16">
        <f t="shared" ref="AK222:AK233" si="101">AJ222-AL222</f>
        <v>245</v>
      </c>
      <c r="AL222" s="16">
        <v>4164</v>
      </c>
      <c r="AM222" s="16">
        <v>2127</v>
      </c>
      <c r="AN222" s="16">
        <f t="shared" ref="AN222:AN233" si="102">AL222-AM222</f>
        <v>2037</v>
      </c>
      <c r="AO222" s="16"/>
      <c r="AP222" s="17"/>
      <c r="AQ222" s="18">
        <v>2011</v>
      </c>
      <c r="AR222" s="21" t="s">
        <v>36</v>
      </c>
      <c r="AS222" s="15">
        <f>+Tabla6[[#This Row],[Trenes Puntuales]]/Tabla6[[#This Row],[Trenes Programados]]</f>
        <v>0.50266040688575897</v>
      </c>
      <c r="AT222" s="15">
        <f>+Tabla6[[#This Row],[Trenes Puntuales]]/Tabla6[[#This Row],[Trenes Corridos]]</f>
        <v>0.54422229752626228</v>
      </c>
      <c r="AU222" s="15">
        <f>+Tabla6[[#This Row],[Trenes Corridos]]/Tabla6[[#This Row],[Trenes Programados]]</f>
        <v>0.92363067292644763</v>
      </c>
      <c r="AV222" s="16"/>
      <c r="AW222" s="16"/>
      <c r="AX222" s="16">
        <v>3195</v>
      </c>
      <c r="AY222" s="16">
        <f t="shared" ref="AY222:AY233" si="103">AX222-AZ222</f>
        <v>244</v>
      </c>
      <c r="AZ222" s="16">
        <v>2951</v>
      </c>
      <c r="BA222" s="16">
        <v>1606</v>
      </c>
      <c r="BB222" s="16">
        <f t="shared" ref="BB222:BB233" si="104">AZ222-BA222</f>
        <v>1345</v>
      </c>
      <c r="BC222" s="16"/>
      <c r="BD222" s="17"/>
      <c r="BE222" s="18">
        <v>2011</v>
      </c>
      <c r="BF222" s="21" t="s">
        <v>36</v>
      </c>
      <c r="BG222" s="15">
        <f>+MIT_Vic_Cap[[#This Row],[Trenes Puntuales]]/MIT_Vic_Cap[[#This Row],[Trenes Programados]]</f>
        <v>0.83384301732925581</v>
      </c>
      <c r="BH222" s="15">
        <f>+MIT_Vic_Cap[[#This Row],[Trenes Puntuales]]/MIT_Vic_Cap[[#This Row],[Trenes Corridos]]</f>
        <v>0.87862513426423205</v>
      </c>
      <c r="BI222" s="15">
        <f>+MIT_Vic_Cap[[#This Row],[Trenes Corridos]]/MIT_Vic_Cap[[#This Row],[Trenes Programados]]</f>
        <v>0.94903160040774714</v>
      </c>
      <c r="BJ222" s="16"/>
      <c r="BK222" s="16"/>
      <c r="BL222" s="16">
        <v>981</v>
      </c>
      <c r="BM222" s="16">
        <f t="shared" ref="BM222:BM233" si="105">BL222-BN222</f>
        <v>50</v>
      </c>
      <c r="BN222" s="16">
        <v>931</v>
      </c>
      <c r="BO222" s="16">
        <v>818</v>
      </c>
      <c r="BP222" s="16">
        <f t="shared" ref="BP222:BP233" si="106">BN222-BO222</f>
        <v>113</v>
      </c>
      <c r="BQ222" s="16"/>
      <c r="BR222" s="17"/>
      <c r="BS222" s="18">
        <v>2011</v>
      </c>
      <c r="BT222" s="21" t="s">
        <v>36</v>
      </c>
      <c r="BU222" s="15">
        <f>+Tabla8[[#This Row],[Trenes Puntuales]]/Tabla8[[#This Row],[Trenes Programados]]</f>
        <v>0.63675213675213671</v>
      </c>
      <c r="BV222" s="15">
        <f>+Tabla8[[#This Row],[Trenes Puntuales]]/Tabla8[[#This Row],[Trenes Corridos]]</f>
        <v>0.67804323094425478</v>
      </c>
      <c r="BW222" s="15">
        <f>+Tabla8[[#This Row],[Trenes Corridos]]/Tabla8[[#This Row],[Trenes Programados]]</f>
        <v>0.9391025641025641</v>
      </c>
      <c r="BX222" s="16"/>
      <c r="BY222" s="16"/>
      <c r="BZ222" s="16">
        <v>936</v>
      </c>
      <c r="CA222" s="16">
        <f t="shared" ref="CA222:CA233" si="107">BZ222-CB222</f>
        <v>57</v>
      </c>
      <c r="CB222" s="16">
        <v>879</v>
      </c>
      <c r="CC222" s="16">
        <v>596</v>
      </c>
      <c r="CD222" s="16">
        <f t="shared" ref="CD222:CD233" si="108">CB222-CC222</f>
        <v>283</v>
      </c>
      <c r="CI222" s="40"/>
      <c r="CJ222" s="40"/>
      <c r="CK222" s="40"/>
      <c r="CL222" s="40"/>
      <c r="CM222" s="40"/>
    </row>
    <row r="223" spans="1:91" s="18" customFormat="1" ht="15" customHeight="1">
      <c r="A223" s="18">
        <v>2011</v>
      </c>
      <c r="B223" s="21" t="s">
        <v>37</v>
      </c>
      <c r="C223" s="15">
        <f>+MITRE[[#This Row],[Trenes Puntuales]]/MITRE[[#This Row],[Trenes Programados]]</f>
        <v>0.58299624386015603</v>
      </c>
      <c r="D223" s="15">
        <f>+MITRE[[#This Row],[Trenes Puntuales]]/MITRE[[#This Row],[Trenes Corridos]]</f>
        <v>0.61932166973603442</v>
      </c>
      <c r="E223" s="15">
        <f>+MITRE[[#This Row],[Trenes Corridos]]/MITRE[[#This Row],[Trenes Programados]]</f>
        <v>0.94134643166714826</v>
      </c>
      <c r="F223" s="16">
        <f>+Tabla4[[#This Row],[Trenes Programados por Día Hábil]]+Tabla5[[#This Row],[Trenes Programados por Día Hábil]]+Tabla6[[#This Row],[Trenes Programados por Día Hábil]]+MIT_Vic_Cap[[#This Row],[Trenes Programados por Día Hábil]]+Tabla8[[#This Row],[Trenes Programados por Día Hábil]]</f>
        <v>0</v>
      </c>
      <c r="G22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3" s="16">
        <f t="shared" si="75"/>
        <v>13844</v>
      </c>
      <c r="I223" s="16">
        <f t="shared" si="76"/>
        <v>812</v>
      </c>
      <c r="J223" s="16">
        <f t="shared" si="77"/>
        <v>13032</v>
      </c>
      <c r="K223" s="16">
        <f t="shared" si="78"/>
        <v>8071</v>
      </c>
      <c r="L223" s="16">
        <f t="shared" si="79"/>
        <v>4961</v>
      </c>
      <c r="M223" s="16"/>
      <c r="N223" s="17"/>
      <c r="O223" s="18">
        <v>2011</v>
      </c>
      <c r="P223" s="21" t="s">
        <v>37</v>
      </c>
      <c r="Q223" s="15">
        <f>+Tabla4[[#This Row],[Trenes Puntuales]]/Tabla4[[#This Row],[Trenes Programados]]</f>
        <v>0.6860236220472441</v>
      </c>
      <c r="R223" s="15">
        <f>+Tabla4[[#This Row],[Trenes Puntuales]]/Tabla4[[#This Row],[Trenes Corridos]]</f>
        <v>0.72573927530195748</v>
      </c>
      <c r="S223" s="15">
        <f>+Tabla4[[#This Row],[Trenes Corridos]]/Tabla4[[#This Row],[Trenes Programados]]</f>
        <v>0.94527559055118116</v>
      </c>
      <c r="T223" s="16"/>
      <c r="U223" s="16"/>
      <c r="V223" s="16">
        <v>5080</v>
      </c>
      <c r="W223" s="16">
        <f t="shared" si="99"/>
        <v>278</v>
      </c>
      <c r="X223" s="16">
        <v>4802</v>
      </c>
      <c r="Y223" s="16">
        <v>3485</v>
      </c>
      <c r="Z223" s="16">
        <f t="shared" si="100"/>
        <v>1317</v>
      </c>
      <c r="AA223" s="16"/>
      <c r="AB223" s="17"/>
      <c r="AC223" s="18">
        <v>2011</v>
      </c>
      <c r="AD223" s="21" t="s">
        <v>37</v>
      </c>
      <c r="AE223" s="15">
        <f>+Tabla5[[#This Row],[Trenes Puntuales]]/Tabla5[[#This Row],[Trenes Programados]]</f>
        <v>0.48796660117878193</v>
      </c>
      <c r="AF223" s="15">
        <f>+Tabla5[[#This Row],[Trenes Puntuales]]/Tabla5[[#This Row],[Trenes Corridos]]</f>
        <v>0.51610389610389606</v>
      </c>
      <c r="AG223" s="15">
        <f>+Tabla5[[#This Row],[Trenes Corridos]]/Tabla5[[#This Row],[Trenes Programados]]</f>
        <v>0.94548133595284878</v>
      </c>
      <c r="AH223" s="16"/>
      <c r="AI223" s="16"/>
      <c r="AJ223" s="16">
        <v>4072</v>
      </c>
      <c r="AK223" s="16">
        <f t="shared" si="101"/>
        <v>222</v>
      </c>
      <c r="AL223" s="16">
        <v>3850</v>
      </c>
      <c r="AM223" s="16">
        <v>1987</v>
      </c>
      <c r="AN223" s="16">
        <f t="shared" si="102"/>
        <v>1863</v>
      </c>
      <c r="AO223" s="16"/>
      <c r="AP223" s="17"/>
      <c r="AQ223" s="18">
        <v>2011</v>
      </c>
      <c r="AR223" s="21" t="s">
        <v>37</v>
      </c>
      <c r="AS223" s="15">
        <f>+Tabla6[[#This Row],[Trenes Puntuales]]/Tabla6[[#This Row],[Trenes Programados]]</f>
        <v>0.51027397260273977</v>
      </c>
      <c r="AT223" s="15">
        <f>+Tabla6[[#This Row],[Trenes Puntuales]]/Tabla6[[#This Row],[Trenes Corridos]]</f>
        <v>0.54618768328445744</v>
      </c>
      <c r="AU223" s="15">
        <f>+Tabla6[[#This Row],[Trenes Corridos]]/Tabla6[[#This Row],[Trenes Programados]]</f>
        <v>0.9342465753424658</v>
      </c>
      <c r="AV223" s="16"/>
      <c r="AW223" s="16"/>
      <c r="AX223" s="16">
        <v>2920</v>
      </c>
      <c r="AY223" s="16">
        <f t="shared" si="103"/>
        <v>192</v>
      </c>
      <c r="AZ223" s="16">
        <v>2728</v>
      </c>
      <c r="BA223" s="16">
        <v>1490</v>
      </c>
      <c r="BB223" s="16">
        <f t="shared" si="104"/>
        <v>1238</v>
      </c>
      <c r="BC223" s="16"/>
      <c r="BD223" s="17"/>
      <c r="BE223" s="18">
        <v>2011</v>
      </c>
      <c r="BF223" s="21" t="s">
        <v>37</v>
      </c>
      <c r="BG223" s="15">
        <f>+MIT_Vic_Cap[[#This Row],[Trenes Puntuales]]/MIT_Vic_Cap[[#This Row],[Trenes Programados]]</f>
        <v>0.79092920353982299</v>
      </c>
      <c r="BH223" s="15">
        <f>+MIT_Vic_Cap[[#This Row],[Trenes Puntuales]]/MIT_Vic_Cap[[#This Row],[Trenes Corridos]]</f>
        <v>0.83236321303841676</v>
      </c>
      <c r="BI223" s="15">
        <f>+MIT_Vic_Cap[[#This Row],[Trenes Corridos]]/MIT_Vic_Cap[[#This Row],[Trenes Programados]]</f>
        <v>0.9502212389380531</v>
      </c>
      <c r="BJ223" s="16"/>
      <c r="BK223" s="16"/>
      <c r="BL223" s="16">
        <v>904</v>
      </c>
      <c r="BM223" s="16">
        <f t="shared" si="105"/>
        <v>45</v>
      </c>
      <c r="BN223" s="16">
        <v>859</v>
      </c>
      <c r="BO223" s="16">
        <v>715</v>
      </c>
      <c r="BP223" s="16">
        <f t="shared" si="106"/>
        <v>144</v>
      </c>
      <c r="BQ223" s="16"/>
      <c r="BR223" s="17"/>
      <c r="BS223" s="18">
        <v>2011</v>
      </c>
      <c r="BT223" s="21" t="s">
        <v>37</v>
      </c>
      <c r="BU223" s="15">
        <f>+Tabla8[[#This Row],[Trenes Puntuales]]/Tabla8[[#This Row],[Trenes Programados]]</f>
        <v>0.45391705069124422</v>
      </c>
      <c r="BV223" s="15">
        <f>+Tabla8[[#This Row],[Trenes Puntuales]]/Tabla8[[#This Row],[Trenes Corridos]]</f>
        <v>0.49684741488020179</v>
      </c>
      <c r="BW223" s="15">
        <f>+Tabla8[[#This Row],[Trenes Corridos]]/Tabla8[[#This Row],[Trenes Programados]]</f>
        <v>0.91359447004608296</v>
      </c>
      <c r="BX223" s="16"/>
      <c r="BY223" s="16"/>
      <c r="BZ223" s="16">
        <v>868</v>
      </c>
      <c r="CA223" s="16">
        <f t="shared" si="107"/>
        <v>75</v>
      </c>
      <c r="CB223" s="16">
        <v>793</v>
      </c>
      <c r="CC223" s="16">
        <v>394</v>
      </c>
      <c r="CD223" s="16">
        <f t="shared" si="108"/>
        <v>399</v>
      </c>
      <c r="CI223" s="40"/>
      <c r="CJ223" s="40"/>
      <c r="CK223" s="40"/>
      <c r="CL223" s="40"/>
      <c r="CM223" s="40"/>
    </row>
    <row r="224" spans="1:91" s="18" customFormat="1" ht="15" customHeight="1">
      <c r="A224" s="18">
        <v>2011</v>
      </c>
      <c r="B224" s="21" t="s">
        <v>38</v>
      </c>
      <c r="C224" s="15">
        <f>+MITRE[[#This Row],[Trenes Puntuales]]/MITRE[[#This Row],[Trenes Programados]]</f>
        <v>0.57378960362090248</v>
      </c>
      <c r="D224" s="15">
        <f>+MITRE[[#This Row],[Trenes Puntuales]]/MITRE[[#This Row],[Trenes Corridos]]</f>
        <v>0.60705216571138354</v>
      </c>
      <c r="E224" s="15">
        <f>+MITRE[[#This Row],[Trenes Corridos]]/MITRE[[#This Row],[Trenes Programados]]</f>
        <v>0.94520641887258261</v>
      </c>
      <c r="F224" s="16">
        <f>+Tabla4[[#This Row],[Trenes Programados por Día Hábil]]+Tabla5[[#This Row],[Trenes Programados por Día Hábil]]+Tabla6[[#This Row],[Trenes Programados por Día Hábil]]+MIT_Vic_Cap[[#This Row],[Trenes Programados por Día Hábil]]+Tabla8[[#This Row],[Trenes Programados por Día Hábil]]</f>
        <v>0</v>
      </c>
      <c r="G22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4" s="16">
        <f t="shared" si="75"/>
        <v>14582</v>
      </c>
      <c r="I224" s="16">
        <f t="shared" si="76"/>
        <v>799</v>
      </c>
      <c r="J224" s="16">
        <f t="shared" si="77"/>
        <v>13783</v>
      </c>
      <c r="K224" s="16">
        <f t="shared" si="78"/>
        <v>8367</v>
      </c>
      <c r="L224" s="16">
        <f t="shared" si="79"/>
        <v>5416</v>
      </c>
      <c r="M224" s="16"/>
      <c r="N224" s="17"/>
      <c r="O224" s="18">
        <v>2011</v>
      </c>
      <c r="P224" s="21" t="s">
        <v>38</v>
      </c>
      <c r="Q224" s="15">
        <f>+Tabla4[[#This Row],[Trenes Puntuales]]/Tabla4[[#This Row],[Trenes Programados]]</f>
        <v>0.63721804511278191</v>
      </c>
      <c r="R224" s="15">
        <f>+Tabla4[[#This Row],[Trenes Puntuales]]/Tabla4[[#This Row],[Trenes Corridos]]</f>
        <v>0.67786442711457706</v>
      </c>
      <c r="S224" s="15">
        <f>+Tabla4[[#This Row],[Trenes Corridos]]/Tabla4[[#This Row],[Trenes Programados]]</f>
        <v>0.94003759398496245</v>
      </c>
      <c r="T224" s="16"/>
      <c r="U224" s="16"/>
      <c r="V224" s="16">
        <v>5320</v>
      </c>
      <c r="W224" s="16">
        <f t="shared" si="99"/>
        <v>319</v>
      </c>
      <c r="X224" s="16">
        <v>5001</v>
      </c>
      <c r="Y224" s="16">
        <v>3390</v>
      </c>
      <c r="Z224" s="16">
        <f t="shared" si="100"/>
        <v>1611</v>
      </c>
      <c r="AA224" s="16"/>
      <c r="AB224" s="17"/>
      <c r="AC224" s="18">
        <v>2011</v>
      </c>
      <c r="AD224" s="21" t="s">
        <v>38</v>
      </c>
      <c r="AE224" s="15">
        <f>+Tabla5[[#This Row],[Trenes Puntuales]]/Tabla5[[#This Row],[Trenes Programados]]</f>
        <v>0.50855001171234482</v>
      </c>
      <c r="AF224" s="15">
        <f>+Tabla5[[#This Row],[Trenes Puntuales]]/Tabla5[[#This Row],[Trenes Corridos]]</f>
        <v>0.52566585956416467</v>
      </c>
      <c r="AG224" s="15">
        <f>+Tabla5[[#This Row],[Trenes Corridos]]/Tabla5[[#This Row],[Trenes Programados]]</f>
        <v>0.9674396814242211</v>
      </c>
      <c r="AH224" s="16"/>
      <c r="AI224" s="16"/>
      <c r="AJ224" s="16">
        <v>4269</v>
      </c>
      <c r="AK224" s="16">
        <f t="shared" si="101"/>
        <v>139</v>
      </c>
      <c r="AL224" s="16">
        <v>4130</v>
      </c>
      <c r="AM224" s="16">
        <v>2171</v>
      </c>
      <c r="AN224" s="16">
        <f t="shared" si="102"/>
        <v>1959</v>
      </c>
      <c r="AO224" s="16"/>
      <c r="AP224" s="17"/>
      <c r="AQ224" s="18">
        <v>2011</v>
      </c>
      <c r="AR224" s="21" t="s">
        <v>38</v>
      </c>
      <c r="AS224" s="15">
        <f>+Tabla6[[#This Row],[Trenes Puntuales]]/Tabla6[[#This Row],[Trenes Programados]]</f>
        <v>0.50143175310213173</v>
      </c>
      <c r="AT224" s="15">
        <f>+Tabla6[[#This Row],[Trenes Puntuales]]/Tabla6[[#This Row],[Trenes Corridos]]</f>
        <v>0.55375966268446941</v>
      </c>
      <c r="AU224" s="15">
        <f>+Tabla6[[#This Row],[Trenes Corridos]]/Tabla6[[#This Row],[Trenes Programados]]</f>
        <v>0.90550429525930642</v>
      </c>
      <c r="AV224" s="16"/>
      <c r="AW224" s="16"/>
      <c r="AX224" s="16">
        <v>3143</v>
      </c>
      <c r="AY224" s="16">
        <f t="shared" si="103"/>
        <v>297</v>
      </c>
      <c r="AZ224" s="16">
        <v>2846</v>
      </c>
      <c r="BA224" s="16">
        <v>1576</v>
      </c>
      <c r="BB224" s="16">
        <f t="shared" si="104"/>
        <v>1270</v>
      </c>
      <c r="BC224" s="16"/>
      <c r="BD224" s="17"/>
      <c r="BE224" s="18">
        <v>2011</v>
      </c>
      <c r="BF224" s="21" t="s">
        <v>38</v>
      </c>
      <c r="BG224" s="15">
        <f>+MIT_Vic_Cap[[#This Row],[Trenes Puntuales]]/MIT_Vic_Cap[[#This Row],[Trenes Programados]]</f>
        <v>0.74213836477987416</v>
      </c>
      <c r="BH224" s="15">
        <f>+MIT_Vic_Cap[[#This Row],[Trenes Puntuales]]/MIT_Vic_Cap[[#This Row],[Trenes Corridos]]</f>
        <v>0.76623376623376627</v>
      </c>
      <c r="BI224" s="15">
        <f>+MIT_Vic_Cap[[#This Row],[Trenes Corridos]]/MIT_Vic_Cap[[#This Row],[Trenes Programados]]</f>
        <v>0.96855345911949686</v>
      </c>
      <c r="BJ224" s="16"/>
      <c r="BK224" s="16"/>
      <c r="BL224" s="16">
        <v>954</v>
      </c>
      <c r="BM224" s="16">
        <f t="shared" si="105"/>
        <v>30</v>
      </c>
      <c r="BN224" s="16">
        <v>924</v>
      </c>
      <c r="BO224" s="16">
        <v>708</v>
      </c>
      <c r="BP224" s="16">
        <f t="shared" si="106"/>
        <v>216</v>
      </c>
      <c r="BQ224" s="16"/>
      <c r="BR224" s="17"/>
      <c r="BS224" s="18">
        <v>2011</v>
      </c>
      <c r="BT224" s="21" t="s">
        <v>38</v>
      </c>
      <c r="BU224" s="15">
        <f>+Tabla8[[#This Row],[Trenes Puntuales]]/Tabla8[[#This Row],[Trenes Programados]]</f>
        <v>0.5825892857142857</v>
      </c>
      <c r="BV224" s="15">
        <f>+Tabla8[[#This Row],[Trenes Puntuales]]/Tabla8[[#This Row],[Trenes Corridos]]</f>
        <v>0.59183673469387754</v>
      </c>
      <c r="BW224" s="15">
        <f>+Tabla8[[#This Row],[Trenes Corridos]]/Tabla8[[#This Row],[Trenes Programados]]</f>
        <v>0.984375</v>
      </c>
      <c r="BX224" s="16"/>
      <c r="BY224" s="16"/>
      <c r="BZ224" s="16">
        <v>896</v>
      </c>
      <c r="CA224" s="16">
        <f t="shared" si="107"/>
        <v>14</v>
      </c>
      <c r="CB224" s="16">
        <v>882</v>
      </c>
      <c r="CC224" s="16">
        <v>522</v>
      </c>
      <c r="CD224" s="16">
        <f t="shared" si="108"/>
        <v>360</v>
      </c>
      <c r="CI224" s="40"/>
      <c r="CJ224" s="40"/>
      <c r="CK224" s="40"/>
      <c r="CL224" s="40"/>
      <c r="CM224" s="40"/>
    </row>
    <row r="225" spans="1:91" s="18" customFormat="1" ht="15" customHeight="1">
      <c r="A225" s="18">
        <v>2011</v>
      </c>
      <c r="B225" s="21" t="s">
        <v>39</v>
      </c>
      <c r="C225" s="15">
        <f>+MITRE[[#This Row],[Trenes Puntuales]]/MITRE[[#This Row],[Trenes Programados]]</f>
        <v>0.47796656996822767</v>
      </c>
      <c r="D225" s="15">
        <f>+MITRE[[#This Row],[Trenes Puntuales]]/MITRE[[#This Row],[Trenes Corridos]]</f>
        <v>0.50774084672389752</v>
      </c>
      <c r="E225" s="15">
        <f>+MITRE[[#This Row],[Trenes Corridos]]/MITRE[[#This Row],[Trenes Programados]]</f>
        <v>0.94135930377123911</v>
      </c>
      <c r="F225" s="16">
        <f>+Tabla4[[#This Row],[Trenes Programados por Día Hábil]]+Tabla5[[#This Row],[Trenes Programados por Día Hábil]]+Tabla6[[#This Row],[Trenes Programados por Día Hábil]]+MIT_Vic_Cap[[#This Row],[Trenes Programados por Día Hábil]]+Tabla8[[#This Row],[Trenes Programados por Día Hábil]]</f>
        <v>0</v>
      </c>
      <c r="G22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5" s="16">
        <f t="shared" si="75"/>
        <v>14478</v>
      </c>
      <c r="I225" s="16">
        <f t="shared" si="76"/>
        <v>849</v>
      </c>
      <c r="J225" s="16">
        <f t="shared" si="77"/>
        <v>13629</v>
      </c>
      <c r="K225" s="16">
        <f t="shared" si="78"/>
        <v>6920</v>
      </c>
      <c r="L225" s="16">
        <f t="shared" si="79"/>
        <v>6709</v>
      </c>
      <c r="M225" s="16"/>
      <c r="N225" s="17"/>
      <c r="O225" s="18">
        <v>2011</v>
      </c>
      <c r="P225" s="21" t="s">
        <v>39</v>
      </c>
      <c r="Q225" s="15">
        <f>+Tabla4[[#This Row],[Trenes Puntuales]]/Tabla4[[#This Row],[Trenes Programados]]</f>
        <v>0.48471698113207545</v>
      </c>
      <c r="R225" s="15">
        <f>+Tabla4[[#This Row],[Trenes Puntuales]]/Tabla4[[#This Row],[Trenes Corridos]]</f>
        <v>0.51607071112896741</v>
      </c>
      <c r="S225" s="15">
        <f>+Tabla4[[#This Row],[Trenes Corridos]]/Tabla4[[#This Row],[Trenes Programados]]</f>
        <v>0.93924528301886789</v>
      </c>
      <c r="T225" s="16"/>
      <c r="U225" s="16"/>
      <c r="V225" s="16">
        <v>5300</v>
      </c>
      <c r="W225" s="16">
        <f t="shared" si="99"/>
        <v>322</v>
      </c>
      <c r="X225" s="16">
        <v>4978</v>
      </c>
      <c r="Y225" s="16">
        <v>2569</v>
      </c>
      <c r="Z225" s="16">
        <f t="shared" si="100"/>
        <v>2409</v>
      </c>
      <c r="AA225" s="16"/>
      <c r="AB225" s="17"/>
      <c r="AC225" s="18">
        <v>2011</v>
      </c>
      <c r="AD225" s="21" t="s">
        <v>39</v>
      </c>
      <c r="AE225" s="15">
        <f>+Tabla5[[#This Row],[Trenes Puntuales]]/Tabla5[[#This Row],[Trenes Programados]]</f>
        <v>0.45835294117647057</v>
      </c>
      <c r="AF225" s="15">
        <f>+Tabla5[[#This Row],[Trenes Puntuales]]/Tabla5[[#This Row],[Trenes Corridos]]</f>
        <v>0.48134420558438351</v>
      </c>
      <c r="AG225" s="15">
        <f>+Tabla5[[#This Row],[Trenes Corridos]]/Tabla5[[#This Row],[Trenes Programados]]</f>
        <v>0.95223529411764707</v>
      </c>
      <c r="AH225" s="16"/>
      <c r="AI225" s="16"/>
      <c r="AJ225" s="16">
        <v>4250</v>
      </c>
      <c r="AK225" s="16">
        <f t="shared" si="101"/>
        <v>203</v>
      </c>
      <c r="AL225" s="16">
        <v>4047</v>
      </c>
      <c r="AM225" s="16">
        <v>1948</v>
      </c>
      <c r="AN225" s="16">
        <f t="shared" si="102"/>
        <v>2099</v>
      </c>
      <c r="AO225" s="16"/>
      <c r="AP225" s="17"/>
      <c r="AQ225" s="18">
        <v>2011</v>
      </c>
      <c r="AR225" s="21" t="s">
        <v>39</v>
      </c>
      <c r="AS225" s="15">
        <f>+Tabla6[[#This Row],[Trenes Puntuales]]/Tabla6[[#This Row],[Trenes Programados]]</f>
        <v>0.49222294232015557</v>
      </c>
      <c r="AT225" s="15">
        <f>+Tabla6[[#This Row],[Trenes Puntuales]]/Tabla6[[#This Row],[Trenes Corridos]]</f>
        <v>0.53130465197621546</v>
      </c>
      <c r="AU225" s="15">
        <f>+Tabla6[[#This Row],[Trenes Corridos]]/Tabla6[[#This Row],[Trenes Programados]]</f>
        <v>0.92644199611147116</v>
      </c>
      <c r="AV225" s="16"/>
      <c r="AW225" s="16"/>
      <c r="AX225" s="16">
        <v>3086</v>
      </c>
      <c r="AY225" s="16">
        <f t="shared" si="103"/>
        <v>227</v>
      </c>
      <c r="AZ225" s="16">
        <v>2859</v>
      </c>
      <c r="BA225" s="16">
        <v>1519</v>
      </c>
      <c r="BB225" s="16">
        <f t="shared" si="104"/>
        <v>1340</v>
      </c>
      <c r="BC225" s="16"/>
      <c r="BD225" s="17"/>
      <c r="BE225" s="18">
        <v>2011</v>
      </c>
      <c r="BF225" s="21" t="s">
        <v>39</v>
      </c>
      <c r="BG225" s="15">
        <f>+MIT_Vic_Cap[[#This Row],[Trenes Puntuales]]/MIT_Vic_Cap[[#This Row],[Trenes Programados]]</f>
        <v>0.58811040339702758</v>
      </c>
      <c r="BH225" s="15">
        <f>+MIT_Vic_Cap[[#This Row],[Trenes Puntuales]]/MIT_Vic_Cap[[#This Row],[Trenes Corridos]]</f>
        <v>0.61624026696329259</v>
      </c>
      <c r="BI225" s="15">
        <f>+MIT_Vic_Cap[[#This Row],[Trenes Corridos]]/MIT_Vic_Cap[[#This Row],[Trenes Programados]]</f>
        <v>0.95435244161358812</v>
      </c>
      <c r="BJ225" s="16"/>
      <c r="BK225" s="16"/>
      <c r="BL225" s="16">
        <v>942</v>
      </c>
      <c r="BM225" s="16">
        <f t="shared" si="105"/>
        <v>43</v>
      </c>
      <c r="BN225" s="16">
        <v>899</v>
      </c>
      <c r="BO225" s="16">
        <v>554</v>
      </c>
      <c r="BP225" s="16">
        <f t="shared" si="106"/>
        <v>345</v>
      </c>
      <c r="BQ225" s="16"/>
      <c r="BR225" s="17"/>
      <c r="BS225" s="18">
        <v>2011</v>
      </c>
      <c r="BT225" s="21" t="s">
        <v>39</v>
      </c>
      <c r="BU225" s="15">
        <f>+Tabla8[[#This Row],[Trenes Puntuales]]/Tabla8[[#This Row],[Trenes Programados]]</f>
        <v>0.36666666666666664</v>
      </c>
      <c r="BV225" s="15">
        <f>+Tabla8[[#This Row],[Trenes Puntuales]]/Tabla8[[#This Row],[Trenes Corridos]]</f>
        <v>0.39007092198581561</v>
      </c>
      <c r="BW225" s="15">
        <f>+Tabla8[[#This Row],[Trenes Corridos]]/Tabla8[[#This Row],[Trenes Programados]]</f>
        <v>0.94</v>
      </c>
      <c r="BX225" s="16"/>
      <c r="BY225" s="16"/>
      <c r="BZ225" s="16">
        <v>900</v>
      </c>
      <c r="CA225" s="16">
        <f t="shared" si="107"/>
        <v>54</v>
      </c>
      <c r="CB225" s="16">
        <v>846</v>
      </c>
      <c r="CC225" s="16">
        <v>330</v>
      </c>
      <c r="CD225" s="16">
        <f t="shared" si="108"/>
        <v>516</v>
      </c>
      <c r="CI225" s="40"/>
      <c r="CJ225" s="40"/>
      <c r="CK225" s="40"/>
      <c r="CL225" s="40"/>
      <c r="CM225" s="40"/>
    </row>
    <row r="226" spans="1:91" s="18" customFormat="1" ht="15" customHeight="1">
      <c r="A226" s="18">
        <v>2011</v>
      </c>
      <c r="B226" s="21" t="s">
        <v>40</v>
      </c>
      <c r="C226" s="15">
        <f>+MITRE[[#This Row],[Trenes Puntuales]]/MITRE[[#This Row],[Trenes Programados]]</f>
        <v>0.51838039424613747</v>
      </c>
      <c r="D226" s="15">
        <f>+MITRE[[#This Row],[Trenes Puntuales]]/MITRE[[#This Row],[Trenes Corridos]]</f>
        <v>0.55891433905363685</v>
      </c>
      <c r="E226" s="15">
        <f>+MITRE[[#This Row],[Trenes Corridos]]/MITRE[[#This Row],[Trenes Programados]]</f>
        <v>0.92747735748534899</v>
      </c>
      <c r="F226" s="16">
        <f>+Tabla4[[#This Row],[Trenes Programados por Día Hábil]]+Tabla5[[#This Row],[Trenes Programados por Día Hábil]]+Tabla6[[#This Row],[Trenes Programados por Día Hábil]]+MIT_Vic_Cap[[#This Row],[Trenes Programados por Día Hábil]]+Tabla8[[#This Row],[Trenes Programados por Día Hábil]]</f>
        <v>0</v>
      </c>
      <c r="G22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6" s="16">
        <f t="shared" si="75"/>
        <v>15016</v>
      </c>
      <c r="I226" s="16">
        <f t="shared" si="76"/>
        <v>1089</v>
      </c>
      <c r="J226" s="16">
        <f t="shared" si="77"/>
        <v>13927</v>
      </c>
      <c r="K226" s="16">
        <f t="shared" si="78"/>
        <v>7784</v>
      </c>
      <c r="L226" s="16">
        <f t="shared" si="79"/>
        <v>6143</v>
      </c>
      <c r="M226" s="16"/>
      <c r="N226" s="17"/>
      <c r="O226" s="18">
        <v>2011</v>
      </c>
      <c r="P226" s="21" t="s">
        <v>40</v>
      </c>
      <c r="Q226" s="15">
        <f>+Tabla4[[#This Row],[Trenes Puntuales]]/Tabla4[[#This Row],[Trenes Programados]]</f>
        <v>0.63254545454545452</v>
      </c>
      <c r="R226" s="15">
        <f>+Tabla4[[#This Row],[Trenes Puntuales]]/Tabla4[[#This Row],[Trenes Corridos]]</f>
        <v>0.66228821625737677</v>
      </c>
      <c r="S226" s="15">
        <f>+Tabla4[[#This Row],[Trenes Corridos]]/Tabla4[[#This Row],[Trenes Programados]]</f>
        <v>0.9550909090909091</v>
      </c>
      <c r="T226" s="16"/>
      <c r="U226" s="16"/>
      <c r="V226" s="16">
        <v>5500</v>
      </c>
      <c r="W226" s="16">
        <f t="shared" si="99"/>
        <v>247</v>
      </c>
      <c r="X226" s="16">
        <v>5253</v>
      </c>
      <c r="Y226" s="16">
        <v>3479</v>
      </c>
      <c r="Z226" s="16">
        <f t="shared" si="100"/>
        <v>1774</v>
      </c>
      <c r="AA226" s="16"/>
      <c r="AB226" s="17"/>
      <c r="AC226" s="18">
        <v>2011</v>
      </c>
      <c r="AD226" s="21" t="s">
        <v>40</v>
      </c>
      <c r="AE226" s="15">
        <f>+Tabla5[[#This Row],[Trenes Puntuales]]/Tabla5[[#This Row],[Trenes Programados]]</f>
        <v>0.41188478112950783</v>
      </c>
      <c r="AF226" s="15">
        <f>+Tabla5[[#This Row],[Trenes Puntuales]]/Tabla5[[#This Row],[Trenes Corridos]]</f>
        <v>0.46067985794013189</v>
      </c>
      <c r="AG226" s="15">
        <f>+Tabla5[[#This Row],[Trenes Corridos]]/Tabla5[[#This Row],[Trenes Programados]]</f>
        <v>0.89408029031526426</v>
      </c>
      <c r="AH226" s="16"/>
      <c r="AI226" s="16"/>
      <c r="AJ226" s="16">
        <v>4409</v>
      </c>
      <c r="AK226" s="16">
        <f t="shared" si="101"/>
        <v>467</v>
      </c>
      <c r="AL226" s="16">
        <v>3942</v>
      </c>
      <c r="AM226" s="16">
        <v>1816</v>
      </c>
      <c r="AN226" s="16">
        <f t="shared" si="102"/>
        <v>2126</v>
      </c>
      <c r="AO226" s="16"/>
      <c r="AP226" s="17"/>
      <c r="AQ226" s="18">
        <v>2011</v>
      </c>
      <c r="AR226" s="21" t="s">
        <v>40</v>
      </c>
      <c r="AS226" s="15">
        <f>+Tabla6[[#This Row],[Trenes Puntuales]]/Tabla6[[#This Row],[Trenes Programados]]</f>
        <v>0.49608763693270735</v>
      </c>
      <c r="AT226" s="15">
        <f>+Tabla6[[#This Row],[Trenes Puntuales]]/Tabla6[[#This Row],[Trenes Corridos]]</f>
        <v>0.52992310264125708</v>
      </c>
      <c r="AU226" s="15">
        <f>+Tabla6[[#This Row],[Trenes Corridos]]/Tabla6[[#This Row],[Trenes Programados]]</f>
        <v>0.93615023474178405</v>
      </c>
      <c r="AV226" s="16"/>
      <c r="AW226" s="16"/>
      <c r="AX226" s="16">
        <v>3195</v>
      </c>
      <c r="AY226" s="16">
        <f t="shared" si="103"/>
        <v>204</v>
      </c>
      <c r="AZ226" s="16">
        <v>2991</v>
      </c>
      <c r="BA226" s="16">
        <v>1585</v>
      </c>
      <c r="BB226" s="16">
        <f t="shared" si="104"/>
        <v>1406</v>
      </c>
      <c r="BC226" s="16"/>
      <c r="BD226" s="17"/>
      <c r="BE226" s="18">
        <v>2011</v>
      </c>
      <c r="BF226" s="21" t="s">
        <v>40</v>
      </c>
      <c r="BG226" s="15">
        <f>+MIT_Vic_Cap[[#This Row],[Trenes Puntuales]]/MIT_Vic_Cap[[#This Row],[Trenes Programados]]</f>
        <v>0.61372950819672134</v>
      </c>
      <c r="BH226" s="15">
        <f>+MIT_Vic_Cap[[#This Row],[Trenes Puntuales]]/MIT_Vic_Cap[[#This Row],[Trenes Corridos]]</f>
        <v>0.67379077615298089</v>
      </c>
      <c r="BI226" s="15">
        <f>+MIT_Vic_Cap[[#This Row],[Trenes Corridos]]/MIT_Vic_Cap[[#This Row],[Trenes Programados]]</f>
        <v>0.91086065573770492</v>
      </c>
      <c r="BJ226" s="16"/>
      <c r="BK226" s="16"/>
      <c r="BL226" s="16">
        <v>976</v>
      </c>
      <c r="BM226" s="16">
        <f t="shared" si="105"/>
        <v>87</v>
      </c>
      <c r="BN226" s="16">
        <v>889</v>
      </c>
      <c r="BO226" s="16">
        <v>599</v>
      </c>
      <c r="BP226" s="16">
        <f t="shared" si="106"/>
        <v>290</v>
      </c>
      <c r="BQ226" s="16"/>
      <c r="BR226" s="17"/>
      <c r="BS226" s="18">
        <v>2011</v>
      </c>
      <c r="BT226" s="21" t="s">
        <v>40</v>
      </c>
      <c r="BU226" s="15">
        <f>+Tabla8[[#This Row],[Trenes Puntuales]]/Tabla8[[#This Row],[Trenes Programados]]</f>
        <v>0.32585470085470086</v>
      </c>
      <c r="BV226" s="15">
        <f>+Tabla8[[#This Row],[Trenes Puntuales]]/Tabla8[[#This Row],[Trenes Corridos]]</f>
        <v>0.357981220657277</v>
      </c>
      <c r="BW226" s="15">
        <f>+Tabla8[[#This Row],[Trenes Corridos]]/Tabla8[[#This Row],[Trenes Programados]]</f>
        <v>0.91025641025641024</v>
      </c>
      <c r="BX226" s="16"/>
      <c r="BY226" s="16"/>
      <c r="BZ226" s="16">
        <v>936</v>
      </c>
      <c r="CA226" s="16">
        <f t="shared" si="107"/>
        <v>84</v>
      </c>
      <c r="CB226" s="16">
        <v>852</v>
      </c>
      <c r="CC226" s="16">
        <v>305</v>
      </c>
      <c r="CD226" s="16">
        <f t="shared" si="108"/>
        <v>547</v>
      </c>
      <c r="CI226" s="40"/>
      <c r="CJ226" s="40"/>
      <c r="CK226" s="40"/>
      <c r="CL226" s="40"/>
      <c r="CM226" s="40"/>
    </row>
    <row r="227" spans="1:91" s="18" customFormat="1" ht="15" customHeight="1">
      <c r="A227" s="18">
        <v>2011</v>
      </c>
      <c r="B227" s="21" t="s">
        <v>41</v>
      </c>
      <c r="C227" s="15">
        <f>+MITRE[[#This Row],[Trenes Puntuales]]/MITRE[[#This Row],[Trenes Programados]]</f>
        <v>0.58937198067632846</v>
      </c>
      <c r="D227" s="15">
        <f>+MITRE[[#This Row],[Trenes Puntuales]]/MITRE[[#This Row],[Trenes Corridos]]</f>
        <v>0.61008592759543601</v>
      </c>
      <c r="E227" s="15">
        <f>+MITRE[[#This Row],[Trenes Corridos]]/MITRE[[#This Row],[Trenes Programados]]</f>
        <v>0.9660474926855821</v>
      </c>
      <c r="F227" s="16">
        <f>+Tabla4[[#This Row],[Trenes Programados por Día Hábil]]+Tabla5[[#This Row],[Trenes Programados por Día Hábil]]+Tabla6[[#This Row],[Trenes Programados por Día Hábil]]+MIT_Vic_Cap[[#This Row],[Trenes Programados por Día Hábil]]+Tabla8[[#This Row],[Trenes Programados por Día Hábil]]</f>
        <v>0</v>
      </c>
      <c r="G22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7" s="16">
        <f t="shared" si="75"/>
        <v>14697</v>
      </c>
      <c r="I227" s="16">
        <f t="shared" si="76"/>
        <v>499</v>
      </c>
      <c r="J227" s="16">
        <f t="shared" si="77"/>
        <v>14198</v>
      </c>
      <c r="K227" s="16">
        <f t="shared" si="78"/>
        <v>8662</v>
      </c>
      <c r="L227" s="16">
        <f t="shared" si="79"/>
        <v>5536</v>
      </c>
      <c r="M227" s="16"/>
      <c r="N227" s="17"/>
      <c r="O227" s="18">
        <v>2011</v>
      </c>
      <c r="P227" s="21" t="s">
        <v>41</v>
      </c>
      <c r="Q227" s="15">
        <f>+Tabla4[[#This Row],[Trenes Puntuales]]/Tabla4[[#This Row],[Trenes Programados]]</f>
        <v>0.71280148423005563</v>
      </c>
      <c r="R227" s="15">
        <f>+Tabla4[[#This Row],[Trenes Puntuales]]/Tabla4[[#This Row],[Trenes Corridos]]</f>
        <v>0.73390639923591217</v>
      </c>
      <c r="S227" s="15">
        <f>+Tabla4[[#This Row],[Trenes Corridos]]/Tabla4[[#This Row],[Trenes Programados]]</f>
        <v>0.9712430426716141</v>
      </c>
      <c r="T227" s="16"/>
      <c r="U227" s="16"/>
      <c r="V227" s="16">
        <v>5390</v>
      </c>
      <c r="W227" s="16">
        <f t="shared" si="99"/>
        <v>155</v>
      </c>
      <c r="X227" s="16">
        <v>5235</v>
      </c>
      <c r="Y227" s="16">
        <v>3842</v>
      </c>
      <c r="Z227" s="16">
        <f t="shared" si="100"/>
        <v>1393</v>
      </c>
      <c r="AA227" s="16"/>
      <c r="AB227" s="17"/>
      <c r="AC227" s="18">
        <v>2011</v>
      </c>
      <c r="AD227" s="21" t="s">
        <v>41</v>
      </c>
      <c r="AE227" s="15">
        <f>+Tabla5[[#This Row],[Trenes Puntuales]]/Tabla5[[#This Row],[Trenes Programados]]</f>
        <v>0.47083333333333333</v>
      </c>
      <c r="AF227" s="15">
        <f>+Tabla5[[#This Row],[Trenes Puntuales]]/Tabla5[[#This Row],[Trenes Corridos]]</f>
        <v>0.48613766730401531</v>
      </c>
      <c r="AG227" s="15">
        <f>+Tabla5[[#This Row],[Trenes Corridos]]/Tabla5[[#This Row],[Trenes Programados]]</f>
        <v>0.96851851851851856</v>
      </c>
      <c r="AH227" s="16"/>
      <c r="AI227" s="16"/>
      <c r="AJ227" s="16">
        <v>4320</v>
      </c>
      <c r="AK227" s="16">
        <f t="shared" si="101"/>
        <v>136</v>
      </c>
      <c r="AL227" s="16">
        <v>4184</v>
      </c>
      <c r="AM227" s="16">
        <v>2034</v>
      </c>
      <c r="AN227" s="16">
        <f t="shared" si="102"/>
        <v>2150</v>
      </c>
      <c r="AO227" s="16"/>
      <c r="AP227" s="17"/>
      <c r="AQ227" s="18">
        <v>2011</v>
      </c>
      <c r="AR227" s="21" t="s">
        <v>41</v>
      </c>
      <c r="AS227" s="15">
        <f>+Tabla6[[#This Row],[Trenes Puntuales]]/Tabla6[[#This Row],[Trenes Programados]]</f>
        <v>0.5690874035989717</v>
      </c>
      <c r="AT227" s="15">
        <f>+Tabla6[[#This Row],[Trenes Puntuales]]/Tabla6[[#This Row],[Trenes Corridos]]</f>
        <v>0.59191176470588236</v>
      </c>
      <c r="AU227" s="15">
        <f>+Tabla6[[#This Row],[Trenes Corridos]]/Tabla6[[#This Row],[Trenes Programados]]</f>
        <v>0.96143958868894597</v>
      </c>
      <c r="AV227" s="16"/>
      <c r="AW227" s="16"/>
      <c r="AX227" s="16">
        <v>3112</v>
      </c>
      <c r="AY227" s="16">
        <f t="shared" si="103"/>
        <v>120</v>
      </c>
      <c r="AZ227" s="16">
        <v>2992</v>
      </c>
      <c r="BA227" s="16">
        <v>1771</v>
      </c>
      <c r="BB227" s="16">
        <f t="shared" si="104"/>
        <v>1221</v>
      </c>
      <c r="BC227" s="16"/>
      <c r="BD227" s="17"/>
      <c r="BE227" s="18">
        <v>2011</v>
      </c>
      <c r="BF227" s="21" t="s">
        <v>41</v>
      </c>
      <c r="BG227" s="15">
        <f>+MIT_Vic_Cap[[#This Row],[Trenes Puntuales]]/MIT_Vic_Cap[[#This Row],[Trenes Programados]]</f>
        <v>0.65340314136125655</v>
      </c>
      <c r="BH227" s="15">
        <f>+MIT_Vic_Cap[[#This Row],[Trenes Puntuales]]/MIT_Vic_Cap[[#This Row],[Trenes Corridos]]</f>
        <v>0.68346111719605696</v>
      </c>
      <c r="BI227" s="15">
        <f>+MIT_Vic_Cap[[#This Row],[Trenes Corridos]]/MIT_Vic_Cap[[#This Row],[Trenes Programados]]</f>
        <v>0.95602094240837698</v>
      </c>
      <c r="BJ227" s="16"/>
      <c r="BK227" s="16"/>
      <c r="BL227" s="16">
        <v>955</v>
      </c>
      <c r="BM227" s="16">
        <f t="shared" si="105"/>
        <v>42</v>
      </c>
      <c r="BN227" s="16">
        <v>913</v>
      </c>
      <c r="BO227" s="16">
        <v>624</v>
      </c>
      <c r="BP227" s="16">
        <f t="shared" si="106"/>
        <v>289</v>
      </c>
      <c r="BQ227" s="16"/>
      <c r="BR227" s="17"/>
      <c r="BS227" s="18">
        <v>2011</v>
      </c>
      <c r="BT227" s="21" t="s">
        <v>41</v>
      </c>
      <c r="BU227" s="15">
        <f>+Tabla8[[#This Row],[Trenes Puntuales]]/Tabla8[[#This Row],[Trenes Programados]]</f>
        <v>0.42499999999999999</v>
      </c>
      <c r="BV227" s="15">
        <f>+Tabla8[[#This Row],[Trenes Puntuales]]/Tabla8[[#This Row],[Trenes Corridos]]</f>
        <v>0.44736842105263158</v>
      </c>
      <c r="BW227" s="15">
        <f>+Tabla8[[#This Row],[Trenes Corridos]]/Tabla8[[#This Row],[Trenes Programados]]</f>
        <v>0.95</v>
      </c>
      <c r="BX227" s="16"/>
      <c r="BY227" s="16"/>
      <c r="BZ227" s="16">
        <v>920</v>
      </c>
      <c r="CA227" s="16">
        <f t="shared" si="107"/>
        <v>46</v>
      </c>
      <c r="CB227" s="16">
        <v>874</v>
      </c>
      <c r="CC227" s="16">
        <v>391</v>
      </c>
      <c r="CD227" s="16">
        <f t="shared" si="108"/>
        <v>483</v>
      </c>
      <c r="CI227" s="40"/>
      <c r="CJ227" s="40"/>
      <c r="CK227" s="40"/>
      <c r="CL227" s="40"/>
      <c r="CM227" s="40"/>
    </row>
    <row r="228" spans="1:91" s="18" customFormat="1" ht="15" customHeight="1">
      <c r="A228" s="18">
        <v>2011</v>
      </c>
      <c r="B228" s="21" t="s">
        <v>42</v>
      </c>
      <c r="C228" s="15">
        <f>+MITRE[[#This Row],[Trenes Puntuales]]/MITRE[[#This Row],[Trenes Programados]]</f>
        <v>0.64371337240277038</v>
      </c>
      <c r="D228" s="15">
        <f>+MITRE[[#This Row],[Trenes Puntuales]]/MITRE[[#This Row],[Trenes Corridos]]</f>
        <v>0.675802279242117</v>
      </c>
      <c r="E228" s="15">
        <f>+MITRE[[#This Row],[Trenes Corridos]]/MITRE[[#This Row],[Trenes Programados]]</f>
        <v>0.95251731486414493</v>
      </c>
      <c r="F228" s="16">
        <f>+Tabla4[[#This Row],[Trenes Programados por Día Hábil]]+Tabla5[[#This Row],[Trenes Programados por Día Hábil]]+Tabla6[[#This Row],[Trenes Programados por Día Hábil]]+MIT_Vic_Cap[[#This Row],[Trenes Programados por Día Hábil]]+Tabla8[[#This Row],[Trenes Programados por Día Hábil]]</f>
        <v>0</v>
      </c>
      <c r="G22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8" s="16">
        <f t="shared" si="75"/>
        <v>15016</v>
      </c>
      <c r="I228" s="16">
        <f t="shared" si="76"/>
        <v>713</v>
      </c>
      <c r="J228" s="16">
        <f t="shared" si="77"/>
        <v>14303</v>
      </c>
      <c r="K228" s="16">
        <f t="shared" si="78"/>
        <v>9666</v>
      </c>
      <c r="L228" s="16">
        <f t="shared" si="79"/>
        <v>4637</v>
      </c>
      <c r="M228" s="16"/>
      <c r="N228" s="17"/>
      <c r="O228" s="18">
        <v>2011</v>
      </c>
      <c r="P228" s="21" t="s">
        <v>42</v>
      </c>
      <c r="Q228" s="15">
        <f>+Tabla4[[#This Row],[Trenes Puntuales]]/Tabla4[[#This Row],[Trenes Programados]]</f>
        <v>0.72254545454545449</v>
      </c>
      <c r="R228" s="15">
        <f>+Tabla4[[#This Row],[Trenes Puntuales]]/Tabla4[[#This Row],[Trenes Corridos]]</f>
        <v>0.75465248765666537</v>
      </c>
      <c r="S228" s="15">
        <f>+Tabla4[[#This Row],[Trenes Corridos]]/Tabla4[[#This Row],[Trenes Programados]]</f>
        <v>0.95745454545454545</v>
      </c>
      <c r="T228" s="16"/>
      <c r="U228" s="16"/>
      <c r="V228" s="16">
        <v>5500</v>
      </c>
      <c r="W228" s="16">
        <f t="shared" si="99"/>
        <v>234</v>
      </c>
      <c r="X228" s="16">
        <v>5266</v>
      </c>
      <c r="Y228" s="16">
        <v>3974</v>
      </c>
      <c r="Z228" s="16">
        <f t="shared" si="100"/>
        <v>1292</v>
      </c>
      <c r="AA228" s="16"/>
      <c r="AB228" s="17"/>
      <c r="AC228" s="18">
        <v>2011</v>
      </c>
      <c r="AD228" s="21" t="s">
        <v>42</v>
      </c>
      <c r="AE228" s="15">
        <f>+Tabla5[[#This Row],[Trenes Puntuales]]/Tabla5[[#This Row],[Trenes Programados]]</f>
        <v>0.58312542526650035</v>
      </c>
      <c r="AF228" s="15">
        <f>+Tabla5[[#This Row],[Trenes Puntuales]]/Tabla5[[#This Row],[Trenes Corridos]]</f>
        <v>0.60253105226154202</v>
      </c>
      <c r="AG228" s="15">
        <f>+Tabla5[[#This Row],[Trenes Corridos]]/Tabla5[[#This Row],[Trenes Programados]]</f>
        <v>0.96779315037423452</v>
      </c>
      <c r="AH228" s="16"/>
      <c r="AI228" s="16"/>
      <c r="AJ228" s="16">
        <v>4409</v>
      </c>
      <c r="AK228" s="16">
        <f t="shared" si="101"/>
        <v>142</v>
      </c>
      <c r="AL228" s="16">
        <v>4267</v>
      </c>
      <c r="AM228" s="16">
        <v>2571</v>
      </c>
      <c r="AN228" s="16">
        <f t="shared" si="102"/>
        <v>1696</v>
      </c>
      <c r="AO228" s="16"/>
      <c r="AP228" s="17"/>
      <c r="AQ228" s="18">
        <v>2011</v>
      </c>
      <c r="AR228" s="21" t="s">
        <v>42</v>
      </c>
      <c r="AS228" s="15">
        <f>+Tabla6[[#This Row],[Trenes Puntuales]]/Tabla6[[#This Row],[Trenes Programados]]</f>
        <v>0.64538341158059465</v>
      </c>
      <c r="AT228" s="15">
        <f>+Tabla6[[#This Row],[Trenes Puntuales]]/Tabla6[[#This Row],[Trenes Corridos]]</f>
        <v>0.67806642551792173</v>
      </c>
      <c r="AU228" s="15">
        <f>+Tabla6[[#This Row],[Trenes Corridos]]/Tabla6[[#This Row],[Trenes Programados]]</f>
        <v>0.95179968701095463</v>
      </c>
      <c r="AV228" s="16"/>
      <c r="AW228" s="16"/>
      <c r="AX228" s="16">
        <v>3195</v>
      </c>
      <c r="AY228" s="16">
        <f t="shared" si="103"/>
        <v>154</v>
      </c>
      <c r="AZ228" s="16">
        <v>3041</v>
      </c>
      <c r="BA228" s="16">
        <v>2062</v>
      </c>
      <c r="BB228" s="16">
        <f t="shared" si="104"/>
        <v>979</v>
      </c>
      <c r="BC228" s="16"/>
      <c r="BD228" s="17"/>
      <c r="BE228" s="18">
        <v>2011</v>
      </c>
      <c r="BF228" s="21" t="s">
        <v>42</v>
      </c>
      <c r="BG228" s="15">
        <f>+MIT_Vic_Cap[[#This Row],[Trenes Puntuales]]/MIT_Vic_Cap[[#This Row],[Trenes Programados]]</f>
        <v>0.64754098360655743</v>
      </c>
      <c r="BH228" s="15">
        <f>+MIT_Vic_Cap[[#This Row],[Trenes Puntuales]]/MIT_Vic_Cap[[#This Row],[Trenes Corridos]]</f>
        <v>0.71171171171171166</v>
      </c>
      <c r="BI228" s="15">
        <f>+MIT_Vic_Cap[[#This Row],[Trenes Corridos]]/MIT_Vic_Cap[[#This Row],[Trenes Programados]]</f>
        <v>0.9098360655737705</v>
      </c>
      <c r="BJ228" s="16"/>
      <c r="BK228" s="16"/>
      <c r="BL228" s="16">
        <v>976</v>
      </c>
      <c r="BM228" s="16">
        <f t="shared" si="105"/>
        <v>88</v>
      </c>
      <c r="BN228" s="16">
        <v>888</v>
      </c>
      <c r="BO228" s="16">
        <v>632</v>
      </c>
      <c r="BP228" s="16">
        <f t="shared" si="106"/>
        <v>256</v>
      </c>
      <c r="BQ228" s="16"/>
      <c r="BR228" s="17"/>
      <c r="BS228" s="18">
        <v>2011</v>
      </c>
      <c r="BT228" s="21" t="s">
        <v>42</v>
      </c>
      <c r="BU228" s="15">
        <f>+Tabla8[[#This Row],[Trenes Puntuales]]/Tabla8[[#This Row],[Trenes Programados]]</f>
        <v>0.45619658119658119</v>
      </c>
      <c r="BV228" s="15">
        <f>+Tabla8[[#This Row],[Trenes Puntuales]]/Tabla8[[#This Row],[Trenes Corridos]]</f>
        <v>0.5077288941736029</v>
      </c>
      <c r="BW228" s="15">
        <f>+Tabla8[[#This Row],[Trenes Corridos]]/Tabla8[[#This Row],[Trenes Programados]]</f>
        <v>0.89850427350427353</v>
      </c>
      <c r="BX228" s="16"/>
      <c r="BY228" s="16"/>
      <c r="BZ228" s="16">
        <v>936</v>
      </c>
      <c r="CA228" s="16">
        <f t="shared" si="107"/>
        <v>95</v>
      </c>
      <c r="CB228" s="16">
        <v>841</v>
      </c>
      <c r="CC228" s="16">
        <v>427</v>
      </c>
      <c r="CD228" s="16">
        <f t="shared" si="108"/>
        <v>414</v>
      </c>
      <c r="CI228" s="40"/>
      <c r="CJ228" s="40"/>
      <c r="CK228" s="40"/>
      <c r="CL228" s="40"/>
      <c r="CM228" s="40"/>
    </row>
    <row r="229" spans="1:91" s="18" customFormat="1" ht="15" customHeight="1">
      <c r="A229" s="18">
        <v>2011</v>
      </c>
      <c r="B229" s="21" t="s">
        <v>43</v>
      </c>
      <c r="C229" s="15">
        <f>+MITRE[[#This Row],[Trenes Puntuales]]/MITRE[[#This Row],[Trenes Programados]]</f>
        <v>0.72989826058418117</v>
      </c>
      <c r="D229" s="15">
        <f>+MITRE[[#This Row],[Trenes Puntuales]]/MITRE[[#This Row],[Trenes Corridos]]</f>
        <v>0.75338753387533874</v>
      </c>
      <c r="E229" s="15">
        <f>+MITRE[[#This Row],[Trenes Corridos]]/MITRE[[#This Row],[Trenes Programados]]</f>
        <v>0.9688217919264851</v>
      </c>
      <c r="F229" s="16">
        <f>+Tabla4[[#This Row],[Trenes Programados por Día Hábil]]+Tabla5[[#This Row],[Trenes Programados por Día Hábil]]+Tabla6[[#This Row],[Trenes Programados por Día Hábil]]+MIT_Vic_Cap[[#This Row],[Trenes Programados por Día Hábil]]+Tabla8[[#This Row],[Trenes Programados por Día Hábil]]</f>
        <v>0</v>
      </c>
      <c r="G22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9" s="16">
        <f t="shared" si="75"/>
        <v>15235</v>
      </c>
      <c r="I229" s="16">
        <f t="shared" si="76"/>
        <v>475</v>
      </c>
      <c r="J229" s="16">
        <f t="shared" si="77"/>
        <v>14760</v>
      </c>
      <c r="K229" s="16">
        <f t="shared" si="78"/>
        <v>11120</v>
      </c>
      <c r="L229" s="16">
        <f t="shared" si="79"/>
        <v>3640</v>
      </c>
      <c r="M229" s="16"/>
      <c r="N229" s="17"/>
      <c r="O229" s="18">
        <v>2011</v>
      </c>
      <c r="P229" s="21" t="s">
        <v>43</v>
      </c>
      <c r="Q229" s="15">
        <f>+Tabla4[[#This Row],[Trenes Puntuales]]/Tabla4[[#This Row],[Trenes Programados]]</f>
        <v>0.78264758497316633</v>
      </c>
      <c r="R229" s="15">
        <f>+Tabla4[[#This Row],[Trenes Puntuales]]/Tabla4[[#This Row],[Trenes Corridos]]</f>
        <v>0.80348943985307619</v>
      </c>
      <c r="S229" s="15">
        <f>+Tabla4[[#This Row],[Trenes Corridos]]/Tabla4[[#This Row],[Trenes Programados]]</f>
        <v>0.9740608228980322</v>
      </c>
      <c r="T229" s="16"/>
      <c r="U229" s="16"/>
      <c r="V229" s="16">
        <v>5590</v>
      </c>
      <c r="W229" s="16">
        <f t="shared" si="99"/>
        <v>145</v>
      </c>
      <c r="X229" s="16">
        <v>5445</v>
      </c>
      <c r="Y229" s="16">
        <v>4375</v>
      </c>
      <c r="Z229" s="16">
        <f t="shared" si="100"/>
        <v>1070</v>
      </c>
      <c r="AA229" s="16"/>
      <c r="AB229" s="17"/>
      <c r="AC229" s="18">
        <v>2011</v>
      </c>
      <c r="AD229" s="21" t="s">
        <v>43</v>
      </c>
      <c r="AE229" s="15">
        <f>+Tabla5[[#This Row],[Trenes Puntuales]]/Tabla5[[#This Row],[Trenes Programados]]</f>
        <v>0.67269479794597009</v>
      </c>
      <c r="AF229" s="15">
        <f>+Tabla5[[#This Row],[Trenes Puntuales]]/Tabla5[[#This Row],[Trenes Corridos]]</f>
        <v>0.68900068602789843</v>
      </c>
      <c r="AG229" s="15">
        <f>+Tabla5[[#This Row],[Trenes Corridos]]/Tabla5[[#This Row],[Trenes Programados]]</f>
        <v>0.97633400312569774</v>
      </c>
      <c r="AH229" s="16"/>
      <c r="AI229" s="16"/>
      <c r="AJ229" s="16">
        <v>4479</v>
      </c>
      <c r="AK229" s="16">
        <f t="shared" si="101"/>
        <v>106</v>
      </c>
      <c r="AL229" s="16">
        <v>4373</v>
      </c>
      <c r="AM229" s="16">
        <v>3013</v>
      </c>
      <c r="AN229" s="16">
        <f t="shared" si="102"/>
        <v>1360</v>
      </c>
      <c r="AO229" s="16"/>
      <c r="AP229" s="17"/>
      <c r="AQ229" s="18">
        <v>2011</v>
      </c>
      <c r="AR229" s="21" t="s">
        <v>43</v>
      </c>
      <c r="AS229" s="15">
        <f>+Tabla6[[#This Row],[Trenes Puntuales]]/Tabla6[[#This Row],[Trenes Programados]]</f>
        <v>0.75007761564731446</v>
      </c>
      <c r="AT229" s="15">
        <f>+Tabla6[[#This Row],[Trenes Puntuales]]/Tabla6[[#This Row],[Trenes Corridos]]</f>
        <v>0.76698412698412699</v>
      </c>
      <c r="AU229" s="15">
        <f>+Tabla6[[#This Row],[Trenes Corridos]]/Tabla6[[#This Row],[Trenes Programados]]</f>
        <v>0.97795715616268242</v>
      </c>
      <c r="AV229" s="16"/>
      <c r="AW229" s="16"/>
      <c r="AX229" s="16">
        <v>3221</v>
      </c>
      <c r="AY229" s="16">
        <f t="shared" si="103"/>
        <v>71</v>
      </c>
      <c r="AZ229" s="16">
        <v>3150</v>
      </c>
      <c r="BA229" s="16">
        <v>2416</v>
      </c>
      <c r="BB229" s="16">
        <f t="shared" si="104"/>
        <v>734</v>
      </c>
      <c r="BC229" s="16"/>
      <c r="BD229" s="17"/>
      <c r="BE229" s="18">
        <v>2011</v>
      </c>
      <c r="BF229" s="21" t="s">
        <v>43</v>
      </c>
      <c r="BG229" s="15">
        <f>+MIT_Vic_Cap[[#This Row],[Trenes Puntuales]]/MIT_Vic_Cap[[#This Row],[Trenes Programados]]</f>
        <v>0.72497472194135493</v>
      </c>
      <c r="BH229" s="15">
        <f>+MIT_Vic_Cap[[#This Row],[Trenes Puntuales]]/MIT_Vic_Cap[[#This Row],[Trenes Corridos]]</f>
        <v>0.7709677419354839</v>
      </c>
      <c r="BI229" s="15">
        <f>+MIT_Vic_Cap[[#This Row],[Trenes Corridos]]/MIT_Vic_Cap[[#This Row],[Trenes Programados]]</f>
        <v>0.94034378159757326</v>
      </c>
      <c r="BJ229" s="16"/>
      <c r="BK229" s="16"/>
      <c r="BL229" s="16">
        <v>989</v>
      </c>
      <c r="BM229" s="16">
        <f t="shared" si="105"/>
        <v>59</v>
      </c>
      <c r="BN229" s="16">
        <v>930</v>
      </c>
      <c r="BO229" s="16">
        <v>717</v>
      </c>
      <c r="BP229" s="16">
        <f t="shared" si="106"/>
        <v>213</v>
      </c>
      <c r="BQ229" s="16"/>
      <c r="BR229" s="17"/>
      <c r="BS229" s="18">
        <v>2011</v>
      </c>
      <c r="BT229" s="21" t="s">
        <v>43</v>
      </c>
      <c r="BU229" s="15">
        <f>+Tabla8[[#This Row],[Trenes Puntuales]]/Tabla8[[#This Row],[Trenes Programados]]</f>
        <v>0.62656903765690375</v>
      </c>
      <c r="BV229" s="15">
        <f>+Tabla8[[#This Row],[Trenes Puntuales]]/Tabla8[[#This Row],[Trenes Corridos]]</f>
        <v>0.69489559164733183</v>
      </c>
      <c r="BW229" s="15">
        <f>+Tabla8[[#This Row],[Trenes Corridos]]/Tabla8[[#This Row],[Trenes Programados]]</f>
        <v>0.90167364016736407</v>
      </c>
      <c r="BX229" s="16"/>
      <c r="BY229" s="16"/>
      <c r="BZ229" s="16">
        <v>956</v>
      </c>
      <c r="CA229" s="16">
        <f t="shared" si="107"/>
        <v>94</v>
      </c>
      <c r="CB229" s="16">
        <v>862</v>
      </c>
      <c r="CC229" s="16">
        <v>599</v>
      </c>
      <c r="CD229" s="16">
        <f t="shared" si="108"/>
        <v>263</v>
      </c>
      <c r="CI229" s="40"/>
      <c r="CJ229" s="40"/>
      <c r="CK229" s="40"/>
      <c r="CL229" s="40"/>
      <c r="CM229" s="40"/>
    </row>
    <row r="230" spans="1:91" s="18" customFormat="1" ht="15" customHeight="1">
      <c r="A230" s="18">
        <v>2011</v>
      </c>
      <c r="B230" s="21" t="s">
        <v>44</v>
      </c>
      <c r="C230" s="15">
        <f>+MITRE[[#This Row],[Trenes Puntuales]]/MITRE[[#This Row],[Trenes Programados]]</f>
        <v>0.73746312684365778</v>
      </c>
      <c r="D230" s="15">
        <f>+MITRE[[#This Row],[Trenes Puntuales]]/MITRE[[#This Row],[Trenes Corridos]]</f>
        <v>0.77557639427483605</v>
      </c>
      <c r="E230" s="15">
        <f>+MITRE[[#This Row],[Trenes Corridos]]/MITRE[[#This Row],[Trenes Programados]]</f>
        <v>0.95085813891123627</v>
      </c>
      <c r="F230" s="16">
        <f>+Tabla4[[#This Row],[Trenes Programados por Día Hábil]]+Tabla5[[#This Row],[Trenes Programados por Día Hábil]]+Tabla6[[#This Row],[Trenes Programados por Día Hábil]]+MIT_Vic_Cap[[#This Row],[Trenes Programados por Día Hábil]]+Tabla8[[#This Row],[Trenes Programados por Día Hábil]]</f>
        <v>0</v>
      </c>
      <c r="G23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0" s="16">
        <f t="shared" si="75"/>
        <v>14916</v>
      </c>
      <c r="I230" s="16">
        <f t="shared" si="76"/>
        <v>733</v>
      </c>
      <c r="J230" s="16">
        <f t="shared" si="77"/>
        <v>14183</v>
      </c>
      <c r="K230" s="16">
        <f t="shared" si="78"/>
        <v>11000</v>
      </c>
      <c r="L230" s="16">
        <f t="shared" si="79"/>
        <v>3183</v>
      </c>
      <c r="M230" s="16"/>
      <c r="N230" s="17"/>
      <c r="O230" s="18">
        <v>2011</v>
      </c>
      <c r="P230" s="21" t="s">
        <v>44</v>
      </c>
      <c r="Q230" s="15">
        <f>+Tabla4[[#This Row],[Trenes Puntuales]]/Tabla4[[#This Row],[Trenes Programados]]</f>
        <v>0.7536496350364964</v>
      </c>
      <c r="R230" s="15">
        <f>+Tabla4[[#This Row],[Trenes Puntuales]]/Tabla4[[#This Row],[Trenes Corridos]]</f>
        <v>0.78756674294431728</v>
      </c>
      <c r="S230" s="15">
        <f>+Tabla4[[#This Row],[Trenes Corridos]]/Tabla4[[#This Row],[Trenes Programados]]</f>
        <v>0.95693430656934308</v>
      </c>
      <c r="T230" s="16"/>
      <c r="U230" s="16"/>
      <c r="V230" s="16">
        <v>5480</v>
      </c>
      <c r="W230" s="16">
        <f t="shared" si="99"/>
        <v>236</v>
      </c>
      <c r="X230" s="16">
        <v>5244</v>
      </c>
      <c r="Y230" s="16">
        <v>4130</v>
      </c>
      <c r="Z230" s="16">
        <f t="shared" si="100"/>
        <v>1114</v>
      </c>
      <c r="AA230" s="16"/>
      <c r="AB230" s="17"/>
      <c r="AC230" s="18">
        <v>2011</v>
      </c>
      <c r="AD230" s="21" t="s">
        <v>44</v>
      </c>
      <c r="AE230" s="15">
        <f>+Tabla5[[#This Row],[Trenes Puntuales]]/Tabla5[[#This Row],[Trenes Programados]]</f>
        <v>0.73029612756264239</v>
      </c>
      <c r="AF230" s="15">
        <f>+Tabla5[[#This Row],[Trenes Puntuales]]/Tabla5[[#This Row],[Trenes Corridos]]</f>
        <v>0.75881656804733733</v>
      </c>
      <c r="AG230" s="15">
        <f>+Tabla5[[#This Row],[Trenes Corridos]]/Tabla5[[#This Row],[Trenes Programados]]</f>
        <v>0.9624145785876993</v>
      </c>
      <c r="AH230" s="16"/>
      <c r="AI230" s="16"/>
      <c r="AJ230" s="16">
        <v>4390</v>
      </c>
      <c r="AK230" s="16">
        <f t="shared" si="101"/>
        <v>165</v>
      </c>
      <c r="AL230" s="16">
        <v>4225</v>
      </c>
      <c r="AM230" s="16">
        <v>3206</v>
      </c>
      <c r="AN230" s="16">
        <f t="shared" si="102"/>
        <v>1019</v>
      </c>
      <c r="AO230" s="16"/>
      <c r="AP230" s="17"/>
      <c r="AQ230" s="18">
        <v>2011</v>
      </c>
      <c r="AR230" s="21" t="s">
        <v>44</v>
      </c>
      <c r="AS230" s="15">
        <f>+Tabla6[[#This Row],[Trenes Puntuales]]/Tabla6[[#This Row],[Trenes Programados]]</f>
        <v>0.79541108986615683</v>
      </c>
      <c r="AT230" s="15">
        <f>+Tabla6[[#This Row],[Trenes Puntuales]]/Tabla6[[#This Row],[Trenes Corridos]]</f>
        <v>0.82512396694214873</v>
      </c>
      <c r="AU230" s="15">
        <f>+Tabla6[[#This Row],[Trenes Corridos]]/Tabla6[[#This Row],[Trenes Programados]]</f>
        <v>0.96398980242192478</v>
      </c>
      <c r="AV230" s="16"/>
      <c r="AW230" s="16"/>
      <c r="AX230" s="16">
        <v>3138</v>
      </c>
      <c r="AY230" s="16">
        <f t="shared" si="103"/>
        <v>113</v>
      </c>
      <c r="AZ230" s="16">
        <v>3025</v>
      </c>
      <c r="BA230" s="16">
        <v>2496</v>
      </c>
      <c r="BB230" s="16">
        <f t="shared" si="104"/>
        <v>529</v>
      </c>
      <c r="BC230" s="16"/>
      <c r="BD230" s="17"/>
      <c r="BE230" s="18">
        <v>2011</v>
      </c>
      <c r="BF230" s="21" t="s">
        <v>44</v>
      </c>
      <c r="BG230" s="15">
        <f>+MIT_Vic_Cap[[#This Row],[Trenes Puntuales]]/MIT_Vic_Cap[[#This Row],[Trenes Programados]]</f>
        <v>0.7024793388429752</v>
      </c>
      <c r="BH230" s="15">
        <f>+MIT_Vic_Cap[[#This Row],[Trenes Puntuales]]/MIT_Vic_Cap[[#This Row],[Trenes Corridos]]</f>
        <v>0.76318742985409649</v>
      </c>
      <c r="BI230" s="15">
        <f>+MIT_Vic_Cap[[#This Row],[Trenes Corridos]]/MIT_Vic_Cap[[#This Row],[Trenes Programados]]</f>
        <v>0.92045454545454541</v>
      </c>
      <c r="BJ230" s="16"/>
      <c r="BK230" s="16"/>
      <c r="BL230" s="16">
        <v>968</v>
      </c>
      <c r="BM230" s="16">
        <f t="shared" si="105"/>
        <v>77</v>
      </c>
      <c r="BN230" s="16">
        <v>891</v>
      </c>
      <c r="BO230" s="16">
        <v>680</v>
      </c>
      <c r="BP230" s="16">
        <f t="shared" si="106"/>
        <v>211</v>
      </c>
      <c r="BQ230" s="16"/>
      <c r="BR230" s="17"/>
      <c r="BS230" s="18">
        <v>2011</v>
      </c>
      <c r="BT230" s="21" t="s">
        <v>44</v>
      </c>
      <c r="BU230" s="15">
        <f>+Tabla8[[#This Row],[Trenes Puntuales]]/Tabla8[[#This Row],[Trenes Programados]]</f>
        <v>0.51914893617021274</v>
      </c>
      <c r="BV230" s="15">
        <f>+Tabla8[[#This Row],[Trenes Puntuales]]/Tabla8[[#This Row],[Trenes Corridos]]</f>
        <v>0.61152882205513781</v>
      </c>
      <c r="BW230" s="15">
        <f>+Tabla8[[#This Row],[Trenes Corridos]]/Tabla8[[#This Row],[Trenes Programados]]</f>
        <v>0.84893617021276591</v>
      </c>
      <c r="BX230" s="16"/>
      <c r="BY230" s="16"/>
      <c r="BZ230" s="16">
        <v>940</v>
      </c>
      <c r="CA230" s="16">
        <f t="shared" si="107"/>
        <v>142</v>
      </c>
      <c r="CB230" s="16">
        <v>798</v>
      </c>
      <c r="CC230" s="16">
        <v>488</v>
      </c>
      <c r="CD230" s="16">
        <f t="shared" si="108"/>
        <v>310</v>
      </c>
      <c r="CI230" s="40"/>
      <c r="CJ230" s="40"/>
      <c r="CK230" s="40"/>
      <c r="CL230" s="40"/>
      <c r="CM230" s="40"/>
    </row>
    <row r="231" spans="1:91" s="18" customFormat="1" ht="15" customHeight="1">
      <c r="A231" s="18">
        <v>2011</v>
      </c>
      <c r="B231" s="21" t="s">
        <v>45</v>
      </c>
      <c r="C231" s="15">
        <f>+MITRE[[#This Row],[Trenes Puntuales]]/MITRE[[#This Row],[Trenes Programados]]</f>
        <v>0.6784781298144551</v>
      </c>
      <c r="D231" s="15">
        <f>+MITRE[[#This Row],[Trenes Puntuales]]/MITRE[[#This Row],[Trenes Corridos]]</f>
        <v>0.71010936623667975</v>
      </c>
      <c r="E231" s="15">
        <f>+MITRE[[#This Row],[Trenes Corridos]]/MITRE[[#This Row],[Trenes Programados]]</f>
        <v>0.95545582423471098</v>
      </c>
      <c r="F231" s="16">
        <f>+Tabla4[[#This Row],[Trenes Programados por Día Hábil]]+Tabla5[[#This Row],[Trenes Programados por Día Hábil]]+Tabla6[[#This Row],[Trenes Programados por Día Hábil]]+MIT_Vic_Cap[[#This Row],[Trenes Programados por Día Hábil]]+Tabla8[[#This Row],[Trenes Programados por Día Hábil]]</f>
        <v>0</v>
      </c>
      <c r="G23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1" s="16">
        <f t="shared" si="75"/>
        <v>14929</v>
      </c>
      <c r="I231" s="16">
        <f t="shared" si="76"/>
        <v>665</v>
      </c>
      <c r="J231" s="16">
        <f t="shared" si="77"/>
        <v>14264</v>
      </c>
      <c r="K231" s="16">
        <f t="shared" si="78"/>
        <v>10129</v>
      </c>
      <c r="L231" s="16">
        <f t="shared" si="79"/>
        <v>4135</v>
      </c>
      <c r="M231" s="16"/>
      <c r="N231" s="17"/>
      <c r="O231" s="18">
        <v>2011</v>
      </c>
      <c r="P231" s="21" t="s">
        <v>45</v>
      </c>
      <c r="Q231" s="15">
        <f>+Tabla4[[#This Row],[Trenes Puntuales]]/Tabla4[[#This Row],[Trenes Programados]]</f>
        <v>0.6912087912087912</v>
      </c>
      <c r="R231" s="15">
        <f>+Tabla4[[#This Row],[Trenes Puntuales]]/Tabla4[[#This Row],[Trenes Corridos]]</f>
        <v>0.72744795682343866</v>
      </c>
      <c r="S231" s="15">
        <f>+Tabla4[[#This Row],[Trenes Corridos]]/Tabla4[[#This Row],[Trenes Programados]]</f>
        <v>0.95018315018315014</v>
      </c>
      <c r="T231" s="16"/>
      <c r="U231" s="16"/>
      <c r="V231" s="16">
        <v>5460</v>
      </c>
      <c r="W231" s="16">
        <f t="shared" si="99"/>
        <v>272</v>
      </c>
      <c r="X231" s="16">
        <v>5188</v>
      </c>
      <c r="Y231" s="16">
        <v>3774</v>
      </c>
      <c r="Z231" s="16">
        <f t="shared" si="100"/>
        <v>1414</v>
      </c>
      <c r="AA231" s="16"/>
      <c r="AB231" s="17"/>
      <c r="AC231" s="18">
        <v>2011</v>
      </c>
      <c r="AD231" s="21" t="s">
        <v>45</v>
      </c>
      <c r="AE231" s="15">
        <f>+Tabla5[[#This Row],[Trenes Puntuales]]/Tabla5[[#This Row],[Trenes Programados]]</f>
        <v>0.67039233576642332</v>
      </c>
      <c r="AF231" s="15">
        <f>+Tabla5[[#This Row],[Trenes Puntuales]]/Tabla5[[#This Row],[Trenes Corridos]]</f>
        <v>0.68877431450667914</v>
      </c>
      <c r="AG231" s="15">
        <f>+Tabla5[[#This Row],[Trenes Corridos]]/Tabla5[[#This Row],[Trenes Programados]]</f>
        <v>0.97331204379562042</v>
      </c>
      <c r="AH231" s="16"/>
      <c r="AI231" s="16"/>
      <c r="AJ231" s="16">
        <v>4384</v>
      </c>
      <c r="AK231" s="16">
        <f t="shared" si="101"/>
        <v>117</v>
      </c>
      <c r="AL231" s="16">
        <v>4267</v>
      </c>
      <c r="AM231" s="16">
        <v>2939</v>
      </c>
      <c r="AN231" s="16">
        <f t="shared" si="102"/>
        <v>1328</v>
      </c>
      <c r="AO231" s="16"/>
      <c r="AP231" s="17"/>
      <c r="AQ231" s="18">
        <v>2011</v>
      </c>
      <c r="AR231" s="21" t="s">
        <v>45</v>
      </c>
      <c r="AS231" s="15">
        <f>+Tabla6[[#This Row],[Trenes Puntuales]]/Tabla6[[#This Row],[Trenes Programados]]</f>
        <v>0.72239648682559598</v>
      </c>
      <c r="AT231" s="15">
        <f>+Tabla6[[#This Row],[Trenes Puntuales]]/Tabla6[[#This Row],[Trenes Corridos]]</f>
        <v>0.74099099099099097</v>
      </c>
      <c r="AU231" s="15">
        <f>+Tabla6[[#This Row],[Trenes Corridos]]/Tabla6[[#This Row],[Trenes Programados]]</f>
        <v>0.97490589711417819</v>
      </c>
      <c r="AV231" s="16"/>
      <c r="AW231" s="16"/>
      <c r="AX231" s="16">
        <v>3188</v>
      </c>
      <c r="AY231" s="16">
        <f t="shared" si="103"/>
        <v>80</v>
      </c>
      <c r="AZ231" s="16">
        <v>3108</v>
      </c>
      <c r="BA231" s="16">
        <v>2303</v>
      </c>
      <c r="BB231" s="16">
        <f t="shared" si="104"/>
        <v>805</v>
      </c>
      <c r="BC231" s="16"/>
      <c r="BD231" s="17"/>
      <c r="BE231" s="18">
        <v>2011</v>
      </c>
      <c r="BF231" s="21" t="s">
        <v>45</v>
      </c>
      <c r="BG231" s="15">
        <f>+MIT_Vic_Cap[[#This Row],[Trenes Puntuales]]/MIT_Vic_Cap[[#This Row],[Trenes Programados]]</f>
        <v>0.66803278688524592</v>
      </c>
      <c r="BH231" s="15">
        <f>+MIT_Vic_Cap[[#This Row],[Trenes Puntuales]]/MIT_Vic_Cap[[#This Row],[Trenes Corridos]]</f>
        <v>0.74942528735632186</v>
      </c>
      <c r="BI231" s="15">
        <f>+MIT_Vic_Cap[[#This Row],[Trenes Corridos]]/MIT_Vic_Cap[[#This Row],[Trenes Programados]]</f>
        <v>0.89139344262295084</v>
      </c>
      <c r="BJ231" s="16"/>
      <c r="BK231" s="16"/>
      <c r="BL231" s="16">
        <v>976</v>
      </c>
      <c r="BM231" s="16">
        <f t="shared" si="105"/>
        <v>106</v>
      </c>
      <c r="BN231" s="16">
        <v>870</v>
      </c>
      <c r="BO231" s="16">
        <v>652</v>
      </c>
      <c r="BP231" s="16">
        <f t="shared" si="106"/>
        <v>218</v>
      </c>
      <c r="BQ231" s="16"/>
      <c r="BR231" s="17"/>
      <c r="BS231" s="18">
        <v>2011</v>
      </c>
      <c r="BT231" s="21" t="s">
        <v>45</v>
      </c>
      <c r="BU231" s="15">
        <f>+Tabla8[[#This Row],[Trenes Puntuales]]/Tabla8[[#This Row],[Trenes Programados]]</f>
        <v>0.500542888165038</v>
      </c>
      <c r="BV231" s="15">
        <f>+Tabla8[[#This Row],[Trenes Puntuales]]/Tabla8[[#This Row],[Trenes Corridos]]</f>
        <v>0.55475330926594468</v>
      </c>
      <c r="BW231" s="15">
        <f>+Tabla8[[#This Row],[Trenes Corridos]]/Tabla8[[#This Row],[Trenes Programados]]</f>
        <v>0.90228013029315957</v>
      </c>
      <c r="BX231" s="16"/>
      <c r="BY231" s="16"/>
      <c r="BZ231" s="16">
        <v>921</v>
      </c>
      <c r="CA231" s="16">
        <f t="shared" si="107"/>
        <v>90</v>
      </c>
      <c r="CB231" s="16">
        <v>831</v>
      </c>
      <c r="CC231" s="16">
        <v>461</v>
      </c>
      <c r="CD231" s="16">
        <f t="shared" si="108"/>
        <v>370</v>
      </c>
      <c r="CI231" s="40"/>
      <c r="CJ231" s="40"/>
      <c r="CK231" s="40"/>
      <c r="CL231" s="40"/>
      <c r="CM231" s="40"/>
    </row>
    <row r="232" spans="1:91" s="18" customFormat="1" ht="15" customHeight="1">
      <c r="A232" s="18">
        <v>2011</v>
      </c>
      <c r="B232" s="21" t="s">
        <v>46</v>
      </c>
      <c r="C232" s="15">
        <f>+MITRE[[#This Row],[Trenes Puntuales]]/MITRE[[#This Row],[Trenes Programados]]</f>
        <v>0.65605225556235969</v>
      </c>
      <c r="D232" s="15">
        <f>+MITRE[[#This Row],[Trenes Puntuales]]/MITRE[[#This Row],[Trenes Corridos]]</f>
        <v>0.69262265641836074</v>
      </c>
      <c r="E232" s="15">
        <f>+MITRE[[#This Row],[Trenes Corridos]]/MITRE[[#This Row],[Trenes Programados]]</f>
        <v>0.9472001088657549</v>
      </c>
      <c r="F232" s="16">
        <f>+Tabla4[[#This Row],[Trenes Programados por Día Hábil]]+Tabla5[[#This Row],[Trenes Programados por Día Hábil]]+Tabla6[[#This Row],[Trenes Programados por Día Hábil]]+MIT_Vic_Cap[[#This Row],[Trenes Programados por Día Hábil]]+Tabla8[[#This Row],[Trenes Programados por Día Hábil]]</f>
        <v>0</v>
      </c>
      <c r="G23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2" s="16">
        <f t="shared" si="75"/>
        <v>14697</v>
      </c>
      <c r="I232" s="16">
        <f t="shared" si="76"/>
        <v>776</v>
      </c>
      <c r="J232" s="16">
        <f t="shared" si="77"/>
        <v>13921</v>
      </c>
      <c r="K232" s="16">
        <f t="shared" si="78"/>
        <v>9642</v>
      </c>
      <c r="L232" s="16">
        <f t="shared" si="79"/>
        <v>4279</v>
      </c>
      <c r="M232" s="16"/>
      <c r="N232" s="17"/>
      <c r="O232" s="18">
        <v>2011</v>
      </c>
      <c r="P232" s="21" t="s">
        <v>46</v>
      </c>
      <c r="Q232" s="15">
        <f>+Tabla4[[#This Row],[Trenes Puntuales]]/Tabla4[[#This Row],[Trenes Programados]]</f>
        <v>0.60092764378478669</v>
      </c>
      <c r="R232" s="15">
        <f>+Tabla4[[#This Row],[Trenes Puntuales]]/Tabla4[[#This Row],[Trenes Corridos]]</f>
        <v>0.64767046590681865</v>
      </c>
      <c r="S232" s="15">
        <f>+Tabla4[[#This Row],[Trenes Corridos]]/Tabla4[[#This Row],[Trenes Programados]]</f>
        <v>0.92782931354359921</v>
      </c>
      <c r="T232" s="16"/>
      <c r="U232" s="16"/>
      <c r="V232" s="16">
        <v>5390</v>
      </c>
      <c r="W232" s="16">
        <f t="shared" si="99"/>
        <v>389</v>
      </c>
      <c r="X232" s="16">
        <v>5001</v>
      </c>
      <c r="Y232" s="16">
        <v>3239</v>
      </c>
      <c r="Z232" s="16">
        <f t="shared" si="100"/>
        <v>1762</v>
      </c>
      <c r="AA232" s="16"/>
      <c r="AB232" s="17"/>
      <c r="AC232" s="18">
        <v>2011</v>
      </c>
      <c r="AD232" s="21" t="s">
        <v>46</v>
      </c>
      <c r="AE232" s="15">
        <f>+Tabla5[[#This Row],[Trenes Puntuales]]/Tabla5[[#This Row],[Trenes Programados]]</f>
        <v>0.69953703703703707</v>
      </c>
      <c r="AF232" s="15">
        <f>+Tabla5[[#This Row],[Trenes Puntuales]]/Tabla5[[#This Row],[Trenes Corridos]]</f>
        <v>0.71611374407582939</v>
      </c>
      <c r="AG232" s="15">
        <f>+Tabla5[[#This Row],[Trenes Corridos]]/Tabla5[[#This Row],[Trenes Programados]]</f>
        <v>0.97685185185185186</v>
      </c>
      <c r="AH232" s="16"/>
      <c r="AI232" s="16"/>
      <c r="AJ232" s="16">
        <v>4320</v>
      </c>
      <c r="AK232" s="16">
        <f t="shared" si="101"/>
        <v>100</v>
      </c>
      <c r="AL232" s="16">
        <v>4220</v>
      </c>
      <c r="AM232" s="16">
        <v>3022</v>
      </c>
      <c r="AN232" s="16">
        <f t="shared" si="102"/>
        <v>1198</v>
      </c>
      <c r="AO232" s="16"/>
      <c r="AP232" s="17"/>
      <c r="AQ232" s="18">
        <v>2011</v>
      </c>
      <c r="AR232" s="21" t="s">
        <v>46</v>
      </c>
      <c r="AS232" s="15">
        <f>+Tabla6[[#This Row],[Trenes Puntuales]]/Tabla6[[#This Row],[Trenes Programados]]</f>
        <v>0.74742930591259638</v>
      </c>
      <c r="AT232" s="15">
        <f>+Tabla6[[#This Row],[Trenes Puntuales]]/Tabla6[[#This Row],[Trenes Corridos]]</f>
        <v>0.77636849132176233</v>
      </c>
      <c r="AU232" s="15">
        <f>+Tabla6[[#This Row],[Trenes Corridos]]/Tabla6[[#This Row],[Trenes Programados]]</f>
        <v>0.96272493573264784</v>
      </c>
      <c r="AV232" s="16"/>
      <c r="AW232" s="16"/>
      <c r="AX232" s="16">
        <v>3112</v>
      </c>
      <c r="AY232" s="16">
        <f t="shared" si="103"/>
        <v>116</v>
      </c>
      <c r="AZ232" s="16">
        <v>2996</v>
      </c>
      <c r="BA232" s="16">
        <v>2326</v>
      </c>
      <c r="BB232" s="16">
        <f t="shared" si="104"/>
        <v>670</v>
      </c>
      <c r="BC232" s="16"/>
      <c r="BD232" s="17"/>
      <c r="BE232" s="18">
        <v>2011</v>
      </c>
      <c r="BF232" s="21" t="s">
        <v>46</v>
      </c>
      <c r="BG232" s="15">
        <f>+MIT_Vic_Cap[[#This Row],[Trenes Puntuales]]/MIT_Vic_Cap[[#This Row],[Trenes Programados]]</f>
        <v>0.61884816753926697</v>
      </c>
      <c r="BH232" s="15">
        <f>+MIT_Vic_Cap[[#This Row],[Trenes Puntuales]]/MIT_Vic_Cap[[#This Row],[Trenes Corridos]]</f>
        <v>0.67542857142857138</v>
      </c>
      <c r="BI232" s="15">
        <f>+MIT_Vic_Cap[[#This Row],[Trenes Corridos]]/MIT_Vic_Cap[[#This Row],[Trenes Programados]]</f>
        <v>0.91623036649214662</v>
      </c>
      <c r="BJ232" s="16"/>
      <c r="BK232" s="16"/>
      <c r="BL232" s="16">
        <v>955</v>
      </c>
      <c r="BM232" s="16">
        <f t="shared" si="105"/>
        <v>80</v>
      </c>
      <c r="BN232" s="16">
        <v>875</v>
      </c>
      <c r="BO232" s="16">
        <v>591</v>
      </c>
      <c r="BP232" s="16">
        <f t="shared" si="106"/>
        <v>284</v>
      </c>
      <c r="BQ232" s="16"/>
      <c r="BR232" s="17"/>
      <c r="BS232" s="18">
        <v>2011</v>
      </c>
      <c r="BT232" s="21" t="s">
        <v>46</v>
      </c>
      <c r="BU232" s="15">
        <f>+Tabla8[[#This Row],[Trenes Puntuales]]/Tabla8[[#This Row],[Trenes Programados]]</f>
        <v>0.5043478260869565</v>
      </c>
      <c r="BV232" s="15">
        <f>+Tabla8[[#This Row],[Trenes Puntuales]]/Tabla8[[#This Row],[Trenes Corridos]]</f>
        <v>0.55971049457177324</v>
      </c>
      <c r="BW232" s="15">
        <f>+Tabla8[[#This Row],[Trenes Corridos]]/Tabla8[[#This Row],[Trenes Programados]]</f>
        <v>0.90108695652173909</v>
      </c>
      <c r="BX232" s="16"/>
      <c r="BY232" s="16"/>
      <c r="BZ232" s="16">
        <v>920</v>
      </c>
      <c r="CA232" s="16">
        <f t="shared" si="107"/>
        <v>91</v>
      </c>
      <c r="CB232" s="16">
        <v>829</v>
      </c>
      <c r="CC232" s="16">
        <v>464</v>
      </c>
      <c r="CD232" s="16">
        <f t="shared" si="108"/>
        <v>365</v>
      </c>
      <c r="CI232" s="40"/>
      <c r="CJ232" s="40"/>
      <c r="CK232" s="40"/>
      <c r="CL232" s="40"/>
      <c r="CM232" s="40"/>
    </row>
    <row r="233" spans="1:91" s="18" customFormat="1" ht="15" customHeight="1">
      <c r="A233" s="18">
        <v>2011</v>
      </c>
      <c r="B233" s="21" t="s">
        <v>47</v>
      </c>
      <c r="C233" s="15">
        <f>+MITRE[[#This Row],[Trenes Puntuales]]/MITRE[[#This Row],[Trenes Programados]]</f>
        <v>0.71612298211534597</v>
      </c>
      <c r="D233" s="15">
        <f>+MITRE[[#This Row],[Trenes Puntuales]]/MITRE[[#This Row],[Trenes Corridos]]</f>
        <v>0.75968165991615144</v>
      </c>
      <c r="E233" s="15">
        <f>+MITRE[[#This Row],[Trenes Corridos]]/MITRE[[#This Row],[Trenes Programados]]</f>
        <v>0.94266193315024449</v>
      </c>
      <c r="F233" s="16">
        <f>+Tabla4[[#This Row],[Trenes Programados por Día Hábil]]+Tabla5[[#This Row],[Trenes Programados por Día Hábil]]+Tabla6[[#This Row],[Trenes Programados por Día Hábil]]+MIT_Vic_Cap[[#This Row],[Trenes Programados por Día Hábil]]+Tabla8[[#This Row],[Trenes Programados por Día Hábil]]</f>
        <v>0</v>
      </c>
      <c r="G23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3" s="16">
        <f t="shared" si="75"/>
        <v>14929</v>
      </c>
      <c r="I233" s="16">
        <f t="shared" si="76"/>
        <v>856</v>
      </c>
      <c r="J233" s="16">
        <f t="shared" si="77"/>
        <v>14073</v>
      </c>
      <c r="K233" s="16">
        <f t="shared" si="78"/>
        <v>10691</v>
      </c>
      <c r="L233" s="16">
        <f t="shared" si="79"/>
        <v>3382</v>
      </c>
      <c r="M233" s="16"/>
      <c r="N233" s="17"/>
      <c r="O233" s="18">
        <v>2011</v>
      </c>
      <c r="P233" s="21" t="s">
        <v>47</v>
      </c>
      <c r="Q233" s="15">
        <f>+Tabla4[[#This Row],[Trenes Puntuales]]/Tabla4[[#This Row],[Trenes Programados]]</f>
        <v>0.65641025641025641</v>
      </c>
      <c r="R233" s="15">
        <f>+Tabla4[[#This Row],[Trenes Puntuales]]/Tabla4[[#This Row],[Trenes Corridos]]</f>
        <v>0.7049567269866247</v>
      </c>
      <c r="S233" s="15">
        <f>+Tabla4[[#This Row],[Trenes Corridos]]/Tabla4[[#This Row],[Trenes Programados]]</f>
        <v>0.93113553113553116</v>
      </c>
      <c r="T233" s="16"/>
      <c r="U233" s="16"/>
      <c r="V233" s="16">
        <v>5460</v>
      </c>
      <c r="W233" s="16">
        <f t="shared" si="99"/>
        <v>376</v>
      </c>
      <c r="X233" s="16">
        <v>5084</v>
      </c>
      <c r="Y233" s="16">
        <v>3584</v>
      </c>
      <c r="Z233" s="16">
        <f t="shared" si="100"/>
        <v>1500</v>
      </c>
      <c r="AA233" s="16"/>
      <c r="AB233" s="17"/>
      <c r="AC233" s="18">
        <v>2011</v>
      </c>
      <c r="AD233" s="21" t="s">
        <v>47</v>
      </c>
      <c r="AE233" s="15">
        <f>+Tabla5[[#This Row],[Trenes Puntuales]]/Tabla5[[#This Row],[Trenes Programados]]</f>
        <v>0.77121350364963503</v>
      </c>
      <c r="AF233" s="15">
        <f>+Tabla5[[#This Row],[Trenes Puntuales]]/Tabla5[[#This Row],[Trenes Corridos]]</f>
        <v>0.796841857176526</v>
      </c>
      <c r="AG233" s="15">
        <f>+Tabla5[[#This Row],[Trenes Corridos]]/Tabla5[[#This Row],[Trenes Programados]]</f>
        <v>0.96783759124087587</v>
      </c>
      <c r="AH233" s="16"/>
      <c r="AI233" s="16"/>
      <c r="AJ233" s="16">
        <v>4384</v>
      </c>
      <c r="AK233" s="16">
        <f t="shared" si="101"/>
        <v>141</v>
      </c>
      <c r="AL233" s="16">
        <v>4243</v>
      </c>
      <c r="AM233" s="16">
        <v>3381</v>
      </c>
      <c r="AN233" s="16">
        <f t="shared" si="102"/>
        <v>862</v>
      </c>
      <c r="AO233" s="16"/>
      <c r="AP233" s="17"/>
      <c r="AQ233" s="18">
        <v>2011</v>
      </c>
      <c r="AR233" s="21" t="s">
        <v>47</v>
      </c>
      <c r="AS233" s="15">
        <f>+Tabla6[[#This Row],[Trenes Puntuales]]/Tabla6[[#This Row],[Trenes Programados]]</f>
        <v>0.80646173149309908</v>
      </c>
      <c r="AT233" s="15">
        <f>+Tabla6[[#This Row],[Trenes Puntuales]]/Tabla6[[#This Row],[Trenes Corridos]]</f>
        <v>0.84350393700787396</v>
      </c>
      <c r="AU233" s="15">
        <f>+Tabla6[[#This Row],[Trenes Corridos]]/Tabla6[[#This Row],[Trenes Programados]]</f>
        <v>0.95608531994981183</v>
      </c>
      <c r="AV233" s="16"/>
      <c r="AW233" s="16"/>
      <c r="AX233" s="16">
        <v>3188</v>
      </c>
      <c r="AY233" s="16">
        <f t="shared" si="103"/>
        <v>140</v>
      </c>
      <c r="AZ233" s="16">
        <v>3048</v>
      </c>
      <c r="BA233" s="16">
        <v>2571</v>
      </c>
      <c r="BB233" s="16">
        <f t="shared" si="104"/>
        <v>477</v>
      </c>
      <c r="BC233" s="16"/>
      <c r="BD233" s="17"/>
      <c r="BE233" s="18">
        <v>2011</v>
      </c>
      <c r="BF233" s="21" t="s">
        <v>47</v>
      </c>
      <c r="BG233" s="15">
        <f>+MIT_Vic_Cap[[#This Row],[Trenes Puntuales]]/MIT_Vic_Cap[[#This Row],[Trenes Programados]]</f>
        <v>0.64754098360655743</v>
      </c>
      <c r="BH233" s="15">
        <f>+MIT_Vic_Cap[[#This Row],[Trenes Puntuales]]/MIT_Vic_Cap[[#This Row],[Trenes Corridos]]</f>
        <v>0.73148148148148151</v>
      </c>
      <c r="BI233" s="15">
        <f>+MIT_Vic_Cap[[#This Row],[Trenes Corridos]]/MIT_Vic_Cap[[#This Row],[Trenes Programados]]</f>
        <v>0.88524590163934425</v>
      </c>
      <c r="BJ233" s="16"/>
      <c r="BK233" s="16"/>
      <c r="BL233" s="16">
        <v>976</v>
      </c>
      <c r="BM233" s="16">
        <f t="shared" si="105"/>
        <v>112</v>
      </c>
      <c r="BN233" s="16">
        <v>864</v>
      </c>
      <c r="BO233" s="16">
        <v>632</v>
      </c>
      <c r="BP233" s="16">
        <f t="shared" si="106"/>
        <v>232</v>
      </c>
      <c r="BQ233" s="16"/>
      <c r="BR233" s="17"/>
      <c r="BS233" s="18">
        <v>2011</v>
      </c>
      <c r="BT233" s="21" t="s">
        <v>47</v>
      </c>
      <c r="BU233" s="15">
        <f>+Tabla8[[#This Row],[Trenes Puntuales]]/Tabla8[[#This Row],[Trenes Programados]]</f>
        <v>0.5678610206297503</v>
      </c>
      <c r="BV233" s="15">
        <f>+Tabla8[[#This Row],[Trenes Puntuales]]/Tabla8[[#This Row],[Trenes Corridos]]</f>
        <v>0.62709832134292565</v>
      </c>
      <c r="BW233" s="15">
        <f>+Tabla8[[#This Row],[Trenes Corridos]]/Tabla8[[#This Row],[Trenes Programados]]</f>
        <v>0.90553745928338758</v>
      </c>
      <c r="BX233" s="16"/>
      <c r="BY233" s="16"/>
      <c r="BZ233" s="16">
        <v>921</v>
      </c>
      <c r="CA233" s="16">
        <f t="shared" si="107"/>
        <v>87</v>
      </c>
      <c r="CB233" s="16">
        <v>834</v>
      </c>
      <c r="CC233" s="16">
        <v>523</v>
      </c>
      <c r="CD233" s="16">
        <f t="shared" si="108"/>
        <v>311</v>
      </c>
      <c r="CI233" s="40"/>
      <c r="CJ233" s="40"/>
      <c r="CK233" s="40"/>
      <c r="CL233" s="40"/>
      <c r="CM233" s="40"/>
    </row>
    <row r="234" spans="1:91" s="18" customFormat="1" ht="15" customHeight="1">
      <c r="A234" s="18">
        <v>2012</v>
      </c>
      <c r="B234" s="21" t="s">
        <v>36</v>
      </c>
      <c r="C234" s="15">
        <f>+MITRE[[#This Row],[Trenes Puntuales]]/MITRE[[#This Row],[Trenes Programados]]</f>
        <v>0.73560879553659342</v>
      </c>
      <c r="D234" s="15">
        <f>+MITRE[[#This Row],[Trenes Puntuales]]/MITRE[[#This Row],[Trenes Corridos]]</f>
        <v>0.78794909653378331</v>
      </c>
      <c r="E234" s="15">
        <f>+MITRE[[#This Row],[Trenes Corridos]]/MITRE[[#This Row],[Trenes Programados]]</f>
        <v>0.93357400722021666</v>
      </c>
      <c r="F234" s="16">
        <f>+Tabla4[[#This Row],[Trenes Programados por Día Hábil]]+Tabla5[[#This Row],[Trenes Programados por Día Hábil]]+Tabla6[[#This Row],[Trenes Programados por Día Hábil]]+MIT_Vic_Cap[[#This Row],[Trenes Programados por Día Hábil]]+Tabla8[[#This Row],[Trenes Programados por Día Hábil]]</f>
        <v>0</v>
      </c>
      <c r="G23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4" s="16">
        <f t="shared" si="75"/>
        <v>15235</v>
      </c>
      <c r="I234" s="16">
        <f t="shared" si="76"/>
        <v>1012</v>
      </c>
      <c r="J234" s="16">
        <f t="shared" si="77"/>
        <v>14223</v>
      </c>
      <c r="K234" s="16">
        <f t="shared" si="78"/>
        <v>11207</v>
      </c>
      <c r="L234" s="16">
        <f t="shared" si="79"/>
        <v>3016</v>
      </c>
      <c r="M234" s="16"/>
      <c r="N234" s="17"/>
      <c r="O234" s="18">
        <v>2012</v>
      </c>
      <c r="P234" s="21" t="s">
        <v>36</v>
      </c>
      <c r="Q234" s="15">
        <f>+Tabla4[[#This Row],[Trenes Puntuales]]/Tabla4[[#This Row],[Trenes Programados]]</f>
        <v>0.65992844364937386</v>
      </c>
      <c r="R234" s="15">
        <f>+Tabla4[[#This Row],[Trenes Puntuales]]/Tabla4[[#This Row],[Trenes Corridos]]</f>
        <v>0.73735758544873076</v>
      </c>
      <c r="S234" s="15">
        <f>+Tabla4[[#This Row],[Trenes Corridos]]/Tabla4[[#This Row],[Trenes Programados]]</f>
        <v>0.89499105545617175</v>
      </c>
      <c r="T234" s="16"/>
      <c r="U234" s="16"/>
      <c r="V234" s="16">
        <v>5590</v>
      </c>
      <c r="W234" s="16">
        <f t="shared" ref="W234:W245" si="109">V234-X234</f>
        <v>587</v>
      </c>
      <c r="X234" s="16">
        <v>5003</v>
      </c>
      <c r="Y234" s="16">
        <v>3689</v>
      </c>
      <c r="Z234" s="16">
        <f t="shared" ref="Z234:Z245" si="110">X234-Y234</f>
        <v>1314</v>
      </c>
      <c r="AA234" s="16"/>
      <c r="AB234" s="17"/>
      <c r="AC234" s="18">
        <v>2012</v>
      </c>
      <c r="AD234" s="21" t="s">
        <v>36</v>
      </c>
      <c r="AE234" s="15">
        <f>+Tabla5[[#This Row],[Trenes Puntuales]]/Tabla5[[#This Row],[Trenes Programados]]</f>
        <v>0.82652377762893503</v>
      </c>
      <c r="AF234" s="15">
        <f>+Tabla5[[#This Row],[Trenes Puntuales]]/Tabla5[[#This Row],[Trenes Corridos]]</f>
        <v>0.84849873939949572</v>
      </c>
      <c r="AG234" s="15">
        <f>+Tabla5[[#This Row],[Trenes Corridos]]/Tabla5[[#This Row],[Trenes Programados]]</f>
        <v>0.97410136191114083</v>
      </c>
      <c r="AH234" s="16"/>
      <c r="AI234" s="16"/>
      <c r="AJ234" s="16">
        <v>4479</v>
      </c>
      <c r="AK234" s="16">
        <f t="shared" ref="AK234:AK245" si="111">AJ234-AL234</f>
        <v>116</v>
      </c>
      <c r="AL234" s="16">
        <v>4363</v>
      </c>
      <c r="AM234" s="16">
        <v>3702</v>
      </c>
      <c r="AN234" s="16">
        <f t="shared" ref="AN234:AN245" si="112">AL234-AM234</f>
        <v>661</v>
      </c>
      <c r="AO234" s="16"/>
      <c r="AP234" s="17"/>
      <c r="AQ234" s="18">
        <v>2012</v>
      </c>
      <c r="AR234" s="21" t="s">
        <v>36</v>
      </c>
      <c r="AS234" s="15">
        <f>+Tabla6[[#This Row],[Trenes Puntuales]]/Tabla6[[#This Row],[Trenes Programados]]</f>
        <v>0.84042222912139086</v>
      </c>
      <c r="AT234" s="15">
        <f>+Tabla6[[#This Row],[Trenes Puntuales]]/Tabla6[[#This Row],[Trenes Corridos]]</f>
        <v>0.87633538361929431</v>
      </c>
      <c r="AU234" s="15">
        <f>+Tabla6[[#This Row],[Trenes Corridos]]/Tabla6[[#This Row],[Trenes Programados]]</f>
        <v>0.95901893821794471</v>
      </c>
      <c r="AV234" s="16"/>
      <c r="AW234" s="16"/>
      <c r="AX234" s="16">
        <v>3221</v>
      </c>
      <c r="AY234" s="16">
        <f t="shared" ref="AY234:AY245" si="113">AX234-AZ234</f>
        <v>132</v>
      </c>
      <c r="AZ234" s="16">
        <v>3089</v>
      </c>
      <c r="BA234" s="16">
        <v>2707</v>
      </c>
      <c r="BB234" s="16">
        <f t="shared" ref="BB234:BB245" si="114">AZ234-BA234</f>
        <v>382</v>
      </c>
      <c r="BC234" s="16"/>
      <c r="BD234" s="17"/>
      <c r="BE234" s="18">
        <v>2012</v>
      </c>
      <c r="BF234" s="21" t="s">
        <v>36</v>
      </c>
      <c r="BG234" s="15">
        <f>+MIT_Vic_Cap[[#This Row],[Trenes Puntuales]]/MIT_Vic_Cap[[#This Row],[Trenes Programados]]</f>
        <v>0.64307381193124369</v>
      </c>
      <c r="BH234" s="15">
        <f>+MIT_Vic_Cap[[#This Row],[Trenes Puntuales]]/MIT_Vic_Cap[[#This Row],[Trenes Corridos]]</f>
        <v>0.70353982300884954</v>
      </c>
      <c r="BI234" s="15">
        <f>+MIT_Vic_Cap[[#This Row],[Trenes Corridos]]/MIT_Vic_Cap[[#This Row],[Trenes Programados]]</f>
        <v>0.91405460060667343</v>
      </c>
      <c r="BJ234" s="16"/>
      <c r="BK234" s="16"/>
      <c r="BL234" s="16">
        <v>989</v>
      </c>
      <c r="BM234" s="16">
        <f t="shared" ref="BM234:BM245" si="115">BL234-BN234</f>
        <v>85</v>
      </c>
      <c r="BN234" s="16">
        <v>904</v>
      </c>
      <c r="BO234" s="16">
        <v>636</v>
      </c>
      <c r="BP234" s="16">
        <f t="shared" ref="BP234:BP245" si="116">BN234-BO234</f>
        <v>268</v>
      </c>
      <c r="BQ234" s="16"/>
      <c r="BR234" s="17"/>
      <c r="BS234" s="18">
        <v>2012</v>
      </c>
      <c r="BT234" s="21" t="s">
        <v>36</v>
      </c>
      <c r="BU234" s="15">
        <f>+Tabla8[[#This Row],[Trenes Puntuales]]/Tabla8[[#This Row],[Trenes Programados]]</f>
        <v>0.49476987447698745</v>
      </c>
      <c r="BV234" s="15">
        <f>+Tabla8[[#This Row],[Trenes Puntuales]]/Tabla8[[#This Row],[Trenes Corridos]]</f>
        <v>0.54745370370370372</v>
      </c>
      <c r="BW234" s="15">
        <f>+Tabla8[[#This Row],[Trenes Corridos]]/Tabla8[[#This Row],[Trenes Programados]]</f>
        <v>0.90376569037656906</v>
      </c>
      <c r="BX234" s="16"/>
      <c r="BY234" s="16"/>
      <c r="BZ234" s="16">
        <v>956</v>
      </c>
      <c r="CA234" s="16">
        <f t="shared" ref="CA234:CA245" si="117">BZ234-CB234</f>
        <v>92</v>
      </c>
      <c r="CB234" s="16">
        <v>864</v>
      </c>
      <c r="CC234" s="16">
        <v>473</v>
      </c>
      <c r="CD234" s="16">
        <f t="shared" ref="CD234:CD245" si="118">CB234-CC234</f>
        <v>391</v>
      </c>
      <c r="CI234" s="40"/>
      <c r="CJ234" s="40"/>
      <c r="CK234" s="40"/>
      <c r="CL234" s="40"/>
      <c r="CM234" s="40"/>
    </row>
    <row r="235" spans="1:91" s="18" customFormat="1" ht="15" customHeight="1">
      <c r="A235" s="18">
        <v>2012</v>
      </c>
      <c r="B235" s="21" t="s">
        <v>37</v>
      </c>
      <c r="C235" s="15">
        <f>+MITRE[[#This Row],[Trenes Puntuales]]/MITRE[[#This Row],[Trenes Programados]]</f>
        <v>0.66584068216602288</v>
      </c>
      <c r="D235" s="15">
        <f>+MITRE[[#This Row],[Trenes Puntuales]]/MITRE[[#This Row],[Trenes Corridos]]</f>
        <v>0.72387291022898348</v>
      </c>
      <c r="E235" s="15">
        <f>+MITRE[[#This Row],[Trenes Corridos]]/MITRE[[#This Row],[Trenes Programados]]</f>
        <v>0.91983091611398582</v>
      </c>
      <c r="F235" s="16">
        <f>+Tabla4[[#This Row],[Trenes Programados por Día Hábil]]+Tabla5[[#This Row],[Trenes Programados por Día Hábil]]+Tabla6[[#This Row],[Trenes Programados por Día Hábil]]+MIT_Vic_Cap[[#This Row],[Trenes Programados por Día Hábil]]+Tabla8[[#This Row],[Trenes Programados por Día Hábil]]</f>
        <v>0</v>
      </c>
      <c r="G23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5" s="16">
        <f t="shared" si="75"/>
        <v>13721</v>
      </c>
      <c r="I235" s="16">
        <f t="shared" si="76"/>
        <v>1100</v>
      </c>
      <c r="J235" s="16">
        <f t="shared" si="77"/>
        <v>12621</v>
      </c>
      <c r="K235" s="16">
        <f t="shared" si="78"/>
        <v>9136</v>
      </c>
      <c r="L235" s="16">
        <f t="shared" si="79"/>
        <v>3485</v>
      </c>
      <c r="M235" s="16"/>
      <c r="N235" s="17"/>
      <c r="O235" s="18">
        <v>2012</v>
      </c>
      <c r="P235" s="21" t="s">
        <v>37</v>
      </c>
      <c r="Q235" s="15">
        <f>+Tabla4[[#This Row],[Trenes Puntuales]]/Tabla4[[#This Row],[Trenes Programados]]</f>
        <v>0.56606786427145706</v>
      </c>
      <c r="R235" s="15">
        <f>+Tabla4[[#This Row],[Trenes Puntuales]]/Tabla4[[#This Row],[Trenes Corridos]]</f>
        <v>0.65060793760036706</v>
      </c>
      <c r="S235" s="15">
        <f>+Tabla4[[#This Row],[Trenes Corridos]]/Tabla4[[#This Row],[Trenes Programados]]</f>
        <v>0.87005988023952097</v>
      </c>
      <c r="T235" s="16"/>
      <c r="U235" s="16"/>
      <c r="V235" s="16">
        <v>5010</v>
      </c>
      <c r="W235" s="16">
        <f t="shared" si="109"/>
        <v>651</v>
      </c>
      <c r="X235" s="16">
        <v>4359</v>
      </c>
      <c r="Y235" s="16">
        <v>2836</v>
      </c>
      <c r="Z235" s="16">
        <f t="shared" si="110"/>
        <v>1523</v>
      </c>
      <c r="AA235" s="16"/>
      <c r="AB235" s="17"/>
      <c r="AC235" s="18">
        <v>2012</v>
      </c>
      <c r="AD235" s="21" t="s">
        <v>37</v>
      </c>
      <c r="AE235" s="15">
        <f>+Tabla5[[#This Row],[Trenes Puntuales]]/Tabla5[[#This Row],[Trenes Programados]]</f>
        <v>0.74160656553096249</v>
      </c>
      <c r="AF235" s="15">
        <f>+Tabla5[[#This Row],[Trenes Puntuales]]/Tabla5[[#This Row],[Trenes Corridos]]</f>
        <v>0.77233877233877235</v>
      </c>
      <c r="AG235" s="15">
        <f>+Tabla5[[#This Row],[Trenes Corridos]]/Tabla5[[#This Row],[Trenes Programados]]</f>
        <v>0.9602089032578961</v>
      </c>
      <c r="AH235" s="16"/>
      <c r="AI235" s="16"/>
      <c r="AJ235" s="16">
        <v>4021</v>
      </c>
      <c r="AK235" s="16">
        <f t="shared" si="111"/>
        <v>160</v>
      </c>
      <c r="AL235" s="16">
        <v>3861</v>
      </c>
      <c r="AM235" s="16">
        <v>2982</v>
      </c>
      <c r="AN235" s="16">
        <f t="shared" si="112"/>
        <v>879</v>
      </c>
      <c r="AO235" s="16"/>
      <c r="AP235" s="17"/>
      <c r="AQ235" s="18">
        <v>2012</v>
      </c>
      <c r="AR235" s="21" t="s">
        <v>37</v>
      </c>
      <c r="AS235" s="15">
        <f>+Tabla6[[#This Row],[Trenes Puntuales]]/Tabla6[[#This Row],[Trenes Programados]]</f>
        <v>0.77160284649271438</v>
      </c>
      <c r="AT235" s="15">
        <f>+Tabla6[[#This Row],[Trenes Puntuales]]/Tabla6[[#This Row],[Trenes Corridos]]</f>
        <v>0.81642165650770882</v>
      </c>
      <c r="AU235" s="15">
        <f>+Tabla6[[#This Row],[Trenes Corridos]]/Tabla6[[#This Row],[Trenes Programados]]</f>
        <v>0.94510335479498475</v>
      </c>
      <c r="AV235" s="16"/>
      <c r="AW235" s="16"/>
      <c r="AX235" s="16">
        <v>2951</v>
      </c>
      <c r="AY235" s="16">
        <f t="shared" si="113"/>
        <v>162</v>
      </c>
      <c r="AZ235" s="16">
        <v>2789</v>
      </c>
      <c r="BA235" s="16">
        <v>2277</v>
      </c>
      <c r="BB235" s="16">
        <f t="shared" si="114"/>
        <v>512</v>
      </c>
      <c r="BC235" s="16"/>
      <c r="BD235" s="17"/>
      <c r="BE235" s="18">
        <v>2012</v>
      </c>
      <c r="BF235" s="21" t="s">
        <v>37</v>
      </c>
      <c r="BG235" s="15">
        <f>+MIT_Vic_Cap[[#This Row],[Trenes Puntuales]]/MIT_Vic_Cap[[#This Row],[Trenes Programados]]</f>
        <v>0.70279329608938546</v>
      </c>
      <c r="BH235" s="15">
        <f>+MIT_Vic_Cap[[#This Row],[Trenes Puntuales]]/MIT_Vic_Cap[[#This Row],[Trenes Corridos]]</f>
        <v>0.75239234449760761</v>
      </c>
      <c r="BI235" s="15">
        <f>+MIT_Vic_Cap[[#This Row],[Trenes Corridos]]/MIT_Vic_Cap[[#This Row],[Trenes Programados]]</f>
        <v>0.93407821229050281</v>
      </c>
      <c r="BJ235" s="16"/>
      <c r="BK235" s="16"/>
      <c r="BL235" s="16">
        <v>895</v>
      </c>
      <c r="BM235" s="16">
        <f t="shared" si="115"/>
        <v>59</v>
      </c>
      <c r="BN235" s="16">
        <v>836</v>
      </c>
      <c r="BO235" s="16">
        <v>629</v>
      </c>
      <c r="BP235" s="16">
        <f t="shared" si="116"/>
        <v>207</v>
      </c>
      <c r="BQ235" s="16"/>
      <c r="BR235" s="17"/>
      <c r="BS235" s="18">
        <v>2012</v>
      </c>
      <c r="BT235" s="21" t="s">
        <v>37</v>
      </c>
      <c r="BU235" s="15">
        <f>+Tabla8[[#This Row],[Trenes Puntuales]]/Tabla8[[#This Row],[Trenes Programados]]</f>
        <v>0.4881516587677725</v>
      </c>
      <c r="BV235" s="15">
        <f>+Tabla8[[#This Row],[Trenes Puntuales]]/Tabla8[[#This Row],[Trenes Corridos]]</f>
        <v>0.53092783505154639</v>
      </c>
      <c r="BW235" s="15">
        <f>+Tabla8[[#This Row],[Trenes Corridos]]/Tabla8[[#This Row],[Trenes Programados]]</f>
        <v>0.91943127962085303</v>
      </c>
      <c r="BX235" s="16"/>
      <c r="BY235" s="16"/>
      <c r="BZ235" s="16">
        <v>844</v>
      </c>
      <c r="CA235" s="16">
        <f t="shared" si="117"/>
        <v>68</v>
      </c>
      <c r="CB235" s="16">
        <v>776</v>
      </c>
      <c r="CC235" s="16">
        <v>412</v>
      </c>
      <c r="CD235" s="16">
        <f t="shared" si="118"/>
        <v>364</v>
      </c>
      <c r="CI235" s="40"/>
      <c r="CJ235" s="40"/>
      <c r="CK235" s="40"/>
      <c r="CL235" s="40"/>
      <c r="CM235" s="40"/>
    </row>
    <row r="236" spans="1:91" s="18" customFormat="1" ht="15" customHeight="1">
      <c r="A236" s="18">
        <v>2012</v>
      </c>
      <c r="B236" s="21" t="s">
        <v>38</v>
      </c>
      <c r="C236" s="15">
        <f>+MITRE[[#This Row],[Trenes Puntuales]]/MITRE[[#This Row],[Trenes Programados]]</f>
        <v>0.6154906465375779</v>
      </c>
      <c r="D236" s="15">
        <f>+MITRE[[#This Row],[Trenes Puntuales]]/MITRE[[#This Row],[Trenes Corridos]]</f>
        <v>0.67060001430308236</v>
      </c>
      <c r="E236" s="15">
        <f>+MITRE[[#This Row],[Trenes Corridos]]/MITRE[[#This Row],[Trenes Programados]]</f>
        <v>0.9178208073514933</v>
      </c>
      <c r="F236" s="16">
        <f>+Tabla4[[#This Row],[Trenes Programados por Día Hábil]]+Tabla5[[#This Row],[Trenes Programados por Día Hábil]]+Tabla6[[#This Row],[Trenes Programados por Día Hábil]]+MIT_Vic_Cap[[#This Row],[Trenes Programados por Día Hábil]]+Tabla8[[#This Row],[Trenes Programados por Día Hábil]]</f>
        <v>0</v>
      </c>
      <c r="G23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6" s="16">
        <f t="shared" si="75"/>
        <v>15235</v>
      </c>
      <c r="I236" s="16">
        <f t="shared" si="76"/>
        <v>1252</v>
      </c>
      <c r="J236" s="16">
        <f t="shared" si="77"/>
        <v>13983</v>
      </c>
      <c r="K236" s="16">
        <f t="shared" si="78"/>
        <v>9377</v>
      </c>
      <c r="L236" s="16">
        <f t="shared" si="79"/>
        <v>4606</v>
      </c>
      <c r="M236" s="16"/>
      <c r="N236" s="17"/>
      <c r="O236" s="18">
        <v>2012</v>
      </c>
      <c r="P236" s="21" t="s">
        <v>38</v>
      </c>
      <c r="Q236" s="15">
        <f>+Tabla4[[#This Row],[Trenes Puntuales]]/Tabla4[[#This Row],[Trenes Programados]]</f>
        <v>0.57084078711985686</v>
      </c>
      <c r="R236" s="15">
        <f>+Tabla4[[#This Row],[Trenes Puntuales]]/Tabla4[[#This Row],[Trenes Corridos]]</f>
        <v>0.64884099227328185</v>
      </c>
      <c r="S236" s="15">
        <f>+Tabla4[[#This Row],[Trenes Corridos]]/Tabla4[[#This Row],[Trenes Programados]]</f>
        <v>0.87978533094812161</v>
      </c>
      <c r="T236" s="16"/>
      <c r="U236" s="16"/>
      <c r="V236" s="16">
        <v>5590</v>
      </c>
      <c r="W236" s="16">
        <f t="shared" si="109"/>
        <v>672</v>
      </c>
      <c r="X236" s="16">
        <v>4918</v>
      </c>
      <c r="Y236" s="16">
        <v>3191</v>
      </c>
      <c r="Z236" s="16">
        <f t="shared" si="110"/>
        <v>1727</v>
      </c>
      <c r="AA236" s="16"/>
      <c r="AB236" s="17"/>
      <c r="AC236" s="18">
        <v>2012</v>
      </c>
      <c r="AD236" s="21" t="s">
        <v>38</v>
      </c>
      <c r="AE236" s="15">
        <f>+Tabla5[[#This Row],[Trenes Puntuales]]/Tabla5[[#This Row],[Trenes Programados]]</f>
        <v>0.69524447421299396</v>
      </c>
      <c r="AF236" s="15">
        <f>+Tabla5[[#This Row],[Trenes Puntuales]]/Tabla5[[#This Row],[Trenes Corridos]]</f>
        <v>0.71784232365145229</v>
      </c>
      <c r="AG236" s="15">
        <f>+Tabla5[[#This Row],[Trenes Corridos]]/Tabla5[[#This Row],[Trenes Programados]]</f>
        <v>0.96851975887474884</v>
      </c>
      <c r="AH236" s="16"/>
      <c r="AI236" s="16"/>
      <c r="AJ236" s="16">
        <v>4479</v>
      </c>
      <c r="AK236" s="16">
        <f t="shared" si="111"/>
        <v>141</v>
      </c>
      <c r="AL236" s="16">
        <v>4338</v>
      </c>
      <c r="AM236" s="16">
        <v>3114</v>
      </c>
      <c r="AN236" s="16">
        <f t="shared" si="112"/>
        <v>1224</v>
      </c>
      <c r="AO236" s="16"/>
      <c r="AP236" s="17"/>
      <c r="AQ236" s="18">
        <v>2012</v>
      </c>
      <c r="AR236" s="21" t="s">
        <v>38</v>
      </c>
      <c r="AS236" s="15">
        <f>+Tabla6[[#This Row],[Trenes Puntuales]]/Tabla6[[#This Row],[Trenes Programados]]</f>
        <v>0.70630239056193733</v>
      </c>
      <c r="AT236" s="15">
        <f>+Tabla6[[#This Row],[Trenes Puntuales]]/Tabla6[[#This Row],[Trenes Corridos]]</f>
        <v>0.73863636363636365</v>
      </c>
      <c r="AU236" s="15">
        <f>+Tabla6[[#This Row],[Trenes Corridos]]/Tabla6[[#This Row],[Trenes Programados]]</f>
        <v>0.95622477491462277</v>
      </c>
      <c r="AV236" s="16"/>
      <c r="AW236" s="16"/>
      <c r="AX236" s="16">
        <v>3221</v>
      </c>
      <c r="AY236" s="16">
        <f t="shared" si="113"/>
        <v>141</v>
      </c>
      <c r="AZ236" s="16">
        <v>3080</v>
      </c>
      <c r="BA236" s="16">
        <v>2275</v>
      </c>
      <c r="BB236" s="16">
        <f t="shared" si="114"/>
        <v>805</v>
      </c>
      <c r="BC236" s="16"/>
      <c r="BD236" s="17"/>
      <c r="BE236" s="18">
        <v>2012</v>
      </c>
      <c r="BF236" s="21" t="s">
        <v>38</v>
      </c>
      <c r="BG236" s="15">
        <f>+MIT_Vic_Cap[[#This Row],[Trenes Puntuales]]/MIT_Vic_Cap[[#This Row],[Trenes Programados]]</f>
        <v>0.45601617795753285</v>
      </c>
      <c r="BH236" s="15">
        <f>+MIT_Vic_Cap[[#This Row],[Trenes Puntuales]]/MIT_Vic_Cap[[#This Row],[Trenes Corridos]]</f>
        <v>0.54141656662665061</v>
      </c>
      <c r="BI236" s="15">
        <f>+MIT_Vic_Cap[[#This Row],[Trenes Corridos]]/MIT_Vic_Cap[[#This Row],[Trenes Programados]]</f>
        <v>0.84226491405460058</v>
      </c>
      <c r="BJ236" s="16"/>
      <c r="BK236" s="16"/>
      <c r="BL236" s="16">
        <v>989</v>
      </c>
      <c r="BM236" s="16">
        <f t="shared" si="115"/>
        <v>156</v>
      </c>
      <c r="BN236" s="16">
        <v>833</v>
      </c>
      <c r="BO236" s="16">
        <v>451</v>
      </c>
      <c r="BP236" s="16">
        <f t="shared" si="116"/>
        <v>382</v>
      </c>
      <c r="BQ236" s="16"/>
      <c r="BR236" s="17"/>
      <c r="BS236" s="18">
        <v>2012</v>
      </c>
      <c r="BT236" s="21" t="s">
        <v>38</v>
      </c>
      <c r="BU236" s="15">
        <f>+Tabla8[[#This Row],[Trenes Puntuales]]/Tabla8[[#This Row],[Trenes Programados]]</f>
        <v>0.36192468619246859</v>
      </c>
      <c r="BV236" s="15">
        <f>+Tabla8[[#This Row],[Trenes Puntuales]]/Tabla8[[#This Row],[Trenes Corridos]]</f>
        <v>0.42506142506142508</v>
      </c>
      <c r="BW236" s="15">
        <f>+Tabla8[[#This Row],[Trenes Corridos]]/Tabla8[[#This Row],[Trenes Programados]]</f>
        <v>0.85146443514644354</v>
      </c>
      <c r="BX236" s="16"/>
      <c r="BY236" s="16"/>
      <c r="BZ236" s="16">
        <v>956</v>
      </c>
      <c r="CA236" s="16">
        <f t="shared" si="117"/>
        <v>142</v>
      </c>
      <c r="CB236" s="16">
        <v>814</v>
      </c>
      <c r="CC236" s="16">
        <v>346</v>
      </c>
      <c r="CD236" s="16">
        <f t="shared" si="118"/>
        <v>468</v>
      </c>
      <c r="CI236" s="40"/>
      <c r="CJ236" s="40"/>
      <c r="CK236" s="40"/>
      <c r="CL236" s="40"/>
      <c r="CM236" s="40"/>
    </row>
    <row r="237" spans="1:91" s="18" customFormat="1" ht="15" customHeight="1">
      <c r="A237" s="18">
        <v>2012</v>
      </c>
      <c r="B237" s="21" t="s">
        <v>39</v>
      </c>
      <c r="C237" s="15">
        <f>+MITRE[[#This Row],[Trenes Puntuales]]/MITRE[[#This Row],[Trenes Programados]]</f>
        <v>0.67635327635327636</v>
      </c>
      <c r="D237" s="15">
        <f>+MITRE[[#This Row],[Trenes Puntuales]]/MITRE[[#This Row],[Trenes Corridos]]</f>
        <v>0.72350476190476187</v>
      </c>
      <c r="E237" s="15">
        <f>+MITRE[[#This Row],[Trenes Corridos]]/MITRE[[#This Row],[Trenes Programados]]</f>
        <v>0.93482905982905984</v>
      </c>
      <c r="F237" s="16">
        <f>+Tabla4[[#This Row],[Trenes Programados por Día Hábil]]+Tabla5[[#This Row],[Trenes Programados por Día Hábil]]+Tabla6[[#This Row],[Trenes Programados por Día Hábil]]+MIT_Vic_Cap[[#This Row],[Trenes Programados por Día Hábil]]+Tabla8[[#This Row],[Trenes Programados por Día Hábil]]</f>
        <v>0</v>
      </c>
      <c r="G23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7" s="16">
        <f t="shared" si="75"/>
        <v>14040</v>
      </c>
      <c r="I237" s="16">
        <f t="shared" si="76"/>
        <v>915</v>
      </c>
      <c r="J237" s="16">
        <f t="shared" si="77"/>
        <v>13125</v>
      </c>
      <c r="K237" s="16">
        <f t="shared" si="78"/>
        <v>9496</v>
      </c>
      <c r="L237" s="16">
        <f t="shared" si="79"/>
        <v>3629</v>
      </c>
      <c r="M237" s="16"/>
      <c r="N237" s="17"/>
      <c r="O237" s="18">
        <v>2012</v>
      </c>
      <c r="P237" s="21" t="s">
        <v>39</v>
      </c>
      <c r="Q237" s="15">
        <f>+Tabla4[[#This Row],[Trenes Puntuales]]/Tabla4[[#This Row],[Trenes Programados]]</f>
        <v>0.70156249999999998</v>
      </c>
      <c r="R237" s="15">
        <f>+Tabla4[[#This Row],[Trenes Puntuales]]/Tabla4[[#This Row],[Trenes Corridos]]</f>
        <v>0.76817792985457656</v>
      </c>
      <c r="S237" s="15">
        <f>+Tabla4[[#This Row],[Trenes Corridos]]/Tabla4[[#This Row],[Trenes Programados]]</f>
        <v>0.91328125000000004</v>
      </c>
      <c r="T237" s="16"/>
      <c r="U237" s="16"/>
      <c r="V237" s="16">
        <v>5120</v>
      </c>
      <c r="W237" s="16">
        <f t="shared" si="109"/>
        <v>444</v>
      </c>
      <c r="X237" s="16">
        <v>4676</v>
      </c>
      <c r="Y237" s="16">
        <v>3592</v>
      </c>
      <c r="Z237" s="16">
        <f t="shared" si="110"/>
        <v>1084</v>
      </c>
      <c r="AA237" s="16"/>
      <c r="AB237" s="17"/>
      <c r="AC237" s="18">
        <v>2012</v>
      </c>
      <c r="AD237" s="21" t="s">
        <v>39</v>
      </c>
      <c r="AE237" s="15">
        <f>+Tabla5[[#This Row],[Trenes Puntuales]]/Tabla5[[#This Row],[Trenes Programados]]</f>
        <v>0.70389294403892944</v>
      </c>
      <c r="AF237" s="15">
        <f>+Tabla5[[#This Row],[Trenes Puntuales]]/Tabla5[[#This Row],[Trenes Corridos]]</f>
        <v>0.73018677435638568</v>
      </c>
      <c r="AG237" s="15">
        <f>+Tabla5[[#This Row],[Trenes Corridos]]/Tabla5[[#This Row],[Trenes Programados]]</f>
        <v>0.9639902676399027</v>
      </c>
      <c r="AH237" s="16"/>
      <c r="AI237" s="16"/>
      <c r="AJ237" s="16">
        <v>4110</v>
      </c>
      <c r="AK237" s="16">
        <f t="shared" si="111"/>
        <v>148</v>
      </c>
      <c r="AL237" s="16">
        <v>3962</v>
      </c>
      <c r="AM237" s="16">
        <v>2893</v>
      </c>
      <c r="AN237" s="16">
        <f t="shared" si="112"/>
        <v>1069</v>
      </c>
      <c r="AO237" s="16"/>
      <c r="AP237" s="17"/>
      <c r="AQ237" s="18">
        <v>2012</v>
      </c>
      <c r="AR237" s="21" t="s">
        <v>39</v>
      </c>
      <c r="AS237" s="15">
        <f>+Tabla6[[#This Row],[Trenes Puntuales]]/Tabla6[[#This Row],[Trenes Programados]]</f>
        <v>0.71555702043506919</v>
      </c>
      <c r="AT237" s="15">
        <f>+Tabla6[[#This Row],[Trenes Puntuales]]/Tabla6[[#This Row],[Trenes Corridos]]</f>
        <v>0.75539318023660407</v>
      </c>
      <c r="AU237" s="15">
        <f>+Tabla6[[#This Row],[Trenes Corridos]]/Tabla6[[#This Row],[Trenes Programados]]</f>
        <v>0.94726433750823991</v>
      </c>
      <c r="AV237" s="16"/>
      <c r="AW237" s="16"/>
      <c r="AX237" s="16">
        <v>3034</v>
      </c>
      <c r="AY237" s="16">
        <f t="shared" si="113"/>
        <v>160</v>
      </c>
      <c r="AZ237" s="16">
        <v>2874</v>
      </c>
      <c r="BA237" s="16">
        <v>2171</v>
      </c>
      <c r="BB237" s="16">
        <f t="shared" si="114"/>
        <v>703</v>
      </c>
      <c r="BC237" s="16"/>
      <c r="BD237" s="17"/>
      <c r="BE237" s="18">
        <v>2012</v>
      </c>
      <c r="BF237" s="21" t="s">
        <v>39</v>
      </c>
      <c r="BG237" s="15">
        <f>+MIT_Vic_Cap[[#This Row],[Trenes Puntuales]]/MIT_Vic_Cap[[#This Row],[Trenes Programados]]</f>
        <v>0.49344978165938863</v>
      </c>
      <c r="BH237" s="15">
        <f>+MIT_Vic_Cap[[#This Row],[Trenes Puntuales]]/MIT_Vic_Cap[[#This Row],[Trenes Corridos]]</f>
        <v>0.57360406091370564</v>
      </c>
      <c r="BI237" s="15">
        <f>+MIT_Vic_Cap[[#This Row],[Trenes Corridos]]/MIT_Vic_Cap[[#This Row],[Trenes Programados]]</f>
        <v>0.86026200873362446</v>
      </c>
      <c r="BJ237" s="16"/>
      <c r="BK237" s="16"/>
      <c r="BL237" s="16">
        <v>916</v>
      </c>
      <c r="BM237" s="16">
        <f t="shared" si="115"/>
        <v>128</v>
      </c>
      <c r="BN237" s="16">
        <v>788</v>
      </c>
      <c r="BO237" s="16">
        <v>452</v>
      </c>
      <c r="BP237" s="16">
        <f t="shared" si="116"/>
        <v>336</v>
      </c>
      <c r="BQ237" s="16"/>
      <c r="BR237" s="17"/>
      <c r="BS237" s="18">
        <v>2012</v>
      </c>
      <c r="BT237" s="21" t="s">
        <v>39</v>
      </c>
      <c r="BU237" s="15">
        <f>+Tabla8[[#This Row],[Trenes Puntuales]]/Tabla8[[#This Row],[Trenes Programados]]</f>
        <v>0.4511627906976744</v>
      </c>
      <c r="BV237" s="15">
        <f>+Tabla8[[#This Row],[Trenes Puntuales]]/Tabla8[[#This Row],[Trenes Corridos]]</f>
        <v>0.47030303030303028</v>
      </c>
      <c r="BW237" s="15">
        <f>+Tabla8[[#This Row],[Trenes Corridos]]/Tabla8[[#This Row],[Trenes Programados]]</f>
        <v>0.95930232558139539</v>
      </c>
      <c r="BX237" s="16"/>
      <c r="BY237" s="16"/>
      <c r="BZ237" s="16">
        <v>860</v>
      </c>
      <c r="CA237" s="16">
        <f t="shared" si="117"/>
        <v>35</v>
      </c>
      <c r="CB237" s="16">
        <v>825</v>
      </c>
      <c r="CC237" s="16">
        <v>388</v>
      </c>
      <c r="CD237" s="16">
        <f t="shared" si="118"/>
        <v>437</v>
      </c>
      <c r="CI237" s="40"/>
      <c r="CJ237" s="40"/>
      <c r="CK237" s="40"/>
      <c r="CL237" s="40"/>
      <c r="CM237" s="40"/>
    </row>
    <row r="238" spans="1:91" s="18" customFormat="1" ht="15" customHeight="1">
      <c r="A238" s="18">
        <v>2012</v>
      </c>
      <c r="B238" s="21" t="s">
        <v>40</v>
      </c>
      <c r="C238" s="15">
        <f>+MITRE[[#This Row],[Trenes Puntuales]]/MITRE[[#This Row],[Trenes Programados]]</f>
        <v>0.62899573787959506</v>
      </c>
      <c r="D238" s="15">
        <f>+MITRE[[#This Row],[Trenes Puntuales]]/MITRE[[#This Row],[Trenes Corridos]]</f>
        <v>0.67430570429071179</v>
      </c>
      <c r="E238" s="15">
        <f>+MITRE[[#This Row],[Trenes Corridos]]/MITRE[[#This Row],[Trenes Programados]]</f>
        <v>0.93280500799147581</v>
      </c>
      <c r="F238" s="16">
        <f>+Tabla4[[#This Row],[Trenes Programados por Día Hábil]]+Tabla5[[#This Row],[Trenes Programados por Día Hábil]]+Tabla6[[#This Row],[Trenes Programados por Día Hábil]]+MIT_Vic_Cap[[#This Row],[Trenes Programados por Día Hábil]]+Tabla8[[#This Row],[Trenes Programados por Día Hábil]]</f>
        <v>0</v>
      </c>
      <c r="G23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8" s="16">
        <f t="shared" si="75"/>
        <v>15016</v>
      </c>
      <c r="I238" s="16">
        <f t="shared" si="76"/>
        <v>1009</v>
      </c>
      <c r="J238" s="16">
        <f t="shared" si="77"/>
        <v>14007</v>
      </c>
      <c r="K238" s="16">
        <f t="shared" si="78"/>
        <v>9445</v>
      </c>
      <c r="L238" s="16">
        <f t="shared" si="79"/>
        <v>4562</v>
      </c>
      <c r="M238" s="16"/>
      <c r="N238" s="17"/>
      <c r="O238" s="18">
        <v>2012</v>
      </c>
      <c r="P238" s="21" t="s">
        <v>40</v>
      </c>
      <c r="Q238" s="15">
        <f>+Tabla4[[#This Row],[Trenes Puntuales]]/Tabla4[[#This Row],[Trenes Programados]]</f>
        <v>0.67</v>
      </c>
      <c r="R238" s="15">
        <f>+Tabla4[[#This Row],[Trenes Puntuales]]/Tabla4[[#This Row],[Trenes Corridos]]</f>
        <v>0.72941409342834518</v>
      </c>
      <c r="S238" s="15">
        <f>+Tabla4[[#This Row],[Trenes Corridos]]/Tabla4[[#This Row],[Trenes Programados]]</f>
        <v>0.91854545454545455</v>
      </c>
      <c r="T238" s="16"/>
      <c r="U238" s="16"/>
      <c r="V238" s="16">
        <v>5500</v>
      </c>
      <c r="W238" s="16">
        <f t="shared" si="109"/>
        <v>448</v>
      </c>
      <c r="X238" s="16">
        <v>5052</v>
      </c>
      <c r="Y238" s="16">
        <v>3685</v>
      </c>
      <c r="Z238" s="16">
        <f t="shared" si="110"/>
        <v>1367</v>
      </c>
      <c r="AA238" s="16"/>
      <c r="AB238" s="17"/>
      <c r="AC238" s="18">
        <v>2012</v>
      </c>
      <c r="AD238" s="21" t="s">
        <v>40</v>
      </c>
      <c r="AE238" s="15">
        <f>+Tabla5[[#This Row],[Trenes Puntuales]]/Tabla5[[#This Row],[Trenes Programados]]</f>
        <v>0.61964164209571326</v>
      </c>
      <c r="AF238" s="15">
        <f>+Tabla5[[#This Row],[Trenes Puntuales]]/Tabla5[[#This Row],[Trenes Corridos]]</f>
        <v>0.65531302470616459</v>
      </c>
      <c r="AG238" s="15">
        <f>+Tabla5[[#This Row],[Trenes Corridos]]/Tabla5[[#This Row],[Trenes Programados]]</f>
        <v>0.94556588795645269</v>
      </c>
      <c r="AH238" s="16"/>
      <c r="AI238" s="16"/>
      <c r="AJ238" s="16">
        <v>4409</v>
      </c>
      <c r="AK238" s="16">
        <f t="shared" si="111"/>
        <v>240</v>
      </c>
      <c r="AL238" s="16">
        <v>4169</v>
      </c>
      <c r="AM238" s="16">
        <v>2732</v>
      </c>
      <c r="AN238" s="16">
        <f t="shared" si="112"/>
        <v>1437</v>
      </c>
      <c r="AO238" s="16"/>
      <c r="AP238" s="17"/>
      <c r="AQ238" s="18">
        <v>2012</v>
      </c>
      <c r="AR238" s="21" t="s">
        <v>40</v>
      </c>
      <c r="AS238" s="15">
        <f>+Tabla6[[#This Row],[Trenes Puntuales]]/Tabla6[[#This Row],[Trenes Programados]]</f>
        <v>0.67793427230046943</v>
      </c>
      <c r="AT238" s="15">
        <f>+Tabla6[[#This Row],[Trenes Puntuales]]/Tabla6[[#This Row],[Trenes Corridos]]</f>
        <v>0.7134387351778656</v>
      </c>
      <c r="AU238" s="15">
        <f>+Tabla6[[#This Row],[Trenes Corridos]]/Tabla6[[#This Row],[Trenes Programados]]</f>
        <v>0.95023474178403755</v>
      </c>
      <c r="AV238" s="16"/>
      <c r="AW238" s="16"/>
      <c r="AX238" s="16">
        <v>3195</v>
      </c>
      <c r="AY238" s="16">
        <f t="shared" si="113"/>
        <v>159</v>
      </c>
      <c r="AZ238" s="16">
        <v>3036</v>
      </c>
      <c r="BA238" s="16">
        <v>2166</v>
      </c>
      <c r="BB238" s="16">
        <f t="shared" si="114"/>
        <v>870</v>
      </c>
      <c r="BC238" s="16"/>
      <c r="BD238" s="17"/>
      <c r="BE238" s="18">
        <v>2012</v>
      </c>
      <c r="BF238" s="21" t="s">
        <v>40</v>
      </c>
      <c r="BG238" s="15">
        <f>+MIT_Vic_Cap[[#This Row],[Trenes Puntuales]]/MIT_Vic_Cap[[#This Row],[Trenes Programados]]</f>
        <v>0.52663934426229508</v>
      </c>
      <c r="BH238" s="15">
        <f>+MIT_Vic_Cap[[#This Row],[Trenes Puntuales]]/MIT_Vic_Cap[[#This Row],[Trenes Corridos]]</f>
        <v>0.58542141230068334</v>
      </c>
      <c r="BI238" s="15">
        <f>+MIT_Vic_Cap[[#This Row],[Trenes Corridos]]/MIT_Vic_Cap[[#This Row],[Trenes Programados]]</f>
        <v>0.89959016393442626</v>
      </c>
      <c r="BJ238" s="16"/>
      <c r="BK238" s="16"/>
      <c r="BL238" s="16">
        <v>976</v>
      </c>
      <c r="BM238" s="16">
        <f t="shared" si="115"/>
        <v>98</v>
      </c>
      <c r="BN238" s="16">
        <v>878</v>
      </c>
      <c r="BO238" s="16">
        <v>514</v>
      </c>
      <c r="BP238" s="16">
        <f t="shared" si="116"/>
        <v>364</v>
      </c>
      <c r="BQ238" s="16"/>
      <c r="BR238" s="17"/>
      <c r="BS238" s="18">
        <v>2012</v>
      </c>
      <c r="BT238" s="21" t="s">
        <v>40</v>
      </c>
      <c r="BU238" s="15">
        <f>+Tabla8[[#This Row],[Trenes Puntuales]]/Tabla8[[#This Row],[Trenes Programados]]</f>
        <v>0.37179487179487181</v>
      </c>
      <c r="BV238" s="15">
        <f>+Tabla8[[#This Row],[Trenes Puntuales]]/Tabla8[[#This Row],[Trenes Corridos]]</f>
        <v>0.39908256880733944</v>
      </c>
      <c r="BW238" s="15">
        <f>+Tabla8[[#This Row],[Trenes Corridos]]/Tabla8[[#This Row],[Trenes Programados]]</f>
        <v>0.93162393162393164</v>
      </c>
      <c r="BX238" s="16"/>
      <c r="BY238" s="16"/>
      <c r="BZ238" s="16">
        <v>936</v>
      </c>
      <c r="CA238" s="16">
        <f t="shared" si="117"/>
        <v>64</v>
      </c>
      <c r="CB238" s="16">
        <v>872</v>
      </c>
      <c r="CC238" s="16">
        <v>348</v>
      </c>
      <c r="CD238" s="16">
        <f t="shared" si="118"/>
        <v>524</v>
      </c>
      <c r="CI238" s="40"/>
      <c r="CJ238" s="40"/>
      <c r="CK238" s="40"/>
      <c r="CL238" s="40"/>
      <c r="CM238" s="40"/>
    </row>
    <row r="239" spans="1:91" s="18" customFormat="1" ht="15" customHeight="1">
      <c r="A239" s="18">
        <v>2012</v>
      </c>
      <c r="B239" s="21" t="s">
        <v>41</v>
      </c>
      <c r="C239" s="15">
        <f>+MITRE[[#This Row],[Trenes Puntuales]]/MITRE[[#This Row],[Trenes Programados]]</f>
        <v>0.63600273785078709</v>
      </c>
      <c r="D239" s="15">
        <f>+MITRE[[#This Row],[Trenes Puntuales]]/MITRE[[#This Row],[Trenes Corridos]]</f>
        <v>0.68118173154460815</v>
      </c>
      <c r="E239" s="15">
        <f>+MITRE[[#This Row],[Trenes Corridos]]/MITRE[[#This Row],[Trenes Programados]]</f>
        <v>0.93367556468172486</v>
      </c>
      <c r="F239" s="16">
        <f>+Tabla4[[#This Row],[Trenes Programados por Día Hábil]]+Tabla5[[#This Row],[Trenes Programados por Día Hábil]]+Tabla6[[#This Row],[Trenes Programados por Día Hábil]]+MIT_Vic_Cap[[#This Row],[Trenes Programados por Día Hábil]]+Tabla8[[#This Row],[Trenes Programados por Día Hábil]]</f>
        <v>0</v>
      </c>
      <c r="G23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9" s="16">
        <f t="shared" si="75"/>
        <v>14610</v>
      </c>
      <c r="I239" s="16">
        <f t="shared" si="76"/>
        <v>969</v>
      </c>
      <c r="J239" s="16">
        <f t="shared" si="77"/>
        <v>13641</v>
      </c>
      <c r="K239" s="16">
        <f t="shared" si="78"/>
        <v>9292</v>
      </c>
      <c r="L239" s="16">
        <f t="shared" si="79"/>
        <v>4349</v>
      </c>
      <c r="M239" s="16"/>
      <c r="N239" s="17"/>
      <c r="O239" s="18">
        <v>2012</v>
      </c>
      <c r="P239" s="21" t="s">
        <v>41</v>
      </c>
      <c r="Q239" s="15">
        <f>+Tabla4[[#This Row],[Trenes Puntuales]]/Tabla4[[#This Row],[Trenes Programados]]</f>
        <v>0.62317757009345798</v>
      </c>
      <c r="R239" s="15">
        <f>+Tabla4[[#This Row],[Trenes Puntuales]]/Tabla4[[#This Row],[Trenes Corridos]]</f>
        <v>0.68474019305812284</v>
      </c>
      <c r="S239" s="15">
        <f>+Tabla4[[#This Row],[Trenes Corridos]]/Tabla4[[#This Row],[Trenes Programados]]</f>
        <v>0.91009345794392527</v>
      </c>
      <c r="T239" s="16"/>
      <c r="U239" s="16"/>
      <c r="V239" s="16">
        <v>5350</v>
      </c>
      <c r="W239" s="16">
        <f t="shared" si="109"/>
        <v>481</v>
      </c>
      <c r="X239" s="16">
        <v>4869</v>
      </c>
      <c r="Y239" s="16">
        <v>3334</v>
      </c>
      <c r="Z239" s="16">
        <f t="shared" si="110"/>
        <v>1535</v>
      </c>
      <c r="AA239" s="16"/>
      <c r="AB239" s="17"/>
      <c r="AC239" s="18">
        <v>2012</v>
      </c>
      <c r="AD239" s="21" t="s">
        <v>41</v>
      </c>
      <c r="AE239" s="15">
        <f>+Tabla5[[#This Row],[Trenes Puntuales]]/Tabla5[[#This Row],[Trenes Programados]]</f>
        <v>0.65611175785797438</v>
      </c>
      <c r="AF239" s="15">
        <f>+Tabla5[[#This Row],[Trenes Puntuales]]/Tabla5[[#This Row],[Trenes Corridos]]</f>
        <v>0.68232445520581109</v>
      </c>
      <c r="AG239" s="15">
        <f>+Tabla5[[#This Row],[Trenes Corridos]]/Tabla5[[#This Row],[Trenes Programados]]</f>
        <v>0.96158323632130382</v>
      </c>
      <c r="AH239" s="16"/>
      <c r="AI239" s="16"/>
      <c r="AJ239" s="16">
        <v>4295</v>
      </c>
      <c r="AK239" s="16">
        <f t="shared" si="111"/>
        <v>165</v>
      </c>
      <c r="AL239" s="16">
        <v>4130</v>
      </c>
      <c r="AM239" s="16">
        <v>2818</v>
      </c>
      <c r="AN239" s="16">
        <f t="shared" si="112"/>
        <v>1312</v>
      </c>
      <c r="AO239" s="16"/>
      <c r="AP239" s="17"/>
      <c r="AQ239" s="18">
        <v>2012</v>
      </c>
      <c r="AR239" s="21" t="s">
        <v>41</v>
      </c>
      <c r="AS239" s="15">
        <f>+Tabla6[[#This Row],[Trenes Puntuales]]/Tabla6[[#This Row],[Trenes Programados]]</f>
        <v>0.7256038647342995</v>
      </c>
      <c r="AT239" s="15">
        <f>+Tabla6[[#This Row],[Trenes Puntuales]]/Tabla6[[#This Row],[Trenes Corridos]]</f>
        <v>0.76114864864864862</v>
      </c>
      <c r="AU239" s="15">
        <f>+Tabla6[[#This Row],[Trenes Corridos]]/Tabla6[[#This Row],[Trenes Programados]]</f>
        <v>0.95330112721417071</v>
      </c>
      <c r="AV239" s="16"/>
      <c r="AW239" s="16"/>
      <c r="AX239" s="16">
        <v>3105</v>
      </c>
      <c r="AY239" s="16">
        <f t="shared" si="113"/>
        <v>145</v>
      </c>
      <c r="AZ239" s="16">
        <v>2960</v>
      </c>
      <c r="BA239" s="16">
        <v>2253</v>
      </c>
      <c r="BB239" s="16">
        <f t="shared" si="114"/>
        <v>707</v>
      </c>
      <c r="BC239" s="16"/>
      <c r="BD239" s="17"/>
      <c r="BE239" s="18">
        <v>2012</v>
      </c>
      <c r="BF239" s="21" t="s">
        <v>41</v>
      </c>
      <c r="BG239" s="15">
        <f>+MIT_Vic_Cap[[#This Row],[Trenes Puntuales]]/MIT_Vic_Cap[[#This Row],[Trenes Programados]]</f>
        <v>0.54869109947643979</v>
      </c>
      <c r="BH239" s="15">
        <f>+MIT_Vic_Cap[[#This Row],[Trenes Puntuales]]/MIT_Vic_Cap[[#This Row],[Trenes Corridos]]</f>
        <v>0.6164705882352941</v>
      </c>
      <c r="BI239" s="15">
        <f>+MIT_Vic_Cap[[#This Row],[Trenes Corridos]]/MIT_Vic_Cap[[#This Row],[Trenes Programados]]</f>
        <v>0.89005235602094246</v>
      </c>
      <c r="BJ239" s="16"/>
      <c r="BK239" s="16"/>
      <c r="BL239" s="16">
        <v>955</v>
      </c>
      <c r="BM239" s="16">
        <f t="shared" si="115"/>
        <v>105</v>
      </c>
      <c r="BN239" s="16">
        <v>850</v>
      </c>
      <c r="BO239" s="16">
        <v>524</v>
      </c>
      <c r="BP239" s="16">
        <f t="shared" si="116"/>
        <v>326</v>
      </c>
      <c r="BQ239" s="16"/>
      <c r="BR239" s="17"/>
      <c r="BS239" s="18">
        <v>2012</v>
      </c>
      <c r="BT239" s="21" t="s">
        <v>41</v>
      </c>
      <c r="BU239" s="15">
        <f>+Tabla8[[#This Row],[Trenes Puntuales]]/Tabla8[[#This Row],[Trenes Programados]]</f>
        <v>0.40110497237569059</v>
      </c>
      <c r="BV239" s="15">
        <f>+Tabla8[[#This Row],[Trenes Puntuales]]/Tabla8[[#This Row],[Trenes Corridos]]</f>
        <v>0.43629807692307693</v>
      </c>
      <c r="BW239" s="15">
        <f>+Tabla8[[#This Row],[Trenes Corridos]]/Tabla8[[#This Row],[Trenes Programados]]</f>
        <v>0.91933701657458566</v>
      </c>
      <c r="BX239" s="16"/>
      <c r="BY239" s="16"/>
      <c r="BZ239" s="16">
        <v>905</v>
      </c>
      <c r="CA239" s="16">
        <f t="shared" si="117"/>
        <v>73</v>
      </c>
      <c r="CB239" s="16">
        <v>832</v>
      </c>
      <c r="CC239" s="16">
        <v>363</v>
      </c>
      <c r="CD239" s="16">
        <f t="shared" si="118"/>
        <v>469</v>
      </c>
      <c r="CI239" s="40"/>
      <c r="CJ239" s="40"/>
      <c r="CK239" s="40"/>
      <c r="CL239" s="40"/>
      <c r="CM239" s="40"/>
    </row>
    <row r="240" spans="1:91" s="18" customFormat="1" ht="15" customHeight="1">
      <c r="A240" s="18">
        <v>2012</v>
      </c>
      <c r="B240" s="21" t="s">
        <v>42</v>
      </c>
      <c r="C240" s="15">
        <f>+MITRE[[#This Row],[Trenes Puntuales]]/MITRE[[#This Row],[Trenes Programados]]</f>
        <v>0.6467101758124667</v>
      </c>
      <c r="D240" s="15">
        <f>+MITRE[[#This Row],[Trenes Puntuales]]/MITRE[[#This Row],[Trenes Corridos]]</f>
        <v>0.70232154480364506</v>
      </c>
      <c r="E240" s="15">
        <f>+MITRE[[#This Row],[Trenes Corridos]]/MITRE[[#This Row],[Trenes Programados]]</f>
        <v>0.92081779435269051</v>
      </c>
      <c r="F240" s="16">
        <f>+Tabla4[[#This Row],[Trenes Programados por Día Hábil]]+Tabla5[[#This Row],[Trenes Programados por Día Hábil]]+Tabla6[[#This Row],[Trenes Programados por Día Hábil]]+MIT_Vic_Cap[[#This Row],[Trenes Programados por Día Hábil]]+Tabla8[[#This Row],[Trenes Programados por Día Hábil]]</f>
        <v>0</v>
      </c>
      <c r="G24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0" s="16">
        <f t="shared" si="75"/>
        <v>15016</v>
      </c>
      <c r="I240" s="16">
        <f t="shared" si="76"/>
        <v>1189</v>
      </c>
      <c r="J240" s="16">
        <f t="shared" si="77"/>
        <v>13827</v>
      </c>
      <c r="K240" s="16">
        <f t="shared" si="78"/>
        <v>9711</v>
      </c>
      <c r="L240" s="16">
        <f t="shared" si="79"/>
        <v>4116</v>
      </c>
      <c r="M240" s="16"/>
      <c r="N240" s="17"/>
      <c r="O240" s="18">
        <v>2012</v>
      </c>
      <c r="P240" s="21" t="s">
        <v>42</v>
      </c>
      <c r="Q240" s="15">
        <f>+Tabla4[[#This Row],[Trenes Puntuales]]/Tabla4[[#This Row],[Trenes Programados]]</f>
        <v>0.62109090909090914</v>
      </c>
      <c r="R240" s="15">
        <f>+Tabla4[[#This Row],[Trenes Puntuales]]/Tabla4[[#This Row],[Trenes Corridos]]</f>
        <v>0.69360406091370563</v>
      </c>
      <c r="S240" s="15">
        <f>+Tabla4[[#This Row],[Trenes Corridos]]/Tabla4[[#This Row],[Trenes Programados]]</f>
        <v>0.8954545454545455</v>
      </c>
      <c r="T240" s="16"/>
      <c r="U240" s="16"/>
      <c r="V240" s="16">
        <v>5500</v>
      </c>
      <c r="W240" s="16">
        <f t="shared" si="109"/>
        <v>575</v>
      </c>
      <c r="X240" s="16">
        <v>4925</v>
      </c>
      <c r="Y240" s="16">
        <v>3416</v>
      </c>
      <c r="Z240" s="16">
        <f t="shared" si="110"/>
        <v>1509</v>
      </c>
      <c r="AA240" s="16"/>
      <c r="AB240" s="17"/>
      <c r="AC240" s="18">
        <v>2012</v>
      </c>
      <c r="AD240" s="21" t="s">
        <v>42</v>
      </c>
      <c r="AE240" s="15">
        <f>+Tabla5[[#This Row],[Trenes Puntuales]]/Tabla5[[#This Row],[Trenes Programados]]</f>
        <v>0.69040598775232476</v>
      </c>
      <c r="AF240" s="15">
        <f>+Tabla5[[#This Row],[Trenes Puntuales]]/Tabla5[[#This Row],[Trenes Corridos]]</f>
        <v>0.70972254604802987</v>
      </c>
      <c r="AG240" s="15">
        <f>+Tabla5[[#This Row],[Trenes Corridos]]/Tabla5[[#This Row],[Trenes Programados]]</f>
        <v>0.9727829439782264</v>
      </c>
      <c r="AH240" s="16"/>
      <c r="AI240" s="16"/>
      <c r="AJ240" s="16">
        <v>4409</v>
      </c>
      <c r="AK240" s="16">
        <f t="shared" si="111"/>
        <v>120</v>
      </c>
      <c r="AL240" s="16">
        <v>4289</v>
      </c>
      <c r="AM240" s="16">
        <v>3044</v>
      </c>
      <c r="AN240" s="16">
        <f t="shared" si="112"/>
        <v>1245</v>
      </c>
      <c r="AO240" s="16"/>
      <c r="AP240" s="17"/>
      <c r="AQ240" s="18">
        <v>2012</v>
      </c>
      <c r="AR240" s="21" t="s">
        <v>42</v>
      </c>
      <c r="AS240" s="15">
        <f>+Tabla6[[#This Row],[Trenes Puntuales]]/Tabla6[[#This Row],[Trenes Programados]]</f>
        <v>0.76338028169014083</v>
      </c>
      <c r="AT240" s="15">
        <f>+Tabla6[[#This Row],[Trenes Puntuales]]/Tabla6[[#This Row],[Trenes Corridos]]</f>
        <v>0.79111255270840086</v>
      </c>
      <c r="AU240" s="15">
        <f>+Tabla6[[#This Row],[Trenes Corridos]]/Tabla6[[#This Row],[Trenes Programados]]</f>
        <v>0.96494522691705786</v>
      </c>
      <c r="AV240" s="16"/>
      <c r="AW240" s="16"/>
      <c r="AX240" s="16">
        <v>3195</v>
      </c>
      <c r="AY240" s="16">
        <f t="shared" si="113"/>
        <v>112</v>
      </c>
      <c r="AZ240" s="16">
        <v>3083</v>
      </c>
      <c r="BA240" s="16">
        <v>2439</v>
      </c>
      <c r="BB240" s="16">
        <f t="shared" si="114"/>
        <v>644</v>
      </c>
      <c r="BC240" s="16"/>
      <c r="BD240" s="17"/>
      <c r="BE240" s="18">
        <v>2012</v>
      </c>
      <c r="BF240" s="21" t="s">
        <v>42</v>
      </c>
      <c r="BG240" s="15">
        <f>+MIT_Vic_Cap[[#This Row],[Trenes Puntuales]]/MIT_Vic_Cap[[#This Row],[Trenes Programados]]</f>
        <v>0.43237704918032788</v>
      </c>
      <c r="BH240" s="15">
        <f>+MIT_Vic_Cap[[#This Row],[Trenes Puntuales]]/MIT_Vic_Cap[[#This Row],[Trenes Corridos]]</f>
        <v>0.5952045133991537</v>
      </c>
      <c r="BI240" s="15">
        <f>+MIT_Vic_Cap[[#This Row],[Trenes Corridos]]/MIT_Vic_Cap[[#This Row],[Trenes Programados]]</f>
        <v>0.72643442622950816</v>
      </c>
      <c r="BJ240" s="16"/>
      <c r="BK240" s="16"/>
      <c r="BL240" s="16">
        <v>976</v>
      </c>
      <c r="BM240" s="16">
        <f t="shared" si="115"/>
        <v>267</v>
      </c>
      <c r="BN240" s="16">
        <v>709</v>
      </c>
      <c r="BO240" s="16">
        <v>422</v>
      </c>
      <c r="BP240" s="16">
        <f t="shared" si="116"/>
        <v>287</v>
      </c>
      <c r="BQ240" s="16"/>
      <c r="BR240" s="17"/>
      <c r="BS240" s="18">
        <v>2012</v>
      </c>
      <c r="BT240" s="21" t="s">
        <v>42</v>
      </c>
      <c r="BU240" s="15">
        <f>+Tabla8[[#This Row],[Trenes Puntuales]]/Tabla8[[#This Row],[Trenes Programados]]</f>
        <v>0.41666666666666669</v>
      </c>
      <c r="BV240" s="15">
        <f>+Tabla8[[#This Row],[Trenes Puntuales]]/Tabla8[[#This Row],[Trenes Corridos]]</f>
        <v>0.47503045066991473</v>
      </c>
      <c r="BW240" s="15">
        <f>+Tabla8[[#This Row],[Trenes Corridos]]/Tabla8[[#This Row],[Trenes Programados]]</f>
        <v>0.87713675213675213</v>
      </c>
      <c r="BX240" s="16"/>
      <c r="BY240" s="16"/>
      <c r="BZ240" s="16">
        <v>936</v>
      </c>
      <c r="CA240" s="16">
        <f t="shared" si="117"/>
        <v>115</v>
      </c>
      <c r="CB240" s="16">
        <v>821</v>
      </c>
      <c r="CC240" s="16">
        <v>390</v>
      </c>
      <c r="CD240" s="16">
        <f t="shared" si="118"/>
        <v>431</v>
      </c>
      <c r="CI240" s="40"/>
      <c r="CJ240" s="40"/>
      <c r="CK240" s="40"/>
      <c r="CL240" s="40"/>
      <c r="CM240" s="40"/>
    </row>
    <row r="241" spans="1:91" s="18" customFormat="1" ht="15" customHeight="1">
      <c r="A241" s="18">
        <v>2012</v>
      </c>
      <c r="B241" s="21" t="s">
        <v>43</v>
      </c>
      <c r="C241" s="15">
        <f>+MITRE[[#This Row],[Trenes Puntuales]]/MITRE[[#This Row],[Trenes Programados]]</f>
        <v>0.47732195602231703</v>
      </c>
      <c r="D241" s="15">
        <f>+MITRE[[#This Row],[Trenes Puntuales]]/MITRE[[#This Row],[Trenes Corridos]]</f>
        <v>0.56245649315492308</v>
      </c>
      <c r="E241" s="15">
        <f>+MITRE[[#This Row],[Trenes Corridos]]/MITRE[[#This Row],[Trenes Programados]]</f>
        <v>0.8486380045946833</v>
      </c>
      <c r="F241" s="16">
        <f>+Tabla4[[#This Row],[Trenes Programados por Día Hábil]]+Tabla5[[#This Row],[Trenes Programados por Día Hábil]]+Tabla6[[#This Row],[Trenes Programados por Día Hábil]]+MIT_Vic_Cap[[#This Row],[Trenes Programados por Día Hábil]]+Tabla8[[#This Row],[Trenes Programados por Día Hábil]]</f>
        <v>0</v>
      </c>
      <c r="G24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1" s="16">
        <f t="shared" si="75"/>
        <v>15235</v>
      </c>
      <c r="I241" s="16">
        <f t="shared" si="76"/>
        <v>2306</v>
      </c>
      <c r="J241" s="16">
        <f t="shared" si="77"/>
        <v>12929</v>
      </c>
      <c r="K241" s="16">
        <f t="shared" si="78"/>
        <v>7272</v>
      </c>
      <c r="L241" s="16">
        <f t="shared" si="79"/>
        <v>5657</v>
      </c>
      <c r="M241" s="16"/>
      <c r="N241" s="17"/>
      <c r="O241" s="18">
        <v>2012</v>
      </c>
      <c r="P241" s="21" t="s">
        <v>43</v>
      </c>
      <c r="Q241" s="15">
        <f>+Tabla4[[#This Row],[Trenes Puntuales]]/Tabla4[[#This Row],[Trenes Programados]]</f>
        <v>0.38819320214669051</v>
      </c>
      <c r="R241" s="15">
        <f>+Tabla4[[#This Row],[Trenes Puntuales]]/Tabla4[[#This Row],[Trenes Corridos]]</f>
        <v>0.49827784156142363</v>
      </c>
      <c r="S241" s="15">
        <f>+Tabla4[[#This Row],[Trenes Corridos]]/Tabla4[[#This Row],[Trenes Programados]]</f>
        <v>0.77906976744186052</v>
      </c>
      <c r="T241" s="16"/>
      <c r="U241" s="16"/>
      <c r="V241" s="16">
        <v>5590</v>
      </c>
      <c r="W241" s="16">
        <f t="shared" si="109"/>
        <v>1235</v>
      </c>
      <c r="X241" s="16">
        <v>4355</v>
      </c>
      <c r="Y241" s="16">
        <v>2170</v>
      </c>
      <c r="Z241" s="16">
        <f t="shared" si="110"/>
        <v>2185</v>
      </c>
      <c r="AA241" s="16"/>
      <c r="AB241" s="17"/>
      <c r="AC241" s="18">
        <v>2012</v>
      </c>
      <c r="AD241" s="21" t="s">
        <v>43</v>
      </c>
      <c r="AE241" s="15">
        <f>+Tabla5[[#This Row],[Trenes Puntuales]]/Tabla5[[#This Row],[Trenes Programados]]</f>
        <v>0.54789015405224384</v>
      </c>
      <c r="AF241" s="15">
        <f>+Tabla5[[#This Row],[Trenes Puntuales]]/Tabla5[[#This Row],[Trenes Corridos]]</f>
        <v>0.58637992831541219</v>
      </c>
      <c r="AG241" s="15">
        <f>+Tabla5[[#This Row],[Trenes Corridos]]/Tabla5[[#This Row],[Trenes Programados]]</f>
        <v>0.93436034829202952</v>
      </c>
      <c r="AH241" s="16"/>
      <c r="AI241" s="16"/>
      <c r="AJ241" s="16">
        <v>4479</v>
      </c>
      <c r="AK241" s="16">
        <f t="shared" si="111"/>
        <v>294</v>
      </c>
      <c r="AL241" s="16">
        <v>4185</v>
      </c>
      <c r="AM241" s="16">
        <v>2454</v>
      </c>
      <c r="AN241" s="16">
        <f t="shared" si="112"/>
        <v>1731</v>
      </c>
      <c r="AO241" s="16"/>
      <c r="AP241" s="17"/>
      <c r="AQ241" s="18">
        <v>2012</v>
      </c>
      <c r="AR241" s="21" t="s">
        <v>43</v>
      </c>
      <c r="AS241" s="15">
        <f>+Tabla6[[#This Row],[Trenes Puntuales]]/Tabla6[[#This Row],[Trenes Programados]]</f>
        <v>0.60136603539273514</v>
      </c>
      <c r="AT241" s="15">
        <f>+Tabla6[[#This Row],[Trenes Puntuales]]/Tabla6[[#This Row],[Trenes Corridos]]</f>
        <v>0.65306810519217806</v>
      </c>
      <c r="AU241" s="15">
        <f>+Tabla6[[#This Row],[Trenes Corridos]]/Tabla6[[#This Row],[Trenes Programados]]</f>
        <v>0.92083203973921146</v>
      </c>
      <c r="AV241" s="16"/>
      <c r="AW241" s="16"/>
      <c r="AX241" s="16">
        <v>3221</v>
      </c>
      <c r="AY241" s="16">
        <f t="shared" si="113"/>
        <v>255</v>
      </c>
      <c r="AZ241" s="16">
        <v>2966</v>
      </c>
      <c r="BA241" s="16">
        <v>1937</v>
      </c>
      <c r="BB241" s="16">
        <f t="shared" si="114"/>
        <v>1029</v>
      </c>
      <c r="BC241" s="16"/>
      <c r="BD241" s="17"/>
      <c r="BE241" s="18">
        <v>2012</v>
      </c>
      <c r="BF241" s="21" t="s">
        <v>43</v>
      </c>
      <c r="BG241" s="15">
        <f>+MIT_Vic_Cap[[#This Row],[Trenes Puntuales]]/MIT_Vic_Cap[[#This Row],[Trenes Programados]]</f>
        <v>0.34782608695652173</v>
      </c>
      <c r="BH241" s="15">
        <f>+MIT_Vic_Cap[[#This Row],[Trenes Puntuales]]/MIT_Vic_Cap[[#This Row],[Trenes Corridos]]</f>
        <v>0.53834115805946792</v>
      </c>
      <c r="BI241" s="15">
        <f>+MIT_Vic_Cap[[#This Row],[Trenes Corridos]]/MIT_Vic_Cap[[#This Row],[Trenes Programados]]</f>
        <v>0.64610717896865522</v>
      </c>
      <c r="BJ241" s="16"/>
      <c r="BK241" s="16"/>
      <c r="BL241" s="16">
        <v>989</v>
      </c>
      <c r="BM241" s="16">
        <f t="shared" si="115"/>
        <v>350</v>
      </c>
      <c r="BN241" s="16">
        <v>639</v>
      </c>
      <c r="BO241" s="16">
        <v>344</v>
      </c>
      <c r="BP241" s="16">
        <f t="shared" si="116"/>
        <v>295</v>
      </c>
      <c r="BQ241" s="16"/>
      <c r="BR241" s="17"/>
      <c r="BS241" s="18">
        <v>2012</v>
      </c>
      <c r="BT241" s="21" t="s">
        <v>43</v>
      </c>
      <c r="BU241" s="15">
        <f>+Tabla8[[#This Row],[Trenes Puntuales]]/Tabla8[[#This Row],[Trenes Programados]]</f>
        <v>0.38389121338912136</v>
      </c>
      <c r="BV241" s="15">
        <f>+Tabla8[[#This Row],[Trenes Puntuales]]/Tabla8[[#This Row],[Trenes Corridos]]</f>
        <v>0.46811224489795916</v>
      </c>
      <c r="BW241" s="15">
        <f>+Tabla8[[#This Row],[Trenes Corridos]]/Tabla8[[#This Row],[Trenes Programados]]</f>
        <v>0.82008368200836823</v>
      </c>
      <c r="BX241" s="16"/>
      <c r="BY241" s="16"/>
      <c r="BZ241" s="16">
        <v>956</v>
      </c>
      <c r="CA241" s="16">
        <f t="shared" si="117"/>
        <v>172</v>
      </c>
      <c r="CB241" s="16">
        <v>784</v>
      </c>
      <c r="CC241" s="16">
        <v>367</v>
      </c>
      <c r="CD241" s="16">
        <f t="shared" si="118"/>
        <v>417</v>
      </c>
      <c r="CI241" s="40"/>
      <c r="CJ241" s="40"/>
      <c r="CK241" s="40"/>
      <c r="CL241" s="40"/>
      <c r="CM241" s="40"/>
    </row>
    <row r="242" spans="1:91" s="18" customFormat="1" ht="15" customHeight="1">
      <c r="A242" s="18">
        <v>2012</v>
      </c>
      <c r="B242" s="21" t="s">
        <v>44</v>
      </c>
      <c r="C242" s="15">
        <f>+MITRE[[#This Row],[Trenes Puntuales]]/MITRE[[#This Row],[Trenes Programados]]</f>
        <v>0.37711069418386489</v>
      </c>
      <c r="D242" s="15">
        <f>+MITRE[[#This Row],[Trenes Puntuales]]/MITRE[[#This Row],[Trenes Corridos]]</f>
        <v>0.45589717741935482</v>
      </c>
      <c r="E242" s="15">
        <f>+MITRE[[#This Row],[Trenes Corridos]]/MITRE[[#This Row],[Trenes Programados]]</f>
        <v>0.82718365645194913</v>
      </c>
      <c r="F242" s="16">
        <f>+Tabla4[[#This Row],[Trenes Programados por Día Hábil]]+Tabla5[[#This Row],[Trenes Programados por Día Hábil]]+Tabla6[[#This Row],[Trenes Programados por Día Hábil]]+MIT_Vic_Cap[[#This Row],[Trenes Programados por Día Hábil]]+Tabla8[[#This Row],[Trenes Programados por Día Hábil]]</f>
        <v>0</v>
      </c>
      <c r="G24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2" s="16">
        <f t="shared" si="75"/>
        <v>14391</v>
      </c>
      <c r="I242" s="16">
        <f t="shared" si="76"/>
        <v>2487</v>
      </c>
      <c r="J242" s="16">
        <f t="shared" si="77"/>
        <v>11904</v>
      </c>
      <c r="K242" s="16">
        <f t="shared" si="78"/>
        <v>5427</v>
      </c>
      <c r="L242" s="16">
        <f t="shared" si="79"/>
        <v>6477</v>
      </c>
      <c r="M242" s="16"/>
      <c r="N242" s="17"/>
      <c r="O242" s="18">
        <v>2012</v>
      </c>
      <c r="P242" s="21" t="s">
        <v>44</v>
      </c>
      <c r="Q242" s="15">
        <f>+Tabla4[[#This Row],[Trenes Puntuales]]/Tabla4[[#This Row],[Trenes Programados]]</f>
        <v>0.26596958174904944</v>
      </c>
      <c r="R242" s="15">
        <f>+Tabla4[[#This Row],[Trenes Puntuales]]/Tabla4[[#This Row],[Trenes Corridos]]</f>
        <v>0.34365020879390812</v>
      </c>
      <c r="S242" s="15">
        <f>+Tabla4[[#This Row],[Trenes Corridos]]/Tabla4[[#This Row],[Trenes Programados]]</f>
        <v>0.77395437262357414</v>
      </c>
      <c r="T242" s="16"/>
      <c r="U242" s="16"/>
      <c r="V242" s="16">
        <v>5260</v>
      </c>
      <c r="W242" s="16">
        <f t="shared" si="109"/>
        <v>1189</v>
      </c>
      <c r="X242" s="16">
        <v>4071</v>
      </c>
      <c r="Y242" s="16">
        <v>1399</v>
      </c>
      <c r="Z242" s="16">
        <f t="shared" si="110"/>
        <v>2672</v>
      </c>
      <c r="AA242" s="16"/>
      <c r="AB242" s="17"/>
      <c r="AC242" s="18">
        <v>2012</v>
      </c>
      <c r="AD242" s="21" t="s">
        <v>44</v>
      </c>
      <c r="AE242" s="15">
        <f>+Tabla5[[#This Row],[Trenes Puntuales]]/Tabla5[[#This Row],[Trenes Programados]]</f>
        <v>0.45562130177514792</v>
      </c>
      <c r="AF242" s="15">
        <f>+Tabla5[[#This Row],[Trenes Puntuales]]/Tabla5[[#This Row],[Trenes Corridos]]</f>
        <v>0.50261096605744127</v>
      </c>
      <c r="AG242" s="15">
        <f>+Tabla5[[#This Row],[Trenes Corridos]]/Tabla5[[#This Row],[Trenes Programados]]</f>
        <v>0.906508875739645</v>
      </c>
      <c r="AH242" s="16"/>
      <c r="AI242" s="16"/>
      <c r="AJ242" s="16">
        <v>4225</v>
      </c>
      <c r="AK242" s="16">
        <f t="shared" si="111"/>
        <v>395</v>
      </c>
      <c r="AL242" s="16">
        <v>3830</v>
      </c>
      <c r="AM242" s="16">
        <v>1925</v>
      </c>
      <c r="AN242" s="16">
        <f t="shared" si="112"/>
        <v>1905</v>
      </c>
      <c r="AO242" s="16"/>
      <c r="AP242" s="17"/>
      <c r="AQ242" s="18">
        <v>2012</v>
      </c>
      <c r="AR242" s="21" t="s">
        <v>44</v>
      </c>
      <c r="AS242" s="15">
        <f>+Tabla6[[#This Row],[Trenes Puntuales]]/Tabla6[[#This Row],[Trenes Programados]]</f>
        <v>0.49204287106203315</v>
      </c>
      <c r="AT242" s="15">
        <f>+Tabla6[[#This Row],[Trenes Puntuales]]/Tabla6[[#This Row],[Trenes Corridos]]</f>
        <v>0.55924695459579177</v>
      </c>
      <c r="AU242" s="15">
        <f>+Tabla6[[#This Row],[Trenes Corridos]]/Tabla6[[#This Row],[Trenes Programados]]</f>
        <v>0.87983111399805136</v>
      </c>
      <c r="AV242" s="16"/>
      <c r="AW242" s="16"/>
      <c r="AX242" s="16">
        <v>3079</v>
      </c>
      <c r="AY242" s="16">
        <f t="shared" si="113"/>
        <v>370</v>
      </c>
      <c r="AZ242" s="16">
        <v>2709</v>
      </c>
      <c r="BA242" s="16">
        <v>1515</v>
      </c>
      <c r="BB242" s="16">
        <f t="shared" si="114"/>
        <v>1194</v>
      </c>
      <c r="BC242" s="16"/>
      <c r="BD242" s="17"/>
      <c r="BE242" s="18">
        <v>2012</v>
      </c>
      <c r="BF242" s="21" t="s">
        <v>44</v>
      </c>
      <c r="BG242" s="15">
        <f>+MIT_Vic_Cap[[#This Row],[Trenes Puntuales]]/MIT_Vic_Cap[[#This Row],[Trenes Programados]]</f>
        <v>0.30785562632696389</v>
      </c>
      <c r="BH242" s="15">
        <f>+MIT_Vic_Cap[[#This Row],[Trenes Puntuales]]/MIT_Vic_Cap[[#This Row],[Trenes Corridos]]</f>
        <v>0.5492424242424242</v>
      </c>
      <c r="BI242" s="15">
        <f>+MIT_Vic_Cap[[#This Row],[Trenes Corridos]]/MIT_Vic_Cap[[#This Row],[Trenes Programados]]</f>
        <v>0.56050955414012738</v>
      </c>
      <c r="BJ242" s="16"/>
      <c r="BK242" s="16"/>
      <c r="BL242" s="16">
        <v>942</v>
      </c>
      <c r="BM242" s="16">
        <f t="shared" si="115"/>
        <v>414</v>
      </c>
      <c r="BN242" s="16">
        <v>528</v>
      </c>
      <c r="BO242" s="16">
        <v>290</v>
      </c>
      <c r="BP242" s="16">
        <f t="shared" si="116"/>
        <v>238</v>
      </c>
      <c r="BQ242" s="16"/>
      <c r="BR242" s="17"/>
      <c r="BS242" s="18">
        <v>2012</v>
      </c>
      <c r="BT242" s="21" t="s">
        <v>44</v>
      </c>
      <c r="BU242" s="15">
        <f>+Tabla8[[#This Row],[Trenes Puntuales]]/Tabla8[[#This Row],[Trenes Programados]]</f>
        <v>0.33672316384180789</v>
      </c>
      <c r="BV242" s="15">
        <f>+Tabla8[[#This Row],[Trenes Puntuales]]/Tabla8[[#This Row],[Trenes Corridos]]</f>
        <v>0.38903394255874674</v>
      </c>
      <c r="BW242" s="15">
        <f>+Tabla8[[#This Row],[Trenes Corridos]]/Tabla8[[#This Row],[Trenes Programados]]</f>
        <v>0.86553672316384178</v>
      </c>
      <c r="BX242" s="16"/>
      <c r="BY242" s="16"/>
      <c r="BZ242" s="16">
        <v>885</v>
      </c>
      <c r="CA242" s="16">
        <f t="shared" si="117"/>
        <v>119</v>
      </c>
      <c r="CB242" s="16">
        <v>766</v>
      </c>
      <c r="CC242" s="16">
        <v>298</v>
      </c>
      <c r="CD242" s="16">
        <f t="shared" si="118"/>
        <v>468</v>
      </c>
      <c r="CI242" s="40"/>
      <c r="CJ242" s="40"/>
      <c r="CK242" s="40"/>
      <c r="CL242" s="40"/>
      <c r="CM242" s="40"/>
    </row>
    <row r="243" spans="1:91" s="18" customFormat="1" ht="15" customHeight="1">
      <c r="A243" s="18">
        <v>2012</v>
      </c>
      <c r="B243" s="21" t="s">
        <v>45</v>
      </c>
      <c r="C243" s="15">
        <f>+MITRE[[#This Row],[Trenes Puntuales]]/MITRE[[#This Row],[Trenes Programados]]</f>
        <v>0.36101083032490977</v>
      </c>
      <c r="D243" s="15">
        <f>+MITRE[[#This Row],[Trenes Puntuales]]/MITRE[[#This Row],[Trenes Corridos]]</f>
        <v>0.44017607042817125</v>
      </c>
      <c r="E243" s="15">
        <f>+MITRE[[#This Row],[Trenes Corridos]]/MITRE[[#This Row],[Trenes Programados]]</f>
        <v>0.82015096816540856</v>
      </c>
      <c r="F243" s="16">
        <f>+Tabla4[[#This Row],[Trenes Programados por Día Hábil]]+Tabla5[[#This Row],[Trenes Programados por Día Hábil]]+Tabla6[[#This Row],[Trenes Programados por Día Hábil]]+MIT_Vic_Cap[[#This Row],[Trenes Programados por Día Hábil]]+Tabla8[[#This Row],[Trenes Programados por Día Hábil]]</f>
        <v>0</v>
      </c>
      <c r="G24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3" s="16">
        <f t="shared" si="75"/>
        <v>15235</v>
      </c>
      <c r="I243" s="16">
        <f t="shared" si="76"/>
        <v>2740</v>
      </c>
      <c r="J243" s="16">
        <f t="shared" si="77"/>
        <v>12495</v>
      </c>
      <c r="K243" s="16">
        <f t="shared" si="78"/>
        <v>5500</v>
      </c>
      <c r="L243" s="16">
        <f t="shared" si="79"/>
        <v>6995</v>
      </c>
      <c r="M243" s="16"/>
      <c r="N243" s="17"/>
      <c r="O243" s="18">
        <v>2012</v>
      </c>
      <c r="P243" s="21" t="s">
        <v>45</v>
      </c>
      <c r="Q243" s="15">
        <f>+Tabla4[[#This Row],[Trenes Puntuales]]/Tabla4[[#This Row],[Trenes Programados]]</f>
        <v>0.24400715563506262</v>
      </c>
      <c r="R243" s="15">
        <f>+Tabla4[[#This Row],[Trenes Puntuales]]/Tabla4[[#This Row],[Trenes Corridos]]</f>
        <v>0.32499404336430782</v>
      </c>
      <c r="S243" s="15">
        <f>+Tabla4[[#This Row],[Trenes Corridos]]/Tabla4[[#This Row],[Trenes Programados]]</f>
        <v>0.75080500894454383</v>
      </c>
      <c r="T243" s="16"/>
      <c r="U243" s="16"/>
      <c r="V243" s="16">
        <v>5590</v>
      </c>
      <c r="W243" s="16">
        <f t="shared" si="109"/>
        <v>1393</v>
      </c>
      <c r="X243" s="16">
        <v>4197</v>
      </c>
      <c r="Y243" s="16">
        <v>1364</v>
      </c>
      <c r="Z243" s="16">
        <f t="shared" si="110"/>
        <v>2833</v>
      </c>
      <c r="AA243" s="16"/>
      <c r="AB243" s="17"/>
      <c r="AC243" s="18">
        <v>2012</v>
      </c>
      <c r="AD243" s="21" t="s">
        <v>45</v>
      </c>
      <c r="AE243" s="15">
        <f>+Tabla5[[#This Row],[Trenes Puntuales]]/Tabla5[[#This Row],[Trenes Programados]]</f>
        <v>0.42464835900870729</v>
      </c>
      <c r="AF243" s="15">
        <f>+Tabla5[[#This Row],[Trenes Puntuales]]/Tabla5[[#This Row],[Trenes Corridos]]</f>
        <v>0.45809248554913296</v>
      </c>
      <c r="AG243" s="15">
        <f>+Tabla5[[#This Row],[Trenes Corridos]]/Tabla5[[#This Row],[Trenes Programados]]</f>
        <v>0.92699263228399198</v>
      </c>
      <c r="AH243" s="16"/>
      <c r="AI243" s="16"/>
      <c r="AJ243" s="16">
        <v>4479</v>
      </c>
      <c r="AK243" s="16">
        <f t="shared" si="111"/>
        <v>327</v>
      </c>
      <c r="AL243" s="16">
        <v>4152</v>
      </c>
      <c r="AM243" s="16">
        <v>1902</v>
      </c>
      <c r="AN243" s="16">
        <f t="shared" si="112"/>
        <v>2250</v>
      </c>
      <c r="AO243" s="16"/>
      <c r="AP243" s="17"/>
      <c r="AQ243" s="18">
        <v>2012</v>
      </c>
      <c r="AR243" s="21" t="s">
        <v>45</v>
      </c>
      <c r="AS243" s="15">
        <f>+Tabla6[[#This Row],[Trenes Puntuales]]/Tabla6[[#This Row],[Trenes Programados]]</f>
        <v>0.47004036013660355</v>
      </c>
      <c r="AT243" s="15">
        <f>+Tabla6[[#This Row],[Trenes Puntuales]]/Tabla6[[#This Row],[Trenes Corridos]]</f>
        <v>0.52734238941135492</v>
      </c>
      <c r="AU243" s="15">
        <f>+Tabla6[[#This Row],[Trenes Corridos]]/Tabla6[[#This Row],[Trenes Programados]]</f>
        <v>0.89133809375970197</v>
      </c>
      <c r="AV243" s="16"/>
      <c r="AW243" s="16"/>
      <c r="AX243" s="16">
        <v>3221</v>
      </c>
      <c r="AY243" s="16">
        <f t="shared" si="113"/>
        <v>350</v>
      </c>
      <c r="AZ243" s="16">
        <v>2871</v>
      </c>
      <c r="BA243" s="16">
        <v>1514</v>
      </c>
      <c r="BB243" s="16">
        <f t="shared" si="114"/>
        <v>1357</v>
      </c>
      <c r="BC243" s="16"/>
      <c r="BD243" s="17"/>
      <c r="BE243" s="18">
        <v>2012</v>
      </c>
      <c r="BF243" s="21" t="s">
        <v>45</v>
      </c>
      <c r="BG243" s="15">
        <f>+MIT_Vic_Cap[[#This Row],[Trenes Puntuales]]/MIT_Vic_Cap[[#This Row],[Trenes Programados]]</f>
        <v>0.26390293225480282</v>
      </c>
      <c r="BH243" s="15">
        <f>+MIT_Vic_Cap[[#This Row],[Trenes Puntuales]]/MIT_Vic_Cap[[#This Row],[Trenes Corridos]]</f>
        <v>0.63503649635036497</v>
      </c>
      <c r="BI243" s="15">
        <f>+MIT_Vic_Cap[[#This Row],[Trenes Corridos]]/MIT_Vic_Cap[[#This Row],[Trenes Programados]]</f>
        <v>0.41557128412537919</v>
      </c>
      <c r="BJ243" s="16"/>
      <c r="BK243" s="16"/>
      <c r="BL243" s="16">
        <v>989</v>
      </c>
      <c r="BM243" s="16">
        <f t="shared" si="115"/>
        <v>578</v>
      </c>
      <c r="BN243" s="16">
        <v>411</v>
      </c>
      <c r="BO243" s="16">
        <v>261</v>
      </c>
      <c r="BP243" s="16">
        <f t="shared" si="116"/>
        <v>150</v>
      </c>
      <c r="BQ243" s="16"/>
      <c r="BR243" s="17"/>
      <c r="BS243" s="18">
        <v>2012</v>
      </c>
      <c r="BT243" s="21" t="s">
        <v>45</v>
      </c>
      <c r="BU243" s="15">
        <f>+Tabla8[[#This Row],[Trenes Puntuales]]/Tabla8[[#This Row],[Trenes Programados]]</f>
        <v>0.48012552301255229</v>
      </c>
      <c r="BV243" s="15">
        <f>+Tabla8[[#This Row],[Trenes Puntuales]]/Tabla8[[#This Row],[Trenes Corridos]]</f>
        <v>0.53125</v>
      </c>
      <c r="BW243" s="15">
        <f>+Tabla8[[#This Row],[Trenes Corridos]]/Tabla8[[#This Row],[Trenes Programados]]</f>
        <v>0.90376569037656906</v>
      </c>
      <c r="BX243" s="16"/>
      <c r="BY243" s="16"/>
      <c r="BZ243" s="16">
        <v>956</v>
      </c>
      <c r="CA243" s="16">
        <f t="shared" si="117"/>
        <v>92</v>
      </c>
      <c r="CB243" s="16">
        <v>864</v>
      </c>
      <c r="CC243" s="16">
        <v>459</v>
      </c>
      <c r="CD243" s="16">
        <f t="shared" si="118"/>
        <v>405</v>
      </c>
      <c r="CI243" s="40"/>
      <c r="CJ243" s="40"/>
      <c r="CK243" s="40"/>
      <c r="CL243" s="40"/>
      <c r="CM243" s="40"/>
    </row>
    <row r="244" spans="1:91" s="18" customFormat="1" ht="15" customHeight="1">
      <c r="A244" s="18">
        <v>2012</v>
      </c>
      <c r="B244" s="21" t="s">
        <v>46</v>
      </c>
      <c r="C244" s="15">
        <f>+MITRE[[#This Row],[Trenes Puntuales]]/MITRE[[#This Row],[Trenes Programados]]</f>
        <v>0.26134585289514867</v>
      </c>
      <c r="D244" s="15">
        <f>+MITRE[[#This Row],[Trenes Puntuales]]/MITRE[[#This Row],[Trenes Corridos]]</f>
        <v>0.36414486158513465</v>
      </c>
      <c r="E244" s="15">
        <f>+MITRE[[#This Row],[Trenes Corridos]]/MITRE[[#This Row],[Trenes Programados]]</f>
        <v>0.71769748928352728</v>
      </c>
      <c r="F244" s="16">
        <f>+Tabla4[[#This Row],[Trenes Programados por Día Hábil]]+Tabla5[[#This Row],[Trenes Programados por Día Hábil]]+Tabla6[[#This Row],[Trenes Programados por Día Hábil]]+MIT_Vic_Cap[[#This Row],[Trenes Programados por Día Hábil]]+Tabla8[[#This Row],[Trenes Programados por Día Hábil]]</f>
        <v>0</v>
      </c>
      <c r="G24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4" s="16">
        <f t="shared" si="75"/>
        <v>14697</v>
      </c>
      <c r="I244" s="16">
        <f t="shared" si="76"/>
        <v>4149</v>
      </c>
      <c r="J244" s="16">
        <f t="shared" si="77"/>
        <v>10548</v>
      </c>
      <c r="K244" s="16">
        <f t="shared" si="78"/>
        <v>3841</v>
      </c>
      <c r="L244" s="16">
        <f t="shared" si="79"/>
        <v>6707</v>
      </c>
      <c r="M244" s="16"/>
      <c r="N244" s="17"/>
      <c r="O244" s="18">
        <v>2012</v>
      </c>
      <c r="P244" s="21" t="s">
        <v>46</v>
      </c>
      <c r="Q244" s="15">
        <f>+Tabla4[[#This Row],[Trenes Puntuales]]/Tabla4[[#This Row],[Trenes Programados]]</f>
        <v>0.13840445269016696</v>
      </c>
      <c r="R244" s="15">
        <f>+Tabla4[[#This Row],[Trenes Puntuales]]/Tabla4[[#This Row],[Trenes Corridos]]</f>
        <v>0.23488664987405541</v>
      </c>
      <c r="S244" s="15">
        <f>+Tabla4[[#This Row],[Trenes Corridos]]/Tabla4[[#This Row],[Trenes Programados]]</f>
        <v>0.58923933209647494</v>
      </c>
      <c r="T244" s="16"/>
      <c r="U244" s="16"/>
      <c r="V244" s="16">
        <v>5390</v>
      </c>
      <c r="W244" s="16">
        <f t="shared" si="109"/>
        <v>2214</v>
      </c>
      <c r="X244" s="16">
        <v>3176</v>
      </c>
      <c r="Y244" s="16">
        <v>746</v>
      </c>
      <c r="Z244" s="16">
        <f t="shared" si="110"/>
        <v>2430</v>
      </c>
      <c r="AA244" s="16"/>
      <c r="AB244" s="17"/>
      <c r="AC244" s="18">
        <v>2012</v>
      </c>
      <c r="AD244" s="21" t="s">
        <v>46</v>
      </c>
      <c r="AE244" s="15">
        <f>+Tabla5[[#This Row],[Trenes Puntuales]]/Tabla5[[#This Row],[Trenes Programados]]</f>
        <v>0.31527777777777777</v>
      </c>
      <c r="AF244" s="15">
        <f>+Tabla5[[#This Row],[Trenes Puntuales]]/Tabla5[[#This Row],[Trenes Corridos]]</f>
        <v>0.36970684039087948</v>
      </c>
      <c r="AG244" s="15">
        <f>+Tabla5[[#This Row],[Trenes Corridos]]/Tabla5[[#This Row],[Trenes Programados]]</f>
        <v>0.85277777777777775</v>
      </c>
      <c r="AH244" s="16"/>
      <c r="AI244" s="16"/>
      <c r="AJ244" s="16">
        <v>4320</v>
      </c>
      <c r="AK244" s="16">
        <f t="shared" si="111"/>
        <v>636</v>
      </c>
      <c r="AL244" s="16">
        <v>3684</v>
      </c>
      <c r="AM244" s="16">
        <v>1362</v>
      </c>
      <c r="AN244" s="16">
        <f t="shared" si="112"/>
        <v>2322</v>
      </c>
      <c r="AO244" s="16"/>
      <c r="AP244" s="17"/>
      <c r="AQ244" s="18">
        <v>2012</v>
      </c>
      <c r="AR244" s="21" t="s">
        <v>46</v>
      </c>
      <c r="AS244" s="15">
        <f>+Tabla6[[#This Row],[Trenes Puntuales]]/Tabla6[[#This Row],[Trenes Programados]]</f>
        <v>0.39685089974293059</v>
      </c>
      <c r="AT244" s="15">
        <f>+Tabla6[[#This Row],[Trenes Puntuales]]/Tabla6[[#This Row],[Trenes Corridos]]</f>
        <v>0.48166926677067085</v>
      </c>
      <c r="AU244" s="15">
        <f>+Tabla6[[#This Row],[Trenes Corridos]]/Tabla6[[#This Row],[Trenes Programados]]</f>
        <v>0.82390745501285345</v>
      </c>
      <c r="AV244" s="16"/>
      <c r="AW244" s="16"/>
      <c r="AX244" s="16">
        <v>3112</v>
      </c>
      <c r="AY244" s="16">
        <f t="shared" si="113"/>
        <v>548</v>
      </c>
      <c r="AZ244" s="16">
        <v>2564</v>
      </c>
      <c r="BA244" s="16">
        <v>1235</v>
      </c>
      <c r="BB244" s="16">
        <f t="shared" si="114"/>
        <v>1329</v>
      </c>
      <c r="BC244" s="16"/>
      <c r="BD244" s="17"/>
      <c r="BE244" s="18">
        <v>2012</v>
      </c>
      <c r="BF244" s="21" t="s">
        <v>46</v>
      </c>
      <c r="BG244" s="15">
        <f>+MIT_Vic_Cap[[#This Row],[Trenes Puntuales]]/MIT_Vic_Cap[[#This Row],[Trenes Programados]]</f>
        <v>0.2</v>
      </c>
      <c r="BH244" s="15">
        <f>+MIT_Vic_Cap[[#This Row],[Trenes Puntuales]]/MIT_Vic_Cap[[#This Row],[Trenes Corridos]]</f>
        <v>0.56176470588235294</v>
      </c>
      <c r="BI244" s="15">
        <f>+MIT_Vic_Cap[[#This Row],[Trenes Corridos]]/MIT_Vic_Cap[[#This Row],[Trenes Programados]]</f>
        <v>0.35602094240837695</v>
      </c>
      <c r="BJ244" s="16"/>
      <c r="BK244" s="16"/>
      <c r="BL244" s="16">
        <v>955</v>
      </c>
      <c r="BM244" s="16">
        <f t="shared" si="115"/>
        <v>615</v>
      </c>
      <c r="BN244" s="16">
        <v>340</v>
      </c>
      <c r="BO244" s="16">
        <v>191</v>
      </c>
      <c r="BP244" s="16">
        <f t="shared" si="116"/>
        <v>149</v>
      </c>
      <c r="BQ244" s="16"/>
      <c r="BR244" s="17"/>
      <c r="BS244" s="18">
        <v>2012</v>
      </c>
      <c r="BT244" s="21" t="s">
        <v>46</v>
      </c>
      <c r="BU244" s="15">
        <f>+Tabla8[[#This Row],[Trenes Puntuales]]/Tabla8[[#This Row],[Trenes Programados]]</f>
        <v>0.33369565217391306</v>
      </c>
      <c r="BV244" s="15">
        <f>+Tabla8[[#This Row],[Trenes Puntuales]]/Tabla8[[#This Row],[Trenes Corridos]]</f>
        <v>0.39158163265306123</v>
      </c>
      <c r="BW244" s="15">
        <f>+Tabla8[[#This Row],[Trenes Corridos]]/Tabla8[[#This Row],[Trenes Programados]]</f>
        <v>0.85217391304347823</v>
      </c>
      <c r="BX244" s="16"/>
      <c r="BY244" s="16"/>
      <c r="BZ244" s="16">
        <v>920</v>
      </c>
      <c r="CA244" s="16">
        <f t="shared" si="117"/>
        <v>136</v>
      </c>
      <c r="CB244" s="16">
        <v>784</v>
      </c>
      <c r="CC244" s="16">
        <v>307</v>
      </c>
      <c r="CD244" s="16">
        <f t="shared" si="118"/>
        <v>477</v>
      </c>
      <c r="CI244" s="40"/>
      <c r="CJ244" s="40"/>
      <c r="CK244" s="40"/>
      <c r="CL244" s="40"/>
      <c r="CM244" s="40"/>
    </row>
    <row r="245" spans="1:91" s="18" customFormat="1" ht="15" customHeight="1">
      <c r="A245" s="18">
        <v>2012</v>
      </c>
      <c r="B245" s="21" t="s">
        <v>47</v>
      </c>
      <c r="C245" s="15">
        <f>+MITRE[[#This Row],[Trenes Puntuales]]/MITRE[[#This Row],[Trenes Programados]]</f>
        <v>0.24708464809987651</v>
      </c>
      <c r="D245" s="15">
        <f>+MITRE[[#This Row],[Trenes Puntuales]]/MITRE[[#This Row],[Trenes Corridos]]</f>
        <v>0.33758200562324275</v>
      </c>
      <c r="E245" s="15">
        <f>+MITRE[[#This Row],[Trenes Corridos]]/MITRE[[#This Row],[Trenes Programados]]</f>
        <v>0.7319248182192345</v>
      </c>
      <c r="F245" s="16">
        <f>+Tabla4[[#This Row],[Trenes Programados por Día Hábil]]+Tabla5[[#This Row],[Trenes Programados por Día Hábil]]+Tabla6[[#This Row],[Trenes Programados por Día Hábil]]+MIT_Vic_Cap[[#This Row],[Trenes Programados por Día Hábil]]+Tabla8[[#This Row],[Trenes Programados por Día Hábil]]</f>
        <v>0</v>
      </c>
      <c r="G24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5" s="16">
        <f t="shared" si="75"/>
        <v>14578</v>
      </c>
      <c r="I245" s="16">
        <f t="shared" si="76"/>
        <v>3908</v>
      </c>
      <c r="J245" s="16">
        <f t="shared" si="77"/>
        <v>10670</v>
      </c>
      <c r="K245" s="16">
        <f t="shared" si="78"/>
        <v>3602</v>
      </c>
      <c r="L245" s="16">
        <f t="shared" si="79"/>
        <v>7068</v>
      </c>
      <c r="M245" s="16"/>
      <c r="N245" s="17"/>
      <c r="O245" s="18">
        <v>2012</v>
      </c>
      <c r="P245" s="21" t="s">
        <v>47</v>
      </c>
      <c r="Q245" s="15">
        <f>+Tabla4[[#This Row],[Trenes Puntuales]]/Tabla4[[#This Row],[Trenes Programados]]</f>
        <v>0.15789473684210525</v>
      </c>
      <c r="R245" s="15">
        <f>+Tabla4[[#This Row],[Trenes Puntuales]]/Tabla4[[#This Row],[Trenes Corridos]]</f>
        <v>0.2481536189069424</v>
      </c>
      <c r="S245" s="15">
        <f>+Tabla4[[#This Row],[Trenes Corridos]]/Tabla4[[#This Row],[Trenes Programados]]</f>
        <v>0.63627819548872178</v>
      </c>
      <c r="T245" s="16"/>
      <c r="U245" s="16"/>
      <c r="V245" s="16">
        <v>5320</v>
      </c>
      <c r="W245" s="16">
        <f t="shared" si="109"/>
        <v>1935</v>
      </c>
      <c r="X245" s="16">
        <v>3385</v>
      </c>
      <c r="Y245" s="16">
        <v>840</v>
      </c>
      <c r="Z245" s="16">
        <f t="shared" si="110"/>
        <v>2545</v>
      </c>
      <c r="AA245" s="16"/>
      <c r="AB245" s="17"/>
      <c r="AC245" s="18">
        <v>2012</v>
      </c>
      <c r="AD245" s="21" t="s">
        <v>47</v>
      </c>
      <c r="AE245" s="15">
        <f>+Tabla5[[#This Row],[Trenes Puntuales]]/Tabla5[[#This Row],[Trenes Programados]]</f>
        <v>0.29983602717263996</v>
      </c>
      <c r="AF245" s="15">
        <f>+Tabla5[[#This Row],[Trenes Puntuales]]/Tabla5[[#This Row],[Trenes Corridos]]</f>
        <v>0.34390112842557763</v>
      </c>
      <c r="AG245" s="15">
        <f>+Tabla5[[#This Row],[Trenes Corridos]]/Tabla5[[#This Row],[Trenes Programados]]</f>
        <v>0.87186694776294216</v>
      </c>
      <c r="AH245" s="16"/>
      <c r="AI245" s="16"/>
      <c r="AJ245" s="16">
        <v>4269</v>
      </c>
      <c r="AK245" s="16">
        <f t="shared" si="111"/>
        <v>547</v>
      </c>
      <c r="AL245" s="16">
        <v>3722</v>
      </c>
      <c r="AM245" s="16">
        <v>1280</v>
      </c>
      <c r="AN245" s="16">
        <f t="shared" si="112"/>
        <v>2442</v>
      </c>
      <c r="AO245" s="16"/>
      <c r="AP245" s="17"/>
      <c r="AQ245" s="18">
        <v>2012</v>
      </c>
      <c r="AR245" s="21" t="s">
        <v>47</v>
      </c>
      <c r="AS245" s="15">
        <f>+Tabla6[[#This Row],[Trenes Puntuales]]/Tabla6[[#This Row],[Trenes Programados]]</f>
        <v>0.33121221762647152</v>
      </c>
      <c r="AT245" s="15">
        <f>+Tabla6[[#This Row],[Trenes Puntuales]]/Tabla6[[#This Row],[Trenes Corridos]]</f>
        <v>0.42077607113985449</v>
      </c>
      <c r="AU245" s="15">
        <f>+Tabla6[[#This Row],[Trenes Corridos]]/Tabla6[[#This Row],[Trenes Programados]]</f>
        <v>0.78714603881641743</v>
      </c>
      <c r="AV245" s="16"/>
      <c r="AW245" s="16"/>
      <c r="AX245" s="16">
        <v>3143</v>
      </c>
      <c r="AY245" s="16">
        <f t="shared" si="113"/>
        <v>669</v>
      </c>
      <c r="AZ245" s="16">
        <v>2474</v>
      </c>
      <c r="BA245" s="16">
        <v>1041</v>
      </c>
      <c r="BB245" s="16">
        <f t="shared" si="114"/>
        <v>1433</v>
      </c>
      <c r="BC245" s="16"/>
      <c r="BD245" s="17"/>
      <c r="BE245" s="18">
        <v>2012</v>
      </c>
      <c r="BF245" s="21" t="s">
        <v>47</v>
      </c>
      <c r="BG245" s="15">
        <f>+MIT_Vic_Cap[[#This Row],[Trenes Puntuales]]/MIT_Vic_Cap[[#This Row],[Trenes Programados]]</f>
        <v>0.15578947368421053</v>
      </c>
      <c r="BH245" s="15">
        <f>+MIT_Vic_Cap[[#This Row],[Trenes Puntuales]]/MIT_Vic_Cap[[#This Row],[Trenes Corridos]]</f>
        <v>0.43274853801169588</v>
      </c>
      <c r="BI245" s="15">
        <f>+MIT_Vic_Cap[[#This Row],[Trenes Corridos]]/MIT_Vic_Cap[[#This Row],[Trenes Programados]]</f>
        <v>0.36</v>
      </c>
      <c r="BJ245" s="16"/>
      <c r="BK245" s="16"/>
      <c r="BL245" s="16">
        <v>950</v>
      </c>
      <c r="BM245" s="16">
        <f t="shared" si="115"/>
        <v>608</v>
      </c>
      <c r="BN245" s="16">
        <v>342</v>
      </c>
      <c r="BO245" s="16">
        <v>148</v>
      </c>
      <c r="BP245" s="16">
        <f t="shared" si="116"/>
        <v>194</v>
      </c>
      <c r="BQ245" s="16"/>
      <c r="BR245" s="17"/>
      <c r="BS245" s="18">
        <v>2012</v>
      </c>
      <c r="BT245" s="21" t="s">
        <v>47</v>
      </c>
      <c r="BU245" s="15">
        <f>+Tabla8[[#This Row],[Trenes Puntuales]]/Tabla8[[#This Row],[Trenes Programados]]</f>
        <v>0.32700892857142855</v>
      </c>
      <c r="BV245" s="15">
        <f>+Tabla8[[#This Row],[Trenes Puntuales]]/Tabla8[[#This Row],[Trenes Corridos]]</f>
        <v>0.39223560910307897</v>
      </c>
      <c r="BW245" s="15">
        <f>+Tabla8[[#This Row],[Trenes Corridos]]/Tabla8[[#This Row],[Trenes Programados]]</f>
        <v>0.8337053571428571</v>
      </c>
      <c r="BX245" s="16"/>
      <c r="BY245" s="16"/>
      <c r="BZ245" s="16">
        <v>896</v>
      </c>
      <c r="CA245" s="16">
        <f t="shared" si="117"/>
        <v>149</v>
      </c>
      <c r="CB245" s="16">
        <v>747</v>
      </c>
      <c r="CC245" s="16">
        <v>293</v>
      </c>
      <c r="CD245" s="16">
        <f t="shared" si="118"/>
        <v>454</v>
      </c>
      <c r="CI245" s="40"/>
      <c r="CJ245" s="40"/>
      <c r="CK245" s="40"/>
      <c r="CL245" s="40"/>
      <c r="CM245" s="40"/>
    </row>
    <row r="246" spans="1:91" s="18" customFormat="1" ht="15" customHeight="1">
      <c r="A246" s="18">
        <v>2013</v>
      </c>
      <c r="B246" s="21" t="s">
        <v>36</v>
      </c>
      <c r="C246" s="15">
        <f>+MITRE[[#This Row],[Trenes Puntuales]]/MITRE[[#This Row],[Trenes Programados]]</f>
        <v>0.30687266915290357</v>
      </c>
      <c r="D246" s="15">
        <f>+MITRE[[#This Row],[Trenes Puntuales]]/MITRE[[#This Row],[Trenes Corridos]]</f>
        <v>0.42325709561862773</v>
      </c>
      <c r="E246" s="15">
        <f>+MITRE[[#This Row],[Trenes Corridos]]/MITRE[[#This Row],[Trenes Programados]]</f>
        <v>0.72502663825253066</v>
      </c>
      <c r="F246" s="16">
        <f>+Tabla4[[#This Row],[Trenes Programados por Día Hábil]]+Tabla5[[#This Row],[Trenes Programados por Día Hábil]]+Tabla6[[#This Row],[Trenes Programados por Día Hábil]]+MIT_Vic_Cap[[#This Row],[Trenes Programados por Día Hábil]]+Tabla8[[#This Row],[Trenes Programados por Día Hábil]]</f>
        <v>0</v>
      </c>
      <c r="G24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6" s="16">
        <f t="shared" si="75"/>
        <v>15016</v>
      </c>
      <c r="I246" s="16">
        <f t="shared" si="76"/>
        <v>4129</v>
      </c>
      <c r="J246" s="16">
        <f t="shared" si="77"/>
        <v>10887</v>
      </c>
      <c r="K246" s="16">
        <f t="shared" si="78"/>
        <v>4608</v>
      </c>
      <c r="L246" s="16">
        <f t="shared" si="79"/>
        <v>6279</v>
      </c>
      <c r="M246" s="16"/>
      <c r="N246" s="17"/>
      <c r="O246" s="18">
        <v>2013</v>
      </c>
      <c r="P246" s="21" t="s">
        <v>36</v>
      </c>
      <c r="Q246" s="15">
        <f>+Tabla4[[#This Row],[Trenes Puntuales]]/Tabla4[[#This Row],[Trenes Programados]]</f>
        <v>0.16563636363636364</v>
      </c>
      <c r="R246" s="15">
        <f>+Tabla4[[#This Row],[Trenes Puntuales]]/Tabla4[[#This Row],[Trenes Corridos]]</f>
        <v>0.28004918536735324</v>
      </c>
      <c r="S246" s="15">
        <f>+Tabla4[[#This Row],[Trenes Corridos]]/Tabla4[[#This Row],[Trenes Programados]]</f>
        <v>0.59145454545454546</v>
      </c>
      <c r="T246" s="16"/>
      <c r="U246" s="16"/>
      <c r="V246" s="16">
        <v>5500</v>
      </c>
      <c r="W246" s="16">
        <f t="shared" ref="W246:W257" si="119">V246-X246</f>
        <v>2247</v>
      </c>
      <c r="X246" s="16">
        <v>3253</v>
      </c>
      <c r="Y246" s="16">
        <v>911</v>
      </c>
      <c r="Z246" s="16">
        <f t="shared" ref="Z246:Z257" si="120">X246-Y246</f>
        <v>2342</v>
      </c>
      <c r="AA246" s="16"/>
      <c r="AB246" s="17"/>
      <c r="AC246" s="18">
        <v>2013</v>
      </c>
      <c r="AD246" s="21" t="s">
        <v>36</v>
      </c>
      <c r="AE246" s="15">
        <f>+Tabla5[[#This Row],[Trenes Puntuales]]/Tabla5[[#This Row],[Trenes Programados]]</f>
        <v>0.39578135631662509</v>
      </c>
      <c r="AF246" s="15">
        <f>+Tabla5[[#This Row],[Trenes Puntuales]]/Tabla5[[#This Row],[Trenes Corridos]]</f>
        <v>0.46620358001602991</v>
      </c>
      <c r="AG246" s="15">
        <f>+Tabla5[[#This Row],[Trenes Corridos]]/Tabla5[[#This Row],[Trenes Programados]]</f>
        <v>0.84894533907915626</v>
      </c>
      <c r="AH246" s="16"/>
      <c r="AI246" s="16"/>
      <c r="AJ246" s="16">
        <v>4409</v>
      </c>
      <c r="AK246" s="16">
        <f t="shared" ref="AK246:AK257" si="121">AJ246-AL246</f>
        <v>666</v>
      </c>
      <c r="AL246" s="16">
        <v>3743</v>
      </c>
      <c r="AM246" s="16">
        <v>1745</v>
      </c>
      <c r="AN246" s="16">
        <f t="shared" ref="AN246:AN257" si="122">AL246-AM246</f>
        <v>1998</v>
      </c>
      <c r="AO246" s="16"/>
      <c r="AP246" s="17"/>
      <c r="AQ246" s="18">
        <v>2013</v>
      </c>
      <c r="AR246" s="21" t="s">
        <v>36</v>
      </c>
      <c r="AS246" s="15">
        <f>+Tabla6[[#This Row],[Trenes Puntuales]]/Tabla6[[#This Row],[Trenes Programados]]</f>
        <v>0.46228482003129889</v>
      </c>
      <c r="AT246" s="15">
        <f>+Tabla6[[#This Row],[Trenes Puntuales]]/Tabla6[[#This Row],[Trenes Corridos]]</f>
        <v>0.56829549826856485</v>
      </c>
      <c r="AU246" s="15">
        <f>+Tabla6[[#This Row],[Trenes Corridos]]/Tabla6[[#This Row],[Trenes Programados]]</f>
        <v>0.81345852895148674</v>
      </c>
      <c r="AV246" s="16"/>
      <c r="AW246" s="16"/>
      <c r="AX246" s="16">
        <v>3195</v>
      </c>
      <c r="AY246" s="16">
        <f t="shared" ref="AY246:AY257" si="123">AX246-AZ246</f>
        <v>596</v>
      </c>
      <c r="AZ246" s="16">
        <v>2599</v>
      </c>
      <c r="BA246" s="16">
        <v>1477</v>
      </c>
      <c r="BB246" s="16">
        <f t="shared" ref="BB246:BB257" si="124">AZ246-BA246</f>
        <v>1122</v>
      </c>
      <c r="BC246" s="16"/>
      <c r="BD246" s="17"/>
      <c r="BE246" s="18">
        <v>2013</v>
      </c>
      <c r="BF246" s="21" t="s">
        <v>36</v>
      </c>
      <c r="BG246" s="15">
        <f>+MIT_Vic_Cap[[#This Row],[Trenes Puntuales]]/MIT_Vic_Cap[[#This Row],[Trenes Programados]]</f>
        <v>0.22540983606557377</v>
      </c>
      <c r="BH246" s="15">
        <f>+MIT_Vic_Cap[[#This Row],[Trenes Puntuales]]/MIT_Vic_Cap[[#This Row],[Trenes Corridos]]</f>
        <v>0.48997772828507796</v>
      </c>
      <c r="BI246" s="15">
        <f>+MIT_Vic_Cap[[#This Row],[Trenes Corridos]]/MIT_Vic_Cap[[#This Row],[Trenes Programados]]</f>
        <v>0.46004098360655737</v>
      </c>
      <c r="BJ246" s="16"/>
      <c r="BK246" s="16"/>
      <c r="BL246" s="16">
        <v>976</v>
      </c>
      <c r="BM246" s="16">
        <f t="shared" ref="BM246:BM257" si="125">BL246-BN246</f>
        <v>527</v>
      </c>
      <c r="BN246" s="16">
        <v>449</v>
      </c>
      <c r="BO246" s="16">
        <v>220</v>
      </c>
      <c r="BP246" s="16">
        <f t="shared" ref="BP246:BP257" si="126">BN246-BO246</f>
        <v>229</v>
      </c>
      <c r="BQ246" s="16"/>
      <c r="BR246" s="17"/>
      <c r="BS246" s="18">
        <v>2013</v>
      </c>
      <c r="BT246" s="21" t="s">
        <v>36</v>
      </c>
      <c r="BU246" s="15">
        <f>+Tabla8[[#This Row],[Trenes Puntuales]]/Tabla8[[#This Row],[Trenes Programados]]</f>
        <v>0.27243589743589741</v>
      </c>
      <c r="BV246" s="15">
        <f>+Tabla8[[#This Row],[Trenes Puntuales]]/Tabla8[[#This Row],[Trenes Corridos]]</f>
        <v>0.302491103202847</v>
      </c>
      <c r="BW246" s="15">
        <f>+Tabla8[[#This Row],[Trenes Corridos]]/Tabla8[[#This Row],[Trenes Programados]]</f>
        <v>0.90064102564102566</v>
      </c>
      <c r="BX246" s="16"/>
      <c r="BY246" s="16"/>
      <c r="BZ246" s="16">
        <v>936</v>
      </c>
      <c r="CA246" s="16">
        <f t="shared" ref="CA246:CA257" si="127">BZ246-CB246</f>
        <v>93</v>
      </c>
      <c r="CB246" s="16">
        <v>843</v>
      </c>
      <c r="CC246" s="16">
        <v>255</v>
      </c>
      <c r="CD246" s="16">
        <f t="shared" ref="CD246:CD257" si="128">CB246-CC246</f>
        <v>588</v>
      </c>
      <c r="CI246" s="40"/>
      <c r="CJ246" s="40"/>
      <c r="CK246" s="40"/>
      <c r="CL246" s="40"/>
      <c r="CM246" s="40"/>
    </row>
    <row r="247" spans="1:91" s="18" customFormat="1" ht="15" customHeight="1">
      <c r="A247" s="18">
        <v>2013</v>
      </c>
      <c r="B247" s="21" t="s">
        <v>37</v>
      </c>
      <c r="C247" s="15">
        <f>+MITRE[[#This Row],[Trenes Puntuales]]/MITRE[[#This Row],[Trenes Programados]]</f>
        <v>0.18303876204202382</v>
      </c>
      <c r="D247" s="15">
        <f>+MITRE[[#This Row],[Trenes Puntuales]]/MITRE[[#This Row],[Trenes Corridos]]</f>
        <v>0.27352074359555656</v>
      </c>
      <c r="E247" s="15">
        <f>+MITRE[[#This Row],[Trenes Corridos]]/MITRE[[#This Row],[Trenes Programados]]</f>
        <v>0.66919517560494579</v>
      </c>
      <c r="F247" s="16">
        <f>+Tabla4[[#This Row],[Trenes Programados por Día Hábil]]+Tabla5[[#This Row],[Trenes Programados por Día Hábil]]+Tabla6[[#This Row],[Trenes Programados por Día Hábil]]+MIT_Vic_Cap[[#This Row],[Trenes Programados por Día Hábil]]+Tabla8[[#This Row],[Trenes Programados por Día Hábil]]</f>
        <v>0</v>
      </c>
      <c r="G24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7" s="16">
        <f t="shared" si="75"/>
        <v>13183</v>
      </c>
      <c r="I247" s="16">
        <f t="shared" si="76"/>
        <v>4361</v>
      </c>
      <c r="J247" s="16">
        <f t="shared" si="77"/>
        <v>8822</v>
      </c>
      <c r="K247" s="16">
        <f t="shared" si="78"/>
        <v>2413</v>
      </c>
      <c r="L247" s="16">
        <f t="shared" si="79"/>
        <v>6409</v>
      </c>
      <c r="M247" s="16"/>
      <c r="N247" s="17"/>
      <c r="O247" s="18">
        <v>2013</v>
      </c>
      <c r="P247" s="21" t="s">
        <v>37</v>
      </c>
      <c r="Q247" s="15">
        <f>+Tabla4[[#This Row],[Trenes Puntuales]]/Tabla4[[#This Row],[Trenes Programados]]</f>
        <v>9.1060291060291065E-2</v>
      </c>
      <c r="R247" s="15">
        <f>+Tabla4[[#This Row],[Trenes Puntuales]]/Tabla4[[#This Row],[Trenes Corridos]]</f>
        <v>0.15626114876917588</v>
      </c>
      <c r="S247" s="15">
        <f>+Tabla4[[#This Row],[Trenes Corridos]]/Tabla4[[#This Row],[Trenes Programados]]</f>
        <v>0.58274428274428269</v>
      </c>
      <c r="T247" s="16"/>
      <c r="U247" s="16"/>
      <c r="V247" s="16">
        <v>4810</v>
      </c>
      <c r="W247" s="16">
        <f t="shared" si="119"/>
        <v>2007</v>
      </c>
      <c r="X247" s="16">
        <v>2803</v>
      </c>
      <c r="Y247" s="16">
        <v>438</v>
      </c>
      <c r="Z247" s="16">
        <f t="shared" si="120"/>
        <v>2365</v>
      </c>
      <c r="AA247" s="16"/>
      <c r="AB247" s="17"/>
      <c r="AC247" s="18">
        <v>2013</v>
      </c>
      <c r="AD247" s="21" t="s">
        <v>37</v>
      </c>
      <c r="AE247" s="15">
        <f>+Tabla5[[#This Row],[Trenes Puntuales]]/Tabla5[[#This Row],[Trenes Programados]]</f>
        <v>0.19808389435525633</v>
      </c>
      <c r="AF247" s="15">
        <f>+Tabla5[[#This Row],[Trenes Puntuales]]/Tabla5[[#This Row],[Trenes Corridos]]</f>
        <v>0.25783619817997977</v>
      </c>
      <c r="AG247" s="15">
        <f>+Tabla5[[#This Row],[Trenes Corridos]]/Tabla5[[#This Row],[Trenes Programados]]</f>
        <v>0.76825479026411181</v>
      </c>
      <c r="AH247" s="16"/>
      <c r="AI247" s="16"/>
      <c r="AJ247" s="16">
        <v>3862</v>
      </c>
      <c r="AK247" s="16">
        <f t="shared" si="121"/>
        <v>895</v>
      </c>
      <c r="AL247" s="16">
        <v>2967</v>
      </c>
      <c r="AM247" s="16">
        <v>765</v>
      </c>
      <c r="AN247" s="16">
        <f t="shared" si="122"/>
        <v>2202</v>
      </c>
      <c r="AO247" s="16"/>
      <c r="AP247" s="17"/>
      <c r="AQ247" s="18">
        <v>2013</v>
      </c>
      <c r="AR247" s="21" t="s">
        <v>37</v>
      </c>
      <c r="AS247" s="15">
        <f>+Tabla6[[#This Row],[Trenes Puntuales]]/Tabla6[[#This Row],[Trenes Programados]]</f>
        <v>0.29415904292751582</v>
      </c>
      <c r="AT247" s="15">
        <f>+Tabla6[[#This Row],[Trenes Puntuales]]/Tabla6[[#This Row],[Trenes Corridos]]</f>
        <v>0.42031171442936149</v>
      </c>
      <c r="AU247" s="15">
        <f>+Tabla6[[#This Row],[Trenes Corridos]]/Tabla6[[#This Row],[Trenes Programados]]</f>
        <v>0.69985925404644611</v>
      </c>
      <c r="AV247" s="16"/>
      <c r="AW247" s="16"/>
      <c r="AX247" s="16">
        <v>2842</v>
      </c>
      <c r="AY247" s="16">
        <f t="shared" si="123"/>
        <v>853</v>
      </c>
      <c r="AZ247" s="16">
        <v>1989</v>
      </c>
      <c r="BA247" s="16">
        <v>836</v>
      </c>
      <c r="BB247" s="16">
        <f t="shared" si="124"/>
        <v>1153</v>
      </c>
      <c r="BC247" s="16"/>
      <c r="BD247" s="17"/>
      <c r="BE247" s="18">
        <v>2013</v>
      </c>
      <c r="BF247" s="21" t="s">
        <v>37</v>
      </c>
      <c r="BG247" s="15">
        <f>+MIT_Vic_Cap[[#This Row],[Trenes Puntuales]]/MIT_Vic_Cap[[#This Row],[Trenes Programados]]</f>
        <v>0.22183507549361209</v>
      </c>
      <c r="BH247" s="15">
        <f>+MIT_Vic_Cap[[#This Row],[Trenes Puntuales]]/MIT_Vic_Cap[[#This Row],[Trenes Corridos]]</f>
        <v>0.57357357357357353</v>
      </c>
      <c r="BI247" s="15">
        <f>+MIT_Vic_Cap[[#This Row],[Trenes Corridos]]/MIT_Vic_Cap[[#This Row],[Trenes Programados]]</f>
        <v>0.38675958188153309</v>
      </c>
      <c r="BJ247" s="16"/>
      <c r="BK247" s="16"/>
      <c r="BL247" s="16">
        <v>861</v>
      </c>
      <c r="BM247" s="16">
        <f t="shared" si="125"/>
        <v>528</v>
      </c>
      <c r="BN247" s="16">
        <v>333</v>
      </c>
      <c r="BO247" s="16">
        <v>191</v>
      </c>
      <c r="BP247" s="16">
        <f t="shared" si="126"/>
        <v>142</v>
      </c>
      <c r="BQ247" s="16"/>
      <c r="BR247" s="17"/>
      <c r="BS247" s="18">
        <v>2013</v>
      </c>
      <c r="BT247" s="21" t="s">
        <v>37</v>
      </c>
      <c r="BU247" s="15">
        <f>+Tabla8[[#This Row],[Trenes Puntuales]]/Tabla8[[#This Row],[Trenes Programados]]</f>
        <v>0.22648514851485149</v>
      </c>
      <c r="BV247" s="15">
        <f>+Tabla8[[#This Row],[Trenes Puntuales]]/Tabla8[[#This Row],[Trenes Corridos]]</f>
        <v>0.25068493150684934</v>
      </c>
      <c r="BW247" s="15">
        <f>+Tabla8[[#This Row],[Trenes Corridos]]/Tabla8[[#This Row],[Trenes Programados]]</f>
        <v>0.90346534653465349</v>
      </c>
      <c r="BX247" s="16"/>
      <c r="BY247" s="16"/>
      <c r="BZ247" s="16">
        <v>808</v>
      </c>
      <c r="CA247" s="16">
        <f t="shared" si="127"/>
        <v>78</v>
      </c>
      <c r="CB247" s="16">
        <v>730</v>
      </c>
      <c r="CC247" s="16">
        <v>183</v>
      </c>
      <c r="CD247" s="16">
        <f t="shared" si="128"/>
        <v>547</v>
      </c>
      <c r="CI247" s="40"/>
      <c r="CJ247" s="40"/>
      <c r="CK247" s="40"/>
      <c r="CL247" s="40"/>
      <c r="CM247" s="40"/>
    </row>
    <row r="248" spans="1:91" s="18" customFormat="1" ht="15" customHeight="1">
      <c r="A248" s="18">
        <v>2013</v>
      </c>
      <c r="B248" s="21" t="s">
        <v>38</v>
      </c>
      <c r="C248" s="15">
        <f>+MITRE[[#This Row],[Trenes Puntuales]]/MITRE[[#This Row],[Trenes Programados]]</f>
        <v>0.16965368548713111</v>
      </c>
      <c r="D248" s="15">
        <f>+MITRE[[#This Row],[Trenes Puntuales]]/MITRE[[#This Row],[Trenes Corridos]]</f>
        <v>0.25408678102926335</v>
      </c>
      <c r="E248" s="15">
        <f>+MITRE[[#This Row],[Trenes Corridos]]/MITRE[[#This Row],[Trenes Programados]]</f>
        <v>0.66769977092036115</v>
      </c>
      <c r="F248" s="16">
        <f>+Tabla4[[#This Row],[Trenes Programados por Día Hábil]]+Tabla5[[#This Row],[Trenes Programados por Día Hábil]]+Tabla6[[#This Row],[Trenes Programados por Día Hábil]]+MIT_Vic_Cap[[#This Row],[Trenes Programados por Día Hábil]]+Tabla8[[#This Row],[Trenes Programados por Día Hábil]]</f>
        <v>0</v>
      </c>
      <c r="G24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8" s="16">
        <f t="shared" si="75"/>
        <v>14842</v>
      </c>
      <c r="I248" s="16">
        <f t="shared" si="76"/>
        <v>4932</v>
      </c>
      <c r="J248" s="16">
        <f t="shared" si="77"/>
        <v>9910</v>
      </c>
      <c r="K248" s="16">
        <f t="shared" si="78"/>
        <v>2518</v>
      </c>
      <c r="L248" s="16">
        <f t="shared" si="79"/>
        <v>7392</v>
      </c>
      <c r="M248" s="16"/>
      <c r="N248" s="17"/>
      <c r="O248" s="18">
        <v>2013</v>
      </c>
      <c r="P248" s="21" t="s">
        <v>38</v>
      </c>
      <c r="Q248" s="15">
        <f>+Tabla4[[#This Row],[Trenes Puntuales]]/Tabla4[[#This Row],[Trenes Programados]]</f>
        <v>4.0221402214022144E-2</v>
      </c>
      <c r="R248" s="15">
        <f>+Tabla4[[#This Row],[Trenes Puntuales]]/Tabla4[[#This Row],[Trenes Corridos]]</f>
        <v>7.220934084133819E-2</v>
      </c>
      <c r="S248" s="15">
        <f>+Tabla4[[#This Row],[Trenes Corridos]]/Tabla4[[#This Row],[Trenes Programados]]</f>
        <v>0.55701107011070106</v>
      </c>
      <c r="T248" s="16"/>
      <c r="U248" s="16"/>
      <c r="V248" s="16">
        <v>5420</v>
      </c>
      <c r="W248" s="16">
        <f t="shared" si="119"/>
        <v>2401</v>
      </c>
      <c r="X248" s="16">
        <v>3019</v>
      </c>
      <c r="Y248" s="16">
        <v>218</v>
      </c>
      <c r="Z248" s="16">
        <f t="shared" si="120"/>
        <v>2801</v>
      </c>
      <c r="AA248" s="16"/>
      <c r="AB248" s="17"/>
      <c r="AC248" s="18">
        <v>2013</v>
      </c>
      <c r="AD248" s="21" t="s">
        <v>38</v>
      </c>
      <c r="AE248" s="15">
        <f>+Tabla5[[#This Row],[Trenes Puntuales]]/Tabla5[[#This Row],[Trenes Programados]]</f>
        <v>0.2099105299380592</v>
      </c>
      <c r="AF248" s="15">
        <f>+Tabla5[[#This Row],[Trenes Puntuales]]/Tabla5[[#This Row],[Trenes Corridos]]</f>
        <v>0.26498696785403997</v>
      </c>
      <c r="AG248" s="15">
        <f>+Tabla5[[#This Row],[Trenes Corridos]]/Tabla5[[#This Row],[Trenes Programados]]</f>
        <v>0.79215416379903647</v>
      </c>
      <c r="AH248" s="16"/>
      <c r="AI248" s="16"/>
      <c r="AJ248" s="16">
        <v>4359</v>
      </c>
      <c r="AK248" s="16">
        <f t="shared" si="121"/>
        <v>906</v>
      </c>
      <c r="AL248" s="16">
        <v>3453</v>
      </c>
      <c r="AM248" s="16">
        <v>915</v>
      </c>
      <c r="AN248" s="16">
        <f t="shared" si="122"/>
        <v>2538</v>
      </c>
      <c r="AO248" s="16"/>
      <c r="AP248" s="17"/>
      <c r="AQ248" s="18">
        <v>2013</v>
      </c>
      <c r="AR248" s="21" t="s">
        <v>38</v>
      </c>
      <c r="AS248" s="15">
        <f>+Tabla6[[#This Row],[Trenes Puntuales]]/Tabla6[[#This Row],[Trenes Programados]]</f>
        <v>0.29078906004401134</v>
      </c>
      <c r="AT248" s="15">
        <f>+Tabla6[[#This Row],[Trenes Puntuales]]/Tabla6[[#This Row],[Trenes Corridos]]</f>
        <v>0.40077989601386482</v>
      </c>
      <c r="AU248" s="15">
        <f>+Tabla6[[#This Row],[Trenes Corridos]]/Tabla6[[#This Row],[Trenes Programados]]</f>
        <v>0.7255580006287331</v>
      </c>
      <c r="AV248" s="16"/>
      <c r="AW248" s="16"/>
      <c r="AX248" s="16">
        <v>3181</v>
      </c>
      <c r="AY248" s="16">
        <f t="shared" si="123"/>
        <v>873</v>
      </c>
      <c r="AZ248" s="16">
        <v>2308</v>
      </c>
      <c r="BA248" s="16">
        <v>925</v>
      </c>
      <c r="BB248" s="16">
        <f t="shared" si="124"/>
        <v>1383</v>
      </c>
      <c r="BC248" s="16"/>
      <c r="BD248" s="17"/>
      <c r="BE248" s="18">
        <v>2013</v>
      </c>
      <c r="BF248" s="21" t="s">
        <v>38</v>
      </c>
      <c r="BG248" s="15">
        <f>+MIT_Vic_Cap[[#This Row],[Trenes Puntuales]]/MIT_Vic_Cap[[#This Row],[Trenes Programados]]</f>
        <v>0.22643442622950818</v>
      </c>
      <c r="BH248" s="15">
        <f>+MIT_Vic_Cap[[#This Row],[Trenes Puntuales]]/MIT_Vic_Cap[[#This Row],[Trenes Corridos]]</f>
        <v>0.6155988857938719</v>
      </c>
      <c r="BI248" s="15">
        <f>+MIT_Vic_Cap[[#This Row],[Trenes Corridos]]/MIT_Vic_Cap[[#This Row],[Trenes Programados]]</f>
        <v>0.36782786885245899</v>
      </c>
      <c r="BJ248" s="16"/>
      <c r="BK248" s="16"/>
      <c r="BL248" s="16">
        <v>976</v>
      </c>
      <c r="BM248" s="16">
        <f t="shared" si="125"/>
        <v>617</v>
      </c>
      <c r="BN248" s="16">
        <v>359</v>
      </c>
      <c r="BO248" s="16">
        <v>221</v>
      </c>
      <c r="BP248" s="16">
        <f t="shared" si="126"/>
        <v>138</v>
      </c>
      <c r="BQ248" s="16"/>
      <c r="BR248" s="17"/>
      <c r="BS248" s="18">
        <v>2013</v>
      </c>
      <c r="BT248" s="21" t="s">
        <v>38</v>
      </c>
      <c r="BU248" s="15">
        <f>+Tabla8[[#This Row],[Trenes Puntuales]]/Tabla8[[#This Row],[Trenes Programados]]</f>
        <v>0.26379690949227375</v>
      </c>
      <c r="BV248" s="15">
        <f>+Tabla8[[#This Row],[Trenes Puntuales]]/Tabla8[[#This Row],[Trenes Corridos]]</f>
        <v>0.30998702983138782</v>
      </c>
      <c r="BW248" s="15">
        <f>+Tabla8[[#This Row],[Trenes Corridos]]/Tabla8[[#This Row],[Trenes Programados]]</f>
        <v>0.85099337748344372</v>
      </c>
      <c r="BX248" s="16"/>
      <c r="BY248" s="16"/>
      <c r="BZ248" s="16">
        <v>906</v>
      </c>
      <c r="CA248" s="16">
        <f t="shared" si="127"/>
        <v>135</v>
      </c>
      <c r="CB248" s="16">
        <v>771</v>
      </c>
      <c r="CC248" s="16">
        <v>239</v>
      </c>
      <c r="CD248" s="16">
        <f t="shared" si="128"/>
        <v>532</v>
      </c>
      <c r="CI248" s="40"/>
      <c r="CJ248" s="40"/>
      <c r="CK248" s="40"/>
      <c r="CL248" s="40"/>
      <c r="CM248" s="40"/>
    </row>
    <row r="249" spans="1:91" s="18" customFormat="1" ht="15" customHeight="1">
      <c r="A249" s="18">
        <v>2013</v>
      </c>
      <c r="B249" s="21" t="s">
        <v>39</v>
      </c>
      <c r="C249" s="15">
        <f>+MITRE[[#This Row],[Trenes Puntuales]]/MITRE[[#This Row],[Trenes Programados]]</f>
        <v>0.37573369109508636</v>
      </c>
      <c r="D249" s="15">
        <f>+MITRE[[#This Row],[Trenes Puntuales]]/MITRE[[#This Row],[Trenes Corridos]]</f>
        <v>0.51422997475327059</v>
      </c>
      <c r="E249" s="15">
        <f>+MITRE[[#This Row],[Trenes Corridos]]/MITRE[[#This Row],[Trenes Programados]]</f>
        <v>0.73067248029515341</v>
      </c>
      <c r="F249" s="16">
        <f>+Tabla4[[#This Row],[Trenes Programados por Día Hábil]]+Tabla5[[#This Row],[Trenes Programados por Día Hábil]]+Tabla6[[#This Row],[Trenes Programados por Día Hábil]]+MIT_Vic_Cap[[#This Row],[Trenes Programados por Día Hábil]]+Tabla8[[#This Row],[Trenes Programados por Día Hábil]]</f>
        <v>0</v>
      </c>
      <c r="G24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9" s="16">
        <f t="shared" si="75"/>
        <v>11926</v>
      </c>
      <c r="I249" s="16">
        <f t="shared" si="76"/>
        <v>3212</v>
      </c>
      <c r="J249" s="16">
        <f t="shared" si="77"/>
        <v>8714</v>
      </c>
      <c r="K249" s="16">
        <f t="shared" si="78"/>
        <v>4481</v>
      </c>
      <c r="L249" s="16">
        <f t="shared" si="79"/>
        <v>4233</v>
      </c>
      <c r="M249" s="16"/>
      <c r="N249" s="17"/>
      <c r="O249" s="18">
        <v>2013</v>
      </c>
      <c r="P249" s="21" t="s">
        <v>39</v>
      </c>
      <c r="Q249" s="15">
        <f>+Tabla4[[#This Row],[Trenes Puntuales]]/Tabla4[[#This Row],[Trenes Programados]]</f>
        <v>0.33317096931320017</v>
      </c>
      <c r="R249" s="15">
        <f>+Tabla4[[#This Row],[Trenes Puntuales]]/Tabla4[[#This Row],[Trenes Corridos]]</f>
        <v>0.4935064935064935</v>
      </c>
      <c r="S249" s="15">
        <f>+Tabla4[[#This Row],[Trenes Corridos]]/Tabla4[[#This Row],[Trenes Programados]]</f>
        <v>0.67510959571358986</v>
      </c>
      <c r="T249" s="16"/>
      <c r="U249" s="16"/>
      <c r="V249" s="16">
        <v>4106</v>
      </c>
      <c r="W249" s="16">
        <f t="shared" si="119"/>
        <v>1334</v>
      </c>
      <c r="X249" s="16">
        <v>2772</v>
      </c>
      <c r="Y249" s="16">
        <v>1368</v>
      </c>
      <c r="Z249" s="16">
        <f t="shared" si="120"/>
        <v>1404</v>
      </c>
      <c r="AA249" s="16"/>
      <c r="AB249" s="17"/>
      <c r="AC249" s="18">
        <v>2013</v>
      </c>
      <c r="AD249" s="21" t="s">
        <v>39</v>
      </c>
      <c r="AE249" s="15">
        <f>+Tabla5[[#This Row],[Trenes Puntuales]]/Tabla5[[#This Row],[Trenes Programados]]</f>
        <v>0.44302721088435376</v>
      </c>
      <c r="AF249" s="15">
        <f>+Tabla5[[#This Row],[Trenes Puntuales]]/Tabla5[[#This Row],[Trenes Corridos]]</f>
        <v>0.51944167497507476</v>
      </c>
      <c r="AG249" s="15">
        <f>+Tabla5[[#This Row],[Trenes Corridos]]/Tabla5[[#This Row],[Trenes Programados]]</f>
        <v>0.85289115646258506</v>
      </c>
      <c r="AH249" s="16"/>
      <c r="AI249" s="16"/>
      <c r="AJ249" s="16">
        <v>3528</v>
      </c>
      <c r="AK249" s="16">
        <f t="shared" si="121"/>
        <v>519</v>
      </c>
      <c r="AL249" s="16">
        <v>3009</v>
      </c>
      <c r="AM249" s="16">
        <v>1563</v>
      </c>
      <c r="AN249" s="16">
        <f t="shared" si="122"/>
        <v>1446</v>
      </c>
      <c r="AO249" s="16"/>
      <c r="AP249" s="17"/>
      <c r="AQ249" s="18">
        <v>2013</v>
      </c>
      <c r="AR249" s="21" t="s">
        <v>39</v>
      </c>
      <c r="AS249" s="15">
        <f>+Tabla6[[#This Row],[Trenes Puntuales]]/Tabla6[[#This Row],[Trenes Programados]]</f>
        <v>0.46571428571428569</v>
      </c>
      <c r="AT249" s="15">
        <f>+Tabla6[[#This Row],[Trenes Puntuales]]/Tabla6[[#This Row],[Trenes Corridos]]</f>
        <v>0.63073521282476508</v>
      </c>
      <c r="AU249" s="15">
        <f>+Tabla6[[#This Row],[Trenes Corridos]]/Tabla6[[#This Row],[Trenes Programados]]</f>
        <v>0.73836734693877548</v>
      </c>
      <c r="AV249" s="16"/>
      <c r="AW249" s="16"/>
      <c r="AX249" s="16">
        <v>2450</v>
      </c>
      <c r="AY249" s="16">
        <f t="shared" si="123"/>
        <v>641</v>
      </c>
      <c r="AZ249" s="16">
        <v>1809</v>
      </c>
      <c r="BA249" s="16">
        <v>1141</v>
      </c>
      <c r="BB249" s="16">
        <f t="shared" si="124"/>
        <v>668</v>
      </c>
      <c r="BC249" s="16"/>
      <c r="BD249" s="17"/>
      <c r="BE249" s="18">
        <v>2013</v>
      </c>
      <c r="BF249" s="21" t="s">
        <v>39</v>
      </c>
      <c r="BG249" s="15">
        <f>+MIT_Vic_Cap[[#This Row],[Trenes Puntuales]]/MIT_Vic_Cap[[#This Row],[Trenes Programados]]</f>
        <v>0.21019108280254778</v>
      </c>
      <c r="BH249" s="15">
        <f>+MIT_Vic_Cap[[#This Row],[Trenes Puntuales]]/MIT_Vic_Cap[[#This Row],[Trenes Corridos]]</f>
        <v>0.53083109919571048</v>
      </c>
      <c r="BI249" s="15">
        <f>+MIT_Vic_Cap[[#This Row],[Trenes Corridos]]/MIT_Vic_Cap[[#This Row],[Trenes Programados]]</f>
        <v>0.39596602972399153</v>
      </c>
      <c r="BJ249" s="16"/>
      <c r="BK249" s="16"/>
      <c r="BL249" s="16">
        <v>942</v>
      </c>
      <c r="BM249" s="16">
        <f t="shared" si="125"/>
        <v>569</v>
      </c>
      <c r="BN249" s="16">
        <v>373</v>
      </c>
      <c r="BO249" s="16">
        <v>198</v>
      </c>
      <c r="BP249" s="16">
        <f t="shared" si="126"/>
        <v>175</v>
      </c>
      <c r="BQ249" s="16"/>
      <c r="BR249" s="17"/>
      <c r="BS249" s="18">
        <v>2013</v>
      </c>
      <c r="BT249" s="21" t="s">
        <v>39</v>
      </c>
      <c r="BU249" s="15">
        <f>+Tabla8[[#This Row],[Trenes Puntuales]]/Tabla8[[#This Row],[Trenes Programados]]</f>
        <v>0.23444444444444446</v>
      </c>
      <c r="BV249" s="15">
        <f>+Tabla8[[#This Row],[Trenes Puntuales]]/Tabla8[[#This Row],[Trenes Corridos]]</f>
        <v>0.28095872170439412</v>
      </c>
      <c r="BW249" s="15">
        <f>+Tabla8[[#This Row],[Trenes Corridos]]/Tabla8[[#This Row],[Trenes Programados]]</f>
        <v>0.83444444444444443</v>
      </c>
      <c r="BX249" s="16"/>
      <c r="BY249" s="16"/>
      <c r="BZ249" s="16">
        <v>900</v>
      </c>
      <c r="CA249" s="16">
        <f t="shared" si="127"/>
        <v>149</v>
      </c>
      <c r="CB249" s="16">
        <v>751</v>
      </c>
      <c r="CC249" s="16">
        <v>211</v>
      </c>
      <c r="CD249" s="16">
        <f t="shared" si="128"/>
        <v>540</v>
      </c>
      <c r="CI249" s="40"/>
      <c r="CJ249" s="40"/>
      <c r="CK249" s="40"/>
      <c r="CL249" s="40"/>
      <c r="CM249" s="40"/>
    </row>
    <row r="250" spans="1:91" s="18" customFormat="1" ht="15" customHeight="1">
      <c r="A250" s="18">
        <v>2013</v>
      </c>
      <c r="B250" s="21" t="s">
        <v>40</v>
      </c>
      <c r="C250" s="15">
        <f>+MITRE[[#This Row],[Trenes Puntuales]]/MITRE[[#This Row],[Trenes Programados]]</f>
        <v>0.6858101629913711</v>
      </c>
      <c r="D250" s="15">
        <f>+MITRE[[#This Row],[Trenes Puntuales]]/MITRE[[#This Row],[Trenes Corridos]]</f>
        <v>0.85164900583402781</v>
      </c>
      <c r="E250" s="15">
        <f>+MITRE[[#This Row],[Trenes Corridos]]/MITRE[[#This Row],[Trenes Programados]]</f>
        <v>0.80527325023969321</v>
      </c>
      <c r="F250" s="16">
        <f>+Tabla4[[#This Row],[Trenes Programados por Día Hábil]]+Tabla5[[#This Row],[Trenes Programados por Día Hábil]]+Tabla6[[#This Row],[Trenes Programados por Día Hábil]]+MIT_Vic_Cap[[#This Row],[Trenes Programados por Día Hábil]]+Tabla8[[#This Row],[Trenes Programados por Día Hábil]]</f>
        <v>0</v>
      </c>
      <c r="G25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0" s="16">
        <f t="shared" si="75"/>
        <v>10430</v>
      </c>
      <c r="I250" s="16">
        <f t="shared" si="76"/>
        <v>2031</v>
      </c>
      <c r="J250" s="16">
        <f t="shared" si="77"/>
        <v>8399</v>
      </c>
      <c r="K250" s="16">
        <f t="shared" si="78"/>
        <v>7153</v>
      </c>
      <c r="L250" s="16">
        <f t="shared" si="79"/>
        <v>1246</v>
      </c>
      <c r="M250" s="16"/>
      <c r="N250" s="17"/>
      <c r="O250" s="18">
        <v>2013</v>
      </c>
      <c r="P250" s="21" t="s">
        <v>40</v>
      </c>
      <c r="Q250" s="15">
        <f>+Tabla4[[#This Row],[Trenes Puntuales]]/Tabla4[[#This Row],[Trenes Programados]]</f>
        <v>0.71045576407506705</v>
      </c>
      <c r="R250" s="15">
        <f>+Tabla4[[#This Row],[Trenes Puntuales]]/Tabla4[[#This Row],[Trenes Corridos]]</f>
        <v>0.89058999253174009</v>
      </c>
      <c r="S250" s="15">
        <f>+Tabla4[[#This Row],[Trenes Corridos]]/Tabla4[[#This Row],[Trenes Programados]]</f>
        <v>0.79773607387548406</v>
      </c>
      <c r="T250" s="16"/>
      <c r="U250" s="16"/>
      <c r="V250" s="16">
        <v>3357</v>
      </c>
      <c r="W250" s="16">
        <f t="shared" si="119"/>
        <v>679</v>
      </c>
      <c r="X250" s="16">
        <v>2678</v>
      </c>
      <c r="Y250" s="16">
        <v>2385</v>
      </c>
      <c r="Z250" s="16">
        <f t="shared" si="120"/>
        <v>293</v>
      </c>
      <c r="AA250" s="16"/>
      <c r="AB250" s="17"/>
      <c r="AC250" s="18">
        <v>2013</v>
      </c>
      <c r="AD250" s="21" t="s">
        <v>40</v>
      </c>
      <c r="AE250" s="15">
        <f>+Tabla5[[#This Row],[Trenes Puntuales]]/Tabla5[[#This Row],[Trenes Programados]]</f>
        <v>0.88803582853486884</v>
      </c>
      <c r="AF250" s="15">
        <f>+Tabla5[[#This Row],[Trenes Puntuales]]/Tabla5[[#This Row],[Trenes Corridos]]</f>
        <v>0.92379367720465888</v>
      </c>
      <c r="AG250" s="15">
        <f>+Tabla5[[#This Row],[Trenes Corridos]]/Tabla5[[#This Row],[Trenes Programados]]</f>
        <v>0.96129238643634041</v>
      </c>
      <c r="AH250" s="16"/>
      <c r="AI250" s="16"/>
      <c r="AJ250" s="16">
        <v>3126</v>
      </c>
      <c r="AK250" s="16">
        <f t="shared" si="121"/>
        <v>121</v>
      </c>
      <c r="AL250" s="16">
        <v>3005</v>
      </c>
      <c r="AM250" s="16">
        <v>2776</v>
      </c>
      <c r="AN250" s="16">
        <f t="shared" si="122"/>
        <v>229</v>
      </c>
      <c r="AO250" s="16"/>
      <c r="AP250" s="17"/>
      <c r="AQ250" s="18">
        <v>2013</v>
      </c>
      <c r="AR250" s="21" t="s">
        <v>40</v>
      </c>
      <c r="AS250" s="15">
        <f>+Tabla6[[#This Row],[Trenes Puntuales]]/Tabla6[[#This Row],[Trenes Programados]]</f>
        <v>0.82367632367632371</v>
      </c>
      <c r="AT250" s="15">
        <f>+Tabla6[[#This Row],[Trenes Puntuales]]/Tabla6[[#This Row],[Trenes Corridos]]</f>
        <v>0.95262853841709993</v>
      </c>
      <c r="AU250" s="15">
        <f>+Tabla6[[#This Row],[Trenes Corridos]]/Tabla6[[#This Row],[Trenes Programados]]</f>
        <v>0.86463536463536461</v>
      </c>
      <c r="AV250" s="16"/>
      <c r="AW250" s="16"/>
      <c r="AX250" s="16">
        <v>2002</v>
      </c>
      <c r="AY250" s="16">
        <f t="shared" si="123"/>
        <v>271</v>
      </c>
      <c r="AZ250" s="16">
        <v>1731</v>
      </c>
      <c r="BA250" s="16">
        <v>1649</v>
      </c>
      <c r="BB250" s="16">
        <f t="shared" si="124"/>
        <v>82</v>
      </c>
      <c r="BC250" s="16"/>
      <c r="BD250" s="17"/>
      <c r="BE250" s="18">
        <v>2013</v>
      </c>
      <c r="BF250" s="21" t="s">
        <v>40</v>
      </c>
      <c r="BG250" s="15">
        <f>+MIT_Vic_Cap[[#This Row],[Trenes Puntuales]]/MIT_Vic_Cap[[#This Row],[Trenes Programados]]</f>
        <v>0.1385237613751264</v>
      </c>
      <c r="BH250" s="15">
        <f>+MIT_Vic_Cap[[#This Row],[Trenes Puntuales]]/MIT_Vic_Cap[[#This Row],[Trenes Corridos]]</f>
        <v>0.56378600823045266</v>
      </c>
      <c r="BI250" s="15">
        <f>+MIT_Vic_Cap[[#This Row],[Trenes Corridos]]/MIT_Vic_Cap[[#This Row],[Trenes Programados]]</f>
        <v>0.24570273003033366</v>
      </c>
      <c r="BJ250" s="16"/>
      <c r="BK250" s="16"/>
      <c r="BL250" s="16">
        <v>989</v>
      </c>
      <c r="BM250" s="16">
        <f t="shared" si="125"/>
        <v>746</v>
      </c>
      <c r="BN250" s="16">
        <v>243</v>
      </c>
      <c r="BO250" s="16">
        <v>137</v>
      </c>
      <c r="BP250" s="16">
        <f t="shared" si="126"/>
        <v>106</v>
      </c>
      <c r="BQ250" s="16"/>
      <c r="BR250" s="17"/>
      <c r="BS250" s="18">
        <v>2013</v>
      </c>
      <c r="BT250" s="21" t="s">
        <v>40</v>
      </c>
      <c r="BU250" s="15">
        <f>+Tabla8[[#This Row],[Trenes Puntuales]]/Tabla8[[#This Row],[Trenes Programados]]</f>
        <v>0.21548117154811716</v>
      </c>
      <c r="BV250" s="15">
        <f>+Tabla8[[#This Row],[Trenes Puntuales]]/Tabla8[[#This Row],[Trenes Corridos]]</f>
        <v>0.27762803234501349</v>
      </c>
      <c r="BW250" s="15">
        <f>+Tabla8[[#This Row],[Trenes Corridos]]/Tabla8[[#This Row],[Trenes Programados]]</f>
        <v>0.77615062761506282</v>
      </c>
      <c r="BX250" s="16"/>
      <c r="BY250" s="16"/>
      <c r="BZ250" s="16">
        <v>956</v>
      </c>
      <c r="CA250" s="16">
        <f t="shared" si="127"/>
        <v>214</v>
      </c>
      <c r="CB250" s="16">
        <v>742</v>
      </c>
      <c r="CC250" s="16">
        <v>206</v>
      </c>
      <c r="CD250" s="16">
        <f t="shared" si="128"/>
        <v>536</v>
      </c>
      <c r="CI250" s="40"/>
      <c r="CJ250" s="40"/>
      <c r="CK250" s="40"/>
      <c r="CL250" s="40"/>
      <c r="CM250" s="40"/>
    </row>
    <row r="251" spans="1:91" s="18" customFormat="1" ht="15" customHeight="1">
      <c r="A251" s="18">
        <v>2013</v>
      </c>
      <c r="B251" s="21" t="s">
        <v>41</v>
      </c>
      <c r="C251" s="15">
        <f>+MITRE[[#This Row],[Trenes Puntuales]]/MITRE[[#This Row],[Trenes Programados]]</f>
        <v>0.6483661457276233</v>
      </c>
      <c r="D251" s="15">
        <f>+MITRE[[#This Row],[Trenes Puntuales]]/MITRE[[#This Row],[Trenes Corridos]]</f>
        <v>0.85862115307082376</v>
      </c>
      <c r="E251" s="15">
        <f>+MITRE[[#This Row],[Trenes Corridos]]/MITRE[[#This Row],[Trenes Programados]]</f>
        <v>0.75512482240714429</v>
      </c>
      <c r="F251" s="16">
        <f>+Tabla4[[#This Row],[Trenes Programados por Día Hábil]]+Tabla5[[#This Row],[Trenes Programados por Día Hábil]]+Tabla6[[#This Row],[Trenes Programados por Día Hábil]]+MIT_Vic_Cap[[#This Row],[Trenes Programados por Día Hábil]]+Tabla8[[#This Row],[Trenes Programados por Día Hábil]]</f>
        <v>0</v>
      </c>
      <c r="G25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1" s="16">
        <f t="shared" si="75"/>
        <v>9854</v>
      </c>
      <c r="I251" s="16">
        <f t="shared" si="76"/>
        <v>2413</v>
      </c>
      <c r="J251" s="16">
        <f t="shared" si="77"/>
        <v>7441</v>
      </c>
      <c r="K251" s="16">
        <f t="shared" si="78"/>
        <v>6389</v>
      </c>
      <c r="L251" s="16">
        <f t="shared" si="79"/>
        <v>1052</v>
      </c>
      <c r="M251" s="16"/>
      <c r="N251" s="17"/>
      <c r="O251" s="18">
        <v>2013</v>
      </c>
      <c r="P251" s="21" t="s">
        <v>41</v>
      </c>
      <c r="Q251" s="15">
        <f>+Tabla4[[#This Row],[Trenes Puntuales]]/Tabla4[[#This Row],[Trenes Programados]]</f>
        <v>0.66427008440137547</v>
      </c>
      <c r="R251" s="15">
        <f>+Tabla4[[#This Row],[Trenes Puntuales]]/Tabla4[[#This Row],[Trenes Corridos]]</f>
        <v>0.90118744698897368</v>
      </c>
      <c r="S251" s="15">
        <f>+Tabla4[[#This Row],[Trenes Corridos]]/Tabla4[[#This Row],[Trenes Programados]]</f>
        <v>0.73710534542044392</v>
      </c>
      <c r="T251" s="16"/>
      <c r="U251" s="16"/>
      <c r="V251" s="16">
        <v>3199</v>
      </c>
      <c r="W251" s="16">
        <f t="shared" si="119"/>
        <v>841</v>
      </c>
      <c r="X251" s="16">
        <v>2358</v>
      </c>
      <c r="Y251" s="16">
        <v>2125</v>
      </c>
      <c r="Z251" s="16">
        <f t="shared" si="120"/>
        <v>233</v>
      </c>
      <c r="AA251" s="16"/>
      <c r="AB251" s="17"/>
      <c r="AC251" s="18">
        <v>2013</v>
      </c>
      <c r="AD251" s="21" t="s">
        <v>41</v>
      </c>
      <c r="AE251" s="15">
        <f>+Tabla5[[#This Row],[Trenes Puntuales]]/Tabla5[[#This Row],[Trenes Programados]]</f>
        <v>0.84133964817320706</v>
      </c>
      <c r="AF251" s="15">
        <f>+Tabla5[[#This Row],[Trenes Puntuales]]/Tabla5[[#This Row],[Trenes Corridos]]</f>
        <v>0.91568483063328421</v>
      </c>
      <c r="AG251" s="15">
        <f>+Tabla5[[#This Row],[Trenes Corridos]]/Tabla5[[#This Row],[Trenes Programados]]</f>
        <v>0.91880920162381596</v>
      </c>
      <c r="AH251" s="16"/>
      <c r="AI251" s="16"/>
      <c r="AJ251" s="16">
        <v>2956</v>
      </c>
      <c r="AK251" s="16">
        <f t="shared" si="121"/>
        <v>240</v>
      </c>
      <c r="AL251" s="16">
        <v>2716</v>
      </c>
      <c r="AM251" s="16">
        <v>2487</v>
      </c>
      <c r="AN251" s="16">
        <f t="shared" si="122"/>
        <v>229</v>
      </c>
      <c r="AO251" s="16"/>
      <c r="AP251" s="17"/>
      <c r="AQ251" s="18">
        <v>2013</v>
      </c>
      <c r="AR251" s="21" t="s">
        <v>41</v>
      </c>
      <c r="AS251" s="15">
        <f>+Tabla6[[#This Row],[Trenes Puntuales]]/Tabla6[[#This Row],[Trenes Programados]]</f>
        <v>0.76167979002624675</v>
      </c>
      <c r="AT251" s="15">
        <f>+Tabla6[[#This Row],[Trenes Puntuales]]/Tabla6[[#This Row],[Trenes Corridos]]</f>
        <v>0.94960732984293195</v>
      </c>
      <c r="AU251" s="15">
        <f>+Tabla6[[#This Row],[Trenes Corridos]]/Tabla6[[#This Row],[Trenes Programados]]</f>
        <v>0.80209973753280839</v>
      </c>
      <c r="AV251" s="16"/>
      <c r="AW251" s="16"/>
      <c r="AX251" s="16">
        <v>1905</v>
      </c>
      <c r="AY251" s="16">
        <f t="shared" si="123"/>
        <v>377</v>
      </c>
      <c r="AZ251" s="16">
        <v>1528</v>
      </c>
      <c r="BA251" s="16">
        <v>1451</v>
      </c>
      <c r="BB251" s="16">
        <f t="shared" si="124"/>
        <v>77</v>
      </c>
      <c r="BC251" s="16"/>
      <c r="BD251" s="17"/>
      <c r="BE251" s="18">
        <v>2013</v>
      </c>
      <c r="BF251" s="21" t="s">
        <v>41</v>
      </c>
      <c r="BG251" s="15">
        <f>+MIT_Vic_Cap[[#This Row],[Trenes Puntuales]]/MIT_Vic_Cap[[#This Row],[Trenes Programados]]</f>
        <v>0.19913885898815931</v>
      </c>
      <c r="BH251" s="15">
        <f>+MIT_Vic_Cap[[#This Row],[Trenes Puntuales]]/MIT_Vic_Cap[[#This Row],[Trenes Corridos]]</f>
        <v>0.55059523809523814</v>
      </c>
      <c r="BI251" s="15">
        <f>+MIT_Vic_Cap[[#This Row],[Trenes Corridos]]/MIT_Vic_Cap[[#This Row],[Trenes Programados]]</f>
        <v>0.36167922497308935</v>
      </c>
      <c r="BJ251" s="16"/>
      <c r="BK251" s="16"/>
      <c r="BL251" s="16">
        <v>929</v>
      </c>
      <c r="BM251" s="16">
        <f t="shared" si="125"/>
        <v>593</v>
      </c>
      <c r="BN251" s="16">
        <v>336</v>
      </c>
      <c r="BO251" s="16">
        <v>185</v>
      </c>
      <c r="BP251" s="16">
        <f t="shared" si="126"/>
        <v>151</v>
      </c>
      <c r="BQ251" s="16"/>
      <c r="BR251" s="17"/>
      <c r="BS251" s="18">
        <v>2013</v>
      </c>
      <c r="BT251" s="21" t="s">
        <v>41</v>
      </c>
      <c r="BU251" s="15">
        <f>+Tabla8[[#This Row],[Trenes Puntuales]]/Tabla8[[#This Row],[Trenes Programados]]</f>
        <v>0.16300578034682081</v>
      </c>
      <c r="BV251" s="15">
        <f>+Tabla8[[#This Row],[Trenes Puntuales]]/Tabla8[[#This Row],[Trenes Corridos]]</f>
        <v>0.28031809145129227</v>
      </c>
      <c r="BW251" s="15">
        <f>+Tabla8[[#This Row],[Trenes Corridos]]/Tabla8[[#This Row],[Trenes Programados]]</f>
        <v>0.58150289017341039</v>
      </c>
      <c r="BX251" s="16"/>
      <c r="BY251" s="16"/>
      <c r="BZ251" s="16">
        <v>865</v>
      </c>
      <c r="CA251" s="16">
        <f t="shared" si="127"/>
        <v>362</v>
      </c>
      <c r="CB251" s="16">
        <v>503</v>
      </c>
      <c r="CC251" s="16">
        <v>141</v>
      </c>
      <c r="CD251" s="16">
        <f t="shared" si="128"/>
        <v>362</v>
      </c>
      <c r="CI251" s="40"/>
      <c r="CJ251" s="40"/>
      <c r="CK251" s="40"/>
      <c r="CL251" s="40"/>
      <c r="CM251" s="40"/>
    </row>
    <row r="252" spans="1:91" s="18" customFormat="1" ht="15" customHeight="1">
      <c r="A252" s="18">
        <v>2013</v>
      </c>
      <c r="B252" s="21" t="s">
        <v>42</v>
      </c>
      <c r="C252" s="15">
        <f>+MITRE[[#This Row],[Trenes Puntuales]]/MITRE[[#This Row],[Trenes Programados]]</f>
        <v>0.65167785234899334</v>
      </c>
      <c r="D252" s="15">
        <f>+MITRE[[#This Row],[Trenes Puntuales]]/MITRE[[#This Row],[Trenes Corridos]]</f>
        <v>0.86027085179091256</v>
      </c>
      <c r="E252" s="15">
        <f>+MITRE[[#This Row],[Trenes Corridos]]/MITRE[[#This Row],[Trenes Programados]]</f>
        <v>0.75752636625119851</v>
      </c>
      <c r="F252" s="16">
        <f>+Tabla4[[#This Row],[Trenes Programados por Día Hábil]]+Tabla5[[#This Row],[Trenes Programados por Día Hábil]]+Tabla6[[#This Row],[Trenes Programados por Día Hábil]]+MIT_Vic_Cap[[#This Row],[Trenes Programados por Día Hábil]]+Tabla8[[#This Row],[Trenes Programados por Día Hábil]]</f>
        <v>0</v>
      </c>
      <c r="G25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2" s="16">
        <f t="shared" si="75"/>
        <v>10430</v>
      </c>
      <c r="I252" s="16">
        <f t="shared" si="76"/>
        <v>2529</v>
      </c>
      <c r="J252" s="16">
        <f t="shared" si="77"/>
        <v>7901</v>
      </c>
      <c r="K252" s="16">
        <f t="shared" si="78"/>
        <v>6797</v>
      </c>
      <c r="L252" s="16">
        <f t="shared" si="79"/>
        <v>1104</v>
      </c>
      <c r="M252" s="16"/>
      <c r="N252" s="17"/>
      <c r="O252" s="18">
        <v>2013</v>
      </c>
      <c r="P252" s="21" t="s">
        <v>42</v>
      </c>
      <c r="Q252" s="15">
        <f>+Tabla4[[#This Row],[Trenes Puntuales]]/Tabla4[[#This Row],[Trenes Programados]]</f>
        <v>0.64283586535597259</v>
      </c>
      <c r="R252" s="15">
        <f>+Tabla4[[#This Row],[Trenes Puntuales]]/Tabla4[[#This Row],[Trenes Corridos]]</f>
        <v>0.85668916236601822</v>
      </c>
      <c r="S252" s="15">
        <f>+Tabla4[[#This Row],[Trenes Corridos]]/Tabla4[[#This Row],[Trenes Programados]]</f>
        <v>0.7503723562704796</v>
      </c>
      <c r="T252" s="16"/>
      <c r="U252" s="16"/>
      <c r="V252" s="16">
        <v>3357</v>
      </c>
      <c r="W252" s="16">
        <f t="shared" si="119"/>
        <v>838</v>
      </c>
      <c r="X252" s="16">
        <v>2519</v>
      </c>
      <c r="Y252" s="16">
        <v>2158</v>
      </c>
      <c r="Z252" s="16">
        <f t="shared" si="120"/>
        <v>361</v>
      </c>
      <c r="AA252" s="16"/>
      <c r="AB252" s="17"/>
      <c r="AC252" s="18">
        <v>2013</v>
      </c>
      <c r="AD252" s="21" t="s">
        <v>42</v>
      </c>
      <c r="AE252" s="15">
        <f>+Tabla5[[#This Row],[Trenes Puntuales]]/Tabla5[[#This Row],[Trenes Programados]]</f>
        <v>0.8550863723608445</v>
      </c>
      <c r="AF252" s="15">
        <f>+Tabla5[[#This Row],[Trenes Puntuales]]/Tabla5[[#This Row],[Trenes Corridos]]</f>
        <v>0.9226786330686918</v>
      </c>
      <c r="AG252" s="15">
        <f>+Tabla5[[#This Row],[Trenes Corridos]]/Tabla5[[#This Row],[Trenes Programados]]</f>
        <v>0.92674344209852844</v>
      </c>
      <c r="AH252" s="16"/>
      <c r="AI252" s="16"/>
      <c r="AJ252" s="16">
        <v>3126</v>
      </c>
      <c r="AK252" s="16">
        <f t="shared" si="121"/>
        <v>229</v>
      </c>
      <c r="AL252" s="16">
        <v>2897</v>
      </c>
      <c r="AM252" s="16">
        <v>2673</v>
      </c>
      <c r="AN252" s="16">
        <f t="shared" si="122"/>
        <v>224</v>
      </c>
      <c r="AO252" s="16"/>
      <c r="AP252" s="17"/>
      <c r="AQ252" s="18">
        <v>2013</v>
      </c>
      <c r="AR252" s="21" t="s">
        <v>42</v>
      </c>
      <c r="AS252" s="15">
        <f>+Tabla6[[#This Row],[Trenes Puntuales]]/Tabla6[[#This Row],[Trenes Programados]]</f>
        <v>0.81218781218781222</v>
      </c>
      <c r="AT252" s="15">
        <f>+Tabla6[[#This Row],[Trenes Puntuales]]/Tabla6[[#This Row],[Trenes Corridos]]</f>
        <v>0.96384113811499705</v>
      </c>
      <c r="AU252" s="15">
        <f>+Tabla6[[#This Row],[Trenes Corridos]]/Tabla6[[#This Row],[Trenes Programados]]</f>
        <v>0.84265734265734271</v>
      </c>
      <c r="AV252" s="16"/>
      <c r="AW252" s="16"/>
      <c r="AX252" s="16">
        <v>2002</v>
      </c>
      <c r="AY252" s="16">
        <f t="shared" si="123"/>
        <v>315</v>
      </c>
      <c r="AZ252" s="16">
        <v>1687</v>
      </c>
      <c r="BA252" s="16">
        <v>1626</v>
      </c>
      <c r="BB252" s="16">
        <f t="shared" si="124"/>
        <v>61</v>
      </c>
      <c r="BC252" s="16"/>
      <c r="BD252" s="17"/>
      <c r="BE252" s="18">
        <v>2013</v>
      </c>
      <c r="BF252" s="21" t="s">
        <v>42</v>
      </c>
      <c r="BG252" s="15">
        <f>+MIT_Vic_Cap[[#This Row],[Trenes Puntuales]]/MIT_Vic_Cap[[#This Row],[Trenes Programados]]</f>
        <v>0.18503538928210314</v>
      </c>
      <c r="BH252" s="15">
        <f>+MIT_Vic_Cap[[#This Row],[Trenes Puntuales]]/MIT_Vic_Cap[[#This Row],[Trenes Corridos]]</f>
        <v>0.60596026490066224</v>
      </c>
      <c r="BI252" s="15">
        <f>+MIT_Vic_Cap[[#This Row],[Trenes Corridos]]/MIT_Vic_Cap[[#This Row],[Trenes Programados]]</f>
        <v>0.30535894843276035</v>
      </c>
      <c r="BJ252" s="16"/>
      <c r="BK252" s="16"/>
      <c r="BL252" s="16">
        <v>989</v>
      </c>
      <c r="BM252" s="16">
        <f t="shared" si="125"/>
        <v>687</v>
      </c>
      <c r="BN252" s="16">
        <v>302</v>
      </c>
      <c r="BO252" s="16">
        <v>183</v>
      </c>
      <c r="BP252" s="16">
        <f t="shared" si="126"/>
        <v>119</v>
      </c>
      <c r="BQ252" s="16"/>
      <c r="BR252" s="17"/>
      <c r="BS252" s="18">
        <v>2013</v>
      </c>
      <c r="BT252" s="21" t="s">
        <v>42</v>
      </c>
      <c r="BU252" s="15">
        <f>+Tabla8[[#This Row],[Trenes Puntuales]]/Tabla8[[#This Row],[Trenes Programados]]</f>
        <v>0.16422594142259414</v>
      </c>
      <c r="BV252" s="15">
        <f>+Tabla8[[#This Row],[Trenes Puntuales]]/Tabla8[[#This Row],[Trenes Corridos]]</f>
        <v>0.31653225806451613</v>
      </c>
      <c r="BW252" s="15">
        <f>+Tabla8[[#This Row],[Trenes Corridos]]/Tabla8[[#This Row],[Trenes Programados]]</f>
        <v>0.51882845188284521</v>
      </c>
      <c r="BX252" s="16"/>
      <c r="BY252" s="16"/>
      <c r="BZ252" s="16">
        <v>956</v>
      </c>
      <c r="CA252" s="16">
        <f t="shared" si="127"/>
        <v>460</v>
      </c>
      <c r="CB252" s="16">
        <v>496</v>
      </c>
      <c r="CC252" s="16">
        <v>157</v>
      </c>
      <c r="CD252" s="16">
        <f t="shared" si="128"/>
        <v>339</v>
      </c>
      <c r="CI252" s="40"/>
      <c r="CJ252" s="40"/>
      <c r="CK252" s="40"/>
      <c r="CL252" s="40"/>
      <c r="CM252" s="40"/>
    </row>
    <row r="253" spans="1:91" s="18" customFormat="1" ht="15" customHeight="1">
      <c r="A253" s="18">
        <v>2013</v>
      </c>
      <c r="B253" s="21" t="s">
        <v>43</v>
      </c>
      <c r="C253" s="15">
        <f>+MITRE[[#This Row],[Trenes Puntuales]]/MITRE[[#This Row],[Trenes Programados]]</f>
        <v>0.64733557369179073</v>
      </c>
      <c r="D253" s="15">
        <f>+MITRE[[#This Row],[Trenes Puntuales]]/MITRE[[#This Row],[Trenes Corridos]]</f>
        <v>0.87004774809652863</v>
      </c>
      <c r="E253" s="15">
        <f>+MITRE[[#This Row],[Trenes Corridos]]/MITRE[[#This Row],[Trenes Programados]]</f>
        <v>0.7440230436869899</v>
      </c>
      <c r="F253" s="16">
        <f>+Tabla4[[#This Row],[Trenes Programados por Día Hábil]]+Tabla5[[#This Row],[Trenes Programados por Día Hábil]]+Tabla6[[#This Row],[Trenes Programados por Día Hábil]]+MIT_Vic_Cap[[#This Row],[Trenes Programados por Día Hábil]]+Tabla8[[#This Row],[Trenes Programados por Día Hábil]]</f>
        <v>0</v>
      </c>
      <c r="G25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3" s="16">
        <f t="shared" si="75"/>
        <v>10415</v>
      </c>
      <c r="I253" s="16">
        <f t="shared" si="76"/>
        <v>2666</v>
      </c>
      <c r="J253" s="16">
        <f t="shared" si="77"/>
        <v>7749</v>
      </c>
      <c r="K253" s="16">
        <f t="shared" si="78"/>
        <v>6742</v>
      </c>
      <c r="L253" s="16">
        <f t="shared" si="79"/>
        <v>1007</v>
      </c>
      <c r="M253" s="16"/>
      <c r="N253" s="17"/>
      <c r="O253" s="18">
        <v>2013</v>
      </c>
      <c r="P253" s="21" t="s">
        <v>43</v>
      </c>
      <c r="Q253" s="15">
        <f>+Tabla4[[#This Row],[Trenes Puntuales]]/Tabla4[[#This Row],[Trenes Programados]]</f>
        <v>0.66309204647006259</v>
      </c>
      <c r="R253" s="15">
        <f>+Tabla4[[#This Row],[Trenes Puntuales]]/Tabla4[[#This Row],[Trenes Corridos]]</f>
        <v>0.8836840015879317</v>
      </c>
      <c r="S253" s="15">
        <f>+Tabla4[[#This Row],[Trenes Corridos]]/Tabla4[[#This Row],[Trenes Programados]]</f>
        <v>0.7503723562704796</v>
      </c>
      <c r="T253" s="16"/>
      <c r="U253" s="16"/>
      <c r="V253" s="16">
        <v>3357</v>
      </c>
      <c r="W253" s="16">
        <f t="shared" si="119"/>
        <v>838</v>
      </c>
      <c r="X253" s="16">
        <v>2519</v>
      </c>
      <c r="Y253" s="16">
        <v>2226</v>
      </c>
      <c r="Z253" s="16">
        <f t="shared" si="120"/>
        <v>293</v>
      </c>
      <c r="AA253" s="16"/>
      <c r="AB253" s="17"/>
      <c r="AC253" s="18">
        <v>2013</v>
      </c>
      <c r="AD253" s="21" t="s">
        <v>43</v>
      </c>
      <c r="AE253" s="15">
        <f>+Tabla5[[#This Row],[Trenes Puntuales]]/Tabla5[[#This Row],[Trenes Programados]]</f>
        <v>0.88771593090211132</v>
      </c>
      <c r="AF253" s="15">
        <f>+Tabla5[[#This Row],[Trenes Puntuales]]/Tabla5[[#This Row],[Trenes Corridos]]</f>
        <v>0.93845113290497129</v>
      </c>
      <c r="AG253" s="15">
        <f>+Tabla5[[#This Row],[Trenes Corridos]]/Tabla5[[#This Row],[Trenes Programados]]</f>
        <v>0.94593730006397958</v>
      </c>
      <c r="AH253" s="16"/>
      <c r="AI253" s="16"/>
      <c r="AJ253" s="16">
        <v>3126</v>
      </c>
      <c r="AK253" s="16">
        <f t="shared" si="121"/>
        <v>169</v>
      </c>
      <c r="AL253" s="16">
        <v>2957</v>
      </c>
      <c r="AM253" s="16">
        <v>2775</v>
      </c>
      <c r="AN253" s="16">
        <f t="shared" si="122"/>
        <v>182</v>
      </c>
      <c r="AO253" s="16"/>
      <c r="AP253" s="17"/>
      <c r="AQ253" s="18">
        <v>2013</v>
      </c>
      <c r="AR253" s="21" t="s">
        <v>43</v>
      </c>
      <c r="AS253" s="15">
        <f>+Tabla6[[#This Row],[Trenes Puntuales]]/Tabla6[[#This Row],[Trenes Programados]]</f>
        <v>0.78321678321678323</v>
      </c>
      <c r="AT253" s="15">
        <f>+Tabla6[[#This Row],[Trenes Puntuales]]/Tabla6[[#This Row],[Trenes Corridos]]</f>
        <v>0.96730413325107956</v>
      </c>
      <c r="AU253" s="15">
        <f>+Tabla6[[#This Row],[Trenes Corridos]]/Tabla6[[#This Row],[Trenes Programados]]</f>
        <v>0.80969030969030964</v>
      </c>
      <c r="AV253" s="16"/>
      <c r="AW253" s="16"/>
      <c r="AX253" s="16">
        <v>2002</v>
      </c>
      <c r="AY253" s="16">
        <f t="shared" si="123"/>
        <v>381</v>
      </c>
      <c r="AZ253" s="16">
        <v>1621</v>
      </c>
      <c r="BA253" s="16">
        <v>1568</v>
      </c>
      <c r="BB253" s="16">
        <f t="shared" si="124"/>
        <v>53</v>
      </c>
      <c r="BC253" s="16"/>
      <c r="BD253" s="17"/>
      <c r="BE253" s="18">
        <v>2013</v>
      </c>
      <c r="BF253" s="21" t="s">
        <v>43</v>
      </c>
      <c r="BG253" s="15">
        <f>+MIT_Vic_Cap[[#This Row],[Trenes Puntuales]]/MIT_Vic_Cap[[#This Row],[Trenes Programados]]</f>
        <v>3.2355915065722954E-2</v>
      </c>
      <c r="BH253" s="15">
        <f>+MIT_Vic_Cap[[#This Row],[Trenes Puntuales]]/MIT_Vic_Cap[[#This Row],[Trenes Corridos]]</f>
        <v>0.13852813852813853</v>
      </c>
      <c r="BI253" s="15">
        <f>+MIT_Vic_Cap[[#This Row],[Trenes Corridos]]/MIT_Vic_Cap[[#This Row],[Trenes Programados]]</f>
        <v>0.23356926188068755</v>
      </c>
      <c r="BJ253" s="16"/>
      <c r="BK253" s="16"/>
      <c r="BL253" s="16">
        <v>989</v>
      </c>
      <c r="BM253" s="16">
        <f t="shared" si="125"/>
        <v>758</v>
      </c>
      <c r="BN253" s="16">
        <v>231</v>
      </c>
      <c r="BO253" s="16">
        <v>32</v>
      </c>
      <c r="BP253" s="16">
        <f t="shared" si="126"/>
        <v>199</v>
      </c>
      <c r="BQ253" s="16"/>
      <c r="BR253" s="17"/>
      <c r="BS253" s="18">
        <v>2013</v>
      </c>
      <c r="BT253" s="21" t="s">
        <v>43</v>
      </c>
      <c r="BU253" s="15">
        <f>+Tabla8[[#This Row],[Trenes Puntuales]]/Tabla8[[#This Row],[Trenes Programados]]</f>
        <v>0.14984059511158343</v>
      </c>
      <c r="BV253" s="15">
        <f>+Tabla8[[#This Row],[Trenes Puntuales]]/Tabla8[[#This Row],[Trenes Corridos]]</f>
        <v>0.33491686460807601</v>
      </c>
      <c r="BW253" s="15">
        <f>+Tabla8[[#This Row],[Trenes Corridos]]/Tabla8[[#This Row],[Trenes Programados]]</f>
        <v>0.44739638682252925</v>
      </c>
      <c r="BX253" s="16"/>
      <c r="BY253" s="16"/>
      <c r="BZ253" s="16">
        <v>941</v>
      </c>
      <c r="CA253" s="16">
        <f t="shared" si="127"/>
        <v>520</v>
      </c>
      <c r="CB253" s="16">
        <v>421</v>
      </c>
      <c r="CC253" s="16">
        <v>141</v>
      </c>
      <c r="CD253" s="16">
        <f t="shared" si="128"/>
        <v>280</v>
      </c>
      <c r="CI253" s="40"/>
      <c r="CJ253" s="40"/>
      <c r="CK253" s="40"/>
      <c r="CL253" s="40"/>
      <c r="CM253" s="40"/>
    </row>
    <row r="254" spans="1:91" s="18" customFormat="1" ht="15" customHeight="1">
      <c r="A254" s="18">
        <v>2013</v>
      </c>
      <c r="B254" s="21" t="s">
        <v>44</v>
      </c>
      <c r="C254" s="15">
        <f>+MITRE[[#This Row],[Trenes Puntuales]]/MITRE[[#This Row],[Trenes Programados]]</f>
        <v>0.63227277232629597</v>
      </c>
      <c r="D254" s="15">
        <f>+MITRE[[#This Row],[Trenes Puntuales]]/MITRE[[#This Row],[Trenes Corridos]]</f>
        <v>0.86577090119435396</v>
      </c>
      <c r="E254" s="15">
        <f>+MITRE[[#This Row],[Trenes Corridos]]/MITRE[[#This Row],[Trenes Programados]]</f>
        <v>0.73030032708890869</v>
      </c>
      <c r="F254" s="16">
        <f>+Tabla4[[#This Row],[Trenes Programados por Día Hábil]]+Tabla5[[#This Row],[Trenes Programados por Día Hábil]]+Tabla6[[#This Row],[Trenes Programados por Día Hábil]]+MIT_Vic_Cap[[#This Row],[Trenes Programados por Día Hábil]]+Tabla8[[#This Row],[Trenes Programados por Día Hábil]]</f>
        <v>0</v>
      </c>
      <c r="G25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4" s="16">
        <f t="shared" si="75"/>
        <v>10089</v>
      </c>
      <c r="I254" s="16">
        <f t="shared" si="76"/>
        <v>2721</v>
      </c>
      <c r="J254" s="16">
        <f t="shared" si="77"/>
        <v>7368</v>
      </c>
      <c r="K254" s="16">
        <f t="shared" si="78"/>
        <v>6379</v>
      </c>
      <c r="L254" s="16">
        <f t="shared" si="79"/>
        <v>989</v>
      </c>
      <c r="M254" s="16"/>
      <c r="N254" s="17"/>
      <c r="O254" s="18">
        <v>2013</v>
      </c>
      <c r="P254" s="21" t="s">
        <v>44</v>
      </c>
      <c r="Q254" s="15">
        <f>+Tabla4[[#This Row],[Trenes Puntuales]]/Tabla4[[#This Row],[Trenes Programados]]</f>
        <v>0.6333231052470083</v>
      </c>
      <c r="R254" s="15">
        <f>+Tabla4[[#This Row],[Trenes Puntuales]]/Tabla4[[#This Row],[Trenes Corridos]]</f>
        <v>0.86</v>
      </c>
      <c r="S254" s="15">
        <f>+Tabla4[[#This Row],[Trenes Corridos]]/Tabla4[[#This Row],[Trenes Programados]]</f>
        <v>0.73642221540349806</v>
      </c>
      <c r="T254" s="16"/>
      <c r="U254" s="16"/>
      <c r="V254" s="16">
        <v>3259</v>
      </c>
      <c r="W254" s="16">
        <f t="shared" si="119"/>
        <v>859</v>
      </c>
      <c r="X254" s="16">
        <v>2400</v>
      </c>
      <c r="Y254" s="16">
        <v>2064</v>
      </c>
      <c r="Z254" s="16">
        <f t="shared" si="120"/>
        <v>336</v>
      </c>
      <c r="AA254" s="16"/>
      <c r="AB254" s="17"/>
      <c r="AC254" s="18">
        <v>2013</v>
      </c>
      <c r="AD254" s="21" t="s">
        <v>44</v>
      </c>
      <c r="AE254" s="15">
        <f>+Tabla5[[#This Row],[Trenes Puntuales]]/Tabla5[[#This Row],[Trenes Programados]]</f>
        <v>0.84304635761589408</v>
      </c>
      <c r="AF254" s="15">
        <f>+Tabla5[[#This Row],[Trenes Puntuales]]/Tabla5[[#This Row],[Trenes Corridos]]</f>
        <v>0.94823091247672253</v>
      </c>
      <c r="AG254" s="15">
        <f>+Tabla5[[#This Row],[Trenes Corridos]]/Tabla5[[#This Row],[Trenes Programados]]</f>
        <v>0.88907284768211925</v>
      </c>
      <c r="AH254" s="16"/>
      <c r="AI254" s="16"/>
      <c r="AJ254" s="16">
        <v>3020</v>
      </c>
      <c r="AK254" s="16">
        <f t="shared" si="121"/>
        <v>335</v>
      </c>
      <c r="AL254" s="16">
        <v>2685</v>
      </c>
      <c r="AM254" s="16">
        <v>2546</v>
      </c>
      <c r="AN254" s="16">
        <f t="shared" si="122"/>
        <v>139</v>
      </c>
      <c r="AO254" s="16"/>
      <c r="AP254" s="17"/>
      <c r="AQ254" s="18">
        <v>2013</v>
      </c>
      <c r="AR254" s="21" t="s">
        <v>44</v>
      </c>
      <c r="AS254" s="15">
        <f>+Tabla6[[#This Row],[Trenes Puntuales]]/Tabla6[[#This Row],[Trenes Programados]]</f>
        <v>0.79121447028423775</v>
      </c>
      <c r="AT254" s="15">
        <f>+Tabla6[[#This Row],[Trenes Puntuales]]/Tabla6[[#This Row],[Trenes Corridos]]</f>
        <v>0.9622878692646134</v>
      </c>
      <c r="AU254" s="15">
        <f>+Tabla6[[#This Row],[Trenes Corridos]]/Tabla6[[#This Row],[Trenes Programados]]</f>
        <v>0.82222222222222219</v>
      </c>
      <c r="AV254" s="16"/>
      <c r="AW254" s="16"/>
      <c r="AX254" s="16">
        <v>1935</v>
      </c>
      <c r="AY254" s="16">
        <f t="shared" si="123"/>
        <v>344</v>
      </c>
      <c r="AZ254" s="16">
        <v>1591</v>
      </c>
      <c r="BA254" s="16">
        <v>1531</v>
      </c>
      <c r="BB254" s="16">
        <f t="shared" si="124"/>
        <v>60</v>
      </c>
      <c r="BC254" s="16"/>
      <c r="BD254" s="17"/>
      <c r="BE254" s="18">
        <v>2013</v>
      </c>
      <c r="BF254" s="21" t="s">
        <v>44</v>
      </c>
      <c r="BG254" s="15">
        <f>+MIT_Vic_Cap[[#This Row],[Trenes Puntuales]]/MIT_Vic_Cap[[#This Row],[Trenes Programados]]</f>
        <v>8.4816753926701571E-2</v>
      </c>
      <c r="BH254" s="15">
        <f>+MIT_Vic_Cap[[#This Row],[Trenes Puntuales]]/MIT_Vic_Cap[[#This Row],[Trenes Corridos]]</f>
        <v>0.34763948497854075</v>
      </c>
      <c r="BI254" s="15">
        <f>+MIT_Vic_Cap[[#This Row],[Trenes Corridos]]/MIT_Vic_Cap[[#This Row],[Trenes Programados]]</f>
        <v>0.24397905759162303</v>
      </c>
      <c r="BJ254" s="16"/>
      <c r="BK254" s="16"/>
      <c r="BL254" s="16">
        <v>955</v>
      </c>
      <c r="BM254" s="16">
        <f t="shared" si="125"/>
        <v>722</v>
      </c>
      <c r="BN254" s="16">
        <v>233</v>
      </c>
      <c r="BO254" s="16">
        <v>81</v>
      </c>
      <c r="BP254" s="16">
        <f t="shared" si="126"/>
        <v>152</v>
      </c>
      <c r="BQ254" s="16"/>
      <c r="BR254" s="17"/>
      <c r="BS254" s="18">
        <v>2013</v>
      </c>
      <c r="BT254" s="21" t="s">
        <v>44</v>
      </c>
      <c r="BU254" s="15">
        <f>+Tabla8[[#This Row],[Trenes Puntuales]]/Tabla8[[#This Row],[Trenes Programados]]</f>
        <v>0.17065217391304346</v>
      </c>
      <c r="BV254" s="15">
        <f>+Tabla8[[#This Row],[Trenes Puntuales]]/Tabla8[[#This Row],[Trenes Corridos]]</f>
        <v>0.34204793028322439</v>
      </c>
      <c r="BW254" s="15">
        <f>+Tabla8[[#This Row],[Trenes Corridos]]/Tabla8[[#This Row],[Trenes Programados]]</f>
        <v>0.49891304347826088</v>
      </c>
      <c r="BX254" s="16"/>
      <c r="BY254" s="16"/>
      <c r="BZ254" s="16">
        <v>920</v>
      </c>
      <c r="CA254" s="16">
        <f t="shared" si="127"/>
        <v>461</v>
      </c>
      <c r="CB254" s="16">
        <v>459</v>
      </c>
      <c r="CC254" s="16">
        <v>157</v>
      </c>
      <c r="CD254" s="16">
        <f t="shared" si="128"/>
        <v>302</v>
      </c>
      <c r="CI254" s="40"/>
      <c r="CJ254" s="40"/>
      <c r="CK254" s="40"/>
      <c r="CL254" s="40"/>
      <c r="CM254" s="40"/>
    </row>
    <row r="255" spans="1:91" s="18" customFormat="1" ht="15" customHeight="1">
      <c r="A255" s="18">
        <v>2013</v>
      </c>
      <c r="B255" s="21" t="s">
        <v>45</v>
      </c>
      <c r="C255" s="15">
        <f>+MITRE[[#This Row],[Trenes Puntuales]]/MITRE[[#This Row],[Trenes Programados]]</f>
        <v>0.60697394046183806</v>
      </c>
      <c r="D255" s="15">
        <f>+MITRE[[#This Row],[Trenes Puntuales]]/MITRE[[#This Row],[Trenes Corridos]]</f>
        <v>0.78383233532934127</v>
      </c>
      <c r="E255" s="15">
        <f>+MITRE[[#This Row],[Trenes Corridos]]/MITRE[[#This Row],[Trenes Programados]]</f>
        <v>0.7743670592599462</v>
      </c>
      <c r="F255" s="16">
        <f>+Tabla4[[#This Row],[Trenes Programados por Día Hábil]]+Tabla5[[#This Row],[Trenes Programados por Día Hábil]]+Tabla6[[#This Row],[Trenes Programados por Día Hábil]]+MIT_Vic_Cap[[#This Row],[Trenes Programados por Día Hábil]]+Tabla8[[#This Row],[Trenes Programados por Día Hábil]]</f>
        <v>0</v>
      </c>
      <c r="G25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5" s="16">
        <f t="shared" si="75"/>
        <v>10783</v>
      </c>
      <c r="I255" s="16">
        <f t="shared" si="76"/>
        <v>2433</v>
      </c>
      <c r="J255" s="16">
        <f t="shared" si="77"/>
        <v>8350</v>
      </c>
      <c r="K255" s="16">
        <f t="shared" si="78"/>
        <v>6545</v>
      </c>
      <c r="L255" s="16">
        <f t="shared" si="79"/>
        <v>1805</v>
      </c>
      <c r="M255" s="16"/>
      <c r="N255" s="17"/>
      <c r="O255" s="18">
        <v>2013</v>
      </c>
      <c r="P255" s="21" t="s">
        <v>45</v>
      </c>
      <c r="Q255" s="15">
        <f>+Tabla4[[#This Row],[Trenes Puntuales]]/Tabla4[[#This Row],[Trenes Programados]]</f>
        <v>0.66495956873315365</v>
      </c>
      <c r="R255" s="15">
        <f>+Tabla4[[#This Row],[Trenes Puntuales]]/Tabla4[[#This Row],[Trenes Corridos]]</f>
        <v>0.74419306184012068</v>
      </c>
      <c r="S255" s="15">
        <f>+Tabla4[[#This Row],[Trenes Corridos]]/Tabla4[[#This Row],[Trenes Programados]]</f>
        <v>0.89353099730458219</v>
      </c>
      <c r="T255" s="16"/>
      <c r="U255" s="16"/>
      <c r="V255" s="16">
        <v>3710</v>
      </c>
      <c r="W255" s="16">
        <f t="shared" si="119"/>
        <v>395</v>
      </c>
      <c r="X255" s="16">
        <v>3315</v>
      </c>
      <c r="Y255" s="16">
        <v>2467</v>
      </c>
      <c r="Z255" s="16">
        <f t="shared" si="120"/>
        <v>848</v>
      </c>
      <c r="AA255" s="16"/>
      <c r="AB255" s="17"/>
      <c r="AC255" s="18">
        <v>2013</v>
      </c>
      <c r="AD255" s="21" t="s">
        <v>45</v>
      </c>
      <c r="AE255" s="15">
        <f>+Tabla5[[#This Row],[Trenes Puntuales]]/Tabla5[[#This Row],[Trenes Programados]]</f>
        <v>0.73704414587332057</v>
      </c>
      <c r="AF255" s="15">
        <f>+Tabla5[[#This Row],[Trenes Puntuales]]/Tabla5[[#This Row],[Trenes Corridos]]</f>
        <v>0.85746185336806846</v>
      </c>
      <c r="AG255" s="15">
        <f>+Tabla5[[#This Row],[Trenes Corridos]]/Tabla5[[#This Row],[Trenes Programados]]</f>
        <v>0.85956493921944976</v>
      </c>
      <c r="AH255" s="16"/>
      <c r="AI255" s="16"/>
      <c r="AJ255" s="16">
        <v>3126</v>
      </c>
      <c r="AK255" s="16">
        <f t="shared" si="121"/>
        <v>439</v>
      </c>
      <c r="AL255" s="16">
        <v>2687</v>
      </c>
      <c r="AM255" s="16">
        <v>2304</v>
      </c>
      <c r="AN255" s="16">
        <f t="shared" si="122"/>
        <v>383</v>
      </c>
      <c r="AO255" s="16"/>
      <c r="AP255" s="17"/>
      <c r="AQ255" s="18">
        <v>2013</v>
      </c>
      <c r="AR255" s="21" t="s">
        <v>45</v>
      </c>
      <c r="AS255" s="15">
        <f>+Tabla6[[#This Row],[Trenes Puntuales]]/Tabla6[[#This Row],[Trenes Programados]]</f>
        <v>0.77322677322677325</v>
      </c>
      <c r="AT255" s="15">
        <f>+Tabla6[[#This Row],[Trenes Puntuales]]/Tabla6[[#This Row],[Trenes Corridos]]</f>
        <v>0.90632318501170961</v>
      </c>
      <c r="AU255" s="15">
        <f>+Tabla6[[#This Row],[Trenes Corridos]]/Tabla6[[#This Row],[Trenes Programados]]</f>
        <v>0.85314685314685312</v>
      </c>
      <c r="AV255" s="16"/>
      <c r="AW255" s="16"/>
      <c r="AX255" s="16">
        <v>2002</v>
      </c>
      <c r="AY255" s="16">
        <f t="shared" si="123"/>
        <v>294</v>
      </c>
      <c r="AZ255" s="16">
        <v>1708</v>
      </c>
      <c r="BA255" s="16">
        <v>1548</v>
      </c>
      <c r="BB255" s="16">
        <f t="shared" si="124"/>
        <v>160</v>
      </c>
      <c r="BC255" s="16"/>
      <c r="BD255" s="17"/>
      <c r="BE255" s="18">
        <v>2013</v>
      </c>
      <c r="BF255" s="21" t="s">
        <v>45</v>
      </c>
      <c r="BG255" s="15">
        <f>+MIT_Vic_Cap[[#This Row],[Trenes Puntuales]]/MIT_Vic_Cap[[#This Row],[Trenes Programados]]</f>
        <v>8.2912032355915072E-2</v>
      </c>
      <c r="BH255" s="15">
        <f>+MIT_Vic_Cap[[#This Row],[Trenes Puntuales]]/MIT_Vic_Cap[[#This Row],[Trenes Corridos]]</f>
        <v>0.36444444444444446</v>
      </c>
      <c r="BI255" s="15">
        <f>+MIT_Vic_Cap[[#This Row],[Trenes Corridos]]/MIT_Vic_Cap[[#This Row],[Trenes Programados]]</f>
        <v>0.2275025278058645</v>
      </c>
      <c r="BJ255" s="16"/>
      <c r="BK255" s="16"/>
      <c r="BL255" s="16">
        <v>989</v>
      </c>
      <c r="BM255" s="16">
        <f t="shared" si="125"/>
        <v>764</v>
      </c>
      <c r="BN255" s="16">
        <v>225</v>
      </c>
      <c r="BO255" s="16">
        <v>82</v>
      </c>
      <c r="BP255" s="16">
        <f t="shared" si="126"/>
        <v>143</v>
      </c>
      <c r="BQ255" s="16"/>
      <c r="BR255" s="17"/>
      <c r="BS255" s="18">
        <v>2013</v>
      </c>
      <c r="BT255" s="21" t="s">
        <v>45</v>
      </c>
      <c r="BU255" s="15">
        <f>+Tabla8[[#This Row],[Trenes Puntuales]]/Tabla8[[#This Row],[Trenes Programados]]</f>
        <v>0.15062761506276151</v>
      </c>
      <c r="BV255" s="15">
        <f>+Tabla8[[#This Row],[Trenes Puntuales]]/Tabla8[[#This Row],[Trenes Corridos]]</f>
        <v>0.34698795180722891</v>
      </c>
      <c r="BW255" s="15">
        <f>+Tabla8[[#This Row],[Trenes Corridos]]/Tabla8[[#This Row],[Trenes Programados]]</f>
        <v>0.43410041841004182</v>
      </c>
      <c r="BX255" s="16"/>
      <c r="BY255" s="16"/>
      <c r="BZ255" s="16">
        <v>956</v>
      </c>
      <c r="CA255" s="16">
        <f t="shared" si="127"/>
        <v>541</v>
      </c>
      <c r="CB255" s="16">
        <v>415</v>
      </c>
      <c r="CC255" s="16">
        <v>144</v>
      </c>
      <c r="CD255" s="16">
        <f t="shared" si="128"/>
        <v>271</v>
      </c>
      <c r="CI255" s="40"/>
      <c r="CJ255" s="40"/>
      <c r="CK255" s="40"/>
      <c r="CL255" s="40"/>
      <c r="CM255" s="40"/>
    </row>
    <row r="256" spans="1:91" s="18" customFormat="1" ht="15" customHeight="1">
      <c r="A256" s="18">
        <v>2013</v>
      </c>
      <c r="B256" s="21" t="s">
        <v>46</v>
      </c>
      <c r="C256" s="15">
        <f>+MITRE[[#This Row],[Trenes Puntuales]]/MITRE[[#This Row],[Trenes Programados]]</f>
        <v>0.49387951807228914</v>
      </c>
      <c r="D256" s="15">
        <f>+MITRE[[#This Row],[Trenes Puntuales]]/MITRE[[#This Row],[Trenes Corridos]]</f>
        <v>0.66502271252433487</v>
      </c>
      <c r="E256" s="15">
        <f>+MITRE[[#This Row],[Trenes Corridos]]/MITRE[[#This Row],[Trenes Programados]]</f>
        <v>0.74265060240963854</v>
      </c>
      <c r="F256" s="16">
        <f>+Tabla4[[#This Row],[Trenes Programados por Día Hábil]]+Tabla5[[#This Row],[Trenes Programados por Día Hábil]]+Tabla6[[#This Row],[Trenes Programados por Día Hábil]]+MIT_Vic_Cap[[#This Row],[Trenes Programados por Día Hábil]]+Tabla8[[#This Row],[Trenes Programados por Día Hábil]]</f>
        <v>0</v>
      </c>
      <c r="G25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6" s="16">
        <f t="shared" si="75"/>
        <v>10375</v>
      </c>
      <c r="I256" s="16">
        <f t="shared" si="76"/>
        <v>2670</v>
      </c>
      <c r="J256" s="16">
        <f t="shared" si="77"/>
        <v>7705</v>
      </c>
      <c r="K256" s="16">
        <f t="shared" si="78"/>
        <v>5124</v>
      </c>
      <c r="L256" s="16">
        <f t="shared" si="79"/>
        <v>2581</v>
      </c>
      <c r="M256" s="16"/>
      <c r="N256" s="17"/>
      <c r="O256" s="18">
        <v>2013</v>
      </c>
      <c r="P256" s="21" t="s">
        <v>46</v>
      </c>
      <c r="Q256" s="15">
        <f>+Tabla4[[#This Row],[Trenes Puntuales]]/Tabla4[[#This Row],[Trenes Programados]]</f>
        <v>0.48820224719101124</v>
      </c>
      <c r="R256" s="15">
        <f>+Tabla4[[#This Row],[Trenes Puntuales]]/Tabla4[[#This Row],[Trenes Corridos]]</f>
        <v>0.56100710135571341</v>
      </c>
      <c r="S256" s="15">
        <f>+Tabla4[[#This Row],[Trenes Corridos]]/Tabla4[[#This Row],[Trenes Programados]]</f>
        <v>0.87022471910112364</v>
      </c>
      <c r="T256" s="16"/>
      <c r="U256" s="16"/>
      <c r="V256" s="16">
        <v>3560</v>
      </c>
      <c r="W256" s="16">
        <f t="shared" si="119"/>
        <v>462</v>
      </c>
      <c r="X256" s="16">
        <v>3098</v>
      </c>
      <c r="Y256" s="16">
        <v>1738</v>
      </c>
      <c r="Z256" s="16">
        <f t="shared" si="120"/>
        <v>1360</v>
      </c>
      <c r="AA256" s="16"/>
      <c r="AB256" s="17"/>
      <c r="AC256" s="18">
        <v>2013</v>
      </c>
      <c r="AD256" s="21" t="s">
        <v>46</v>
      </c>
      <c r="AE256" s="15">
        <f>+Tabla5[[#This Row],[Trenes Puntuales]]/Tabla5[[#This Row],[Trenes Programados]]</f>
        <v>0.62549668874172182</v>
      </c>
      <c r="AF256" s="15">
        <f>+Tabla5[[#This Row],[Trenes Puntuales]]/Tabla5[[#This Row],[Trenes Corridos]]</f>
        <v>0.74136577708006279</v>
      </c>
      <c r="AG256" s="15">
        <f>+Tabla5[[#This Row],[Trenes Corridos]]/Tabla5[[#This Row],[Trenes Programados]]</f>
        <v>0.84370860927152314</v>
      </c>
      <c r="AH256" s="16"/>
      <c r="AI256" s="16"/>
      <c r="AJ256" s="16">
        <v>3020</v>
      </c>
      <c r="AK256" s="16">
        <f t="shared" si="121"/>
        <v>472</v>
      </c>
      <c r="AL256" s="16">
        <v>2548</v>
      </c>
      <c r="AM256" s="16">
        <v>1889</v>
      </c>
      <c r="AN256" s="16">
        <f t="shared" si="122"/>
        <v>659</v>
      </c>
      <c r="AO256" s="16"/>
      <c r="AP256" s="17"/>
      <c r="AQ256" s="18">
        <v>2013</v>
      </c>
      <c r="AR256" s="21" t="s">
        <v>46</v>
      </c>
      <c r="AS256" s="15">
        <f>+Tabla6[[#This Row],[Trenes Puntuales]]/Tabla6[[#This Row],[Trenes Programados]]</f>
        <v>0.67958656330749356</v>
      </c>
      <c r="AT256" s="15">
        <f>+Tabla6[[#This Row],[Trenes Puntuales]]/Tabla6[[#This Row],[Trenes Corridos]]</f>
        <v>0.87608261159227185</v>
      </c>
      <c r="AU256" s="15">
        <f>+Tabla6[[#This Row],[Trenes Corridos]]/Tabla6[[#This Row],[Trenes Programados]]</f>
        <v>0.77571059431524547</v>
      </c>
      <c r="AV256" s="16"/>
      <c r="AW256" s="16"/>
      <c r="AX256" s="16">
        <v>1935</v>
      </c>
      <c r="AY256" s="16">
        <f t="shared" si="123"/>
        <v>434</v>
      </c>
      <c r="AZ256" s="16">
        <v>1501</v>
      </c>
      <c r="BA256" s="16">
        <v>1315</v>
      </c>
      <c r="BB256" s="16">
        <f t="shared" si="124"/>
        <v>186</v>
      </c>
      <c r="BC256" s="16"/>
      <c r="BD256" s="17"/>
      <c r="BE256" s="18">
        <v>2013</v>
      </c>
      <c r="BF256" s="21" t="s">
        <v>46</v>
      </c>
      <c r="BG256" s="15">
        <f>+MIT_Vic_Cap[[#This Row],[Trenes Puntuales]]/MIT_Vic_Cap[[#This Row],[Trenes Programados]]</f>
        <v>9.7382198952879584E-2</v>
      </c>
      <c r="BH256" s="15">
        <f>+MIT_Vic_Cap[[#This Row],[Trenes Puntuales]]/MIT_Vic_Cap[[#This Row],[Trenes Corridos]]</f>
        <v>0.44285714285714284</v>
      </c>
      <c r="BI256" s="15">
        <f>+MIT_Vic_Cap[[#This Row],[Trenes Corridos]]/MIT_Vic_Cap[[#This Row],[Trenes Programados]]</f>
        <v>0.21989528795811519</v>
      </c>
      <c r="BJ256" s="16"/>
      <c r="BK256" s="16"/>
      <c r="BL256" s="16">
        <v>955</v>
      </c>
      <c r="BM256" s="16">
        <f t="shared" si="125"/>
        <v>745</v>
      </c>
      <c r="BN256" s="16">
        <v>210</v>
      </c>
      <c r="BO256" s="16">
        <v>93</v>
      </c>
      <c r="BP256" s="16">
        <f t="shared" si="126"/>
        <v>117</v>
      </c>
      <c r="BQ256" s="16"/>
      <c r="BR256" s="17"/>
      <c r="BS256" s="18">
        <v>2013</v>
      </c>
      <c r="BT256" s="21" t="s">
        <v>46</v>
      </c>
      <c r="BU256" s="15">
        <f>+Tabla8[[#This Row],[Trenes Puntuales]]/Tabla8[[#This Row],[Trenes Programados]]</f>
        <v>9.8342541436464093E-2</v>
      </c>
      <c r="BV256" s="15">
        <f>+Tabla8[[#This Row],[Trenes Puntuales]]/Tabla8[[#This Row],[Trenes Corridos]]</f>
        <v>0.2557471264367816</v>
      </c>
      <c r="BW256" s="15">
        <f>+Tabla8[[#This Row],[Trenes Corridos]]/Tabla8[[#This Row],[Trenes Programados]]</f>
        <v>0.38453038674033146</v>
      </c>
      <c r="BX256" s="16"/>
      <c r="BY256" s="16"/>
      <c r="BZ256" s="16">
        <v>905</v>
      </c>
      <c r="CA256" s="16">
        <f t="shared" si="127"/>
        <v>557</v>
      </c>
      <c r="CB256" s="16">
        <v>348</v>
      </c>
      <c r="CC256" s="16">
        <v>89</v>
      </c>
      <c r="CD256" s="16">
        <f t="shared" si="128"/>
        <v>259</v>
      </c>
      <c r="CI256" s="40"/>
      <c r="CJ256" s="40"/>
      <c r="CK256" s="40"/>
      <c r="CL256" s="40"/>
      <c r="CM256" s="40"/>
    </row>
    <row r="257" spans="1:91" s="18" customFormat="1" ht="15" customHeight="1">
      <c r="A257" s="18">
        <v>2013</v>
      </c>
      <c r="B257" s="21" t="s">
        <v>47</v>
      </c>
      <c r="C257" s="15">
        <f>+MITRE[[#This Row],[Trenes Puntuales]]/MITRE[[#This Row],[Trenes Programados]]</f>
        <v>0.46522512402883087</v>
      </c>
      <c r="D257" s="15">
        <f>+MITRE[[#This Row],[Trenes Puntuales]]/MITRE[[#This Row],[Trenes Corridos]]</f>
        <v>0.6583653464034972</v>
      </c>
      <c r="E257" s="15">
        <f>+MITRE[[#This Row],[Trenes Corridos]]/MITRE[[#This Row],[Trenes Programados]]</f>
        <v>0.70663671253393245</v>
      </c>
      <c r="F257" s="16">
        <f>+Tabla4[[#This Row],[Trenes Programados por Día Hábil]]+Tabla5[[#This Row],[Trenes Programados por Día Hábil]]+Tabla6[[#This Row],[Trenes Programados por Día Hábil]]+MIT_Vic_Cap[[#This Row],[Trenes Programados por Día Hábil]]+Tabla8[[#This Row],[Trenes Programados por Día Hábil]]</f>
        <v>0</v>
      </c>
      <c r="G25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7" s="16">
        <f t="shared" si="75"/>
        <v>10683</v>
      </c>
      <c r="I257" s="16">
        <f t="shared" si="76"/>
        <v>3134</v>
      </c>
      <c r="J257" s="16">
        <f t="shared" si="77"/>
        <v>7549</v>
      </c>
      <c r="K257" s="16">
        <f t="shared" si="78"/>
        <v>4970</v>
      </c>
      <c r="L257" s="16">
        <f t="shared" si="79"/>
        <v>2579</v>
      </c>
      <c r="M257" s="16"/>
      <c r="N257" s="17"/>
      <c r="O257" s="18">
        <v>2013</v>
      </c>
      <c r="P257" s="21" t="s">
        <v>47</v>
      </c>
      <c r="Q257" s="15">
        <f>+Tabla4[[#This Row],[Trenes Puntuales]]/Tabla4[[#This Row],[Trenes Programados]]</f>
        <v>0.42547425474254741</v>
      </c>
      <c r="R257" s="15">
        <f>+Tabla4[[#This Row],[Trenes Puntuales]]/Tabla4[[#This Row],[Trenes Corridos]]</f>
        <v>0.5398899587345255</v>
      </c>
      <c r="S257" s="15">
        <f>+Tabla4[[#This Row],[Trenes Corridos]]/Tabla4[[#This Row],[Trenes Programados]]</f>
        <v>0.78807588075880763</v>
      </c>
      <c r="T257" s="16"/>
      <c r="U257" s="16"/>
      <c r="V257" s="16">
        <v>3690</v>
      </c>
      <c r="W257" s="16">
        <f t="shared" si="119"/>
        <v>782</v>
      </c>
      <c r="X257" s="16">
        <v>2908</v>
      </c>
      <c r="Y257" s="16">
        <v>1570</v>
      </c>
      <c r="Z257" s="16">
        <f t="shared" si="120"/>
        <v>1338</v>
      </c>
      <c r="AA257" s="16"/>
      <c r="AB257" s="17"/>
      <c r="AC257" s="18">
        <v>2013</v>
      </c>
      <c r="AD257" s="21" t="s">
        <v>47</v>
      </c>
      <c r="AE257" s="15">
        <f>+Tabla5[[#This Row],[Trenes Puntuales]]/Tabla5[[#This Row],[Trenes Programados]]</f>
        <v>0.59696186166774401</v>
      </c>
      <c r="AF257" s="15">
        <f>+Tabla5[[#This Row],[Trenes Puntuales]]/Tabla5[[#This Row],[Trenes Corridos]]</f>
        <v>0.73909563825530211</v>
      </c>
      <c r="AG257" s="15">
        <f>+Tabla5[[#This Row],[Trenes Corridos]]/Tabla5[[#This Row],[Trenes Programados]]</f>
        <v>0.80769230769230771</v>
      </c>
      <c r="AH257" s="16"/>
      <c r="AI257" s="16"/>
      <c r="AJ257" s="16">
        <v>3094</v>
      </c>
      <c r="AK257" s="16">
        <f t="shared" si="121"/>
        <v>595</v>
      </c>
      <c r="AL257" s="16">
        <v>2499</v>
      </c>
      <c r="AM257" s="16">
        <v>1847</v>
      </c>
      <c r="AN257" s="16">
        <f t="shared" si="122"/>
        <v>652</v>
      </c>
      <c r="AO257" s="16"/>
      <c r="AP257" s="17"/>
      <c r="AQ257" s="18">
        <v>2013</v>
      </c>
      <c r="AR257" s="21" t="s">
        <v>47</v>
      </c>
      <c r="AS257" s="15">
        <f>+Tabla6[[#This Row],[Trenes Puntuales]]/Tabla6[[#This Row],[Trenes Programados]]</f>
        <v>0.66230498238550584</v>
      </c>
      <c r="AT257" s="15">
        <f>+Tabla6[[#This Row],[Trenes Puntuales]]/Tabla6[[#This Row],[Trenes Corridos]]</f>
        <v>0.8652202498356345</v>
      </c>
      <c r="AU257" s="15">
        <f>+Tabla6[[#This Row],[Trenes Corridos]]/Tabla6[[#This Row],[Trenes Programados]]</f>
        <v>0.76547559134373422</v>
      </c>
      <c r="AV257" s="16"/>
      <c r="AW257" s="16"/>
      <c r="AX257" s="16">
        <v>1987</v>
      </c>
      <c r="AY257" s="16">
        <f t="shared" si="123"/>
        <v>466</v>
      </c>
      <c r="AZ257" s="16">
        <v>1521</v>
      </c>
      <c r="BA257" s="16">
        <v>1316</v>
      </c>
      <c r="BB257" s="16">
        <f t="shared" si="124"/>
        <v>205</v>
      </c>
      <c r="BC257" s="16"/>
      <c r="BD257" s="17"/>
      <c r="BE257" s="18">
        <v>2013</v>
      </c>
      <c r="BF257" s="21" t="s">
        <v>47</v>
      </c>
      <c r="BG257" s="15">
        <f>+MIT_Vic_Cap[[#This Row],[Trenes Puntuales]]/MIT_Vic_Cap[[#This Row],[Trenes Programados]]</f>
        <v>0.10553278688524591</v>
      </c>
      <c r="BH257" s="15">
        <f>+MIT_Vic_Cap[[#This Row],[Trenes Puntuales]]/MIT_Vic_Cap[[#This Row],[Trenes Corridos]]</f>
        <v>0.49519230769230771</v>
      </c>
      <c r="BI257" s="15">
        <f>+MIT_Vic_Cap[[#This Row],[Trenes Corridos]]/MIT_Vic_Cap[[#This Row],[Trenes Programados]]</f>
        <v>0.21311475409836064</v>
      </c>
      <c r="BJ257" s="16"/>
      <c r="BK257" s="16"/>
      <c r="BL257" s="16">
        <v>976</v>
      </c>
      <c r="BM257" s="16">
        <f t="shared" si="125"/>
        <v>768</v>
      </c>
      <c r="BN257" s="16">
        <v>208</v>
      </c>
      <c r="BO257" s="16">
        <v>103</v>
      </c>
      <c r="BP257" s="16">
        <f t="shared" si="126"/>
        <v>105</v>
      </c>
      <c r="BQ257" s="16"/>
      <c r="BR257" s="17"/>
      <c r="BS257" s="18">
        <v>2013</v>
      </c>
      <c r="BT257" s="21" t="s">
        <v>47</v>
      </c>
      <c r="BU257" s="15">
        <f>+Tabla8[[#This Row],[Trenes Puntuales]]/Tabla8[[#This Row],[Trenes Programados]]</f>
        <v>0.14316239316239315</v>
      </c>
      <c r="BV257" s="15">
        <f>+Tabla8[[#This Row],[Trenes Puntuales]]/Tabla8[[#This Row],[Trenes Corridos]]</f>
        <v>0.32445520581113801</v>
      </c>
      <c r="BW257" s="15">
        <f>+Tabla8[[#This Row],[Trenes Corridos]]/Tabla8[[#This Row],[Trenes Programados]]</f>
        <v>0.44123931623931623</v>
      </c>
      <c r="BX257" s="16"/>
      <c r="BY257" s="16"/>
      <c r="BZ257" s="16">
        <v>936</v>
      </c>
      <c r="CA257" s="16">
        <f t="shared" si="127"/>
        <v>523</v>
      </c>
      <c r="CB257" s="16">
        <v>413</v>
      </c>
      <c r="CC257" s="16">
        <v>134</v>
      </c>
      <c r="CD257" s="16">
        <f t="shared" si="128"/>
        <v>279</v>
      </c>
      <c r="CI257" s="40"/>
      <c r="CJ257" s="40"/>
      <c r="CK257" s="40"/>
      <c r="CL257" s="40"/>
      <c r="CM257" s="40"/>
    </row>
    <row r="258" spans="1:91" s="18" customFormat="1" ht="15" customHeight="1">
      <c r="A258" s="18">
        <v>2014</v>
      </c>
      <c r="B258" s="21" t="s">
        <v>36</v>
      </c>
      <c r="C258" s="15">
        <f>+MITRE[[#This Row],[Trenes Puntuales]]/MITRE[[#This Row],[Trenes Programados]]</f>
        <v>0.5122878605211908</v>
      </c>
      <c r="D258" s="15">
        <f>+MITRE[[#This Row],[Trenes Puntuales]]/MITRE[[#This Row],[Trenes Corridos]]</f>
        <v>0.71434113539376698</v>
      </c>
      <c r="E258" s="15">
        <f>+MITRE[[#This Row],[Trenes Corridos]]/MITRE[[#This Row],[Trenes Programados]]</f>
        <v>0.71714736158768433</v>
      </c>
      <c r="F258" s="16">
        <f>+Tabla4[[#This Row],[Trenes Programados por Día Hábil]]+Tabla5[[#This Row],[Trenes Programados por Día Hábil]]+Tabla6[[#This Row],[Trenes Programados por Día Hábil]]+MIT_Vic_Cap[[#This Row],[Trenes Programados por Día Hábil]]+Tabla8[[#This Row],[Trenes Programados por Día Hábil]]</f>
        <v>0</v>
      </c>
      <c r="G25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8" s="16">
        <f t="shared" si="75"/>
        <v>10783</v>
      </c>
      <c r="I258" s="16">
        <f t="shared" si="76"/>
        <v>3050</v>
      </c>
      <c r="J258" s="16">
        <f t="shared" si="77"/>
        <v>7733</v>
      </c>
      <c r="K258" s="16">
        <f t="shared" si="78"/>
        <v>5524</v>
      </c>
      <c r="L258" s="16">
        <f t="shared" si="79"/>
        <v>2209</v>
      </c>
      <c r="M258" s="16"/>
      <c r="N258" s="17"/>
      <c r="O258" s="18">
        <v>2014</v>
      </c>
      <c r="P258" s="21" t="s">
        <v>36</v>
      </c>
      <c r="Q258" s="15">
        <f>+Tabla4[[#This Row],[Trenes Puntuales]]/Tabla4[[#This Row],[Trenes Programados]]</f>
        <v>0.5417789757412399</v>
      </c>
      <c r="R258" s="15">
        <f>+Tabla4[[#This Row],[Trenes Puntuales]]/Tabla4[[#This Row],[Trenes Corridos]]</f>
        <v>0.67</v>
      </c>
      <c r="S258" s="15">
        <f>+Tabla4[[#This Row],[Trenes Corridos]]/Tabla4[[#This Row],[Trenes Programados]]</f>
        <v>0.80862533692722371</v>
      </c>
      <c r="T258" s="16"/>
      <c r="U258" s="16"/>
      <c r="V258" s="16">
        <v>3710</v>
      </c>
      <c r="W258" s="16">
        <f t="shared" ref="W258:W266" si="129">V258-X258</f>
        <v>710</v>
      </c>
      <c r="X258" s="16">
        <v>3000</v>
      </c>
      <c r="Y258" s="16">
        <v>2010</v>
      </c>
      <c r="Z258" s="16">
        <f t="shared" ref="Z258:Z269" si="130">X258-Y258</f>
        <v>990</v>
      </c>
      <c r="AA258" s="16"/>
      <c r="AB258" s="17"/>
      <c r="AC258" s="18">
        <v>2014</v>
      </c>
      <c r="AD258" s="21" t="s">
        <v>36</v>
      </c>
      <c r="AE258" s="15">
        <f>+Tabla5[[#This Row],[Trenes Puntuales]]/Tabla5[[#This Row],[Trenes Programados]]</f>
        <v>0.61100447856685858</v>
      </c>
      <c r="AF258" s="15">
        <f>+Tabla5[[#This Row],[Trenes Puntuales]]/Tabla5[[#This Row],[Trenes Corridos]]</f>
        <v>0.74901960784313726</v>
      </c>
      <c r="AG258" s="15">
        <f>+Tabla5[[#This Row],[Trenes Corridos]]/Tabla5[[#This Row],[Trenes Programados]]</f>
        <v>0.81573896353166986</v>
      </c>
      <c r="AH258" s="16"/>
      <c r="AI258" s="16"/>
      <c r="AJ258" s="16">
        <v>3126</v>
      </c>
      <c r="AK258" s="16">
        <f t="shared" ref="AK258:AK266" si="131">AJ258-AL258</f>
        <v>576</v>
      </c>
      <c r="AL258" s="16">
        <v>2550</v>
      </c>
      <c r="AM258" s="16">
        <v>1910</v>
      </c>
      <c r="AN258" s="16">
        <f t="shared" ref="AN258:AN269" si="132">AL258-AM258</f>
        <v>640</v>
      </c>
      <c r="AO258" s="16"/>
      <c r="AP258" s="17"/>
      <c r="AQ258" s="18">
        <v>2014</v>
      </c>
      <c r="AR258" s="21" t="s">
        <v>36</v>
      </c>
      <c r="AS258" s="15">
        <f>+Tabla6[[#This Row],[Trenes Puntuales]]/Tabla6[[#This Row],[Trenes Programados]]</f>
        <v>0.66933066933066931</v>
      </c>
      <c r="AT258" s="15">
        <f>+Tabla6[[#This Row],[Trenes Puntuales]]/Tabla6[[#This Row],[Trenes Corridos]]</f>
        <v>0.84329767149150414</v>
      </c>
      <c r="AU258" s="15">
        <f>+Tabla6[[#This Row],[Trenes Corridos]]/Tabla6[[#This Row],[Trenes Programados]]</f>
        <v>0.79370629370629375</v>
      </c>
      <c r="AV258" s="16"/>
      <c r="AW258" s="16"/>
      <c r="AX258" s="16">
        <v>2002</v>
      </c>
      <c r="AY258" s="16">
        <f t="shared" ref="AY258:AY266" si="133">AX258-AZ258</f>
        <v>413</v>
      </c>
      <c r="AZ258" s="16">
        <v>1589</v>
      </c>
      <c r="BA258" s="16">
        <v>1340</v>
      </c>
      <c r="BB258" s="16">
        <f t="shared" ref="BB258:BB269" si="134">AZ258-BA258</f>
        <v>249</v>
      </c>
      <c r="BC258" s="16"/>
      <c r="BD258" s="17"/>
      <c r="BE258" s="18">
        <v>2014</v>
      </c>
      <c r="BF258" s="21" t="s">
        <v>36</v>
      </c>
      <c r="BG258" s="15">
        <f>+MIT_Vic_Cap[[#This Row],[Trenes Puntuales]]/MIT_Vic_Cap[[#This Row],[Trenes Programados]]</f>
        <v>9.9089989888776542E-2</v>
      </c>
      <c r="BH258" s="15">
        <f>+MIT_Vic_Cap[[#This Row],[Trenes Puntuales]]/MIT_Vic_Cap[[#This Row],[Trenes Corridos]]</f>
        <v>0.59756097560975607</v>
      </c>
      <c r="BI258" s="15">
        <f>+MIT_Vic_Cap[[#This Row],[Trenes Corridos]]/MIT_Vic_Cap[[#This Row],[Trenes Programados]]</f>
        <v>0.16582406471183014</v>
      </c>
      <c r="BJ258" s="16"/>
      <c r="BK258" s="16"/>
      <c r="BL258" s="16">
        <v>989</v>
      </c>
      <c r="BM258" s="16">
        <f t="shared" ref="BM258:BM266" si="135">BL258-BN258</f>
        <v>825</v>
      </c>
      <c r="BN258" s="16">
        <v>164</v>
      </c>
      <c r="BO258" s="16">
        <v>98</v>
      </c>
      <c r="BP258" s="16">
        <f t="shared" ref="BP258:BP269" si="136">BN258-BO258</f>
        <v>66</v>
      </c>
      <c r="BQ258" s="16"/>
      <c r="BR258" s="17"/>
      <c r="BS258" s="18">
        <v>2014</v>
      </c>
      <c r="BT258" s="21" t="s">
        <v>36</v>
      </c>
      <c r="BU258" s="15">
        <f>+Tabla8[[#This Row],[Trenes Puntuales]]/Tabla8[[#This Row],[Trenes Programados]]</f>
        <v>0.17364016736401675</v>
      </c>
      <c r="BV258" s="15">
        <f>+Tabla8[[#This Row],[Trenes Puntuales]]/Tabla8[[#This Row],[Trenes Corridos]]</f>
        <v>0.38604651162790699</v>
      </c>
      <c r="BW258" s="15">
        <f>+Tabla8[[#This Row],[Trenes Corridos]]/Tabla8[[#This Row],[Trenes Programados]]</f>
        <v>0.44979079497907948</v>
      </c>
      <c r="BX258" s="16"/>
      <c r="BY258" s="16"/>
      <c r="BZ258" s="16">
        <v>956</v>
      </c>
      <c r="CA258" s="16">
        <f t="shared" ref="CA258:CA266" si="137">BZ258-CB258</f>
        <v>526</v>
      </c>
      <c r="CB258" s="16">
        <v>430</v>
      </c>
      <c r="CC258" s="16">
        <v>166</v>
      </c>
      <c r="CD258" s="16">
        <f t="shared" ref="CD258:CD269" si="138">CB258-CC258</f>
        <v>264</v>
      </c>
      <c r="CI258" s="40"/>
      <c r="CJ258" s="40"/>
      <c r="CK258" s="40"/>
      <c r="CL258" s="40"/>
      <c r="CM258" s="40"/>
    </row>
    <row r="259" spans="1:91" s="18" customFormat="1" ht="15" customHeight="1">
      <c r="A259" s="18">
        <v>2014</v>
      </c>
      <c r="B259" s="21" t="s">
        <v>37</v>
      </c>
      <c r="C259" s="15">
        <f>+MITRE[[#This Row],[Trenes Puntuales]]/MITRE[[#This Row],[Trenes Programados]]</f>
        <v>0.3755114566284779</v>
      </c>
      <c r="D259" s="15">
        <f>+MITRE[[#This Row],[Trenes Puntuales]]/MITRE[[#This Row],[Trenes Corridos]]</f>
        <v>0.53087490961677508</v>
      </c>
      <c r="E259" s="15">
        <f>+MITRE[[#This Row],[Trenes Corridos]]/MITRE[[#This Row],[Trenes Programados]]</f>
        <v>0.70734451718494273</v>
      </c>
      <c r="F259" s="16">
        <f>+Tabla4[[#This Row],[Trenes Programados por Día Hábil]]+Tabla5[[#This Row],[Trenes Programados por Día Hábil]]+Tabla6[[#This Row],[Trenes Programados por Día Hábil]]+MIT_Vic_Cap[[#This Row],[Trenes Programados por Día Hábil]]+Tabla8[[#This Row],[Trenes Programados por Día Hábil]]</f>
        <v>0</v>
      </c>
      <c r="G25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9" s="16">
        <f t="shared" si="75"/>
        <v>9776</v>
      </c>
      <c r="I259" s="16">
        <f t="shared" si="76"/>
        <v>2861</v>
      </c>
      <c r="J259" s="16">
        <f t="shared" si="77"/>
        <v>6915</v>
      </c>
      <c r="K259" s="16">
        <f t="shared" si="78"/>
        <v>3671</v>
      </c>
      <c r="L259" s="16">
        <f t="shared" si="79"/>
        <v>3244</v>
      </c>
      <c r="M259" s="16"/>
      <c r="N259" s="17"/>
      <c r="O259" s="18">
        <v>2014</v>
      </c>
      <c r="P259" s="21" t="s">
        <v>37</v>
      </c>
      <c r="Q259" s="15">
        <f>+Tabla4[[#This Row],[Trenes Puntuales]]/Tabla4[[#This Row],[Trenes Programados]]</f>
        <v>0.51610978520286399</v>
      </c>
      <c r="R259" s="15">
        <f>+Tabla4[[#This Row],[Trenes Puntuales]]/Tabla4[[#This Row],[Trenes Corridos]]</f>
        <v>0.61609686609686609</v>
      </c>
      <c r="S259" s="15">
        <f>+Tabla4[[#This Row],[Trenes Corridos]]/Tabla4[[#This Row],[Trenes Programados]]</f>
        <v>0.83770883054892598</v>
      </c>
      <c r="T259" s="16"/>
      <c r="U259" s="16"/>
      <c r="V259" s="16">
        <v>3352</v>
      </c>
      <c r="W259" s="16">
        <f t="shared" si="129"/>
        <v>544</v>
      </c>
      <c r="X259" s="16">
        <v>2808</v>
      </c>
      <c r="Y259" s="16">
        <v>1730</v>
      </c>
      <c r="Z259" s="16">
        <f t="shared" si="130"/>
        <v>1078</v>
      </c>
      <c r="AA259" s="16"/>
      <c r="AB259" s="17"/>
      <c r="AC259" s="18">
        <v>2014</v>
      </c>
      <c r="AD259" s="21" t="s">
        <v>37</v>
      </c>
      <c r="AE259" s="15">
        <f>+Tabla5[[#This Row],[Trenes Puntuales]]/Tabla5[[#This Row],[Trenes Programados]]</f>
        <v>0.33133802816901409</v>
      </c>
      <c r="AF259" s="15">
        <f>+Tabla5[[#This Row],[Trenes Puntuales]]/Tabla5[[#This Row],[Trenes Corridos]]</f>
        <v>0.4112762237762238</v>
      </c>
      <c r="AG259" s="15">
        <f>+Tabla5[[#This Row],[Trenes Corridos]]/Tabla5[[#This Row],[Trenes Programados]]</f>
        <v>0.80563380281690145</v>
      </c>
      <c r="AH259" s="16"/>
      <c r="AI259" s="16"/>
      <c r="AJ259" s="16">
        <v>2840</v>
      </c>
      <c r="AK259" s="16">
        <f t="shared" si="131"/>
        <v>552</v>
      </c>
      <c r="AL259" s="16">
        <v>2288</v>
      </c>
      <c r="AM259" s="16">
        <v>941</v>
      </c>
      <c r="AN259" s="16">
        <f t="shared" si="132"/>
        <v>1347</v>
      </c>
      <c r="AO259" s="16"/>
      <c r="AP259" s="17"/>
      <c r="AQ259" s="18">
        <v>2014</v>
      </c>
      <c r="AR259" s="21" t="s">
        <v>37</v>
      </c>
      <c r="AS259" s="15">
        <f>+Tabla6[[#This Row],[Trenes Puntuales]]/Tabla6[[#This Row],[Trenes Programados]]</f>
        <v>0.47246696035242292</v>
      </c>
      <c r="AT259" s="15">
        <f>+Tabla6[[#This Row],[Trenes Puntuales]]/Tabla6[[#This Row],[Trenes Corridos]]</f>
        <v>0.61682242990654201</v>
      </c>
      <c r="AU259" s="15">
        <f>+Tabla6[[#This Row],[Trenes Corridos]]/Tabla6[[#This Row],[Trenes Programados]]</f>
        <v>0.7659691629955947</v>
      </c>
      <c r="AV259" s="16"/>
      <c r="AW259" s="16"/>
      <c r="AX259" s="16">
        <v>1816</v>
      </c>
      <c r="AY259" s="16">
        <f t="shared" si="133"/>
        <v>425</v>
      </c>
      <c r="AZ259" s="16">
        <v>1391</v>
      </c>
      <c r="BA259" s="16">
        <v>858</v>
      </c>
      <c r="BB259" s="16">
        <f t="shared" si="134"/>
        <v>533</v>
      </c>
      <c r="BC259" s="16"/>
      <c r="BD259" s="17"/>
      <c r="BE259" s="18">
        <v>2014</v>
      </c>
      <c r="BF259" s="21" t="s">
        <v>37</v>
      </c>
      <c r="BG259" s="15">
        <f>+MIT_Vic_Cap[[#This Row],[Trenes Puntuales]]/MIT_Vic_Cap[[#This Row],[Trenes Programados]]</f>
        <v>2.8888888888888888E-2</v>
      </c>
      <c r="BH259" s="15">
        <f>+MIT_Vic_Cap[[#This Row],[Trenes Puntuales]]/MIT_Vic_Cap[[#This Row],[Trenes Corridos]]</f>
        <v>0.47272727272727272</v>
      </c>
      <c r="BI259" s="15">
        <f>+MIT_Vic_Cap[[#This Row],[Trenes Corridos]]/MIT_Vic_Cap[[#This Row],[Trenes Programados]]</f>
        <v>6.1111111111111109E-2</v>
      </c>
      <c r="BJ259" s="16"/>
      <c r="BK259" s="16"/>
      <c r="BL259" s="16">
        <v>900</v>
      </c>
      <c r="BM259" s="16">
        <f t="shared" si="135"/>
        <v>845</v>
      </c>
      <c r="BN259" s="16">
        <v>55</v>
      </c>
      <c r="BO259" s="16">
        <v>26</v>
      </c>
      <c r="BP259" s="16">
        <f t="shared" si="136"/>
        <v>29</v>
      </c>
      <c r="BQ259" s="16"/>
      <c r="BR259" s="17"/>
      <c r="BS259" s="18">
        <v>2014</v>
      </c>
      <c r="BT259" s="21" t="s">
        <v>37</v>
      </c>
      <c r="BU259" s="15">
        <f>+Tabla8[[#This Row],[Trenes Puntuales]]/Tabla8[[#This Row],[Trenes Programados]]</f>
        <v>0.13364055299539171</v>
      </c>
      <c r="BV259" s="15">
        <f>+Tabla8[[#This Row],[Trenes Puntuales]]/Tabla8[[#This Row],[Trenes Corridos]]</f>
        <v>0.31099195710455763</v>
      </c>
      <c r="BW259" s="15">
        <f>+Tabla8[[#This Row],[Trenes Corridos]]/Tabla8[[#This Row],[Trenes Programados]]</f>
        <v>0.42972350230414746</v>
      </c>
      <c r="BX259" s="16"/>
      <c r="BY259" s="16"/>
      <c r="BZ259" s="16">
        <v>868</v>
      </c>
      <c r="CA259" s="16">
        <f t="shared" si="137"/>
        <v>495</v>
      </c>
      <c r="CB259" s="16">
        <v>373</v>
      </c>
      <c r="CC259" s="16">
        <v>116</v>
      </c>
      <c r="CD259" s="16">
        <f t="shared" si="138"/>
        <v>257</v>
      </c>
      <c r="CI259" s="40"/>
      <c r="CJ259" s="40"/>
      <c r="CK259" s="40"/>
      <c r="CL259" s="40"/>
      <c r="CM259" s="40"/>
    </row>
    <row r="260" spans="1:91" s="18" customFormat="1" ht="15" customHeight="1">
      <c r="A260" s="18">
        <v>2014</v>
      </c>
      <c r="B260" s="21" t="s">
        <v>38</v>
      </c>
      <c r="C260" s="15">
        <f>+MITRE[[#This Row],[Trenes Puntuales]]/MITRE[[#This Row],[Trenes Programados]]</f>
        <v>0.56368483412322279</v>
      </c>
      <c r="D260" s="15">
        <f>+MITRE[[#This Row],[Trenes Puntuales]]/MITRE[[#This Row],[Trenes Corridos]]</f>
        <v>0.73126681183553222</v>
      </c>
      <c r="E260" s="15">
        <f>+MITRE[[#This Row],[Trenes Corridos]]/MITRE[[#This Row],[Trenes Programados]]</f>
        <v>0.77083333333333337</v>
      </c>
      <c r="F260" s="16">
        <f>+Tabla4[[#This Row],[Trenes Programados por Día Hábil]]+Tabla5[[#This Row],[Trenes Programados por Día Hábil]]+Tabla6[[#This Row],[Trenes Programados por Día Hábil]]+MIT_Vic_Cap[[#This Row],[Trenes Programados por Día Hábil]]+Tabla8[[#This Row],[Trenes Programados por Día Hábil]]</f>
        <v>0</v>
      </c>
      <c r="G26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0" s="16">
        <f t="shared" si="75"/>
        <v>10128</v>
      </c>
      <c r="I260" s="16">
        <f t="shared" si="76"/>
        <v>2321</v>
      </c>
      <c r="J260" s="16">
        <f t="shared" si="77"/>
        <v>7807</v>
      </c>
      <c r="K260" s="16">
        <f t="shared" si="78"/>
        <v>5709</v>
      </c>
      <c r="L260" s="16">
        <f t="shared" si="79"/>
        <v>2098</v>
      </c>
      <c r="M260" s="16"/>
      <c r="N260" s="17"/>
      <c r="O260" s="18">
        <v>2014</v>
      </c>
      <c r="P260" s="21" t="s">
        <v>38</v>
      </c>
      <c r="Q260" s="15">
        <f>+Tabla4[[#This Row],[Trenes Puntuales]]/Tabla4[[#This Row],[Trenes Programados]]</f>
        <v>0.61858797573083291</v>
      </c>
      <c r="R260" s="15">
        <f>+Tabla4[[#This Row],[Trenes Puntuales]]/Tabla4[[#This Row],[Trenes Corridos]]</f>
        <v>0.70357590966122963</v>
      </c>
      <c r="S260" s="15">
        <f>+Tabla4[[#This Row],[Trenes Corridos]]/Tabla4[[#This Row],[Trenes Programados]]</f>
        <v>0.87920573634859345</v>
      </c>
      <c r="T260" s="16"/>
      <c r="U260" s="16"/>
      <c r="V260" s="16">
        <v>3626</v>
      </c>
      <c r="W260" s="16">
        <f t="shared" si="129"/>
        <v>438</v>
      </c>
      <c r="X260" s="16">
        <v>3188</v>
      </c>
      <c r="Y260" s="16">
        <v>2243</v>
      </c>
      <c r="Z260" s="16">
        <f t="shared" si="130"/>
        <v>945</v>
      </c>
      <c r="AA260" s="16"/>
      <c r="AB260" s="17"/>
      <c r="AC260" s="18">
        <v>2014</v>
      </c>
      <c r="AD260" s="21" t="s">
        <v>38</v>
      </c>
      <c r="AE260" s="15">
        <f>+Tabla5[[#This Row],[Trenes Puntuales]]/Tabla5[[#This Row],[Trenes Programados]]</f>
        <v>0.63181504485852313</v>
      </c>
      <c r="AF260" s="15">
        <f>+Tabla5[[#This Row],[Trenes Puntuales]]/Tabla5[[#This Row],[Trenes Corridos]]</f>
        <v>0.71832091016084743</v>
      </c>
      <c r="AG260" s="15">
        <f>+Tabla5[[#This Row],[Trenes Corridos]]/Tabla5[[#This Row],[Trenes Programados]]</f>
        <v>0.87957211870255347</v>
      </c>
      <c r="AH260" s="16"/>
      <c r="AI260" s="16"/>
      <c r="AJ260" s="16">
        <v>2898</v>
      </c>
      <c r="AK260" s="16">
        <f t="shared" si="131"/>
        <v>349</v>
      </c>
      <c r="AL260" s="16">
        <v>2549</v>
      </c>
      <c r="AM260" s="16">
        <v>1831</v>
      </c>
      <c r="AN260" s="16">
        <f t="shared" si="132"/>
        <v>718</v>
      </c>
      <c r="AO260" s="16"/>
      <c r="AP260" s="17"/>
      <c r="AQ260" s="18">
        <v>2014</v>
      </c>
      <c r="AR260" s="21" t="s">
        <v>38</v>
      </c>
      <c r="AS260" s="15">
        <f>+Tabla6[[#This Row],[Trenes Puntuales]]/Tabla6[[#This Row],[Trenes Programados]]</f>
        <v>0.75118608328940428</v>
      </c>
      <c r="AT260" s="15">
        <f>+Tabla6[[#This Row],[Trenes Puntuales]]/Tabla6[[#This Row],[Trenes Corridos]]</f>
        <v>0.86363636363636365</v>
      </c>
      <c r="AU260" s="15">
        <f>+Tabla6[[#This Row],[Trenes Corridos]]/Tabla6[[#This Row],[Trenes Programados]]</f>
        <v>0.86979441222983656</v>
      </c>
      <c r="AV260" s="16"/>
      <c r="AW260" s="16"/>
      <c r="AX260" s="16">
        <v>1897</v>
      </c>
      <c r="AY260" s="16">
        <f t="shared" si="133"/>
        <v>247</v>
      </c>
      <c r="AZ260" s="16">
        <v>1650</v>
      </c>
      <c r="BA260" s="16">
        <v>1425</v>
      </c>
      <c r="BB260" s="16">
        <f t="shared" si="134"/>
        <v>225</v>
      </c>
      <c r="BC260" s="16"/>
      <c r="BD260" s="17"/>
      <c r="BE260" s="18">
        <v>2014</v>
      </c>
      <c r="BF260" s="21" t="s">
        <v>38</v>
      </c>
      <c r="BG260" s="15">
        <f>+MIT_Vic_Cap[[#This Row],[Trenes Puntuales]]/MIT_Vic_Cap[[#This Row],[Trenes Programados]]</f>
        <v>6.8421052631578952E-2</v>
      </c>
      <c r="BH260" s="15">
        <f>+MIT_Vic_Cap[[#This Row],[Trenes Puntuales]]/MIT_Vic_Cap[[#This Row],[Trenes Corridos]]</f>
        <v>0.51587301587301593</v>
      </c>
      <c r="BI260" s="15">
        <f>+MIT_Vic_Cap[[#This Row],[Trenes Corridos]]/MIT_Vic_Cap[[#This Row],[Trenes Programados]]</f>
        <v>0.13263157894736843</v>
      </c>
      <c r="BJ260" s="16"/>
      <c r="BK260" s="16"/>
      <c r="BL260" s="16">
        <v>950</v>
      </c>
      <c r="BM260" s="16">
        <f t="shared" si="135"/>
        <v>824</v>
      </c>
      <c r="BN260" s="16">
        <v>126</v>
      </c>
      <c r="BO260" s="16">
        <v>65</v>
      </c>
      <c r="BP260" s="16">
        <f t="shared" si="136"/>
        <v>61</v>
      </c>
      <c r="BQ260" s="19" t="s">
        <v>51</v>
      </c>
      <c r="BR260" s="17"/>
      <c r="BS260" s="18">
        <v>2014</v>
      </c>
      <c r="BT260" s="21" t="s">
        <v>38</v>
      </c>
      <c r="BU260" s="15">
        <f>+Tabla8[[#This Row],[Trenes Puntuales]]/Tabla8[[#This Row],[Trenes Programados]]</f>
        <v>0.19154557463672392</v>
      </c>
      <c r="BV260" s="15">
        <f>+Tabla8[[#This Row],[Trenes Puntuales]]/Tabla8[[#This Row],[Trenes Corridos]]</f>
        <v>0.49319727891156462</v>
      </c>
      <c r="BW260" s="15">
        <f>+Tabla8[[#This Row],[Trenes Corridos]]/Tabla8[[#This Row],[Trenes Programados]]</f>
        <v>0.38837516512549536</v>
      </c>
      <c r="BX260" s="16"/>
      <c r="BY260" s="16"/>
      <c r="BZ260" s="16">
        <v>757</v>
      </c>
      <c r="CA260" s="16">
        <f t="shared" si="137"/>
        <v>463</v>
      </c>
      <c r="CB260" s="16">
        <v>294</v>
      </c>
      <c r="CC260" s="16">
        <v>145</v>
      </c>
      <c r="CD260" s="16">
        <f t="shared" si="138"/>
        <v>149</v>
      </c>
      <c r="CI260" s="40"/>
      <c r="CJ260" s="40"/>
      <c r="CK260" s="40"/>
      <c r="CL260" s="40"/>
      <c r="CM260" s="40"/>
    </row>
    <row r="261" spans="1:91" s="18" customFormat="1" ht="15" customHeight="1">
      <c r="A261" s="18">
        <v>2014</v>
      </c>
      <c r="B261" s="21" t="s">
        <v>39</v>
      </c>
      <c r="C261" s="15">
        <f>+MITRE[[#This Row],[Trenes Puntuales]]/MITRE[[#This Row],[Trenes Programados]]</f>
        <v>0.61051435653790542</v>
      </c>
      <c r="D261" s="15">
        <f>+MITRE[[#This Row],[Trenes Puntuales]]/MITRE[[#This Row],[Trenes Corridos]]</f>
        <v>0.79055771031162236</v>
      </c>
      <c r="E261" s="15">
        <f>+MITRE[[#This Row],[Trenes Corridos]]/MITRE[[#This Row],[Trenes Programados]]</f>
        <v>0.77225779797562488</v>
      </c>
      <c r="F261" s="16">
        <f>+Tabla4[[#This Row],[Trenes Programados por Día Hábil]]+Tabla5[[#This Row],[Trenes Programados por Día Hábil]]+Tabla6[[#This Row],[Trenes Programados por Día Hábil]]+MIT_Vic_Cap[[#This Row],[Trenes Programados por Día Hábil]]+Tabla8[[#This Row],[Trenes Programados por Día Hábil]]</f>
        <v>0</v>
      </c>
      <c r="G26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1" s="16">
        <f t="shared" si="75"/>
        <v>9682</v>
      </c>
      <c r="I261" s="16">
        <f t="shared" si="76"/>
        <v>2205</v>
      </c>
      <c r="J261" s="16">
        <f t="shared" si="77"/>
        <v>7477</v>
      </c>
      <c r="K261" s="16">
        <f t="shared" si="78"/>
        <v>5911</v>
      </c>
      <c r="L261" s="16">
        <f t="shared" si="79"/>
        <v>1566</v>
      </c>
      <c r="M261" s="16"/>
      <c r="N261" s="17"/>
      <c r="O261" s="18">
        <v>2014</v>
      </c>
      <c r="P261" s="21" t="s">
        <v>39</v>
      </c>
      <c r="Q261" s="15">
        <f>+Tabla4[[#This Row],[Trenes Puntuales]]/Tabla4[[#This Row],[Trenes Programados]]</f>
        <v>0.67480359147025815</v>
      </c>
      <c r="R261" s="15">
        <f>+Tabla4[[#This Row],[Trenes Puntuales]]/Tabla4[[#This Row],[Trenes Corridos]]</f>
        <v>0.77430779137153893</v>
      </c>
      <c r="S261" s="15">
        <f>+Tabla4[[#This Row],[Trenes Corridos]]/Tabla4[[#This Row],[Trenes Programados]]</f>
        <v>0.87149270482603813</v>
      </c>
      <c r="T261" s="16"/>
      <c r="U261" s="16"/>
      <c r="V261" s="16">
        <v>3564</v>
      </c>
      <c r="W261" s="16">
        <f t="shared" si="129"/>
        <v>458</v>
      </c>
      <c r="X261" s="16">
        <v>3106</v>
      </c>
      <c r="Y261" s="16">
        <v>2405</v>
      </c>
      <c r="Z261" s="16">
        <f t="shared" si="130"/>
        <v>701</v>
      </c>
      <c r="AA261" s="16"/>
      <c r="AB261" s="17"/>
      <c r="AC261" s="18">
        <v>2014</v>
      </c>
      <c r="AD261" s="21" t="s">
        <v>39</v>
      </c>
      <c r="AE261" s="15">
        <f>+Tabla5[[#This Row],[Trenes Puntuales]]/Tabla5[[#This Row],[Trenes Programados]]</f>
        <v>0.66886930983847281</v>
      </c>
      <c r="AF261" s="15">
        <f>+Tabla5[[#This Row],[Trenes Puntuales]]/Tabla5[[#This Row],[Trenes Corridos]]</f>
        <v>0.76202425763278958</v>
      </c>
      <c r="AG261" s="15">
        <f>+Tabla5[[#This Row],[Trenes Corridos]]/Tabla5[[#This Row],[Trenes Programados]]</f>
        <v>0.8777533039647577</v>
      </c>
      <c r="AH261" s="16"/>
      <c r="AI261" s="16"/>
      <c r="AJ261" s="16">
        <v>2724</v>
      </c>
      <c r="AK261" s="16">
        <f t="shared" si="131"/>
        <v>333</v>
      </c>
      <c r="AL261" s="16">
        <v>2391</v>
      </c>
      <c r="AM261" s="16">
        <v>1822</v>
      </c>
      <c r="AN261" s="16">
        <f t="shared" si="132"/>
        <v>569</v>
      </c>
      <c r="AO261" s="16"/>
      <c r="AP261" s="17"/>
      <c r="AQ261" s="18">
        <v>2014</v>
      </c>
      <c r="AR261" s="21" t="s">
        <v>39</v>
      </c>
      <c r="AS261" s="15">
        <f>+Tabla6[[#This Row],[Trenes Puntuales]]/Tabla6[[#This Row],[Trenes Programados]]</f>
        <v>0.77888888888888885</v>
      </c>
      <c r="AT261" s="15">
        <f>+Tabla6[[#This Row],[Trenes Puntuales]]/Tabla6[[#This Row],[Trenes Corridos]]</f>
        <v>0.89470325462667522</v>
      </c>
      <c r="AU261" s="15">
        <f>+Tabla6[[#This Row],[Trenes Corridos]]/Tabla6[[#This Row],[Trenes Programados]]</f>
        <v>0.87055555555555553</v>
      </c>
      <c r="AV261" s="16"/>
      <c r="AW261" s="16"/>
      <c r="AX261" s="16">
        <v>1800</v>
      </c>
      <c r="AY261" s="16">
        <f t="shared" si="133"/>
        <v>233</v>
      </c>
      <c r="AZ261" s="16">
        <v>1567</v>
      </c>
      <c r="BA261" s="16">
        <v>1402</v>
      </c>
      <c r="BB261" s="16">
        <f t="shared" si="134"/>
        <v>165</v>
      </c>
      <c r="BC261" s="16"/>
      <c r="BD261" s="17"/>
      <c r="BE261" s="18">
        <v>2014</v>
      </c>
      <c r="BF261" s="21" t="s">
        <v>39</v>
      </c>
      <c r="BG261" s="15">
        <f>+MIT_Vic_Cap[[#This Row],[Trenes Puntuales]]/MIT_Vic_Cap[[#This Row],[Trenes Programados]]</f>
        <v>0.1602972399150743</v>
      </c>
      <c r="BH261" s="15">
        <f>+MIT_Vic_Cap[[#This Row],[Trenes Puntuales]]/MIT_Vic_Cap[[#This Row],[Trenes Corridos]]</f>
        <v>0.85310734463276838</v>
      </c>
      <c r="BI261" s="15">
        <f>+MIT_Vic_Cap[[#This Row],[Trenes Corridos]]/MIT_Vic_Cap[[#This Row],[Trenes Programados]]</f>
        <v>0.18789808917197454</v>
      </c>
      <c r="BJ261" s="16"/>
      <c r="BK261" s="16"/>
      <c r="BL261" s="16">
        <v>942</v>
      </c>
      <c r="BM261" s="16">
        <f t="shared" si="135"/>
        <v>765</v>
      </c>
      <c r="BN261" s="16">
        <v>177</v>
      </c>
      <c r="BO261" s="16">
        <v>151</v>
      </c>
      <c r="BP261" s="16">
        <f t="shared" si="136"/>
        <v>26</v>
      </c>
      <c r="BQ261" s="16"/>
      <c r="BR261" s="17"/>
      <c r="BS261" s="18">
        <v>2014</v>
      </c>
      <c r="BT261" s="21" t="s">
        <v>39</v>
      </c>
      <c r="BU261" s="15">
        <f>+Tabla8[[#This Row],[Trenes Puntuales]]/Tabla8[[#This Row],[Trenes Programados]]</f>
        <v>0.20092024539877301</v>
      </c>
      <c r="BV261" s="15">
        <f>+Tabla8[[#This Row],[Trenes Puntuales]]/Tabla8[[#This Row],[Trenes Corridos]]</f>
        <v>0.55508474576271183</v>
      </c>
      <c r="BW261" s="15">
        <f>+Tabla8[[#This Row],[Trenes Corridos]]/Tabla8[[#This Row],[Trenes Programados]]</f>
        <v>0.3619631901840491</v>
      </c>
      <c r="BX261" s="16"/>
      <c r="BY261" s="16"/>
      <c r="BZ261" s="16">
        <v>652</v>
      </c>
      <c r="CA261" s="16">
        <f t="shared" si="137"/>
        <v>416</v>
      </c>
      <c r="CB261" s="16">
        <v>236</v>
      </c>
      <c r="CC261" s="16">
        <v>131</v>
      </c>
      <c r="CD261" s="16">
        <f t="shared" si="138"/>
        <v>105</v>
      </c>
      <c r="CI261" s="40"/>
      <c r="CJ261" s="40"/>
      <c r="CK261" s="40"/>
      <c r="CL261" s="40"/>
      <c r="CM261" s="40"/>
    </row>
    <row r="262" spans="1:91" s="18" customFormat="1" ht="15" customHeight="1">
      <c r="A262" s="18">
        <v>2014</v>
      </c>
      <c r="B262" s="21" t="s">
        <v>40</v>
      </c>
      <c r="C262" s="15">
        <f>+MITRE[[#This Row],[Trenes Puntuales]]/MITRE[[#This Row],[Trenes Programados]]</f>
        <v>0.70400618033329654</v>
      </c>
      <c r="D262" s="15">
        <f>+MITRE[[#This Row],[Trenes Puntuales]]/MITRE[[#This Row],[Trenes Corridos]]</f>
        <v>0.78433542358293373</v>
      </c>
      <c r="E262" s="15">
        <f>+MITRE[[#This Row],[Trenes Corridos]]/MITRE[[#This Row],[Trenes Programados]]</f>
        <v>0.8975830482286723</v>
      </c>
      <c r="F262" s="16">
        <f>+Tabla4[[#This Row],[Trenes Programados por Día Hábil]]+Tabla5[[#This Row],[Trenes Programados por Día Hábil]]+Tabla6[[#This Row],[Trenes Programados por Día Hábil]]+MIT_Vic_Cap[[#This Row],[Trenes Programados por Día Hábil]]+Tabla8[[#This Row],[Trenes Programados por Día Hábil]]</f>
        <v>0</v>
      </c>
      <c r="G26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2" s="16">
        <f t="shared" ref="H262:H325" si="139">+V262+AJ262+AX262+BL262+BZ262</f>
        <v>9061</v>
      </c>
      <c r="I262" s="16">
        <f t="shared" ref="I262:I325" si="140">H262-J262</f>
        <v>928</v>
      </c>
      <c r="J262" s="16">
        <f t="shared" ref="J262:J325" si="141">+X262+AL262+AZ262+BN262+CB262</f>
        <v>8133</v>
      </c>
      <c r="K262" s="16">
        <f t="shared" ref="K262:K325" si="142">+Y262+AM262+BA262+BO262+CC262</f>
        <v>6379</v>
      </c>
      <c r="L262" s="16">
        <f t="shared" ref="L262:L325" si="143">J262-K262</f>
        <v>1754</v>
      </c>
      <c r="M262" s="16"/>
      <c r="N262" s="17"/>
      <c r="O262" s="18">
        <v>2014</v>
      </c>
      <c r="P262" s="21" t="s">
        <v>40</v>
      </c>
      <c r="Q262" s="15">
        <f>+Tabla4[[#This Row],[Trenes Puntuales]]/Tabla4[[#This Row],[Trenes Programados]]</f>
        <v>0.76568466993998907</v>
      </c>
      <c r="R262" s="15">
        <f>+Tabla4[[#This Row],[Trenes Puntuales]]/Tabla4[[#This Row],[Trenes Corridos]]</f>
        <v>0.8138590895911858</v>
      </c>
      <c r="S262" s="15">
        <f>+Tabla4[[#This Row],[Trenes Corridos]]/Tabla4[[#This Row],[Trenes Programados]]</f>
        <v>0.94080741953082381</v>
      </c>
      <c r="T262" s="16"/>
      <c r="U262" s="16"/>
      <c r="V262" s="16">
        <v>3666</v>
      </c>
      <c r="W262" s="16">
        <f t="shared" si="129"/>
        <v>217</v>
      </c>
      <c r="X262" s="16">
        <v>3449</v>
      </c>
      <c r="Y262" s="16">
        <v>2807</v>
      </c>
      <c r="Z262" s="16">
        <f t="shared" si="130"/>
        <v>642</v>
      </c>
      <c r="AA262" s="16"/>
      <c r="AB262" s="17"/>
      <c r="AC262" s="18">
        <v>2014</v>
      </c>
      <c r="AD262" s="21" t="s">
        <v>40</v>
      </c>
      <c r="AE262" s="15">
        <f>+Tabla5[[#This Row],[Trenes Puntuales]]/Tabla5[[#This Row],[Trenes Programados]]</f>
        <v>0.63355799929052858</v>
      </c>
      <c r="AF262" s="15">
        <f>+Tabla5[[#This Row],[Trenes Puntuales]]/Tabla5[[#This Row],[Trenes Corridos]]</f>
        <v>0.69575379820802496</v>
      </c>
      <c r="AG262" s="15">
        <f>+Tabla5[[#This Row],[Trenes Corridos]]/Tabla5[[#This Row],[Trenes Programados]]</f>
        <v>0.91060659808442712</v>
      </c>
      <c r="AH262" s="16"/>
      <c r="AI262" s="16"/>
      <c r="AJ262" s="16">
        <v>2819</v>
      </c>
      <c r="AK262" s="16">
        <f t="shared" si="131"/>
        <v>252</v>
      </c>
      <c r="AL262" s="16">
        <v>2567</v>
      </c>
      <c r="AM262" s="16">
        <v>1786</v>
      </c>
      <c r="AN262" s="16">
        <f t="shared" si="132"/>
        <v>781</v>
      </c>
      <c r="AO262" s="16"/>
      <c r="AP262" s="17"/>
      <c r="AQ262" s="18">
        <v>2014</v>
      </c>
      <c r="AR262" s="21" t="s">
        <v>40</v>
      </c>
      <c r="AS262" s="15">
        <f>+Tabla6[[#This Row],[Trenes Puntuales]]/Tabla6[[#This Row],[Trenes Programados]]</f>
        <v>0.85338345864661658</v>
      </c>
      <c r="AT262" s="15">
        <f>+Tabla6[[#This Row],[Trenes Puntuales]]/Tabla6[[#This Row],[Trenes Corridos]]</f>
        <v>0.92978349912229374</v>
      </c>
      <c r="AU262" s="15">
        <f>+Tabla6[[#This Row],[Trenes Corridos]]/Tabla6[[#This Row],[Trenes Programados]]</f>
        <v>0.91783029001074112</v>
      </c>
      <c r="AV262" s="16"/>
      <c r="AW262" s="16"/>
      <c r="AX262" s="16">
        <v>1862</v>
      </c>
      <c r="AY262" s="16">
        <f t="shared" si="133"/>
        <v>153</v>
      </c>
      <c r="AZ262" s="16">
        <v>1709</v>
      </c>
      <c r="BA262" s="16">
        <v>1589</v>
      </c>
      <c r="BB262" s="16">
        <f t="shared" si="134"/>
        <v>120</v>
      </c>
      <c r="BC262" s="16"/>
      <c r="BD262" s="17"/>
      <c r="BE262" s="18">
        <v>2014</v>
      </c>
      <c r="BF262" s="21" t="s">
        <v>40</v>
      </c>
      <c r="BG262" s="15">
        <f>+MIT_Vic_Cap[[#This Row],[Trenes Puntuales]]/MIT_Vic_Cap[[#This Row],[Trenes Programados]]</f>
        <v>0.31951219512195123</v>
      </c>
      <c r="BH262" s="15">
        <f>+MIT_Vic_Cap[[#This Row],[Trenes Puntuales]]/MIT_Vic_Cap[[#This Row],[Trenes Corridos]]</f>
        <v>0.83974358974358976</v>
      </c>
      <c r="BI262" s="15">
        <f>+MIT_Vic_Cap[[#This Row],[Trenes Corridos]]/MIT_Vic_Cap[[#This Row],[Trenes Programados]]</f>
        <v>0.38048780487804879</v>
      </c>
      <c r="BJ262" s="16"/>
      <c r="BK262" s="16"/>
      <c r="BL262" s="16">
        <v>410</v>
      </c>
      <c r="BM262" s="16">
        <f t="shared" si="135"/>
        <v>254</v>
      </c>
      <c r="BN262" s="16">
        <v>156</v>
      </c>
      <c r="BO262" s="16">
        <v>131</v>
      </c>
      <c r="BP262" s="16">
        <f t="shared" si="136"/>
        <v>25</v>
      </c>
      <c r="BQ262" s="16"/>
      <c r="BR262" s="17"/>
      <c r="BS262" s="18">
        <v>2014</v>
      </c>
      <c r="BT262" s="21" t="s">
        <v>40</v>
      </c>
      <c r="BU262" s="15">
        <f>+Tabla8[[#This Row],[Trenes Puntuales]]/Tabla8[[#This Row],[Trenes Programados]]</f>
        <v>0.21710526315789475</v>
      </c>
      <c r="BV262" s="15">
        <f>+Tabla8[[#This Row],[Trenes Puntuales]]/Tabla8[[#This Row],[Trenes Corridos]]</f>
        <v>0.26190476190476192</v>
      </c>
      <c r="BW262" s="15">
        <f>+Tabla8[[#This Row],[Trenes Corridos]]/Tabla8[[#This Row],[Trenes Programados]]</f>
        <v>0.82894736842105265</v>
      </c>
      <c r="BX262" s="16"/>
      <c r="BY262" s="16"/>
      <c r="BZ262" s="16">
        <v>304</v>
      </c>
      <c r="CA262" s="16">
        <f t="shared" si="137"/>
        <v>52</v>
      </c>
      <c r="CB262" s="16">
        <v>252</v>
      </c>
      <c r="CC262" s="16">
        <v>66</v>
      </c>
      <c r="CD262" s="16">
        <f t="shared" si="138"/>
        <v>186</v>
      </c>
      <c r="CI262" s="40"/>
      <c r="CJ262" s="40"/>
      <c r="CK262" s="40"/>
      <c r="CL262" s="40"/>
      <c r="CM262" s="40"/>
    </row>
    <row r="263" spans="1:91" s="18" customFormat="1" ht="15" customHeight="1">
      <c r="A263" s="18">
        <v>2014</v>
      </c>
      <c r="B263" s="21" t="s">
        <v>41</v>
      </c>
      <c r="C263" s="15">
        <f>+MITRE[[#This Row],[Trenes Puntuales]]/MITRE[[#This Row],[Trenes Programados]]</f>
        <v>0.74129864201757389</v>
      </c>
      <c r="D263" s="15">
        <f>+MITRE[[#This Row],[Trenes Puntuales]]/MITRE[[#This Row],[Trenes Corridos]]</f>
        <v>0.82020202020202015</v>
      </c>
      <c r="E263" s="15">
        <f>+MITRE[[#This Row],[Trenes Corridos]]/MITRE[[#This Row],[Trenes Programados]]</f>
        <v>0.90380006846970218</v>
      </c>
      <c r="F263" s="16">
        <f>+Tabla4[[#This Row],[Trenes Programados por Día Hábil]]+Tabla5[[#This Row],[Trenes Programados por Día Hábil]]+Tabla6[[#This Row],[Trenes Programados por Día Hábil]]+MIT_Vic_Cap[[#This Row],[Trenes Programados por Día Hábil]]+Tabla8[[#This Row],[Trenes Programados por Día Hábil]]</f>
        <v>0</v>
      </c>
      <c r="G26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3" s="16">
        <f t="shared" si="139"/>
        <v>8763</v>
      </c>
      <c r="I263" s="16">
        <f t="shared" si="140"/>
        <v>843</v>
      </c>
      <c r="J263" s="16">
        <f t="shared" si="141"/>
        <v>7920</v>
      </c>
      <c r="K263" s="16">
        <f t="shared" si="142"/>
        <v>6496</v>
      </c>
      <c r="L263" s="16">
        <f t="shared" si="143"/>
        <v>1424</v>
      </c>
      <c r="M263" s="16"/>
      <c r="N263" s="17"/>
      <c r="O263" s="18">
        <v>2014</v>
      </c>
      <c r="P263" s="21" t="s">
        <v>41</v>
      </c>
      <c r="Q263" s="15">
        <f>+Tabla4[[#This Row],[Trenes Puntuales]]/Tabla4[[#This Row],[Trenes Programados]]</f>
        <v>0.80780022446689115</v>
      </c>
      <c r="R263" s="15">
        <f>+Tabla4[[#This Row],[Trenes Puntuales]]/Tabla4[[#This Row],[Trenes Corridos]]</f>
        <v>0.84329232571763324</v>
      </c>
      <c r="S263" s="15">
        <f>+Tabla4[[#This Row],[Trenes Corridos]]/Tabla4[[#This Row],[Trenes Programados]]</f>
        <v>0.95791245791245794</v>
      </c>
      <c r="T263" s="16"/>
      <c r="U263" s="16"/>
      <c r="V263" s="16">
        <v>3564</v>
      </c>
      <c r="W263" s="16">
        <f t="shared" si="129"/>
        <v>150</v>
      </c>
      <c r="X263" s="16">
        <v>3414</v>
      </c>
      <c r="Y263" s="16">
        <v>2879</v>
      </c>
      <c r="Z263" s="16">
        <f t="shared" si="130"/>
        <v>535</v>
      </c>
      <c r="AA263" s="16"/>
      <c r="AB263" s="17"/>
      <c r="AC263" s="18">
        <v>2014</v>
      </c>
      <c r="AD263" s="21" t="s">
        <v>41</v>
      </c>
      <c r="AE263" s="15">
        <f>+Tabla5[[#This Row],[Trenes Puntuales]]/Tabla5[[#This Row],[Trenes Programados]]</f>
        <v>0.68685756240822315</v>
      </c>
      <c r="AF263" s="15">
        <f>+Tabla5[[#This Row],[Trenes Puntuales]]/Tabla5[[#This Row],[Trenes Corridos]]</f>
        <v>0.7568770226537217</v>
      </c>
      <c r="AG263" s="15">
        <f>+Tabla5[[#This Row],[Trenes Corridos]]/Tabla5[[#This Row],[Trenes Programados]]</f>
        <v>0.90748898678414092</v>
      </c>
      <c r="AH263" s="16"/>
      <c r="AI263" s="16"/>
      <c r="AJ263" s="16">
        <v>2724</v>
      </c>
      <c r="AK263" s="16">
        <f t="shared" si="131"/>
        <v>252</v>
      </c>
      <c r="AL263" s="16">
        <v>2472</v>
      </c>
      <c r="AM263" s="16">
        <v>1871</v>
      </c>
      <c r="AN263" s="16">
        <f t="shared" si="132"/>
        <v>601</v>
      </c>
      <c r="AO263" s="16"/>
      <c r="AP263" s="17"/>
      <c r="AQ263" s="18">
        <v>2014</v>
      </c>
      <c r="AR263" s="21" t="s">
        <v>41</v>
      </c>
      <c r="AS263" s="15">
        <f>+Tabla6[[#This Row],[Trenes Puntuales]]/Tabla6[[#This Row],[Trenes Programados]]</f>
        <v>0.85777777777777775</v>
      </c>
      <c r="AT263" s="15">
        <f>+Tabla6[[#This Row],[Trenes Puntuales]]/Tabla6[[#This Row],[Trenes Corridos]]</f>
        <v>0.92510485320551228</v>
      </c>
      <c r="AU263" s="15">
        <f>+Tabla6[[#This Row],[Trenes Corridos]]/Tabla6[[#This Row],[Trenes Programados]]</f>
        <v>0.92722222222222217</v>
      </c>
      <c r="AV263" s="16"/>
      <c r="AW263" s="16"/>
      <c r="AX263" s="16">
        <v>1800</v>
      </c>
      <c r="AY263" s="16">
        <f t="shared" si="133"/>
        <v>131</v>
      </c>
      <c r="AZ263" s="16">
        <v>1669</v>
      </c>
      <c r="BA263" s="16">
        <v>1544</v>
      </c>
      <c r="BB263" s="16">
        <f t="shared" si="134"/>
        <v>125</v>
      </c>
      <c r="BC263" s="16"/>
      <c r="BD263" s="17"/>
      <c r="BE263" s="18">
        <v>2014</v>
      </c>
      <c r="BF263" s="21" t="s">
        <v>41</v>
      </c>
      <c r="BG263" s="15">
        <f>+MIT_Vic_Cap[[#This Row],[Trenes Puntuales]]/MIT_Vic_Cap[[#This Row],[Trenes Programados]]</f>
        <v>0.29040404040404039</v>
      </c>
      <c r="BH263" s="15">
        <f>+MIT_Vic_Cap[[#This Row],[Trenes Puntuales]]/MIT_Vic_Cap[[#This Row],[Trenes Corridos]]</f>
        <v>0.75657894736842102</v>
      </c>
      <c r="BI263" s="15">
        <f>+MIT_Vic_Cap[[#This Row],[Trenes Corridos]]/MIT_Vic_Cap[[#This Row],[Trenes Programados]]</f>
        <v>0.38383838383838381</v>
      </c>
      <c r="BJ263" s="16"/>
      <c r="BK263" s="16"/>
      <c r="BL263" s="16">
        <v>396</v>
      </c>
      <c r="BM263" s="16">
        <f t="shared" si="135"/>
        <v>244</v>
      </c>
      <c r="BN263" s="16">
        <v>152</v>
      </c>
      <c r="BO263" s="16">
        <v>115</v>
      </c>
      <c r="BP263" s="16">
        <f t="shared" si="136"/>
        <v>37</v>
      </c>
      <c r="BQ263" s="16"/>
      <c r="BR263" s="17"/>
      <c r="BS263" s="18">
        <v>2014</v>
      </c>
      <c r="BT263" s="21" t="s">
        <v>41</v>
      </c>
      <c r="BU263" s="15">
        <f>+Tabla8[[#This Row],[Trenes Puntuales]]/Tabla8[[#This Row],[Trenes Programados]]</f>
        <v>0.31182795698924731</v>
      </c>
      <c r="BV263" s="15">
        <f>+Tabla8[[#This Row],[Trenes Puntuales]]/Tabla8[[#This Row],[Trenes Corridos]]</f>
        <v>0.40845070422535212</v>
      </c>
      <c r="BW263" s="15">
        <f>+Tabla8[[#This Row],[Trenes Corridos]]/Tabla8[[#This Row],[Trenes Programados]]</f>
        <v>0.76344086021505375</v>
      </c>
      <c r="BX263" s="16"/>
      <c r="BY263" s="16"/>
      <c r="BZ263" s="16">
        <v>279</v>
      </c>
      <c r="CA263" s="16">
        <f t="shared" si="137"/>
        <v>66</v>
      </c>
      <c r="CB263" s="16">
        <v>213</v>
      </c>
      <c r="CC263" s="16">
        <v>87</v>
      </c>
      <c r="CD263" s="16">
        <f t="shared" si="138"/>
        <v>126</v>
      </c>
      <c r="CI263" s="40"/>
      <c r="CJ263" s="40"/>
      <c r="CK263" s="40"/>
      <c r="CL263" s="40"/>
      <c r="CM263" s="40"/>
    </row>
    <row r="264" spans="1:91" s="18" customFormat="1" ht="15" customHeight="1">
      <c r="A264" s="18">
        <v>2014</v>
      </c>
      <c r="B264" s="21" t="s">
        <v>42</v>
      </c>
      <c r="C264" s="15">
        <f>+MITRE[[#This Row],[Trenes Puntuales]]/MITRE[[#This Row],[Trenes Programados]]</f>
        <v>0.63112487556686203</v>
      </c>
      <c r="D264" s="15">
        <f>+MITRE[[#This Row],[Trenes Puntuales]]/MITRE[[#This Row],[Trenes Corridos]]</f>
        <v>0.70531520395550062</v>
      </c>
      <c r="E264" s="15">
        <f>+MITRE[[#This Row],[Trenes Corridos]]/MITRE[[#This Row],[Trenes Programados]]</f>
        <v>0.89481252073885631</v>
      </c>
      <c r="F264" s="16">
        <f>+Tabla4[[#This Row],[Trenes Programados por Día Hábil]]+Tabla5[[#This Row],[Trenes Programados por Día Hábil]]+Tabla6[[#This Row],[Trenes Programados por Día Hábil]]+MIT_Vic_Cap[[#This Row],[Trenes Programados por Día Hábil]]+Tabla8[[#This Row],[Trenes Programados por Día Hábil]]</f>
        <v>0</v>
      </c>
      <c r="G26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4" s="16">
        <f t="shared" si="139"/>
        <v>9041</v>
      </c>
      <c r="I264" s="16">
        <f t="shared" si="140"/>
        <v>951</v>
      </c>
      <c r="J264" s="16">
        <f t="shared" si="141"/>
        <v>8090</v>
      </c>
      <c r="K264" s="16">
        <f t="shared" si="142"/>
        <v>5706</v>
      </c>
      <c r="L264" s="16">
        <f t="shared" si="143"/>
        <v>2384</v>
      </c>
      <c r="M264" s="16"/>
      <c r="N264" s="17"/>
      <c r="O264" s="18">
        <v>2014</v>
      </c>
      <c r="P264" s="21" t="s">
        <v>42</v>
      </c>
      <c r="Q264" s="15">
        <f>+Tabla4[[#This Row],[Trenes Puntuales]]/Tabla4[[#This Row],[Trenes Programados]]</f>
        <v>0.44420485175202157</v>
      </c>
      <c r="R264" s="15">
        <f>+Tabla4[[#This Row],[Trenes Puntuales]]/Tabla4[[#This Row],[Trenes Corridos]]</f>
        <v>0.48484848484848486</v>
      </c>
      <c r="S264" s="15">
        <f>+Tabla4[[#This Row],[Trenes Corridos]]/Tabla4[[#This Row],[Trenes Programados]]</f>
        <v>0.91617250673854445</v>
      </c>
      <c r="T264" s="16"/>
      <c r="U264" s="16"/>
      <c r="V264" s="16">
        <v>3710</v>
      </c>
      <c r="W264" s="16">
        <f t="shared" si="129"/>
        <v>311</v>
      </c>
      <c r="X264" s="16">
        <v>3399</v>
      </c>
      <c r="Y264" s="16">
        <v>1648</v>
      </c>
      <c r="Z264" s="16">
        <f t="shared" si="130"/>
        <v>1751</v>
      </c>
      <c r="AA264" s="16"/>
      <c r="AB264" s="17"/>
      <c r="AC264" s="18">
        <v>2014</v>
      </c>
      <c r="AD264" s="21" t="s">
        <v>42</v>
      </c>
      <c r="AE264" s="15">
        <f>+Tabla5[[#This Row],[Trenes Puntuales]]/Tabla5[[#This Row],[Trenes Programados]]</f>
        <v>0.76936619718309862</v>
      </c>
      <c r="AF264" s="15">
        <f>+Tabla5[[#This Row],[Trenes Puntuales]]/Tabla5[[#This Row],[Trenes Corridos]]</f>
        <v>0.82765151515151514</v>
      </c>
      <c r="AG264" s="15">
        <f>+Tabla5[[#This Row],[Trenes Corridos]]/Tabla5[[#This Row],[Trenes Programados]]</f>
        <v>0.92957746478873238</v>
      </c>
      <c r="AH264" s="16"/>
      <c r="AI264" s="16"/>
      <c r="AJ264" s="16">
        <v>2840</v>
      </c>
      <c r="AK264" s="16">
        <f t="shared" si="131"/>
        <v>200</v>
      </c>
      <c r="AL264" s="16">
        <v>2640</v>
      </c>
      <c r="AM264" s="16">
        <v>2185</v>
      </c>
      <c r="AN264" s="16">
        <f t="shared" si="132"/>
        <v>455</v>
      </c>
      <c r="AO264" s="16"/>
      <c r="AP264" s="17"/>
      <c r="AQ264" s="18">
        <v>2014</v>
      </c>
      <c r="AR264" s="21" t="s">
        <v>42</v>
      </c>
      <c r="AS264" s="15">
        <f>+Tabla6[[#This Row],[Trenes Puntuales]]/Tabla6[[#This Row],[Trenes Programados]]</f>
        <v>0.9129273504273504</v>
      </c>
      <c r="AT264" s="15">
        <f>+Tabla6[[#This Row],[Trenes Puntuales]]/Tabla6[[#This Row],[Trenes Corridos]]</f>
        <v>0.94211686879823597</v>
      </c>
      <c r="AU264" s="15">
        <f>+Tabla6[[#This Row],[Trenes Corridos]]/Tabla6[[#This Row],[Trenes Programados]]</f>
        <v>0.96901709401709402</v>
      </c>
      <c r="AV264" s="16"/>
      <c r="AW264" s="16"/>
      <c r="AX264" s="16">
        <v>1872</v>
      </c>
      <c r="AY264" s="16">
        <f t="shared" si="133"/>
        <v>58</v>
      </c>
      <c r="AZ264" s="16">
        <v>1814</v>
      </c>
      <c r="BA264" s="16">
        <v>1709</v>
      </c>
      <c r="BB264" s="16">
        <f t="shared" si="134"/>
        <v>105</v>
      </c>
      <c r="BC264" s="16"/>
      <c r="BD264" s="17"/>
      <c r="BE264" s="18">
        <v>2014</v>
      </c>
      <c r="BF264" s="21" t="s">
        <v>42</v>
      </c>
      <c r="BG264" s="15">
        <f>+MIT_Vic_Cap[[#This Row],[Trenes Puntuales]]/MIT_Vic_Cap[[#This Row],[Trenes Programados]]</f>
        <v>0.15903614457831325</v>
      </c>
      <c r="BH264" s="15">
        <f>+MIT_Vic_Cap[[#This Row],[Trenes Puntuales]]/MIT_Vic_Cap[[#This Row],[Trenes Corridos]]</f>
        <v>0.70967741935483875</v>
      </c>
      <c r="BI264" s="15">
        <f>+MIT_Vic_Cap[[#This Row],[Trenes Corridos]]/MIT_Vic_Cap[[#This Row],[Trenes Programados]]</f>
        <v>0.22409638554216868</v>
      </c>
      <c r="BJ264" s="16"/>
      <c r="BK264" s="16"/>
      <c r="BL264" s="16">
        <v>415</v>
      </c>
      <c r="BM264" s="16">
        <f t="shared" si="135"/>
        <v>322</v>
      </c>
      <c r="BN264" s="16">
        <v>93</v>
      </c>
      <c r="BO264" s="16">
        <v>66</v>
      </c>
      <c r="BP264" s="16">
        <f t="shared" si="136"/>
        <v>27</v>
      </c>
      <c r="BQ264" s="16"/>
      <c r="BR264" s="17"/>
      <c r="BS264" s="18">
        <v>2014</v>
      </c>
      <c r="BT264" s="21" t="s">
        <v>42</v>
      </c>
      <c r="BU264" s="15">
        <f>+Tabla8[[#This Row],[Trenes Puntuales]]/Tabla8[[#This Row],[Trenes Programados]]</f>
        <v>0.48039215686274511</v>
      </c>
      <c r="BV264" s="15">
        <f>+Tabla8[[#This Row],[Trenes Puntuales]]/Tabla8[[#This Row],[Trenes Corridos]]</f>
        <v>0.68055555555555558</v>
      </c>
      <c r="BW264" s="15">
        <f>+Tabla8[[#This Row],[Trenes Corridos]]/Tabla8[[#This Row],[Trenes Programados]]</f>
        <v>0.70588235294117652</v>
      </c>
      <c r="BX264" s="16"/>
      <c r="BY264" s="16"/>
      <c r="BZ264" s="16">
        <v>204</v>
      </c>
      <c r="CA264" s="16">
        <f t="shared" si="137"/>
        <v>60</v>
      </c>
      <c r="CB264" s="16">
        <v>144</v>
      </c>
      <c r="CC264" s="16">
        <v>98</v>
      </c>
      <c r="CD264" s="16">
        <f t="shared" si="138"/>
        <v>46</v>
      </c>
      <c r="CI264" s="40"/>
      <c r="CJ264" s="40"/>
      <c r="CK264" s="40"/>
      <c r="CL264" s="40"/>
      <c r="CM264" s="40"/>
    </row>
    <row r="265" spans="1:91" s="18" customFormat="1" ht="15" customHeight="1">
      <c r="A265" s="18">
        <v>2014</v>
      </c>
      <c r="B265" s="21" t="s">
        <v>43</v>
      </c>
      <c r="C265" s="15">
        <f>+MITRE[[#This Row],[Trenes Puntuales]]/MITRE[[#This Row],[Trenes Programados]]</f>
        <v>0.50056929924438465</v>
      </c>
      <c r="D265" s="15">
        <f>+MITRE[[#This Row],[Trenes Puntuales]]/MITRE[[#This Row],[Trenes Corridos]]</f>
        <v>0.59821870361207319</v>
      </c>
      <c r="E265" s="15">
        <f>+MITRE[[#This Row],[Trenes Corridos]]/MITRE[[#This Row],[Trenes Programados]]</f>
        <v>0.83676638029189521</v>
      </c>
      <c r="F265" s="16">
        <f>+Tabla4[[#This Row],[Trenes Programados por Día Hábil]]+Tabla5[[#This Row],[Trenes Programados por Día Hábil]]+Tabla6[[#This Row],[Trenes Programados por Día Hábil]]+MIT_Vic_Cap[[#This Row],[Trenes Programados por Día Hábil]]+Tabla8[[#This Row],[Trenes Programados por Día Hábil]]</f>
        <v>0</v>
      </c>
      <c r="G26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5" s="16">
        <f t="shared" si="139"/>
        <v>9661</v>
      </c>
      <c r="I265" s="16">
        <f t="shared" si="140"/>
        <v>1577</v>
      </c>
      <c r="J265" s="16">
        <f t="shared" si="141"/>
        <v>8084</v>
      </c>
      <c r="K265" s="16">
        <f t="shared" si="142"/>
        <v>4836</v>
      </c>
      <c r="L265" s="16">
        <f t="shared" si="143"/>
        <v>3248</v>
      </c>
      <c r="M265" s="16"/>
      <c r="N265" s="17"/>
      <c r="O265" s="18">
        <v>2014</v>
      </c>
      <c r="P265" s="21" t="s">
        <v>43</v>
      </c>
      <c r="Q265" s="15">
        <f>+Tabla4[[#This Row],[Trenes Puntuales]]/Tabla4[[#This Row],[Trenes Programados]]</f>
        <v>0.47326786688488814</v>
      </c>
      <c r="R265" s="15">
        <f>+Tabla4[[#This Row],[Trenes Puntuales]]/Tabla4[[#This Row],[Trenes Corridos]]</f>
        <v>0.53302611367127495</v>
      </c>
      <c r="S265" s="15">
        <f>+Tabla4[[#This Row],[Trenes Corridos]]/Tabla4[[#This Row],[Trenes Programados]]</f>
        <v>0.88788870703764322</v>
      </c>
      <c r="T265" s="16"/>
      <c r="U265" s="16"/>
      <c r="V265" s="16">
        <v>3666</v>
      </c>
      <c r="W265" s="16">
        <f t="shared" si="129"/>
        <v>411</v>
      </c>
      <c r="X265" s="16">
        <v>3255</v>
      </c>
      <c r="Y265" s="16">
        <v>1735</v>
      </c>
      <c r="Z265" s="16">
        <f t="shared" si="130"/>
        <v>1520</v>
      </c>
      <c r="AA265" s="16"/>
      <c r="AB265" s="17"/>
      <c r="AC265" s="18">
        <v>2014</v>
      </c>
      <c r="AD265" s="21" t="s">
        <v>43</v>
      </c>
      <c r="AE265" s="15">
        <f>+Tabla5[[#This Row],[Trenes Puntuales]]/Tabla5[[#This Row],[Trenes Programados]]</f>
        <v>0.49022556390977445</v>
      </c>
      <c r="AF265" s="15">
        <f>+Tabla5[[#This Row],[Trenes Puntuales]]/Tabla5[[#This Row],[Trenes Corridos]]</f>
        <v>0.60192023633677993</v>
      </c>
      <c r="AG265" s="15">
        <f>+Tabla5[[#This Row],[Trenes Corridos]]/Tabla5[[#This Row],[Trenes Programados]]</f>
        <v>0.81443609022556396</v>
      </c>
      <c r="AH265" s="16"/>
      <c r="AI265" s="16"/>
      <c r="AJ265" s="16">
        <v>3325</v>
      </c>
      <c r="AK265" s="16">
        <f t="shared" si="131"/>
        <v>617</v>
      </c>
      <c r="AL265" s="16">
        <v>2708</v>
      </c>
      <c r="AM265" s="16">
        <v>1630</v>
      </c>
      <c r="AN265" s="16">
        <f t="shared" si="132"/>
        <v>1078</v>
      </c>
      <c r="AO265" s="16"/>
      <c r="AP265" s="17"/>
      <c r="AQ265" s="18">
        <v>2014</v>
      </c>
      <c r="AR265" s="21" t="s">
        <v>43</v>
      </c>
      <c r="AS265" s="15">
        <f>+Tabla6[[#This Row],[Trenes Puntuales]]/Tabla6[[#This Row],[Trenes Programados]]</f>
        <v>0.61708118254340683</v>
      </c>
      <c r="AT265" s="15">
        <f>+Tabla6[[#This Row],[Trenes Puntuales]]/Tabla6[[#This Row],[Trenes Corridos]]</f>
        <v>0.69137749737118825</v>
      </c>
      <c r="AU265" s="15">
        <f>+Tabla6[[#This Row],[Trenes Corridos]]/Tabla6[[#This Row],[Trenes Programados]]</f>
        <v>0.8925387142186767</v>
      </c>
      <c r="AV265" s="16"/>
      <c r="AW265" s="16"/>
      <c r="AX265" s="16">
        <v>2131</v>
      </c>
      <c r="AY265" s="16">
        <f t="shared" si="133"/>
        <v>229</v>
      </c>
      <c r="AZ265" s="16">
        <v>1902</v>
      </c>
      <c r="BA265" s="16">
        <v>1315</v>
      </c>
      <c r="BB265" s="16">
        <f t="shared" si="134"/>
        <v>587</v>
      </c>
      <c r="BC265" s="16"/>
      <c r="BD265" s="17"/>
      <c r="BE265" s="18">
        <v>2014</v>
      </c>
      <c r="BF265" s="21" t="s">
        <v>43</v>
      </c>
      <c r="BG265" s="15">
        <f>+MIT_Vic_Cap[[#This Row],[Trenes Puntuales]]/MIT_Vic_Cap[[#This Row],[Trenes Programados]]</f>
        <v>0.23132530120481928</v>
      </c>
      <c r="BH265" s="15">
        <f>+MIT_Vic_Cap[[#This Row],[Trenes Puntuales]]/MIT_Vic_Cap[[#This Row],[Trenes Corridos]]</f>
        <v>0.84210526315789469</v>
      </c>
      <c r="BI265" s="15">
        <f>+MIT_Vic_Cap[[#This Row],[Trenes Corridos]]/MIT_Vic_Cap[[#This Row],[Trenes Programados]]</f>
        <v>0.27469879518072288</v>
      </c>
      <c r="BJ265" s="16"/>
      <c r="BK265" s="16"/>
      <c r="BL265" s="16">
        <v>415</v>
      </c>
      <c r="BM265" s="16">
        <f t="shared" si="135"/>
        <v>301</v>
      </c>
      <c r="BN265" s="16">
        <v>114</v>
      </c>
      <c r="BO265" s="16">
        <v>96</v>
      </c>
      <c r="BP265" s="16">
        <f t="shared" si="136"/>
        <v>18</v>
      </c>
      <c r="BQ265" s="16"/>
      <c r="BR265" s="17"/>
      <c r="BS265" s="18">
        <v>2014</v>
      </c>
      <c r="BT265" s="21" t="s">
        <v>43</v>
      </c>
      <c r="BU265" s="15">
        <f>+Tabla8[[#This Row],[Trenes Puntuales]]/Tabla8[[#This Row],[Trenes Programados]]</f>
        <v>0.4838709677419355</v>
      </c>
      <c r="BV265" s="15">
        <f>+Tabla8[[#This Row],[Trenes Puntuales]]/Tabla8[[#This Row],[Trenes Corridos]]</f>
        <v>0.5714285714285714</v>
      </c>
      <c r="BW265" s="15">
        <f>+Tabla8[[#This Row],[Trenes Corridos]]/Tabla8[[#This Row],[Trenes Programados]]</f>
        <v>0.84677419354838712</v>
      </c>
      <c r="BX265" s="16"/>
      <c r="BY265" s="16"/>
      <c r="BZ265" s="16">
        <v>124</v>
      </c>
      <c r="CA265" s="16">
        <f t="shared" si="137"/>
        <v>19</v>
      </c>
      <c r="CB265" s="16">
        <v>105</v>
      </c>
      <c r="CC265" s="16">
        <v>60</v>
      </c>
      <c r="CD265" s="16">
        <f t="shared" si="138"/>
        <v>45</v>
      </c>
      <c r="CI265" s="40"/>
      <c r="CJ265" s="40"/>
      <c r="CK265" s="40"/>
      <c r="CL265" s="40"/>
      <c r="CM265" s="40"/>
    </row>
    <row r="266" spans="1:91" s="18" customFormat="1" ht="15" customHeight="1">
      <c r="A266" s="18">
        <v>2014</v>
      </c>
      <c r="B266" s="21" t="s">
        <v>44</v>
      </c>
      <c r="C266" s="15">
        <f>+MITRE[[#This Row],[Trenes Puntuales]]/MITRE[[#This Row],[Trenes Programados]]</f>
        <v>0.60590150162763834</v>
      </c>
      <c r="D266" s="15">
        <f>+MITRE[[#This Row],[Trenes Puntuales]]/MITRE[[#This Row],[Trenes Corridos]]</f>
        <v>0.66859791425260717</v>
      </c>
      <c r="E266" s="15">
        <f>+MITRE[[#This Row],[Trenes Corridos]]/MITRE[[#This Row],[Trenes Programados]]</f>
        <v>0.90622702929749033</v>
      </c>
      <c r="F266" s="16">
        <f>+Tabla4[[#This Row],[Trenes Programados por Día Hábil]]+Tabla5[[#This Row],[Trenes Programados por Día Hábil]]+Tabla6[[#This Row],[Trenes Programados por Día Hábil]]+MIT_Vic_Cap[[#This Row],[Trenes Programados por Día Hábil]]+Tabla8[[#This Row],[Trenes Programados por Día Hábil]]</f>
        <v>0</v>
      </c>
      <c r="G26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6" s="16">
        <f t="shared" si="139"/>
        <v>9523</v>
      </c>
      <c r="I266" s="16">
        <f t="shared" si="140"/>
        <v>893</v>
      </c>
      <c r="J266" s="16">
        <f t="shared" si="141"/>
        <v>8630</v>
      </c>
      <c r="K266" s="16">
        <f t="shared" si="142"/>
        <v>5770</v>
      </c>
      <c r="L266" s="16">
        <f t="shared" si="143"/>
        <v>2860</v>
      </c>
      <c r="M266" s="16"/>
      <c r="N266" s="17"/>
      <c r="O266" s="18">
        <v>2014</v>
      </c>
      <c r="P266" s="21" t="s">
        <v>44</v>
      </c>
      <c r="Q266" s="15">
        <f>+Tabla4[[#This Row],[Trenes Puntuales]]/Tabla4[[#This Row],[Trenes Programados]]</f>
        <v>0.59655937846836848</v>
      </c>
      <c r="R266" s="15">
        <f>+Tabla4[[#This Row],[Trenes Puntuales]]/Tabla4[[#This Row],[Trenes Corridos]]</f>
        <v>0.64007144983626074</v>
      </c>
      <c r="S266" s="15">
        <f>+Tabla4[[#This Row],[Trenes Corridos]]/Tabla4[[#This Row],[Trenes Programados]]</f>
        <v>0.93201997780244172</v>
      </c>
      <c r="T266" s="16"/>
      <c r="U266" s="16"/>
      <c r="V266" s="16">
        <v>3604</v>
      </c>
      <c r="W266" s="16">
        <f t="shared" si="129"/>
        <v>245</v>
      </c>
      <c r="X266" s="16">
        <v>3359</v>
      </c>
      <c r="Y266" s="16">
        <v>2150</v>
      </c>
      <c r="Z266" s="16">
        <f t="shared" si="130"/>
        <v>1209</v>
      </c>
      <c r="AA266" s="16"/>
      <c r="AB266" s="17"/>
      <c r="AC266" s="18">
        <v>2014</v>
      </c>
      <c r="AD266" s="21" t="s">
        <v>44</v>
      </c>
      <c r="AE266" s="15">
        <f>+Tabla5[[#This Row],[Trenes Puntuales]]/Tabla5[[#This Row],[Trenes Programados]]</f>
        <v>0.62060606060606061</v>
      </c>
      <c r="AF266" s="15">
        <f>+Tabla5[[#This Row],[Trenes Puntuales]]/Tabla5[[#This Row],[Trenes Corridos]]</f>
        <v>0.68380634390651085</v>
      </c>
      <c r="AG266" s="15">
        <f>+Tabla5[[#This Row],[Trenes Corridos]]/Tabla5[[#This Row],[Trenes Programados]]</f>
        <v>0.90757575757575759</v>
      </c>
      <c r="AH266" s="16"/>
      <c r="AI266" s="16"/>
      <c r="AJ266" s="16">
        <v>3300</v>
      </c>
      <c r="AK266" s="16">
        <f t="shared" si="131"/>
        <v>305</v>
      </c>
      <c r="AL266" s="16">
        <v>2995</v>
      </c>
      <c r="AM266" s="16">
        <v>2048</v>
      </c>
      <c r="AN266" s="16">
        <f t="shared" si="132"/>
        <v>947</v>
      </c>
      <c r="AO266" s="16"/>
      <c r="AP266" s="17"/>
      <c r="AQ266" s="18">
        <v>2014</v>
      </c>
      <c r="AR266" s="21" t="s">
        <v>44</v>
      </c>
      <c r="AS266" s="15">
        <f>+Tabla6[[#This Row],[Trenes Puntuales]]/Tabla6[[#This Row],[Trenes Programados]]</f>
        <v>0.64885496183206104</v>
      </c>
      <c r="AT266" s="15">
        <f>+Tabla6[[#This Row],[Trenes Puntuales]]/Tabla6[[#This Row],[Trenes Corridos]]</f>
        <v>0.6766169154228856</v>
      </c>
      <c r="AU266" s="15">
        <f>+Tabla6[[#This Row],[Trenes Corridos]]/Tabla6[[#This Row],[Trenes Programados]]</f>
        <v>0.95896946564885499</v>
      </c>
      <c r="AV266" s="16"/>
      <c r="AW266" s="16"/>
      <c r="AX266" s="16">
        <v>2096</v>
      </c>
      <c r="AY266" s="16">
        <f t="shared" si="133"/>
        <v>86</v>
      </c>
      <c r="AZ266" s="16">
        <v>2010</v>
      </c>
      <c r="BA266" s="16">
        <v>1360</v>
      </c>
      <c r="BB266" s="16">
        <f t="shared" si="134"/>
        <v>650</v>
      </c>
      <c r="BC266" s="16"/>
      <c r="BD266" s="17"/>
      <c r="BE266" s="18">
        <v>2014</v>
      </c>
      <c r="BF266" s="21" t="s">
        <v>44</v>
      </c>
      <c r="BG266" s="15">
        <f>+MIT_Vic_Cap[[#This Row],[Trenes Puntuales]]/MIT_Vic_Cap[[#This Row],[Trenes Programados]]</f>
        <v>0.35732009925558311</v>
      </c>
      <c r="BH266" s="15">
        <f>+MIT_Vic_Cap[[#This Row],[Trenes Puntuales]]/MIT_Vic_Cap[[#This Row],[Trenes Corridos]]</f>
        <v>0.8834355828220859</v>
      </c>
      <c r="BI266" s="15">
        <f>+MIT_Vic_Cap[[#This Row],[Trenes Corridos]]/MIT_Vic_Cap[[#This Row],[Trenes Programados]]</f>
        <v>0.40446650124069478</v>
      </c>
      <c r="BJ266" s="16"/>
      <c r="BK266" s="16"/>
      <c r="BL266" s="16">
        <v>403</v>
      </c>
      <c r="BM266" s="16">
        <f t="shared" si="135"/>
        <v>240</v>
      </c>
      <c r="BN266" s="16">
        <v>163</v>
      </c>
      <c r="BO266" s="16">
        <v>144</v>
      </c>
      <c r="BP266" s="16">
        <f t="shared" si="136"/>
        <v>19</v>
      </c>
      <c r="BQ266" s="16"/>
      <c r="BR266" s="17"/>
      <c r="BS266" s="18">
        <v>2014</v>
      </c>
      <c r="BT266" s="21" t="s">
        <v>44</v>
      </c>
      <c r="BU266" s="15">
        <f>+Tabla8[[#This Row],[Trenes Puntuales]]/Tabla8[[#This Row],[Trenes Programados]]</f>
        <v>0.56666666666666665</v>
      </c>
      <c r="BV266" s="15">
        <f>+Tabla8[[#This Row],[Trenes Puntuales]]/Tabla8[[#This Row],[Trenes Corridos]]</f>
        <v>0.66019417475728159</v>
      </c>
      <c r="BW266" s="15">
        <f>+Tabla8[[#This Row],[Trenes Corridos]]/Tabla8[[#This Row],[Trenes Programados]]</f>
        <v>0.85833333333333328</v>
      </c>
      <c r="BX266" s="16"/>
      <c r="BY266" s="16"/>
      <c r="BZ266" s="16">
        <v>120</v>
      </c>
      <c r="CA266" s="16">
        <f t="shared" si="137"/>
        <v>17</v>
      </c>
      <c r="CB266" s="16">
        <v>103</v>
      </c>
      <c r="CC266" s="16">
        <v>68</v>
      </c>
      <c r="CD266" s="16">
        <f t="shared" si="138"/>
        <v>35</v>
      </c>
      <c r="CI266" s="40"/>
      <c r="CJ266" s="40"/>
      <c r="CK266" s="40"/>
      <c r="CL266" s="40"/>
      <c r="CM266" s="40"/>
    </row>
    <row r="267" spans="1:91" s="18" customFormat="1" ht="15" customHeight="1">
      <c r="A267" s="18">
        <v>2014</v>
      </c>
      <c r="B267" s="21" t="s">
        <v>45</v>
      </c>
      <c r="C267" s="15">
        <f>+MITRE[[#This Row],[Trenes Puntuales]]/MITRE[[#This Row],[Trenes Programados]]</f>
        <v>0.51335099877700774</v>
      </c>
      <c r="D267" s="15">
        <f>+MITRE[[#This Row],[Trenes Puntuales]]/MITRE[[#This Row],[Trenes Corridos]]</f>
        <v>0.6264925373134328</v>
      </c>
      <c r="E267" s="15">
        <f>+MITRE[[#This Row],[Trenes Corridos]]/MITRE[[#This Row],[Trenes Programados]]</f>
        <v>0.81940481043620061</v>
      </c>
      <c r="F267" s="16">
        <f>+Tabla4[[#This Row],[Trenes Programados por Día Hábil]]+Tabla5[[#This Row],[Trenes Programados por Día Hábil]]+Tabla6[[#This Row],[Trenes Programados por Día Hábil]]+MIT_Vic_Cap[[#This Row],[Trenes Programados por Día Hábil]]+Tabla8[[#This Row],[Trenes Programados por Día Hábil]]</f>
        <v>0</v>
      </c>
      <c r="G26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7" s="16">
        <f t="shared" si="139"/>
        <v>9812</v>
      </c>
      <c r="I267" s="16">
        <f t="shared" si="140"/>
        <v>1772</v>
      </c>
      <c r="J267" s="16">
        <f t="shared" si="141"/>
        <v>8040</v>
      </c>
      <c r="K267" s="16">
        <f t="shared" si="142"/>
        <v>5037</v>
      </c>
      <c r="L267" s="16">
        <f t="shared" si="143"/>
        <v>3003</v>
      </c>
      <c r="M267" s="16"/>
      <c r="N267" s="17"/>
      <c r="O267" s="18">
        <v>2014</v>
      </c>
      <c r="P267" s="21" t="s">
        <v>45</v>
      </c>
      <c r="Q267" s="15">
        <f>+Tabla4[[#This Row],[Trenes Puntuales]]/Tabla4[[#This Row],[Trenes Programados]]</f>
        <v>0.50161725067385443</v>
      </c>
      <c r="R267" s="15">
        <f>+Tabla4[[#This Row],[Trenes Puntuales]]/Tabla4[[#This Row],[Trenes Corridos]]</f>
        <v>0.60051629557921915</v>
      </c>
      <c r="S267" s="15">
        <f>+Tabla4[[#This Row],[Trenes Corridos]]/Tabla4[[#This Row],[Trenes Programados]]</f>
        <v>0.83530997304582211</v>
      </c>
      <c r="T267" s="16"/>
      <c r="U267" s="16"/>
      <c r="V267" s="16">
        <v>3710</v>
      </c>
      <c r="W267" s="16">
        <f>V267-X267</f>
        <v>611</v>
      </c>
      <c r="X267" s="16">
        <v>3099</v>
      </c>
      <c r="Y267" s="16">
        <v>1861</v>
      </c>
      <c r="Z267" s="16">
        <f t="shared" si="130"/>
        <v>1238</v>
      </c>
      <c r="AA267" s="16"/>
      <c r="AB267" s="17"/>
      <c r="AC267" s="18">
        <v>2014</v>
      </c>
      <c r="AD267" s="21" t="s">
        <v>45</v>
      </c>
      <c r="AE267" s="15">
        <f>+Tabla5[[#This Row],[Trenes Puntuales]]/Tabla5[[#This Row],[Trenes Programados]]</f>
        <v>0.54342066529290556</v>
      </c>
      <c r="AF267" s="15">
        <f>+Tabla5[[#This Row],[Trenes Puntuales]]/Tabla5[[#This Row],[Trenes Corridos]]</f>
        <v>0.66188598063822157</v>
      </c>
      <c r="AG267" s="15">
        <f>+Tabla5[[#This Row],[Trenes Corridos]]/Tabla5[[#This Row],[Trenes Programados]]</f>
        <v>0.82101854577568445</v>
      </c>
      <c r="AH267" s="16"/>
      <c r="AI267" s="16"/>
      <c r="AJ267" s="16">
        <v>3397</v>
      </c>
      <c r="AK267" s="16">
        <f>AJ267-AL267</f>
        <v>608</v>
      </c>
      <c r="AL267" s="16">
        <v>2789</v>
      </c>
      <c r="AM267" s="16">
        <v>1846</v>
      </c>
      <c r="AN267" s="16">
        <f t="shared" si="132"/>
        <v>943</v>
      </c>
      <c r="AO267" s="16"/>
      <c r="AP267" s="17"/>
      <c r="AQ267" s="18">
        <v>2014</v>
      </c>
      <c r="AR267" s="21" t="s">
        <v>45</v>
      </c>
      <c r="AS267" s="15">
        <f>+Tabla6[[#This Row],[Trenes Puntuales]]/Tabla6[[#This Row],[Trenes Programados]]</f>
        <v>0.50392609699769053</v>
      </c>
      <c r="AT267" s="15">
        <f>+Tabla6[[#This Row],[Trenes Puntuales]]/Tabla6[[#This Row],[Trenes Corridos]]</f>
        <v>0.58719052744886979</v>
      </c>
      <c r="AU267" s="15">
        <f>+Tabla6[[#This Row],[Trenes Corridos]]/Tabla6[[#This Row],[Trenes Programados]]</f>
        <v>0.8581986143187067</v>
      </c>
      <c r="AV267" s="16"/>
      <c r="AW267" s="16"/>
      <c r="AX267" s="16">
        <v>2165</v>
      </c>
      <c r="AY267" s="16">
        <f>AX267-AZ267</f>
        <v>307</v>
      </c>
      <c r="AZ267" s="16">
        <v>1858</v>
      </c>
      <c r="BA267" s="16">
        <v>1091</v>
      </c>
      <c r="BB267" s="16">
        <f t="shared" si="134"/>
        <v>767</v>
      </c>
      <c r="BC267" s="16"/>
      <c r="BD267" s="17"/>
      <c r="BE267" s="18">
        <v>2014</v>
      </c>
      <c r="BF267" s="21" t="s">
        <v>45</v>
      </c>
      <c r="BG267" s="15">
        <f>+MIT_Vic_Cap[[#This Row],[Trenes Puntuales]]/MIT_Vic_Cap[[#This Row],[Trenes Programados]]</f>
        <v>0.38461538461538464</v>
      </c>
      <c r="BH267" s="15">
        <f>+MIT_Vic_Cap[[#This Row],[Trenes Puntuales]]/MIT_Vic_Cap[[#This Row],[Trenes Corridos]]</f>
        <v>0.94117647058823528</v>
      </c>
      <c r="BI267" s="15">
        <f>+MIT_Vic_Cap[[#This Row],[Trenes Corridos]]/MIT_Vic_Cap[[#This Row],[Trenes Programados]]</f>
        <v>0.40865384615384615</v>
      </c>
      <c r="BJ267" s="16"/>
      <c r="BK267" s="16"/>
      <c r="BL267" s="16">
        <v>416</v>
      </c>
      <c r="BM267" s="16">
        <f>BL267-BN267</f>
        <v>246</v>
      </c>
      <c r="BN267" s="16">
        <v>170</v>
      </c>
      <c r="BO267" s="16">
        <v>160</v>
      </c>
      <c r="BP267" s="16">
        <f t="shared" si="136"/>
        <v>10</v>
      </c>
      <c r="BQ267" s="16"/>
      <c r="BR267" s="17"/>
      <c r="BS267" s="18">
        <v>2014</v>
      </c>
      <c r="BT267" s="21" t="s">
        <v>45</v>
      </c>
      <c r="BU267" s="15">
        <f>+Tabla8[[#This Row],[Trenes Puntuales]]/Tabla8[[#This Row],[Trenes Programados]]</f>
        <v>0.63709677419354838</v>
      </c>
      <c r="BV267" s="15">
        <f>+Tabla8[[#This Row],[Trenes Puntuales]]/Tabla8[[#This Row],[Trenes Corridos]]</f>
        <v>0.63709677419354838</v>
      </c>
      <c r="BW267" s="15">
        <f>+Tabla8[[#This Row],[Trenes Corridos]]/Tabla8[[#This Row],[Trenes Programados]]</f>
        <v>1</v>
      </c>
      <c r="BX267" s="16"/>
      <c r="BY267" s="16"/>
      <c r="BZ267" s="16">
        <v>124</v>
      </c>
      <c r="CA267" s="16">
        <f>BZ267-CB267</f>
        <v>0</v>
      </c>
      <c r="CB267" s="16">
        <v>124</v>
      </c>
      <c r="CC267" s="16">
        <v>79</v>
      </c>
      <c r="CD267" s="16">
        <f t="shared" si="138"/>
        <v>45</v>
      </c>
      <c r="CI267" s="40"/>
      <c r="CJ267" s="40"/>
      <c r="CK267" s="40"/>
      <c r="CL267" s="40"/>
      <c r="CM267" s="40"/>
    </row>
    <row r="268" spans="1:91" s="18" customFormat="1" ht="15" customHeight="1">
      <c r="A268" s="18">
        <v>2014</v>
      </c>
      <c r="B268" s="21" t="s">
        <v>46</v>
      </c>
      <c r="C268" s="15">
        <f>+MITRE[[#This Row],[Trenes Puntuales]]/MITRE[[#This Row],[Trenes Programados]]</f>
        <v>0.54411916830454121</v>
      </c>
      <c r="D268" s="15">
        <f>+MITRE[[#This Row],[Trenes Puntuales]]/MITRE[[#This Row],[Trenes Corridos]]</f>
        <v>0.66540164452877926</v>
      </c>
      <c r="E268" s="15">
        <f>+MITRE[[#This Row],[Trenes Corridos]]/MITRE[[#This Row],[Trenes Programados]]</f>
        <v>0.81773042308885902</v>
      </c>
      <c r="F268" s="16">
        <f>+Tabla4[[#This Row],[Trenes Programados por Día Hábil]]+Tabla5[[#This Row],[Trenes Programados por Día Hábil]]+Tabla6[[#This Row],[Trenes Programados por Día Hábil]]+MIT_Vic_Cap[[#This Row],[Trenes Programados por Día Hábil]]+Tabla8[[#This Row],[Trenes Programados por Día Hábil]]</f>
        <v>0</v>
      </c>
      <c r="G26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8" s="16">
        <f t="shared" si="139"/>
        <v>9667</v>
      </c>
      <c r="I268" s="16">
        <f t="shared" si="140"/>
        <v>1762</v>
      </c>
      <c r="J268" s="16">
        <f t="shared" si="141"/>
        <v>7905</v>
      </c>
      <c r="K268" s="16">
        <f t="shared" si="142"/>
        <v>5260</v>
      </c>
      <c r="L268" s="16">
        <f t="shared" si="143"/>
        <v>2645</v>
      </c>
      <c r="M268" s="16"/>
      <c r="N268" s="17"/>
      <c r="O268" s="18">
        <v>2014</v>
      </c>
      <c r="P268" s="21" t="s">
        <v>46</v>
      </c>
      <c r="Q268" s="15">
        <f>+Tabla4[[#This Row],[Trenes Puntuales]]/Tabla4[[#This Row],[Trenes Programados]]</f>
        <v>0.43168527379053695</v>
      </c>
      <c r="R268" s="15">
        <f>+Tabla4[[#This Row],[Trenes Puntuales]]/Tabla4[[#This Row],[Trenes Corridos]]</f>
        <v>0.54790823211875839</v>
      </c>
      <c r="S268" s="15">
        <f>+Tabla4[[#This Row],[Trenes Corridos]]/Tabla4[[#This Row],[Trenes Programados]]</f>
        <v>0.78787878787878785</v>
      </c>
      <c r="T268" s="16"/>
      <c r="U268" s="16"/>
      <c r="V268" s="16">
        <v>3762</v>
      </c>
      <c r="W268" s="16">
        <f>V268-X268</f>
        <v>798</v>
      </c>
      <c r="X268" s="16">
        <v>2964</v>
      </c>
      <c r="Y268" s="16">
        <v>1624</v>
      </c>
      <c r="Z268" s="16">
        <f t="shared" si="130"/>
        <v>1340</v>
      </c>
      <c r="AA268" s="18" t="s">
        <v>95</v>
      </c>
      <c r="AB268" s="17"/>
      <c r="AC268" s="18">
        <v>2014</v>
      </c>
      <c r="AD268" s="21" t="s">
        <v>46</v>
      </c>
      <c r="AE268" s="15">
        <f>+Tabla5[[#This Row],[Trenes Puntuales]]/Tabla5[[#This Row],[Trenes Programados]]</f>
        <v>0.61773700305810397</v>
      </c>
      <c r="AF268" s="15">
        <f>+Tabla5[[#This Row],[Trenes Puntuales]]/Tabla5[[#This Row],[Trenes Corridos]]</f>
        <v>0.73214932946719824</v>
      </c>
      <c r="AG268" s="15">
        <f>+Tabla5[[#This Row],[Trenes Corridos]]/Tabla5[[#This Row],[Trenes Programados]]</f>
        <v>0.84373088685015285</v>
      </c>
      <c r="AH268" s="16"/>
      <c r="AI268" s="16"/>
      <c r="AJ268" s="16">
        <v>3270</v>
      </c>
      <c r="AK268" s="16">
        <f>AJ268-AL268</f>
        <v>511</v>
      </c>
      <c r="AL268" s="16">
        <v>2759</v>
      </c>
      <c r="AM268" s="16">
        <v>2020</v>
      </c>
      <c r="AN268" s="16">
        <f t="shared" si="132"/>
        <v>739</v>
      </c>
      <c r="AO268" s="16"/>
      <c r="AP268" s="17"/>
      <c r="AQ268" s="18">
        <v>2014</v>
      </c>
      <c r="AR268" s="21" t="s">
        <v>46</v>
      </c>
      <c r="AS268" s="15">
        <f>+Tabla6[[#This Row],[Trenes Puntuales]]/Tabla6[[#This Row],[Trenes Programados]]</f>
        <v>0.6275071633237822</v>
      </c>
      <c r="AT268" s="15">
        <f>+Tabla6[[#This Row],[Trenes Puntuales]]/Tabla6[[#This Row],[Trenes Corridos]]</f>
        <v>0.71960569550930997</v>
      </c>
      <c r="AU268" s="15">
        <f>+Tabla6[[#This Row],[Trenes Corridos]]/Tabla6[[#This Row],[Trenes Programados]]</f>
        <v>0.87201528175740206</v>
      </c>
      <c r="AV268" s="16"/>
      <c r="AW268" s="16"/>
      <c r="AX268" s="16">
        <v>2094</v>
      </c>
      <c r="AY268" s="16">
        <f>AX268-AZ268</f>
        <v>268</v>
      </c>
      <c r="AZ268" s="16">
        <v>1826</v>
      </c>
      <c r="BA268" s="16">
        <v>1314</v>
      </c>
      <c r="BB268" s="16">
        <f t="shared" si="134"/>
        <v>512</v>
      </c>
      <c r="BC268" s="16"/>
      <c r="BD268" s="17"/>
      <c r="BE268" s="18">
        <v>2014</v>
      </c>
      <c r="BF268" s="21" t="s">
        <v>46</v>
      </c>
      <c r="BG268" s="15">
        <f>+MIT_Vic_Cap[[#This Row],[Trenes Puntuales]]/MIT_Vic_Cap[[#This Row],[Trenes Programados]]</f>
        <v>0.53634085213032578</v>
      </c>
      <c r="BH268" s="15">
        <f>+MIT_Vic_Cap[[#This Row],[Trenes Puntuales]]/MIT_Vic_Cap[[#This Row],[Trenes Corridos]]</f>
        <v>0.92241379310344829</v>
      </c>
      <c r="BI268" s="15">
        <f>+MIT_Vic_Cap[[#This Row],[Trenes Corridos]]/MIT_Vic_Cap[[#This Row],[Trenes Programados]]</f>
        <v>0.581453634085213</v>
      </c>
      <c r="BJ268" s="16"/>
      <c r="BK268" s="16"/>
      <c r="BL268" s="16">
        <v>399</v>
      </c>
      <c r="BM268" s="16">
        <f>BL268-BN268</f>
        <v>167</v>
      </c>
      <c r="BN268" s="16">
        <v>232</v>
      </c>
      <c r="BO268" s="16">
        <v>214</v>
      </c>
      <c r="BP268" s="16">
        <f t="shared" si="136"/>
        <v>18</v>
      </c>
      <c r="BQ268" s="16"/>
      <c r="BR268" s="17"/>
      <c r="BS268" s="18">
        <v>2014</v>
      </c>
      <c r="BT268" s="21" t="s">
        <v>46</v>
      </c>
      <c r="BU268" s="15">
        <f>+Tabla8[[#This Row],[Trenes Puntuales]]/Tabla8[[#This Row],[Trenes Programados]]</f>
        <v>0.61971830985915488</v>
      </c>
      <c r="BV268" s="15">
        <f>+Tabla8[[#This Row],[Trenes Puntuales]]/Tabla8[[#This Row],[Trenes Corridos]]</f>
        <v>0.70967741935483875</v>
      </c>
      <c r="BW268" s="15">
        <f>+Tabla8[[#This Row],[Trenes Corridos]]/Tabla8[[#This Row],[Trenes Programados]]</f>
        <v>0.87323943661971826</v>
      </c>
      <c r="BX268" s="16"/>
      <c r="BY268" s="16"/>
      <c r="BZ268" s="16">
        <v>142</v>
      </c>
      <c r="CA268" s="16">
        <f>BZ268-CB268</f>
        <v>18</v>
      </c>
      <c r="CB268" s="16">
        <v>124</v>
      </c>
      <c r="CC268" s="16">
        <v>88</v>
      </c>
      <c r="CD268" s="16">
        <f t="shared" si="138"/>
        <v>36</v>
      </c>
      <c r="CI268" s="40"/>
      <c r="CJ268" s="40"/>
      <c r="CK268" s="40"/>
      <c r="CL268" s="40"/>
      <c r="CM268" s="40"/>
    </row>
    <row r="269" spans="1:91" s="18" customFormat="1" ht="15" customHeight="1">
      <c r="A269" s="18">
        <v>2014</v>
      </c>
      <c r="B269" s="21" t="s">
        <v>47</v>
      </c>
      <c r="C269" s="15">
        <f>+MITRE[[#This Row],[Trenes Puntuales]]/MITRE[[#This Row],[Trenes Programados]]</f>
        <v>0.74827236708744127</v>
      </c>
      <c r="D269" s="15">
        <f>+MITRE[[#This Row],[Trenes Puntuales]]/MITRE[[#This Row],[Trenes Corridos]]</f>
        <v>0.82046878157203473</v>
      </c>
      <c r="E269" s="15">
        <f>+MITRE[[#This Row],[Trenes Corridos]]/MITRE[[#This Row],[Trenes Programados]]</f>
        <v>0.91200589698700818</v>
      </c>
      <c r="F269" s="16">
        <f>+Tabla4[[#This Row],[Trenes Programados por Día Hábil]]+Tabla5[[#This Row],[Trenes Programados por Día Hábil]]+Tabla6[[#This Row],[Trenes Programados por Día Hábil]]+MIT_Vic_Cap[[#This Row],[Trenes Programados por Día Hábil]]+Tabla8[[#This Row],[Trenes Programados por Día Hábil]]</f>
        <v>0</v>
      </c>
      <c r="G26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9" s="16">
        <f t="shared" si="139"/>
        <v>10853</v>
      </c>
      <c r="I269" s="16">
        <f t="shared" si="140"/>
        <v>955</v>
      </c>
      <c r="J269" s="16">
        <f t="shared" si="141"/>
        <v>9898</v>
      </c>
      <c r="K269" s="16">
        <f t="shared" si="142"/>
        <v>8121</v>
      </c>
      <c r="L269" s="16">
        <f t="shared" si="143"/>
        <v>1777</v>
      </c>
      <c r="M269" s="16"/>
      <c r="N269" s="17"/>
      <c r="O269" s="18">
        <v>2014</v>
      </c>
      <c r="P269" s="21" t="s">
        <v>47</v>
      </c>
      <c r="Q269" s="15">
        <f>+Tabla4[[#This Row],[Trenes Puntuales]]/Tabla4[[#This Row],[Trenes Programados]]</f>
        <v>0.83347350714886459</v>
      </c>
      <c r="R269" s="15">
        <f>+Tabla4[[#This Row],[Trenes Puntuales]]/Tabla4[[#This Row],[Trenes Corridos]]</f>
        <v>0.87621573828470378</v>
      </c>
      <c r="S269" s="15">
        <f>+Tabla4[[#This Row],[Trenes Corridos]]/Tabla4[[#This Row],[Trenes Programados]]</f>
        <v>0.95121951219512191</v>
      </c>
      <c r="T269" s="16"/>
      <c r="U269" s="16"/>
      <c r="V269" s="16">
        <v>4756</v>
      </c>
      <c r="W269" s="16">
        <f>V269-X269</f>
        <v>232</v>
      </c>
      <c r="X269" s="16">
        <v>4524</v>
      </c>
      <c r="Y269" s="16">
        <v>3964</v>
      </c>
      <c r="Z269" s="16">
        <f t="shared" si="130"/>
        <v>560</v>
      </c>
      <c r="AA269" s="16"/>
      <c r="AB269" s="17"/>
      <c r="AC269" s="18">
        <v>2014</v>
      </c>
      <c r="AD269" s="21" t="s">
        <v>47</v>
      </c>
      <c r="AE269" s="15">
        <f>+Tabla5[[#This Row],[Trenes Puntuales]]/Tabla5[[#This Row],[Trenes Programados]]</f>
        <v>0.72200772200772201</v>
      </c>
      <c r="AF269" s="15">
        <f>+Tabla5[[#This Row],[Trenes Puntuales]]/Tabla5[[#This Row],[Trenes Corridos]]</f>
        <v>0.78826199740596625</v>
      </c>
      <c r="AG269" s="15">
        <f>+Tabla5[[#This Row],[Trenes Corridos]]/Tabla5[[#This Row],[Trenes Programados]]</f>
        <v>0.91594891594891592</v>
      </c>
      <c r="AH269" s="16"/>
      <c r="AI269" s="16"/>
      <c r="AJ269" s="16">
        <v>3367</v>
      </c>
      <c r="AK269" s="16">
        <f>AJ269-AL269</f>
        <v>283</v>
      </c>
      <c r="AL269" s="16">
        <v>3084</v>
      </c>
      <c r="AM269" s="16">
        <v>2431</v>
      </c>
      <c r="AN269" s="16">
        <f t="shared" si="132"/>
        <v>653</v>
      </c>
      <c r="AO269" s="16"/>
      <c r="AP269" s="17"/>
      <c r="AQ269" s="18">
        <v>2014</v>
      </c>
      <c r="AR269" s="21" t="s">
        <v>47</v>
      </c>
      <c r="AS269" s="15">
        <f>+Tabla6[[#This Row],[Trenes Puntuales]]/Tabla6[[#This Row],[Trenes Programados]]</f>
        <v>0.67082755432269991</v>
      </c>
      <c r="AT269" s="15">
        <f>+Tabla6[[#This Row],[Trenes Puntuales]]/Tabla6[[#This Row],[Trenes Corridos]]</f>
        <v>0.74716786817713698</v>
      </c>
      <c r="AU269" s="15">
        <f>+Tabla6[[#This Row],[Trenes Corridos]]/Tabla6[[#This Row],[Trenes Programados]]</f>
        <v>0.89782709200184929</v>
      </c>
      <c r="AV269" s="16"/>
      <c r="AW269" s="16"/>
      <c r="AX269" s="16">
        <v>2163</v>
      </c>
      <c r="AY269" s="16">
        <f>AX269-AZ269</f>
        <v>221</v>
      </c>
      <c r="AZ269" s="16">
        <v>1942</v>
      </c>
      <c r="BA269" s="16">
        <v>1451</v>
      </c>
      <c r="BB269" s="16">
        <f t="shared" si="134"/>
        <v>491</v>
      </c>
      <c r="BC269" s="16"/>
      <c r="BD269" s="17"/>
      <c r="BE269" s="18">
        <v>2014</v>
      </c>
      <c r="BF269" s="21" t="s">
        <v>47</v>
      </c>
      <c r="BG269" s="15">
        <f>+MIT_Vic_Cap[[#This Row],[Trenes Puntuales]]/MIT_Vic_Cap[[#This Row],[Trenes Programados]]</f>
        <v>0.44987775061124696</v>
      </c>
      <c r="BH269" s="15">
        <f>+MIT_Vic_Cap[[#This Row],[Trenes Puntuales]]/MIT_Vic_Cap[[#This Row],[Trenes Corridos]]</f>
        <v>0.89756097560975612</v>
      </c>
      <c r="BI269" s="15">
        <f>+MIT_Vic_Cap[[#This Row],[Trenes Corridos]]/MIT_Vic_Cap[[#This Row],[Trenes Programados]]</f>
        <v>0.5012224938875306</v>
      </c>
      <c r="BJ269" s="16"/>
      <c r="BK269" s="16"/>
      <c r="BL269" s="16">
        <v>409</v>
      </c>
      <c r="BM269" s="16">
        <f>BL269-BN269</f>
        <v>204</v>
      </c>
      <c r="BN269" s="16">
        <v>205</v>
      </c>
      <c r="BO269" s="16">
        <v>184</v>
      </c>
      <c r="BP269" s="16">
        <f t="shared" si="136"/>
        <v>21</v>
      </c>
      <c r="BQ269" s="16"/>
      <c r="BR269" s="17"/>
      <c r="BS269" s="18">
        <v>2014</v>
      </c>
      <c r="BT269" s="21" t="s">
        <v>47</v>
      </c>
      <c r="BU269" s="15">
        <f>+Tabla8[[#This Row],[Trenes Puntuales]]/Tabla8[[#This Row],[Trenes Programados]]</f>
        <v>0.57594936708860756</v>
      </c>
      <c r="BV269" s="15">
        <f>+Tabla8[[#This Row],[Trenes Puntuales]]/Tabla8[[#This Row],[Trenes Corridos]]</f>
        <v>0.63636363636363635</v>
      </c>
      <c r="BW269" s="15">
        <f>+Tabla8[[#This Row],[Trenes Corridos]]/Tabla8[[#This Row],[Trenes Programados]]</f>
        <v>0.90506329113924056</v>
      </c>
      <c r="BX269" s="16"/>
      <c r="BY269" s="16"/>
      <c r="BZ269" s="16">
        <v>158</v>
      </c>
      <c r="CA269" s="16">
        <f>BZ269-CB269</f>
        <v>15</v>
      </c>
      <c r="CB269" s="16">
        <v>143</v>
      </c>
      <c r="CC269" s="16">
        <v>91</v>
      </c>
      <c r="CD269" s="16">
        <f t="shared" si="138"/>
        <v>52</v>
      </c>
      <c r="CI269" s="40"/>
      <c r="CJ269" s="40"/>
      <c r="CK269" s="40"/>
      <c r="CL269" s="40"/>
      <c r="CM269" s="40"/>
    </row>
    <row r="270" spans="1:91" s="18" customFormat="1" ht="15" customHeight="1">
      <c r="A270" s="18">
        <v>2015</v>
      </c>
      <c r="B270" s="21" t="s">
        <v>36</v>
      </c>
      <c r="C270" s="15">
        <f>+MITRE[[#This Row],[Trenes Puntuales]]/MITRE[[#This Row],[Trenes Programados]]</f>
        <v>0.77902416780665751</v>
      </c>
      <c r="D270" s="15">
        <f>+MITRE[[#This Row],[Trenes Puntuales]]/MITRE[[#This Row],[Trenes Corridos]]</f>
        <v>0.87826444581534036</v>
      </c>
      <c r="E270" s="15">
        <f>+MITRE[[#This Row],[Trenes Corridos]]/MITRE[[#This Row],[Trenes Programados]]</f>
        <v>0.88700410396716822</v>
      </c>
      <c r="F270" s="16">
        <f>+Tabla4[[#This Row],[Trenes Programados por Día Hábil]]+Tabla5[[#This Row],[Trenes Programados por Día Hábil]]+Tabla6[[#This Row],[Trenes Programados por Día Hábil]]+MIT_Vic_Cap[[#This Row],[Trenes Programados por Día Hábil]]+Tabla8[[#This Row],[Trenes Programados por Día Hábil]]</f>
        <v>0</v>
      </c>
      <c r="G27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0" s="16">
        <f t="shared" si="139"/>
        <v>10965</v>
      </c>
      <c r="I270" s="16">
        <f t="shared" si="140"/>
        <v>1239</v>
      </c>
      <c r="J270" s="16">
        <f t="shared" si="141"/>
        <v>9726</v>
      </c>
      <c r="K270" s="16">
        <f t="shared" si="142"/>
        <v>8542</v>
      </c>
      <c r="L270" s="16">
        <f t="shared" si="143"/>
        <v>1184</v>
      </c>
      <c r="M270" s="16"/>
      <c r="N270" s="17"/>
      <c r="O270" s="18">
        <v>2015</v>
      </c>
      <c r="P270" s="21" t="s">
        <v>36</v>
      </c>
      <c r="Q270" s="15">
        <f>+Tabla4[[#This Row],[Trenes Puntuales]]/Tabla4[[#This Row],[Trenes Programados]]</f>
        <v>0.8768625827814569</v>
      </c>
      <c r="R270" s="15">
        <f>+Tabla4[[#This Row],[Trenes Puntuales]]/Tabla4[[#This Row],[Trenes Corridos]]</f>
        <v>0.91492118332973438</v>
      </c>
      <c r="S270" s="15">
        <f>+Tabla4[[#This Row],[Trenes Corridos]]/Tabla4[[#This Row],[Trenes Programados]]</f>
        <v>0.95840231788079466</v>
      </c>
      <c r="T270" s="16"/>
      <c r="U270" s="16"/>
      <c r="V270" s="16">
        <v>4832</v>
      </c>
      <c r="W270" s="16">
        <f t="shared" ref="W270:W281" si="144">V270-X270</f>
        <v>201</v>
      </c>
      <c r="X270" s="16">
        <v>4631</v>
      </c>
      <c r="Y270" s="16">
        <v>4237</v>
      </c>
      <c r="Z270" s="16">
        <f t="shared" ref="Z270:Z281" si="145">X270-Y270</f>
        <v>394</v>
      </c>
      <c r="AA270" s="16"/>
      <c r="AB270" s="17"/>
      <c r="AC270" s="18">
        <v>2015</v>
      </c>
      <c r="AD270" s="21" t="s">
        <v>36</v>
      </c>
      <c r="AE270" s="15">
        <f>+Tabla5[[#This Row],[Trenes Puntuales]]/Tabla5[[#This Row],[Trenes Programados]]</f>
        <v>0.74771857521342366</v>
      </c>
      <c r="AF270" s="15">
        <f>+Tabla5[[#This Row],[Trenes Puntuales]]/Tabla5[[#This Row],[Trenes Corridos]]</f>
        <v>0.87315228600893779</v>
      </c>
      <c r="AG270" s="15">
        <f>+Tabla5[[#This Row],[Trenes Corridos]]/Tabla5[[#This Row],[Trenes Programados]]</f>
        <v>0.85634383279364146</v>
      </c>
      <c r="AH270" s="16"/>
      <c r="AI270" s="16"/>
      <c r="AJ270" s="16">
        <v>3397</v>
      </c>
      <c r="AK270" s="16">
        <f t="shared" ref="AK270:AK281" si="146">AJ270-AL270</f>
        <v>488</v>
      </c>
      <c r="AL270" s="16">
        <v>2909</v>
      </c>
      <c r="AM270" s="16">
        <v>2540</v>
      </c>
      <c r="AN270" s="16">
        <f t="shared" ref="AN270:AN281" si="147">AL270-AM270</f>
        <v>369</v>
      </c>
      <c r="AO270" s="18" t="s">
        <v>94</v>
      </c>
      <c r="AP270" s="17"/>
      <c r="AQ270" s="18">
        <v>2015</v>
      </c>
      <c r="AR270" s="21" t="s">
        <v>36</v>
      </c>
      <c r="AS270" s="15">
        <f>+Tabla6[[#This Row],[Trenes Puntuales]]/Tabla6[[#This Row],[Trenes Programados]]</f>
        <v>0.67990762124711313</v>
      </c>
      <c r="AT270" s="15">
        <f>+Tabla6[[#This Row],[Trenes Puntuales]]/Tabla6[[#This Row],[Trenes Corridos]]</f>
        <v>0.80790340285400664</v>
      </c>
      <c r="AU270" s="15">
        <f>+Tabla6[[#This Row],[Trenes Corridos]]/Tabla6[[#This Row],[Trenes Programados]]</f>
        <v>0.84157043879907623</v>
      </c>
      <c r="AV270" s="16"/>
      <c r="AW270" s="16"/>
      <c r="AX270" s="16">
        <v>2165</v>
      </c>
      <c r="AY270" s="16">
        <f t="shared" ref="AY270:AY281" si="148">AX270-AZ270</f>
        <v>343</v>
      </c>
      <c r="AZ270" s="16">
        <v>1822</v>
      </c>
      <c r="BA270" s="16">
        <v>1472</v>
      </c>
      <c r="BB270" s="16">
        <f t="shared" ref="BB270:BB281" si="149">AZ270-BA270</f>
        <v>350</v>
      </c>
      <c r="BC270" s="16"/>
      <c r="BD270" s="17"/>
      <c r="BE270" s="18">
        <v>2015</v>
      </c>
      <c r="BF270" s="21" t="s">
        <v>36</v>
      </c>
      <c r="BG270" s="15">
        <f>+MIT_Vic_Cap[[#This Row],[Trenes Puntuales]]/MIT_Vic_Cap[[#This Row],[Trenes Programados]]</f>
        <v>0.45783132530120479</v>
      </c>
      <c r="BH270" s="15">
        <f>+MIT_Vic_Cap[[#This Row],[Trenes Puntuales]]/MIT_Vic_Cap[[#This Row],[Trenes Corridos]]</f>
        <v>0.89622641509433965</v>
      </c>
      <c r="BI270" s="15">
        <f>+MIT_Vic_Cap[[#This Row],[Trenes Corridos]]/MIT_Vic_Cap[[#This Row],[Trenes Programados]]</f>
        <v>0.51084337349397591</v>
      </c>
      <c r="BJ270" s="16"/>
      <c r="BK270" s="16"/>
      <c r="BL270" s="16">
        <v>415</v>
      </c>
      <c r="BM270" s="16">
        <f t="shared" ref="BM270:BM281" si="150">BL270-BN270</f>
        <v>203</v>
      </c>
      <c r="BN270" s="16">
        <v>212</v>
      </c>
      <c r="BO270" s="16">
        <v>190</v>
      </c>
      <c r="BP270" s="16">
        <f t="shared" ref="BP270:BP281" si="151">BN270-BO270</f>
        <v>22</v>
      </c>
      <c r="BQ270" s="16"/>
      <c r="BR270" s="17"/>
      <c r="BS270" s="18">
        <v>2015</v>
      </c>
      <c r="BT270" s="21" t="s">
        <v>36</v>
      </c>
      <c r="BU270" s="15">
        <f>+Tabla8[[#This Row],[Trenes Puntuales]]/Tabla8[[#This Row],[Trenes Programados]]</f>
        <v>0.66025641025641024</v>
      </c>
      <c r="BV270" s="15">
        <f>+Tabla8[[#This Row],[Trenes Puntuales]]/Tabla8[[#This Row],[Trenes Corridos]]</f>
        <v>0.67763157894736847</v>
      </c>
      <c r="BW270" s="15">
        <f>+Tabla8[[#This Row],[Trenes Corridos]]/Tabla8[[#This Row],[Trenes Programados]]</f>
        <v>0.97435897435897434</v>
      </c>
      <c r="BX270" s="16"/>
      <c r="BY270" s="16"/>
      <c r="BZ270" s="16">
        <v>156</v>
      </c>
      <c r="CA270" s="16">
        <f t="shared" ref="CA270:CA281" si="152">BZ270-CB270</f>
        <v>4</v>
      </c>
      <c r="CB270" s="16">
        <v>152</v>
      </c>
      <c r="CC270" s="16">
        <v>103</v>
      </c>
      <c r="CD270" s="16">
        <f t="shared" ref="CD270:CD281" si="153">CB270-CC270</f>
        <v>49</v>
      </c>
      <c r="CI270" s="40"/>
      <c r="CJ270" s="40"/>
      <c r="CK270" s="40"/>
      <c r="CL270" s="40"/>
      <c r="CM270" s="40"/>
    </row>
    <row r="271" spans="1:91" s="18" customFormat="1" ht="15" customHeight="1">
      <c r="A271" s="18">
        <v>2015</v>
      </c>
      <c r="B271" s="21" t="s">
        <v>37</v>
      </c>
      <c r="C271" s="15">
        <f>+MITRE[[#This Row],[Trenes Puntuales]]/MITRE[[#This Row],[Trenes Programados]]</f>
        <v>0.82045014767287916</v>
      </c>
      <c r="D271" s="15">
        <f>+MITRE[[#This Row],[Trenes Puntuales]]/MITRE[[#This Row],[Trenes Corridos]]</f>
        <v>0.88556667033087832</v>
      </c>
      <c r="E271" s="15">
        <f>+MITRE[[#This Row],[Trenes Corridos]]/MITRE[[#This Row],[Trenes Programados]]</f>
        <v>0.92646909053875137</v>
      </c>
      <c r="F271" s="16">
        <f>+Tabla4[[#This Row],[Trenes Programados por Día Hábil]]+Tabla5[[#This Row],[Trenes Programados por Día Hábil]]+Tabla6[[#This Row],[Trenes Programados por Día Hábil]]+MIT_Vic_Cap[[#This Row],[Trenes Programados por Día Hábil]]+Tabla8[[#This Row],[Trenes Programados por Día Hábil]]</f>
        <v>0</v>
      </c>
      <c r="G27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1" s="16">
        <f t="shared" si="139"/>
        <v>9819</v>
      </c>
      <c r="I271" s="16">
        <f t="shared" si="140"/>
        <v>722</v>
      </c>
      <c r="J271" s="16">
        <f t="shared" si="141"/>
        <v>9097</v>
      </c>
      <c r="K271" s="16">
        <f t="shared" si="142"/>
        <v>8056</v>
      </c>
      <c r="L271" s="16">
        <f t="shared" si="143"/>
        <v>1041</v>
      </c>
      <c r="M271" s="16"/>
      <c r="N271" s="17"/>
      <c r="O271" s="18">
        <v>2015</v>
      </c>
      <c r="P271" s="21" t="s">
        <v>37</v>
      </c>
      <c r="Q271" s="15">
        <f>+Tabla4[[#This Row],[Trenes Puntuales]]/Tabla4[[#This Row],[Trenes Programados]]</f>
        <v>0.87441968430826367</v>
      </c>
      <c r="R271" s="15">
        <f>+Tabla4[[#This Row],[Trenes Puntuales]]/Tabla4[[#This Row],[Trenes Corridos]]</f>
        <v>0.92080175996088975</v>
      </c>
      <c r="S271" s="15">
        <f>+Tabla4[[#This Row],[Trenes Corridos]]/Tabla4[[#This Row],[Trenes Programados]]</f>
        <v>0.94962859795728871</v>
      </c>
      <c r="T271" s="16"/>
      <c r="U271" s="16"/>
      <c r="V271" s="16">
        <v>4308</v>
      </c>
      <c r="W271" s="16">
        <f t="shared" si="144"/>
        <v>217</v>
      </c>
      <c r="X271" s="16">
        <v>4091</v>
      </c>
      <c r="Y271" s="16">
        <v>3767</v>
      </c>
      <c r="Z271" s="16">
        <f t="shared" si="145"/>
        <v>324</v>
      </c>
      <c r="AA271" s="16"/>
      <c r="AB271" s="17"/>
      <c r="AC271" s="18">
        <v>2015</v>
      </c>
      <c r="AD271" s="21" t="s">
        <v>37</v>
      </c>
      <c r="AE271" s="15">
        <f>+Tabla5[[#This Row],[Trenes Puntuales]]/Tabla5[[#This Row],[Trenes Programados]]</f>
        <v>0.84077478660538407</v>
      </c>
      <c r="AF271" s="15">
        <f>+Tabla5[[#This Row],[Trenes Puntuales]]/Tabla5[[#This Row],[Trenes Corridos]]</f>
        <v>0.89389179755671899</v>
      </c>
      <c r="AG271" s="15">
        <f>+Tabla5[[#This Row],[Trenes Corridos]]/Tabla5[[#This Row],[Trenes Programados]]</f>
        <v>0.94057780695994753</v>
      </c>
      <c r="AH271" s="16"/>
      <c r="AI271" s="16"/>
      <c r="AJ271" s="16">
        <v>3046</v>
      </c>
      <c r="AK271" s="16">
        <f t="shared" si="146"/>
        <v>181</v>
      </c>
      <c r="AL271" s="16">
        <v>2865</v>
      </c>
      <c r="AM271" s="16">
        <v>2561</v>
      </c>
      <c r="AN271" s="16">
        <f t="shared" si="147"/>
        <v>304</v>
      </c>
      <c r="AO271" s="16"/>
      <c r="AP271" s="17"/>
      <c r="AQ271" s="18">
        <v>2015</v>
      </c>
      <c r="AR271" s="21" t="s">
        <v>37</v>
      </c>
      <c r="AS271" s="15">
        <f>+Tabla6[[#This Row],[Trenes Puntuales]]/Tabla6[[#This Row],[Trenes Programados]]</f>
        <v>0.71852610030706243</v>
      </c>
      <c r="AT271" s="15">
        <f>+Tabla6[[#This Row],[Trenes Puntuales]]/Tabla6[[#This Row],[Trenes Corridos]]</f>
        <v>0.79727427597955702</v>
      </c>
      <c r="AU271" s="15">
        <f>+Tabla6[[#This Row],[Trenes Corridos]]/Tabla6[[#This Row],[Trenes Programados]]</f>
        <v>0.90122824974411464</v>
      </c>
      <c r="AV271" s="16"/>
      <c r="AW271" s="16"/>
      <c r="AX271" s="16">
        <v>1954</v>
      </c>
      <c r="AY271" s="16">
        <f t="shared" si="148"/>
        <v>193</v>
      </c>
      <c r="AZ271" s="16">
        <v>1761</v>
      </c>
      <c r="BA271" s="16">
        <v>1404</v>
      </c>
      <c r="BB271" s="16">
        <f t="shared" si="149"/>
        <v>357</v>
      </c>
      <c r="BC271" s="18" t="s">
        <v>93</v>
      </c>
      <c r="BD271" s="17"/>
      <c r="BE271" s="18">
        <v>2015</v>
      </c>
      <c r="BF271" s="21" t="s">
        <v>37</v>
      </c>
      <c r="BG271" s="15">
        <f>+MIT_Vic_Cap[[#This Row],[Trenes Puntuales]]/MIT_Vic_Cap[[#This Row],[Trenes Programados]]</f>
        <v>0.60916442048517516</v>
      </c>
      <c r="BH271" s="15">
        <f>+MIT_Vic_Cap[[#This Row],[Trenes Puntuales]]/MIT_Vic_Cap[[#This Row],[Trenes Corridos]]</f>
        <v>0.92244897959183669</v>
      </c>
      <c r="BI271" s="15">
        <f>+MIT_Vic_Cap[[#This Row],[Trenes Corridos]]/MIT_Vic_Cap[[#This Row],[Trenes Programados]]</f>
        <v>0.660377358490566</v>
      </c>
      <c r="BJ271" s="16"/>
      <c r="BK271" s="16"/>
      <c r="BL271" s="16">
        <v>371</v>
      </c>
      <c r="BM271" s="16">
        <f t="shared" si="150"/>
        <v>126</v>
      </c>
      <c r="BN271" s="16">
        <v>245</v>
      </c>
      <c r="BO271" s="16">
        <v>226</v>
      </c>
      <c r="BP271" s="16">
        <f t="shared" si="151"/>
        <v>19</v>
      </c>
      <c r="BQ271" s="16"/>
      <c r="BR271" s="17"/>
      <c r="BS271" s="18">
        <v>2015</v>
      </c>
      <c r="BT271" s="21" t="s">
        <v>37</v>
      </c>
      <c r="BU271" s="15">
        <f>+Tabla8[[#This Row],[Trenes Puntuales]]/Tabla8[[#This Row],[Trenes Programados]]</f>
        <v>0.7</v>
      </c>
      <c r="BV271" s="15">
        <f>+Tabla8[[#This Row],[Trenes Puntuales]]/Tabla8[[#This Row],[Trenes Corridos]]</f>
        <v>0.72592592592592597</v>
      </c>
      <c r="BW271" s="15">
        <f>+Tabla8[[#This Row],[Trenes Corridos]]/Tabla8[[#This Row],[Trenes Programados]]</f>
        <v>0.9642857142857143</v>
      </c>
      <c r="BX271" s="16"/>
      <c r="BY271" s="16"/>
      <c r="BZ271" s="16">
        <v>140</v>
      </c>
      <c r="CA271" s="16">
        <f t="shared" si="152"/>
        <v>5</v>
      </c>
      <c r="CB271" s="16">
        <v>135</v>
      </c>
      <c r="CC271" s="16">
        <v>98</v>
      </c>
      <c r="CD271" s="16">
        <f t="shared" si="153"/>
        <v>37</v>
      </c>
      <c r="CI271" s="40"/>
      <c r="CJ271" s="40"/>
      <c r="CK271" s="40"/>
      <c r="CL271" s="40"/>
      <c r="CM271" s="40"/>
    </row>
    <row r="272" spans="1:91" s="18" customFormat="1" ht="15" customHeight="1">
      <c r="A272" s="18">
        <v>2015</v>
      </c>
      <c r="B272" s="21" t="s">
        <v>38</v>
      </c>
      <c r="C272" s="15">
        <f>+MITRE[[#This Row],[Trenes Puntuales]]/MITRE[[#This Row],[Trenes Programados]]</f>
        <v>0.87116394802322361</v>
      </c>
      <c r="D272" s="15">
        <f>+MITRE[[#This Row],[Trenes Puntuales]]/MITRE[[#This Row],[Trenes Corridos]]</f>
        <v>0.92986425339366519</v>
      </c>
      <c r="E272" s="15">
        <f>+MITRE[[#This Row],[Trenes Corridos]]/MITRE[[#This Row],[Trenes Programados]]</f>
        <v>0.9368721776794765</v>
      </c>
      <c r="F272" s="16">
        <f>+Tabla4[[#This Row],[Trenes Programados por Día Hábil]]+Tabla5[[#This Row],[Trenes Programados por Día Hábil]]+Tabla6[[#This Row],[Trenes Programados por Día Hábil]]+MIT_Vic_Cap[[#This Row],[Trenes Programados por Día Hábil]]+Tabla8[[#This Row],[Trenes Programados por Día Hábil]]</f>
        <v>0</v>
      </c>
      <c r="G27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2" s="16">
        <f t="shared" si="139"/>
        <v>10851</v>
      </c>
      <c r="I272" s="16">
        <f t="shared" si="140"/>
        <v>685</v>
      </c>
      <c r="J272" s="16">
        <f t="shared" si="141"/>
        <v>10166</v>
      </c>
      <c r="K272" s="16">
        <f t="shared" si="142"/>
        <v>9453</v>
      </c>
      <c r="L272" s="16">
        <f t="shared" si="143"/>
        <v>713</v>
      </c>
      <c r="M272" s="16"/>
      <c r="N272" s="17"/>
      <c r="O272" s="18">
        <v>2015</v>
      </c>
      <c r="P272" s="21" t="s">
        <v>38</v>
      </c>
      <c r="Q272" s="15">
        <f>+Tabla4[[#This Row],[Trenes Puntuales]]/Tabla4[[#This Row],[Trenes Programados]]</f>
        <v>0.89150546677880571</v>
      </c>
      <c r="R272" s="15">
        <f>+Tabla4[[#This Row],[Trenes Puntuales]]/Tabla4[[#This Row],[Trenes Corridos]]</f>
        <v>0.94790968030404654</v>
      </c>
      <c r="S272" s="15">
        <f>+Tabla4[[#This Row],[Trenes Corridos]]/Tabla4[[#This Row],[Trenes Programados]]</f>
        <v>0.94049621530698069</v>
      </c>
      <c r="T272" s="16"/>
      <c r="U272" s="16"/>
      <c r="V272" s="16">
        <v>4756</v>
      </c>
      <c r="W272" s="16">
        <f t="shared" si="144"/>
        <v>283</v>
      </c>
      <c r="X272" s="16">
        <v>4473</v>
      </c>
      <c r="Y272" s="16">
        <v>4240</v>
      </c>
      <c r="Z272" s="16">
        <f t="shared" si="145"/>
        <v>233</v>
      </c>
      <c r="AA272" s="16"/>
      <c r="AB272" s="17"/>
      <c r="AC272" s="18">
        <v>2015</v>
      </c>
      <c r="AD272" s="21" t="s">
        <v>38</v>
      </c>
      <c r="AE272" s="15">
        <f>+Tabla5[[#This Row],[Trenes Puntuales]]/Tabla5[[#This Row],[Trenes Programados]]</f>
        <v>0.8856548856548857</v>
      </c>
      <c r="AF272" s="15">
        <f>+Tabla5[[#This Row],[Trenes Puntuales]]/Tabla5[[#This Row],[Trenes Corridos]]</f>
        <v>0.93626373626373627</v>
      </c>
      <c r="AG272" s="15">
        <f>+Tabla5[[#This Row],[Trenes Corridos]]/Tabla5[[#This Row],[Trenes Programados]]</f>
        <v>0.94594594594594594</v>
      </c>
      <c r="AH272" s="16"/>
      <c r="AI272" s="16"/>
      <c r="AJ272" s="16">
        <v>3367</v>
      </c>
      <c r="AK272" s="16">
        <f t="shared" si="146"/>
        <v>182</v>
      </c>
      <c r="AL272" s="16">
        <v>3185</v>
      </c>
      <c r="AM272" s="16">
        <v>2982</v>
      </c>
      <c r="AN272" s="16">
        <f t="shared" si="147"/>
        <v>203</v>
      </c>
      <c r="AO272" s="16"/>
      <c r="AP272" s="17"/>
      <c r="AQ272" s="18">
        <v>2015</v>
      </c>
      <c r="AR272" s="21" t="s">
        <v>38</v>
      </c>
      <c r="AS272" s="15">
        <f>+Tabla6[[#This Row],[Trenes Puntuales]]/Tabla6[[#This Row],[Trenes Programados]]</f>
        <v>0.85251964863615348</v>
      </c>
      <c r="AT272" s="15">
        <f>+Tabla6[[#This Row],[Trenes Puntuales]]/Tabla6[[#This Row],[Trenes Corridos]]</f>
        <v>0.89558037882467212</v>
      </c>
      <c r="AU272" s="15">
        <f>+Tabla6[[#This Row],[Trenes Corridos]]/Tabla6[[#This Row],[Trenes Programados]]</f>
        <v>0.951918631530282</v>
      </c>
      <c r="AV272" s="16"/>
      <c r="AW272" s="16"/>
      <c r="AX272" s="16">
        <v>2163</v>
      </c>
      <c r="AY272" s="16">
        <f t="shared" si="148"/>
        <v>104</v>
      </c>
      <c r="AZ272" s="16">
        <v>2059</v>
      </c>
      <c r="BA272" s="16">
        <v>1844</v>
      </c>
      <c r="BB272" s="16">
        <f t="shared" si="149"/>
        <v>215</v>
      </c>
      <c r="BC272" s="16"/>
      <c r="BD272" s="17"/>
      <c r="BE272" s="18">
        <v>2015</v>
      </c>
      <c r="BF272" s="21" t="s">
        <v>38</v>
      </c>
      <c r="BG272" s="15">
        <f>+MIT_Vic_Cap[[#This Row],[Trenes Puntuales]]/MIT_Vic_Cap[[#This Row],[Trenes Programados]]</f>
        <v>0.66014669926650371</v>
      </c>
      <c r="BH272" s="15">
        <f>+MIT_Vic_Cap[[#This Row],[Trenes Puntuales]]/MIT_Vic_Cap[[#This Row],[Trenes Corridos]]</f>
        <v>0.89403973509933776</v>
      </c>
      <c r="BI272" s="15">
        <f>+MIT_Vic_Cap[[#This Row],[Trenes Corridos]]/MIT_Vic_Cap[[#This Row],[Trenes Programados]]</f>
        <v>0.73838630806845962</v>
      </c>
      <c r="BJ272" s="16"/>
      <c r="BK272" s="16"/>
      <c r="BL272" s="16">
        <v>409</v>
      </c>
      <c r="BM272" s="16">
        <f t="shared" si="150"/>
        <v>107</v>
      </c>
      <c r="BN272" s="16">
        <v>302</v>
      </c>
      <c r="BO272" s="16">
        <v>270</v>
      </c>
      <c r="BP272" s="16">
        <f t="shared" si="151"/>
        <v>32</v>
      </c>
      <c r="BQ272" s="16"/>
      <c r="BR272" s="17"/>
      <c r="BS272" s="18">
        <v>2015</v>
      </c>
      <c r="BT272" s="21" t="s">
        <v>38</v>
      </c>
      <c r="BU272" s="15">
        <f>+Tabla8[[#This Row],[Trenes Puntuales]]/Tabla8[[#This Row],[Trenes Programados]]</f>
        <v>0.75</v>
      </c>
      <c r="BV272" s="15">
        <f>+Tabla8[[#This Row],[Trenes Puntuales]]/Tabla8[[#This Row],[Trenes Corridos]]</f>
        <v>0.79591836734693877</v>
      </c>
      <c r="BW272" s="15">
        <f>+Tabla8[[#This Row],[Trenes Corridos]]/Tabla8[[#This Row],[Trenes Programados]]</f>
        <v>0.94230769230769229</v>
      </c>
      <c r="BX272" s="16"/>
      <c r="BY272" s="16"/>
      <c r="BZ272" s="16">
        <v>156</v>
      </c>
      <c r="CA272" s="16">
        <f t="shared" si="152"/>
        <v>9</v>
      </c>
      <c r="CB272" s="16">
        <v>147</v>
      </c>
      <c r="CC272" s="16">
        <v>117</v>
      </c>
      <c r="CD272" s="16">
        <f t="shared" si="153"/>
        <v>30</v>
      </c>
      <c r="CI272" s="40"/>
      <c r="CJ272" s="40"/>
      <c r="CK272" s="40"/>
      <c r="CL272" s="40"/>
      <c r="CM272" s="40"/>
    </row>
    <row r="273" spans="1:91" s="18" customFormat="1" ht="15" customHeight="1">
      <c r="A273" s="18">
        <v>2015</v>
      </c>
      <c r="B273" s="21" t="s">
        <v>39</v>
      </c>
      <c r="C273" s="15">
        <f>+MITRE[[#This Row],[Trenes Puntuales]]/MITRE[[#This Row],[Trenes Programados]]</f>
        <v>0.84966518909742528</v>
      </c>
      <c r="D273" s="15">
        <f>+MITRE[[#This Row],[Trenes Puntuales]]/MITRE[[#This Row],[Trenes Corridos]]</f>
        <v>0.89295272078501342</v>
      </c>
      <c r="E273" s="15">
        <f>+MITRE[[#This Row],[Trenes Corridos]]/MITRE[[#This Row],[Trenes Programados]]</f>
        <v>0.95152315382438934</v>
      </c>
      <c r="F273" s="16">
        <f>+Tabla4[[#This Row],[Trenes Programados por Día Hábil]]+Tabla5[[#This Row],[Trenes Programados por Día Hábil]]+Tabla6[[#This Row],[Trenes Programados por Día Hábil]]+MIT_Vic_Cap[[#This Row],[Trenes Programados por Día Hábil]]+Tabla8[[#This Row],[Trenes Programados por Día Hábil]]</f>
        <v>0</v>
      </c>
      <c r="G27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3" s="16">
        <f t="shared" si="139"/>
        <v>10603</v>
      </c>
      <c r="I273" s="16">
        <f t="shared" si="140"/>
        <v>514</v>
      </c>
      <c r="J273" s="16">
        <f t="shared" si="141"/>
        <v>10089</v>
      </c>
      <c r="K273" s="16">
        <f t="shared" si="142"/>
        <v>9009</v>
      </c>
      <c r="L273" s="16">
        <f t="shared" si="143"/>
        <v>1080</v>
      </c>
      <c r="M273" s="16"/>
      <c r="N273" s="17"/>
      <c r="O273" s="18">
        <v>2015</v>
      </c>
      <c r="P273" s="21" t="s">
        <v>39</v>
      </c>
      <c r="Q273" s="15">
        <f>+Tabla4[[#This Row],[Trenes Puntuales]]/Tabla4[[#This Row],[Trenes Programados]]</f>
        <v>0.86118307426597585</v>
      </c>
      <c r="R273" s="15">
        <f>+Tabla4[[#This Row],[Trenes Puntuales]]/Tabla4[[#This Row],[Trenes Corridos]]</f>
        <v>0.9163795083850218</v>
      </c>
      <c r="S273" s="15">
        <f>+Tabla4[[#This Row],[Trenes Corridos]]/Tabla4[[#This Row],[Trenes Programados]]</f>
        <v>0.93976683937823835</v>
      </c>
      <c r="T273" s="16"/>
      <c r="U273" s="16"/>
      <c r="V273" s="16">
        <v>4632</v>
      </c>
      <c r="W273" s="16">
        <f t="shared" si="144"/>
        <v>279</v>
      </c>
      <c r="X273" s="16">
        <v>4353</v>
      </c>
      <c r="Y273" s="16">
        <v>3989</v>
      </c>
      <c r="Z273" s="16">
        <f t="shared" si="145"/>
        <v>364</v>
      </c>
      <c r="AA273" s="16"/>
      <c r="AB273" s="17"/>
      <c r="AC273" s="18">
        <v>2015</v>
      </c>
      <c r="AD273" s="21" t="s">
        <v>39</v>
      </c>
      <c r="AE273" s="15">
        <f>+Tabla5[[#This Row],[Trenes Puntuales]]/Tabla5[[#This Row],[Trenes Programados]]</f>
        <v>0.90305810397553521</v>
      </c>
      <c r="AF273" s="15">
        <f>+Tabla5[[#This Row],[Trenes Puntuales]]/Tabla5[[#This Row],[Trenes Corridos]]</f>
        <v>0.92281250000000004</v>
      </c>
      <c r="AG273" s="15">
        <f>+Tabla5[[#This Row],[Trenes Corridos]]/Tabla5[[#This Row],[Trenes Programados]]</f>
        <v>0.9785932721712538</v>
      </c>
      <c r="AH273" s="16"/>
      <c r="AI273" s="16"/>
      <c r="AJ273" s="16">
        <v>3270</v>
      </c>
      <c r="AK273" s="16">
        <f t="shared" si="146"/>
        <v>70</v>
      </c>
      <c r="AL273" s="16">
        <v>3200</v>
      </c>
      <c r="AM273" s="16">
        <v>2953</v>
      </c>
      <c r="AN273" s="16">
        <f t="shared" si="147"/>
        <v>247</v>
      </c>
      <c r="AO273" s="16"/>
      <c r="AP273" s="17"/>
      <c r="AQ273" s="18">
        <v>2015</v>
      </c>
      <c r="AR273" s="21" t="s">
        <v>39</v>
      </c>
      <c r="AS273" s="15">
        <f>+Tabla6[[#This Row],[Trenes Puntuales]]/Tabla6[[#This Row],[Trenes Programados]]</f>
        <v>0.89398280802292263</v>
      </c>
      <c r="AT273" s="15">
        <f>+Tabla6[[#This Row],[Trenes Puntuales]]/Tabla6[[#This Row],[Trenes Corridos]]</f>
        <v>0.90697674418604646</v>
      </c>
      <c r="AU273" s="15">
        <f>+Tabla6[[#This Row],[Trenes Corridos]]/Tabla6[[#This Row],[Trenes Programados]]</f>
        <v>0.98567335243553011</v>
      </c>
      <c r="AV273" s="16"/>
      <c r="AW273" s="16"/>
      <c r="AX273" s="16">
        <v>2094</v>
      </c>
      <c r="AY273" s="16">
        <f t="shared" si="148"/>
        <v>30</v>
      </c>
      <c r="AZ273" s="16">
        <v>2064</v>
      </c>
      <c r="BA273" s="16">
        <v>1872</v>
      </c>
      <c r="BB273" s="16">
        <f t="shared" si="149"/>
        <v>192</v>
      </c>
      <c r="BC273" s="16"/>
      <c r="BD273" s="17"/>
      <c r="BE273" s="18">
        <v>2015</v>
      </c>
      <c r="BF273" s="21" t="s">
        <v>39</v>
      </c>
      <c r="BG273" s="15">
        <f>+MIT_Vic_Cap[[#This Row],[Trenes Puntuales]]/MIT_Vic_Cap[[#This Row],[Trenes Programados]]</f>
        <v>0.35597189695550352</v>
      </c>
      <c r="BH273" s="15">
        <f>+MIT_Vic_Cap[[#This Row],[Trenes Puntuales]]/MIT_Vic_Cap[[#This Row],[Trenes Corridos]]</f>
        <v>0.51877133105802042</v>
      </c>
      <c r="BI273" s="15">
        <f>+MIT_Vic_Cap[[#This Row],[Trenes Corridos]]/MIT_Vic_Cap[[#This Row],[Trenes Programados]]</f>
        <v>0.68618266978922715</v>
      </c>
      <c r="BJ273" s="16"/>
      <c r="BK273" s="16"/>
      <c r="BL273" s="16">
        <v>427</v>
      </c>
      <c r="BM273" s="16">
        <f t="shared" si="150"/>
        <v>134</v>
      </c>
      <c r="BN273" s="16">
        <v>293</v>
      </c>
      <c r="BO273" s="16">
        <v>152</v>
      </c>
      <c r="BP273" s="16">
        <f t="shared" si="151"/>
        <v>141</v>
      </c>
      <c r="BQ273" s="16"/>
      <c r="BR273" s="17"/>
      <c r="BS273" s="18">
        <v>2015</v>
      </c>
      <c r="BT273" s="21" t="s">
        <v>39</v>
      </c>
      <c r="BU273" s="15">
        <f>+Tabla8[[#This Row],[Trenes Puntuales]]/Tabla8[[#This Row],[Trenes Programados]]</f>
        <v>0.2388888888888889</v>
      </c>
      <c r="BV273" s="15">
        <f>+Tabla8[[#This Row],[Trenes Puntuales]]/Tabla8[[#This Row],[Trenes Corridos]]</f>
        <v>0.24022346368715083</v>
      </c>
      <c r="BW273" s="15">
        <f>+Tabla8[[#This Row],[Trenes Corridos]]/Tabla8[[#This Row],[Trenes Programados]]</f>
        <v>0.99444444444444446</v>
      </c>
      <c r="BX273" s="16"/>
      <c r="BY273" s="16"/>
      <c r="BZ273" s="16">
        <v>180</v>
      </c>
      <c r="CA273" s="16">
        <f t="shared" si="152"/>
        <v>1</v>
      </c>
      <c r="CB273" s="16">
        <v>179</v>
      </c>
      <c r="CC273" s="16">
        <v>43</v>
      </c>
      <c r="CD273" s="16">
        <f t="shared" si="153"/>
        <v>136</v>
      </c>
      <c r="CI273" s="40"/>
      <c r="CJ273" s="40"/>
      <c r="CK273" s="40"/>
      <c r="CL273" s="40"/>
      <c r="CM273" s="40"/>
    </row>
    <row r="274" spans="1:91" s="18" customFormat="1" ht="15" customHeight="1">
      <c r="A274" s="18">
        <v>2015</v>
      </c>
      <c r="B274" s="21" t="s">
        <v>40</v>
      </c>
      <c r="C274" s="15">
        <f>+MITRE[[#This Row],[Trenes Puntuales]]/MITRE[[#This Row],[Trenes Programados]]</f>
        <v>0.82056526589810341</v>
      </c>
      <c r="D274" s="15">
        <f>+MITRE[[#This Row],[Trenes Puntuales]]/MITRE[[#This Row],[Trenes Corridos]]</f>
        <v>0.86250366461448258</v>
      </c>
      <c r="E274" s="15">
        <f>+MITRE[[#This Row],[Trenes Corridos]]/MITRE[[#This Row],[Trenes Programados]]</f>
        <v>0.95137597619933056</v>
      </c>
      <c r="F274" s="16">
        <f>+Tabla4[[#This Row],[Trenes Programados por Día Hábil]]+Tabla5[[#This Row],[Trenes Programados por Día Hábil]]+Tabla6[[#This Row],[Trenes Programados por Día Hábil]]+MIT_Vic_Cap[[#This Row],[Trenes Programados por Día Hábil]]+Tabla8[[#This Row],[Trenes Programados por Día Hábil]]</f>
        <v>0</v>
      </c>
      <c r="G27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4" s="16">
        <f t="shared" si="139"/>
        <v>10756</v>
      </c>
      <c r="I274" s="16">
        <f t="shared" si="140"/>
        <v>523</v>
      </c>
      <c r="J274" s="16">
        <f t="shared" si="141"/>
        <v>10233</v>
      </c>
      <c r="K274" s="16">
        <f t="shared" si="142"/>
        <v>8826</v>
      </c>
      <c r="L274" s="16">
        <f t="shared" si="143"/>
        <v>1407</v>
      </c>
      <c r="M274" s="16"/>
      <c r="N274" s="17"/>
      <c r="O274" s="18">
        <v>2015</v>
      </c>
      <c r="P274" s="21" t="s">
        <v>40</v>
      </c>
      <c r="Q274" s="15">
        <f>+Tabla4[[#This Row],[Trenes Puntuales]]/Tabla4[[#This Row],[Trenes Programados]]</f>
        <v>0.8619631901840491</v>
      </c>
      <c r="R274" s="15">
        <f>+Tabla4[[#This Row],[Trenes Puntuales]]/Tabla4[[#This Row],[Trenes Corridos]]</f>
        <v>0.91128098216353948</v>
      </c>
      <c r="S274" s="15">
        <f>+Tabla4[[#This Row],[Trenes Corridos]]/Tabla4[[#This Row],[Trenes Programados]]</f>
        <v>0.94588080631025417</v>
      </c>
      <c r="T274" s="16"/>
      <c r="U274" s="16"/>
      <c r="V274" s="16">
        <v>4564</v>
      </c>
      <c r="W274" s="16">
        <f t="shared" si="144"/>
        <v>247</v>
      </c>
      <c r="X274" s="16">
        <v>4317</v>
      </c>
      <c r="Y274" s="16">
        <v>3934</v>
      </c>
      <c r="Z274" s="16">
        <f t="shared" si="145"/>
        <v>383</v>
      </c>
      <c r="AA274" s="16"/>
      <c r="AB274" s="17"/>
      <c r="AC274" s="18">
        <v>2015</v>
      </c>
      <c r="AD274" s="21" t="s">
        <v>40</v>
      </c>
      <c r="AE274" s="15">
        <f>+Tabla5[[#This Row],[Trenes Puntuales]]/Tabla5[[#This Row],[Trenes Programados]]</f>
        <v>0.80160380160380162</v>
      </c>
      <c r="AF274" s="15">
        <f>+Tabla5[[#This Row],[Trenes Puntuales]]/Tabla5[[#This Row],[Trenes Corridos]]</f>
        <v>0.83174114021571643</v>
      </c>
      <c r="AG274" s="15">
        <f>+Tabla5[[#This Row],[Trenes Corridos]]/Tabla5[[#This Row],[Trenes Programados]]</f>
        <v>0.9637659637659638</v>
      </c>
      <c r="AH274" s="16"/>
      <c r="AI274" s="16"/>
      <c r="AJ274" s="16">
        <v>3367</v>
      </c>
      <c r="AK274" s="16">
        <f t="shared" si="146"/>
        <v>122</v>
      </c>
      <c r="AL274" s="16">
        <v>3245</v>
      </c>
      <c r="AM274" s="16">
        <v>2699</v>
      </c>
      <c r="AN274" s="16">
        <f t="shared" si="147"/>
        <v>546</v>
      </c>
      <c r="AO274" s="16"/>
      <c r="AP274" s="17"/>
      <c r="AQ274" s="18">
        <v>2015</v>
      </c>
      <c r="AR274" s="21" t="s">
        <v>40</v>
      </c>
      <c r="AS274" s="15">
        <f>+Tabla6[[#This Row],[Trenes Puntuales]]/Tabla6[[#This Row],[Trenes Programados]]</f>
        <v>0.83204016430853489</v>
      </c>
      <c r="AT274" s="15">
        <f>+Tabla6[[#This Row],[Trenes Puntuales]]/Tabla6[[#This Row],[Trenes Corridos]]</f>
        <v>0.87266634753470562</v>
      </c>
      <c r="AU274" s="15">
        <f>+Tabla6[[#This Row],[Trenes Corridos]]/Tabla6[[#This Row],[Trenes Programados]]</f>
        <v>0.95344591510725696</v>
      </c>
      <c r="AV274" s="16"/>
      <c r="AW274" s="16"/>
      <c r="AX274" s="16">
        <v>2191</v>
      </c>
      <c r="AY274" s="16">
        <f t="shared" si="148"/>
        <v>102</v>
      </c>
      <c r="AZ274" s="16">
        <v>2089</v>
      </c>
      <c r="BA274" s="16">
        <v>1823</v>
      </c>
      <c r="BB274" s="16">
        <f t="shared" si="149"/>
        <v>266</v>
      </c>
      <c r="BC274" s="16"/>
      <c r="BD274" s="17"/>
      <c r="BE274" s="18">
        <v>2015</v>
      </c>
      <c r="BF274" s="21" t="s">
        <v>40</v>
      </c>
      <c r="BG274" s="15">
        <f>+MIT_Vic_Cap[[#This Row],[Trenes Puntuales]]/MIT_Vic_Cap[[#This Row],[Trenes Programados]]</f>
        <v>0.6517857142857143</v>
      </c>
      <c r="BH274" s="15">
        <f>+MIT_Vic_Cap[[#This Row],[Trenes Puntuales]]/MIT_Vic_Cap[[#This Row],[Trenes Corridos]]</f>
        <v>0.72636815920398012</v>
      </c>
      <c r="BI274" s="15">
        <f>+MIT_Vic_Cap[[#This Row],[Trenes Corridos]]/MIT_Vic_Cap[[#This Row],[Trenes Programados]]</f>
        <v>0.8973214285714286</v>
      </c>
      <c r="BJ274" s="16"/>
      <c r="BK274" s="16"/>
      <c r="BL274" s="16">
        <v>448</v>
      </c>
      <c r="BM274" s="16">
        <f t="shared" si="150"/>
        <v>46</v>
      </c>
      <c r="BN274" s="16">
        <v>402</v>
      </c>
      <c r="BO274" s="16">
        <v>292</v>
      </c>
      <c r="BP274" s="16">
        <f t="shared" si="151"/>
        <v>110</v>
      </c>
      <c r="BQ274" s="16"/>
      <c r="BR274" s="17"/>
      <c r="BS274" s="18">
        <v>2015</v>
      </c>
      <c r="BT274" s="21" t="s">
        <v>40</v>
      </c>
      <c r="BU274" s="15">
        <f>+Tabla8[[#This Row],[Trenes Puntuales]]/Tabla8[[#This Row],[Trenes Programados]]</f>
        <v>0.41935483870967744</v>
      </c>
      <c r="BV274" s="15">
        <f>+Tabla8[[#This Row],[Trenes Puntuales]]/Tabla8[[#This Row],[Trenes Corridos]]</f>
        <v>0.43333333333333335</v>
      </c>
      <c r="BW274" s="15">
        <f>+Tabla8[[#This Row],[Trenes Corridos]]/Tabla8[[#This Row],[Trenes Programados]]</f>
        <v>0.967741935483871</v>
      </c>
      <c r="BX274" s="16"/>
      <c r="BY274" s="16"/>
      <c r="BZ274" s="16">
        <v>186</v>
      </c>
      <c r="CA274" s="16">
        <f t="shared" si="152"/>
        <v>6</v>
      </c>
      <c r="CB274" s="16">
        <v>180</v>
      </c>
      <c r="CC274" s="16">
        <v>78</v>
      </c>
      <c r="CD274" s="16">
        <f t="shared" si="153"/>
        <v>102</v>
      </c>
      <c r="CI274" s="40"/>
      <c r="CJ274" s="40"/>
      <c r="CK274" s="40"/>
      <c r="CL274" s="40"/>
      <c r="CM274" s="40"/>
    </row>
    <row r="275" spans="1:91" s="18" customFormat="1" ht="15" customHeight="1">
      <c r="A275" s="18">
        <v>2015</v>
      </c>
      <c r="B275" s="21" t="s">
        <v>41</v>
      </c>
      <c r="C275" s="15">
        <f>+MITRE[[#This Row],[Trenes Puntuales]]/MITRE[[#This Row],[Trenes Programados]]</f>
        <v>0.79177769318614388</v>
      </c>
      <c r="D275" s="15">
        <f>+MITRE[[#This Row],[Trenes Puntuales]]/MITRE[[#This Row],[Trenes Corridos]]</f>
        <v>0.8514993347661447</v>
      </c>
      <c r="E275" s="15">
        <f>+MITRE[[#This Row],[Trenes Corridos]]/MITRE[[#This Row],[Trenes Programados]]</f>
        <v>0.92986296155310244</v>
      </c>
      <c r="F275" s="16">
        <f>+Tabla4[[#This Row],[Trenes Programados por Día Hábil]]+Tabla5[[#This Row],[Trenes Programados por Día Hábil]]+Tabla6[[#This Row],[Trenes Programados por Día Hábil]]+MIT_Vic_Cap[[#This Row],[Trenes Programados por Día Hábil]]+Tabla8[[#This Row],[Trenes Programados por Día Hábil]]</f>
        <v>0</v>
      </c>
      <c r="G27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5" s="16">
        <f t="shared" si="139"/>
        <v>10508</v>
      </c>
      <c r="I275" s="16">
        <f t="shared" si="140"/>
        <v>737</v>
      </c>
      <c r="J275" s="16">
        <f t="shared" si="141"/>
        <v>9771</v>
      </c>
      <c r="K275" s="16">
        <f t="shared" si="142"/>
        <v>8320</v>
      </c>
      <c r="L275" s="16">
        <f t="shared" si="143"/>
        <v>1451</v>
      </c>
      <c r="M275" s="16"/>
      <c r="N275" s="17"/>
      <c r="O275" s="18">
        <v>2015</v>
      </c>
      <c r="P275" s="21" t="s">
        <v>41</v>
      </c>
      <c r="Q275" s="15">
        <f>+Tabla4[[#This Row],[Trenes Puntuales]]/Tabla4[[#This Row],[Trenes Programados]]</f>
        <v>0.88411633109619692</v>
      </c>
      <c r="R275" s="15">
        <f>+Tabla4[[#This Row],[Trenes Puntuales]]/Tabla4[[#This Row],[Trenes Corridos]]</f>
        <v>0.95</v>
      </c>
      <c r="S275" s="15">
        <f>+Tabla4[[#This Row],[Trenes Corridos]]/Tabla4[[#This Row],[Trenes Programados]]</f>
        <v>0.93064876957494402</v>
      </c>
      <c r="T275" s="16"/>
      <c r="U275" s="16"/>
      <c r="V275" s="16">
        <v>4470</v>
      </c>
      <c r="W275" s="16">
        <f t="shared" si="144"/>
        <v>310</v>
      </c>
      <c r="X275" s="16">
        <v>4160</v>
      </c>
      <c r="Y275" s="16">
        <v>3952</v>
      </c>
      <c r="Z275" s="16">
        <f t="shared" si="145"/>
        <v>208</v>
      </c>
      <c r="AA275" s="16"/>
      <c r="AB275" s="17"/>
      <c r="AC275" s="18">
        <v>2015</v>
      </c>
      <c r="AD275" s="21" t="s">
        <v>41</v>
      </c>
      <c r="AE275" s="15">
        <f>+Tabla5[[#This Row],[Trenes Puntuales]]/Tabla5[[#This Row],[Trenes Programados]]</f>
        <v>0.73515981735159819</v>
      </c>
      <c r="AF275" s="15">
        <f>+Tabla5[[#This Row],[Trenes Puntuales]]/Tabla5[[#This Row],[Trenes Corridos]]</f>
        <v>0.78895785690950671</v>
      </c>
      <c r="AG275" s="15">
        <f>+Tabla5[[#This Row],[Trenes Corridos]]/Tabla5[[#This Row],[Trenes Programados]]</f>
        <v>0.93181126331811259</v>
      </c>
      <c r="AH275" s="16"/>
      <c r="AI275" s="16"/>
      <c r="AJ275" s="16">
        <v>3285</v>
      </c>
      <c r="AK275" s="16">
        <f t="shared" si="146"/>
        <v>224</v>
      </c>
      <c r="AL275" s="16">
        <v>3061</v>
      </c>
      <c r="AM275" s="16">
        <v>2415</v>
      </c>
      <c r="AN275" s="16">
        <f t="shared" si="147"/>
        <v>646</v>
      </c>
      <c r="AO275" s="16"/>
      <c r="AP275" s="17"/>
      <c r="AQ275" s="18">
        <v>2015</v>
      </c>
      <c r="AR275" s="21" t="s">
        <v>41</v>
      </c>
      <c r="AS275" s="15">
        <f>+Tabla6[[#This Row],[Trenes Puntuales]]/Tabla6[[#This Row],[Trenes Programados]]</f>
        <v>0.75623529411764701</v>
      </c>
      <c r="AT275" s="15">
        <f>+Tabla6[[#This Row],[Trenes Puntuales]]/Tabla6[[#This Row],[Trenes Corridos]]</f>
        <v>0.80591775325977932</v>
      </c>
      <c r="AU275" s="15">
        <f>+Tabla6[[#This Row],[Trenes Corridos]]/Tabla6[[#This Row],[Trenes Programados]]</f>
        <v>0.93835294117647061</v>
      </c>
      <c r="AV275" s="16"/>
      <c r="AW275" s="16"/>
      <c r="AX275" s="16">
        <v>2125</v>
      </c>
      <c r="AY275" s="16">
        <f t="shared" si="148"/>
        <v>131</v>
      </c>
      <c r="AZ275" s="16">
        <v>1994</v>
      </c>
      <c r="BA275" s="16">
        <v>1607</v>
      </c>
      <c r="BB275" s="16">
        <f t="shared" si="149"/>
        <v>387</v>
      </c>
      <c r="BC275" s="16"/>
      <c r="BD275" s="17"/>
      <c r="BE275" s="18">
        <v>2015</v>
      </c>
      <c r="BF275" s="21" t="s">
        <v>41</v>
      </c>
      <c r="BG275" s="15">
        <f>+MIT_Vic_Cap[[#This Row],[Trenes Puntuales]]/MIT_Vic_Cap[[#This Row],[Trenes Programados]]</f>
        <v>0.6316964285714286</v>
      </c>
      <c r="BH275" s="15">
        <f>+MIT_Vic_Cap[[#This Row],[Trenes Puntuales]]/MIT_Vic_Cap[[#This Row],[Trenes Corridos]]</f>
        <v>0.72938144329896903</v>
      </c>
      <c r="BI275" s="15">
        <f>+MIT_Vic_Cap[[#This Row],[Trenes Corridos]]/MIT_Vic_Cap[[#This Row],[Trenes Programados]]</f>
        <v>0.8660714285714286</v>
      </c>
      <c r="BJ275" s="16"/>
      <c r="BK275" s="16"/>
      <c r="BL275" s="16">
        <v>448</v>
      </c>
      <c r="BM275" s="16">
        <f t="shared" si="150"/>
        <v>60</v>
      </c>
      <c r="BN275" s="16">
        <v>388</v>
      </c>
      <c r="BO275" s="16">
        <v>283</v>
      </c>
      <c r="BP275" s="16">
        <f t="shared" si="151"/>
        <v>105</v>
      </c>
      <c r="BQ275" s="16"/>
      <c r="BR275" s="17"/>
      <c r="BS275" s="18">
        <v>2015</v>
      </c>
      <c r="BT275" s="21" t="s">
        <v>41</v>
      </c>
      <c r="BU275" s="15">
        <f>+Tabla8[[#This Row],[Trenes Puntuales]]/Tabla8[[#This Row],[Trenes Programados]]</f>
        <v>0.35</v>
      </c>
      <c r="BV275" s="15">
        <f>+Tabla8[[#This Row],[Trenes Puntuales]]/Tabla8[[#This Row],[Trenes Corridos]]</f>
        <v>0.375</v>
      </c>
      <c r="BW275" s="15">
        <f>+Tabla8[[#This Row],[Trenes Corridos]]/Tabla8[[#This Row],[Trenes Programados]]</f>
        <v>0.93333333333333335</v>
      </c>
      <c r="BX275" s="16"/>
      <c r="BY275" s="16"/>
      <c r="BZ275" s="16">
        <v>180</v>
      </c>
      <c r="CA275" s="16">
        <f t="shared" si="152"/>
        <v>12</v>
      </c>
      <c r="CB275" s="16">
        <v>168</v>
      </c>
      <c r="CC275" s="16">
        <v>63</v>
      </c>
      <c r="CD275" s="16">
        <f t="shared" si="153"/>
        <v>105</v>
      </c>
      <c r="CI275" s="40"/>
      <c r="CJ275" s="40"/>
      <c r="CK275" s="40"/>
      <c r="CL275" s="40"/>
      <c r="CM275" s="40"/>
    </row>
    <row r="276" spans="1:91" s="18" customFormat="1" ht="15" customHeight="1">
      <c r="A276" s="18">
        <v>2015</v>
      </c>
      <c r="B276" s="21" t="s">
        <v>42</v>
      </c>
      <c r="C276" s="15">
        <f>+MITRE[[#This Row],[Trenes Puntuales]]/MITRE[[#This Row],[Trenes Programados]]</f>
        <v>0.85841848476479798</v>
      </c>
      <c r="D276" s="15">
        <f>+MITRE[[#This Row],[Trenes Puntuales]]/MITRE[[#This Row],[Trenes Corridos]]</f>
        <v>0.88497674860017084</v>
      </c>
      <c r="E276" s="15">
        <f>+MITRE[[#This Row],[Trenes Corridos]]/MITRE[[#This Row],[Trenes Programados]]</f>
        <v>0.96998987388382585</v>
      </c>
      <c r="F276" s="16">
        <f>+Tabla4[[#This Row],[Trenes Programados por Día Hábil]]+Tabla5[[#This Row],[Trenes Programados por Día Hábil]]+Tabla6[[#This Row],[Trenes Programados por Día Hábil]]+MIT_Vic_Cap[[#This Row],[Trenes Programados por Día Hábil]]+Tabla8[[#This Row],[Trenes Programados por Día Hábil]]</f>
        <v>0</v>
      </c>
      <c r="G27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6" s="16">
        <f t="shared" si="139"/>
        <v>10863</v>
      </c>
      <c r="I276" s="16">
        <f t="shared" si="140"/>
        <v>326</v>
      </c>
      <c r="J276" s="16">
        <f t="shared" si="141"/>
        <v>10537</v>
      </c>
      <c r="K276" s="16">
        <f t="shared" si="142"/>
        <v>9325</v>
      </c>
      <c r="L276" s="16">
        <f t="shared" si="143"/>
        <v>1212</v>
      </c>
      <c r="M276" s="16"/>
      <c r="N276" s="17"/>
      <c r="O276" s="18">
        <v>2015</v>
      </c>
      <c r="P276" s="21" t="s">
        <v>42</v>
      </c>
      <c r="Q276" s="15">
        <f>+Tabla4[[#This Row],[Trenes Puntuales]]/Tabla4[[#This Row],[Trenes Programados]]</f>
        <v>0.9104671280276817</v>
      </c>
      <c r="R276" s="15">
        <f>+Tabla4[[#This Row],[Trenes Puntuales]]/Tabla4[[#This Row],[Trenes Corridos]]</f>
        <v>0.94394618834080712</v>
      </c>
      <c r="S276" s="15">
        <f>+Tabla4[[#This Row],[Trenes Corridos]]/Tabla4[[#This Row],[Trenes Programados]]</f>
        <v>0.9645328719723183</v>
      </c>
      <c r="T276" s="16"/>
      <c r="U276" s="16"/>
      <c r="V276" s="16">
        <v>4624</v>
      </c>
      <c r="W276" s="16">
        <f t="shared" si="144"/>
        <v>164</v>
      </c>
      <c r="X276" s="16">
        <v>4460</v>
      </c>
      <c r="Y276" s="16">
        <v>4210</v>
      </c>
      <c r="Z276" s="16">
        <f t="shared" si="145"/>
        <v>250</v>
      </c>
      <c r="AA276" s="16"/>
      <c r="AB276" s="17"/>
      <c r="AC276" s="18">
        <v>2015</v>
      </c>
      <c r="AD276" s="21" t="s">
        <v>42</v>
      </c>
      <c r="AE276" s="15">
        <f>+Tabla5[[#This Row],[Trenes Puntuales]]/Tabla5[[#This Row],[Trenes Programados]]</f>
        <v>0.84103620841919335</v>
      </c>
      <c r="AF276" s="15">
        <f>+Tabla5[[#This Row],[Trenes Puntuales]]/Tabla5[[#This Row],[Trenes Corridos]]</f>
        <v>0.85847355769230771</v>
      </c>
      <c r="AG276" s="15">
        <f>+Tabla5[[#This Row],[Trenes Corridos]]/Tabla5[[#This Row],[Trenes Programados]]</f>
        <v>0.97968795996467473</v>
      </c>
      <c r="AH276" s="16"/>
      <c r="AI276" s="16"/>
      <c r="AJ276" s="16">
        <v>3397</v>
      </c>
      <c r="AK276" s="16">
        <f t="shared" si="146"/>
        <v>69</v>
      </c>
      <c r="AL276" s="16">
        <v>3328</v>
      </c>
      <c r="AM276" s="16">
        <v>2857</v>
      </c>
      <c r="AN276" s="16">
        <f t="shared" si="147"/>
        <v>471</v>
      </c>
      <c r="AO276" s="16"/>
      <c r="AP276" s="17"/>
      <c r="AQ276" s="18">
        <v>2015</v>
      </c>
      <c r="AR276" s="21" t="s">
        <v>42</v>
      </c>
      <c r="AS276" s="15">
        <f>+Tabla6[[#This Row],[Trenes Puntuales]]/Tabla6[[#This Row],[Trenes Programados]]</f>
        <v>0.85200364298724951</v>
      </c>
      <c r="AT276" s="15">
        <f>+Tabla6[[#This Row],[Trenes Puntuales]]/Tabla6[[#This Row],[Trenes Corridos]]</f>
        <v>0.87470780738662923</v>
      </c>
      <c r="AU276" s="15">
        <f>+Tabla6[[#This Row],[Trenes Corridos]]/Tabla6[[#This Row],[Trenes Programados]]</f>
        <v>0.97404371584699456</v>
      </c>
      <c r="AV276" s="16"/>
      <c r="AW276" s="16"/>
      <c r="AX276" s="16">
        <v>2196</v>
      </c>
      <c r="AY276" s="16">
        <f t="shared" si="148"/>
        <v>57</v>
      </c>
      <c r="AZ276" s="16">
        <v>2139</v>
      </c>
      <c r="BA276" s="16">
        <v>1871</v>
      </c>
      <c r="BB276" s="16">
        <f t="shared" si="149"/>
        <v>268</v>
      </c>
      <c r="BC276" s="16"/>
      <c r="BD276" s="17"/>
      <c r="BE276" s="18">
        <v>2015</v>
      </c>
      <c r="BF276" s="21" t="s">
        <v>42</v>
      </c>
      <c r="BG276" s="15">
        <f>+MIT_Vic_Cap[[#This Row],[Trenes Puntuales]]/MIT_Vic_Cap[[#This Row],[Trenes Programados]]</f>
        <v>0.66956521739130437</v>
      </c>
      <c r="BH276" s="15">
        <f>+MIT_Vic_Cap[[#This Row],[Trenes Puntuales]]/MIT_Vic_Cap[[#This Row],[Trenes Corridos]]</f>
        <v>0.71461716937354991</v>
      </c>
      <c r="BI276" s="15">
        <f>+MIT_Vic_Cap[[#This Row],[Trenes Corridos]]/MIT_Vic_Cap[[#This Row],[Trenes Programados]]</f>
        <v>0.93695652173913047</v>
      </c>
      <c r="BJ276" s="16"/>
      <c r="BK276" s="16"/>
      <c r="BL276" s="16">
        <v>460</v>
      </c>
      <c r="BM276" s="16">
        <f t="shared" si="150"/>
        <v>29</v>
      </c>
      <c r="BN276" s="16">
        <v>431</v>
      </c>
      <c r="BO276" s="16">
        <v>308</v>
      </c>
      <c r="BP276" s="16">
        <f t="shared" si="151"/>
        <v>123</v>
      </c>
      <c r="BQ276" s="16"/>
      <c r="BR276" s="17"/>
      <c r="BS276" s="18">
        <v>2015</v>
      </c>
      <c r="BT276" s="21" t="s">
        <v>42</v>
      </c>
      <c r="BU276" s="15">
        <f>+Tabla8[[#This Row],[Trenes Puntuales]]/Tabla8[[#This Row],[Trenes Programados]]</f>
        <v>0.42473118279569894</v>
      </c>
      <c r="BV276" s="15">
        <f>+Tabla8[[#This Row],[Trenes Puntuales]]/Tabla8[[#This Row],[Trenes Corridos]]</f>
        <v>0.44134078212290501</v>
      </c>
      <c r="BW276" s="15">
        <f>+Tabla8[[#This Row],[Trenes Corridos]]/Tabla8[[#This Row],[Trenes Programados]]</f>
        <v>0.9623655913978495</v>
      </c>
      <c r="BX276" s="16"/>
      <c r="BY276" s="16"/>
      <c r="BZ276" s="16">
        <v>186</v>
      </c>
      <c r="CA276" s="16">
        <f t="shared" si="152"/>
        <v>7</v>
      </c>
      <c r="CB276" s="16">
        <v>179</v>
      </c>
      <c r="CC276" s="16">
        <v>79</v>
      </c>
      <c r="CD276" s="16">
        <f t="shared" si="153"/>
        <v>100</v>
      </c>
      <c r="CI276" s="40"/>
      <c r="CJ276" s="40"/>
      <c r="CK276" s="40"/>
      <c r="CL276" s="40"/>
      <c r="CM276" s="40"/>
    </row>
    <row r="277" spans="1:91" s="18" customFormat="1" ht="15" customHeight="1">
      <c r="A277" s="18">
        <v>2015</v>
      </c>
      <c r="B277" s="21" t="s">
        <v>43</v>
      </c>
      <c r="C277" s="15">
        <f>+MITRE[[#This Row],[Trenes Puntuales]]/MITRE[[#This Row],[Trenes Programados]]</f>
        <v>0.8449583718778908</v>
      </c>
      <c r="D277" s="15">
        <f>+MITRE[[#This Row],[Trenes Puntuales]]/MITRE[[#This Row],[Trenes Corridos]]</f>
        <v>0.87574304889741128</v>
      </c>
      <c r="E277" s="15">
        <f>+MITRE[[#This Row],[Trenes Corridos]]/MITRE[[#This Row],[Trenes Programados]]</f>
        <v>0.96484736355226641</v>
      </c>
      <c r="F277" s="16">
        <f>+Tabla4[[#This Row],[Trenes Programados por Día Hábil]]+Tabla5[[#This Row],[Trenes Programados por Día Hábil]]+Tabla6[[#This Row],[Trenes Programados por Día Hábil]]+MIT_Vic_Cap[[#This Row],[Trenes Programados por Día Hábil]]+Tabla8[[#This Row],[Trenes Programados por Día Hábil]]</f>
        <v>0</v>
      </c>
      <c r="G27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7" s="16">
        <f t="shared" si="139"/>
        <v>10810</v>
      </c>
      <c r="I277" s="16">
        <f t="shared" si="140"/>
        <v>380</v>
      </c>
      <c r="J277" s="16">
        <f t="shared" si="141"/>
        <v>10430</v>
      </c>
      <c r="K277" s="16">
        <f t="shared" si="142"/>
        <v>9134</v>
      </c>
      <c r="L277" s="16">
        <f t="shared" si="143"/>
        <v>1296</v>
      </c>
      <c r="M277" s="16"/>
      <c r="N277" s="17"/>
      <c r="O277" s="18">
        <v>2015</v>
      </c>
      <c r="P277" s="21" t="s">
        <v>43</v>
      </c>
      <c r="Q277" s="15">
        <f>+Tabla4[[#This Row],[Trenes Puntuales]]/Tabla4[[#This Row],[Trenes Programados]]</f>
        <v>0.93578580757509799</v>
      </c>
      <c r="R277" s="15">
        <f>+Tabla4[[#This Row],[Trenes Puntuales]]/Tabla4[[#This Row],[Trenes Corridos]]</f>
        <v>0.95831475702184576</v>
      </c>
      <c r="S277" s="15">
        <f>+Tabla4[[#This Row],[Trenes Corridos]]/Tabla4[[#This Row],[Trenes Programados]]</f>
        <v>0.97649107531562906</v>
      </c>
      <c r="T277" s="16"/>
      <c r="U277" s="16"/>
      <c r="V277" s="16">
        <v>4594</v>
      </c>
      <c r="W277" s="16">
        <f t="shared" si="144"/>
        <v>108</v>
      </c>
      <c r="X277" s="16">
        <v>4486</v>
      </c>
      <c r="Y277" s="16">
        <v>4299</v>
      </c>
      <c r="Z277" s="16">
        <f t="shared" si="145"/>
        <v>187</v>
      </c>
      <c r="AA277" s="16"/>
      <c r="AB277" s="17"/>
      <c r="AC277" s="18">
        <v>2015</v>
      </c>
      <c r="AD277" s="21" t="s">
        <v>43</v>
      </c>
      <c r="AE277" s="15">
        <f>+Tabla5[[#This Row],[Trenes Puntuales]]/Tabla5[[#This Row],[Trenes Programados]]</f>
        <v>0.8039621525724423</v>
      </c>
      <c r="AF277" s="15">
        <f>+Tabla5[[#This Row],[Trenes Puntuales]]/Tabla5[[#This Row],[Trenes Corridos]]</f>
        <v>0.81725278028253678</v>
      </c>
      <c r="AG277" s="15">
        <f>+Tabla5[[#This Row],[Trenes Corridos]]/Tabla5[[#This Row],[Trenes Programados]]</f>
        <v>0.9837374334713187</v>
      </c>
      <c r="AH277" s="16"/>
      <c r="AI277" s="16"/>
      <c r="AJ277" s="16">
        <v>3382</v>
      </c>
      <c r="AK277" s="16">
        <f t="shared" si="146"/>
        <v>55</v>
      </c>
      <c r="AL277" s="16">
        <v>3327</v>
      </c>
      <c r="AM277" s="16">
        <v>2719</v>
      </c>
      <c r="AN277" s="16">
        <f t="shared" si="147"/>
        <v>608</v>
      </c>
      <c r="AO277" s="16"/>
      <c r="AP277" s="17"/>
      <c r="AQ277" s="18">
        <v>2015</v>
      </c>
      <c r="AR277" s="21" t="s">
        <v>43</v>
      </c>
      <c r="AS277" s="15">
        <f>+Tabla6[[#This Row],[Trenes Puntuales]]/Tabla6[[#This Row],[Trenes Programados]]</f>
        <v>0.85200364298724951</v>
      </c>
      <c r="AT277" s="15">
        <f>+Tabla6[[#This Row],[Trenes Puntuales]]/Tabla6[[#This Row],[Trenes Corridos]]</f>
        <v>0.87470780738662923</v>
      </c>
      <c r="AU277" s="15">
        <f>+Tabla6[[#This Row],[Trenes Corridos]]/Tabla6[[#This Row],[Trenes Programados]]</f>
        <v>0.97404371584699456</v>
      </c>
      <c r="AV277" s="16"/>
      <c r="AW277" s="16"/>
      <c r="AX277" s="16">
        <v>2196</v>
      </c>
      <c r="AY277" s="16">
        <f t="shared" si="148"/>
        <v>57</v>
      </c>
      <c r="AZ277" s="16">
        <v>2139</v>
      </c>
      <c r="BA277" s="16">
        <v>1871</v>
      </c>
      <c r="BB277" s="16">
        <f t="shared" si="149"/>
        <v>268</v>
      </c>
      <c r="BC277" s="16"/>
      <c r="BD277" s="17"/>
      <c r="BE277" s="18">
        <v>2015</v>
      </c>
      <c r="BF277" s="21" t="s">
        <v>43</v>
      </c>
      <c r="BG277" s="15">
        <f>+MIT_Vic_Cap[[#This Row],[Trenes Puntuales]]/MIT_Vic_Cap[[#This Row],[Trenes Programados]]</f>
        <v>0.3915929203539823</v>
      </c>
      <c r="BH277" s="15">
        <f>+MIT_Vic_Cap[[#This Row],[Trenes Puntuales]]/MIT_Vic_Cap[[#This Row],[Trenes Corridos]]</f>
        <v>0.56190476190476191</v>
      </c>
      <c r="BI277" s="15">
        <f>+MIT_Vic_Cap[[#This Row],[Trenes Corridos]]/MIT_Vic_Cap[[#This Row],[Trenes Programados]]</f>
        <v>0.69690265486725667</v>
      </c>
      <c r="BJ277" s="16"/>
      <c r="BK277" s="16"/>
      <c r="BL277" s="16">
        <v>452</v>
      </c>
      <c r="BM277" s="16">
        <f t="shared" si="150"/>
        <v>137</v>
      </c>
      <c r="BN277" s="16">
        <v>315</v>
      </c>
      <c r="BO277" s="16">
        <v>177</v>
      </c>
      <c r="BP277" s="16">
        <f t="shared" si="151"/>
        <v>138</v>
      </c>
      <c r="BQ277" s="16"/>
      <c r="BR277" s="17"/>
      <c r="BS277" s="18">
        <v>2015</v>
      </c>
      <c r="BT277" s="21" t="s">
        <v>43</v>
      </c>
      <c r="BU277" s="15">
        <f>+Tabla8[[#This Row],[Trenes Puntuales]]/Tabla8[[#This Row],[Trenes Programados]]</f>
        <v>0.36559139784946237</v>
      </c>
      <c r="BV277" s="15">
        <f>+Tabla8[[#This Row],[Trenes Puntuales]]/Tabla8[[#This Row],[Trenes Corridos]]</f>
        <v>0.41717791411042943</v>
      </c>
      <c r="BW277" s="15">
        <f>+Tabla8[[#This Row],[Trenes Corridos]]/Tabla8[[#This Row],[Trenes Programados]]</f>
        <v>0.87634408602150538</v>
      </c>
      <c r="BX277" s="16"/>
      <c r="BY277" s="16"/>
      <c r="BZ277" s="16">
        <v>186</v>
      </c>
      <c r="CA277" s="16">
        <f t="shared" si="152"/>
        <v>23</v>
      </c>
      <c r="CB277" s="16">
        <v>163</v>
      </c>
      <c r="CC277" s="16">
        <v>68</v>
      </c>
      <c r="CD277" s="16">
        <f t="shared" si="153"/>
        <v>95</v>
      </c>
      <c r="CI277" s="40"/>
      <c r="CJ277" s="40"/>
      <c r="CK277" s="40"/>
      <c r="CL277" s="40"/>
      <c r="CM277" s="40"/>
    </row>
    <row r="278" spans="1:91" s="18" customFormat="1" ht="15" customHeight="1">
      <c r="A278" s="18">
        <v>2015</v>
      </c>
      <c r="B278" s="21" t="s">
        <v>44</v>
      </c>
      <c r="C278" s="15">
        <f>+MITRE[[#This Row],[Trenes Puntuales]]/MITRE[[#This Row],[Trenes Programados]]</f>
        <v>0.89065757058935002</v>
      </c>
      <c r="D278" s="15">
        <f>+MITRE[[#This Row],[Trenes Puntuales]]/MITRE[[#This Row],[Trenes Corridos]]</f>
        <v>0.91049980627663696</v>
      </c>
      <c r="E278" s="15">
        <f>+MITRE[[#This Row],[Trenes Corridos]]/MITRE[[#This Row],[Trenes Programados]]</f>
        <v>0.97820731476217548</v>
      </c>
      <c r="F278" s="16">
        <f>+Tabla4[[#This Row],[Trenes Programados por Día Hábil]]+Tabla5[[#This Row],[Trenes Programados por Día Hábil]]+Tabla6[[#This Row],[Trenes Programados por Día Hábil]]+MIT_Vic_Cap[[#This Row],[Trenes Programados por Día Hábil]]+Tabla8[[#This Row],[Trenes Programados por Día Hábil]]</f>
        <v>0</v>
      </c>
      <c r="G27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8" s="16">
        <f t="shared" si="139"/>
        <v>10554</v>
      </c>
      <c r="I278" s="16">
        <f t="shared" si="140"/>
        <v>230</v>
      </c>
      <c r="J278" s="16">
        <f t="shared" si="141"/>
        <v>10324</v>
      </c>
      <c r="K278" s="16">
        <f t="shared" si="142"/>
        <v>9400</v>
      </c>
      <c r="L278" s="16">
        <f t="shared" si="143"/>
        <v>924</v>
      </c>
      <c r="M278" s="16"/>
      <c r="N278" s="17"/>
      <c r="O278" s="18">
        <v>2015</v>
      </c>
      <c r="P278" s="21" t="s">
        <v>44</v>
      </c>
      <c r="Q278" s="15">
        <f>+Tabla4[[#This Row],[Trenes Puntuales]]/Tabla4[[#This Row],[Trenes Programados]]</f>
        <v>0.95933333333333337</v>
      </c>
      <c r="R278" s="15">
        <f>+Tabla4[[#This Row],[Trenes Puntuales]]/Tabla4[[#This Row],[Trenes Corridos]]</f>
        <v>0.9712035995500562</v>
      </c>
      <c r="S278" s="15">
        <f>+Tabla4[[#This Row],[Trenes Corridos]]/Tabla4[[#This Row],[Trenes Programados]]</f>
        <v>0.98777777777777775</v>
      </c>
      <c r="T278" s="16"/>
      <c r="U278" s="16"/>
      <c r="V278" s="16">
        <v>4500</v>
      </c>
      <c r="W278" s="16">
        <f t="shared" si="144"/>
        <v>55</v>
      </c>
      <c r="X278" s="16">
        <v>4445</v>
      </c>
      <c r="Y278" s="16">
        <v>4317</v>
      </c>
      <c r="Z278" s="16">
        <f t="shared" si="145"/>
        <v>128</v>
      </c>
      <c r="AA278" s="16"/>
      <c r="AB278" s="17"/>
      <c r="AC278" s="18">
        <v>2015</v>
      </c>
      <c r="AD278" s="21" t="s">
        <v>44</v>
      </c>
      <c r="AE278" s="15">
        <f>+Tabla5[[#This Row],[Trenes Puntuales]]/Tabla5[[#This Row],[Trenes Programados]]</f>
        <v>0.85030303030303034</v>
      </c>
      <c r="AF278" s="15">
        <f>+Tabla5[[#This Row],[Trenes Puntuales]]/Tabla5[[#This Row],[Trenes Corridos]]</f>
        <v>0.8708876474239603</v>
      </c>
      <c r="AG278" s="15">
        <f>+Tabla5[[#This Row],[Trenes Corridos]]/Tabla5[[#This Row],[Trenes Programados]]</f>
        <v>0.97636363636363632</v>
      </c>
      <c r="AH278" s="16"/>
      <c r="AI278" s="16"/>
      <c r="AJ278" s="16">
        <v>3300</v>
      </c>
      <c r="AK278" s="16">
        <f t="shared" si="146"/>
        <v>78</v>
      </c>
      <c r="AL278" s="16">
        <v>3222</v>
      </c>
      <c r="AM278" s="16">
        <v>2806</v>
      </c>
      <c r="AN278" s="16">
        <f t="shared" si="147"/>
        <v>416</v>
      </c>
      <c r="AO278" s="16"/>
      <c r="AP278" s="17"/>
      <c r="AQ278" s="18">
        <v>2015</v>
      </c>
      <c r="AR278" s="21" t="s">
        <v>44</v>
      </c>
      <c r="AS278" s="15">
        <f>+Tabla6[[#This Row],[Trenes Puntuales]]/Tabla6[[#This Row],[Trenes Programados]]</f>
        <v>0.88852304797742243</v>
      </c>
      <c r="AT278" s="15">
        <f>+Tabla6[[#This Row],[Trenes Puntuales]]/Tabla6[[#This Row],[Trenes Corridos]]</f>
        <v>0.90512697652132246</v>
      </c>
      <c r="AU278" s="15">
        <f>+Tabla6[[#This Row],[Trenes Corridos]]/Tabla6[[#This Row],[Trenes Programados]]</f>
        <v>0.98165569143932263</v>
      </c>
      <c r="AV278" s="16"/>
      <c r="AW278" s="16"/>
      <c r="AX278" s="16">
        <v>2126</v>
      </c>
      <c r="AY278" s="16">
        <f t="shared" si="148"/>
        <v>39</v>
      </c>
      <c r="AZ278" s="16">
        <v>2087</v>
      </c>
      <c r="BA278" s="16">
        <v>1889</v>
      </c>
      <c r="BB278" s="16">
        <f t="shared" si="149"/>
        <v>198</v>
      </c>
      <c r="BC278" s="16"/>
      <c r="BD278" s="17"/>
      <c r="BE278" s="18">
        <v>2015</v>
      </c>
      <c r="BF278" s="21" t="s">
        <v>44</v>
      </c>
      <c r="BG278" s="15">
        <f>+MIT_Vic_Cap[[#This Row],[Trenes Puntuales]]/MIT_Vic_Cap[[#This Row],[Trenes Programados]]</f>
        <v>0.6584821428571429</v>
      </c>
      <c r="BH278" s="15">
        <f>+MIT_Vic_Cap[[#This Row],[Trenes Puntuales]]/MIT_Vic_Cap[[#This Row],[Trenes Corridos]]</f>
        <v>0.74494949494949492</v>
      </c>
      <c r="BI278" s="15">
        <f>+MIT_Vic_Cap[[#This Row],[Trenes Corridos]]/MIT_Vic_Cap[[#This Row],[Trenes Programados]]</f>
        <v>0.8839285714285714</v>
      </c>
      <c r="BJ278" s="16"/>
      <c r="BK278" s="16"/>
      <c r="BL278" s="16">
        <v>448</v>
      </c>
      <c r="BM278" s="16">
        <f t="shared" si="150"/>
        <v>52</v>
      </c>
      <c r="BN278" s="16">
        <v>396</v>
      </c>
      <c r="BO278" s="16">
        <v>295</v>
      </c>
      <c r="BP278" s="16">
        <f t="shared" si="151"/>
        <v>101</v>
      </c>
      <c r="BQ278" s="16"/>
      <c r="BR278" s="17"/>
      <c r="BS278" s="18">
        <v>2015</v>
      </c>
      <c r="BT278" s="21" t="s">
        <v>44</v>
      </c>
      <c r="BU278" s="15">
        <f>+Tabla8[[#This Row],[Trenes Puntuales]]/Tabla8[[#This Row],[Trenes Programados]]</f>
        <v>0.51666666666666672</v>
      </c>
      <c r="BV278" s="15">
        <f>+Tabla8[[#This Row],[Trenes Puntuales]]/Tabla8[[#This Row],[Trenes Corridos]]</f>
        <v>0.53448275862068961</v>
      </c>
      <c r="BW278" s="15">
        <f>+Tabla8[[#This Row],[Trenes Corridos]]/Tabla8[[#This Row],[Trenes Programados]]</f>
        <v>0.96666666666666667</v>
      </c>
      <c r="BX278" s="16"/>
      <c r="BY278" s="16"/>
      <c r="BZ278" s="16">
        <v>180</v>
      </c>
      <c r="CA278" s="16">
        <f t="shared" si="152"/>
        <v>6</v>
      </c>
      <c r="CB278" s="16">
        <v>174</v>
      </c>
      <c r="CC278" s="16">
        <v>93</v>
      </c>
      <c r="CD278" s="16">
        <f t="shared" si="153"/>
        <v>81</v>
      </c>
      <c r="CI278" s="40"/>
      <c r="CJ278" s="40"/>
      <c r="CK278" s="40"/>
      <c r="CL278" s="40"/>
      <c r="CM278" s="40"/>
    </row>
    <row r="279" spans="1:91" s="18" customFormat="1" ht="15" customHeight="1">
      <c r="A279" s="18">
        <v>2015</v>
      </c>
      <c r="B279" s="21" t="s">
        <v>45</v>
      </c>
      <c r="C279" s="15">
        <f>+MITRE[[#This Row],[Trenes Puntuales]]/MITRE[[#This Row],[Trenes Programados]]</f>
        <v>0.86822760686087663</v>
      </c>
      <c r="D279" s="15">
        <f>+MITRE[[#This Row],[Trenes Puntuales]]/MITRE[[#This Row],[Trenes Corridos]]</f>
        <v>0.89236078723999623</v>
      </c>
      <c r="E279" s="15">
        <f>+MITRE[[#This Row],[Trenes Corridos]]/MITRE[[#This Row],[Trenes Programados]]</f>
        <v>0.972955803611943</v>
      </c>
      <c r="F279" s="16">
        <f>+Tabla4[[#This Row],[Trenes Programados por Día Hábil]]+Tabla5[[#This Row],[Trenes Programados por Día Hábil]]+Tabla6[[#This Row],[Trenes Programados por Día Hábil]]+MIT_Vic_Cap[[#This Row],[Trenes Programados por Día Hábil]]+Tabla8[[#This Row],[Trenes Programados por Día Hábil]]</f>
        <v>0</v>
      </c>
      <c r="G27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9" s="16">
        <f t="shared" si="139"/>
        <v>11019</v>
      </c>
      <c r="I279" s="16">
        <f t="shared" si="140"/>
        <v>298</v>
      </c>
      <c r="J279" s="16">
        <f t="shared" si="141"/>
        <v>10721</v>
      </c>
      <c r="K279" s="16">
        <f t="shared" si="142"/>
        <v>9567</v>
      </c>
      <c r="L279" s="16">
        <f t="shared" si="143"/>
        <v>1154</v>
      </c>
      <c r="M279" s="16"/>
      <c r="N279" s="17"/>
      <c r="O279" s="18">
        <v>2015</v>
      </c>
      <c r="P279" s="21" t="s">
        <v>45</v>
      </c>
      <c r="Q279" s="15">
        <f>+Tabla4[[#This Row],[Trenes Puntuales]]/Tabla4[[#This Row],[Trenes Programados]]</f>
        <v>0.96907439446366783</v>
      </c>
      <c r="R279" s="15">
        <f>+Tabla4[[#This Row],[Trenes Puntuales]]/Tabla4[[#This Row],[Trenes Corridos]]</f>
        <v>0.98310662571303198</v>
      </c>
      <c r="S279" s="15">
        <f>+Tabla4[[#This Row],[Trenes Corridos]]/Tabla4[[#This Row],[Trenes Programados]]</f>
        <v>0.98572664359861595</v>
      </c>
      <c r="T279" s="16"/>
      <c r="U279" s="16"/>
      <c r="V279" s="16">
        <v>4624</v>
      </c>
      <c r="W279" s="16">
        <f t="shared" si="144"/>
        <v>66</v>
      </c>
      <c r="X279" s="16">
        <v>4558</v>
      </c>
      <c r="Y279" s="16">
        <v>4481</v>
      </c>
      <c r="Z279" s="16">
        <f t="shared" si="145"/>
        <v>77</v>
      </c>
      <c r="AA279" s="16"/>
      <c r="AB279" s="17"/>
      <c r="AC279" s="18">
        <v>2015</v>
      </c>
      <c r="AD279" s="21" t="s">
        <v>45</v>
      </c>
      <c r="AE279" s="15">
        <f>+Tabla5[[#This Row],[Trenes Puntuales]]/Tabla5[[#This Row],[Trenes Programados]]</f>
        <v>0.82955549013835739</v>
      </c>
      <c r="AF279" s="15">
        <f>+Tabla5[[#This Row],[Trenes Puntuales]]/Tabla5[[#This Row],[Trenes Corridos]]</f>
        <v>0.84573829531812728</v>
      </c>
      <c r="AG279" s="15">
        <f>+Tabla5[[#This Row],[Trenes Corridos]]/Tabla5[[#This Row],[Trenes Programados]]</f>
        <v>0.98086546953193998</v>
      </c>
      <c r="AH279" s="16"/>
      <c r="AI279" s="16"/>
      <c r="AJ279" s="16">
        <v>3397</v>
      </c>
      <c r="AK279" s="16">
        <f t="shared" si="146"/>
        <v>65</v>
      </c>
      <c r="AL279" s="16">
        <v>3332</v>
      </c>
      <c r="AM279" s="16">
        <v>2818</v>
      </c>
      <c r="AN279" s="16">
        <f t="shared" si="147"/>
        <v>514</v>
      </c>
      <c r="AO279" s="16"/>
      <c r="AP279" s="17"/>
      <c r="AQ279" s="18">
        <v>2015</v>
      </c>
      <c r="AR279" s="21" t="s">
        <v>45</v>
      </c>
      <c r="AS279" s="15">
        <f>+Tabla6[[#This Row],[Trenes Puntuales]]/Tabla6[[#This Row],[Trenes Programados]]</f>
        <v>0.85200364298724951</v>
      </c>
      <c r="AT279" s="15">
        <f>+Tabla6[[#This Row],[Trenes Puntuales]]/Tabla6[[#This Row],[Trenes Corridos]]</f>
        <v>0.87881634570220757</v>
      </c>
      <c r="AU279" s="15">
        <f>+Tabla6[[#This Row],[Trenes Corridos]]/Tabla6[[#This Row],[Trenes Programados]]</f>
        <v>0.96948998178506374</v>
      </c>
      <c r="AV279" s="16"/>
      <c r="AW279" s="16"/>
      <c r="AX279" s="16">
        <v>2196</v>
      </c>
      <c r="AY279" s="16">
        <f t="shared" si="148"/>
        <v>67</v>
      </c>
      <c r="AZ279" s="16">
        <v>2129</v>
      </c>
      <c r="BA279" s="16">
        <v>1871</v>
      </c>
      <c r="BB279" s="16">
        <f t="shared" si="149"/>
        <v>258</v>
      </c>
      <c r="BC279" s="16"/>
      <c r="BD279" s="17"/>
      <c r="BE279" s="18">
        <v>2015</v>
      </c>
      <c r="BF279" s="21" t="s">
        <v>45</v>
      </c>
      <c r="BG279" s="15">
        <f>+MIT_Vic_Cap[[#This Row],[Trenes Puntuales]]/MIT_Vic_Cap[[#This Row],[Trenes Programados]]</f>
        <v>0.52110389610389607</v>
      </c>
      <c r="BH279" s="15">
        <f>+MIT_Vic_Cap[[#This Row],[Trenes Puntuales]]/MIT_Vic_Cap[[#This Row],[Trenes Corridos]]</f>
        <v>0.61494252873563215</v>
      </c>
      <c r="BI279" s="15">
        <f>+MIT_Vic_Cap[[#This Row],[Trenes Corridos]]/MIT_Vic_Cap[[#This Row],[Trenes Programados]]</f>
        <v>0.84740259740259738</v>
      </c>
      <c r="BJ279" s="16"/>
      <c r="BK279" s="16"/>
      <c r="BL279" s="16">
        <v>616</v>
      </c>
      <c r="BM279" s="16">
        <f t="shared" si="150"/>
        <v>94</v>
      </c>
      <c r="BN279" s="16">
        <v>522</v>
      </c>
      <c r="BO279" s="16">
        <v>321</v>
      </c>
      <c r="BP279" s="16">
        <f t="shared" si="151"/>
        <v>201</v>
      </c>
      <c r="BQ279" s="16"/>
      <c r="BR279" s="17"/>
      <c r="BS279" s="18">
        <v>2015</v>
      </c>
      <c r="BT279" s="21" t="s">
        <v>45</v>
      </c>
      <c r="BU279" s="15">
        <f>+Tabla8[[#This Row],[Trenes Puntuales]]/Tabla8[[#This Row],[Trenes Programados]]</f>
        <v>0.40860215053763443</v>
      </c>
      <c r="BV279" s="15">
        <f>+Tabla8[[#This Row],[Trenes Puntuales]]/Tabla8[[#This Row],[Trenes Corridos]]</f>
        <v>0.42222222222222222</v>
      </c>
      <c r="BW279" s="15">
        <f>+Tabla8[[#This Row],[Trenes Corridos]]/Tabla8[[#This Row],[Trenes Programados]]</f>
        <v>0.967741935483871</v>
      </c>
      <c r="BX279" s="16"/>
      <c r="BY279" s="16"/>
      <c r="BZ279" s="16">
        <v>186</v>
      </c>
      <c r="CA279" s="16">
        <f t="shared" si="152"/>
        <v>6</v>
      </c>
      <c r="CB279" s="16">
        <v>180</v>
      </c>
      <c r="CC279" s="16">
        <v>76</v>
      </c>
      <c r="CD279" s="16">
        <f t="shared" si="153"/>
        <v>104</v>
      </c>
      <c r="CI279" s="40"/>
      <c r="CJ279" s="40"/>
      <c r="CK279" s="40"/>
      <c r="CL279" s="40"/>
      <c r="CM279" s="40"/>
    </row>
    <row r="280" spans="1:91" s="18" customFormat="1" ht="15" customHeight="1">
      <c r="A280" s="18">
        <v>2015</v>
      </c>
      <c r="B280" s="21" t="s">
        <v>46</v>
      </c>
      <c r="C280" s="15">
        <f>+MITRE[[#This Row],[Trenes Puntuales]]/MITRE[[#This Row],[Trenes Programados]]</f>
        <v>0.8284930051354702</v>
      </c>
      <c r="D280" s="15">
        <f>+MITRE[[#This Row],[Trenes Puntuales]]/MITRE[[#This Row],[Trenes Corridos]]</f>
        <v>0.86679018063918478</v>
      </c>
      <c r="E280" s="15">
        <f>+MITRE[[#This Row],[Trenes Corridos]]/MITRE[[#This Row],[Trenes Programados]]</f>
        <v>0.95581724809633428</v>
      </c>
      <c r="F280" s="16">
        <f>+Tabla4[[#This Row],[Trenes Programados por Día Hábil]]+Tabla5[[#This Row],[Trenes Programados por Día Hábil]]+Tabla6[[#This Row],[Trenes Programados por Día Hábil]]+MIT_Vic_Cap[[#This Row],[Trenes Programados por Día Hábil]]+Tabla8[[#This Row],[Trenes Programados por Día Hábil]]</f>
        <v>0</v>
      </c>
      <c r="G28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0" s="16">
        <f t="shared" si="139"/>
        <v>11294</v>
      </c>
      <c r="I280" s="16">
        <f t="shared" si="140"/>
        <v>499</v>
      </c>
      <c r="J280" s="16">
        <f t="shared" si="141"/>
        <v>10795</v>
      </c>
      <c r="K280" s="16">
        <f t="shared" si="142"/>
        <v>9357</v>
      </c>
      <c r="L280" s="16">
        <f t="shared" si="143"/>
        <v>1438</v>
      </c>
      <c r="M280" s="16"/>
      <c r="N280" s="17"/>
      <c r="O280" s="18">
        <v>2015</v>
      </c>
      <c r="P280" s="21" t="s">
        <v>46</v>
      </c>
      <c r="Q280" s="15">
        <f>+Tabla4[[#This Row],[Trenes Puntuales]]/Tabla4[[#This Row],[Trenes Programados]]</f>
        <v>0.8915515840779854</v>
      </c>
      <c r="R280" s="15">
        <f>+Tabla4[[#This Row],[Trenes Puntuales]]/Tabla4[[#This Row],[Trenes Corridos]]</f>
        <v>0.94327460249247963</v>
      </c>
      <c r="S280" s="15">
        <f>+Tabla4[[#This Row],[Trenes Corridos]]/Tabla4[[#This Row],[Trenes Programados]]</f>
        <v>0.94516653127538586</v>
      </c>
      <c r="T280" s="16"/>
      <c r="U280" s="16"/>
      <c r="V280" s="16">
        <v>4924</v>
      </c>
      <c r="W280" s="16">
        <f t="shared" si="144"/>
        <v>270</v>
      </c>
      <c r="X280" s="16">
        <v>4654</v>
      </c>
      <c r="Y280" s="16">
        <v>4390</v>
      </c>
      <c r="Z280" s="16">
        <f t="shared" si="145"/>
        <v>264</v>
      </c>
      <c r="AA280" s="16"/>
      <c r="AB280" s="17"/>
      <c r="AC280" s="18">
        <v>2015</v>
      </c>
      <c r="AD280" s="21" t="s">
        <v>46</v>
      </c>
      <c r="AE280" s="15">
        <f>+Tabla5[[#This Row],[Trenes Puntuales]]/Tabla5[[#This Row],[Trenes Programados]]</f>
        <v>0.82969946965232766</v>
      </c>
      <c r="AF280" s="15">
        <f>+Tabla5[[#This Row],[Trenes Puntuales]]/Tabla5[[#This Row],[Trenes Corridos]]</f>
        <v>0.84793736826257149</v>
      </c>
      <c r="AG280" s="15">
        <f>+Tabla5[[#This Row],[Trenes Corridos]]/Tabla5[[#This Row],[Trenes Programados]]</f>
        <v>0.97849145550972305</v>
      </c>
      <c r="AH280" s="16"/>
      <c r="AI280" s="16"/>
      <c r="AJ280" s="16">
        <v>3394</v>
      </c>
      <c r="AK280" s="16">
        <f t="shared" si="146"/>
        <v>73</v>
      </c>
      <c r="AL280" s="16">
        <v>3321</v>
      </c>
      <c r="AM280" s="16">
        <v>2816</v>
      </c>
      <c r="AN280" s="16">
        <f t="shared" si="147"/>
        <v>505</v>
      </c>
      <c r="AO280" s="16"/>
      <c r="AP280" s="17"/>
      <c r="AQ280" s="18">
        <v>2015</v>
      </c>
      <c r="AR280" s="21" t="s">
        <v>46</v>
      </c>
      <c r="AS280" s="15">
        <f>+Tabla6[[#This Row],[Trenes Puntuales]]/Tabla6[[#This Row],[Trenes Programados]]</f>
        <v>0.79082568807339448</v>
      </c>
      <c r="AT280" s="15">
        <f>+Tabla6[[#This Row],[Trenes Puntuales]]/Tabla6[[#This Row],[Trenes Corridos]]</f>
        <v>0.81435994331601325</v>
      </c>
      <c r="AU280" s="15">
        <f>+Tabla6[[#This Row],[Trenes Corridos]]/Tabla6[[#This Row],[Trenes Programados]]</f>
        <v>0.97110091743119265</v>
      </c>
      <c r="AV280" s="16"/>
      <c r="AW280" s="16"/>
      <c r="AX280" s="16">
        <v>2180</v>
      </c>
      <c r="AY280" s="16">
        <f t="shared" si="148"/>
        <v>63</v>
      </c>
      <c r="AZ280" s="16">
        <v>2117</v>
      </c>
      <c r="BA280" s="16">
        <v>1724</v>
      </c>
      <c r="BB280" s="16">
        <f t="shared" si="149"/>
        <v>393</v>
      </c>
      <c r="BC280" s="16"/>
      <c r="BD280" s="17"/>
      <c r="BE280" s="18">
        <v>2015</v>
      </c>
      <c r="BF280" s="21" t="s">
        <v>46</v>
      </c>
      <c r="BG280" s="15">
        <f>+MIT_Vic_Cap[[#This Row],[Trenes Puntuales]]/MIT_Vic_Cap[[#This Row],[Trenes Programados]]</f>
        <v>0.57305194805194803</v>
      </c>
      <c r="BH280" s="15">
        <f>+MIT_Vic_Cap[[#This Row],[Trenes Puntuales]]/MIT_Vic_Cap[[#This Row],[Trenes Corridos]]</f>
        <v>0.67110266159695819</v>
      </c>
      <c r="BI280" s="15">
        <f>+MIT_Vic_Cap[[#This Row],[Trenes Corridos]]/MIT_Vic_Cap[[#This Row],[Trenes Programados]]</f>
        <v>0.85389610389610393</v>
      </c>
      <c r="BJ280" s="16"/>
      <c r="BK280" s="16"/>
      <c r="BL280" s="16">
        <v>616</v>
      </c>
      <c r="BM280" s="16">
        <f t="shared" si="150"/>
        <v>90</v>
      </c>
      <c r="BN280" s="16">
        <v>526</v>
      </c>
      <c r="BO280" s="16">
        <v>353</v>
      </c>
      <c r="BP280" s="16">
        <f t="shared" si="151"/>
        <v>173</v>
      </c>
      <c r="BQ280" s="16"/>
      <c r="BR280" s="17"/>
      <c r="BS280" s="18">
        <v>2015</v>
      </c>
      <c r="BT280" s="21" t="s">
        <v>46</v>
      </c>
      <c r="BU280" s="15">
        <f>+Tabla8[[#This Row],[Trenes Puntuales]]/Tabla8[[#This Row],[Trenes Programados]]</f>
        <v>0.41111111111111109</v>
      </c>
      <c r="BV280" s="15">
        <f>+Tabla8[[#This Row],[Trenes Puntuales]]/Tabla8[[#This Row],[Trenes Corridos]]</f>
        <v>0.41807909604519772</v>
      </c>
      <c r="BW280" s="15">
        <f>+Tabla8[[#This Row],[Trenes Corridos]]/Tabla8[[#This Row],[Trenes Programados]]</f>
        <v>0.98333333333333328</v>
      </c>
      <c r="BX280" s="16"/>
      <c r="BY280" s="16"/>
      <c r="BZ280" s="16">
        <v>180</v>
      </c>
      <c r="CA280" s="16">
        <f t="shared" si="152"/>
        <v>3</v>
      </c>
      <c r="CB280" s="16">
        <v>177</v>
      </c>
      <c r="CC280" s="16">
        <v>74</v>
      </c>
      <c r="CD280" s="16">
        <f t="shared" si="153"/>
        <v>103</v>
      </c>
      <c r="CI280" s="40"/>
      <c r="CJ280" s="40"/>
      <c r="CK280" s="40"/>
      <c r="CL280" s="40"/>
      <c r="CM280" s="40"/>
    </row>
    <row r="281" spans="1:91" s="18" customFormat="1" ht="15" customHeight="1">
      <c r="A281" s="18">
        <v>2015</v>
      </c>
      <c r="B281" s="21" t="s">
        <v>47</v>
      </c>
      <c r="C281" s="15">
        <f>+MITRE[[#This Row],[Trenes Puntuales]]/MITRE[[#This Row],[Trenes Programados]]</f>
        <v>0.83832688099646524</v>
      </c>
      <c r="D281" s="15">
        <f>+MITRE[[#This Row],[Trenes Puntuales]]/MITRE[[#This Row],[Trenes Corridos]]</f>
        <v>0.89368383276511754</v>
      </c>
      <c r="E281" s="15">
        <f>+MITRE[[#This Row],[Trenes Corridos]]/MITRE[[#This Row],[Trenes Programados]]</f>
        <v>0.93805756606631885</v>
      </c>
      <c r="F281" s="16">
        <f>+Tabla4[[#This Row],[Trenes Programados por Día Hábil]]+Tabla5[[#This Row],[Trenes Programados por Día Hábil]]+Tabla6[[#This Row],[Trenes Programados por Día Hábil]]+MIT_Vic_Cap[[#This Row],[Trenes Programados por Día Hábil]]+Tabla8[[#This Row],[Trenes Programados por Día Hábil]]</f>
        <v>0</v>
      </c>
      <c r="G28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1" s="16">
        <f t="shared" si="139"/>
        <v>11882</v>
      </c>
      <c r="I281" s="16">
        <f t="shared" si="140"/>
        <v>736</v>
      </c>
      <c r="J281" s="16">
        <f t="shared" si="141"/>
        <v>11146</v>
      </c>
      <c r="K281" s="16">
        <f t="shared" si="142"/>
        <v>9961</v>
      </c>
      <c r="L281" s="16">
        <f t="shared" si="143"/>
        <v>1185</v>
      </c>
      <c r="M281" s="16"/>
      <c r="N281" s="17"/>
      <c r="O281" s="18">
        <v>2015</v>
      </c>
      <c r="P281" s="21" t="s">
        <v>47</v>
      </c>
      <c r="Q281" s="15">
        <f>+Tabla4[[#This Row],[Trenes Puntuales]]/Tabla4[[#This Row],[Trenes Programados]]</f>
        <v>0.86275257338924893</v>
      </c>
      <c r="R281" s="15">
        <f>+Tabla4[[#This Row],[Trenes Puntuales]]/Tabla4[[#This Row],[Trenes Corridos]]</f>
        <v>0.93300350443207591</v>
      </c>
      <c r="S281" s="15">
        <f>+Tabla4[[#This Row],[Trenes Corridos]]/Tabla4[[#This Row],[Trenes Programados]]</f>
        <v>0.92470453678993514</v>
      </c>
      <c r="T281" s="16"/>
      <c r="U281" s="16"/>
      <c r="V281" s="16">
        <v>5246</v>
      </c>
      <c r="W281" s="16">
        <f t="shared" si="144"/>
        <v>395</v>
      </c>
      <c r="X281" s="16">
        <v>4851</v>
      </c>
      <c r="Y281" s="16">
        <v>4526</v>
      </c>
      <c r="Z281" s="16">
        <f t="shared" si="145"/>
        <v>325</v>
      </c>
      <c r="AA281" s="16"/>
      <c r="AB281" s="17"/>
      <c r="AC281" s="18">
        <v>2015</v>
      </c>
      <c r="AD281" s="21" t="s">
        <v>47</v>
      </c>
      <c r="AE281" s="15">
        <f>+Tabla5[[#This Row],[Trenes Puntuales]]/Tabla5[[#This Row],[Trenes Programados]]</f>
        <v>0.85976297968397286</v>
      </c>
      <c r="AF281" s="15">
        <f>+Tabla5[[#This Row],[Trenes Puntuales]]/Tabla5[[#This Row],[Trenes Corridos]]</f>
        <v>0.88859725867599881</v>
      </c>
      <c r="AG281" s="15">
        <f>+Tabla5[[#This Row],[Trenes Corridos]]/Tabla5[[#This Row],[Trenes Programados]]</f>
        <v>0.96755079006772005</v>
      </c>
      <c r="AH281" s="16"/>
      <c r="AI281" s="16"/>
      <c r="AJ281" s="16">
        <v>3544</v>
      </c>
      <c r="AK281" s="16">
        <f t="shared" si="146"/>
        <v>115</v>
      </c>
      <c r="AL281" s="16">
        <v>3429</v>
      </c>
      <c r="AM281" s="16">
        <v>3047</v>
      </c>
      <c r="AN281" s="16">
        <f t="shared" si="147"/>
        <v>382</v>
      </c>
      <c r="AO281" s="16"/>
      <c r="AP281" s="17"/>
      <c r="AQ281" s="18">
        <v>2015</v>
      </c>
      <c r="AR281" s="21" t="s">
        <v>47</v>
      </c>
      <c r="AS281" s="15">
        <f>+Tabla6[[#This Row],[Trenes Puntuales]]/Tabla6[[#This Row],[Trenes Programados]]</f>
        <v>0.87411971830985913</v>
      </c>
      <c r="AT281" s="15">
        <f>+Tabla6[[#This Row],[Trenes Puntuales]]/Tabla6[[#This Row],[Trenes Corridos]]</f>
        <v>0.89864253393665161</v>
      </c>
      <c r="AU281" s="15">
        <f>+Tabla6[[#This Row],[Trenes Corridos]]/Tabla6[[#This Row],[Trenes Programados]]</f>
        <v>0.97271126760563376</v>
      </c>
      <c r="AV281" s="16"/>
      <c r="AW281" s="16"/>
      <c r="AX281" s="16">
        <v>2272</v>
      </c>
      <c r="AY281" s="16">
        <f t="shared" si="148"/>
        <v>62</v>
      </c>
      <c r="AZ281" s="16">
        <v>2210</v>
      </c>
      <c r="BA281" s="16">
        <v>1986</v>
      </c>
      <c r="BB281" s="16">
        <f t="shared" si="149"/>
        <v>224</v>
      </c>
      <c r="BC281" s="16"/>
      <c r="BD281" s="17"/>
      <c r="BE281" s="18">
        <v>2015</v>
      </c>
      <c r="BF281" s="21" t="s">
        <v>47</v>
      </c>
      <c r="BG281" s="15">
        <f>+MIT_Vic_Cap[[#This Row],[Trenes Puntuales]]/MIT_Vic_Cap[[#This Row],[Trenes Programados]]</f>
        <v>0.52365930599369082</v>
      </c>
      <c r="BH281" s="15">
        <f>+MIT_Vic_Cap[[#This Row],[Trenes Puntuales]]/MIT_Vic_Cap[[#This Row],[Trenes Corridos]]</f>
        <v>0.69456066945606698</v>
      </c>
      <c r="BI281" s="15">
        <f>+MIT_Vic_Cap[[#This Row],[Trenes Corridos]]/MIT_Vic_Cap[[#This Row],[Trenes Programados]]</f>
        <v>0.75394321766561512</v>
      </c>
      <c r="BJ281" s="16"/>
      <c r="BK281" s="16"/>
      <c r="BL281" s="16">
        <v>634</v>
      </c>
      <c r="BM281" s="16">
        <f t="shared" si="150"/>
        <v>156</v>
      </c>
      <c r="BN281" s="16">
        <v>478</v>
      </c>
      <c r="BO281" s="16">
        <v>332</v>
      </c>
      <c r="BP281" s="16">
        <f t="shared" si="151"/>
        <v>146</v>
      </c>
      <c r="BQ281" s="16"/>
      <c r="BR281" s="17"/>
      <c r="BS281" s="18">
        <v>2015</v>
      </c>
      <c r="BT281" s="21" t="s">
        <v>47</v>
      </c>
      <c r="BU281" s="15">
        <f>+Tabla8[[#This Row],[Trenes Puntuales]]/Tabla8[[#This Row],[Trenes Programados]]</f>
        <v>0.37634408602150538</v>
      </c>
      <c r="BV281" s="15">
        <f>+Tabla8[[#This Row],[Trenes Puntuales]]/Tabla8[[#This Row],[Trenes Corridos]]</f>
        <v>0.39325842696629215</v>
      </c>
      <c r="BW281" s="15">
        <f>+Tabla8[[#This Row],[Trenes Corridos]]/Tabla8[[#This Row],[Trenes Programados]]</f>
        <v>0.956989247311828</v>
      </c>
      <c r="BX281" s="16"/>
      <c r="BY281" s="16"/>
      <c r="BZ281" s="16">
        <v>186</v>
      </c>
      <c r="CA281" s="16">
        <f t="shared" si="152"/>
        <v>8</v>
      </c>
      <c r="CB281" s="16">
        <v>178</v>
      </c>
      <c r="CC281" s="16">
        <v>70</v>
      </c>
      <c r="CD281" s="16">
        <f t="shared" si="153"/>
        <v>108</v>
      </c>
      <c r="CI281" s="40"/>
      <c r="CJ281" s="40"/>
      <c r="CK281" s="40"/>
      <c r="CL281" s="40"/>
      <c r="CM281" s="40"/>
    </row>
    <row r="282" spans="1:91" s="18" customFormat="1" ht="15" customHeight="1">
      <c r="A282" s="18">
        <v>2016</v>
      </c>
      <c r="B282" s="21" t="s">
        <v>36</v>
      </c>
      <c r="C282" s="15">
        <f>+MITRE[[#This Row],[Trenes Puntuales]]/MITRE[[#This Row],[Trenes Programados]]</f>
        <v>0.81137951350896387</v>
      </c>
      <c r="D282" s="15">
        <f>+MITRE[[#This Row],[Trenes Puntuales]]/MITRE[[#This Row],[Trenes Corridos]]</f>
        <v>0.91844512195121952</v>
      </c>
      <c r="E282" s="15">
        <f>+MITRE[[#This Row],[Trenes Corridos]]/MITRE[[#This Row],[Trenes Programados]]</f>
        <v>0.88342732093258147</v>
      </c>
      <c r="F282" s="16">
        <f>+Tabla4[[#This Row],[Trenes Programados por Día Hábil]]+Tabla5[[#This Row],[Trenes Programados por Día Hábil]]+Tabla6[[#This Row],[Trenes Programados por Día Hábil]]+MIT_Vic_Cap[[#This Row],[Trenes Programados por Día Hábil]]+Tabla8[[#This Row],[Trenes Programados por Día Hábil]]</f>
        <v>0</v>
      </c>
      <c r="G28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2" s="16">
        <f t="shared" si="139"/>
        <v>11881</v>
      </c>
      <c r="I282" s="16">
        <f t="shared" si="140"/>
        <v>1385</v>
      </c>
      <c r="J282" s="16">
        <f t="shared" si="141"/>
        <v>10496</v>
      </c>
      <c r="K282" s="16">
        <f t="shared" si="142"/>
        <v>9640</v>
      </c>
      <c r="L282" s="16">
        <f t="shared" si="143"/>
        <v>856</v>
      </c>
      <c r="M282" s="16"/>
      <c r="N282" s="17"/>
      <c r="O282" s="18">
        <v>2016</v>
      </c>
      <c r="P282" s="21" t="s">
        <v>36</v>
      </c>
      <c r="Q282" s="15">
        <f>+Tabla4[[#This Row],[Trenes Puntuales]]/Tabla4[[#This Row],[Trenes Programados]]</f>
        <v>0.84388105223027066</v>
      </c>
      <c r="R282" s="15">
        <f>+Tabla4[[#This Row],[Trenes Puntuales]]/Tabla4[[#This Row],[Trenes Corridos]]</f>
        <v>0.95615550755939527</v>
      </c>
      <c r="S282" s="15">
        <f>+Tabla4[[#This Row],[Trenes Corridos]]/Tabla4[[#This Row],[Trenes Programados]]</f>
        <v>0.88257720167746856</v>
      </c>
      <c r="T282" s="16"/>
      <c r="U282" s="16"/>
      <c r="V282" s="16">
        <v>5246</v>
      </c>
      <c r="W282" s="16">
        <f t="shared" ref="W282:W293" si="154">V282-X282</f>
        <v>616</v>
      </c>
      <c r="X282" s="16">
        <v>4630</v>
      </c>
      <c r="Y282" s="16">
        <v>4427</v>
      </c>
      <c r="Z282" s="16">
        <f t="shared" ref="Z282:Z293" si="155">X282-Y282</f>
        <v>203</v>
      </c>
      <c r="AA282" s="16"/>
      <c r="AB282" s="17"/>
      <c r="AC282" s="18">
        <v>2016</v>
      </c>
      <c r="AD282" s="21" t="s">
        <v>36</v>
      </c>
      <c r="AE282" s="15">
        <f>+Tabla5[[#This Row],[Trenes Puntuales]]/Tabla5[[#This Row],[Trenes Programados]]</f>
        <v>0.84650112866817151</v>
      </c>
      <c r="AF282" s="15">
        <f>+Tabla5[[#This Row],[Trenes Puntuales]]/Tabla5[[#This Row],[Trenes Corridos]]</f>
        <v>0.93023255813953487</v>
      </c>
      <c r="AG282" s="15">
        <f>+Tabla5[[#This Row],[Trenes Corridos]]/Tabla5[[#This Row],[Trenes Programados]]</f>
        <v>0.90998871331828446</v>
      </c>
      <c r="AH282" s="16"/>
      <c r="AI282" s="16"/>
      <c r="AJ282" s="16">
        <v>3544</v>
      </c>
      <c r="AK282" s="16">
        <f t="shared" ref="AK282:AK293" si="156">AJ282-AL282</f>
        <v>319</v>
      </c>
      <c r="AL282" s="16">
        <v>3225</v>
      </c>
      <c r="AM282" s="16">
        <v>3000</v>
      </c>
      <c r="AN282" s="16">
        <f t="shared" ref="AN282:AN293" si="157">AL282-AM282</f>
        <v>225</v>
      </c>
      <c r="AO282" s="16"/>
      <c r="AP282" s="17"/>
      <c r="AQ282" s="18">
        <v>2016</v>
      </c>
      <c r="AR282" s="21" t="s">
        <v>36</v>
      </c>
      <c r="AS282" s="15">
        <f>+Tabla6[[#This Row],[Trenes Puntuales]]/Tabla6[[#This Row],[Trenes Programados]]</f>
        <v>0.78125</v>
      </c>
      <c r="AT282" s="15">
        <f>+Tabla6[[#This Row],[Trenes Puntuales]]/Tabla6[[#This Row],[Trenes Corridos]]</f>
        <v>0.91025641025641024</v>
      </c>
      <c r="AU282" s="15">
        <f>+Tabla6[[#This Row],[Trenes Corridos]]/Tabla6[[#This Row],[Trenes Programados]]</f>
        <v>0.85827464788732399</v>
      </c>
      <c r="AV282" s="16"/>
      <c r="AW282" s="16"/>
      <c r="AX282" s="16">
        <v>2272</v>
      </c>
      <c r="AY282" s="16">
        <f t="shared" ref="AY282:AY293" si="158">AX282-AZ282</f>
        <v>322</v>
      </c>
      <c r="AZ282" s="16">
        <v>1950</v>
      </c>
      <c r="BA282" s="16">
        <v>1775</v>
      </c>
      <c r="BB282" s="16">
        <f t="shared" ref="BB282:BB293" si="159">AZ282-BA282</f>
        <v>175</v>
      </c>
      <c r="BC282" s="16"/>
      <c r="BD282" s="17"/>
      <c r="BE282" s="18">
        <v>2016</v>
      </c>
      <c r="BF282" s="21" t="s">
        <v>36</v>
      </c>
      <c r="BG282" s="15">
        <f>+MIT_Vic_Cap[[#This Row],[Trenes Puntuales]]/MIT_Vic_Cap[[#This Row],[Trenes Programados]]</f>
        <v>0.56398104265402849</v>
      </c>
      <c r="BH282" s="15">
        <f>+MIT_Vic_Cap[[#This Row],[Trenes Puntuales]]/MIT_Vic_Cap[[#This Row],[Trenes Corridos]]</f>
        <v>0.69320388349514561</v>
      </c>
      <c r="BI282" s="15">
        <f>+MIT_Vic_Cap[[#This Row],[Trenes Corridos]]/MIT_Vic_Cap[[#This Row],[Trenes Programados]]</f>
        <v>0.81358609794628756</v>
      </c>
      <c r="BJ282" s="16"/>
      <c r="BK282" s="16"/>
      <c r="BL282" s="16">
        <v>633</v>
      </c>
      <c r="BM282" s="16">
        <f t="shared" ref="BM282:BM293" si="160">BL282-BN282</f>
        <v>118</v>
      </c>
      <c r="BN282" s="16">
        <v>515</v>
      </c>
      <c r="BO282" s="16">
        <v>357</v>
      </c>
      <c r="BP282" s="16">
        <f t="shared" ref="BP282:BP293" si="161">BN282-BO282</f>
        <v>158</v>
      </c>
      <c r="BQ282" s="16"/>
      <c r="BR282" s="17"/>
      <c r="BS282" s="18">
        <v>2016</v>
      </c>
      <c r="BT282" s="21" t="s">
        <v>36</v>
      </c>
      <c r="BU282" s="15">
        <f>+Tabla8[[#This Row],[Trenes Puntuales]]/Tabla8[[#This Row],[Trenes Programados]]</f>
        <v>0.43548387096774194</v>
      </c>
      <c r="BV282" s="15">
        <f>+Tabla8[[#This Row],[Trenes Puntuales]]/Tabla8[[#This Row],[Trenes Corridos]]</f>
        <v>0.46022727272727271</v>
      </c>
      <c r="BW282" s="15">
        <f>+Tabla8[[#This Row],[Trenes Corridos]]/Tabla8[[#This Row],[Trenes Programados]]</f>
        <v>0.94623655913978499</v>
      </c>
      <c r="BX282" s="16"/>
      <c r="BY282" s="16"/>
      <c r="BZ282" s="16">
        <v>186</v>
      </c>
      <c r="CA282" s="16">
        <f t="shared" ref="CA282:CA293" si="162">BZ282-CB282</f>
        <v>10</v>
      </c>
      <c r="CB282" s="16">
        <v>176</v>
      </c>
      <c r="CC282" s="16">
        <v>81</v>
      </c>
      <c r="CD282" s="16">
        <f t="shared" ref="CD282:CD293" si="163">CB282-CC282</f>
        <v>95</v>
      </c>
      <c r="CI282" s="40"/>
      <c r="CJ282" s="40"/>
      <c r="CK282" s="40"/>
      <c r="CL282" s="40"/>
      <c r="CM282" s="40"/>
    </row>
    <row r="283" spans="1:91" s="18" customFormat="1" ht="15" customHeight="1">
      <c r="A283" s="18">
        <v>2016</v>
      </c>
      <c r="B283" s="21" t="s">
        <v>37</v>
      </c>
      <c r="C283" s="15">
        <f>+MITRE[[#This Row],[Trenes Puntuales]]/MITRE[[#This Row],[Trenes Programados]]</f>
        <v>0.87810026385224271</v>
      </c>
      <c r="D283" s="15">
        <f>+MITRE[[#This Row],[Trenes Puntuales]]/MITRE[[#This Row],[Trenes Corridos]]</f>
        <v>0.90879300928454398</v>
      </c>
      <c r="E283" s="15">
        <f>+MITRE[[#This Row],[Trenes Corridos]]/MITRE[[#This Row],[Trenes Programados]]</f>
        <v>0.96622691292875984</v>
      </c>
      <c r="F283" s="16">
        <f>+Tabla4[[#This Row],[Trenes Programados por Día Hábil]]+Tabla5[[#This Row],[Trenes Programados por Día Hábil]]+Tabla6[[#This Row],[Trenes Programados por Día Hábil]]+MIT_Vic_Cap[[#This Row],[Trenes Programados por Día Hábil]]+Tabla8[[#This Row],[Trenes Programados por Día Hábil]]</f>
        <v>0</v>
      </c>
      <c r="G28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3" s="16">
        <f t="shared" si="139"/>
        <v>9475</v>
      </c>
      <c r="I283" s="16">
        <f t="shared" si="140"/>
        <v>320</v>
      </c>
      <c r="J283" s="16">
        <f t="shared" si="141"/>
        <v>9155</v>
      </c>
      <c r="K283" s="16">
        <f t="shared" si="142"/>
        <v>8320</v>
      </c>
      <c r="L283" s="16">
        <f t="shared" si="143"/>
        <v>835</v>
      </c>
      <c r="M283" s="16"/>
      <c r="N283" s="17"/>
      <c r="O283" s="18">
        <v>2016</v>
      </c>
      <c r="P283" s="21" t="s">
        <v>37</v>
      </c>
      <c r="Q283" s="15">
        <f>+Tabla4[[#This Row],[Trenes Puntuales]]/Tabla4[[#This Row],[Trenes Programados]]</f>
        <v>0.91568535091851155</v>
      </c>
      <c r="R283" s="15">
        <f>+Tabla4[[#This Row],[Trenes Puntuales]]/Tabla4[[#This Row],[Trenes Corridos]]</f>
        <v>0.93867696764847897</v>
      </c>
      <c r="S283" s="15">
        <f>+Tabla4[[#This Row],[Trenes Corridos]]/Tabla4[[#This Row],[Trenes Programados]]</f>
        <v>0.97550635892604809</v>
      </c>
      <c r="T283" s="16"/>
      <c r="U283" s="16"/>
      <c r="V283" s="16">
        <v>4246</v>
      </c>
      <c r="W283" s="16">
        <f t="shared" si="154"/>
        <v>104</v>
      </c>
      <c r="X283" s="16">
        <v>4142</v>
      </c>
      <c r="Y283" s="16">
        <v>3888</v>
      </c>
      <c r="Z283" s="16">
        <f t="shared" si="155"/>
        <v>254</v>
      </c>
      <c r="AA283" s="16"/>
      <c r="AB283" s="17"/>
      <c r="AC283" s="18">
        <v>2016</v>
      </c>
      <c r="AD283" s="21" t="s">
        <v>37</v>
      </c>
      <c r="AE283" s="15">
        <f>+Tabla5[[#This Row],[Trenes Puntuales]]/Tabla5[[#This Row],[Trenes Programados]]</f>
        <v>0.91249562478123902</v>
      </c>
      <c r="AF283" s="15">
        <f>+Tabla5[[#This Row],[Trenes Puntuales]]/Tabla5[[#This Row],[Trenes Corridos]]</f>
        <v>0.91892844554106445</v>
      </c>
      <c r="AG283" s="15">
        <f>+Tabla5[[#This Row],[Trenes Corridos]]/Tabla5[[#This Row],[Trenes Programados]]</f>
        <v>0.99299964998249912</v>
      </c>
      <c r="AH283" s="16"/>
      <c r="AI283" s="16"/>
      <c r="AJ283" s="16">
        <v>2857</v>
      </c>
      <c r="AK283" s="16">
        <f t="shared" si="156"/>
        <v>20</v>
      </c>
      <c r="AL283" s="16">
        <v>2837</v>
      </c>
      <c r="AM283" s="16">
        <v>2607</v>
      </c>
      <c r="AN283" s="16">
        <f t="shared" si="157"/>
        <v>230</v>
      </c>
      <c r="AO283" s="16"/>
      <c r="AP283" s="17"/>
      <c r="AQ283" s="18">
        <v>2016</v>
      </c>
      <c r="AR283" s="21" t="s">
        <v>37</v>
      </c>
      <c r="AS283" s="15">
        <f>+Tabla6[[#This Row],[Trenes Puntuales]]/Tabla6[[#This Row],[Trenes Programados]]</f>
        <v>0.89650872817955107</v>
      </c>
      <c r="AT283" s="15">
        <f>+Tabla6[[#This Row],[Trenes Puntuales]]/Tabla6[[#This Row],[Trenes Corridos]]</f>
        <v>0.91012658227848098</v>
      </c>
      <c r="AU283" s="15">
        <f>+Tabla6[[#This Row],[Trenes Corridos]]/Tabla6[[#This Row],[Trenes Programados]]</f>
        <v>0.98503740648379057</v>
      </c>
      <c r="AV283" s="16"/>
      <c r="AW283" s="16"/>
      <c r="AX283" s="16">
        <v>1604</v>
      </c>
      <c r="AY283" s="16">
        <f t="shared" si="158"/>
        <v>24</v>
      </c>
      <c r="AZ283" s="16">
        <v>1580</v>
      </c>
      <c r="BA283" s="16">
        <v>1438</v>
      </c>
      <c r="BB283" s="16">
        <f t="shared" si="159"/>
        <v>142</v>
      </c>
      <c r="BC283" s="16"/>
      <c r="BD283" s="17"/>
      <c r="BE283" s="18">
        <v>2016</v>
      </c>
      <c r="BF283" s="21" t="s">
        <v>37</v>
      </c>
      <c r="BG283" s="15">
        <f>+MIT_Vic_Cap[[#This Row],[Trenes Puntuales]]/MIT_Vic_Cap[[#This Row],[Trenes Programados]]</f>
        <v>0.53703703703703709</v>
      </c>
      <c r="BH283" s="15">
        <f>+MIT_Vic_Cap[[#This Row],[Trenes Puntuales]]/MIT_Vic_Cap[[#This Row],[Trenes Corridos]]</f>
        <v>0.73333333333333328</v>
      </c>
      <c r="BI283" s="15">
        <f>+MIT_Vic_Cap[[#This Row],[Trenes Corridos]]/MIT_Vic_Cap[[#This Row],[Trenes Programados]]</f>
        <v>0.73232323232323238</v>
      </c>
      <c r="BJ283" s="16"/>
      <c r="BK283" s="16"/>
      <c r="BL283" s="16">
        <v>594</v>
      </c>
      <c r="BM283" s="16">
        <f t="shared" si="160"/>
        <v>159</v>
      </c>
      <c r="BN283" s="16">
        <v>435</v>
      </c>
      <c r="BO283" s="16">
        <v>319</v>
      </c>
      <c r="BP283" s="16">
        <f t="shared" si="161"/>
        <v>116</v>
      </c>
      <c r="BQ283" s="16"/>
      <c r="BR283" s="17"/>
      <c r="BS283" s="18">
        <v>2016</v>
      </c>
      <c r="BT283" s="21" t="s">
        <v>37</v>
      </c>
      <c r="BU283" s="15">
        <f>+Tabla8[[#This Row],[Trenes Puntuales]]/Tabla8[[#This Row],[Trenes Programados]]</f>
        <v>0.39080459770114945</v>
      </c>
      <c r="BV283" s="15">
        <f>+Tabla8[[#This Row],[Trenes Puntuales]]/Tabla8[[#This Row],[Trenes Corridos]]</f>
        <v>0.42236024844720499</v>
      </c>
      <c r="BW283" s="15">
        <f>+Tabla8[[#This Row],[Trenes Corridos]]/Tabla8[[#This Row],[Trenes Programados]]</f>
        <v>0.92528735632183912</v>
      </c>
      <c r="BX283" s="16"/>
      <c r="BY283" s="16"/>
      <c r="BZ283" s="16">
        <v>174</v>
      </c>
      <c r="CA283" s="16">
        <f t="shared" si="162"/>
        <v>13</v>
      </c>
      <c r="CB283" s="16">
        <v>161</v>
      </c>
      <c r="CC283" s="16">
        <v>68</v>
      </c>
      <c r="CD283" s="16">
        <f t="shared" si="163"/>
        <v>93</v>
      </c>
      <c r="CI283" s="40"/>
      <c r="CJ283" s="40"/>
      <c r="CK283" s="40"/>
      <c r="CL283" s="40"/>
      <c r="CM283" s="40"/>
    </row>
    <row r="284" spans="1:91" s="18" customFormat="1" ht="15" customHeight="1">
      <c r="A284" s="18">
        <v>2016</v>
      </c>
      <c r="B284" s="21" t="s">
        <v>38</v>
      </c>
      <c r="C284" s="15">
        <f>+MITRE[[#This Row],[Trenes Puntuales]]/MITRE[[#This Row],[Trenes Programados]]</f>
        <v>0.88892692110217353</v>
      </c>
      <c r="D284" s="15">
        <f>+MITRE[[#This Row],[Trenes Puntuales]]/MITRE[[#This Row],[Trenes Corridos]]</f>
        <v>0.92157558552164653</v>
      </c>
      <c r="E284" s="15">
        <f>+MITRE[[#This Row],[Trenes Corridos]]/MITRE[[#This Row],[Trenes Programados]]</f>
        <v>0.96457299332534652</v>
      </c>
      <c r="F284" s="16">
        <f>+Tabla4[[#This Row],[Trenes Programados por Día Hábil]]+Tabla5[[#This Row],[Trenes Programados por Día Hábil]]+Tabla6[[#This Row],[Trenes Programados por Día Hábil]]+MIT_Vic_Cap[[#This Row],[Trenes Programados por Día Hábil]]+Tabla8[[#This Row],[Trenes Programados por Día Hábil]]</f>
        <v>0</v>
      </c>
      <c r="G28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4" s="16">
        <f t="shared" si="139"/>
        <v>11686</v>
      </c>
      <c r="I284" s="16">
        <f t="shared" si="140"/>
        <v>414</v>
      </c>
      <c r="J284" s="16">
        <f t="shared" si="141"/>
        <v>11272</v>
      </c>
      <c r="K284" s="16">
        <f t="shared" si="142"/>
        <v>10388</v>
      </c>
      <c r="L284" s="16">
        <f t="shared" si="143"/>
        <v>884</v>
      </c>
      <c r="M284" s="16"/>
      <c r="N284" s="17"/>
      <c r="O284" s="18">
        <v>2016</v>
      </c>
      <c r="P284" s="21" t="s">
        <v>38</v>
      </c>
      <c r="Q284" s="15">
        <f>+Tabla4[[#This Row],[Trenes Puntuales]]/Tabla4[[#This Row],[Trenes Programados]]</f>
        <v>0.9457661290322581</v>
      </c>
      <c r="R284" s="15">
        <f>+Tabla4[[#This Row],[Trenes Puntuales]]/Tabla4[[#This Row],[Trenes Corridos]]</f>
        <v>0.96661858644137644</v>
      </c>
      <c r="S284" s="15">
        <f>+Tabla4[[#This Row],[Trenes Corridos]]/Tabla4[[#This Row],[Trenes Programados]]</f>
        <v>0.97842741935483868</v>
      </c>
      <c r="T284" s="16"/>
      <c r="U284" s="16"/>
      <c r="V284" s="16">
        <v>4960</v>
      </c>
      <c r="W284" s="16">
        <f t="shared" si="154"/>
        <v>107</v>
      </c>
      <c r="X284" s="16">
        <v>4853</v>
      </c>
      <c r="Y284" s="16">
        <v>4691</v>
      </c>
      <c r="Z284" s="16">
        <f t="shared" si="155"/>
        <v>162</v>
      </c>
      <c r="AA284" s="16"/>
      <c r="AB284" s="17"/>
      <c r="AC284" s="18">
        <v>2016</v>
      </c>
      <c r="AD284" s="21" t="s">
        <v>38</v>
      </c>
      <c r="AE284" s="15">
        <f>+Tabla5[[#This Row],[Trenes Puntuales]]/Tabla5[[#This Row],[Trenes Programados]]</f>
        <v>0.88443877551020411</v>
      </c>
      <c r="AF284" s="15">
        <f>+Tabla5[[#This Row],[Trenes Puntuales]]/Tabla5[[#This Row],[Trenes Corridos]]</f>
        <v>0.90973497769614275</v>
      </c>
      <c r="AG284" s="15">
        <f>+Tabla5[[#This Row],[Trenes Corridos]]/Tabla5[[#This Row],[Trenes Programados]]</f>
        <v>0.97219387755102038</v>
      </c>
      <c r="AH284" s="16"/>
      <c r="AI284" s="16"/>
      <c r="AJ284" s="16">
        <v>3920</v>
      </c>
      <c r="AK284" s="16">
        <f t="shared" si="156"/>
        <v>109</v>
      </c>
      <c r="AL284" s="16">
        <v>3811</v>
      </c>
      <c r="AM284" s="16">
        <v>3467</v>
      </c>
      <c r="AN284" s="16">
        <f t="shared" si="157"/>
        <v>344</v>
      </c>
      <c r="AO284" s="16"/>
      <c r="AP284" s="17"/>
      <c r="AQ284" s="18">
        <v>2016</v>
      </c>
      <c r="AR284" s="21" t="s">
        <v>38</v>
      </c>
      <c r="AS284" s="15">
        <f>+Tabla6[[#This Row],[Trenes Puntuales]]/Tabla6[[#This Row],[Trenes Programados]]</f>
        <v>0.89707366296670032</v>
      </c>
      <c r="AT284" s="15">
        <f>+Tabla6[[#This Row],[Trenes Puntuales]]/Tabla6[[#This Row],[Trenes Corridos]]</f>
        <v>0.91649484536082471</v>
      </c>
      <c r="AU284" s="15">
        <f>+Tabla6[[#This Row],[Trenes Corridos]]/Tabla6[[#This Row],[Trenes Programados]]</f>
        <v>0.97880928355196772</v>
      </c>
      <c r="AV284" s="16"/>
      <c r="AW284" s="16"/>
      <c r="AX284" s="16">
        <v>1982</v>
      </c>
      <c r="AY284" s="16">
        <f t="shared" si="158"/>
        <v>42</v>
      </c>
      <c r="AZ284" s="16">
        <v>1940</v>
      </c>
      <c r="BA284" s="16">
        <v>1778</v>
      </c>
      <c r="BB284" s="16">
        <f t="shared" si="159"/>
        <v>162</v>
      </c>
      <c r="BC284" s="16"/>
      <c r="BD284" s="17"/>
      <c r="BE284" s="18">
        <v>2016</v>
      </c>
      <c r="BF284" s="21" t="s">
        <v>38</v>
      </c>
      <c r="BG284" s="15">
        <f>+MIT_Vic_Cap[[#This Row],[Trenes Puntuales]]/MIT_Vic_Cap[[#This Row],[Trenes Programados]]</f>
        <v>0.55642633228840122</v>
      </c>
      <c r="BH284" s="15">
        <f>+MIT_Vic_Cap[[#This Row],[Trenes Puntuales]]/MIT_Vic_Cap[[#This Row],[Trenes Corridos]]</f>
        <v>0.72895277207392195</v>
      </c>
      <c r="BI284" s="15">
        <f>+MIT_Vic_Cap[[#This Row],[Trenes Corridos]]/MIT_Vic_Cap[[#This Row],[Trenes Programados]]</f>
        <v>0.76332288401253923</v>
      </c>
      <c r="BJ284" s="16"/>
      <c r="BK284" s="16"/>
      <c r="BL284" s="16">
        <v>638</v>
      </c>
      <c r="BM284" s="16">
        <f t="shared" si="160"/>
        <v>151</v>
      </c>
      <c r="BN284" s="16">
        <v>487</v>
      </c>
      <c r="BO284" s="16">
        <v>355</v>
      </c>
      <c r="BP284" s="16">
        <f t="shared" si="161"/>
        <v>132</v>
      </c>
      <c r="BQ284" s="16"/>
      <c r="BR284" s="17"/>
      <c r="BS284" s="18">
        <v>2016</v>
      </c>
      <c r="BT284" s="21" t="s">
        <v>38</v>
      </c>
      <c r="BU284" s="15">
        <f>+Tabla8[[#This Row],[Trenes Puntuales]]/Tabla8[[#This Row],[Trenes Programados]]</f>
        <v>0.521505376344086</v>
      </c>
      <c r="BV284" s="15">
        <f>+Tabla8[[#This Row],[Trenes Puntuales]]/Tabla8[[#This Row],[Trenes Corridos]]</f>
        <v>0.53591160220994472</v>
      </c>
      <c r="BW284" s="15">
        <f>+Tabla8[[#This Row],[Trenes Corridos]]/Tabla8[[#This Row],[Trenes Programados]]</f>
        <v>0.9731182795698925</v>
      </c>
      <c r="BX284" s="16"/>
      <c r="BY284" s="16"/>
      <c r="BZ284" s="16">
        <v>186</v>
      </c>
      <c r="CA284" s="16">
        <f t="shared" si="162"/>
        <v>5</v>
      </c>
      <c r="CB284" s="16">
        <v>181</v>
      </c>
      <c r="CC284" s="16">
        <v>97</v>
      </c>
      <c r="CD284" s="16">
        <f t="shared" si="163"/>
        <v>84</v>
      </c>
      <c r="CI284" s="40"/>
      <c r="CJ284" s="40"/>
      <c r="CK284" s="40"/>
      <c r="CL284" s="40"/>
      <c r="CM284" s="40"/>
    </row>
    <row r="285" spans="1:91" s="18" customFormat="1" ht="15" customHeight="1">
      <c r="A285" s="18">
        <v>2016</v>
      </c>
      <c r="B285" s="21" t="s">
        <v>39</v>
      </c>
      <c r="C285" s="15">
        <f>+MITRE[[#This Row],[Trenes Puntuales]]/MITRE[[#This Row],[Trenes Programados]]</f>
        <v>0.8814239371691992</v>
      </c>
      <c r="D285" s="15">
        <f>+MITRE[[#This Row],[Trenes Puntuales]]/MITRE[[#This Row],[Trenes Corridos]]</f>
        <v>0.91073476228279082</v>
      </c>
      <c r="E285" s="15">
        <f>+MITRE[[#This Row],[Trenes Corridos]]/MITRE[[#This Row],[Trenes Programados]]</f>
        <v>0.96781628820215126</v>
      </c>
      <c r="F285" s="16">
        <f>+Tabla4[[#This Row],[Trenes Programados por Día Hábil]]+Tabla5[[#This Row],[Trenes Programados por Día Hábil]]+Tabla6[[#This Row],[Trenes Programados por Día Hábil]]+MIT_Vic_Cap[[#This Row],[Trenes Programados por Día Hábil]]+Tabla8[[#This Row],[Trenes Programados por Día Hábil]]</f>
        <v>0</v>
      </c>
      <c r="G28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5" s="16">
        <f t="shared" si="139"/>
        <v>11714</v>
      </c>
      <c r="I285" s="16">
        <f t="shared" si="140"/>
        <v>377</v>
      </c>
      <c r="J285" s="16">
        <f t="shared" si="141"/>
        <v>11337</v>
      </c>
      <c r="K285" s="16">
        <f t="shared" si="142"/>
        <v>10325</v>
      </c>
      <c r="L285" s="16">
        <f t="shared" si="143"/>
        <v>1012</v>
      </c>
      <c r="M285" s="16"/>
      <c r="N285" s="17"/>
      <c r="O285" s="18">
        <v>2016</v>
      </c>
      <c r="P285" s="21" t="s">
        <v>39</v>
      </c>
      <c r="Q285" s="15">
        <f>+Tabla4[[#This Row],[Trenes Puntuales]]/Tabla4[[#This Row],[Trenes Programados]]</f>
        <v>0.9428861788617886</v>
      </c>
      <c r="R285" s="15">
        <f>+Tabla4[[#This Row],[Trenes Puntuales]]/Tabla4[[#This Row],[Trenes Corridos]]</f>
        <v>0.96244813278008301</v>
      </c>
      <c r="S285" s="15">
        <f>+Tabla4[[#This Row],[Trenes Corridos]]/Tabla4[[#This Row],[Trenes Programados]]</f>
        <v>0.97967479674796742</v>
      </c>
      <c r="T285" s="16"/>
      <c r="U285" s="16"/>
      <c r="V285" s="16">
        <v>4920</v>
      </c>
      <c r="W285" s="16">
        <f t="shared" si="154"/>
        <v>100</v>
      </c>
      <c r="X285" s="16">
        <v>4820</v>
      </c>
      <c r="Y285" s="16">
        <v>4639</v>
      </c>
      <c r="Z285" s="16">
        <f t="shared" si="155"/>
        <v>181</v>
      </c>
      <c r="AA285" s="16"/>
      <c r="AB285" s="17"/>
      <c r="AC285" s="18">
        <v>2016</v>
      </c>
      <c r="AD285" s="21" t="s">
        <v>39</v>
      </c>
      <c r="AE285" s="15">
        <f>+Tabla5[[#This Row],[Trenes Puntuales]]/Tabla5[[#This Row],[Trenes Programados]]</f>
        <v>0.87867463876432483</v>
      </c>
      <c r="AF285" s="15">
        <f>+Tabla5[[#This Row],[Trenes Puntuales]]/Tabla5[[#This Row],[Trenes Corridos]]</f>
        <v>0.89745547073791354</v>
      </c>
      <c r="AG285" s="15">
        <f>+Tabla5[[#This Row],[Trenes Corridos]]/Tabla5[[#This Row],[Trenes Programados]]</f>
        <v>0.97907324364723469</v>
      </c>
      <c r="AH285" s="16"/>
      <c r="AI285" s="16"/>
      <c r="AJ285" s="16">
        <v>4014</v>
      </c>
      <c r="AK285" s="16">
        <f t="shared" si="156"/>
        <v>84</v>
      </c>
      <c r="AL285" s="16">
        <v>3930</v>
      </c>
      <c r="AM285" s="16">
        <v>3527</v>
      </c>
      <c r="AN285" s="16">
        <f t="shared" si="157"/>
        <v>403</v>
      </c>
      <c r="AO285" s="16"/>
      <c r="AP285" s="17"/>
      <c r="AQ285" s="18">
        <v>2016</v>
      </c>
      <c r="AR285" s="21" t="s">
        <v>39</v>
      </c>
      <c r="AS285" s="15">
        <f>+Tabla6[[#This Row],[Trenes Puntuales]]/Tabla6[[#This Row],[Trenes Programados]]</f>
        <v>0.89191919191919189</v>
      </c>
      <c r="AT285" s="15">
        <f>+Tabla6[[#This Row],[Trenes Puntuales]]/Tabla6[[#This Row],[Trenes Corridos]]</f>
        <v>0.90796915167095116</v>
      </c>
      <c r="AU285" s="15">
        <f>+Tabla6[[#This Row],[Trenes Corridos]]/Tabla6[[#This Row],[Trenes Programados]]</f>
        <v>0.98232323232323238</v>
      </c>
      <c r="AV285" s="16"/>
      <c r="AW285" s="16"/>
      <c r="AX285" s="16">
        <v>1980</v>
      </c>
      <c r="AY285" s="16">
        <f t="shared" si="158"/>
        <v>35</v>
      </c>
      <c r="AZ285" s="16">
        <v>1945</v>
      </c>
      <c r="BA285" s="16">
        <v>1766</v>
      </c>
      <c r="BB285" s="16">
        <f t="shared" si="159"/>
        <v>179</v>
      </c>
      <c r="BC285" s="16"/>
      <c r="BD285" s="17"/>
      <c r="BE285" s="18">
        <v>2016</v>
      </c>
      <c r="BF285" s="21" t="s">
        <v>39</v>
      </c>
      <c r="BG285" s="15">
        <f>+MIT_Vic_Cap[[#This Row],[Trenes Puntuales]]/MIT_Vic_Cap[[#This Row],[Trenes Programados]]</f>
        <v>0.49032258064516127</v>
      </c>
      <c r="BH285" s="15">
        <f>+MIT_Vic_Cap[[#This Row],[Trenes Puntuales]]/MIT_Vic_Cap[[#This Row],[Trenes Corridos]]</f>
        <v>0.6495726495726496</v>
      </c>
      <c r="BI285" s="15">
        <f>+MIT_Vic_Cap[[#This Row],[Trenes Corridos]]/MIT_Vic_Cap[[#This Row],[Trenes Programados]]</f>
        <v>0.75483870967741939</v>
      </c>
      <c r="BJ285" s="16"/>
      <c r="BK285" s="16"/>
      <c r="BL285" s="16">
        <v>620</v>
      </c>
      <c r="BM285" s="16">
        <f t="shared" si="160"/>
        <v>152</v>
      </c>
      <c r="BN285" s="16">
        <v>468</v>
      </c>
      <c r="BO285" s="16">
        <v>304</v>
      </c>
      <c r="BP285" s="16">
        <f t="shared" si="161"/>
        <v>164</v>
      </c>
      <c r="BQ285" s="16"/>
      <c r="BR285" s="17"/>
      <c r="BS285" s="18">
        <v>2016</v>
      </c>
      <c r="BT285" s="21" t="s">
        <v>39</v>
      </c>
      <c r="BU285" s="15">
        <f>+Tabla8[[#This Row],[Trenes Puntuales]]/Tabla8[[#This Row],[Trenes Programados]]</f>
        <v>0.49444444444444446</v>
      </c>
      <c r="BV285" s="15">
        <f>+Tabla8[[#This Row],[Trenes Puntuales]]/Tabla8[[#This Row],[Trenes Corridos]]</f>
        <v>0.5114942528735632</v>
      </c>
      <c r="BW285" s="15">
        <f>+Tabla8[[#This Row],[Trenes Corridos]]/Tabla8[[#This Row],[Trenes Programados]]</f>
        <v>0.96666666666666667</v>
      </c>
      <c r="BX285" s="16"/>
      <c r="BY285" s="16"/>
      <c r="BZ285" s="16">
        <v>180</v>
      </c>
      <c r="CA285" s="16">
        <f t="shared" si="162"/>
        <v>6</v>
      </c>
      <c r="CB285" s="16">
        <v>174</v>
      </c>
      <c r="CC285" s="16">
        <v>89</v>
      </c>
      <c r="CD285" s="16">
        <f t="shared" si="163"/>
        <v>85</v>
      </c>
      <c r="CI285" s="40"/>
      <c r="CJ285" s="40"/>
      <c r="CK285" s="40"/>
      <c r="CL285" s="40"/>
      <c r="CM285" s="40"/>
    </row>
    <row r="286" spans="1:91" s="18" customFormat="1" ht="15" customHeight="1">
      <c r="A286" s="18">
        <v>2016</v>
      </c>
      <c r="B286" s="21" t="s">
        <v>40</v>
      </c>
      <c r="C286" s="15">
        <f>+MITRE[[#This Row],[Trenes Puntuales]]/MITRE[[#This Row],[Trenes Programados]]</f>
        <v>0.86315352697095438</v>
      </c>
      <c r="D286" s="15">
        <f>+MITRE[[#This Row],[Trenes Puntuales]]/MITRE[[#This Row],[Trenes Corridos]]</f>
        <v>0.89501764047844423</v>
      </c>
      <c r="E286" s="15">
        <f>+MITRE[[#This Row],[Trenes Corridos]]/MITRE[[#This Row],[Trenes Programados]]</f>
        <v>0.96439834024896265</v>
      </c>
      <c r="F286" s="16">
        <f>+Tabla4[[#This Row],[Trenes Programados por Día Hábil]]+Tabla5[[#This Row],[Trenes Programados por Día Hábil]]+Tabla6[[#This Row],[Trenes Programados por Día Hábil]]+MIT_Vic_Cap[[#This Row],[Trenes Programados por Día Hábil]]+Tabla8[[#This Row],[Trenes Programados por Día Hábil]]</f>
        <v>0</v>
      </c>
      <c r="G28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6" s="16">
        <f t="shared" si="139"/>
        <v>12050</v>
      </c>
      <c r="I286" s="16">
        <f t="shared" si="140"/>
        <v>429</v>
      </c>
      <c r="J286" s="16">
        <f t="shared" si="141"/>
        <v>11621</v>
      </c>
      <c r="K286" s="16">
        <f t="shared" si="142"/>
        <v>10401</v>
      </c>
      <c r="L286" s="16">
        <f t="shared" si="143"/>
        <v>1220</v>
      </c>
      <c r="M286" s="16"/>
      <c r="N286" s="17"/>
      <c r="O286" s="18">
        <v>2016</v>
      </c>
      <c r="P286" s="21" t="s">
        <v>40</v>
      </c>
      <c r="Q286" s="15">
        <f>+Tabla4[[#This Row],[Trenes Puntuales]]/Tabla4[[#This Row],[Trenes Programados]]</f>
        <v>0.924248417721519</v>
      </c>
      <c r="R286" s="15">
        <f>+Tabla4[[#This Row],[Trenes Puntuales]]/Tabla4[[#This Row],[Trenes Corridos]]</f>
        <v>0.94671799027552672</v>
      </c>
      <c r="S286" s="15">
        <f>+Tabla4[[#This Row],[Trenes Corridos]]/Tabla4[[#This Row],[Trenes Programados]]</f>
        <v>0.97626582278481011</v>
      </c>
      <c r="T286" s="16"/>
      <c r="U286" s="16"/>
      <c r="V286" s="16">
        <v>5056</v>
      </c>
      <c r="W286" s="16">
        <f t="shared" si="154"/>
        <v>120</v>
      </c>
      <c r="X286" s="16">
        <v>4936</v>
      </c>
      <c r="Y286" s="16">
        <v>4673</v>
      </c>
      <c r="Z286" s="16">
        <f t="shared" si="155"/>
        <v>263</v>
      </c>
      <c r="AA286" s="16"/>
      <c r="AB286" s="17"/>
      <c r="AC286" s="18">
        <v>2016</v>
      </c>
      <c r="AD286" s="21" t="s">
        <v>40</v>
      </c>
      <c r="AE286" s="15">
        <f>+Tabla5[[#This Row],[Trenes Puntuales]]/Tabla5[[#This Row],[Trenes Programados]]</f>
        <v>0.86930164888457806</v>
      </c>
      <c r="AF286" s="15">
        <f>+Tabla5[[#This Row],[Trenes Puntuales]]/Tabla5[[#This Row],[Trenes Corridos]]</f>
        <v>0.89647411852963244</v>
      </c>
      <c r="AG286" s="15">
        <f>+Tabla5[[#This Row],[Trenes Corridos]]/Tabla5[[#This Row],[Trenes Programados]]</f>
        <v>0.9696896217264791</v>
      </c>
      <c r="AH286" s="16"/>
      <c r="AI286" s="16"/>
      <c r="AJ286" s="16">
        <v>4124</v>
      </c>
      <c r="AK286" s="16">
        <f t="shared" si="156"/>
        <v>125</v>
      </c>
      <c r="AL286" s="16">
        <v>3999</v>
      </c>
      <c r="AM286" s="16">
        <v>3585</v>
      </c>
      <c r="AN286" s="16">
        <f t="shared" si="157"/>
        <v>414</v>
      </c>
      <c r="AO286" s="16"/>
      <c r="AP286" s="17"/>
      <c r="AQ286" s="18">
        <v>2016</v>
      </c>
      <c r="AR286" s="21" t="s">
        <v>40</v>
      </c>
      <c r="AS286" s="15">
        <f>+Tabla6[[#This Row],[Trenes Puntuales]]/Tabla6[[#This Row],[Trenes Programados]]</f>
        <v>0.87781036168132942</v>
      </c>
      <c r="AT286" s="15">
        <f>+Tabla6[[#This Row],[Trenes Puntuales]]/Tabla6[[#This Row],[Trenes Corridos]]</f>
        <v>0.89442231075697209</v>
      </c>
      <c r="AU286" s="15">
        <f>+Tabla6[[#This Row],[Trenes Corridos]]/Tabla6[[#This Row],[Trenes Programados]]</f>
        <v>0.98142717497556209</v>
      </c>
      <c r="AV286" s="16"/>
      <c r="AW286" s="16"/>
      <c r="AX286" s="16">
        <v>2046</v>
      </c>
      <c r="AY286" s="16">
        <f t="shared" si="158"/>
        <v>38</v>
      </c>
      <c r="AZ286" s="16">
        <v>2008</v>
      </c>
      <c r="BA286" s="16">
        <v>1796</v>
      </c>
      <c r="BB286" s="16">
        <f t="shared" si="159"/>
        <v>212</v>
      </c>
      <c r="BC286" s="16"/>
      <c r="BD286" s="17"/>
      <c r="BE286" s="18">
        <v>2016</v>
      </c>
      <c r="BF286" s="21" t="s">
        <v>40</v>
      </c>
      <c r="BG286" s="15">
        <f>+MIT_Vic_Cap[[#This Row],[Trenes Puntuales]]/MIT_Vic_Cap[[#This Row],[Trenes Programados]]</f>
        <v>0.42319749216300939</v>
      </c>
      <c r="BH286" s="15">
        <f>+MIT_Vic_Cap[[#This Row],[Trenes Puntuales]]/MIT_Vic_Cap[[#This Row],[Trenes Corridos]]</f>
        <v>0.54545454545454541</v>
      </c>
      <c r="BI286" s="15">
        <f>+MIT_Vic_Cap[[#This Row],[Trenes Corridos]]/MIT_Vic_Cap[[#This Row],[Trenes Programados]]</f>
        <v>0.77586206896551724</v>
      </c>
      <c r="BJ286" s="16"/>
      <c r="BK286" s="16"/>
      <c r="BL286" s="16">
        <v>638</v>
      </c>
      <c r="BM286" s="16">
        <f t="shared" si="160"/>
        <v>143</v>
      </c>
      <c r="BN286" s="16">
        <v>495</v>
      </c>
      <c r="BO286" s="16">
        <v>270</v>
      </c>
      <c r="BP286" s="16">
        <f t="shared" si="161"/>
        <v>225</v>
      </c>
      <c r="BQ286" s="16"/>
      <c r="BR286" s="17"/>
      <c r="BS286" s="18">
        <v>2016</v>
      </c>
      <c r="BT286" s="21" t="s">
        <v>40</v>
      </c>
      <c r="BU286" s="15">
        <f>+Tabla8[[#This Row],[Trenes Puntuales]]/Tabla8[[#This Row],[Trenes Programados]]</f>
        <v>0.41397849462365593</v>
      </c>
      <c r="BV286" s="15">
        <f>+Tabla8[[#This Row],[Trenes Puntuales]]/Tabla8[[#This Row],[Trenes Corridos]]</f>
        <v>0.42076502732240439</v>
      </c>
      <c r="BW286" s="15">
        <f>+Tabla8[[#This Row],[Trenes Corridos]]/Tabla8[[#This Row],[Trenes Programados]]</f>
        <v>0.9838709677419355</v>
      </c>
      <c r="BX286" s="16"/>
      <c r="BY286" s="16"/>
      <c r="BZ286" s="16">
        <v>186</v>
      </c>
      <c r="CA286" s="16">
        <f t="shared" si="162"/>
        <v>3</v>
      </c>
      <c r="CB286" s="16">
        <v>183</v>
      </c>
      <c r="CC286" s="16">
        <v>77</v>
      </c>
      <c r="CD286" s="16">
        <f t="shared" si="163"/>
        <v>106</v>
      </c>
      <c r="CI286" s="40"/>
      <c r="CJ286" s="40"/>
      <c r="CK286" s="40"/>
      <c r="CL286" s="40"/>
      <c r="CM286" s="40"/>
    </row>
    <row r="287" spans="1:91" s="18" customFormat="1" ht="15" customHeight="1">
      <c r="A287" s="18">
        <v>2016</v>
      </c>
      <c r="B287" s="21" t="s">
        <v>41</v>
      </c>
      <c r="C287" s="15">
        <f>+MITRE[[#This Row],[Trenes Puntuales]]/MITRE[[#This Row],[Trenes Programados]]</f>
        <v>0.87339935120368795</v>
      </c>
      <c r="D287" s="15">
        <f>+MITRE[[#This Row],[Trenes Puntuales]]/MITRE[[#This Row],[Trenes Corridos]]</f>
        <v>0.90244332715886033</v>
      </c>
      <c r="E287" s="15">
        <f>+MITRE[[#This Row],[Trenes Corridos]]/MITRE[[#This Row],[Trenes Programados]]</f>
        <v>0.96781628820215126</v>
      </c>
      <c r="F287" s="16">
        <f>+Tabla4[[#This Row],[Trenes Programados por Día Hábil]]+Tabla5[[#This Row],[Trenes Programados por Día Hábil]]+Tabla6[[#This Row],[Trenes Programados por Día Hábil]]+MIT_Vic_Cap[[#This Row],[Trenes Programados por Día Hábil]]+Tabla8[[#This Row],[Trenes Programados por Día Hábil]]</f>
        <v>0</v>
      </c>
      <c r="G28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7" s="16">
        <f t="shared" si="139"/>
        <v>11714</v>
      </c>
      <c r="I287" s="16">
        <f t="shared" si="140"/>
        <v>377</v>
      </c>
      <c r="J287" s="16">
        <f t="shared" si="141"/>
        <v>11337</v>
      </c>
      <c r="K287" s="16">
        <f t="shared" si="142"/>
        <v>10231</v>
      </c>
      <c r="L287" s="16">
        <f t="shared" si="143"/>
        <v>1106</v>
      </c>
      <c r="M287" s="16"/>
      <c r="N287" s="17"/>
      <c r="O287" s="18">
        <v>2016</v>
      </c>
      <c r="P287" s="21" t="s">
        <v>41</v>
      </c>
      <c r="Q287" s="15">
        <f>+Tabla4[[#This Row],[Trenes Puntuales]]/Tabla4[[#This Row],[Trenes Programados]]</f>
        <v>0.92560975609756102</v>
      </c>
      <c r="R287" s="15">
        <f>+Tabla4[[#This Row],[Trenes Puntuales]]/Tabla4[[#This Row],[Trenes Corridos]]</f>
        <v>0.94559800664451832</v>
      </c>
      <c r="S287" s="15">
        <f>+Tabla4[[#This Row],[Trenes Corridos]]/Tabla4[[#This Row],[Trenes Programados]]</f>
        <v>0.9788617886178862</v>
      </c>
      <c r="T287" s="16"/>
      <c r="U287" s="16"/>
      <c r="V287" s="16">
        <v>4920</v>
      </c>
      <c r="W287" s="16">
        <f t="shared" si="154"/>
        <v>104</v>
      </c>
      <c r="X287" s="16">
        <v>4816</v>
      </c>
      <c r="Y287" s="16">
        <v>4554</v>
      </c>
      <c r="Z287" s="16">
        <f t="shared" si="155"/>
        <v>262</v>
      </c>
      <c r="AA287" s="16"/>
      <c r="AB287" s="17"/>
      <c r="AC287" s="18">
        <v>2016</v>
      </c>
      <c r="AD287" s="21" t="s">
        <v>41</v>
      </c>
      <c r="AE287" s="15">
        <f>+Tabla5[[#This Row],[Trenes Puntuales]]/Tabla5[[#This Row],[Trenes Programados]]</f>
        <v>0.87369207772795221</v>
      </c>
      <c r="AF287" s="15">
        <f>+Tabla5[[#This Row],[Trenes Puntuales]]/Tabla5[[#This Row],[Trenes Corridos]]</f>
        <v>0.90433212996389889</v>
      </c>
      <c r="AG287" s="15">
        <f>+Tabla5[[#This Row],[Trenes Corridos]]/Tabla5[[#This Row],[Trenes Programados]]</f>
        <v>0.96611858495266567</v>
      </c>
      <c r="AH287" s="16"/>
      <c r="AI287" s="16"/>
      <c r="AJ287" s="16">
        <v>4014</v>
      </c>
      <c r="AK287" s="16">
        <f t="shared" si="156"/>
        <v>136</v>
      </c>
      <c r="AL287" s="16">
        <v>3878</v>
      </c>
      <c r="AM287" s="16">
        <v>3507</v>
      </c>
      <c r="AN287" s="16">
        <f t="shared" si="157"/>
        <v>371</v>
      </c>
      <c r="AO287" s="16"/>
      <c r="AP287" s="17"/>
      <c r="AQ287" s="18">
        <v>2016</v>
      </c>
      <c r="AR287" s="21" t="s">
        <v>41</v>
      </c>
      <c r="AS287" s="15">
        <f>+Tabla6[[#This Row],[Trenes Puntuales]]/Tabla6[[#This Row],[Trenes Programados]]</f>
        <v>0.87575757575757573</v>
      </c>
      <c r="AT287" s="15">
        <f>+Tabla6[[#This Row],[Trenes Puntuales]]/Tabla6[[#This Row],[Trenes Corridos]]</f>
        <v>0.90171606864274567</v>
      </c>
      <c r="AU287" s="15">
        <f>+Tabla6[[#This Row],[Trenes Corridos]]/Tabla6[[#This Row],[Trenes Programados]]</f>
        <v>0.97121212121212119</v>
      </c>
      <c r="AV287" s="16"/>
      <c r="AW287" s="16"/>
      <c r="AX287" s="16">
        <v>1980</v>
      </c>
      <c r="AY287" s="16">
        <f t="shared" si="158"/>
        <v>57</v>
      </c>
      <c r="AZ287" s="16">
        <v>1923</v>
      </c>
      <c r="BA287" s="16">
        <v>1734</v>
      </c>
      <c r="BB287" s="16">
        <f t="shared" si="159"/>
        <v>189</v>
      </c>
      <c r="BC287" s="16"/>
      <c r="BD287" s="17"/>
      <c r="BE287" s="18">
        <v>2016</v>
      </c>
      <c r="BF287" s="21" t="s">
        <v>41</v>
      </c>
      <c r="BG287" s="15">
        <f>+MIT_Vic_Cap[[#This Row],[Trenes Puntuales]]/MIT_Vic_Cap[[#This Row],[Trenes Programados]]</f>
        <v>0.56129032258064515</v>
      </c>
      <c r="BH287" s="15">
        <f>+MIT_Vic_Cap[[#This Row],[Trenes Puntuales]]/MIT_Vic_Cap[[#This Row],[Trenes Corridos]]</f>
        <v>0.62929475587703432</v>
      </c>
      <c r="BI287" s="15">
        <f>+MIT_Vic_Cap[[#This Row],[Trenes Corridos]]/MIT_Vic_Cap[[#This Row],[Trenes Programados]]</f>
        <v>0.89193548387096777</v>
      </c>
      <c r="BJ287" s="16"/>
      <c r="BK287" s="16"/>
      <c r="BL287" s="16">
        <v>620</v>
      </c>
      <c r="BM287" s="16">
        <f t="shared" si="160"/>
        <v>67</v>
      </c>
      <c r="BN287" s="16">
        <v>553</v>
      </c>
      <c r="BO287" s="16">
        <v>348</v>
      </c>
      <c r="BP287" s="16">
        <f t="shared" si="161"/>
        <v>205</v>
      </c>
      <c r="BQ287" s="16"/>
      <c r="BR287" s="17"/>
      <c r="BS287" s="18">
        <v>2016</v>
      </c>
      <c r="BT287" s="21" t="s">
        <v>41</v>
      </c>
      <c r="BU287" s="15">
        <f>+Tabla8[[#This Row],[Trenes Puntuales]]/Tabla8[[#This Row],[Trenes Programados]]</f>
        <v>0.48888888888888887</v>
      </c>
      <c r="BV287" s="15">
        <f>+Tabla8[[#This Row],[Trenes Puntuales]]/Tabla8[[#This Row],[Trenes Corridos]]</f>
        <v>0.52694610778443118</v>
      </c>
      <c r="BW287" s="15">
        <f>+Tabla8[[#This Row],[Trenes Corridos]]/Tabla8[[#This Row],[Trenes Programados]]</f>
        <v>0.92777777777777781</v>
      </c>
      <c r="BX287" s="16"/>
      <c r="BY287" s="16"/>
      <c r="BZ287" s="16">
        <v>180</v>
      </c>
      <c r="CA287" s="16">
        <f t="shared" si="162"/>
        <v>13</v>
      </c>
      <c r="CB287" s="16">
        <v>167</v>
      </c>
      <c r="CC287" s="16">
        <v>88</v>
      </c>
      <c r="CD287" s="16">
        <f t="shared" si="163"/>
        <v>79</v>
      </c>
      <c r="CI287" s="40"/>
      <c r="CJ287" s="40"/>
      <c r="CK287" s="40"/>
      <c r="CL287" s="40"/>
      <c r="CM287" s="40"/>
    </row>
    <row r="288" spans="1:91" s="18" customFormat="1" ht="15" customHeight="1">
      <c r="A288" s="18">
        <v>2016</v>
      </c>
      <c r="B288" s="21" t="s">
        <v>42</v>
      </c>
      <c r="C288" s="15">
        <f>+MITRE[[#This Row],[Trenes Puntuales]]/MITRE[[#This Row],[Trenes Programados]]</f>
        <v>0.90856905158069878</v>
      </c>
      <c r="D288" s="15">
        <f>+MITRE[[#This Row],[Trenes Puntuales]]/MITRE[[#This Row],[Trenes Corridos]]</f>
        <v>0.92480311626725376</v>
      </c>
      <c r="E288" s="15">
        <f>+MITRE[[#This Row],[Trenes Corridos]]/MITRE[[#This Row],[Trenes Programados]]</f>
        <v>0.98244592346089854</v>
      </c>
      <c r="F288" s="16">
        <f>+Tabla4[[#This Row],[Trenes Programados por Día Hábil]]+Tabla5[[#This Row],[Trenes Programados por Día Hábil]]+Tabla6[[#This Row],[Trenes Programados por Día Hábil]]+MIT_Vic_Cap[[#This Row],[Trenes Programados por Día Hábil]]+Tabla8[[#This Row],[Trenes Programados por Día Hábil]]</f>
        <v>0</v>
      </c>
      <c r="G28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8" s="16">
        <f t="shared" si="139"/>
        <v>12020</v>
      </c>
      <c r="I288" s="16">
        <f t="shared" si="140"/>
        <v>211</v>
      </c>
      <c r="J288" s="16">
        <f t="shared" si="141"/>
        <v>11809</v>
      </c>
      <c r="K288" s="16">
        <f t="shared" si="142"/>
        <v>10921</v>
      </c>
      <c r="L288" s="16">
        <f t="shared" si="143"/>
        <v>888</v>
      </c>
      <c r="M288" s="16"/>
      <c r="N288" s="17"/>
      <c r="O288" s="18">
        <v>2016</v>
      </c>
      <c r="P288" s="21" t="s">
        <v>42</v>
      </c>
      <c r="Q288" s="15">
        <f>+Tabla4[[#This Row],[Trenes Puntuales]]/Tabla4[[#This Row],[Trenes Programados]]</f>
        <v>0.96551036682615632</v>
      </c>
      <c r="R288" s="15">
        <f>+Tabla4[[#This Row],[Trenes Puntuales]]/Tabla4[[#This Row],[Trenes Corridos]]</f>
        <v>0.97601773478436116</v>
      </c>
      <c r="S288" s="15">
        <f>+Tabla4[[#This Row],[Trenes Corridos]]/Tabla4[[#This Row],[Trenes Programados]]</f>
        <v>0.98923444976076558</v>
      </c>
      <c r="T288" s="16"/>
      <c r="U288" s="16"/>
      <c r="V288" s="16">
        <v>5016</v>
      </c>
      <c r="W288" s="16">
        <f t="shared" si="154"/>
        <v>54</v>
      </c>
      <c r="X288" s="16">
        <v>4962</v>
      </c>
      <c r="Y288" s="16">
        <v>4843</v>
      </c>
      <c r="Z288" s="16">
        <f t="shared" si="155"/>
        <v>119</v>
      </c>
      <c r="AA288" s="16"/>
      <c r="AB288" s="17"/>
      <c r="AC288" s="18">
        <v>2016</v>
      </c>
      <c r="AD288" s="21" t="s">
        <v>42</v>
      </c>
      <c r="AE288" s="15">
        <f>+Tabla5[[#This Row],[Trenes Puntuales]]/Tabla5[[#This Row],[Trenes Programados]]</f>
        <v>0.91564792176039123</v>
      </c>
      <c r="AF288" s="15">
        <f>+Tabla5[[#This Row],[Trenes Puntuales]]/Tabla5[[#This Row],[Trenes Corridos]]</f>
        <v>0.9233234714003945</v>
      </c>
      <c r="AG288" s="15">
        <f>+Tabla5[[#This Row],[Trenes Corridos]]/Tabla5[[#This Row],[Trenes Programados]]</f>
        <v>0.99168704156479215</v>
      </c>
      <c r="AH288" s="16"/>
      <c r="AI288" s="16"/>
      <c r="AJ288" s="16">
        <v>4090</v>
      </c>
      <c r="AK288" s="16">
        <f t="shared" si="156"/>
        <v>34</v>
      </c>
      <c r="AL288" s="16">
        <v>4056</v>
      </c>
      <c r="AM288" s="16">
        <v>3745</v>
      </c>
      <c r="AN288" s="16">
        <f t="shared" si="157"/>
        <v>311</v>
      </c>
      <c r="AO288" s="16"/>
      <c r="AP288" s="17"/>
      <c r="AQ288" s="18">
        <v>2016</v>
      </c>
      <c r="AR288" s="21" t="s">
        <v>42</v>
      </c>
      <c r="AS288" s="15">
        <f>+Tabla6[[#This Row],[Trenes Puntuales]]/Tabla6[[#This Row],[Trenes Programados]]</f>
        <v>0.92619745845552293</v>
      </c>
      <c r="AT288" s="15">
        <f>+Tabla6[[#This Row],[Trenes Puntuales]]/Tabla6[[#This Row],[Trenes Corridos]]</f>
        <v>0.92755751346059712</v>
      </c>
      <c r="AU288" s="15">
        <f>+Tabla6[[#This Row],[Trenes Corridos]]/Tabla6[[#This Row],[Trenes Programados]]</f>
        <v>0.99853372434017595</v>
      </c>
      <c r="AV288" s="16"/>
      <c r="AW288" s="16"/>
      <c r="AX288" s="16">
        <v>2046</v>
      </c>
      <c r="AY288" s="16">
        <f t="shared" si="158"/>
        <v>3</v>
      </c>
      <c r="AZ288" s="16">
        <v>2043</v>
      </c>
      <c r="BA288" s="16">
        <v>1895</v>
      </c>
      <c r="BB288" s="16">
        <f t="shared" si="159"/>
        <v>148</v>
      </c>
      <c r="BC288" s="16"/>
      <c r="BD288" s="17"/>
      <c r="BE288" s="18">
        <v>2016</v>
      </c>
      <c r="BF288" s="21" t="s">
        <v>42</v>
      </c>
      <c r="BG288" s="15">
        <f>+MIT_Vic_Cap[[#This Row],[Trenes Puntuales]]/MIT_Vic_Cap[[#This Row],[Trenes Programados]]</f>
        <v>0.51466275659824046</v>
      </c>
      <c r="BH288" s="15">
        <f>+MIT_Vic_Cap[[#This Row],[Trenes Puntuales]]/MIT_Vic_Cap[[#This Row],[Trenes Corridos]]</f>
        <v>0.61795774647887325</v>
      </c>
      <c r="BI288" s="15">
        <f>+MIT_Vic_Cap[[#This Row],[Trenes Corridos]]/MIT_Vic_Cap[[#This Row],[Trenes Programados]]</f>
        <v>0.83284457478005869</v>
      </c>
      <c r="BJ288" s="16"/>
      <c r="BK288" s="16"/>
      <c r="BL288" s="16">
        <v>682</v>
      </c>
      <c r="BM288" s="16">
        <f t="shared" si="160"/>
        <v>114</v>
      </c>
      <c r="BN288" s="16">
        <v>568</v>
      </c>
      <c r="BO288" s="16">
        <v>351</v>
      </c>
      <c r="BP288" s="16">
        <f t="shared" si="161"/>
        <v>217</v>
      </c>
      <c r="BQ288" s="16"/>
      <c r="BR288" s="17"/>
      <c r="BS288" s="18">
        <v>2016</v>
      </c>
      <c r="BT288" s="21" t="s">
        <v>42</v>
      </c>
      <c r="BU288" s="15">
        <f>+Tabla8[[#This Row],[Trenes Puntuales]]/Tabla8[[#This Row],[Trenes Programados]]</f>
        <v>0.46774193548387094</v>
      </c>
      <c r="BV288" s="15">
        <f>+Tabla8[[#This Row],[Trenes Puntuales]]/Tabla8[[#This Row],[Trenes Corridos]]</f>
        <v>0.48333333333333334</v>
      </c>
      <c r="BW288" s="15">
        <f>+Tabla8[[#This Row],[Trenes Corridos]]/Tabla8[[#This Row],[Trenes Programados]]</f>
        <v>0.967741935483871</v>
      </c>
      <c r="BX288" s="16"/>
      <c r="BY288" s="16"/>
      <c r="BZ288" s="16">
        <v>186</v>
      </c>
      <c r="CA288" s="16">
        <f t="shared" si="162"/>
        <v>6</v>
      </c>
      <c r="CB288" s="16">
        <v>180</v>
      </c>
      <c r="CC288" s="16">
        <v>87</v>
      </c>
      <c r="CD288" s="16">
        <f t="shared" si="163"/>
        <v>93</v>
      </c>
      <c r="CI288" s="40"/>
      <c r="CJ288" s="40"/>
      <c r="CK288" s="40"/>
      <c r="CL288" s="40"/>
      <c r="CM288" s="40"/>
    </row>
    <row r="289" spans="1:91" s="18" customFormat="1" ht="15" customHeight="1">
      <c r="A289" s="18">
        <v>2016</v>
      </c>
      <c r="B289" s="21" t="s">
        <v>43</v>
      </c>
      <c r="C289" s="15">
        <f>+MITRE[[#This Row],[Trenes Puntuales]]/MITRE[[#This Row],[Trenes Programados]]</f>
        <v>0.90713643423526524</v>
      </c>
      <c r="D289" s="15">
        <f>+MITRE[[#This Row],[Trenes Puntuales]]/MITRE[[#This Row],[Trenes Corridos]]</f>
        <v>0.92398001665278939</v>
      </c>
      <c r="E289" s="15">
        <f>+MITRE[[#This Row],[Trenes Corridos]]/MITRE[[#This Row],[Trenes Programados]]</f>
        <v>0.98177062045287333</v>
      </c>
      <c r="F289" s="16">
        <f>+Tabla4[[#This Row],[Trenes Programados por Día Hábil]]+Tabla5[[#This Row],[Trenes Programados por Día Hábil]]+Tabla6[[#This Row],[Trenes Programados por Día Hábil]]+MIT_Vic_Cap[[#This Row],[Trenes Programados por Día Hábil]]+Tabla8[[#This Row],[Trenes Programados por Día Hábil]]</f>
        <v>0</v>
      </c>
      <c r="G28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9" s="16">
        <f t="shared" si="139"/>
        <v>12233</v>
      </c>
      <c r="I289" s="16">
        <f t="shared" si="140"/>
        <v>223</v>
      </c>
      <c r="J289" s="16">
        <f t="shared" si="141"/>
        <v>12010</v>
      </c>
      <c r="K289" s="16">
        <f t="shared" si="142"/>
        <v>11097</v>
      </c>
      <c r="L289" s="16">
        <f t="shared" si="143"/>
        <v>913</v>
      </c>
      <c r="M289" s="16"/>
      <c r="N289" s="17"/>
      <c r="O289" s="18">
        <v>2016</v>
      </c>
      <c r="P289" s="21" t="s">
        <v>43</v>
      </c>
      <c r="Q289" s="15">
        <f>+Tabla4[[#This Row],[Trenes Puntuales]]/Tabla4[[#This Row],[Trenes Programados]]</f>
        <v>0.94093406593406592</v>
      </c>
      <c r="R289" s="15">
        <f>+Tabla4[[#This Row],[Trenes Puntuales]]/Tabla4[[#This Row],[Trenes Corridos]]</f>
        <v>0.9659548751007252</v>
      </c>
      <c r="S289" s="15">
        <f>+Tabla4[[#This Row],[Trenes Corridos]]/Tabla4[[#This Row],[Trenes Programados]]</f>
        <v>0.97409733124018838</v>
      </c>
      <c r="T289" s="16"/>
      <c r="U289" s="16"/>
      <c r="V289" s="16">
        <v>5096</v>
      </c>
      <c r="W289" s="16">
        <f t="shared" si="154"/>
        <v>132</v>
      </c>
      <c r="X289" s="16">
        <v>4964</v>
      </c>
      <c r="Y289" s="16">
        <v>4795</v>
      </c>
      <c r="Z289" s="16">
        <f t="shared" si="155"/>
        <v>169</v>
      </c>
      <c r="AA289" s="16"/>
      <c r="AB289" s="17"/>
      <c r="AC289" s="18">
        <v>2016</v>
      </c>
      <c r="AD289" s="21" t="s">
        <v>43</v>
      </c>
      <c r="AE289" s="15">
        <f>+Tabla5[[#This Row],[Trenes Puntuales]]/Tabla5[[#This Row],[Trenes Programados]]</f>
        <v>0.92231842231842232</v>
      </c>
      <c r="AF289" s="15">
        <f>+Tabla5[[#This Row],[Trenes Puntuales]]/Tabla5[[#This Row],[Trenes Corridos]]</f>
        <v>0.93195625759416767</v>
      </c>
      <c r="AG289" s="15">
        <f>+Tabla5[[#This Row],[Trenes Corridos]]/Tabla5[[#This Row],[Trenes Programados]]</f>
        <v>0.98965848965848968</v>
      </c>
      <c r="AH289" s="16"/>
      <c r="AI289" s="16"/>
      <c r="AJ289" s="16">
        <v>4158</v>
      </c>
      <c r="AK289" s="16">
        <f t="shared" si="156"/>
        <v>43</v>
      </c>
      <c r="AL289" s="16">
        <v>4115</v>
      </c>
      <c r="AM289" s="16">
        <v>3835</v>
      </c>
      <c r="AN289" s="16">
        <f t="shared" si="157"/>
        <v>280</v>
      </c>
      <c r="AO289" s="16"/>
      <c r="AP289" s="17"/>
      <c r="AQ289" s="18">
        <v>2016</v>
      </c>
      <c r="AR289" s="21" t="s">
        <v>43</v>
      </c>
      <c r="AS289" s="15">
        <f>+Tabla6[[#This Row],[Trenes Puntuales]]/Tabla6[[#This Row],[Trenes Programados]]</f>
        <v>0.93206256109481911</v>
      </c>
      <c r="AT289" s="15">
        <f>+Tabla6[[#This Row],[Trenes Puntuales]]/Tabla6[[#This Row],[Trenes Corridos]]</f>
        <v>0.93802262666010816</v>
      </c>
      <c r="AU289" s="15">
        <f>+Tabla6[[#This Row],[Trenes Corridos]]/Tabla6[[#This Row],[Trenes Programados]]</f>
        <v>0.99364613880742914</v>
      </c>
      <c r="AV289" s="16"/>
      <c r="AW289" s="16"/>
      <c r="AX289" s="16">
        <v>2046</v>
      </c>
      <c r="AY289" s="16">
        <f t="shared" si="158"/>
        <v>13</v>
      </c>
      <c r="AZ289" s="16">
        <v>2033</v>
      </c>
      <c r="BA289" s="16">
        <v>1907</v>
      </c>
      <c r="BB289" s="16">
        <f t="shared" si="159"/>
        <v>126</v>
      </c>
      <c r="BC289" s="16"/>
      <c r="BD289" s="17"/>
      <c r="BE289" s="18">
        <v>2016</v>
      </c>
      <c r="BF289" s="21" t="s">
        <v>43</v>
      </c>
      <c r="BG289" s="15">
        <f>+MIT_Vic_Cap[[#This Row],[Trenes Puntuales]]/MIT_Vic_Cap[[#This Row],[Trenes Programados]]</f>
        <v>0.61178045515394908</v>
      </c>
      <c r="BH289" s="15">
        <f>+MIT_Vic_Cap[[#This Row],[Trenes Puntuales]]/MIT_Vic_Cap[[#This Row],[Trenes Corridos]]</f>
        <v>0.63737796373779643</v>
      </c>
      <c r="BI289" s="15">
        <f>+MIT_Vic_Cap[[#This Row],[Trenes Corridos]]/MIT_Vic_Cap[[#This Row],[Trenes Programados]]</f>
        <v>0.95983935742971882</v>
      </c>
      <c r="BJ289" s="16"/>
      <c r="BK289" s="16"/>
      <c r="BL289" s="16">
        <v>747</v>
      </c>
      <c r="BM289" s="16">
        <f t="shared" si="160"/>
        <v>30</v>
      </c>
      <c r="BN289" s="16">
        <v>717</v>
      </c>
      <c r="BO289" s="16">
        <v>457</v>
      </c>
      <c r="BP289" s="16">
        <f t="shared" si="161"/>
        <v>260</v>
      </c>
      <c r="BQ289" s="16"/>
      <c r="BR289" s="17"/>
      <c r="BS289" s="18">
        <v>2016</v>
      </c>
      <c r="BT289" s="21" t="s">
        <v>43</v>
      </c>
      <c r="BU289" s="15">
        <f>+Tabla8[[#This Row],[Trenes Puntuales]]/Tabla8[[#This Row],[Trenes Programados]]</f>
        <v>0.55376344086021501</v>
      </c>
      <c r="BV289" s="15">
        <f>+Tabla8[[#This Row],[Trenes Puntuales]]/Tabla8[[#This Row],[Trenes Corridos]]</f>
        <v>0.56906077348066297</v>
      </c>
      <c r="BW289" s="15">
        <f>+Tabla8[[#This Row],[Trenes Corridos]]/Tabla8[[#This Row],[Trenes Programados]]</f>
        <v>0.9731182795698925</v>
      </c>
      <c r="BX289" s="16"/>
      <c r="BY289" s="16"/>
      <c r="BZ289" s="16">
        <v>186</v>
      </c>
      <c r="CA289" s="16">
        <f t="shared" si="162"/>
        <v>5</v>
      </c>
      <c r="CB289" s="16">
        <v>181</v>
      </c>
      <c r="CC289" s="16">
        <v>103</v>
      </c>
      <c r="CD289" s="16">
        <f t="shared" si="163"/>
        <v>78</v>
      </c>
      <c r="CI289" s="40"/>
      <c r="CJ289" s="40"/>
      <c r="CK289" s="40"/>
      <c r="CL289" s="40"/>
      <c r="CM289" s="40"/>
    </row>
    <row r="290" spans="1:91" s="18" customFormat="1" ht="15" customHeight="1">
      <c r="A290" s="18">
        <v>2016</v>
      </c>
      <c r="B290" s="21" t="s">
        <v>44</v>
      </c>
      <c r="C290" s="15">
        <f>+MITRE[[#This Row],[Trenes Puntuales]]/MITRE[[#This Row],[Trenes Programados]]</f>
        <v>0.9213180901143242</v>
      </c>
      <c r="D290" s="15">
        <f>+MITRE[[#This Row],[Trenes Puntuales]]/MITRE[[#This Row],[Trenes Corridos]]</f>
        <v>0.93356047700170353</v>
      </c>
      <c r="E290" s="15">
        <f>+MITRE[[#This Row],[Trenes Corridos]]/MITRE[[#This Row],[Trenes Programados]]</f>
        <v>0.98688634835238731</v>
      </c>
      <c r="F290" s="16">
        <f>+Tabla4[[#This Row],[Trenes Programados por Día Hábil]]+Tabla5[[#This Row],[Trenes Programados por Día Hábil]]+Tabla6[[#This Row],[Trenes Programados por Día Hábil]]+MIT_Vic_Cap[[#This Row],[Trenes Programados por Día Hábil]]+Tabla8[[#This Row],[Trenes Programados por Día Hábil]]</f>
        <v>0</v>
      </c>
      <c r="G29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0" s="16">
        <f t="shared" si="139"/>
        <v>11896</v>
      </c>
      <c r="I290" s="16">
        <f t="shared" si="140"/>
        <v>156</v>
      </c>
      <c r="J290" s="16">
        <f t="shared" si="141"/>
        <v>11740</v>
      </c>
      <c r="K290" s="16">
        <f t="shared" si="142"/>
        <v>10960</v>
      </c>
      <c r="L290" s="16">
        <f t="shared" si="143"/>
        <v>780</v>
      </c>
      <c r="M290" s="16"/>
      <c r="N290" s="17"/>
      <c r="O290" s="18">
        <v>2016</v>
      </c>
      <c r="P290" s="21" t="s">
        <v>44</v>
      </c>
      <c r="Q290" s="15">
        <f>+Tabla4[[#This Row],[Trenes Puntuales]]/Tabla4[[#This Row],[Trenes Programados]]</f>
        <v>0.9643145161290323</v>
      </c>
      <c r="R290" s="15">
        <f>+Tabla4[[#This Row],[Trenes Puntuales]]/Tabla4[[#This Row],[Trenes Corridos]]</f>
        <v>0.97294548413344184</v>
      </c>
      <c r="S290" s="15">
        <f>+Tabla4[[#This Row],[Trenes Corridos]]/Tabla4[[#This Row],[Trenes Programados]]</f>
        <v>0.99112903225806448</v>
      </c>
      <c r="T290" s="16"/>
      <c r="U290" s="16"/>
      <c r="V290" s="16">
        <v>4960</v>
      </c>
      <c r="W290" s="16">
        <f t="shared" si="154"/>
        <v>44</v>
      </c>
      <c r="X290" s="16">
        <v>4916</v>
      </c>
      <c r="Y290" s="16">
        <v>4783</v>
      </c>
      <c r="Z290" s="16">
        <f t="shared" si="155"/>
        <v>133</v>
      </c>
      <c r="AA290" s="16"/>
      <c r="AB290" s="17"/>
      <c r="AC290" s="18">
        <v>2016</v>
      </c>
      <c r="AD290" s="21" t="s">
        <v>44</v>
      </c>
      <c r="AE290" s="15">
        <f>+Tabla5[[#This Row],[Trenes Puntuales]]/Tabla5[[#This Row],[Trenes Programados]]</f>
        <v>0.92860671936758898</v>
      </c>
      <c r="AF290" s="15">
        <f>+Tabla5[[#This Row],[Trenes Puntuales]]/Tabla5[[#This Row],[Trenes Corridos]]</f>
        <v>0.93857677902621728</v>
      </c>
      <c r="AG290" s="15">
        <f>+Tabla5[[#This Row],[Trenes Corridos]]/Tabla5[[#This Row],[Trenes Programados]]</f>
        <v>0.9893774703557312</v>
      </c>
      <c r="AH290" s="16"/>
      <c r="AI290" s="16"/>
      <c r="AJ290" s="16">
        <v>4048</v>
      </c>
      <c r="AK290" s="16">
        <f t="shared" si="156"/>
        <v>43</v>
      </c>
      <c r="AL290" s="16">
        <v>4005</v>
      </c>
      <c r="AM290" s="16">
        <v>3759</v>
      </c>
      <c r="AN290" s="16">
        <f t="shared" si="157"/>
        <v>246</v>
      </c>
      <c r="AO290" s="16"/>
      <c r="AP290" s="17"/>
      <c r="AQ290" s="18">
        <v>2016</v>
      </c>
      <c r="AR290" s="21" t="s">
        <v>44</v>
      </c>
      <c r="AS290" s="15">
        <f>+Tabla6[[#This Row],[Trenes Puntuales]]/Tabla6[[#This Row],[Trenes Programados]]</f>
        <v>0.91767676767676765</v>
      </c>
      <c r="AT290" s="15">
        <f>+Tabla6[[#This Row],[Trenes Puntuales]]/Tabla6[[#This Row],[Trenes Corridos]]</f>
        <v>0.92468193384223918</v>
      </c>
      <c r="AU290" s="15">
        <f>+Tabla6[[#This Row],[Trenes Corridos]]/Tabla6[[#This Row],[Trenes Programados]]</f>
        <v>0.99242424242424243</v>
      </c>
      <c r="AV290" s="16"/>
      <c r="AW290" s="16"/>
      <c r="AX290" s="16">
        <v>1980</v>
      </c>
      <c r="AY290" s="16">
        <f t="shared" si="158"/>
        <v>15</v>
      </c>
      <c r="AZ290" s="16">
        <v>1965</v>
      </c>
      <c r="BA290" s="16">
        <v>1817</v>
      </c>
      <c r="BB290" s="16">
        <f t="shared" si="159"/>
        <v>148</v>
      </c>
      <c r="BC290" s="16"/>
      <c r="BD290" s="17"/>
      <c r="BE290" s="18">
        <v>2016</v>
      </c>
      <c r="BF290" s="21" t="s">
        <v>44</v>
      </c>
      <c r="BG290" s="15">
        <f>+MIT_Vic_Cap[[#This Row],[Trenes Puntuales]]/MIT_Vic_Cap[[#This Row],[Trenes Programados]]</f>
        <v>0.68681318681318682</v>
      </c>
      <c r="BH290" s="15">
        <f>+MIT_Vic_Cap[[#This Row],[Trenes Puntuales]]/MIT_Vic_Cap[[#This Row],[Trenes Corridos]]</f>
        <v>0.72046109510086453</v>
      </c>
      <c r="BI290" s="15">
        <f>+MIT_Vic_Cap[[#This Row],[Trenes Corridos]]/MIT_Vic_Cap[[#This Row],[Trenes Programados]]</f>
        <v>0.95329670329670335</v>
      </c>
      <c r="BJ290" s="16"/>
      <c r="BK290" s="16"/>
      <c r="BL290" s="16">
        <v>728</v>
      </c>
      <c r="BM290" s="16">
        <f t="shared" si="160"/>
        <v>34</v>
      </c>
      <c r="BN290" s="16">
        <v>694</v>
      </c>
      <c r="BO290" s="16">
        <v>500</v>
      </c>
      <c r="BP290" s="16">
        <f t="shared" si="161"/>
        <v>194</v>
      </c>
      <c r="BQ290" s="16"/>
      <c r="BR290" s="17"/>
      <c r="BS290" s="18">
        <v>2016</v>
      </c>
      <c r="BT290" s="21" t="s">
        <v>44</v>
      </c>
      <c r="BU290" s="15">
        <f>+Tabla8[[#This Row],[Trenes Puntuales]]/Tabla8[[#This Row],[Trenes Programados]]</f>
        <v>0.56111111111111112</v>
      </c>
      <c r="BV290" s="15">
        <f>+Tabla8[[#This Row],[Trenes Puntuales]]/Tabla8[[#This Row],[Trenes Corridos]]</f>
        <v>0.63124999999999998</v>
      </c>
      <c r="BW290" s="15">
        <f>+Tabla8[[#This Row],[Trenes Corridos]]/Tabla8[[#This Row],[Trenes Programados]]</f>
        <v>0.88888888888888884</v>
      </c>
      <c r="BX290" s="16"/>
      <c r="BY290" s="16"/>
      <c r="BZ290" s="16">
        <v>180</v>
      </c>
      <c r="CA290" s="16">
        <f t="shared" si="162"/>
        <v>20</v>
      </c>
      <c r="CB290" s="16">
        <v>160</v>
      </c>
      <c r="CC290" s="16">
        <v>101</v>
      </c>
      <c r="CD290" s="16">
        <f t="shared" si="163"/>
        <v>59</v>
      </c>
      <c r="CI290" s="40"/>
      <c r="CJ290" s="40"/>
      <c r="CK290" s="40"/>
      <c r="CL290" s="40"/>
      <c r="CM290" s="40"/>
    </row>
    <row r="291" spans="1:91" s="18" customFormat="1" ht="15" customHeight="1">
      <c r="A291" s="18">
        <v>2016</v>
      </c>
      <c r="B291" s="21" t="s">
        <v>45</v>
      </c>
      <c r="C291" s="15">
        <f>+MITRE[[#This Row],[Trenes Puntuales]]/MITRE[[#This Row],[Trenes Programados]]</f>
        <v>0.91476143141153077</v>
      </c>
      <c r="D291" s="15">
        <f>+MITRE[[#This Row],[Trenes Puntuales]]/MITRE[[#This Row],[Trenes Corridos]]</f>
        <v>0.93103448275862066</v>
      </c>
      <c r="E291" s="15">
        <f>+MITRE[[#This Row],[Trenes Corridos]]/MITRE[[#This Row],[Trenes Programados]]</f>
        <v>0.98252153744201454</v>
      </c>
      <c r="F291" s="16">
        <f>+Tabla4[[#This Row],[Trenes Programados por Día Hábil]]+Tabla5[[#This Row],[Trenes Programados por Día Hábil]]+Tabla6[[#This Row],[Trenes Programados por Día Hábil]]+MIT_Vic_Cap[[#This Row],[Trenes Programados por Día Hábil]]+Tabla8[[#This Row],[Trenes Programados por Día Hábil]]</f>
        <v>0</v>
      </c>
      <c r="G29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1" s="16">
        <f t="shared" si="139"/>
        <v>12072</v>
      </c>
      <c r="I291" s="16">
        <f t="shared" si="140"/>
        <v>211</v>
      </c>
      <c r="J291" s="16">
        <f t="shared" si="141"/>
        <v>11861</v>
      </c>
      <c r="K291" s="16">
        <f t="shared" si="142"/>
        <v>11043</v>
      </c>
      <c r="L291" s="16">
        <f t="shared" si="143"/>
        <v>818</v>
      </c>
      <c r="M291" s="16"/>
      <c r="N291" s="17"/>
      <c r="O291" s="18">
        <v>2016</v>
      </c>
      <c r="P291" s="21" t="s">
        <v>45</v>
      </c>
      <c r="Q291" s="15">
        <f>+Tabla4[[#This Row],[Trenes Puntuales]]/Tabla4[[#This Row],[Trenes Programados]]</f>
        <v>0.95334928229665072</v>
      </c>
      <c r="R291" s="15">
        <f>+Tabla4[[#This Row],[Trenes Puntuales]]/Tabla4[[#This Row],[Trenes Corridos]]</f>
        <v>0.96294804671768019</v>
      </c>
      <c r="S291" s="15">
        <f>+Tabla4[[#This Row],[Trenes Corridos]]/Tabla4[[#This Row],[Trenes Programados]]</f>
        <v>0.99003189792663482</v>
      </c>
      <c r="T291" s="16"/>
      <c r="U291" s="16"/>
      <c r="V291" s="16">
        <v>5016</v>
      </c>
      <c r="W291" s="16">
        <f t="shared" si="154"/>
        <v>50</v>
      </c>
      <c r="X291" s="16">
        <v>4966</v>
      </c>
      <c r="Y291" s="16">
        <v>4782</v>
      </c>
      <c r="Z291" s="16">
        <f t="shared" si="155"/>
        <v>184</v>
      </c>
      <c r="AA291" s="16"/>
      <c r="AB291" s="17"/>
      <c r="AC291" s="18">
        <v>2016</v>
      </c>
      <c r="AD291" s="21" t="s">
        <v>45</v>
      </c>
      <c r="AE291" s="15">
        <f>+Tabla5[[#This Row],[Trenes Puntuales]]/Tabla5[[#This Row],[Trenes Programados]]</f>
        <v>0.9354523227383863</v>
      </c>
      <c r="AF291" s="15">
        <f>+Tabla5[[#This Row],[Trenes Puntuales]]/Tabla5[[#This Row],[Trenes Corridos]]</f>
        <v>0.94820322180916972</v>
      </c>
      <c r="AG291" s="15">
        <f>+Tabla5[[#This Row],[Trenes Corridos]]/Tabla5[[#This Row],[Trenes Programados]]</f>
        <v>0.98655256723716378</v>
      </c>
      <c r="AH291" s="16"/>
      <c r="AI291" s="16"/>
      <c r="AJ291" s="16">
        <v>4090</v>
      </c>
      <c r="AK291" s="16">
        <f t="shared" si="156"/>
        <v>55</v>
      </c>
      <c r="AL291" s="16">
        <v>4035</v>
      </c>
      <c r="AM291" s="16">
        <v>3826</v>
      </c>
      <c r="AN291" s="16">
        <f t="shared" si="157"/>
        <v>209</v>
      </c>
      <c r="AO291" s="16"/>
      <c r="AP291" s="17"/>
      <c r="AQ291" s="18">
        <v>2016</v>
      </c>
      <c r="AR291" s="21" t="s">
        <v>45</v>
      </c>
      <c r="AS291" s="15">
        <f>+Tabla6[[#This Row],[Trenes Puntuales]]/Tabla6[[#This Row],[Trenes Programados]]</f>
        <v>0.93646138807429125</v>
      </c>
      <c r="AT291" s="15">
        <f>+Tabla6[[#This Row],[Trenes Puntuales]]/Tabla6[[#This Row],[Trenes Corridos]]</f>
        <v>0.94664031620553357</v>
      </c>
      <c r="AU291" s="15">
        <f>+Tabla6[[#This Row],[Trenes Corridos]]/Tabla6[[#This Row],[Trenes Programados]]</f>
        <v>0.989247311827957</v>
      </c>
      <c r="AV291" s="16"/>
      <c r="AW291" s="16"/>
      <c r="AX291" s="16">
        <v>2046</v>
      </c>
      <c r="AY291" s="16">
        <f t="shared" si="158"/>
        <v>22</v>
      </c>
      <c r="AZ291" s="16">
        <v>2024</v>
      </c>
      <c r="BA291" s="16">
        <v>1916</v>
      </c>
      <c r="BB291" s="16">
        <f t="shared" si="159"/>
        <v>108</v>
      </c>
      <c r="BC291" s="16"/>
      <c r="BD291" s="17"/>
      <c r="BE291" s="18">
        <v>2016</v>
      </c>
      <c r="BF291" s="21" t="s">
        <v>45</v>
      </c>
      <c r="BG291" s="15">
        <f>+MIT_Vic_Cap[[#This Row],[Trenes Puntuales]]/MIT_Vic_Cap[[#This Row],[Trenes Programados]]</f>
        <v>0.58174386920980925</v>
      </c>
      <c r="BH291" s="15">
        <f>+MIT_Vic_Cap[[#This Row],[Trenes Puntuales]]/MIT_Vic_Cap[[#This Row],[Trenes Corridos]]</f>
        <v>0.64210526315789473</v>
      </c>
      <c r="BI291" s="15">
        <f>+MIT_Vic_Cap[[#This Row],[Trenes Corridos]]/MIT_Vic_Cap[[#This Row],[Trenes Programados]]</f>
        <v>0.90599455040871935</v>
      </c>
      <c r="BJ291" s="16"/>
      <c r="BK291" s="16"/>
      <c r="BL291" s="16">
        <v>734</v>
      </c>
      <c r="BM291" s="16">
        <f t="shared" si="160"/>
        <v>69</v>
      </c>
      <c r="BN291" s="16">
        <v>665</v>
      </c>
      <c r="BO291" s="16">
        <v>427</v>
      </c>
      <c r="BP291" s="16">
        <f t="shared" si="161"/>
        <v>238</v>
      </c>
      <c r="BQ291" s="16"/>
      <c r="BR291" s="17"/>
      <c r="BS291" s="18">
        <v>2016</v>
      </c>
      <c r="BT291" s="21" t="s">
        <v>45</v>
      </c>
      <c r="BU291" s="15">
        <f>+Tabla8[[#This Row],[Trenes Puntuales]]/Tabla8[[#This Row],[Trenes Programados]]</f>
        <v>0.4946236559139785</v>
      </c>
      <c r="BV291" s="15">
        <f>+Tabla8[[#This Row],[Trenes Puntuales]]/Tabla8[[#This Row],[Trenes Corridos]]</f>
        <v>0.53801169590643272</v>
      </c>
      <c r="BW291" s="15">
        <f>+Tabla8[[#This Row],[Trenes Corridos]]/Tabla8[[#This Row],[Trenes Programados]]</f>
        <v>0.91935483870967738</v>
      </c>
      <c r="BX291" s="16"/>
      <c r="BY291" s="16"/>
      <c r="BZ291" s="16">
        <v>186</v>
      </c>
      <c r="CA291" s="16">
        <f t="shared" si="162"/>
        <v>15</v>
      </c>
      <c r="CB291" s="16">
        <v>171</v>
      </c>
      <c r="CC291" s="16">
        <v>92</v>
      </c>
      <c r="CD291" s="16">
        <f t="shared" si="163"/>
        <v>79</v>
      </c>
      <c r="CI291" s="40"/>
      <c r="CJ291" s="40"/>
      <c r="CK291" s="40"/>
      <c r="CL291" s="40"/>
      <c r="CM291" s="40"/>
    </row>
    <row r="292" spans="1:91" s="18" customFormat="1" ht="15" customHeight="1">
      <c r="A292" s="18">
        <v>2016</v>
      </c>
      <c r="B292" s="21" t="s">
        <v>46</v>
      </c>
      <c r="C292" s="15">
        <f>+MITRE[[#This Row],[Trenes Puntuales]]/MITRE[[#This Row],[Trenes Programados]]</f>
        <v>0.90063478628861615</v>
      </c>
      <c r="D292" s="15">
        <f>+MITRE[[#This Row],[Trenes Puntuales]]/MITRE[[#This Row],[Trenes Corridos]]</f>
        <v>0.91653746770025835</v>
      </c>
      <c r="E292" s="15">
        <f>+MITRE[[#This Row],[Trenes Corridos]]/MITRE[[#This Row],[Trenes Programados]]</f>
        <v>0.98264917477782476</v>
      </c>
      <c r="F292" s="16">
        <f>+Tabla4[[#This Row],[Trenes Programados por Día Hábil]]+Tabla5[[#This Row],[Trenes Programados por Día Hábil]]+Tabla6[[#This Row],[Trenes Programados por Día Hábil]]+MIT_Vic_Cap[[#This Row],[Trenes Programados por Día Hábil]]+Tabla8[[#This Row],[Trenes Programados por Día Hábil]]</f>
        <v>0</v>
      </c>
      <c r="G29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2" s="16">
        <f t="shared" si="139"/>
        <v>11815</v>
      </c>
      <c r="I292" s="16">
        <f t="shared" si="140"/>
        <v>205</v>
      </c>
      <c r="J292" s="16">
        <f t="shared" si="141"/>
        <v>11610</v>
      </c>
      <c r="K292" s="16">
        <f t="shared" si="142"/>
        <v>10641</v>
      </c>
      <c r="L292" s="16">
        <f t="shared" si="143"/>
        <v>969</v>
      </c>
      <c r="M292" s="16"/>
      <c r="N292" s="17"/>
      <c r="O292" s="18">
        <v>2016</v>
      </c>
      <c r="P292" s="21" t="s">
        <v>46</v>
      </c>
      <c r="Q292" s="15">
        <f>+Tabla4[[#This Row],[Trenes Puntuales]]/Tabla4[[#This Row],[Trenes Programados]]</f>
        <v>0.93394308943089432</v>
      </c>
      <c r="R292" s="15">
        <f>+Tabla4[[#This Row],[Trenes Puntuales]]/Tabla4[[#This Row],[Trenes Corridos]]</f>
        <v>0.94664194478780384</v>
      </c>
      <c r="S292" s="15">
        <f>+Tabla4[[#This Row],[Trenes Corridos]]/Tabla4[[#This Row],[Trenes Programados]]</f>
        <v>0.98658536585365852</v>
      </c>
      <c r="T292" s="16"/>
      <c r="U292" s="16"/>
      <c r="V292" s="16">
        <v>4920</v>
      </c>
      <c r="W292" s="16">
        <f t="shared" si="154"/>
        <v>66</v>
      </c>
      <c r="X292" s="16">
        <v>4854</v>
      </c>
      <c r="Y292" s="16">
        <v>4595</v>
      </c>
      <c r="Z292" s="16">
        <f t="shared" si="155"/>
        <v>259</v>
      </c>
      <c r="AA292" s="16"/>
      <c r="AB292" s="17"/>
      <c r="AC292" s="18">
        <v>2016</v>
      </c>
      <c r="AD292" s="21" t="s">
        <v>46</v>
      </c>
      <c r="AE292" s="15">
        <f>+Tabla5[[#This Row],[Trenes Puntuales]]/Tabla5[[#This Row],[Trenes Programados]]</f>
        <v>0.91978076731439962</v>
      </c>
      <c r="AF292" s="15">
        <f>+Tabla5[[#This Row],[Trenes Puntuales]]/Tabla5[[#This Row],[Trenes Corridos]]</f>
        <v>0.93279434057604849</v>
      </c>
      <c r="AG292" s="15">
        <f>+Tabla5[[#This Row],[Trenes Corridos]]/Tabla5[[#This Row],[Trenes Programados]]</f>
        <v>0.9860488290981565</v>
      </c>
      <c r="AH292" s="16"/>
      <c r="AI292" s="16"/>
      <c r="AJ292" s="16">
        <v>4014</v>
      </c>
      <c r="AK292" s="16">
        <f t="shared" si="156"/>
        <v>56</v>
      </c>
      <c r="AL292" s="16">
        <v>3958</v>
      </c>
      <c r="AM292" s="16">
        <v>3692</v>
      </c>
      <c r="AN292" s="16">
        <f t="shared" si="157"/>
        <v>266</v>
      </c>
      <c r="AO292" s="16"/>
      <c r="AP292" s="17"/>
      <c r="AQ292" s="18">
        <v>2016</v>
      </c>
      <c r="AR292" s="21" t="s">
        <v>46</v>
      </c>
      <c r="AS292" s="15">
        <f>+Tabla6[[#This Row],[Trenes Puntuales]]/Tabla6[[#This Row],[Trenes Programados]]</f>
        <v>0.91565656565656561</v>
      </c>
      <c r="AT292" s="15">
        <f>+Tabla6[[#This Row],[Trenes Puntuales]]/Tabla6[[#This Row],[Trenes Corridos]]</f>
        <v>0.9273657289002557</v>
      </c>
      <c r="AU292" s="15">
        <f>+Tabla6[[#This Row],[Trenes Corridos]]/Tabla6[[#This Row],[Trenes Programados]]</f>
        <v>0.98737373737373735</v>
      </c>
      <c r="AV292" s="16"/>
      <c r="AW292" s="16"/>
      <c r="AX292" s="16">
        <v>1980</v>
      </c>
      <c r="AY292" s="16">
        <f t="shared" si="158"/>
        <v>25</v>
      </c>
      <c r="AZ292" s="16">
        <v>1955</v>
      </c>
      <c r="BA292" s="16">
        <v>1813</v>
      </c>
      <c r="BB292" s="16">
        <f t="shared" si="159"/>
        <v>142</v>
      </c>
      <c r="BC292" s="16"/>
      <c r="BD292" s="17"/>
      <c r="BE292" s="18">
        <v>2016</v>
      </c>
      <c r="BF292" s="21" t="s">
        <v>46</v>
      </c>
      <c r="BG292" s="15">
        <f>+MIT_Vic_Cap[[#This Row],[Trenes Puntuales]]/MIT_Vic_Cap[[#This Row],[Trenes Programados]]</f>
        <v>0.61442441054091534</v>
      </c>
      <c r="BH292" s="15">
        <f>+MIT_Vic_Cap[[#This Row],[Trenes Puntuales]]/MIT_Vic_Cap[[#This Row],[Trenes Corridos]]</f>
        <v>0.66516516516516522</v>
      </c>
      <c r="BI292" s="15">
        <f>+MIT_Vic_Cap[[#This Row],[Trenes Corridos]]/MIT_Vic_Cap[[#This Row],[Trenes Programados]]</f>
        <v>0.92371705963938977</v>
      </c>
      <c r="BJ292" s="16"/>
      <c r="BK292" s="16"/>
      <c r="BL292" s="16">
        <v>721</v>
      </c>
      <c r="BM292" s="16">
        <f t="shared" si="160"/>
        <v>55</v>
      </c>
      <c r="BN292" s="16">
        <v>666</v>
      </c>
      <c r="BO292" s="16">
        <v>443</v>
      </c>
      <c r="BP292" s="16">
        <f t="shared" si="161"/>
        <v>223</v>
      </c>
      <c r="BQ292" s="16"/>
      <c r="BR292" s="17"/>
      <c r="BS292" s="18">
        <v>2016</v>
      </c>
      <c r="BT292" s="21" t="s">
        <v>46</v>
      </c>
      <c r="BU292" s="15">
        <f>+Tabla8[[#This Row],[Trenes Puntuales]]/Tabla8[[#This Row],[Trenes Programados]]</f>
        <v>0.5444444444444444</v>
      </c>
      <c r="BV292" s="15">
        <f>+Tabla8[[#This Row],[Trenes Puntuales]]/Tabla8[[#This Row],[Trenes Corridos]]</f>
        <v>0.5536723163841808</v>
      </c>
      <c r="BW292" s="15">
        <f>+Tabla8[[#This Row],[Trenes Corridos]]/Tabla8[[#This Row],[Trenes Programados]]</f>
        <v>0.98333333333333328</v>
      </c>
      <c r="BX292" s="16"/>
      <c r="BY292" s="16"/>
      <c r="BZ292" s="16">
        <v>180</v>
      </c>
      <c r="CA292" s="16">
        <f t="shared" si="162"/>
        <v>3</v>
      </c>
      <c r="CB292" s="16">
        <v>177</v>
      </c>
      <c r="CC292" s="16">
        <v>98</v>
      </c>
      <c r="CD292" s="16">
        <f t="shared" si="163"/>
        <v>79</v>
      </c>
      <c r="CI292" s="40"/>
      <c r="CJ292" s="40"/>
      <c r="CK292" s="40"/>
      <c r="CL292" s="40"/>
      <c r="CM292" s="40"/>
    </row>
    <row r="293" spans="1:91" s="18" customFormat="1" ht="15" customHeight="1">
      <c r="A293" s="18">
        <v>2016</v>
      </c>
      <c r="B293" s="21" t="s">
        <v>47</v>
      </c>
      <c r="C293" s="15">
        <f>+MITRE[[#This Row],[Trenes Puntuales]]/MITRE[[#This Row],[Trenes Programados]]</f>
        <v>0.87024340075419948</v>
      </c>
      <c r="D293" s="15">
        <f>+MITRE[[#This Row],[Trenes Puntuales]]/MITRE[[#This Row],[Trenes Corridos]]</f>
        <v>0.90693104680242942</v>
      </c>
      <c r="E293" s="15">
        <f>+MITRE[[#This Row],[Trenes Corridos]]/MITRE[[#This Row],[Trenes Programados]]</f>
        <v>0.9595474802879671</v>
      </c>
      <c r="F293" s="16">
        <f>+Tabla4[[#This Row],[Trenes Programados por Día Hábil]]+Tabla5[[#This Row],[Trenes Programados por Día Hábil]]+Tabla6[[#This Row],[Trenes Programados por Día Hábil]]+MIT_Vic_Cap[[#This Row],[Trenes Programados por Día Hábil]]+Tabla8[[#This Row],[Trenes Programados por Día Hábil]]</f>
        <v>0</v>
      </c>
      <c r="G29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3" s="16">
        <f t="shared" si="139"/>
        <v>11668</v>
      </c>
      <c r="I293" s="16">
        <f t="shared" si="140"/>
        <v>472</v>
      </c>
      <c r="J293" s="16">
        <f t="shared" si="141"/>
        <v>11196</v>
      </c>
      <c r="K293" s="16">
        <f t="shared" si="142"/>
        <v>10154</v>
      </c>
      <c r="L293" s="16">
        <f t="shared" si="143"/>
        <v>1042</v>
      </c>
      <c r="M293" s="16"/>
      <c r="N293" s="17"/>
      <c r="O293" s="18">
        <v>2016</v>
      </c>
      <c r="P293" s="21" t="s">
        <v>47</v>
      </c>
      <c r="Q293" s="15">
        <f>+Tabla4[[#This Row],[Trenes Puntuales]]/Tabla4[[#This Row],[Trenes Programados]]</f>
        <v>0.9080050293378038</v>
      </c>
      <c r="R293" s="15">
        <f>+Tabla4[[#This Row],[Trenes Puntuales]]/Tabla4[[#This Row],[Trenes Corridos]]</f>
        <v>0.94524432809773129</v>
      </c>
      <c r="S293" s="15">
        <f>+Tabla4[[#This Row],[Trenes Corridos]]/Tabla4[[#This Row],[Trenes Programados]]</f>
        <v>0.9606035205364627</v>
      </c>
      <c r="T293" s="16"/>
      <c r="U293" s="16"/>
      <c r="V293" s="16">
        <v>4772</v>
      </c>
      <c r="W293" s="16">
        <f t="shared" si="154"/>
        <v>188</v>
      </c>
      <c r="X293" s="16">
        <v>4584</v>
      </c>
      <c r="Y293" s="16">
        <v>4333</v>
      </c>
      <c r="Z293" s="16">
        <f t="shared" si="155"/>
        <v>251</v>
      </c>
      <c r="AA293" s="16"/>
      <c r="AB293" s="17"/>
      <c r="AC293" s="18">
        <v>2016</v>
      </c>
      <c r="AD293" s="21" t="s">
        <v>47</v>
      </c>
      <c r="AE293" s="15">
        <f>+Tabla5[[#This Row],[Trenes Puntuales]]/Tabla5[[#This Row],[Trenes Programados]]</f>
        <v>0.90229007633587788</v>
      </c>
      <c r="AF293" s="15">
        <f>+Tabla5[[#This Row],[Trenes Puntuales]]/Tabla5[[#This Row],[Trenes Corridos]]</f>
        <v>0.92705882352941171</v>
      </c>
      <c r="AG293" s="15">
        <f>+Tabla5[[#This Row],[Trenes Corridos]]/Tabla5[[#This Row],[Trenes Programados]]</f>
        <v>0.97328244274809161</v>
      </c>
      <c r="AH293" s="16"/>
      <c r="AI293" s="16"/>
      <c r="AJ293" s="16">
        <v>3930</v>
      </c>
      <c r="AK293" s="16">
        <f t="shared" si="156"/>
        <v>105</v>
      </c>
      <c r="AL293" s="16">
        <v>3825</v>
      </c>
      <c r="AM293" s="16">
        <v>3546</v>
      </c>
      <c r="AN293" s="16">
        <f t="shared" si="157"/>
        <v>279</v>
      </c>
      <c r="AO293" s="16"/>
      <c r="AP293" s="17"/>
      <c r="AQ293" s="18">
        <v>2016</v>
      </c>
      <c r="AR293" s="21" t="s">
        <v>47</v>
      </c>
      <c r="AS293" s="15">
        <f>+Tabla6[[#This Row],[Trenes Puntuales]]/Tabla6[[#This Row],[Trenes Programados]]</f>
        <v>0.88025415444770283</v>
      </c>
      <c r="AT293" s="15">
        <f>+Tabla6[[#This Row],[Trenes Puntuales]]/Tabla6[[#This Row],[Trenes Corridos]]</f>
        <v>0.90095047523761884</v>
      </c>
      <c r="AU293" s="15">
        <f>+Tabla6[[#This Row],[Trenes Corridos]]/Tabla6[[#This Row],[Trenes Programados]]</f>
        <v>0.97702834799608995</v>
      </c>
      <c r="AV293" s="16"/>
      <c r="AW293" s="16"/>
      <c r="AX293" s="16">
        <v>2046</v>
      </c>
      <c r="AY293" s="16">
        <f t="shared" si="158"/>
        <v>47</v>
      </c>
      <c r="AZ293" s="16">
        <v>1999</v>
      </c>
      <c r="BA293" s="16">
        <v>1801</v>
      </c>
      <c r="BB293" s="16">
        <f t="shared" si="159"/>
        <v>198</v>
      </c>
      <c r="BC293" s="16"/>
      <c r="BD293" s="17"/>
      <c r="BE293" s="18">
        <v>2016</v>
      </c>
      <c r="BF293" s="21" t="s">
        <v>47</v>
      </c>
      <c r="BG293" s="15">
        <f>+MIT_Vic_Cap[[#This Row],[Trenes Puntuales]]/MIT_Vic_Cap[[#This Row],[Trenes Programados]]</f>
        <v>0.49455040871934602</v>
      </c>
      <c r="BH293" s="15">
        <f>+MIT_Vic_Cap[[#This Row],[Trenes Puntuales]]/MIT_Vic_Cap[[#This Row],[Trenes Corridos]]</f>
        <v>0.59313725490196079</v>
      </c>
      <c r="BI293" s="15">
        <f>+MIT_Vic_Cap[[#This Row],[Trenes Corridos]]/MIT_Vic_Cap[[#This Row],[Trenes Programados]]</f>
        <v>0.83378746594005448</v>
      </c>
      <c r="BJ293" s="16"/>
      <c r="BK293" s="16"/>
      <c r="BL293" s="16">
        <v>734</v>
      </c>
      <c r="BM293" s="16">
        <f t="shared" si="160"/>
        <v>122</v>
      </c>
      <c r="BN293" s="16">
        <v>612</v>
      </c>
      <c r="BO293" s="16">
        <v>363</v>
      </c>
      <c r="BP293" s="16">
        <f t="shared" si="161"/>
        <v>249</v>
      </c>
      <c r="BQ293" s="16"/>
      <c r="BR293" s="17"/>
      <c r="BS293" s="18">
        <v>2016</v>
      </c>
      <c r="BT293" s="21" t="s">
        <v>47</v>
      </c>
      <c r="BU293" s="15">
        <f>+Tabla8[[#This Row],[Trenes Puntuales]]/Tabla8[[#This Row],[Trenes Programados]]</f>
        <v>0.59677419354838712</v>
      </c>
      <c r="BV293" s="15">
        <f>+Tabla8[[#This Row],[Trenes Puntuales]]/Tabla8[[#This Row],[Trenes Corridos]]</f>
        <v>0.63068181818181823</v>
      </c>
      <c r="BW293" s="15">
        <f>+Tabla8[[#This Row],[Trenes Corridos]]/Tabla8[[#This Row],[Trenes Programados]]</f>
        <v>0.94623655913978499</v>
      </c>
      <c r="BX293" s="16"/>
      <c r="BY293" s="16"/>
      <c r="BZ293" s="16">
        <v>186</v>
      </c>
      <c r="CA293" s="16">
        <f t="shared" si="162"/>
        <v>10</v>
      </c>
      <c r="CB293" s="16">
        <v>176</v>
      </c>
      <c r="CC293" s="16">
        <v>111</v>
      </c>
      <c r="CD293" s="16">
        <f t="shared" si="163"/>
        <v>65</v>
      </c>
      <c r="CI293" s="40"/>
      <c r="CJ293" s="40"/>
      <c r="CK293" s="40"/>
      <c r="CL293" s="40"/>
      <c r="CM293" s="40"/>
    </row>
    <row r="294" spans="1:91" s="18" customFormat="1" ht="15" customHeight="1">
      <c r="A294" s="18">
        <v>2017</v>
      </c>
      <c r="B294" s="21" t="s">
        <v>36</v>
      </c>
      <c r="C294" s="15">
        <f>+MITRE[[#This Row],[Trenes Puntuales]]/MITRE[[#This Row],[Trenes Programados]]</f>
        <v>0.90569536423841057</v>
      </c>
      <c r="D294" s="15">
        <f>+MITRE[[#This Row],[Trenes Puntuales]]/MITRE[[#This Row],[Trenes Corridos]]</f>
        <v>0.92148054981582972</v>
      </c>
      <c r="E294" s="15">
        <f>+MITRE[[#This Row],[Trenes Corridos]]/MITRE[[#This Row],[Trenes Programados]]</f>
        <v>0.98286975717439296</v>
      </c>
      <c r="F294" s="16">
        <f>+Tabla4[[#This Row],[Trenes Programados por Día Hábil]]+Tabla5[[#This Row],[Trenes Programados por Día Hábil]]+Tabla6[[#This Row],[Trenes Programados por Día Hábil]]+MIT_Vic_Cap[[#This Row],[Trenes Programados por Día Hábil]]+Tabla8[[#This Row],[Trenes Programados por Día Hábil]]</f>
        <v>0</v>
      </c>
      <c r="G29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4" s="16">
        <f t="shared" si="139"/>
        <v>11325</v>
      </c>
      <c r="I294" s="16">
        <f t="shared" si="140"/>
        <v>194</v>
      </c>
      <c r="J294" s="16">
        <f t="shared" si="141"/>
        <v>11131</v>
      </c>
      <c r="K294" s="16">
        <f t="shared" si="142"/>
        <v>10257</v>
      </c>
      <c r="L294" s="16">
        <f t="shared" si="143"/>
        <v>874</v>
      </c>
      <c r="M294" s="16"/>
      <c r="N294" s="17"/>
      <c r="O294" s="18">
        <v>2017</v>
      </c>
      <c r="P294" s="21" t="s">
        <v>36</v>
      </c>
      <c r="Q294" s="15">
        <f>+Tabla4[[#This Row],[Trenes Puntuales]]/Tabla4[[#This Row],[Trenes Programados]]</f>
        <v>0.95242290748898684</v>
      </c>
      <c r="R294" s="15">
        <f>+Tabla4[[#This Row],[Trenes Puntuales]]/Tabla4[[#This Row],[Trenes Corridos]]</f>
        <v>0.96994167788245855</v>
      </c>
      <c r="S294" s="15">
        <f>+Tabla4[[#This Row],[Trenes Corridos]]/Tabla4[[#This Row],[Trenes Programados]]</f>
        <v>0.98193832599118946</v>
      </c>
      <c r="T294" s="16"/>
      <c r="U294" s="16"/>
      <c r="V294" s="16">
        <v>4540</v>
      </c>
      <c r="W294" s="16">
        <f t="shared" ref="W294:W305" si="164">V294-X294</f>
        <v>82</v>
      </c>
      <c r="X294" s="16">
        <v>4458</v>
      </c>
      <c r="Y294" s="16">
        <v>4324</v>
      </c>
      <c r="Z294" s="16">
        <f t="shared" ref="Z294:Z305" si="165">X294-Y294</f>
        <v>134</v>
      </c>
      <c r="AA294" s="16"/>
      <c r="AB294" s="17"/>
      <c r="AC294" s="18">
        <v>2017</v>
      </c>
      <c r="AD294" s="21" t="s">
        <v>36</v>
      </c>
      <c r="AE294" s="15">
        <f>+Tabla5[[#This Row],[Trenes Puntuales]]/Tabla5[[#This Row],[Trenes Programados]]</f>
        <v>0.9387808723068839</v>
      </c>
      <c r="AF294" s="15">
        <f>+Tabla5[[#This Row],[Trenes Puntuales]]/Tabla5[[#This Row],[Trenes Corridos]]</f>
        <v>0.94674085850556444</v>
      </c>
      <c r="AG294" s="15">
        <f>+Tabla5[[#This Row],[Trenes Corridos]]/Tabla5[[#This Row],[Trenes Programados]]</f>
        <v>0.9915922228060956</v>
      </c>
      <c r="AH294" s="16"/>
      <c r="AI294" s="16"/>
      <c r="AJ294" s="16">
        <v>3806</v>
      </c>
      <c r="AK294" s="16">
        <f t="shared" ref="AK294:AK305" si="166">AJ294-AL294</f>
        <v>32</v>
      </c>
      <c r="AL294" s="16">
        <v>3774</v>
      </c>
      <c r="AM294" s="16">
        <v>3573</v>
      </c>
      <c r="AN294" s="16">
        <f t="shared" ref="AN294:AN305" si="167">AL294-AM294</f>
        <v>201</v>
      </c>
      <c r="AO294" s="16"/>
      <c r="AP294" s="17"/>
      <c r="AQ294" s="18">
        <v>2017</v>
      </c>
      <c r="AR294" s="21" t="s">
        <v>36</v>
      </c>
      <c r="AS294" s="15">
        <f>+Tabla6[[#This Row],[Trenes Puntuales]]/Tabla6[[#This Row],[Trenes Programados]]</f>
        <v>0.89882697947214074</v>
      </c>
      <c r="AT294" s="15">
        <f>+Tabla6[[#This Row],[Trenes Puntuales]]/Tabla6[[#This Row],[Trenes Corridos]]</f>
        <v>0.90457452041318254</v>
      </c>
      <c r="AU294" s="15">
        <f>+Tabla6[[#This Row],[Trenes Corridos]]/Tabla6[[#This Row],[Trenes Programados]]</f>
        <v>0.99364613880742914</v>
      </c>
      <c r="AV294" s="16"/>
      <c r="AW294" s="16"/>
      <c r="AX294" s="16">
        <v>2046</v>
      </c>
      <c r="AY294" s="16">
        <f t="shared" ref="AY294:AY305" si="168">AX294-AZ294</f>
        <v>13</v>
      </c>
      <c r="AZ294" s="16">
        <v>2033</v>
      </c>
      <c r="BA294" s="16">
        <v>1839</v>
      </c>
      <c r="BB294" s="16">
        <f t="shared" ref="BB294:BB305" si="169">AZ294-BA294</f>
        <v>194</v>
      </c>
      <c r="BC294" s="16"/>
      <c r="BD294" s="17"/>
      <c r="BE294" s="18">
        <v>2017</v>
      </c>
      <c r="BF294" s="21" t="s">
        <v>36</v>
      </c>
      <c r="BG294" s="15">
        <f>+MIT_Vic_Cap[[#This Row],[Trenes Puntuales]]/MIT_Vic_Cap[[#This Row],[Trenes Programados]]</f>
        <v>0.57697456492637211</v>
      </c>
      <c r="BH294" s="15">
        <f>+MIT_Vic_Cap[[#This Row],[Trenes Puntuales]]/MIT_Vic_Cap[[#This Row],[Trenes Corridos]]</f>
        <v>0.62554426705370103</v>
      </c>
      <c r="BI294" s="15">
        <f>+MIT_Vic_Cap[[#This Row],[Trenes Corridos]]/MIT_Vic_Cap[[#This Row],[Trenes Programados]]</f>
        <v>0.92235609103078986</v>
      </c>
      <c r="BJ294" s="16"/>
      <c r="BK294" s="16"/>
      <c r="BL294" s="16">
        <v>747</v>
      </c>
      <c r="BM294" s="16">
        <f t="shared" ref="BM294:BM305" si="170">BL294-BN294</f>
        <v>58</v>
      </c>
      <c r="BN294" s="16">
        <v>689</v>
      </c>
      <c r="BO294" s="16">
        <v>431</v>
      </c>
      <c r="BP294" s="16">
        <f t="shared" ref="BP294:BP305" si="171">BN294-BO294</f>
        <v>258</v>
      </c>
      <c r="BQ294" s="16"/>
      <c r="BR294" s="17"/>
      <c r="BS294" s="18">
        <v>2017</v>
      </c>
      <c r="BT294" s="21" t="s">
        <v>36</v>
      </c>
      <c r="BU294" s="15">
        <f>+Tabla8[[#This Row],[Trenes Puntuales]]/Tabla8[[#This Row],[Trenes Programados]]</f>
        <v>0.4838709677419355</v>
      </c>
      <c r="BV294" s="15">
        <f>+Tabla8[[#This Row],[Trenes Puntuales]]/Tabla8[[#This Row],[Trenes Corridos]]</f>
        <v>0.50847457627118642</v>
      </c>
      <c r="BW294" s="15">
        <f>+Tabla8[[#This Row],[Trenes Corridos]]/Tabla8[[#This Row],[Trenes Programados]]</f>
        <v>0.95161290322580649</v>
      </c>
      <c r="BX294" s="16"/>
      <c r="BY294" s="16"/>
      <c r="BZ294" s="16">
        <v>186</v>
      </c>
      <c r="CA294" s="16">
        <f t="shared" ref="CA294:CA305" si="172">BZ294-CB294</f>
        <v>9</v>
      </c>
      <c r="CB294" s="16">
        <v>177</v>
      </c>
      <c r="CC294" s="16">
        <v>90</v>
      </c>
      <c r="CD294" s="16">
        <f t="shared" ref="CD294:CD305" si="173">CB294-CC294</f>
        <v>87</v>
      </c>
      <c r="CI294" s="40"/>
      <c r="CJ294" s="40"/>
      <c r="CK294" s="40"/>
      <c r="CL294" s="40"/>
      <c r="CM294" s="40"/>
    </row>
    <row r="295" spans="1:91" s="18" customFormat="1" ht="15" customHeight="1">
      <c r="A295" s="18">
        <v>2017</v>
      </c>
      <c r="B295" s="21" t="s">
        <v>37</v>
      </c>
      <c r="C295" s="15">
        <f>+MITRE[[#This Row],[Trenes Puntuales]]/MITRE[[#This Row],[Trenes Programados]]</f>
        <v>0.89323070850601938</v>
      </c>
      <c r="D295" s="15">
        <f>+MITRE[[#This Row],[Trenes Puntuales]]/MITRE[[#This Row],[Trenes Corridos]]</f>
        <v>0.9120403022670025</v>
      </c>
      <c r="E295" s="15">
        <f>+MITRE[[#This Row],[Trenes Corridos]]/MITRE[[#This Row],[Trenes Programados]]</f>
        <v>0.97937635681863033</v>
      </c>
      <c r="F295" s="16">
        <f>+Tabla4[[#This Row],[Trenes Programados por Día Hábil]]+Tabla5[[#This Row],[Trenes Programados por Día Hábil]]+Tabla6[[#This Row],[Trenes Programados por Día Hábil]]+MIT_Vic_Cap[[#This Row],[Trenes Programados por Día Hábil]]+Tabla8[[#This Row],[Trenes Programados por Día Hábil]]</f>
        <v>0</v>
      </c>
      <c r="G29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5" s="16">
        <f t="shared" si="139"/>
        <v>10134</v>
      </c>
      <c r="I295" s="16">
        <f t="shared" si="140"/>
        <v>209</v>
      </c>
      <c r="J295" s="16">
        <f t="shared" si="141"/>
        <v>9925</v>
      </c>
      <c r="K295" s="16">
        <f t="shared" si="142"/>
        <v>9052</v>
      </c>
      <c r="L295" s="16">
        <f t="shared" si="143"/>
        <v>873</v>
      </c>
      <c r="M295" s="16"/>
      <c r="N295" s="17"/>
      <c r="O295" s="18">
        <v>2017</v>
      </c>
      <c r="P295" s="21" t="s">
        <v>37</v>
      </c>
      <c r="Q295" s="15">
        <f>+Tabla4[[#This Row],[Trenes Puntuales]]/Tabla4[[#This Row],[Trenes Programados]]</f>
        <v>0.92472852912142156</v>
      </c>
      <c r="R295" s="15">
        <f>+Tabla4[[#This Row],[Trenes Puntuales]]/Tabla4[[#This Row],[Trenes Corridos]]</f>
        <v>0.93815723585378064</v>
      </c>
      <c r="S295" s="15">
        <f>+Tabla4[[#This Row],[Trenes Corridos]]/Tabla4[[#This Row],[Trenes Programados]]</f>
        <v>0.98568608094768018</v>
      </c>
      <c r="T295" s="16"/>
      <c r="U295" s="16"/>
      <c r="V295" s="16">
        <v>4052</v>
      </c>
      <c r="W295" s="16">
        <f t="shared" si="164"/>
        <v>58</v>
      </c>
      <c r="X295" s="16">
        <v>3994</v>
      </c>
      <c r="Y295" s="16">
        <v>3747</v>
      </c>
      <c r="Z295" s="16">
        <f t="shared" si="165"/>
        <v>247</v>
      </c>
      <c r="AA295" s="16"/>
      <c r="AB295" s="17"/>
      <c r="AC295" s="18">
        <v>2017</v>
      </c>
      <c r="AD295" s="21" t="s">
        <v>37</v>
      </c>
      <c r="AE295" s="15">
        <f>+Tabla5[[#This Row],[Trenes Puntuales]]/Tabla5[[#This Row],[Trenes Programados]]</f>
        <v>0.92920094007050524</v>
      </c>
      <c r="AF295" s="15">
        <f>+Tabla5[[#This Row],[Trenes Puntuales]]/Tabla5[[#This Row],[Trenes Corridos]]</f>
        <v>0.94277198211624436</v>
      </c>
      <c r="AG295" s="15">
        <f>+Tabla5[[#This Row],[Trenes Corridos]]/Tabla5[[#This Row],[Trenes Programados]]</f>
        <v>0.98560517038777906</v>
      </c>
      <c r="AH295" s="16"/>
      <c r="AI295" s="16"/>
      <c r="AJ295" s="16">
        <v>3404</v>
      </c>
      <c r="AK295" s="16">
        <f t="shared" si="166"/>
        <v>49</v>
      </c>
      <c r="AL295" s="16">
        <v>3355</v>
      </c>
      <c r="AM295" s="16">
        <v>3163</v>
      </c>
      <c r="AN295" s="16">
        <f t="shared" si="167"/>
        <v>192</v>
      </c>
      <c r="AO295" s="16"/>
      <c r="AP295" s="17"/>
      <c r="AQ295" s="18">
        <v>2017</v>
      </c>
      <c r="AR295" s="21" t="s">
        <v>37</v>
      </c>
      <c r="AS295" s="15">
        <f>+Tabla6[[#This Row],[Trenes Puntuales]]/Tabla6[[#This Row],[Trenes Programados]]</f>
        <v>0.88582251082251084</v>
      </c>
      <c r="AT295" s="15">
        <f>+Tabla6[[#This Row],[Trenes Puntuales]]/Tabla6[[#This Row],[Trenes Corridos]]</f>
        <v>0.90893947806774011</v>
      </c>
      <c r="AU295" s="15">
        <f>+Tabla6[[#This Row],[Trenes Corridos]]/Tabla6[[#This Row],[Trenes Programados]]</f>
        <v>0.97456709956709953</v>
      </c>
      <c r="AV295" s="16"/>
      <c r="AW295" s="16"/>
      <c r="AX295" s="16">
        <v>1848</v>
      </c>
      <c r="AY295" s="16">
        <f t="shared" si="168"/>
        <v>47</v>
      </c>
      <c r="AZ295" s="16">
        <v>1801</v>
      </c>
      <c r="BA295" s="16">
        <v>1637</v>
      </c>
      <c r="BB295" s="16">
        <f t="shared" si="169"/>
        <v>164</v>
      </c>
      <c r="BC295" s="16"/>
      <c r="BD295" s="17"/>
      <c r="BE295" s="18">
        <v>2017</v>
      </c>
      <c r="BF295" s="21" t="s">
        <v>37</v>
      </c>
      <c r="BG295" s="15">
        <f>+MIT_Vic_Cap[[#This Row],[Trenes Puntuales]]/MIT_Vic_Cap[[#This Row],[Trenes Programados]]</f>
        <v>0.6344410876132931</v>
      </c>
      <c r="BH295" s="15">
        <f>+MIT_Vic_Cap[[#This Row],[Trenes Puntuales]]/MIT_Vic_Cap[[#This Row],[Trenes Corridos]]</f>
        <v>0.68071312803889794</v>
      </c>
      <c r="BI295" s="15">
        <f>+MIT_Vic_Cap[[#This Row],[Trenes Corridos]]/MIT_Vic_Cap[[#This Row],[Trenes Programados]]</f>
        <v>0.93202416918428999</v>
      </c>
      <c r="BJ295" s="16"/>
      <c r="BK295" s="16"/>
      <c r="BL295" s="16">
        <v>662</v>
      </c>
      <c r="BM295" s="16">
        <f t="shared" si="170"/>
        <v>45</v>
      </c>
      <c r="BN295" s="16">
        <v>617</v>
      </c>
      <c r="BO295" s="16">
        <v>420</v>
      </c>
      <c r="BP295" s="16">
        <f t="shared" si="171"/>
        <v>197</v>
      </c>
      <c r="BQ295" s="16"/>
      <c r="BR295" s="17"/>
      <c r="BS295" s="18">
        <v>2017</v>
      </c>
      <c r="BT295" s="21" t="s">
        <v>37</v>
      </c>
      <c r="BU295" s="15">
        <f>+Tabla8[[#This Row],[Trenes Puntuales]]/Tabla8[[#This Row],[Trenes Programados]]</f>
        <v>0.50595238095238093</v>
      </c>
      <c r="BV295" s="15">
        <f>+Tabla8[[#This Row],[Trenes Puntuales]]/Tabla8[[#This Row],[Trenes Corridos]]</f>
        <v>0.53797468354430378</v>
      </c>
      <c r="BW295" s="15">
        <f>+Tabla8[[#This Row],[Trenes Corridos]]/Tabla8[[#This Row],[Trenes Programados]]</f>
        <v>0.94047619047619047</v>
      </c>
      <c r="BX295" s="16"/>
      <c r="BY295" s="16"/>
      <c r="BZ295" s="16">
        <v>168</v>
      </c>
      <c r="CA295" s="16">
        <f t="shared" si="172"/>
        <v>10</v>
      </c>
      <c r="CB295" s="16">
        <v>158</v>
      </c>
      <c r="CC295" s="16">
        <v>85</v>
      </c>
      <c r="CD295" s="16">
        <f t="shared" si="173"/>
        <v>73</v>
      </c>
      <c r="CI295" s="40"/>
      <c r="CJ295" s="40"/>
      <c r="CK295" s="40"/>
      <c r="CL295" s="40"/>
      <c r="CM295" s="40"/>
    </row>
    <row r="296" spans="1:91" s="18" customFormat="1" ht="15" customHeight="1">
      <c r="A296" s="18">
        <v>2017</v>
      </c>
      <c r="B296" s="21" t="s">
        <v>38</v>
      </c>
      <c r="C296" s="15">
        <f>+MITRE[[#This Row],[Trenes Puntuales]]/MITRE[[#This Row],[Trenes Programados]]</f>
        <v>0.83689994216310004</v>
      </c>
      <c r="D296" s="15">
        <f>+MITRE[[#This Row],[Trenes Puntuales]]/MITRE[[#This Row],[Trenes Corridos]]</f>
        <v>0.85505655917609324</v>
      </c>
      <c r="E296" s="15">
        <f>+MITRE[[#This Row],[Trenes Corridos]]/MITRE[[#This Row],[Trenes Programados]]</f>
        <v>0.97876559530694873</v>
      </c>
      <c r="F296" s="16">
        <f>+Tabla4[[#This Row],[Trenes Programados por Día Hábil]]+Tabla5[[#This Row],[Trenes Programados por Día Hábil]]+Tabla6[[#This Row],[Trenes Programados por Día Hábil]]+MIT_Vic_Cap[[#This Row],[Trenes Programados por Día Hábil]]+Tabla8[[#This Row],[Trenes Programados por Día Hábil]]</f>
        <v>0</v>
      </c>
      <c r="G29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6" s="16">
        <f t="shared" si="139"/>
        <v>12103</v>
      </c>
      <c r="I296" s="16">
        <f t="shared" si="140"/>
        <v>257</v>
      </c>
      <c r="J296" s="16">
        <f t="shared" si="141"/>
        <v>11846</v>
      </c>
      <c r="K296" s="16">
        <f t="shared" si="142"/>
        <v>10129</v>
      </c>
      <c r="L296" s="16">
        <f t="shared" si="143"/>
        <v>1717</v>
      </c>
      <c r="M296" s="16"/>
      <c r="N296" s="17"/>
      <c r="O296" s="18">
        <v>2017</v>
      </c>
      <c r="P296" s="21" t="s">
        <v>38</v>
      </c>
      <c r="Q296" s="15">
        <f>+Tabla4[[#This Row],[Trenes Puntuales]]/Tabla4[[#This Row],[Trenes Programados]]</f>
        <v>0.78919026725169528</v>
      </c>
      <c r="R296" s="15">
        <f>+Tabla4[[#This Row],[Trenes Puntuales]]/Tabla4[[#This Row],[Trenes Corridos]]</f>
        <v>0.81537193488563775</v>
      </c>
      <c r="S296" s="15">
        <f>+Tabla4[[#This Row],[Trenes Corridos]]/Tabla4[[#This Row],[Trenes Programados]]</f>
        <v>0.9678899082568807</v>
      </c>
      <c r="T296" s="16"/>
      <c r="U296" s="16"/>
      <c r="V296" s="16">
        <v>5014</v>
      </c>
      <c r="W296" s="16">
        <f t="shared" si="164"/>
        <v>161</v>
      </c>
      <c r="X296" s="16">
        <v>4853</v>
      </c>
      <c r="Y296" s="16">
        <v>3957</v>
      </c>
      <c r="Z296" s="16">
        <f t="shared" si="165"/>
        <v>896</v>
      </c>
      <c r="AA296" s="16"/>
      <c r="AB296" s="17"/>
      <c r="AC296" s="18">
        <v>2017</v>
      </c>
      <c r="AD296" s="21" t="s">
        <v>38</v>
      </c>
      <c r="AE296" s="15">
        <f>+Tabla5[[#This Row],[Trenes Puntuales]]/Tabla5[[#This Row],[Trenes Programados]]</f>
        <v>0.91362530413625309</v>
      </c>
      <c r="AF296" s="15">
        <f>+Tabla5[[#This Row],[Trenes Puntuales]]/Tabla5[[#This Row],[Trenes Corridos]]</f>
        <v>0.92124631992149164</v>
      </c>
      <c r="AG296" s="15">
        <f>+Tabla5[[#This Row],[Trenes Corridos]]/Tabla5[[#This Row],[Trenes Programados]]</f>
        <v>0.99172749391727499</v>
      </c>
      <c r="AH296" s="16"/>
      <c r="AI296" s="16"/>
      <c r="AJ296" s="16">
        <v>4110</v>
      </c>
      <c r="AK296" s="16">
        <f t="shared" si="166"/>
        <v>34</v>
      </c>
      <c r="AL296" s="16">
        <v>4076</v>
      </c>
      <c r="AM296" s="16">
        <v>3755</v>
      </c>
      <c r="AN296" s="16">
        <f t="shared" si="167"/>
        <v>321</v>
      </c>
      <c r="AO296" s="16"/>
      <c r="AP296" s="17"/>
      <c r="AQ296" s="18">
        <v>2017</v>
      </c>
      <c r="AR296" s="21" t="s">
        <v>38</v>
      </c>
      <c r="AS296" s="15">
        <f>+Tabla6[[#This Row],[Trenes Puntuales]]/Tabla6[[#This Row],[Trenes Programados]]</f>
        <v>0.88220918866080156</v>
      </c>
      <c r="AT296" s="15">
        <f>+Tabla6[[#This Row],[Trenes Puntuales]]/Tabla6[[#This Row],[Trenes Corridos]]</f>
        <v>0.89135802469135805</v>
      </c>
      <c r="AU296" s="15">
        <f>+Tabla6[[#This Row],[Trenes Corridos]]/Tabla6[[#This Row],[Trenes Programados]]</f>
        <v>0.98973607038123168</v>
      </c>
      <c r="AV296" s="16"/>
      <c r="AW296" s="16"/>
      <c r="AX296" s="16">
        <v>2046</v>
      </c>
      <c r="AY296" s="16">
        <f t="shared" si="168"/>
        <v>21</v>
      </c>
      <c r="AZ296" s="16">
        <v>2025</v>
      </c>
      <c r="BA296" s="16">
        <v>1805</v>
      </c>
      <c r="BB296" s="16">
        <f t="shared" si="169"/>
        <v>220</v>
      </c>
      <c r="BC296" s="16"/>
      <c r="BD296" s="17"/>
      <c r="BE296" s="18">
        <v>2017</v>
      </c>
      <c r="BF296" s="21" t="s">
        <v>38</v>
      </c>
      <c r="BG296" s="15">
        <f>+MIT_Vic_Cap[[#This Row],[Trenes Puntuales]]/MIT_Vic_Cap[[#This Row],[Trenes Programados]]</f>
        <v>0.69076305220883538</v>
      </c>
      <c r="BH296" s="15">
        <f>+MIT_Vic_Cap[[#This Row],[Trenes Puntuales]]/MIT_Vic_Cap[[#This Row],[Trenes Corridos]]</f>
        <v>0.72881355932203384</v>
      </c>
      <c r="BI296" s="15">
        <f>+MIT_Vic_Cap[[#This Row],[Trenes Corridos]]/MIT_Vic_Cap[[#This Row],[Trenes Programados]]</f>
        <v>0.94779116465863456</v>
      </c>
      <c r="BJ296" s="16"/>
      <c r="BK296" s="16"/>
      <c r="BL296" s="16">
        <v>747</v>
      </c>
      <c r="BM296" s="16">
        <f t="shared" si="170"/>
        <v>39</v>
      </c>
      <c r="BN296" s="16">
        <v>708</v>
      </c>
      <c r="BO296" s="16">
        <v>516</v>
      </c>
      <c r="BP296" s="16">
        <f t="shared" si="171"/>
        <v>192</v>
      </c>
      <c r="BQ296" s="16"/>
      <c r="BR296" s="17"/>
      <c r="BS296" s="18">
        <v>2017</v>
      </c>
      <c r="BT296" s="21" t="s">
        <v>38</v>
      </c>
      <c r="BU296" s="15">
        <f>+Tabla8[[#This Row],[Trenes Puntuales]]/Tabla8[[#This Row],[Trenes Programados]]</f>
        <v>0.5161290322580645</v>
      </c>
      <c r="BV296" s="15">
        <f>+Tabla8[[#This Row],[Trenes Puntuales]]/Tabla8[[#This Row],[Trenes Corridos]]</f>
        <v>0.52173913043478259</v>
      </c>
      <c r="BW296" s="15">
        <f>+Tabla8[[#This Row],[Trenes Corridos]]/Tabla8[[#This Row],[Trenes Programados]]</f>
        <v>0.989247311827957</v>
      </c>
      <c r="BX296" s="16"/>
      <c r="BY296" s="16"/>
      <c r="BZ296" s="16">
        <v>186</v>
      </c>
      <c r="CA296" s="16">
        <f t="shared" si="172"/>
        <v>2</v>
      </c>
      <c r="CB296" s="16">
        <v>184</v>
      </c>
      <c r="CC296" s="16">
        <v>96</v>
      </c>
      <c r="CD296" s="16">
        <f t="shared" si="173"/>
        <v>88</v>
      </c>
      <c r="CI296" s="40"/>
      <c r="CJ296" s="40"/>
      <c r="CK296" s="40"/>
      <c r="CL296" s="40"/>
      <c r="CM296" s="40"/>
    </row>
    <row r="297" spans="1:91" s="18" customFormat="1" ht="15" customHeight="1">
      <c r="A297" s="18">
        <v>2017</v>
      </c>
      <c r="B297" s="21" t="s">
        <v>39</v>
      </c>
      <c r="C297" s="15">
        <f>+MITRE[[#This Row],[Trenes Puntuales]]/MITRE[[#This Row],[Trenes Programados]]</f>
        <v>0.81959564541213059</v>
      </c>
      <c r="D297" s="15">
        <f>+MITRE[[#This Row],[Trenes Puntuales]]/MITRE[[#This Row],[Trenes Corridos]]</f>
        <v>0.88037122969837589</v>
      </c>
      <c r="E297" s="15">
        <f>+MITRE[[#This Row],[Trenes Corridos]]/MITRE[[#This Row],[Trenes Programados]]</f>
        <v>0.93096595818213235</v>
      </c>
      <c r="F297" s="16">
        <f>+Tabla4[[#This Row],[Trenes Programados por Día Hábil]]+Tabla5[[#This Row],[Trenes Programados por Día Hábil]]+Tabla6[[#This Row],[Trenes Programados por Día Hábil]]+MIT_Vic_Cap[[#This Row],[Trenes Programados por Día Hábil]]+Tabla8[[#This Row],[Trenes Programados por Día Hábil]]</f>
        <v>0</v>
      </c>
      <c r="G29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7" s="16">
        <f t="shared" si="139"/>
        <v>11574</v>
      </c>
      <c r="I297" s="16">
        <f t="shared" si="140"/>
        <v>799</v>
      </c>
      <c r="J297" s="16">
        <f t="shared" si="141"/>
        <v>10775</v>
      </c>
      <c r="K297" s="16">
        <f t="shared" si="142"/>
        <v>9486</v>
      </c>
      <c r="L297" s="16">
        <f t="shared" si="143"/>
        <v>1289</v>
      </c>
      <c r="M297" s="16"/>
      <c r="N297" s="17"/>
      <c r="O297" s="18">
        <v>2017</v>
      </c>
      <c r="P297" s="21" t="s">
        <v>39</v>
      </c>
      <c r="Q297" s="15">
        <f>+Tabla4[[#This Row],[Trenes Puntuales]]/Tabla4[[#This Row],[Trenes Programados]]</f>
        <v>0.81833333333333336</v>
      </c>
      <c r="R297" s="15">
        <f>+Tabla4[[#This Row],[Trenes Puntuales]]/Tabla4[[#This Row],[Trenes Corridos]]</f>
        <v>0.87619897390140533</v>
      </c>
      <c r="S297" s="15">
        <f>+Tabla4[[#This Row],[Trenes Corridos]]/Tabla4[[#This Row],[Trenes Programados]]</f>
        <v>0.93395833333333333</v>
      </c>
      <c r="T297" s="16"/>
      <c r="U297" s="16"/>
      <c r="V297" s="16">
        <v>4800</v>
      </c>
      <c r="W297" s="16">
        <f t="shared" si="164"/>
        <v>317</v>
      </c>
      <c r="X297" s="16">
        <v>4483</v>
      </c>
      <c r="Y297" s="16">
        <v>3928</v>
      </c>
      <c r="Z297" s="16">
        <f t="shared" si="165"/>
        <v>555</v>
      </c>
      <c r="AA297" s="16"/>
      <c r="AB297" s="17"/>
      <c r="AC297" s="18">
        <v>2017</v>
      </c>
      <c r="AD297" s="21" t="s">
        <v>39</v>
      </c>
      <c r="AE297" s="15">
        <f>+Tabla5[[#This Row],[Trenes Puntuales]]/Tabla5[[#This Row],[Trenes Programados]]</f>
        <v>0.8693762781186094</v>
      </c>
      <c r="AF297" s="15">
        <f>+Tabla5[[#This Row],[Trenes Puntuales]]/Tabla5[[#This Row],[Trenes Corridos]]</f>
        <v>0.92847392847392851</v>
      </c>
      <c r="AG297" s="15">
        <f>+Tabla5[[#This Row],[Trenes Corridos]]/Tabla5[[#This Row],[Trenes Programados]]</f>
        <v>0.93634969325153372</v>
      </c>
      <c r="AH297" s="16"/>
      <c r="AI297" s="16"/>
      <c r="AJ297" s="16">
        <v>3912</v>
      </c>
      <c r="AK297" s="16">
        <f t="shared" si="166"/>
        <v>249</v>
      </c>
      <c r="AL297" s="16">
        <v>3663</v>
      </c>
      <c r="AM297" s="16">
        <v>3401</v>
      </c>
      <c r="AN297" s="16">
        <f t="shared" si="167"/>
        <v>262</v>
      </c>
      <c r="AO297" s="16"/>
      <c r="AP297" s="17"/>
      <c r="AQ297" s="18">
        <v>2017</v>
      </c>
      <c r="AR297" s="21" t="s">
        <v>39</v>
      </c>
      <c r="AS297" s="15">
        <f>+Tabla6[[#This Row],[Trenes Puntuales]]/Tabla6[[#This Row],[Trenes Programados]]</f>
        <v>0.84141414141414139</v>
      </c>
      <c r="AT297" s="15">
        <f>+Tabla6[[#This Row],[Trenes Puntuales]]/Tabla6[[#This Row],[Trenes Corridos]]</f>
        <v>0.88900747065101382</v>
      </c>
      <c r="AU297" s="15">
        <f>+Tabla6[[#This Row],[Trenes Corridos]]/Tabla6[[#This Row],[Trenes Programados]]</f>
        <v>0.94646464646464645</v>
      </c>
      <c r="AV297" s="16"/>
      <c r="AW297" s="16"/>
      <c r="AX297" s="16">
        <v>1980</v>
      </c>
      <c r="AY297" s="16">
        <f t="shared" si="168"/>
        <v>106</v>
      </c>
      <c r="AZ297" s="16">
        <v>1874</v>
      </c>
      <c r="BA297" s="16">
        <v>1666</v>
      </c>
      <c r="BB297" s="16">
        <f t="shared" si="169"/>
        <v>208</v>
      </c>
      <c r="BC297" s="16"/>
      <c r="BD297" s="17"/>
      <c r="BE297" s="18">
        <v>2017</v>
      </c>
      <c r="BF297" s="21" t="s">
        <v>39</v>
      </c>
      <c r="BG297" s="15">
        <f>+MIT_Vic_Cap[[#This Row],[Trenes Puntuales]]/MIT_Vic_Cap[[#This Row],[Trenes Programados]]</f>
        <v>0.55698005698005693</v>
      </c>
      <c r="BH297" s="15">
        <f>+MIT_Vic_Cap[[#This Row],[Trenes Puntuales]]/MIT_Vic_Cap[[#This Row],[Trenes Corridos]]</f>
        <v>0.66952054794520544</v>
      </c>
      <c r="BI297" s="15">
        <f>+MIT_Vic_Cap[[#This Row],[Trenes Corridos]]/MIT_Vic_Cap[[#This Row],[Trenes Programados]]</f>
        <v>0.83190883190883191</v>
      </c>
      <c r="BJ297" s="16"/>
      <c r="BK297" s="16"/>
      <c r="BL297" s="16">
        <v>702</v>
      </c>
      <c r="BM297" s="16">
        <f t="shared" si="170"/>
        <v>118</v>
      </c>
      <c r="BN297" s="16">
        <v>584</v>
      </c>
      <c r="BO297" s="16">
        <v>391</v>
      </c>
      <c r="BP297" s="16">
        <f t="shared" si="171"/>
        <v>193</v>
      </c>
      <c r="BQ297" s="16"/>
      <c r="BR297" s="17"/>
      <c r="BS297" s="18">
        <v>2017</v>
      </c>
      <c r="BT297" s="21" t="s">
        <v>39</v>
      </c>
      <c r="BU297" s="15">
        <f>+Tabla8[[#This Row],[Trenes Puntuales]]/Tabla8[[#This Row],[Trenes Programados]]</f>
        <v>0.55555555555555558</v>
      </c>
      <c r="BV297" s="15">
        <f>+Tabla8[[#This Row],[Trenes Puntuales]]/Tabla8[[#This Row],[Trenes Corridos]]</f>
        <v>0.58479532163742687</v>
      </c>
      <c r="BW297" s="15">
        <f>+Tabla8[[#This Row],[Trenes Corridos]]/Tabla8[[#This Row],[Trenes Programados]]</f>
        <v>0.95</v>
      </c>
      <c r="BX297" s="16"/>
      <c r="BY297" s="16"/>
      <c r="BZ297" s="16">
        <v>180</v>
      </c>
      <c r="CA297" s="16">
        <f t="shared" si="172"/>
        <v>9</v>
      </c>
      <c r="CB297" s="16">
        <v>171</v>
      </c>
      <c r="CC297" s="16">
        <v>100</v>
      </c>
      <c r="CD297" s="16">
        <f t="shared" si="173"/>
        <v>71</v>
      </c>
      <c r="CI297" s="40"/>
      <c r="CJ297" s="40"/>
      <c r="CK297" s="40"/>
      <c r="CL297" s="40"/>
      <c r="CM297" s="40"/>
    </row>
    <row r="298" spans="1:91" s="18" customFormat="1" ht="15" customHeight="1">
      <c r="A298" s="18">
        <v>2017</v>
      </c>
      <c r="B298" s="21" t="s">
        <v>40</v>
      </c>
      <c r="C298" s="15">
        <f>+MITRE[[#This Row],[Trenes Puntuales]]/MITRE[[#This Row],[Trenes Programados]]</f>
        <v>0.86578341013824889</v>
      </c>
      <c r="D298" s="15">
        <f>+MITRE[[#This Row],[Trenes Puntuales]]/MITRE[[#This Row],[Trenes Corridos]]</f>
        <v>0.891912512716175</v>
      </c>
      <c r="E298" s="15">
        <f>+MITRE[[#This Row],[Trenes Corridos]]/MITRE[[#This Row],[Trenes Programados]]</f>
        <v>0.97070441079657666</v>
      </c>
      <c r="F298" s="16">
        <f>+Tabla4[[#This Row],[Trenes Programados por Día Hábil]]+Tabla5[[#This Row],[Trenes Programados por Día Hábil]]+Tabla6[[#This Row],[Trenes Programados por Día Hábil]]+MIT_Vic_Cap[[#This Row],[Trenes Programados por Día Hábil]]+Tabla8[[#This Row],[Trenes Programados por Día Hábil]]</f>
        <v>0</v>
      </c>
      <c r="G29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8" s="16">
        <f t="shared" si="139"/>
        <v>12152</v>
      </c>
      <c r="I298" s="16">
        <f t="shared" si="140"/>
        <v>356</v>
      </c>
      <c r="J298" s="16">
        <f t="shared" si="141"/>
        <v>11796</v>
      </c>
      <c r="K298" s="16">
        <f t="shared" si="142"/>
        <v>10521</v>
      </c>
      <c r="L298" s="16">
        <f t="shared" si="143"/>
        <v>1275</v>
      </c>
      <c r="M298" s="16"/>
      <c r="N298" s="17"/>
      <c r="O298" s="18">
        <v>2017</v>
      </c>
      <c r="P298" s="21" t="s">
        <v>40</v>
      </c>
      <c r="Q298" s="15">
        <f>+Tabla4[[#This Row],[Trenes Puntuales]]/Tabla4[[#This Row],[Trenes Programados]]</f>
        <v>0.87183544303797467</v>
      </c>
      <c r="R298" s="15">
        <f>+Tabla4[[#This Row],[Trenes Puntuales]]/Tabla4[[#This Row],[Trenes Corridos]]</f>
        <v>0.90143149284253576</v>
      </c>
      <c r="S298" s="15">
        <f>+Tabla4[[#This Row],[Trenes Corridos]]/Tabla4[[#This Row],[Trenes Programados]]</f>
        <v>0.96716772151898733</v>
      </c>
      <c r="T298" s="16"/>
      <c r="U298" s="16"/>
      <c r="V298" s="16">
        <v>5056</v>
      </c>
      <c r="W298" s="16">
        <f t="shared" si="164"/>
        <v>166</v>
      </c>
      <c r="X298" s="16">
        <v>4890</v>
      </c>
      <c r="Y298" s="16">
        <v>4408</v>
      </c>
      <c r="Z298" s="16">
        <f t="shared" si="165"/>
        <v>482</v>
      </c>
      <c r="AA298" s="16"/>
      <c r="AB298" s="17"/>
      <c r="AC298" s="18">
        <v>2017</v>
      </c>
      <c r="AD298" s="21" t="s">
        <v>40</v>
      </c>
      <c r="AE298" s="15">
        <f>+Tabla5[[#This Row],[Trenes Puntuales]]/Tabla5[[#This Row],[Trenes Programados]]</f>
        <v>0.91173617846750732</v>
      </c>
      <c r="AF298" s="15">
        <f>+Tabla5[[#This Row],[Trenes Puntuales]]/Tabla5[[#This Row],[Trenes Corridos]]</f>
        <v>0.92360599361336282</v>
      </c>
      <c r="AG298" s="15">
        <f>+Tabla5[[#This Row],[Trenes Corridos]]/Tabla5[[#This Row],[Trenes Programados]]</f>
        <v>0.98714839961202716</v>
      </c>
      <c r="AH298" s="16"/>
      <c r="AI298" s="16"/>
      <c r="AJ298" s="16">
        <v>4124</v>
      </c>
      <c r="AK298" s="16">
        <f t="shared" si="166"/>
        <v>53</v>
      </c>
      <c r="AL298" s="16">
        <v>4071</v>
      </c>
      <c r="AM298" s="16">
        <v>3760</v>
      </c>
      <c r="AN298" s="16">
        <f t="shared" si="167"/>
        <v>311</v>
      </c>
      <c r="AO298" s="16"/>
      <c r="AP298" s="17"/>
      <c r="AQ298" s="18">
        <v>2017</v>
      </c>
      <c r="AR298" s="21" t="s">
        <v>40</v>
      </c>
      <c r="AS298" s="15">
        <f>+Tabla6[[#This Row],[Trenes Puntuales]]/Tabla6[[#This Row],[Trenes Programados]]</f>
        <v>0.8729227761485826</v>
      </c>
      <c r="AT298" s="15">
        <f>+Tabla6[[#This Row],[Trenes Puntuales]]/Tabla6[[#This Row],[Trenes Corridos]]</f>
        <v>0.88372093023255816</v>
      </c>
      <c r="AU298" s="15">
        <f>+Tabla6[[#This Row],[Trenes Corridos]]/Tabla6[[#This Row],[Trenes Programados]]</f>
        <v>0.98778103616813295</v>
      </c>
      <c r="AV298" s="16"/>
      <c r="AW298" s="16"/>
      <c r="AX298" s="16">
        <v>2046</v>
      </c>
      <c r="AY298" s="16">
        <f t="shared" si="168"/>
        <v>25</v>
      </c>
      <c r="AZ298" s="16">
        <v>2021</v>
      </c>
      <c r="BA298" s="16">
        <v>1786</v>
      </c>
      <c r="BB298" s="16">
        <f t="shared" si="169"/>
        <v>235</v>
      </c>
      <c r="BC298" s="16"/>
      <c r="BD298" s="17"/>
      <c r="BE298" s="18">
        <v>2017</v>
      </c>
      <c r="BF298" s="21" t="s">
        <v>40</v>
      </c>
      <c r="BG298" s="15">
        <f>+MIT_Vic_Cap[[#This Row],[Trenes Puntuales]]/MIT_Vic_Cap[[#This Row],[Trenes Programados]]</f>
        <v>0.5972972972972973</v>
      </c>
      <c r="BH298" s="15">
        <f>+MIT_Vic_Cap[[#This Row],[Trenes Puntuales]]/MIT_Vic_Cap[[#This Row],[Trenes Corridos]]</f>
        <v>0.69716088328075709</v>
      </c>
      <c r="BI298" s="15">
        <f>+MIT_Vic_Cap[[#This Row],[Trenes Corridos]]/MIT_Vic_Cap[[#This Row],[Trenes Programados]]</f>
        <v>0.85675675675675678</v>
      </c>
      <c r="BJ298" s="16"/>
      <c r="BK298" s="16"/>
      <c r="BL298" s="16">
        <v>740</v>
      </c>
      <c r="BM298" s="16">
        <f t="shared" si="170"/>
        <v>106</v>
      </c>
      <c r="BN298" s="16">
        <v>634</v>
      </c>
      <c r="BO298" s="16">
        <v>442</v>
      </c>
      <c r="BP298" s="16">
        <f t="shared" si="171"/>
        <v>192</v>
      </c>
      <c r="BQ298" s="16"/>
      <c r="BR298" s="17"/>
      <c r="BS298" s="18">
        <v>2017</v>
      </c>
      <c r="BT298" s="21" t="s">
        <v>40</v>
      </c>
      <c r="BU298" s="15">
        <f>+Tabla8[[#This Row],[Trenes Puntuales]]/Tabla8[[#This Row],[Trenes Programados]]</f>
        <v>0.67204301075268813</v>
      </c>
      <c r="BV298" s="15">
        <f>+Tabla8[[#This Row],[Trenes Puntuales]]/Tabla8[[#This Row],[Trenes Corridos]]</f>
        <v>0.69444444444444442</v>
      </c>
      <c r="BW298" s="15">
        <f>+Tabla8[[#This Row],[Trenes Corridos]]/Tabla8[[#This Row],[Trenes Programados]]</f>
        <v>0.967741935483871</v>
      </c>
      <c r="BX298" s="16"/>
      <c r="BY298" s="16"/>
      <c r="BZ298" s="16">
        <v>186</v>
      </c>
      <c r="CA298" s="16">
        <f t="shared" si="172"/>
        <v>6</v>
      </c>
      <c r="CB298" s="16">
        <v>180</v>
      </c>
      <c r="CC298" s="16">
        <v>125</v>
      </c>
      <c r="CD298" s="16">
        <f t="shared" si="173"/>
        <v>55</v>
      </c>
      <c r="CI298" s="40"/>
      <c r="CJ298" s="40"/>
      <c r="CK298" s="40"/>
      <c r="CL298" s="40"/>
      <c r="CM298" s="40"/>
    </row>
    <row r="299" spans="1:91" s="18" customFormat="1" ht="15" customHeight="1">
      <c r="A299" s="18">
        <v>2017</v>
      </c>
      <c r="B299" s="21" t="s">
        <v>41</v>
      </c>
      <c r="C299" s="15">
        <f>+MITRE[[#This Row],[Trenes Puntuales]]/MITRE[[#This Row],[Trenes Programados]]</f>
        <v>0.86811352253756258</v>
      </c>
      <c r="D299" s="15">
        <f>+MITRE[[#This Row],[Trenes Puntuales]]/MITRE[[#This Row],[Trenes Corridos]]</f>
        <v>0.88038601540675532</v>
      </c>
      <c r="E299" s="15">
        <f>+MITRE[[#This Row],[Trenes Corridos]]/MITRE[[#This Row],[Trenes Programados]]</f>
        <v>0.9860601001669449</v>
      </c>
      <c r="F299" s="16">
        <f>+Tabla4[[#This Row],[Trenes Programados por Día Hábil]]+Tabla5[[#This Row],[Trenes Programados por Día Hábil]]+Tabla6[[#This Row],[Trenes Programados por Día Hábil]]+MIT_Vic_Cap[[#This Row],[Trenes Programados por Día Hábil]]+Tabla8[[#This Row],[Trenes Programados por Día Hábil]]</f>
        <v>0</v>
      </c>
      <c r="G29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9" s="16">
        <f t="shared" si="139"/>
        <v>11980</v>
      </c>
      <c r="I299" s="16">
        <f t="shared" si="140"/>
        <v>167</v>
      </c>
      <c r="J299" s="16">
        <f t="shared" si="141"/>
        <v>11813</v>
      </c>
      <c r="K299" s="16">
        <f t="shared" si="142"/>
        <v>10400</v>
      </c>
      <c r="L299" s="16">
        <f t="shared" si="143"/>
        <v>1413</v>
      </c>
      <c r="M299" s="16"/>
      <c r="N299" s="17"/>
      <c r="O299" s="18">
        <v>2017</v>
      </c>
      <c r="P299" s="21" t="s">
        <v>41</v>
      </c>
      <c r="Q299" s="15">
        <f>+Tabla4[[#This Row],[Trenes Puntuales]]/Tabla4[[#This Row],[Trenes Programados]]</f>
        <v>0.90365853658536588</v>
      </c>
      <c r="R299" s="15">
        <f>+Tabla4[[#This Row],[Trenes Puntuales]]/Tabla4[[#This Row],[Trenes Corridos]]</f>
        <v>0.91575695159629245</v>
      </c>
      <c r="S299" s="15">
        <f>+Tabla4[[#This Row],[Trenes Corridos]]/Tabla4[[#This Row],[Trenes Programados]]</f>
        <v>0.98678861788617889</v>
      </c>
      <c r="T299" s="16"/>
      <c r="U299" s="16"/>
      <c r="V299" s="16">
        <v>4920</v>
      </c>
      <c r="W299" s="16">
        <f t="shared" si="164"/>
        <v>65</v>
      </c>
      <c r="X299" s="16">
        <v>4855</v>
      </c>
      <c r="Y299" s="16">
        <v>4446</v>
      </c>
      <c r="Z299" s="16">
        <f t="shared" si="165"/>
        <v>409</v>
      </c>
      <c r="AA299" s="16"/>
      <c r="AB299" s="17"/>
      <c r="AC299" s="18">
        <v>2017</v>
      </c>
      <c r="AD299" s="21" t="s">
        <v>41</v>
      </c>
      <c r="AE299" s="15">
        <f>+Tabla5[[#This Row],[Trenes Puntuales]]/Tabla5[[#This Row],[Trenes Programados]]</f>
        <v>0.92277030393622317</v>
      </c>
      <c r="AF299" s="15">
        <f>+Tabla5[[#This Row],[Trenes Puntuales]]/Tabla5[[#This Row],[Trenes Corridos]]</f>
        <v>0.92785571142284573</v>
      </c>
      <c r="AG299" s="15">
        <f>+Tabla5[[#This Row],[Trenes Corridos]]/Tabla5[[#This Row],[Trenes Programados]]</f>
        <v>0.99451918285999008</v>
      </c>
      <c r="AH299" s="16"/>
      <c r="AI299" s="16"/>
      <c r="AJ299" s="16">
        <v>4014</v>
      </c>
      <c r="AK299" s="16">
        <f t="shared" si="166"/>
        <v>22</v>
      </c>
      <c r="AL299" s="16">
        <v>3992</v>
      </c>
      <c r="AM299" s="16">
        <v>3704</v>
      </c>
      <c r="AN299" s="16">
        <f t="shared" si="167"/>
        <v>288</v>
      </c>
      <c r="AO299" s="16"/>
      <c r="AP299" s="17"/>
      <c r="AQ299" s="18">
        <v>2017</v>
      </c>
      <c r="AR299" s="21" t="s">
        <v>41</v>
      </c>
      <c r="AS299" s="15">
        <f>+Tabla6[[#This Row],[Trenes Puntuales]]/Tabla6[[#This Row],[Trenes Programados]]</f>
        <v>0.89191919191919189</v>
      </c>
      <c r="AT299" s="15">
        <f>+Tabla6[[#This Row],[Trenes Puntuales]]/Tabla6[[#This Row],[Trenes Corridos]]</f>
        <v>0.89327263530601919</v>
      </c>
      <c r="AU299" s="15">
        <f>+Tabla6[[#This Row],[Trenes Corridos]]/Tabla6[[#This Row],[Trenes Programados]]</f>
        <v>0.99848484848484853</v>
      </c>
      <c r="AV299" s="16"/>
      <c r="AW299" s="16"/>
      <c r="AX299" s="16">
        <v>1980</v>
      </c>
      <c r="AY299" s="16">
        <f t="shared" si="168"/>
        <v>3</v>
      </c>
      <c r="AZ299" s="16">
        <v>1977</v>
      </c>
      <c r="BA299" s="16">
        <v>1766</v>
      </c>
      <c r="BB299" s="16">
        <f t="shared" si="169"/>
        <v>211</v>
      </c>
      <c r="BC299" s="16"/>
      <c r="BD299" s="17"/>
      <c r="BE299" s="18">
        <v>2017</v>
      </c>
      <c r="BF299" s="21" t="s">
        <v>41</v>
      </c>
      <c r="BG299" s="15">
        <f>+MIT_Vic_Cap[[#This Row],[Trenes Puntuales]]/MIT_Vic_Cap[[#This Row],[Trenes Programados]]</f>
        <v>0.55833333333333335</v>
      </c>
      <c r="BH299" s="15">
        <f>+MIT_Vic_Cap[[#This Row],[Trenes Puntuales]]/MIT_Vic_Cap[[#This Row],[Trenes Corridos]]</f>
        <v>0.62037037037037035</v>
      </c>
      <c r="BI299" s="15">
        <f>+MIT_Vic_Cap[[#This Row],[Trenes Corridos]]/MIT_Vic_Cap[[#This Row],[Trenes Programados]]</f>
        <v>0.9</v>
      </c>
      <c r="BJ299" s="16"/>
      <c r="BK299" s="16"/>
      <c r="BL299" s="16">
        <v>720</v>
      </c>
      <c r="BM299" s="16">
        <f t="shared" si="170"/>
        <v>72</v>
      </c>
      <c r="BN299" s="16">
        <v>648</v>
      </c>
      <c r="BO299" s="16">
        <v>402</v>
      </c>
      <c r="BP299" s="16">
        <f t="shared" si="171"/>
        <v>246</v>
      </c>
      <c r="BQ299" s="16"/>
      <c r="BR299" s="17"/>
      <c r="BS299" s="18">
        <v>2017</v>
      </c>
      <c r="BT299" s="21" t="s">
        <v>41</v>
      </c>
      <c r="BU299" s="15">
        <f>+Tabla8[[#This Row],[Trenes Puntuales]]/Tabla8[[#This Row],[Trenes Programados]]</f>
        <v>0.23699421965317918</v>
      </c>
      <c r="BV299" s="15">
        <f>+Tabla8[[#This Row],[Trenes Puntuales]]/Tabla8[[#This Row],[Trenes Corridos]]</f>
        <v>0.2404692082111437</v>
      </c>
      <c r="BW299" s="15">
        <f>+Tabla8[[#This Row],[Trenes Corridos]]/Tabla8[[#This Row],[Trenes Programados]]</f>
        <v>0.98554913294797686</v>
      </c>
      <c r="BX299" s="16"/>
      <c r="BY299" s="16"/>
      <c r="BZ299" s="16">
        <v>346</v>
      </c>
      <c r="CA299" s="16">
        <f t="shared" si="172"/>
        <v>5</v>
      </c>
      <c r="CB299" s="16">
        <v>341</v>
      </c>
      <c r="CC299" s="16">
        <v>82</v>
      </c>
      <c r="CD299" s="16">
        <f t="shared" si="173"/>
        <v>259</v>
      </c>
      <c r="CI299" s="40"/>
      <c r="CJ299" s="40"/>
      <c r="CK299" s="40"/>
      <c r="CL299" s="40"/>
      <c r="CM299" s="40"/>
    </row>
    <row r="300" spans="1:91" s="18" customFormat="1" ht="15" customHeight="1">
      <c r="A300" s="18">
        <v>2017</v>
      </c>
      <c r="B300" s="21" t="s">
        <v>42</v>
      </c>
      <c r="C300" s="15">
        <f>+MITRE[[#This Row],[Trenes Puntuales]]/MITRE[[#This Row],[Trenes Programados]]</f>
        <v>0.8862328822623774</v>
      </c>
      <c r="D300" s="15">
        <f>+MITRE[[#This Row],[Trenes Puntuales]]/MITRE[[#This Row],[Trenes Corridos]]</f>
        <v>0.91907563025210082</v>
      </c>
      <c r="E300" s="15">
        <f>+MITRE[[#This Row],[Trenes Corridos]]/MITRE[[#This Row],[Trenes Programados]]</f>
        <v>0.96426545660805441</v>
      </c>
      <c r="F300" s="16">
        <f>+Tabla4[[#This Row],[Trenes Programados por Día Hábil]]+Tabla5[[#This Row],[Trenes Programados por Día Hábil]]+Tabla6[[#This Row],[Trenes Programados por Día Hábil]]+MIT_Vic_Cap[[#This Row],[Trenes Programados por Día Hábil]]+Tabla8[[#This Row],[Trenes Programados por Día Hábil]]</f>
        <v>0</v>
      </c>
      <c r="G30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0" s="16">
        <f t="shared" si="139"/>
        <v>12341</v>
      </c>
      <c r="I300" s="16">
        <f t="shared" si="140"/>
        <v>441</v>
      </c>
      <c r="J300" s="16">
        <f t="shared" si="141"/>
        <v>11900</v>
      </c>
      <c r="K300" s="16">
        <f t="shared" si="142"/>
        <v>10937</v>
      </c>
      <c r="L300" s="16">
        <f t="shared" si="143"/>
        <v>963</v>
      </c>
      <c r="M300" s="16"/>
      <c r="N300" s="17"/>
      <c r="O300" s="18">
        <v>2017</v>
      </c>
      <c r="P300" s="21" t="s">
        <v>42</v>
      </c>
      <c r="Q300" s="15">
        <f>+Tabla4[[#This Row],[Trenes Puntuales]]/Tabla4[[#This Row],[Trenes Programados]]</f>
        <v>0.91356803797468356</v>
      </c>
      <c r="R300" s="15">
        <f>+Tabla4[[#This Row],[Trenes Puntuales]]/Tabla4[[#This Row],[Trenes Corridos]]</f>
        <v>0.93577795786061591</v>
      </c>
      <c r="S300" s="15">
        <f>+Tabla4[[#This Row],[Trenes Corridos]]/Tabla4[[#This Row],[Trenes Programados]]</f>
        <v>0.97626582278481011</v>
      </c>
      <c r="T300" s="16"/>
      <c r="U300" s="16"/>
      <c r="V300" s="16">
        <v>5056</v>
      </c>
      <c r="W300" s="16">
        <f t="shared" si="164"/>
        <v>120</v>
      </c>
      <c r="X300" s="16">
        <v>4936</v>
      </c>
      <c r="Y300" s="16">
        <v>4619</v>
      </c>
      <c r="Z300" s="16">
        <f t="shared" si="165"/>
        <v>317</v>
      </c>
      <c r="AA300" s="16"/>
      <c r="AB300" s="17"/>
      <c r="AC300" s="18">
        <v>2017</v>
      </c>
      <c r="AD300" s="21" t="s">
        <v>42</v>
      </c>
      <c r="AE300" s="15">
        <f>+Tabla5[[#This Row],[Trenes Puntuales]]/Tabla5[[#This Row],[Trenes Programados]]</f>
        <v>0.94956353055286125</v>
      </c>
      <c r="AF300" s="15">
        <f>+Tabla5[[#This Row],[Trenes Puntuales]]/Tabla5[[#This Row],[Trenes Corridos]]</f>
        <v>0.95839451786588348</v>
      </c>
      <c r="AG300" s="15">
        <f>+Tabla5[[#This Row],[Trenes Corridos]]/Tabla5[[#This Row],[Trenes Programados]]</f>
        <v>0.99078564500484967</v>
      </c>
      <c r="AH300" s="16"/>
      <c r="AI300" s="16"/>
      <c r="AJ300" s="16">
        <v>4124</v>
      </c>
      <c r="AK300" s="16">
        <f t="shared" si="166"/>
        <v>38</v>
      </c>
      <c r="AL300" s="16">
        <v>4086</v>
      </c>
      <c r="AM300" s="16">
        <v>3916</v>
      </c>
      <c r="AN300" s="16">
        <f t="shared" si="167"/>
        <v>170</v>
      </c>
      <c r="AO300" s="16"/>
      <c r="AP300" s="17"/>
      <c r="AQ300" s="18">
        <v>2017</v>
      </c>
      <c r="AR300" s="21" t="s">
        <v>42</v>
      </c>
      <c r="AS300" s="15">
        <f>+Tabla6[[#This Row],[Trenes Puntuales]]/Tabla6[[#This Row],[Trenes Programados]]</f>
        <v>0.93206256109481911</v>
      </c>
      <c r="AT300" s="15">
        <f>+Tabla6[[#This Row],[Trenes Puntuales]]/Tabla6[[#This Row],[Trenes Corridos]]</f>
        <v>0.96459281740010117</v>
      </c>
      <c r="AU300" s="15">
        <f>+Tabla6[[#This Row],[Trenes Corridos]]/Tabla6[[#This Row],[Trenes Programados]]</f>
        <v>0.96627565982404695</v>
      </c>
      <c r="AV300" s="16"/>
      <c r="AW300" s="16"/>
      <c r="AX300" s="16">
        <v>2046</v>
      </c>
      <c r="AY300" s="16">
        <f t="shared" si="168"/>
        <v>69</v>
      </c>
      <c r="AZ300" s="16">
        <v>1977</v>
      </c>
      <c r="BA300" s="16">
        <v>1907</v>
      </c>
      <c r="BB300" s="16">
        <f t="shared" si="169"/>
        <v>70</v>
      </c>
      <c r="BC300" s="16"/>
      <c r="BD300" s="17"/>
      <c r="BE300" s="18">
        <v>2017</v>
      </c>
      <c r="BF300" s="21" t="s">
        <v>42</v>
      </c>
      <c r="BG300" s="15">
        <f>+MIT_Vic_Cap[[#This Row],[Trenes Puntuales]]/MIT_Vic_Cap[[#This Row],[Trenes Programados]]</f>
        <v>0.4331983805668016</v>
      </c>
      <c r="BH300" s="15">
        <f>+MIT_Vic_Cap[[#This Row],[Trenes Puntuales]]/MIT_Vic_Cap[[#This Row],[Trenes Corridos]]</f>
        <v>0.60795454545454541</v>
      </c>
      <c r="BI300" s="15">
        <f>+MIT_Vic_Cap[[#This Row],[Trenes Corridos]]/MIT_Vic_Cap[[#This Row],[Trenes Programados]]</f>
        <v>0.71255060728744934</v>
      </c>
      <c r="BJ300" s="16"/>
      <c r="BK300" s="16"/>
      <c r="BL300" s="16">
        <v>741</v>
      </c>
      <c r="BM300" s="16">
        <f t="shared" si="170"/>
        <v>213</v>
      </c>
      <c r="BN300" s="16">
        <v>528</v>
      </c>
      <c r="BO300" s="16">
        <v>321</v>
      </c>
      <c r="BP300" s="16">
        <f t="shared" si="171"/>
        <v>207</v>
      </c>
      <c r="BQ300" s="16"/>
      <c r="BR300" s="17"/>
      <c r="BS300" s="18">
        <v>2017</v>
      </c>
      <c r="BT300" s="21" t="s">
        <v>42</v>
      </c>
      <c r="BU300" s="15">
        <f>+Tabla8[[#This Row],[Trenes Puntuales]]/Tabla8[[#This Row],[Trenes Programados]]</f>
        <v>0.46524064171122997</v>
      </c>
      <c r="BV300" s="15">
        <f>+Tabla8[[#This Row],[Trenes Puntuales]]/Tabla8[[#This Row],[Trenes Corridos]]</f>
        <v>0.46648793565683644</v>
      </c>
      <c r="BW300" s="15">
        <f>+Tabla8[[#This Row],[Trenes Corridos]]/Tabla8[[#This Row],[Trenes Programados]]</f>
        <v>0.99732620320855614</v>
      </c>
      <c r="BX300" s="16"/>
      <c r="BY300" s="16"/>
      <c r="BZ300" s="16">
        <v>374</v>
      </c>
      <c r="CA300" s="16">
        <f t="shared" si="172"/>
        <v>1</v>
      </c>
      <c r="CB300" s="16">
        <v>373</v>
      </c>
      <c r="CC300" s="16">
        <v>174</v>
      </c>
      <c r="CD300" s="16">
        <f t="shared" si="173"/>
        <v>199</v>
      </c>
      <c r="CI300" s="40"/>
      <c r="CJ300" s="40"/>
      <c r="CK300" s="40"/>
      <c r="CL300" s="40"/>
      <c r="CM300" s="40"/>
    </row>
    <row r="301" spans="1:91" s="18" customFormat="1" ht="15" customHeight="1">
      <c r="A301" s="18">
        <v>2017</v>
      </c>
      <c r="B301" s="21" t="s">
        <v>43</v>
      </c>
      <c r="C301" s="15">
        <f>+MITRE[[#This Row],[Trenes Puntuales]]/MITRE[[#This Row],[Trenes Programados]]</f>
        <v>0.89546954212601593</v>
      </c>
      <c r="D301" s="15">
        <f>+MITRE[[#This Row],[Trenes Puntuales]]/MITRE[[#This Row],[Trenes Corridos]]</f>
        <v>0.90892755043698437</v>
      </c>
      <c r="E301" s="15">
        <f>+MITRE[[#This Row],[Trenes Corridos]]/MITRE[[#This Row],[Trenes Programados]]</f>
        <v>0.98519353021646416</v>
      </c>
      <c r="F301" s="16">
        <f>+Tabla4[[#This Row],[Trenes Programados por Día Hábil]]+Tabla5[[#This Row],[Trenes Programados por Día Hábil]]+Tabla6[[#This Row],[Trenes Programados por Día Hábil]]+MIT_Vic_Cap[[#This Row],[Trenes Programados por Día Hábil]]+Tabla8[[#This Row],[Trenes Programados por Día Hábil]]</f>
        <v>0</v>
      </c>
      <c r="G30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1" s="16">
        <f t="shared" si="139"/>
        <v>12427</v>
      </c>
      <c r="I301" s="16">
        <f t="shared" si="140"/>
        <v>184</v>
      </c>
      <c r="J301" s="16">
        <f t="shared" si="141"/>
        <v>12243</v>
      </c>
      <c r="K301" s="16">
        <f t="shared" si="142"/>
        <v>11128</v>
      </c>
      <c r="L301" s="16">
        <f t="shared" si="143"/>
        <v>1115</v>
      </c>
      <c r="M301" s="16"/>
      <c r="N301" s="17"/>
      <c r="O301" s="18">
        <v>2017</v>
      </c>
      <c r="P301" s="21" t="s">
        <v>43</v>
      </c>
      <c r="Q301" s="15">
        <f>+Tabla4[[#This Row],[Trenes Puntuales]]/Tabla4[[#This Row],[Trenes Programados]]</f>
        <v>0.92974882260596547</v>
      </c>
      <c r="R301" s="15">
        <f>+Tabla4[[#This Row],[Trenes Puntuales]]/Tabla4[[#This Row],[Trenes Corridos]]</f>
        <v>0.94251044360453551</v>
      </c>
      <c r="S301" s="15">
        <f>+Tabla4[[#This Row],[Trenes Corridos]]/Tabla4[[#This Row],[Trenes Programados]]</f>
        <v>0.9864599686028257</v>
      </c>
      <c r="T301" s="16"/>
      <c r="U301" s="16"/>
      <c r="V301" s="16">
        <v>5096</v>
      </c>
      <c r="W301" s="16">
        <f t="shared" si="164"/>
        <v>69</v>
      </c>
      <c r="X301" s="16">
        <v>5027</v>
      </c>
      <c r="Y301" s="16">
        <v>4738</v>
      </c>
      <c r="Z301" s="16">
        <f t="shared" si="165"/>
        <v>289</v>
      </c>
      <c r="AA301" s="16"/>
      <c r="AB301" s="17"/>
      <c r="AC301" s="18">
        <v>2017</v>
      </c>
      <c r="AD301" s="21" t="s">
        <v>43</v>
      </c>
      <c r="AE301" s="15">
        <f>+Tabla5[[#This Row],[Trenes Puntuales]]/Tabla5[[#This Row],[Trenes Programados]]</f>
        <v>0.92640692640692646</v>
      </c>
      <c r="AF301" s="15">
        <f>+Tabla5[[#This Row],[Trenes Puntuales]]/Tabla5[[#This Row],[Trenes Corridos]]</f>
        <v>0.93495145631067966</v>
      </c>
      <c r="AG301" s="15">
        <f>+Tabla5[[#This Row],[Trenes Corridos]]/Tabla5[[#This Row],[Trenes Programados]]</f>
        <v>0.99086099086099089</v>
      </c>
      <c r="AH301" s="16"/>
      <c r="AI301" s="16"/>
      <c r="AJ301" s="16">
        <v>4158</v>
      </c>
      <c r="AK301" s="16">
        <f t="shared" si="166"/>
        <v>38</v>
      </c>
      <c r="AL301" s="16">
        <v>4120</v>
      </c>
      <c r="AM301" s="16">
        <v>3852</v>
      </c>
      <c r="AN301" s="16">
        <f t="shared" si="167"/>
        <v>268</v>
      </c>
      <c r="AO301" s="16"/>
      <c r="AP301" s="17"/>
      <c r="AQ301" s="18">
        <v>2017</v>
      </c>
      <c r="AR301" s="21" t="s">
        <v>43</v>
      </c>
      <c r="AS301" s="15">
        <f>+Tabla6[[#This Row],[Trenes Puntuales]]/Tabla6[[#This Row],[Trenes Programados]]</f>
        <v>0.91788856304985333</v>
      </c>
      <c r="AT301" s="15">
        <f>+Tabla6[[#This Row],[Trenes Puntuales]]/Tabla6[[#This Row],[Trenes Corridos]]</f>
        <v>0.92330383480825962</v>
      </c>
      <c r="AU301" s="15">
        <f>+Tabla6[[#This Row],[Trenes Corridos]]/Tabla6[[#This Row],[Trenes Programados]]</f>
        <v>0.99413489736070382</v>
      </c>
      <c r="AV301" s="16"/>
      <c r="AW301" s="16"/>
      <c r="AX301" s="16">
        <v>2046</v>
      </c>
      <c r="AY301" s="16">
        <f t="shared" si="168"/>
        <v>12</v>
      </c>
      <c r="AZ301" s="16">
        <v>2034</v>
      </c>
      <c r="BA301" s="16">
        <v>1878</v>
      </c>
      <c r="BB301" s="16">
        <f t="shared" si="169"/>
        <v>156</v>
      </c>
      <c r="BC301" s="16"/>
      <c r="BD301" s="17"/>
      <c r="BE301" s="18">
        <v>2017</v>
      </c>
      <c r="BF301" s="21" t="s">
        <v>43</v>
      </c>
      <c r="BG301" s="15">
        <f>+MIT_Vic_Cap[[#This Row],[Trenes Puntuales]]/MIT_Vic_Cap[[#This Row],[Trenes Programados]]</f>
        <v>0.60776439089692103</v>
      </c>
      <c r="BH301" s="15">
        <f>+MIT_Vic_Cap[[#This Row],[Trenes Puntuales]]/MIT_Vic_Cap[[#This Row],[Trenes Corridos]]</f>
        <v>0.65797101449275364</v>
      </c>
      <c r="BI301" s="15">
        <f>+MIT_Vic_Cap[[#This Row],[Trenes Corridos]]/MIT_Vic_Cap[[#This Row],[Trenes Programados]]</f>
        <v>0.92369477911646591</v>
      </c>
      <c r="BJ301" s="16"/>
      <c r="BK301" s="16"/>
      <c r="BL301" s="16">
        <v>747</v>
      </c>
      <c r="BM301" s="16">
        <f t="shared" si="170"/>
        <v>57</v>
      </c>
      <c r="BN301" s="16">
        <v>690</v>
      </c>
      <c r="BO301" s="16">
        <v>454</v>
      </c>
      <c r="BP301" s="16">
        <f t="shared" si="171"/>
        <v>236</v>
      </c>
      <c r="BQ301" s="16"/>
      <c r="BR301" s="17"/>
      <c r="BS301" s="18">
        <v>2017</v>
      </c>
      <c r="BT301" s="21" t="s">
        <v>43</v>
      </c>
      <c r="BU301" s="15">
        <f>+Tabla8[[#This Row],[Trenes Puntuales]]/Tabla8[[#This Row],[Trenes Programados]]</f>
        <v>0.54210526315789476</v>
      </c>
      <c r="BV301" s="15">
        <f>+Tabla8[[#This Row],[Trenes Puntuales]]/Tabla8[[#This Row],[Trenes Corridos]]</f>
        <v>0.55376344086021501</v>
      </c>
      <c r="BW301" s="15">
        <f>+Tabla8[[#This Row],[Trenes Corridos]]/Tabla8[[#This Row],[Trenes Programados]]</f>
        <v>0.97894736842105268</v>
      </c>
      <c r="BX301" s="16"/>
      <c r="BY301" s="16"/>
      <c r="BZ301" s="16">
        <v>380</v>
      </c>
      <c r="CA301" s="16">
        <f t="shared" si="172"/>
        <v>8</v>
      </c>
      <c r="CB301" s="16">
        <v>372</v>
      </c>
      <c r="CC301" s="16">
        <v>206</v>
      </c>
      <c r="CD301" s="16">
        <f t="shared" si="173"/>
        <v>166</v>
      </c>
      <c r="CI301" s="40"/>
      <c r="CJ301" s="40"/>
      <c r="CK301" s="40"/>
      <c r="CL301" s="40"/>
      <c r="CM301" s="40"/>
    </row>
    <row r="302" spans="1:91" s="18" customFormat="1" ht="15" customHeight="1">
      <c r="A302" s="18">
        <v>2017</v>
      </c>
      <c r="B302" s="21" t="s">
        <v>44</v>
      </c>
      <c r="C302" s="15">
        <f>+MITRE[[#This Row],[Trenes Puntuales]]/MITRE[[#This Row],[Trenes Programados]]</f>
        <v>0.87402099650058329</v>
      </c>
      <c r="D302" s="15">
        <f>+MITRE[[#This Row],[Trenes Puntuales]]/MITRE[[#This Row],[Trenes Corridos]]</f>
        <v>0.90135762158446464</v>
      </c>
      <c r="E302" s="15">
        <f>+MITRE[[#This Row],[Trenes Corridos]]/MITRE[[#This Row],[Trenes Programados]]</f>
        <v>0.96967172137977009</v>
      </c>
      <c r="F302" s="16">
        <f>+Tabla4[[#This Row],[Trenes Programados por Día Hábil]]+Tabla5[[#This Row],[Trenes Programados por Día Hábil]]+Tabla6[[#This Row],[Trenes Programados por Día Hábil]]+MIT_Vic_Cap[[#This Row],[Trenes Programados por Día Hábil]]+Tabla8[[#This Row],[Trenes Programados por Día Hábil]]</f>
        <v>0</v>
      </c>
      <c r="G30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2" s="16">
        <f t="shared" si="139"/>
        <v>12002</v>
      </c>
      <c r="I302" s="16">
        <f t="shared" si="140"/>
        <v>364</v>
      </c>
      <c r="J302" s="16">
        <f t="shared" si="141"/>
        <v>11638</v>
      </c>
      <c r="K302" s="16">
        <f t="shared" si="142"/>
        <v>10490</v>
      </c>
      <c r="L302" s="16">
        <f t="shared" si="143"/>
        <v>1148</v>
      </c>
      <c r="M302" s="16"/>
      <c r="N302" s="17"/>
      <c r="O302" s="18">
        <v>2017</v>
      </c>
      <c r="P302" s="21" t="s">
        <v>44</v>
      </c>
      <c r="Q302" s="15">
        <f>+Tabla4[[#This Row],[Trenes Puntuales]]/Tabla4[[#This Row],[Trenes Programados]]</f>
        <v>0.92296747967479675</v>
      </c>
      <c r="R302" s="15">
        <f>+Tabla4[[#This Row],[Trenes Puntuales]]/Tabla4[[#This Row],[Trenes Corridos]]</f>
        <v>0.95199161425576517</v>
      </c>
      <c r="S302" s="15">
        <f>+Tabla4[[#This Row],[Trenes Corridos]]/Tabla4[[#This Row],[Trenes Programados]]</f>
        <v>0.96951219512195119</v>
      </c>
      <c r="T302" s="16"/>
      <c r="U302" s="16"/>
      <c r="V302" s="16">
        <v>4920</v>
      </c>
      <c r="W302" s="16">
        <f t="shared" si="164"/>
        <v>150</v>
      </c>
      <c r="X302" s="16">
        <v>4770</v>
      </c>
      <c r="Y302" s="16">
        <v>4541</v>
      </c>
      <c r="Z302" s="16">
        <f t="shared" si="165"/>
        <v>229</v>
      </c>
      <c r="AA302" s="16"/>
      <c r="AB302" s="17"/>
      <c r="AC302" s="18">
        <v>2017</v>
      </c>
      <c r="AD302" s="21" t="s">
        <v>44</v>
      </c>
      <c r="AE302" s="15">
        <f>+Tabla5[[#This Row],[Trenes Puntuales]]/Tabla5[[#This Row],[Trenes Programados]]</f>
        <v>0.87717987045341306</v>
      </c>
      <c r="AF302" s="15">
        <f>+Tabla5[[#This Row],[Trenes Puntuales]]/Tabla5[[#This Row],[Trenes Corridos]]</f>
        <v>0.90583997941857475</v>
      </c>
      <c r="AG302" s="15">
        <f>+Tabla5[[#This Row],[Trenes Corridos]]/Tabla5[[#This Row],[Trenes Programados]]</f>
        <v>0.96836073741903339</v>
      </c>
      <c r="AH302" s="16"/>
      <c r="AI302" s="16"/>
      <c r="AJ302" s="16">
        <v>4014</v>
      </c>
      <c r="AK302" s="16">
        <f t="shared" si="166"/>
        <v>127</v>
      </c>
      <c r="AL302" s="16">
        <v>3887</v>
      </c>
      <c r="AM302" s="16">
        <v>3521</v>
      </c>
      <c r="AN302" s="16">
        <f t="shared" si="167"/>
        <v>366</v>
      </c>
      <c r="AO302" s="16"/>
      <c r="AP302" s="17"/>
      <c r="AQ302" s="18">
        <v>2017</v>
      </c>
      <c r="AR302" s="21" t="s">
        <v>44</v>
      </c>
      <c r="AS302" s="15">
        <f>+Tabla6[[#This Row],[Trenes Puntuales]]/Tabla6[[#This Row],[Trenes Programados]]</f>
        <v>0.88838383838383839</v>
      </c>
      <c r="AT302" s="15">
        <f>+Tabla6[[#This Row],[Trenes Puntuales]]/Tabla6[[#This Row],[Trenes Corridos]]</f>
        <v>0.90763673890608876</v>
      </c>
      <c r="AU302" s="15">
        <f>+Tabla6[[#This Row],[Trenes Corridos]]/Tabla6[[#This Row],[Trenes Programados]]</f>
        <v>0.97878787878787876</v>
      </c>
      <c r="AV302" s="16"/>
      <c r="AW302" s="16"/>
      <c r="AX302" s="16">
        <v>1980</v>
      </c>
      <c r="AY302" s="16">
        <f t="shared" si="168"/>
        <v>42</v>
      </c>
      <c r="AZ302" s="16">
        <v>1938</v>
      </c>
      <c r="BA302" s="16">
        <v>1759</v>
      </c>
      <c r="BB302" s="16">
        <f t="shared" si="169"/>
        <v>179</v>
      </c>
      <c r="BC302" s="16"/>
      <c r="BD302" s="17"/>
      <c r="BE302" s="18">
        <v>2017</v>
      </c>
      <c r="BF302" s="21" t="s">
        <v>44</v>
      </c>
      <c r="BG302" s="15">
        <f>+MIT_Vic_Cap[[#This Row],[Trenes Puntuales]]/MIT_Vic_Cap[[#This Row],[Trenes Programados]]</f>
        <v>0.52354570637119113</v>
      </c>
      <c r="BH302" s="15">
        <f>+MIT_Vic_Cap[[#This Row],[Trenes Puntuales]]/MIT_Vic_Cap[[#This Row],[Trenes Corridos]]</f>
        <v>0.55670103092783507</v>
      </c>
      <c r="BI302" s="15">
        <f>+MIT_Vic_Cap[[#This Row],[Trenes Corridos]]/MIT_Vic_Cap[[#This Row],[Trenes Programados]]</f>
        <v>0.94044321329639891</v>
      </c>
      <c r="BJ302" s="16"/>
      <c r="BK302" s="16"/>
      <c r="BL302" s="16">
        <v>722</v>
      </c>
      <c r="BM302" s="16">
        <f t="shared" si="170"/>
        <v>43</v>
      </c>
      <c r="BN302" s="16">
        <v>679</v>
      </c>
      <c r="BO302" s="16">
        <v>378</v>
      </c>
      <c r="BP302" s="16">
        <f t="shared" si="171"/>
        <v>301</v>
      </c>
      <c r="BQ302" s="16"/>
      <c r="BR302" s="17"/>
      <c r="BS302" s="18">
        <v>2017</v>
      </c>
      <c r="BT302" s="21" t="s">
        <v>44</v>
      </c>
      <c r="BU302" s="15">
        <f>+Tabla8[[#This Row],[Trenes Puntuales]]/Tabla8[[#This Row],[Trenes Programados]]</f>
        <v>0.79508196721311475</v>
      </c>
      <c r="BV302" s="15">
        <f>+Tabla8[[#This Row],[Trenes Puntuales]]/Tabla8[[#This Row],[Trenes Corridos]]</f>
        <v>0.7994505494505495</v>
      </c>
      <c r="BW302" s="15">
        <f>+Tabla8[[#This Row],[Trenes Corridos]]/Tabla8[[#This Row],[Trenes Programados]]</f>
        <v>0.99453551912568305</v>
      </c>
      <c r="BX302" s="16"/>
      <c r="BY302" s="16"/>
      <c r="BZ302" s="16">
        <v>366</v>
      </c>
      <c r="CA302" s="16">
        <f t="shared" si="172"/>
        <v>2</v>
      </c>
      <c r="CB302" s="16">
        <v>364</v>
      </c>
      <c r="CC302" s="16">
        <v>291</v>
      </c>
      <c r="CD302" s="16">
        <f t="shared" si="173"/>
        <v>73</v>
      </c>
      <c r="CI302" s="40"/>
      <c r="CJ302" s="40"/>
      <c r="CK302" s="40"/>
      <c r="CL302" s="40"/>
      <c r="CM302" s="40"/>
    </row>
    <row r="303" spans="1:91" s="18" customFormat="1" ht="15" customHeight="1">
      <c r="A303" s="18">
        <v>2017</v>
      </c>
      <c r="B303" s="21" t="s">
        <v>45</v>
      </c>
      <c r="C303" s="15">
        <f>+MITRE[[#This Row],[Trenes Puntuales]]/MITRE[[#This Row],[Trenes Programados]]</f>
        <v>0.86920583468395463</v>
      </c>
      <c r="D303" s="15">
        <f>+MITRE[[#This Row],[Trenes Puntuales]]/MITRE[[#This Row],[Trenes Corridos]]</f>
        <v>0.89937950695958413</v>
      </c>
      <c r="E303" s="15">
        <f>+MITRE[[#This Row],[Trenes Corridos]]/MITRE[[#This Row],[Trenes Programados]]</f>
        <v>0.96645056726094003</v>
      </c>
      <c r="F303" s="16">
        <f>+Tabla4[[#This Row],[Trenes Programados por Día Hábil]]+Tabla5[[#This Row],[Trenes Programados por Día Hábil]]+Tabla6[[#This Row],[Trenes Programados por Día Hábil]]+MIT_Vic_Cap[[#This Row],[Trenes Programados por Día Hábil]]+Tabla8[[#This Row],[Trenes Programados por Día Hábil]]</f>
        <v>0</v>
      </c>
      <c r="G30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3" s="16">
        <f t="shared" si="139"/>
        <v>12340</v>
      </c>
      <c r="I303" s="16">
        <f t="shared" si="140"/>
        <v>414</v>
      </c>
      <c r="J303" s="16">
        <f t="shared" si="141"/>
        <v>11926</v>
      </c>
      <c r="K303" s="16">
        <f t="shared" si="142"/>
        <v>10726</v>
      </c>
      <c r="L303" s="16">
        <f t="shared" si="143"/>
        <v>1200</v>
      </c>
      <c r="M303" s="16"/>
      <c r="N303" s="17"/>
      <c r="O303" s="18">
        <v>2017</v>
      </c>
      <c r="P303" s="21" t="s">
        <v>45</v>
      </c>
      <c r="Q303" s="15">
        <f>+Tabla4[[#This Row],[Trenes Puntuales]]/Tabla4[[#This Row],[Trenes Programados]]</f>
        <v>0.87381329113924056</v>
      </c>
      <c r="R303" s="15">
        <f>+Tabla4[[#This Row],[Trenes Puntuales]]/Tabla4[[#This Row],[Trenes Corridos]]</f>
        <v>0.92041666666666666</v>
      </c>
      <c r="S303" s="15">
        <f>+Tabla4[[#This Row],[Trenes Corridos]]/Tabla4[[#This Row],[Trenes Programados]]</f>
        <v>0.94936708860759489</v>
      </c>
      <c r="T303" s="16"/>
      <c r="U303" s="16"/>
      <c r="V303" s="16">
        <v>5056</v>
      </c>
      <c r="W303" s="16">
        <f t="shared" si="164"/>
        <v>256</v>
      </c>
      <c r="X303" s="16">
        <v>4800</v>
      </c>
      <c r="Y303" s="16">
        <v>4418</v>
      </c>
      <c r="Z303" s="16">
        <f t="shared" si="165"/>
        <v>382</v>
      </c>
      <c r="AA303" s="16"/>
      <c r="AB303" s="17"/>
      <c r="AC303" s="18">
        <v>2017</v>
      </c>
      <c r="AD303" s="21" t="s">
        <v>45</v>
      </c>
      <c r="AE303" s="15">
        <f>+Tabla5[[#This Row],[Trenes Puntuales]]/Tabla5[[#This Row],[Trenes Programados]]</f>
        <v>0.93186226964112517</v>
      </c>
      <c r="AF303" s="15">
        <f>+Tabla5[[#This Row],[Trenes Puntuales]]/Tabla5[[#This Row],[Trenes Corridos]]</f>
        <v>0.9463186407288845</v>
      </c>
      <c r="AG303" s="15">
        <f>+Tabla5[[#This Row],[Trenes Corridos]]/Tabla5[[#This Row],[Trenes Programados]]</f>
        <v>0.98472356935014549</v>
      </c>
      <c r="AH303" s="16"/>
      <c r="AI303" s="16"/>
      <c r="AJ303" s="16">
        <v>4124</v>
      </c>
      <c r="AK303" s="16">
        <f t="shared" si="166"/>
        <v>63</v>
      </c>
      <c r="AL303" s="16">
        <v>4061</v>
      </c>
      <c r="AM303" s="16">
        <v>3843</v>
      </c>
      <c r="AN303" s="16">
        <f t="shared" si="167"/>
        <v>218</v>
      </c>
      <c r="AO303" s="16"/>
      <c r="AP303" s="17"/>
      <c r="AQ303" s="18">
        <v>2017</v>
      </c>
      <c r="AR303" s="21" t="s">
        <v>45</v>
      </c>
      <c r="AS303" s="15">
        <f>+Tabla6[[#This Row],[Trenes Puntuales]]/Tabla6[[#This Row],[Trenes Programados]]</f>
        <v>0.89247311827956988</v>
      </c>
      <c r="AT303" s="15">
        <f>+Tabla6[[#This Row],[Trenes Puntuales]]/Tabla6[[#This Row],[Trenes Corridos]]</f>
        <v>0.91163255117324016</v>
      </c>
      <c r="AU303" s="15">
        <f>+Tabla6[[#This Row],[Trenes Corridos]]/Tabla6[[#This Row],[Trenes Programados]]</f>
        <v>0.97898338220918868</v>
      </c>
      <c r="AV303" s="16"/>
      <c r="AW303" s="16"/>
      <c r="AX303" s="16">
        <v>2046</v>
      </c>
      <c r="AY303" s="16">
        <f t="shared" si="168"/>
        <v>43</v>
      </c>
      <c r="AZ303" s="16">
        <v>2003</v>
      </c>
      <c r="BA303" s="16">
        <v>1826</v>
      </c>
      <c r="BB303" s="16">
        <f t="shared" si="169"/>
        <v>177</v>
      </c>
      <c r="BC303" s="16"/>
      <c r="BD303" s="17"/>
      <c r="BE303" s="18">
        <v>2017</v>
      </c>
      <c r="BF303" s="21" t="s">
        <v>45</v>
      </c>
      <c r="BG303" s="15">
        <f>+MIT_Vic_Cap[[#This Row],[Trenes Puntuales]]/MIT_Vic_Cap[[#This Row],[Trenes Programados]]</f>
        <v>0.46486486486486489</v>
      </c>
      <c r="BH303" s="15">
        <f>+MIT_Vic_Cap[[#This Row],[Trenes Puntuales]]/MIT_Vic_Cap[[#This Row],[Trenes Corridos]]</f>
        <v>0.49567723342939479</v>
      </c>
      <c r="BI303" s="15">
        <f>+MIT_Vic_Cap[[#This Row],[Trenes Corridos]]/MIT_Vic_Cap[[#This Row],[Trenes Programados]]</f>
        <v>0.93783783783783781</v>
      </c>
      <c r="BJ303" s="16"/>
      <c r="BK303" s="16"/>
      <c r="BL303" s="16">
        <v>740</v>
      </c>
      <c r="BM303" s="16">
        <f t="shared" si="170"/>
        <v>46</v>
      </c>
      <c r="BN303" s="16">
        <v>694</v>
      </c>
      <c r="BO303" s="16">
        <v>344</v>
      </c>
      <c r="BP303" s="16">
        <f t="shared" si="171"/>
        <v>350</v>
      </c>
      <c r="BQ303" s="16"/>
      <c r="BR303" s="17"/>
      <c r="BS303" s="18">
        <v>2017</v>
      </c>
      <c r="BT303" s="21" t="s">
        <v>45</v>
      </c>
      <c r="BU303" s="15">
        <f>+Tabla8[[#This Row],[Trenes Puntuales]]/Tabla8[[#This Row],[Trenes Programados]]</f>
        <v>0.78877005347593587</v>
      </c>
      <c r="BV303" s="15">
        <f>+Tabla8[[#This Row],[Trenes Puntuales]]/Tabla8[[#This Row],[Trenes Corridos]]</f>
        <v>0.80163043478260865</v>
      </c>
      <c r="BW303" s="15">
        <f>+Tabla8[[#This Row],[Trenes Corridos]]/Tabla8[[#This Row],[Trenes Programados]]</f>
        <v>0.98395721925133695</v>
      </c>
      <c r="BX303" s="16"/>
      <c r="BY303" s="16"/>
      <c r="BZ303" s="16">
        <v>374</v>
      </c>
      <c r="CA303" s="16">
        <f t="shared" si="172"/>
        <v>6</v>
      </c>
      <c r="CB303" s="16">
        <v>368</v>
      </c>
      <c r="CC303" s="16">
        <v>295</v>
      </c>
      <c r="CD303" s="16">
        <f t="shared" si="173"/>
        <v>73</v>
      </c>
      <c r="CI303" s="40"/>
      <c r="CJ303" s="40"/>
      <c r="CK303" s="40"/>
      <c r="CL303" s="40"/>
      <c r="CM303" s="40"/>
    </row>
    <row r="304" spans="1:91" s="18" customFormat="1" ht="15" customHeight="1">
      <c r="A304" s="18">
        <v>2017</v>
      </c>
      <c r="B304" s="21" t="s">
        <v>46</v>
      </c>
      <c r="C304" s="15">
        <f>+MITRE[[#This Row],[Trenes Puntuales]]/MITRE[[#This Row],[Trenes Programados]]</f>
        <v>0.81634863761353216</v>
      </c>
      <c r="D304" s="15">
        <f>+MITRE[[#This Row],[Trenes Puntuales]]/MITRE[[#This Row],[Trenes Corridos]]</f>
        <v>0.84954908081859171</v>
      </c>
      <c r="E304" s="15">
        <f>+MITRE[[#This Row],[Trenes Corridos]]/MITRE[[#This Row],[Trenes Programados]]</f>
        <v>0.96091992333972165</v>
      </c>
      <c r="F304" s="16">
        <f>+Tabla4[[#This Row],[Trenes Programados por Día Hábil]]+Tabla5[[#This Row],[Trenes Programados por Día Hábil]]+Tabla6[[#This Row],[Trenes Programados por Día Hábil]]+MIT_Vic_Cap[[#This Row],[Trenes Programados por Día Hábil]]+Tabla8[[#This Row],[Trenes Programados por Día Hábil]]</f>
        <v>0</v>
      </c>
      <c r="G30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4" s="16">
        <f t="shared" si="139"/>
        <v>12001</v>
      </c>
      <c r="I304" s="16">
        <f t="shared" si="140"/>
        <v>469</v>
      </c>
      <c r="J304" s="16">
        <f t="shared" si="141"/>
        <v>11532</v>
      </c>
      <c r="K304" s="16">
        <f t="shared" si="142"/>
        <v>9797</v>
      </c>
      <c r="L304" s="16">
        <f t="shared" si="143"/>
        <v>1735</v>
      </c>
      <c r="M304" s="16"/>
      <c r="N304" s="17"/>
      <c r="O304" s="18">
        <v>2017</v>
      </c>
      <c r="P304" s="21" t="s">
        <v>46</v>
      </c>
      <c r="Q304" s="15">
        <f>+Tabla4[[#This Row],[Trenes Puntuales]]/Tabla4[[#This Row],[Trenes Programados]]</f>
        <v>0.7943089430894309</v>
      </c>
      <c r="R304" s="15">
        <f>+Tabla4[[#This Row],[Trenes Puntuales]]/Tabla4[[#This Row],[Trenes Corridos]]</f>
        <v>0.84570439298853062</v>
      </c>
      <c r="S304" s="15">
        <f>+Tabla4[[#This Row],[Trenes Corridos]]/Tabla4[[#This Row],[Trenes Programados]]</f>
        <v>0.93922764227642275</v>
      </c>
      <c r="T304" s="16"/>
      <c r="U304" s="16"/>
      <c r="V304" s="16">
        <v>4920</v>
      </c>
      <c r="W304" s="16">
        <f t="shared" si="164"/>
        <v>299</v>
      </c>
      <c r="X304" s="16">
        <v>4621</v>
      </c>
      <c r="Y304" s="16">
        <v>3908</v>
      </c>
      <c r="Z304" s="16">
        <f t="shared" si="165"/>
        <v>713</v>
      </c>
      <c r="AA304" s="16"/>
      <c r="AB304" s="17"/>
      <c r="AC304" s="18">
        <v>2017</v>
      </c>
      <c r="AD304" s="21" t="s">
        <v>46</v>
      </c>
      <c r="AE304" s="15">
        <f>+Tabla5[[#This Row],[Trenes Puntuales]]/Tabla5[[#This Row],[Trenes Programados]]</f>
        <v>0.9063278525161933</v>
      </c>
      <c r="AF304" s="15">
        <f>+Tabla5[[#This Row],[Trenes Puntuales]]/Tabla5[[#This Row],[Trenes Corridos]]</f>
        <v>0.91915108640727639</v>
      </c>
      <c r="AG304" s="15">
        <f>+Tabla5[[#This Row],[Trenes Corridos]]/Tabla5[[#This Row],[Trenes Programados]]</f>
        <v>0.9860488290981565</v>
      </c>
      <c r="AH304" s="16"/>
      <c r="AI304" s="16"/>
      <c r="AJ304" s="16">
        <v>4014</v>
      </c>
      <c r="AK304" s="16">
        <f t="shared" si="166"/>
        <v>56</v>
      </c>
      <c r="AL304" s="16">
        <v>3958</v>
      </c>
      <c r="AM304" s="16">
        <v>3638</v>
      </c>
      <c r="AN304" s="16">
        <f t="shared" si="167"/>
        <v>320</v>
      </c>
      <c r="AO304" s="16"/>
      <c r="AP304" s="17"/>
      <c r="AQ304" s="18">
        <v>2017</v>
      </c>
      <c r="AR304" s="21" t="s">
        <v>46</v>
      </c>
      <c r="AS304" s="15">
        <f>+Tabla6[[#This Row],[Trenes Puntuales]]/Tabla6[[#This Row],[Trenes Programados]]</f>
        <v>0.8545454545454545</v>
      </c>
      <c r="AT304" s="15">
        <f>+Tabla6[[#This Row],[Trenes Puntuales]]/Tabla6[[#This Row],[Trenes Corridos]]</f>
        <v>0.86547314578005119</v>
      </c>
      <c r="AU304" s="15">
        <f>+Tabla6[[#This Row],[Trenes Corridos]]/Tabla6[[#This Row],[Trenes Programados]]</f>
        <v>0.98737373737373735</v>
      </c>
      <c r="AV304" s="16"/>
      <c r="AW304" s="16"/>
      <c r="AX304" s="16">
        <v>1980</v>
      </c>
      <c r="AY304" s="16">
        <f t="shared" si="168"/>
        <v>25</v>
      </c>
      <c r="AZ304" s="16">
        <v>1955</v>
      </c>
      <c r="BA304" s="16">
        <v>1692</v>
      </c>
      <c r="BB304" s="16">
        <f t="shared" si="169"/>
        <v>263</v>
      </c>
      <c r="BC304" s="16"/>
      <c r="BD304" s="17"/>
      <c r="BE304" s="18">
        <v>2017</v>
      </c>
      <c r="BF304" s="21" t="s">
        <v>46</v>
      </c>
      <c r="BG304" s="15">
        <f>+MIT_Vic_Cap[[#This Row],[Trenes Puntuales]]/MIT_Vic_Cap[[#This Row],[Trenes Programados]]</f>
        <v>0.3841886269070735</v>
      </c>
      <c r="BH304" s="15">
        <f>+MIT_Vic_Cap[[#This Row],[Trenes Puntuales]]/MIT_Vic_Cap[[#This Row],[Trenes Corridos]]</f>
        <v>0.43146417445482865</v>
      </c>
      <c r="BI304" s="15">
        <f>+MIT_Vic_Cap[[#This Row],[Trenes Corridos]]/MIT_Vic_Cap[[#This Row],[Trenes Programados]]</f>
        <v>0.89042995839112349</v>
      </c>
      <c r="BJ304" s="16"/>
      <c r="BK304" s="16"/>
      <c r="BL304" s="16">
        <v>721</v>
      </c>
      <c r="BM304" s="16">
        <f t="shared" si="170"/>
        <v>79</v>
      </c>
      <c r="BN304" s="16">
        <v>642</v>
      </c>
      <c r="BO304" s="16">
        <v>277</v>
      </c>
      <c r="BP304" s="16">
        <f t="shared" si="171"/>
        <v>365</v>
      </c>
      <c r="BQ304" s="16"/>
      <c r="BR304" s="17"/>
      <c r="BS304" s="18">
        <v>2017</v>
      </c>
      <c r="BT304" s="21" t="s">
        <v>46</v>
      </c>
      <c r="BU304" s="15">
        <f>+Tabla8[[#This Row],[Trenes Puntuales]]/Tabla8[[#This Row],[Trenes Programados]]</f>
        <v>0.77049180327868849</v>
      </c>
      <c r="BV304" s="15">
        <f>+Tabla8[[#This Row],[Trenes Puntuales]]/Tabla8[[#This Row],[Trenes Corridos]]</f>
        <v>0.7921348314606742</v>
      </c>
      <c r="BW304" s="15">
        <f>+Tabla8[[#This Row],[Trenes Corridos]]/Tabla8[[#This Row],[Trenes Programados]]</f>
        <v>0.97267759562841527</v>
      </c>
      <c r="BX304" s="16"/>
      <c r="BY304" s="16"/>
      <c r="BZ304" s="16">
        <v>366</v>
      </c>
      <c r="CA304" s="16">
        <f t="shared" si="172"/>
        <v>10</v>
      </c>
      <c r="CB304" s="16">
        <v>356</v>
      </c>
      <c r="CC304" s="16">
        <v>282</v>
      </c>
      <c r="CD304" s="16">
        <f t="shared" si="173"/>
        <v>74</v>
      </c>
      <c r="CI304" s="40"/>
      <c r="CJ304" s="40"/>
      <c r="CK304" s="40"/>
      <c r="CL304" s="40"/>
      <c r="CM304" s="40"/>
    </row>
    <row r="305" spans="1:91" s="18" customFormat="1" ht="15" customHeight="1">
      <c r="A305" s="18">
        <v>2017</v>
      </c>
      <c r="B305" s="21" t="s">
        <v>47</v>
      </c>
      <c r="C305" s="15">
        <f>+MITRE[[#This Row],[Trenes Puntuales]]/MITRE[[#This Row],[Trenes Programados]]</f>
        <v>0.83003082342580359</v>
      </c>
      <c r="D305" s="15">
        <f>+MITRE[[#This Row],[Trenes Puntuales]]/MITRE[[#This Row],[Trenes Corridos]]</f>
        <v>0.87479116391312417</v>
      </c>
      <c r="E305" s="15">
        <f>+MITRE[[#This Row],[Trenes Corridos]]/MITRE[[#This Row],[Trenes Programados]]</f>
        <v>0.94883311316600616</v>
      </c>
      <c r="F305" s="16">
        <f>+Tabla4[[#This Row],[Trenes Programados por Día Hábil]]+Tabla5[[#This Row],[Trenes Programados por Día Hábil]]+Tabla6[[#This Row],[Trenes Programados por Día Hábil]]+MIT_Vic_Cap[[#This Row],[Trenes Programados por Día Hábil]]+Tabla8[[#This Row],[Trenes Programados por Día Hábil]]</f>
        <v>0</v>
      </c>
      <c r="G30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5" s="16">
        <f t="shared" si="139"/>
        <v>11355</v>
      </c>
      <c r="I305" s="16">
        <f t="shared" si="140"/>
        <v>581</v>
      </c>
      <c r="J305" s="16">
        <f t="shared" si="141"/>
        <v>10774</v>
      </c>
      <c r="K305" s="16">
        <f t="shared" si="142"/>
        <v>9425</v>
      </c>
      <c r="L305" s="16">
        <f t="shared" si="143"/>
        <v>1349</v>
      </c>
      <c r="M305" s="16"/>
      <c r="N305" s="17"/>
      <c r="O305" s="18">
        <v>2017</v>
      </c>
      <c r="P305" s="21" t="s">
        <v>47</v>
      </c>
      <c r="Q305" s="15">
        <f>+Tabla4[[#This Row],[Trenes Puntuales]]/Tabla4[[#This Row],[Trenes Programados]]</f>
        <v>0.84731084776663623</v>
      </c>
      <c r="R305" s="15">
        <f>+Tabla4[[#This Row],[Trenes Puntuales]]/Tabla4[[#This Row],[Trenes Corridos]]</f>
        <v>0.90771484375</v>
      </c>
      <c r="S305" s="15">
        <f>+Tabla4[[#This Row],[Trenes Corridos]]/Tabla4[[#This Row],[Trenes Programados]]</f>
        <v>0.93345487693710116</v>
      </c>
      <c r="T305" s="16"/>
      <c r="U305" s="16"/>
      <c r="V305" s="16">
        <v>4388</v>
      </c>
      <c r="W305" s="16">
        <f t="shared" si="164"/>
        <v>292</v>
      </c>
      <c r="X305" s="16">
        <v>4096</v>
      </c>
      <c r="Y305" s="16">
        <v>3718</v>
      </c>
      <c r="Z305" s="16">
        <f t="shared" si="165"/>
        <v>378</v>
      </c>
      <c r="AA305" s="16"/>
      <c r="AB305" s="17"/>
      <c r="AC305" s="18">
        <v>2017</v>
      </c>
      <c r="AD305" s="21" t="s">
        <v>47</v>
      </c>
      <c r="AE305" s="15">
        <f>+Tabla5[[#This Row],[Trenes Puntuales]]/Tabla5[[#This Row],[Trenes Programados]]</f>
        <v>0.90057411273486432</v>
      </c>
      <c r="AF305" s="15">
        <f>+Tabla5[[#This Row],[Trenes Puntuales]]/Tabla5[[#This Row],[Trenes Corridos]]</f>
        <v>0.92470525187566988</v>
      </c>
      <c r="AG305" s="15">
        <f>+Tabla5[[#This Row],[Trenes Corridos]]/Tabla5[[#This Row],[Trenes Programados]]</f>
        <v>0.97390396659707723</v>
      </c>
      <c r="AH305" s="16"/>
      <c r="AI305" s="16"/>
      <c r="AJ305" s="16">
        <v>3832</v>
      </c>
      <c r="AK305" s="16">
        <f t="shared" si="166"/>
        <v>100</v>
      </c>
      <c r="AL305" s="16">
        <v>3732</v>
      </c>
      <c r="AM305" s="16">
        <v>3451</v>
      </c>
      <c r="AN305" s="16">
        <f t="shared" si="167"/>
        <v>281</v>
      </c>
      <c r="AO305" s="16"/>
      <c r="AP305" s="17"/>
      <c r="AQ305" s="18">
        <v>2017</v>
      </c>
      <c r="AR305" s="21" t="s">
        <v>47</v>
      </c>
      <c r="AS305" s="15">
        <f>+Tabla6[[#This Row],[Trenes Puntuales]]/Tabla6[[#This Row],[Trenes Programados]]</f>
        <v>0.80107526881720426</v>
      </c>
      <c r="AT305" s="15">
        <f>+Tabla6[[#This Row],[Trenes Puntuales]]/Tabla6[[#This Row],[Trenes Corridos]]</f>
        <v>0.82610887096774188</v>
      </c>
      <c r="AU305" s="15">
        <f>+Tabla6[[#This Row],[Trenes Corridos]]/Tabla6[[#This Row],[Trenes Programados]]</f>
        <v>0.96969696969696972</v>
      </c>
      <c r="AV305" s="16"/>
      <c r="AW305" s="16"/>
      <c r="AX305" s="16">
        <v>2046</v>
      </c>
      <c r="AY305" s="16">
        <f t="shared" si="168"/>
        <v>62</v>
      </c>
      <c r="AZ305" s="16">
        <v>1984</v>
      </c>
      <c r="BA305" s="16">
        <v>1639</v>
      </c>
      <c r="BB305" s="16">
        <f t="shared" si="169"/>
        <v>345</v>
      </c>
      <c r="BC305" s="16"/>
      <c r="BD305" s="17"/>
      <c r="BE305" s="18">
        <v>2017</v>
      </c>
      <c r="BF305" s="21" t="s">
        <v>47</v>
      </c>
      <c r="BG305" s="15">
        <f>+MIT_Vic_Cap[[#This Row],[Trenes Puntuales]]/MIT_Vic_Cap[[#This Row],[Trenes Programados]]</f>
        <v>0.49381017881705641</v>
      </c>
      <c r="BH305" s="15">
        <f>+MIT_Vic_Cap[[#This Row],[Trenes Puntuales]]/MIT_Vic_Cap[[#This Row],[Trenes Corridos]]</f>
        <v>0.58469055374592838</v>
      </c>
      <c r="BI305" s="15">
        <f>+MIT_Vic_Cap[[#This Row],[Trenes Corridos]]/MIT_Vic_Cap[[#This Row],[Trenes Programados]]</f>
        <v>0.84456671251719395</v>
      </c>
      <c r="BJ305" s="16"/>
      <c r="BK305" s="16"/>
      <c r="BL305" s="16">
        <v>727</v>
      </c>
      <c r="BM305" s="16">
        <f t="shared" si="170"/>
        <v>113</v>
      </c>
      <c r="BN305" s="16">
        <v>614</v>
      </c>
      <c r="BO305" s="16">
        <v>359</v>
      </c>
      <c r="BP305" s="16">
        <f t="shared" si="171"/>
        <v>255</v>
      </c>
      <c r="BQ305" s="16"/>
      <c r="BR305" s="17"/>
      <c r="BS305" s="18">
        <v>2017</v>
      </c>
      <c r="BT305" s="21" t="s">
        <v>47</v>
      </c>
      <c r="BU305" s="15">
        <f>+Tabla8[[#This Row],[Trenes Puntuales]]/Tabla8[[#This Row],[Trenes Programados]]</f>
        <v>0.71270718232044195</v>
      </c>
      <c r="BV305" s="15">
        <f>+Tabla8[[#This Row],[Trenes Puntuales]]/Tabla8[[#This Row],[Trenes Corridos]]</f>
        <v>0.74137931034482762</v>
      </c>
      <c r="BW305" s="15">
        <f>+Tabla8[[#This Row],[Trenes Corridos]]/Tabla8[[#This Row],[Trenes Programados]]</f>
        <v>0.96132596685082872</v>
      </c>
      <c r="BX305" s="16"/>
      <c r="BY305" s="16"/>
      <c r="BZ305" s="16">
        <v>362</v>
      </c>
      <c r="CA305" s="16">
        <f t="shared" si="172"/>
        <v>14</v>
      </c>
      <c r="CB305" s="16">
        <v>348</v>
      </c>
      <c r="CC305" s="16">
        <v>258</v>
      </c>
      <c r="CD305" s="16">
        <f t="shared" si="173"/>
        <v>90</v>
      </c>
      <c r="CI305" s="40"/>
      <c r="CJ305" s="40"/>
      <c r="CK305" s="40"/>
      <c r="CL305" s="40"/>
      <c r="CM305" s="40"/>
    </row>
    <row r="306" spans="1:91" s="18" customFormat="1" ht="15" customHeight="1">
      <c r="A306" s="18">
        <v>2018</v>
      </c>
      <c r="B306" s="21" t="s">
        <v>36</v>
      </c>
      <c r="C306" s="15">
        <f>+MITRE[[#This Row],[Trenes Puntuales]]/MITRE[[#This Row],[Trenes Programados]]</f>
        <v>0.83643652561247217</v>
      </c>
      <c r="D306" s="15">
        <f>+MITRE[[#This Row],[Trenes Puntuales]]/MITRE[[#This Row],[Trenes Corridos]]</f>
        <v>0.92529811767024739</v>
      </c>
      <c r="E306" s="15">
        <f>+MITRE[[#This Row],[Trenes Corridos]]/MITRE[[#This Row],[Trenes Programados]]</f>
        <v>0.90396436525612467</v>
      </c>
      <c r="F306" s="16">
        <f>+Tabla4[[#This Row],[Trenes Programados por Día Hábil]]+Tabla5[[#This Row],[Trenes Programados por Día Hábil]]+Tabla6[[#This Row],[Trenes Programados por Día Hábil]]+MIT_Vic_Cap[[#This Row],[Trenes Programados por Día Hábil]]+Tabla8[[#This Row],[Trenes Programados por Día Hábil]]</f>
        <v>0</v>
      </c>
      <c r="G30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6" s="16">
        <f t="shared" si="139"/>
        <v>11225</v>
      </c>
      <c r="I306" s="16">
        <f t="shared" si="140"/>
        <v>1078</v>
      </c>
      <c r="J306" s="16">
        <f t="shared" si="141"/>
        <v>10147</v>
      </c>
      <c r="K306" s="16">
        <f t="shared" si="142"/>
        <v>9389</v>
      </c>
      <c r="L306" s="16">
        <f t="shared" si="143"/>
        <v>758</v>
      </c>
      <c r="M306" s="16"/>
      <c r="N306" s="17"/>
      <c r="O306" s="18">
        <v>2018</v>
      </c>
      <c r="P306" s="21" t="s">
        <v>36</v>
      </c>
      <c r="Q306" s="15">
        <f>+Tabla4[[#This Row],[Trenes Puntuales]]/Tabla4[[#This Row],[Trenes Programados]]</f>
        <v>0.8420551855375833</v>
      </c>
      <c r="R306" s="15">
        <f>+Tabla4[[#This Row],[Trenes Puntuales]]/Tabla4[[#This Row],[Trenes Corridos]]</f>
        <v>0.96933187294633083</v>
      </c>
      <c r="S306" s="15">
        <f>+Tabla4[[#This Row],[Trenes Corridos]]/Tabla4[[#This Row],[Trenes Programados]]</f>
        <v>0.8686964795432921</v>
      </c>
      <c r="T306" s="16"/>
      <c r="U306" s="16"/>
      <c r="V306" s="16">
        <v>4204</v>
      </c>
      <c r="W306" s="16">
        <f t="shared" ref="W306:W317" si="174">V306-X306</f>
        <v>552</v>
      </c>
      <c r="X306" s="16">
        <v>3652</v>
      </c>
      <c r="Y306" s="16">
        <v>3540</v>
      </c>
      <c r="Z306" s="16">
        <f t="shared" ref="Z306:Z317" si="175">X306-Y306</f>
        <v>112</v>
      </c>
      <c r="AA306" s="16"/>
      <c r="AB306" s="17"/>
      <c r="AC306" s="18">
        <v>2018</v>
      </c>
      <c r="AD306" s="21" t="s">
        <v>36</v>
      </c>
      <c r="AE306" s="15">
        <f>+Tabla5[[#This Row],[Trenes Puntuales]]/Tabla5[[#This Row],[Trenes Programados]]</f>
        <v>0.93483972674724125</v>
      </c>
      <c r="AF306" s="15">
        <f>+Tabla5[[#This Row],[Trenes Puntuales]]/Tabla5[[#This Row],[Trenes Corridos]]</f>
        <v>0.95133689839572189</v>
      </c>
      <c r="AG306" s="15">
        <f>+Tabla5[[#This Row],[Trenes Corridos]]/Tabla5[[#This Row],[Trenes Programados]]</f>
        <v>0.98265895953757221</v>
      </c>
      <c r="AH306" s="16"/>
      <c r="AI306" s="16"/>
      <c r="AJ306" s="16">
        <v>3806</v>
      </c>
      <c r="AK306" s="16">
        <f t="shared" ref="AK306:AK317" si="176">AJ306-AL306</f>
        <v>66</v>
      </c>
      <c r="AL306" s="16">
        <v>3740</v>
      </c>
      <c r="AM306" s="16">
        <v>3558</v>
      </c>
      <c r="AN306" s="16">
        <f t="shared" ref="AN306:AN317" si="177">AL306-AM306</f>
        <v>182</v>
      </c>
      <c r="AO306" s="16"/>
      <c r="AP306" s="17"/>
      <c r="AQ306" s="18">
        <v>2018</v>
      </c>
      <c r="AR306" s="21" t="s">
        <v>36</v>
      </c>
      <c r="AS306" s="15">
        <f>+Tabla6[[#This Row],[Trenes Puntuales]]/Tabla6[[#This Row],[Trenes Programados]]</f>
        <v>0.87585532746823069</v>
      </c>
      <c r="AT306" s="15">
        <f>+Tabla6[[#This Row],[Trenes Puntuales]]/Tabla6[[#This Row],[Trenes Corridos]]</f>
        <v>0.89065606361829031</v>
      </c>
      <c r="AU306" s="15">
        <f>+Tabla6[[#This Row],[Trenes Corridos]]/Tabla6[[#This Row],[Trenes Programados]]</f>
        <v>0.98338220918866082</v>
      </c>
      <c r="AV306" s="16"/>
      <c r="AW306" s="16"/>
      <c r="AX306" s="16">
        <v>2046</v>
      </c>
      <c r="AY306" s="16">
        <f t="shared" ref="AY306:AY317" si="178">AX306-AZ306</f>
        <v>34</v>
      </c>
      <c r="AZ306" s="16">
        <v>2012</v>
      </c>
      <c r="BA306" s="16">
        <v>1792</v>
      </c>
      <c r="BB306" s="16">
        <f t="shared" ref="BB306:BB317" si="179">AZ306-BA306</f>
        <v>220</v>
      </c>
      <c r="BC306" s="16"/>
      <c r="BD306" s="17"/>
      <c r="BE306" s="18">
        <v>2018</v>
      </c>
      <c r="BF306" s="21" t="s">
        <v>36</v>
      </c>
      <c r="BG306" s="15">
        <f>+MIT_Vic_Cap[[#This Row],[Trenes Puntuales]]/MIT_Vic_Cap[[#This Row],[Trenes Programados]]</f>
        <v>0.25568942436412317</v>
      </c>
      <c r="BH306" s="15">
        <f>+MIT_Vic_Cap[[#This Row],[Trenes Puntuales]]/MIT_Vic_Cap[[#This Row],[Trenes Corridos]]</f>
        <v>0.57014925373134329</v>
      </c>
      <c r="BI306" s="15">
        <f>+MIT_Vic_Cap[[#This Row],[Trenes Corridos]]/MIT_Vic_Cap[[#This Row],[Trenes Programados]]</f>
        <v>0.44846050870147258</v>
      </c>
      <c r="BJ306" s="16"/>
      <c r="BK306" s="16"/>
      <c r="BL306" s="16">
        <v>747</v>
      </c>
      <c r="BM306" s="16">
        <f t="shared" ref="BM306:BM317" si="180">BL306-BN306</f>
        <v>412</v>
      </c>
      <c r="BN306" s="16">
        <v>335</v>
      </c>
      <c r="BO306" s="16">
        <v>191</v>
      </c>
      <c r="BP306" s="16">
        <f t="shared" ref="BP306:BP317" si="181">BN306-BO306</f>
        <v>144</v>
      </c>
      <c r="BQ306" s="16"/>
      <c r="BR306" s="17"/>
      <c r="BS306" s="18">
        <v>2018</v>
      </c>
      <c r="BT306" s="21" t="s">
        <v>36</v>
      </c>
      <c r="BU306" s="15">
        <f>+Tabla8[[#This Row],[Trenes Puntuales]]/Tabla8[[#This Row],[Trenes Programados]]</f>
        <v>0.72985781990521326</v>
      </c>
      <c r="BV306" s="15">
        <f>+Tabla8[[#This Row],[Trenes Puntuales]]/Tabla8[[#This Row],[Trenes Corridos]]</f>
        <v>0.75490196078431371</v>
      </c>
      <c r="BW306" s="15">
        <f>+Tabla8[[#This Row],[Trenes Corridos]]/Tabla8[[#This Row],[Trenes Programados]]</f>
        <v>0.96682464454976302</v>
      </c>
      <c r="BX306" s="16"/>
      <c r="BY306" s="16"/>
      <c r="BZ306" s="16">
        <v>422</v>
      </c>
      <c r="CA306" s="16">
        <f t="shared" ref="CA306:CA317" si="182">BZ306-CB306</f>
        <v>14</v>
      </c>
      <c r="CB306" s="16">
        <v>408</v>
      </c>
      <c r="CC306" s="16">
        <v>308</v>
      </c>
      <c r="CD306" s="16">
        <f t="shared" ref="CD306:CD317" si="183">CB306-CC306</f>
        <v>100</v>
      </c>
      <c r="CI306" s="40"/>
      <c r="CJ306" s="40"/>
      <c r="CK306" s="40"/>
      <c r="CL306" s="40"/>
      <c r="CM306" s="40"/>
    </row>
    <row r="307" spans="1:91" s="18" customFormat="1" ht="15" customHeight="1">
      <c r="A307" s="18">
        <v>2018</v>
      </c>
      <c r="B307" s="21" t="s">
        <v>37</v>
      </c>
      <c r="C307" s="15">
        <f>+MITRE[[#This Row],[Trenes Puntuales]]/MITRE[[#This Row],[Trenes Programados]]</f>
        <v>0.7319904743004565</v>
      </c>
      <c r="D307" s="15">
        <f>+MITRE[[#This Row],[Trenes Puntuales]]/MITRE[[#This Row],[Trenes Corridos]]</f>
        <v>0.85908932106672875</v>
      </c>
      <c r="E307" s="15">
        <f>+MITRE[[#This Row],[Trenes Corridos]]/MITRE[[#This Row],[Trenes Programados]]</f>
        <v>0.85205397896408019</v>
      </c>
      <c r="F307" s="16">
        <f>+Tabla4[[#This Row],[Trenes Programados por Día Hábil]]+Tabla5[[#This Row],[Trenes Programados por Día Hábil]]+Tabla6[[#This Row],[Trenes Programados por Día Hábil]]+MIT_Vic_Cap[[#This Row],[Trenes Programados por Día Hábil]]+Tabla8[[#This Row],[Trenes Programados por Día Hábil]]</f>
        <v>0</v>
      </c>
      <c r="G30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7" s="16">
        <f t="shared" si="139"/>
        <v>10078</v>
      </c>
      <c r="I307" s="16">
        <f t="shared" si="140"/>
        <v>1491</v>
      </c>
      <c r="J307" s="16">
        <f t="shared" si="141"/>
        <v>8587</v>
      </c>
      <c r="K307" s="16">
        <f t="shared" si="142"/>
        <v>7377</v>
      </c>
      <c r="L307" s="16">
        <f t="shared" si="143"/>
        <v>1210</v>
      </c>
      <c r="M307" s="16"/>
      <c r="N307" s="17"/>
      <c r="O307" s="18">
        <v>2018</v>
      </c>
      <c r="P307" s="21" t="s">
        <v>37</v>
      </c>
      <c r="Q307" s="15">
        <f>+Tabla4[[#This Row],[Trenes Puntuales]]/Tabla4[[#This Row],[Trenes Programados]]</f>
        <v>0.597444089456869</v>
      </c>
      <c r="R307" s="15">
        <f>+Tabla4[[#This Row],[Trenes Puntuales]]/Tabla4[[#This Row],[Trenes Corridos]]</f>
        <v>0.8845092629089476</v>
      </c>
      <c r="S307" s="15">
        <f>+Tabla4[[#This Row],[Trenes Corridos]]/Tabla4[[#This Row],[Trenes Programados]]</f>
        <v>0.67545260915867944</v>
      </c>
      <c r="T307" s="16"/>
      <c r="U307" s="16"/>
      <c r="V307" s="16">
        <v>3756</v>
      </c>
      <c r="W307" s="16">
        <f t="shared" si="174"/>
        <v>1219</v>
      </c>
      <c r="X307" s="16">
        <v>2537</v>
      </c>
      <c r="Y307" s="16">
        <v>2244</v>
      </c>
      <c r="Z307" s="16">
        <f t="shared" si="175"/>
        <v>293</v>
      </c>
      <c r="AA307" s="16"/>
      <c r="AB307" s="17"/>
      <c r="AC307" s="18">
        <v>2018</v>
      </c>
      <c r="AD307" s="21" t="s">
        <v>37</v>
      </c>
      <c r="AE307" s="15">
        <f>+Tabla5[[#This Row],[Trenes Puntuales]]/Tabla5[[#This Row],[Trenes Programados]]</f>
        <v>0.90746180963572265</v>
      </c>
      <c r="AF307" s="15">
        <f>+Tabla5[[#This Row],[Trenes Puntuales]]/Tabla5[[#This Row],[Trenes Corridos]]</f>
        <v>0.91255539143279174</v>
      </c>
      <c r="AG307" s="15">
        <f>+Tabla5[[#This Row],[Trenes Corridos]]/Tabla5[[#This Row],[Trenes Programados]]</f>
        <v>0.99441833137485314</v>
      </c>
      <c r="AH307" s="16"/>
      <c r="AI307" s="16"/>
      <c r="AJ307" s="16">
        <v>3404</v>
      </c>
      <c r="AK307" s="16">
        <f t="shared" si="176"/>
        <v>19</v>
      </c>
      <c r="AL307" s="16">
        <v>3385</v>
      </c>
      <c r="AM307" s="16">
        <v>3089</v>
      </c>
      <c r="AN307" s="16">
        <f t="shared" si="177"/>
        <v>296</v>
      </c>
      <c r="AO307" s="16"/>
      <c r="AP307" s="17"/>
      <c r="AQ307" s="18">
        <v>2018</v>
      </c>
      <c r="AR307" s="21" t="s">
        <v>37</v>
      </c>
      <c r="AS307" s="15">
        <f>+Tabla6[[#This Row],[Trenes Puntuales]]/Tabla6[[#This Row],[Trenes Programados]]</f>
        <v>0.81060606060606055</v>
      </c>
      <c r="AT307" s="15">
        <f>+Tabla6[[#This Row],[Trenes Puntuales]]/Tabla6[[#This Row],[Trenes Corridos]]</f>
        <v>0.81992337164750961</v>
      </c>
      <c r="AU307" s="15">
        <f>+Tabla6[[#This Row],[Trenes Corridos]]/Tabla6[[#This Row],[Trenes Programados]]</f>
        <v>0.98863636363636365</v>
      </c>
      <c r="AV307" s="16"/>
      <c r="AW307" s="16"/>
      <c r="AX307" s="16">
        <v>1848</v>
      </c>
      <c r="AY307" s="16">
        <f t="shared" si="178"/>
        <v>21</v>
      </c>
      <c r="AZ307" s="16">
        <v>1827</v>
      </c>
      <c r="BA307" s="16">
        <v>1498</v>
      </c>
      <c r="BB307" s="16">
        <f t="shared" si="179"/>
        <v>329</v>
      </c>
      <c r="BC307" s="16"/>
      <c r="BD307" s="17"/>
      <c r="BE307" s="18">
        <v>2018</v>
      </c>
      <c r="BF307" s="21" t="s">
        <v>37</v>
      </c>
      <c r="BG307" s="15">
        <f>+MIT_Vic_Cap[[#This Row],[Trenes Puntuales]]/MIT_Vic_Cap[[#This Row],[Trenes Programados]]</f>
        <v>0.38066465256797583</v>
      </c>
      <c r="BH307" s="15">
        <f>+MIT_Vic_Cap[[#This Row],[Trenes Puntuales]]/MIT_Vic_Cap[[#This Row],[Trenes Corridos]]</f>
        <v>0.57403189066059224</v>
      </c>
      <c r="BI307" s="15">
        <f>+MIT_Vic_Cap[[#This Row],[Trenes Corridos]]/MIT_Vic_Cap[[#This Row],[Trenes Programados]]</f>
        <v>0.6631419939577039</v>
      </c>
      <c r="BJ307" s="16"/>
      <c r="BK307" s="16"/>
      <c r="BL307" s="16">
        <v>662</v>
      </c>
      <c r="BM307" s="16">
        <f t="shared" si="180"/>
        <v>223</v>
      </c>
      <c r="BN307" s="16">
        <v>439</v>
      </c>
      <c r="BO307" s="16">
        <v>252</v>
      </c>
      <c r="BP307" s="16">
        <f t="shared" si="181"/>
        <v>187</v>
      </c>
      <c r="BQ307" s="16"/>
      <c r="BR307" s="17"/>
      <c r="BS307" s="18">
        <v>2018</v>
      </c>
      <c r="BT307" s="21" t="s">
        <v>37</v>
      </c>
      <c r="BU307" s="15">
        <f>+Tabla8[[#This Row],[Trenes Puntuales]]/Tabla8[[#This Row],[Trenes Programados]]</f>
        <v>0.72058823529411764</v>
      </c>
      <c r="BV307" s="15">
        <f>+Tabla8[[#This Row],[Trenes Puntuales]]/Tabla8[[#This Row],[Trenes Corridos]]</f>
        <v>0.73684210526315785</v>
      </c>
      <c r="BW307" s="15">
        <f>+Tabla8[[#This Row],[Trenes Corridos]]/Tabla8[[#This Row],[Trenes Programados]]</f>
        <v>0.9779411764705882</v>
      </c>
      <c r="BX307" s="16"/>
      <c r="BY307" s="16"/>
      <c r="BZ307" s="16">
        <v>408</v>
      </c>
      <c r="CA307" s="16">
        <f t="shared" si="182"/>
        <v>9</v>
      </c>
      <c r="CB307" s="16">
        <v>399</v>
      </c>
      <c r="CC307" s="16">
        <v>294</v>
      </c>
      <c r="CD307" s="16">
        <f t="shared" si="183"/>
        <v>105</v>
      </c>
      <c r="CI307" s="40"/>
      <c r="CJ307" s="40"/>
      <c r="CK307" s="40"/>
      <c r="CL307" s="40"/>
      <c r="CM307" s="40"/>
    </row>
    <row r="308" spans="1:91" s="18" customFormat="1" ht="15" customHeight="1">
      <c r="A308" s="18">
        <v>2018</v>
      </c>
      <c r="B308" s="21" t="s">
        <v>38</v>
      </c>
      <c r="C308" s="15">
        <f>+MITRE[[#This Row],[Trenes Puntuales]]/MITRE[[#This Row],[Trenes Programados]]</f>
        <v>0.5532861018993066</v>
      </c>
      <c r="D308" s="15">
        <f>+MITRE[[#This Row],[Trenes Puntuales]]/MITRE[[#This Row],[Trenes Corridos]]</f>
        <v>0.63508954061770051</v>
      </c>
      <c r="E308" s="15">
        <f>+MITRE[[#This Row],[Trenes Corridos]]/MITRE[[#This Row],[Trenes Programados]]</f>
        <v>0.87119384986433523</v>
      </c>
      <c r="F308" s="16">
        <f>+Tabla4[[#This Row],[Trenes Programados por Día Hábil]]+Tabla5[[#This Row],[Trenes Programados por Día Hábil]]+Tabla6[[#This Row],[Trenes Programados por Día Hábil]]+MIT_Vic_Cap[[#This Row],[Trenes Programados por Día Hábil]]+Tabla8[[#This Row],[Trenes Programados por Día Hábil]]</f>
        <v>0</v>
      </c>
      <c r="G30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8" s="16">
        <f t="shared" si="139"/>
        <v>13268</v>
      </c>
      <c r="I308" s="16">
        <f t="shared" si="140"/>
        <v>1709</v>
      </c>
      <c r="J308" s="16">
        <f t="shared" si="141"/>
        <v>11559</v>
      </c>
      <c r="K308" s="16">
        <f t="shared" si="142"/>
        <v>7341</v>
      </c>
      <c r="L308" s="16">
        <f t="shared" si="143"/>
        <v>4218</v>
      </c>
      <c r="M308" s="16"/>
      <c r="N308" s="17"/>
      <c r="O308" s="18">
        <v>2018</v>
      </c>
      <c r="P308" s="21" t="s">
        <v>38</v>
      </c>
      <c r="Q308" s="15">
        <f>+Tabla4[[#This Row],[Trenes Puntuales]]/Tabla4[[#This Row],[Trenes Programados]]</f>
        <v>0.63960176991150441</v>
      </c>
      <c r="R308" s="15">
        <f>+Tabla4[[#This Row],[Trenes Puntuales]]/Tabla4[[#This Row],[Trenes Corridos]]</f>
        <v>0.85913818722139668</v>
      </c>
      <c r="S308" s="15">
        <f>+Tabla4[[#This Row],[Trenes Corridos]]/Tabla4[[#This Row],[Trenes Programados]]</f>
        <v>0.74446902654867253</v>
      </c>
      <c r="T308" s="16"/>
      <c r="U308" s="16"/>
      <c r="V308" s="16">
        <v>4520</v>
      </c>
      <c r="W308" s="16">
        <f t="shared" si="174"/>
        <v>1155</v>
      </c>
      <c r="X308" s="16">
        <v>3365</v>
      </c>
      <c r="Y308" s="16">
        <v>2891</v>
      </c>
      <c r="Z308" s="16">
        <f t="shared" si="175"/>
        <v>474</v>
      </c>
      <c r="AA308" s="16"/>
      <c r="AB308" s="17"/>
      <c r="AC308" s="18">
        <v>2018</v>
      </c>
      <c r="AD308" s="21" t="s">
        <v>38</v>
      </c>
      <c r="AE308" s="15">
        <f>+Tabla5[[#This Row],[Trenes Puntuales]]/Tabla5[[#This Row],[Trenes Programados]]</f>
        <v>0.53101889893179954</v>
      </c>
      <c r="AF308" s="15">
        <f>+Tabla5[[#This Row],[Trenes Puntuales]]/Tabla5[[#This Row],[Trenes Corridos]]</f>
        <v>0.55843594728883128</v>
      </c>
      <c r="AG308" s="15">
        <f>+Tabla5[[#This Row],[Trenes Corridos]]/Tabla5[[#This Row],[Trenes Programados]]</f>
        <v>0.95090386195562859</v>
      </c>
      <c r="AH308" s="16"/>
      <c r="AI308" s="16"/>
      <c r="AJ308" s="16">
        <v>4868</v>
      </c>
      <c r="AK308" s="16">
        <f t="shared" si="176"/>
        <v>239</v>
      </c>
      <c r="AL308" s="16">
        <v>4629</v>
      </c>
      <c r="AM308" s="16">
        <v>2585</v>
      </c>
      <c r="AN308" s="16">
        <f t="shared" si="177"/>
        <v>2044</v>
      </c>
      <c r="AO308" s="16"/>
      <c r="AP308" s="17"/>
      <c r="AQ308" s="18">
        <v>2018</v>
      </c>
      <c r="AR308" s="21" t="s">
        <v>38</v>
      </c>
      <c r="AS308" s="15">
        <f>+Tabla6[[#This Row],[Trenes Puntuales]]/Tabla6[[#This Row],[Trenes Programados]]</f>
        <v>0.47995545657015593</v>
      </c>
      <c r="AT308" s="15">
        <f>+Tabla6[[#This Row],[Trenes Puntuales]]/Tabla6[[#This Row],[Trenes Corridos]]</f>
        <v>0.51823647294589181</v>
      </c>
      <c r="AU308" s="15">
        <f>+Tabla6[[#This Row],[Trenes Corridos]]/Tabla6[[#This Row],[Trenes Programados]]</f>
        <v>0.92613214550853751</v>
      </c>
      <c r="AV308" s="16"/>
      <c r="AW308" s="16"/>
      <c r="AX308" s="16">
        <v>2694</v>
      </c>
      <c r="AY308" s="16">
        <f t="shared" si="178"/>
        <v>199</v>
      </c>
      <c r="AZ308" s="16">
        <v>2495</v>
      </c>
      <c r="BA308" s="16">
        <v>1293</v>
      </c>
      <c r="BB308" s="16">
        <f t="shared" si="179"/>
        <v>1202</v>
      </c>
      <c r="BC308" s="16"/>
      <c r="BD308" s="17"/>
      <c r="BE308" s="18">
        <v>2018</v>
      </c>
      <c r="BF308" s="21" t="s">
        <v>38</v>
      </c>
      <c r="BG308" s="15">
        <f>+MIT_Vic_Cap[[#This Row],[Trenes Puntuales]]/MIT_Vic_Cap[[#This Row],[Trenes Programados]]</f>
        <v>0.44686648501362397</v>
      </c>
      <c r="BH308" s="15">
        <f>+MIT_Vic_Cap[[#This Row],[Trenes Puntuales]]/MIT_Vic_Cap[[#This Row],[Trenes Corridos]]</f>
        <v>0.51653543307086613</v>
      </c>
      <c r="BI308" s="15">
        <f>+MIT_Vic_Cap[[#This Row],[Trenes Corridos]]/MIT_Vic_Cap[[#This Row],[Trenes Programados]]</f>
        <v>0.86512261580381467</v>
      </c>
      <c r="BJ308" s="16"/>
      <c r="BK308" s="16"/>
      <c r="BL308" s="16">
        <v>734</v>
      </c>
      <c r="BM308" s="16">
        <f t="shared" si="180"/>
        <v>99</v>
      </c>
      <c r="BN308" s="16">
        <v>635</v>
      </c>
      <c r="BO308" s="16">
        <v>328</v>
      </c>
      <c r="BP308" s="16">
        <f t="shared" si="181"/>
        <v>307</v>
      </c>
      <c r="BQ308" s="16"/>
      <c r="BR308" s="17"/>
      <c r="BS308" s="18">
        <v>2018</v>
      </c>
      <c r="BT308" s="21" t="s">
        <v>38</v>
      </c>
      <c r="BU308" s="15">
        <f>+Tabla8[[#This Row],[Trenes Puntuales]]/Tabla8[[#This Row],[Trenes Programados]]</f>
        <v>0.53982300884955747</v>
      </c>
      <c r="BV308" s="15">
        <f>+Tabla8[[#This Row],[Trenes Puntuales]]/Tabla8[[#This Row],[Trenes Corridos]]</f>
        <v>0.56091954022988511</v>
      </c>
      <c r="BW308" s="15">
        <f>+Tabla8[[#This Row],[Trenes Corridos]]/Tabla8[[#This Row],[Trenes Programados]]</f>
        <v>0.96238938053097345</v>
      </c>
      <c r="BX308" s="16"/>
      <c r="BY308" s="16"/>
      <c r="BZ308" s="16">
        <v>452</v>
      </c>
      <c r="CA308" s="16">
        <f t="shared" si="182"/>
        <v>17</v>
      </c>
      <c r="CB308" s="16">
        <v>435</v>
      </c>
      <c r="CC308" s="16">
        <v>244</v>
      </c>
      <c r="CD308" s="16">
        <f t="shared" si="183"/>
        <v>191</v>
      </c>
      <c r="CI308" s="40"/>
      <c r="CJ308" s="40"/>
      <c r="CK308" s="40"/>
      <c r="CL308" s="40"/>
      <c r="CM308" s="40"/>
    </row>
    <row r="309" spans="1:91" s="18" customFormat="1" ht="15" customHeight="1">
      <c r="A309" s="18">
        <v>2018</v>
      </c>
      <c r="B309" s="21" t="s">
        <v>39</v>
      </c>
      <c r="C309" s="15">
        <f>+MITRE[[#This Row],[Trenes Puntuales]]/MITRE[[#This Row],[Trenes Programados]]</f>
        <v>0.54042293304832434</v>
      </c>
      <c r="D309" s="15">
        <f>+MITRE[[#This Row],[Trenes Puntuales]]/MITRE[[#This Row],[Trenes Corridos]]</f>
        <v>0.62918851657630437</v>
      </c>
      <c r="E309" s="15">
        <f>+MITRE[[#This Row],[Trenes Corridos]]/MITRE[[#This Row],[Trenes Programados]]</f>
        <v>0.85892052828460186</v>
      </c>
      <c r="F309" s="16">
        <f>+Tabla4[[#This Row],[Trenes Programados por Día Hábil]]+Tabla5[[#This Row],[Trenes Programados por Día Hábil]]+Tabla6[[#This Row],[Trenes Programados por Día Hábil]]+MIT_Vic_Cap[[#This Row],[Trenes Programados por Día Hábil]]+Tabla8[[#This Row],[Trenes Programados por Día Hábil]]</f>
        <v>0</v>
      </c>
      <c r="G30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9" s="16">
        <f t="shared" si="139"/>
        <v>13099</v>
      </c>
      <c r="I309" s="16">
        <f t="shared" si="140"/>
        <v>1848</v>
      </c>
      <c r="J309" s="16">
        <f t="shared" si="141"/>
        <v>11251</v>
      </c>
      <c r="K309" s="16">
        <f t="shared" si="142"/>
        <v>7079</v>
      </c>
      <c r="L309" s="16">
        <f t="shared" si="143"/>
        <v>4172</v>
      </c>
      <c r="M309" s="16"/>
      <c r="N309" s="17"/>
      <c r="O309" s="18">
        <v>2018</v>
      </c>
      <c r="P309" s="21" t="s">
        <v>39</v>
      </c>
      <c r="Q309" s="15">
        <f>+Tabla4[[#This Row],[Trenes Puntuales]]/Tabla4[[#This Row],[Trenes Programados]]</f>
        <v>0.65825375170532063</v>
      </c>
      <c r="R309" s="15">
        <f>+Tabla4[[#This Row],[Trenes Puntuales]]/Tabla4[[#This Row],[Trenes Corridos]]</f>
        <v>0.86495368987152677</v>
      </c>
      <c r="S309" s="15">
        <f>+Tabla4[[#This Row],[Trenes Corridos]]/Tabla4[[#This Row],[Trenes Programados]]</f>
        <v>0.76102773988176442</v>
      </c>
      <c r="T309" s="16"/>
      <c r="U309" s="16"/>
      <c r="V309" s="16">
        <v>4398</v>
      </c>
      <c r="W309" s="16">
        <f t="shared" si="174"/>
        <v>1051</v>
      </c>
      <c r="X309" s="16">
        <v>3347</v>
      </c>
      <c r="Y309" s="16">
        <v>2895</v>
      </c>
      <c r="Z309" s="16">
        <f t="shared" si="175"/>
        <v>452</v>
      </c>
      <c r="AA309" s="16"/>
      <c r="AB309" s="17"/>
      <c r="AC309" s="18">
        <v>2018</v>
      </c>
      <c r="AD309" s="21" t="s">
        <v>39</v>
      </c>
      <c r="AE309" s="15">
        <f>+Tabla5[[#This Row],[Trenes Puntuales]]/Tabla5[[#This Row],[Trenes Programados]]</f>
        <v>0.47962124331000411</v>
      </c>
      <c r="AF309" s="15">
        <f>+Tabla5[[#This Row],[Trenes Puntuales]]/Tabla5[[#This Row],[Trenes Corridos]]</f>
        <v>0.52359550561797752</v>
      </c>
      <c r="AG309" s="15">
        <f>+Tabla5[[#This Row],[Trenes Corridos]]/Tabla5[[#This Row],[Trenes Programados]]</f>
        <v>0.91601482091395636</v>
      </c>
      <c r="AH309" s="16"/>
      <c r="AI309" s="16"/>
      <c r="AJ309" s="16">
        <v>4858</v>
      </c>
      <c r="AK309" s="16">
        <f t="shared" si="176"/>
        <v>408</v>
      </c>
      <c r="AL309" s="16">
        <v>4450</v>
      </c>
      <c r="AM309" s="16">
        <v>2330</v>
      </c>
      <c r="AN309" s="16">
        <f t="shared" si="177"/>
        <v>2120</v>
      </c>
      <c r="AO309" s="16"/>
      <c r="AP309" s="17"/>
      <c r="AQ309" s="18">
        <v>2018</v>
      </c>
      <c r="AR309" s="21" t="s">
        <v>39</v>
      </c>
      <c r="AS309" s="15">
        <f>+Tabla6[[#This Row],[Trenes Puntuales]]/Tabla6[[#This Row],[Trenes Programados]]</f>
        <v>0.46888888888888891</v>
      </c>
      <c r="AT309" s="15">
        <f>+Tabla6[[#This Row],[Trenes Puntuales]]/Tabla6[[#This Row],[Trenes Corridos]]</f>
        <v>0.53598645215918717</v>
      </c>
      <c r="AU309" s="15">
        <f>+Tabla6[[#This Row],[Trenes Corridos]]/Tabla6[[#This Row],[Trenes Programados]]</f>
        <v>0.87481481481481482</v>
      </c>
      <c r="AV309" s="16"/>
      <c r="AW309" s="16"/>
      <c r="AX309" s="16">
        <v>2700</v>
      </c>
      <c r="AY309" s="16">
        <f t="shared" si="178"/>
        <v>338</v>
      </c>
      <c r="AZ309" s="16">
        <v>2362</v>
      </c>
      <c r="BA309" s="16">
        <v>1266</v>
      </c>
      <c r="BB309" s="16">
        <f t="shared" si="179"/>
        <v>1096</v>
      </c>
      <c r="BC309" s="16"/>
      <c r="BD309" s="17"/>
      <c r="BE309" s="18">
        <v>2018</v>
      </c>
      <c r="BF309" s="21" t="s">
        <v>39</v>
      </c>
      <c r="BG309" s="15">
        <f>+MIT_Vic_Cap[[#This Row],[Trenes Puntuales]]/MIT_Vic_Cap[[#This Row],[Trenes Programados]]</f>
        <v>0.57991513437057995</v>
      </c>
      <c r="BH309" s="15">
        <f>+MIT_Vic_Cap[[#This Row],[Trenes Puntuales]]/MIT_Vic_Cap[[#This Row],[Trenes Corridos]]</f>
        <v>0.61285500747384158</v>
      </c>
      <c r="BI309" s="15">
        <f>+MIT_Vic_Cap[[#This Row],[Trenes Corridos]]/MIT_Vic_Cap[[#This Row],[Trenes Programados]]</f>
        <v>0.94625176803394628</v>
      </c>
      <c r="BJ309" s="16"/>
      <c r="BK309" s="16"/>
      <c r="BL309" s="16">
        <v>707</v>
      </c>
      <c r="BM309" s="16">
        <f t="shared" si="180"/>
        <v>38</v>
      </c>
      <c r="BN309" s="16">
        <v>669</v>
      </c>
      <c r="BO309" s="16">
        <v>410</v>
      </c>
      <c r="BP309" s="16">
        <f t="shared" si="181"/>
        <v>259</v>
      </c>
      <c r="BQ309" s="16"/>
      <c r="BR309" s="17"/>
      <c r="BS309" s="18">
        <v>2018</v>
      </c>
      <c r="BT309" s="21" t="s">
        <v>39</v>
      </c>
      <c r="BU309" s="15">
        <f>+Tabla8[[#This Row],[Trenes Puntuales]]/Tabla8[[#This Row],[Trenes Programados]]</f>
        <v>0.40825688073394495</v>
      </c>
      <c r="BV309" s="15">
        <f>+Tabla8[[#This Row],[Trenes Puntuales]]/Tabla8[[#This Row],[Trenes Corridos]]</f>
        <v>0.42080378250591016</v>
      </c>
      <c r="BW309" s="15">
        <f>+Tabla8[[#This Row],[Trenes Corridos]]/Tabla8[[#This Row],[Trenes Programados]]</f>
        <v>0.97018348623853212</v>
      </c>
      <c r="BX309" s="16"/>
      <c r="BY309" s="16"/>
      <c r="BZ309" s="16">
        <v>436</v>
      </c>
      <c r="CA309" s="16">
        <f t="shared" si="182"/>
        <v>13</v>
      </c>
      <c r="CB309" s="16">
        <v>423</v>
      </c>
      <c r="CC309" s="16">
        <v>178</v>
      </c>
      <c r="CD309" s="16">
        <f t="shared" si="183"/>
        <v>245</v>
      </c>
      <c r="CI309" s="40"/>
      <c r="CJ309" s="40"/>
      <c r="CK309" s="40"/>
      <c r="CL309" s="40"/>
      <c r="CM309" s="40"/>
    </row>
    <row r="310" spans="1:91" s="18" customFormat="1" ht="15" customHeight="1">
      <c r="A310" s="18">
        <v>2018</v>
      </c>
      <c r="B310" s="21" t="s">
        <v>40</v>
      </c>
      <c r="C310" s="15">
        <f>+MITRE[[#This Row],[Trenes Puntuales]]/MITRE[[#This Row],[Trenes Programados]]</f>
        <v>0.59942806863176423</v>
      </c>
      <c r="D310" s="15">
        <f>+MITRE[[#This Row],[Trenes Puntuales]]/MITRE[[#This Row],[Trenes Corridos]]</f>
        <v>0.65699590130997343</v>
      </c>
      <c r="E310" s="15">
        <f>+MITRE[[#This Row],[Trenes Corridos]]/MITRE[[#This Row],[Trenes Programados]]</f>
        <v>0.9123771814048981</v>
      </c>
      <c r="F310" s="16">
        <f>+Tabla4[[#This Row],[Trenes Programados por Día Hábil]]+Tabla5[[#This Row],[Trenes Programados por Día Hábil]]+Tabla6[[#This Row],[Trenes Programados por Día Hábil]]+MIT_Vic_Cap[[#This Row],[Trenes Programados por Día Hábil]]+Tabla8[[#This Row],[Trenes Programados por Día Hábil]]</f>
        <v>0</v>
      </c>
      <c r="G31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0" s="16">
        <f t="shared" si="139"/>
        <v>13638</v>
      </c>
      <c r="I310" s="16">
        <f t="shared" si="140"/>
        <v>1195</v>
      </c>
      <c r="J310" s="16">
        <f t="shared" si="141"/>
        <v>12443</v>
      </c>
      <c r="K310" s="16">
        <f t="shared" si="142"/>
        <v>8175</v>
      </c>
      <c r="L310" s="16">
        <f t="shared" si="143"/>
        <v>4268</v>
      </c>
      <c r="M310" s="16"/>
      <c r="N310" s="17"/>
      <c r="O310" s="18">
        <v>2018</v>
      </c>
      <c r="P310" s="21" t="s">
        <v>40</v>
      </c>
      <c r="Q310" s="15">
        <f>+Tabla4[[#This Row],[Trenes Puntuales]]/Tabla4[[#This Row],[Trenes Programados]]</f>
        <v>0.82116471099521948</v>
      </c>
      <c r="R310" s="15">
        <f>+Tabla4[[#This Row],[Trenes Puntuales]]/Tabla4[[#This Row],[Trenes Corridos]]</f>
        <v>0.89338061465721041</v>
      </c>
      <c r="S310" s="15">
        <f>+Tabla4[[#This Row],[Trenes Corridos]]/Tabla4[[#This Row],[Trenes Programados]]</f>
        <v>0.91916558018252936</v>
      </c>
      <c r="T310" s="16"/>
      <c r="U310" s="16"/>
      <c r="V310" s="16">
        <v>4602</v>
      </c>
      <c r="W310" s="16">
        <f t="shared" si="174"/>
        <v>372</v>
      </c>
      <c r="X310" s="16">
        <v>4230</v>
      </c>
      <c r="Y310" s="16">
        <v>3779</v>
      </c>
      <c r="Z310" s="16">
        <f t="shared" si="175"/>
        <v>451</v>
      </c>
      <c r="AA310" s="16"/>
      <c r="AB310" s="17"/>
      <c r="AC310" s="18">
        <v>2018</v>
      </c>
      <c r="AD310" s="21" t="s">
        <v>40</v>
      </c>
      <c r="AE310" s="15">
        <f>+Tabla5[[#This Row],[Trenes Puntuales]]/Tabla5[[#This Row],[Trenes Programados]]</f>
        <v>0.47603960396039602</v>
      </c>
      <c r="AF310" s="15">
        <f>+Tabla5[[#This Row],[Trenes Puntuales]]/Tabla5[[#This Row],[Trenes Corridos]]</f>
        <v>0.52317736670293802</v>
      </c>
      <c r="AG310" s="15">
        <f>+Tabla5[[#This Row],[Trenes Corridos]]/Tabla5[[#This Row],[Trenes Programados]]</f>
        <v>0.90990099009900993</v>
      </c>
      <c r="AH310" s="16"/>
      <c r="AI310" s="16"/>
      <c r="AJ310" s="16">
        <v>5050</v>
      </c>
      <c r="AK310" s="16">
        <f t="shared" si="176"/>
        <v>455</v>
      </c>
      <c r="AL310" s="16">
        <v>4595</v>
      </c>
      <c r="AM310" s="16">
        <v>2404</v>
      </c>
      <c r="AN310" s="16">
        <f t="shared" si="177"/>
        <v>2191</v>
      </c>
      <c r="AO310" s="16"/>
      <c r="AP310" s="17"/>
      <c r="AQ310" s="18">
        <v>2018</v>
      </c>
      <c r="AR310" s="21" t="s">
        <v>40</v>
      </c>
      <c r="AS310" s="15">
        <f>+Tabla6[[#This Row],[Trenes Puntuales]]/Tabla6[[#This Row],[Trenes Programados]]</f>
        <v>0.53440860215053765</v>
      </c>
      <c r="AT310" s="15">
        <f>+Tabla6[[#This Row],[Trenes Puntuales]]/Tabla6[[#This Row],[Trenes Corridos]]</f>
        <v>0.59663865546218486</v>
      </c>
      <c r="AU310" s="15">
        <f>+Tabla6[[#This Row],[Trenes Corridos]]/Tabla6[[#This Row],[Trenes Programados]]</f>
        <v>0.89569892473118284</v>
      </c>
      <c r="AV310" s="16"/>
      <c r="AW310" s="16"/>
      <c r="AX310" s="16">
        <v>2790</v>
      </c>
      <c r="AY310" s="16">
        <f t="shared" si="178"/>
        <v>291</v>
      </c>
      <c r="AZ310" s="16">
        <v>2499</v>
      </c>
      <c r="BA310" s="16">
        <v>1491</v>
      </c>
      <c r="BB310" s="16">
        <f t="shared" si="179"/>
        <v>1008</v>
      </c>
      <c r="BC310" s="16"/>
      <c r="BD310" s="17"/>
      <c r="BE310" s="18">
        <v>2018</v>
      </c>
      <c r="BF310" s="21" t="s">
        <v>40</v>
      </c>
      <c r="BG310" s="15">
        <f>+MIT_Vic_Cap[[#This Row],[Trenes Puntuales]]/MIT_Vic_Cap[[#This Row],[Trenes Programados]]</f>
        <v>0.59189189189189184</v>
      </c>
      <c r="BH310" s="15">
        <f>+MIT_Vic_Cap[[#This Row],[Trenes Puntuales]]/MIT_Vic_Cap[[#This Row],[Trenes Corridos]]</f>
        <v>0.63386396526772792</v>
      </c>
      <c r="BI310" s="15">
        <f>+MIT_Vic_Cap[[#This Row],[Trenes Corridos]]/MIT_Vic_Cap[[#This Row],[Trenes Programados]]</f>
        <v>0.93378378378378379</v>
      </c>
      <c r="BJ310" s="16"/>
      <c r="BK310" s="16"/>
      <c r="BL310" s="16">
        <v>740</v>
      </c>
      <c r="BM310" s="16">
        <f t="shared" si="180"/>
        <v>49</v>
      </c>
      <c r="BN310" s="16">
        <v>691</v>
      </c>
      <c r="BO310" s="16">
        <v>438</v>
      </c>
      <c r="BP310" s="16">
        <f t="shared" si="181"/>
        <v>253</v>
      </c>
      <c r="BQ310" s="16"/>
      <c r="BR310" s="17"/>
      <c r="BS310" s="18">
        <v>2018</v>
      </c>
      <c r="BT310" s="21" t="s">
        <v>40</v>
      </c>
      <c r="BU310" s="15">
        <f>+Tabla8[[#This Row],[Trenes Puntuales]]/Tabla8[[#This Row],[Trenes Programados]]</f>
        <v>0.13815789473684212</v>
      </c>
      <c r="BV310" s="15">
        <f>+Tabla8[[#This Row],[Trenes Puntuales]]/Tabla8[[#This Row],[Trenes Corridos]]</f>
        <v>0.14719626168224298</v>
      </c>
      <c r="BW310" s="15">
        <f>+Tabla8[[#This Row],[Trenes Corridos]]/Tabla8[[#This Row],[Trenes Programados]]</f>
        <v>0.93859649122807021</v>
      </c>
      <c r="BX310" s="16"/>
      <c r="BY310" s="16"/>
      <c r="BZ310" s="16">
        <v>456</v>
      </c>
      <c r="CA310" s="16">
        <f t="shared" si="182"/>
        <v>28</v>
      </c>
      <c r="CB310" s="16">
        <v>428</v>
      </c>
      <c r="CC310" s="16">
        <v>63</v>
      </c>
      <c r="CD310" s="16">
        <f t="shared" si="183"/>
        <v>365</v>
      </c>
      <c r="CI310" s="40"/>
      <c r="CJ310" s="40"/>
      <c r="CK310" s="40"/>
      <c r="CL310" s="40"/>
      <c r="CM310" s="40"/>
    </row>
    <row r="311" spans="1:91" s="18" customFormat="1" ht="15" customHeight="1">
      <c r="A311" s="18">
        <v>2018</v>
      </c>
      <c r="B311" s="21" t="s">
        <v>41</v>
      </c>
      <c r="C311" s="15">
        <f>+MITRE[[#This Row],[Trenes Puntuales]]/MITRE[[#This Row],[Trenes Programados]]</f>
        <v>0.65015190465061934</v>
      </c>
      <c r="D311" s="15">
        <f>+MITRE[[#This Row],[Trenes Puntuales]]/MITRE[[#This Row],[Trenes Corridos]]</f>
        <v>0.72010353753235545</v>
      </c>
      <c r="E311" s="15">
        <f>+MITRE[[#This Row],[Trenes Corridos]]/MITRE[[#This Row],[Trenes Programados]]</f>
        <v>0.90285892342447616</v>
      </c>
      <c r="F311" s="16">
        <f>+Tabla4[[#This Row],[Trenes Programados por Día Hábil]]+Tabla5[[#This Row],[Trenes Programados por Día Hábil]]+Tabla6[[#This Row],[Trenes Programados por Día Hábil]]+MIT_Vic_Cap[[#This Row],[Trenes Programados por Día Hábil]]+Tabla8[[#This Row],[Trenes Programados por Día Hábil]]</f>
        <v>0</v>
      </c>
      <c r="G31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1" s="16">
        <f t="shared" si="139"/>
        <v>12837</v>
      </c>
      <c r="I311" s="16">
        <f t="shared" si="140"/>
        <v>1247</v>
      </c>
      <c r="J311" s="16">
        <f t="shared" si="141"/>
        <v>11590</v>
      </c>
      <c r="K311" s="16">
        <f t="shared" si="142"/>
        <v>8346</v>
      </c>
      <c r="L311" s="16">
        <f t="shared" si="143"/>
        <v>3244</v>
      </c>
      <c r="M311" s="16"/>
      <c r="N311" s="17"/>
      <c r="O311" s="18">
        <v>2018</v>
      </c>
      <c r="P311" s="21" t="s">
        <v>41</v>
      </c>
      <c r="Q311" s="15">
        <f>+Tabla4[[#This Row],[Trenes Puntuales]]/Tabla4[[#This Row],[Trenes Programados]]</f>
        <v>0.8565315315315315</v>
      </c>
      <c r="R311" s="15">
        <f>+Tabla4[[#This Row],[Trenes Puntuales]]/Tabla4[[#This Row],[Trenes Corridos]]</f>
        <v>0.94087085601187526</v>
      </c>
      <c r="S311" s="15">
        <f>+Tabla4[[#This Row],[Trenes Corridos]]/Tabla4[[#This Row],[Trenes Programados]]</f>
        <v>0.91036036036036039</v>
      </c>
      <c r="T311" s="16"/>
      <c r="U311" s="16"/>
      <c r="V311" s="16">
        <v>4440</v>
      </c>
      <c r="W311" s="16">
        <f t="shared" si="174"/>
        <v>398</v>
      </c>
      <c r="X311" s="16">
        <v>4042</v>
      </c>
      <c r="Y311" s="16">
        <v>3803</v>
      </c>
      <c r="Z311" s="16">
        <f t="shared" si="175"/>
        <v>239</v>
      </c>
      <c r="AA311" s="16"/>
      <c r="AB311" s="17"/>
      <c r="AC311" s="18">
        <v>2018</v>
      </c>
      <c r="AD311" s="21" t="s">
        <v>41</v>
      </c>
      <c r="AE311" s="15">
        <f>+Tabla5[[#This Row],[Trenes Puntuales]]/Tabla5[[#This Row],[Trenes Programados]]</f>
        <v>0.64793529161345254</v>
      </c>
      <c r="AF311" s="15">
        <f>+Tabla5[[#This Row],[Trenes Puntuales]]/Tabla5[[#This Row],[Trenes Corridos]]</f>
        <v>0.69944852941176472</v>
      </c>
      <c r="AG311" s="15">
        <f>+Tabla5[[#This Row],[Trenes Corridos]]/Tabla5[[#This Row],[Trenes Programados]]</f>
        <v>0.92635163899531714</v>
      </c>
      <c r="AH311" s="16"/>
      <c r="AI311" s="16"/>
      <c r="AJ311" s="16">
        <v>4698</v>
      </c>
      <c r="AK311" s="16">
        <f t="shared" si="176"/>
        <v>346</v>
      </c>
      <c r="AL311" s="16">
        <v>4352</v>
      </c>
      <c r="AM311" s="16">
        <v>3044</v>
      </c>
      <c r="AN311" s="16">
        <f t="shared" si="177"/>
        <v>1308</v>
      </c>
      <c r="AO311" s="16"/>
      <c r="AP311" s="17"/>
      <c r="AQ311" s="18">
        <v>2018</v>
      </c>
      <c r="AR311" s="21" t="s">
        <v>41</v>
      </c>
      <c r="AS311" s="15">
        <f>+Tabla6[[#This Row],[Trenes Puntuales]]/Tabla6[[#This Row],[Trenes Programados]]</f>
        <v>0.41430817610062892</v>
      </c>
      <c r="AT311" s="15">
        <f>+Tabla6[[#This Row],[Trenes Puntuales]]/Tabla6[[#This Row],[Trenes Corridos]]</f>
        <v>0.49623352165725049</v>
      </c>
      <c r="AU311" s="15">
        <f>+Tabla6[[#This Row],[Trenes Corridos]]/Tabla6[[#This Row],[Trenes Programados]]</f>
        <v>0.83490566037735847</v>
      </c>
      <c r="AV311" s="16"/>
      <c r="AW311" s="16"/>
      <c r="AX311" s="16">
        <v>2544</v>
      </c>
      <c r="AY311" s="16">
        <f t="shared" si="178"/>
        <v>420</v>
      </c>
      <c r="AZ311" s="16">
        <v>2124</v>
      </c>
      <c r="BA311" s="16">
        <v>1054</v>
      </c>
      <c r="BB311" s="16">
        <f t="shared" si="179"/>
        <v>1070</v>
      </c>
      <c r="BC311" s="16"/>
      <c r="BD311" s="17"/>
      <c r="BE311" s="18">
        <v>2018</v>
      </c>
      <c r="BF311" s="21" t="s">
        <v>41</v>
      </c>
      <c r="BG311" s="15">
        <f>+MIT_Vic_Cap[[#This Row],[Trenes Puntuales]]/MIT_Vic_Cap[[#This Row],[Trenes Programados]]</f>
        <v>0.56503496503496509</v>
      </c>
      <c r="BH311" s="15">
        <f>+MIT_Vic_Cap[[#This Row],[Trenes Puntuales]]/MIT_Vic_Cap[[#This Row],[Trenes Corridos]]</f>
        <v>0.61305007587253413</v>
      </c>
      <c r="BI311" s="15">
        <f>+MIT_Vic_Cap[[#This Row],[Trenes Corridos]]/MIT_Vic_Cap[[#This Row],[Trenes Programados]]</f>
        <v>0.92167832167832164</v>
      </c>
      <c r="BJ311" s="16"/>
      <c r="BK311" s="16"/>
      <c r="BL311" s="16">
        <v>715</v>
      </c>
      <c r="BM311" s="16">
        <f t="shared" si="180"/>
        <v>56</v>
      </c>
      <c r="BN311" s="16">
        <v>659</v>
      </c>
      <c r="BO311" s="16">
        <v>404</v>
      </c>
      <c r="BP311" s="16">
        <f t="shared" si="181"/>
        <v>255</v>
      </c>
      <c r="BQ311" s="16"/>
      <c r="BR311" s="17"/>
      <c r="BS311" s="18">
        <v>2018</v>
      </c>
      <c r="BT311" s="21" t="s">
        <v>41</v>
      </c>
      <c r="BU311" s="15">
        <f>+Tabla8[[#This Row],[Trenes Puntuales]]/Tabla8[[#This Row],[Trenes Programados]]</f>
        <v>9.3181818181818185E-2</v>
      </c>
      <c r="BV311" s="15">
        <f>+Tabla8[[#This Row],[Trenes Puntuales]]/Tabla8[[#This Row],[Trenes Corridos]]</f>
        <v>9.9273607748184015E-2</v>
      </c>
      <c r="BW311" s="15">
        <f>+Tabla8[[#This Row],[Trenes Corridos]]/Tabla8[[#This Row],[Trenes Programados]]</f>
        <v>0.9386363636363636</v>
      </c>
      <c r="BX311" s="16"/>
      <c r="BY311" s="16"/>
      <c r="BZ311" s="16">
        <v>440</v>
      </c>
      <c r="CA311" s="16">
        <f t="shared" si="182"/>
        <v>27</v>
      </c>
      <c r="CB311" s="16">
        <v>413</v>
      </c>
      <c r="CC311" s="16">
        <v>41</v>
      </c>
      <c r="CD311" s="16">
        <f t="shared" si="183"/>
        <v>372</v>
      </c>
      <c r="CI311" s="40"/>
      <c r="CJ311" s="40"/>
      <c r="CK311" s="40"/>
      <c r="CL311" s="40"/>
      <c r="CM311" s="40"/>
    </row>
    <row r="312" spans="1:91" s="18" customFormat="1" ht="15" customHeight="1">
      <c r="A312" s="18">
        <v>2018</v>
      </c>
      <c r="B312" s="21" t="s">
        <v>42</v>
      </c>
      <c r="C312" s="15">
        <f>+MITRE[[#This Row],[Trenes Puntuales]]/MITRE[[#This Row],[Trenes Programados]]</f>
        <v>0.78982231920199497</v>
      </c>
      <c r="D312" s="15">
        <f>+MITRE[[#This Row],[Trenes Puntuales]]/MITRE[[#This Row],[Trenes Corridos]]</f>
        <v>0.86152669160149609</v>
      </c>
      <c r="E312" s="15">
        <f>+MITRE[[#This Row],[Trenes Corridos]]/MITRE[[#This Row],[Trenes Programados]]</f>
        <v>0.91677057356608482</v>
      </c>
      <c r="F312" s="16">
        <f>+Tabla4[[#This Row],[Trenes Programados por Día Hábil]]+Tabla5[[#This Row],[Trenes Programados por Día Hábil]]+Tabla6[[#This Row],[Trenes Programados por Día Hábil]]+MIT_Vic_Cap[[#This Row],[Trenes Programados por Día Hábil]]+Tabla8[[#This Row],[Trenes Programados por Día Hábil]]</f>
        <v>0</v>
      </c>
      <c r="G31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2" s="16">
        <f t="shared" si="139"/>
        <v>12832</v>
      </c>
      <c r="I312" s="16">
        <f t="shared" si="140"/>
        <v>1068</v>
      </c>
      <c r="J312" s="16">
        <f t="shared" si="141"/>
        <v>11764</v>
      </c>
      <c r="K312" s="16">
        <f t="shared" si="142"/>
        <v>10135</v>
      </c>
      <c r="L312" s="16">
        <f t="shared" si="143"/>
        <v>1629</v>
      </c>
      <c r="M312" s="16"/>
      <c r="N312" s="17"/>
      <c r="O312" s="18">
        <v>2018</v>
      </c>
      <c r="P312" s="21" t="s">
        <v>42</v>
      </c>
      <c r="Q312" s="15">
        <f>+Tabla4[[#This Row],[Trenes Puntuales]]/Tabla4[[#This Row],[Trenes Programados]]</f>
        <v>0.72120817036071272</v>
      </c>
      <c r="R312" s="15">
        <f>+Tabla4[[#This Row],[Trenes Puntuales]]/Tabla4[[#This Row],[Trenes Corridos]]</f>
        <v>0.90509953640578134</v>
      </c>
      <c r="S312" s="15">
        <f>+Tabla4[[#This Row],[Trenes Corridos]]/Tabla4[[#This Row],[Trenes Programados]]</f>
        <v>0.79682746631899171</v>
      </c>
      <c r="T312" s="16"/>
      <c r="U312" s="16"/>
      <c r="V312" s="16">
        <v>4602</v>
      </c>
      <c r="W312" s="16">
        <f t="shared" si="174"/>
        <v>935</v>
      </c>
      <c r="X312" s="16">
        <v>3667</v>
      </c>
      <c r="Y312" s="16">
        <v>3319</v>
      </c>
      <c r="Z312" s="16">
        <f t="shared" si="175"/>
        <v>348</v>
      </c>
      <c r="AA312" s="16"/>
      <c r="AB312" s="17"/>
      <c r="AC312" s="18">
        <v>2018</v>
      </c>
      <c r="AD312" s="21" t="s">
        <v>42</v>
      </c>
      <c r="AE312" s="15">
        <f>+Tabla5[[#This Row],[Trenes Puntuales]]/Tabla5[[#This Row],[Trenes Programados]]</f>
        <v>0.87976603119584051</v>
      </c>
      <c r="AF312" s="15">
        <f>+Tabla5[[#This Row],[Trenes Puntuales]]/Tabla5[[#This Row],[Trenes Corridos]]</f>
        <v>0.8907655187541127</v>
      </c>
      <c r="AG312" s="15">
        <f>+Tabla5[[#This Row],[Trenes Corridos]]/Tabla5[[#This Row],[Trenes Programados]]</f>
        <v>0.98765164644714043</v>
      </c>
      <c r="AH312" s="16"/>
      <c r="AI312" s="16"/>
      <c r="AJ312" s="16">
        <v>4616</v>
      </c>
      <c r="AK312" s="16">
        <f t="shared" si="176"/>
        <v>57</v>
      </c>
      <c r="AL312" s="16">
        <v>4559</v>
      </c>
      <c r="AM312" s="16">
        <v>4061</v>
      </c>
      <c r="AN312" s="16">
        <f t="shared" si="177"/>
        <v>498</v>
      </c>
      <c r="AO312" s="16"/>
      <c r="AP312" s="17"/>
      <c r="AQ312" s="18">
        <v>2018</v>
      </c>
      <c r="AR312" s="21" t="s">
        <v>42</v>
      </c>
      <c r="AS312" s="15">
        <f>+Tabla6[[#This Row],[Trenes Puntuales]]/Tabla6[[#This Row],[Trenes Programados]]</f>
        <v>0.88172043010752688</v>
      </c>
      <c r="AT312" s="15">
        <f>+Tabla6[[#This Row],[Trenes Puntuales]]/Tabla6[[#This Row],[Trenes Corridos]]</f>
        <v>0.90186125211505919</v>
      </c>
      <c r="AU312" s="15">
        <f>+Tabla6[[#This Row],[Trenes Corridos]]/Tabla6[[#This Row],[Trenes Programados]]</f>
        <v>0.97766749379652607</v>
      </c>
      <c r="AV312" s="16"/>
      <c r="AW312" s="16"/>
      <c r="AX312" s="16">
        <v>2418</v>
      </c>
      <c r="AY312" s="16">
        <f t="shared" si="178"/>
        <v>54</v>
      </c>
      <c r="AZ312" s="16">
        <v>2364</v>
      </c>
      <c r="BA312" s="16">
        <v>2132</v>
      </c>
      <c r="BB312" s="16">
        <f t="shared" si="179"/>
        <v>232</v>
      </c>
      <c r="BC312" s="16"/>
      <c r="BD312" s="17"/>
      <c r="BE312" s="18">
        <v>2018</v>
      </c>
      <c r="BF312" s="21" t="s">
        <v>42</v>
      </c>
      <c r="BG312" s="15">
        <f>+MIT_Vic_Cap[[#This Row],[Trenes Puntuales]]/MIT_Vic_Cap[[#This Row],[Trenes Programados]]</f>
        <v>0.66081081081081083</v>
      </c>
      <c r="BH312" s="15">
        <f>+MIT_Vic_Cap[[#This Row],[Trenes Puntuales]]/MIT_Vic_Cap[[#This Row],[Trenes Corridos]]</f>
        <v>0.67170329670329665</v>
      </c>
      <c r="BI312" s="15">
        <f>+MIT_Vic_Cap[[#This Row],[Trenes Corridos]]/MIT_Vic_Cap[[#This Row],[Trenes Programados]]</f>
        <v>0.98378378378378384</v>
      </c>
      <c r="BJ312" s="16"/>
      <c r="BK312" s="16"/>
      <c r="BL312" s="16">
        <v>740</v>
      </c>
      <c r="BM312" s="16">
        <f t="shared" si="180"/>
        <v>12</v>
      </c>
      <c r="BN312" s="16">
        <v>728</v>
      </c>
      <c r="BO312" s="16">
        <v>489</v>
      </c>
      <c r="BP312" s="16">
        <f t="shared" si="181"/>
        <v>239</v>
      </c>
      <c r="BQ312" s="16"/>
      <c r="BR312" s="17"/>
      <c r="BS312" s="18">
        <v>2018</v>
      </c>
      <c r="BT312" s="21" t="s">
        <v>42</v>
      </c>
      <c r="BU312" s="15">
        <f>+Tabla8[[#This Row],[Trenes Puntuales]]/Tabla8[[#This Row],[Trenes Programados]]</f>
        <v>0.29385964912280704</v>
      </c>
      <c r="BV312" s="15">
        <f>+Tabla8[[#This Row],[Trenes Puntuales]]/Tabla8[[#This Row],[Trenes Corridos]]</f>
        <v>0.30044843049327352</v>
      </c>
      <c r="BW312" s="15">
        <f>+Tabla8[[#This Row],[Trenes Corridos]]/Tabla8[[#This Row],[Trenes Programados]]</f>
        <v>0.97807017543859653</v>
      </c>
      <c r="BX312" s="16"/>
      <c r="BY312" s="16"/>
      <c r="BZ312" s="16">
        <v>456</v>
      </c>
      <c r="CA312" s="16">
        <f t="shared" si="182"/>
        <v>10</v>
      </c>
      <c r="CB312" s="16">
        <v>446</v>
      </c>
      <c r="CC312" s="16">
        <v>134</v>
      </c>
      <c r="CD312" s="16">
        <f t="shared" si="183"/>
        <v>312</v>
      </c>
      <c r="CI312" s="40"/>
      <c r="CJ312" s="40"/>
      <c r="CK312" s="40"/>
      <c r="CL312" s="40"/>
      <c r="CM312" s="40"/>
    </row>
    <row r="313" spans="1:91" s="18" customFormat="1" ht="15" customHeight="1">
      <c r="A313" s="18">
        <v>2018</v>
      </c>
      <c r="B313" s="21" t="s">
        <v>43</v>
      </c>
      <c r="C313" s="15">
        <f>+MITRE[[#This Row],[Trenes Puntuales]]/MITRE[[#This Row],[Trenes Programados]]</f>
        <v>0.80894088479119852</v>
      </c>
      <c r="D313" s="15">
        <f>+MITRE[[#This Row],[Trenes Puntuales]]/MITRE[[#This Row],[Trenes Corridos]]</f>
        <v>0.87248266065012114</v>
      </c>
      <c r="E313" s="15">
        <f>+MITRE[[#This Row],[Trenes Corridos]]/MITRE[[#This Row],[Trenes Programados]]</f>
        <v>0.92717130239404977</v>
      </c>
      <c r="F313" s="16">
        <f>+Tabla4[[#This Row],[Trenes Programados por Día Hábil]]+Tabla5[[#This Row],[Trenes Programados por Día Hábil]]+Tabla6[[#This Row],[Trenes Programados por Día Hábil]]+MIT_Vic_Cap[[#This Row],[Trenes Programados por Día Hábil]]+Tabla8[[#This Row],[Trenes Programados por Día Hábil]]</f>
        <v>0</v>
      </c>
      <c r="G31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3" s="16">
        <f t="shared" si="139"/>
        <v>12907</v>
      </c>
      <c r="I313" s="16">
        <f t="shared" si="140"/>
        <v>940</v>
      </c>
      <c r="J313" s="16">
        <f t="shared" si="141"/>
        <v>11967</v>
      </c>
      <c r="K313" s="16">
        <f t="shared" si="142"/>
        <v>10441</v>
      </c>
      <c r="L313" s="16">
        <f t="shared" si="143"/>
        <v>1526</v>
      </c>
      <c r="M313" s="16"/>
      <c r="N313" s="17"/>
      <c r="O313" s="18">
        <v>2018</v>
      </c>
      <c r="P313" s="21" t="s">
        <v>43</v>
      </c>
      <c r="Q313" s="15">
        <f>+Tabla4[[#This Row],[Trenes Puntuales]]/Tabla4[[#This Row],[Trenes Programados]]</f>
        <v>0.70262704565030143</v>
      </c>
      <c r="R313" s="15">
        <f>+Tabla4[[#This Row],[Trenes Puntuales]]/Tabla4[[#This Row],[Trenes Corridos]]</f>
        <v>0.86322751322751323</v>
      </c>
      <c r="S313" s="15">
        <f>+Tabla4[[#This Row],[Trenes Corridos]]/Tabla4[[#This Row],[Trenes Programados]]</f>
        <v>0.81395348837209303</v>
      </c>
      <c r="T313" s="16"/>
      <c r="U313" s="16"/>
      <c r="V313" s="16">
        <v>4644</v>
      </c>
      <c r="W313" s="16">
        <f t="shared" si="174"/>
        <v>864</v>
      </c>
      <c r="X313" s="16">
        <v>3780</v>
      </c>
      <c r="Y313" s="16">
        <v>3263</v>
      </c>
      <c r="Z313" s="16">
        <f t="shared" si="175"/>
        <v>517</v>
      </c>
      <c r="AA313" s="16"/>
      <c r="AB313" s="17"/>
      <c r="AC313" s="18">
        <v>2018</v>
      </c>
      <c r="AD313" s="21" t="s">
        <v>43</v>
      </c>
      <c r="AE313" s="15">
        <f>+Tabla5[[#This Row],[Trenes Puntuales]]/Tabla5[[#This Row],[Trenes Programados]]</f>
        <v>0.90793445450625265</v>
      </c>
      <c r="AF313" s="15">
        <f>+Tabla5[[#This Row],[Trenes Puntuales]]/Tabla5[[#This Row],[Trenes Corridos]]</f>
        <v>0.91206411089452022</v>
      </c>
      <c r="AG313" s="15">
        <f>+Tabla5[[#This Row],[Trenes Corridos]]/Tabla5[[#This Row],[Trenes Programados]]</f>
        <v>0.99547218628719281</v>
      </c>
      <c r="AH313" s="16"/>
      <c r="AI313" s="16"/>
      <c r="AJ313" s="16">
        <v>4638</v>
      </c>
      <c r="AK313" s="16">
        <f t="shared" si="176"/>
        <v>21</v>
      </c>
      <c r="AL313" s="16">
        <v>4617</v>
      </c>
      <c r="AM313" s="16">
        <v>4211</v>
      </c>
      <c r="AN313" s="16">
        <f t="shared" si="177"/>
        <v>406</v>
      </c>
      <c r="AO313" s="16"/>
      <c r="AP313" s="17"/>
      <c r="AQ313" s="18">
        <v>2018</v>
      </c>
      <c r="AR313" s="21" t="s">
        <v>43</v>
      </c>
      <c r="AS313" s="15">
        <f>+Tabla6[[#This Row],[Trenes Puntuales]]/Tabla6[[#This Row],[Trenes Programados]]</f>
        <v>0.93217535153019027</v>
      </c>
      <c r="AT313" s="15">
        <f>+Tabla6[[#This Row],[Trenes Puntuales]]/Tabla6[[#This Row],[Trenes Corridos]]</f>
        <v>0.94152046783625731</v>
      </c>
      <c r="AU313" s="15">
        <f>+Tabla6[[#This Row],[Trenes Corridos]]/Tabla6[[#This Row],[Trenes Programados]]</f>
        <v>0.99007444168734493</v>
      </c>
      <c r="AV313" s="16"/>
      <c r="AW313" s="16"/>
      <c r="AX313" s="16">
        <v>2418</v>
      </c>
      <c r="AY313" s="16">
        <f t="shared" si="178"/>
        <v>24</v>
      </c>
      <c r="AZ313" s="16">
        <v>2394</v>
      </c>
      <c r="BA313" s="16">
        <v>2254</v>
      </c>
      <c r="BB313" s="16">
        <f t="shared" si="179"/>
        <v>140</v>
      </c>
      <c r="BC313" s="16"/>
      <c r="BD313" s="17"/>
      <c r="BE313" s="18">
        <v>2018</v>
      </c>
      <c r="BF313" s="21" t="s">
        <v>43</v>
      </c>
      <c r="BG313" s="15">
        <f>+MIT_Vic_Cap[[#This Row],[Trenes Puntuales]]/MIT_Vic_Cap[[#This Row],[Trenes Programados]]</f>
        <v>0.65595716198125842</v>
      </c>
      <c r="BH313" s="15">
        <f>+MIT_Vic_Cap[[#This Row],[Trenes Puntuales]]/MIT_Vic_Cap[[#This Row],[Trenes Corridos]]</f>
        <v>0.68150208623087627</v>
      </c>
      <c r="BI313" s="15">
        <f>+MIT_Vic_Cap[[#This Row],[Trenes Corridos]]/MIT_Vic_Cap[[#This Row],[Trenes Programados]]</f>
        <v>0.96251673360107093</v>
      </c>
      <c r="BJ313" s="16"/>
      <c r="BK313" s="16"/>
      <c r="BL313" s="16">
        <v>747</v>
      </c>
      <c r="BM313" s="16">
        <f t="shared" si="180"/>
        <v>28</v>
      </c>
      <c r="BN313" s="16">
        <v>719</v>
      </c>
      <c r="BO313" s="16">
        <v>490</v>
      </c>
      <c r="BP313" s="16">
        <f t="shared" si="181"/>
        <v>229</v>
      </c>
      <c r="BQ313" s="16"/>
      <c r="BR313" s="17"/>
      <c r="BS313" s="18">
        <v>2018</v>
      </c>
      <c r="BT313" s="21" t="s">
        <v>43</v>
      </c>
      <c r="BU313" s="15">
        <f>+Tabla8[[#This Row],[Trenes Puntuales]]/Tabla8[[#This Row],[Trenes Programados]]</f>
        <v>0.48478260869565215</v>
      </c>
      <c r="BV313" s="15">
        <f>+Tabla8[[#This Row],[Trenes Puntuales]]/Tabla8[[#This Row],[Trenes Corridos]]</f>
        <v>0.48796498905908098</v>
      </c>
      <c r="BW313" s="15">
        <f>+Tabla8[[#This Row],[Trenes Corridos]]/Tabla8[[#This Row],[Trenes Programados]]</f>
        <v>0.99347826086956526</v>
      </c>
      <c r="BX313" s="16"/>
      <c r="BY313" s="16"/>
      <c r="BZ313" s="16">
        <v>460</v>
      </c>
      <c r="CA313" s="16">
        <f t="shared" si="182"/>
        <v>3</v>
      </c>
      <c r="CB313" s="16">
        <v>457</v>
      </c>
      <c r="CC313" s="16">
        <v>223</v>
      </c>
      <c r="CD313" s="16">
        <f t="shared" si="183"/>
        <v>234</v>
      </c>
      <c r="CI313" s="40"/>
      <c r="CJ313" s="40"/>
      <c r="CK313" s="40"/>
      <c r="CL313" s="40"/>
      <c r="CM313" s="40"/>
    </row>
    <row r="314" spans="1:91" s="18" customFormat="1" ht="15" customHeight="1">
      <c r="A314" s="18">
        <v>2018</v>
      </c>
      <c r="B314" s="21" t="s">
        <v>44</v>
      </c>
      <c r="C314" s="15">
        <f>+MITRE[[#This Row],[Trenes Puntuales]]/MITRE[[#This Row],[Trenes Programados]]</f>
        <v>0.8202501008471158</v>
      </c>
      <c r="D314" s="15">
        <f>+MITRE[[#This Row],[Trenes Puntuales]]/MITRE[[#This Row],[Trenes Corridos]]</f>
        <v>0.91110314544314008</v>
      </c>
      <c r="E314" s="15">
        <f>+MITRE[[#This Row],[Trenes Corridos]]/MITRE[[#This Row],[Trenes Programados]]</f>
        <v>0.90028237192416294</v>
      </c>
      <c r="F314" s="16">
        <f>+Tabla4[[#This Row],[Trenes Programados por Día Hábil]]+Tabla5[[#This Row],[Trenes Programados por Día Hábil]]+Tabla6[[#This Row],[Trenes Programados por Día Hábil]]+MIT_Vic_Cap[[#This Row],[Trenes Programados por Día Hábil]]+Tabla8[[#This Row],[Trenes Programados por Día Hábil]]</f>
        <v>0</v>
      </c>
      <c r="G31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4" s="16">
        <f t="shared" si="139"/>
        <v>12395</v>
      </c>
      <c r="I314" s="16">
        <f t="shared" si="140"/>
        <v>1236</v>
      </c>
      <c r="J314" s="16">
        <f t="shared" si="141"/>
        <v>11159</v>
      </c>
      <c r="K314" s="16">
        <f t="shared" si="142"/>
        <v>10167</v>
      </c>
      <c r="L314" s="16">
        <f t="shared" si="143"/>
        <v>992</v>
      </c>
      <c r="M314" s="16"/>
      <c r="N314" s="17"/>
      <c r="O314" s="18">
        <v>2018</v>
      </c>
      <c r="P314" s="21" t="s">
        <v>44</v>
      </c>
      <c r="Q314" s="15">
        <f>+Tabla4[[#This Row],[Trenes Puntuales]]/Tabla4[[#This Row],[Trenes Programados]]</f>
        <v>0.78896396396396395</v>
      </c>
      <c r="R314" s="15">
        <f>+Tabla4[[#This Row],[Trenes Puntuales]]/Tabla4[[#This Row],[Trenes Corridos]]</f>
        <v>0.94293405114401074</v>
      </c>
      <c r="S314" s="15">
        <f>+Tabla4[[#This Row],[Trenes Corridos]]/Tabla4[[#This Row],[Trenes Programados]]</f>
        <v>0.83671171171171166</v>
      </c>
      <c r="T314" s="16"/>
      <c r="U314" s="16"/>
      <c r="V314" s="16">
        <v>4440</v>
      </c>
      <c r="W314" s="16">
        <f t="shared" si="174"/>
        <v>725</v>
      </c>
      <c r="X314" s="16">
        <v>3715</v>
      </c>
      <c r="Y314" s="16">
        <v>3503</v>
      </c>
      <c r="Z314" s="16">
        <f t="shared" si="175"/>
        <v>212</v>
      </c>
      <c r="AA314" s="19" t="s">
        <v>49</v>
      </c>
      <c r="AB314" s="17"/>
      <c r="AC314" s="18">
        <v>2018</v>
      </c>
      <c r="AD314" s="21" t="s">
        <v>44</v>
      </c>
      <c r="AE314" s="15">
        <f>+Tabla5[[#This Row],[Trenes Puntuales]]/Tabla5[[#This Row],[Trenes Programados]]</f>
        <v>0.86502242152466369</v>
      </c>
      <c r="AF314" s="15">
        <f>+Tabla5[[#This Row],[Trenes Puntuales]]/Tabla5[[#This Row],[Trenes Corridos]]</f>
        <v>0.9084059336001884</v>
      </c>
      <c r="AG314" s="15">
        <f>+Tabla5[[#This Row],[Trenes Corridos]]/Tabla5[[#This Row],[Trenes Programados]]</f>
        <v>0.95224215246636768</v>
      </c>
      <c r="AH314" s="16"/>
      <c r="AI314" s="16"/>
      <c r="AJ314" s="16">
        <v>4460</v>
      </c>
      <c r="AK314" s="16">
        <f t="shared" si="176"/>
        <v>213</v>
      </c>
      <c r="AL314" s="16">
        <v>4247</v>
      </c>
      <c r="AM314" s="16">
        <v>3858</v>
      </c>
      <c r="AN314" s="16">
        <f t="shared" si="177"/>
        <v>389</v>
      </c>
      <c r="AO314" s="16"/>
      <c r="AP314" s="17"/>
      <c r="AQ314" s="18">
        <v>2018</v>
      </c>
      <c r="AR314" s="21" t="s">
        <v>44</v>
      </c>
      <c r="AS314" s="15">
        <f>+Tabla6[[#This Row],[Trenes Puntuales]]/Tabla6[[#This Row],[Trenes Programados]]</f>
        <v>0.91880341880341876</v>
      </c>
      <c r="AT314" s="15">
        <f>+Tabla6[[#This Row],[Trenes Puntuales]]/Tabla6[[#This Row],[Trenes Corridos]]</f>
        <v>0.96499102333931774</v>
      </c>
      <c r="AU314" s="15">
        <f>+Tabla6[[#This Row],[Trenes Corridos]]/Tabla6[[#This Row],[Trenes Programados]]</f>
        <v>0.95213675213675208</v>
      </c>
      <c r="AV314" s="16"/>
      <c r="AW314" s="16"/>
      <c r="AX314" s="16">
        <v>2340</v>
      </c>
      <c r="AY314" s="16">
        <f t="shared" si="178"/>
        <v>112</v>
      </c>
      <c r="AZ314" s="16">
        <v>2228</v>
      </c>
      <c r="BA314" s="16">
        <v>2150</v>
      </c>
      <c r="BB314" s="16">
        <f t="shared" si="179"/>
        <v>78</v>
      </c>
      <c r="BC314" s="16"/>
      <c r="BD314" s="17"/>
      <c r="BE314" s="18">
        <v>2018</v>
      </c>
      <c r="BF314" s="21" t="s">
        <v>44</v>
      </c>
      <c r="BG314" s="15">
        <f>+MIT_Vic_Cap[[#This Row],[Trenes Puntuales]]/MIT_Vic_Cap[[#This Row],[Trenes Programados]]</f>
        <v>0.59720279720279723</v>
      </c>
      <c r="BH314" s="15">
        <f>+MIT_Vic_Cap[[#This Row],[Trenes Puntuales]]/MIT_Vic_Cap[[#This Row],[Trenes Corridos]]</f>
        <v>0.76660682226211851</v>
      </c>
      <c r="BI314" s="15">
        <f>+MIT_Vic_Cap[[#This Row],[Trenes Corridos]]/MIT_Vic_Cap[[#This Row],[Trenes Programados]]</f>
        <v>0.779020979020979</v>
      </c>
      <c r="BJ314" s="16"/>
      <c r="BK314" s="16"/>
      <c r="BL314" s="16">
        <v>715</v>
      </c>
      <c r="BM314" s="16">
        <f t="shared" si="180"/>
        <v>158</v>
      </c>
      <c r="BN314" s="16">
        <v>557</v>
      </c>
      <c r="BO314" s="16">
        <v>427</v>
      </c>
      <c r="BP314" s="16">
        <f t="shared" si="181"/>
        <v>130</v>
      </c>
      <c r="BQ314" s="19" t="s">
        <v>50</v>
      </c>
      <c r="BR314" s="17"/>
      <c r="BS314" s="18">
        <v>2018</v>
      </c>
      <c r="BT314" s="21" t="s">
        <v>44</v>
      </c>
      <c r="BU314" s="15">
        <f>+Tabla8[[#This Row],[Trenes Puntuales]]/Tabla8[[#This Row],[Trenes Programados]]</f>
        <v>0.5204545454545455</v>
      </c>
      <c r="BV314" s="15">
        <f>+Tabla8[[#This Row],[Trenes Puntuales]]/Tabla8[[#This Row],[Trenes Corridos]]</f>
        <v>0.55582524271844658</v>
      </c>
      <c r="BW314" s="15">
        <f>+Tabla8[[#This Row],[Trenes Corridos]]/Tabla8[[#This Row],[Trenes Programados]]</f>
        <v>0.9363636363636364</v>
      </c>
      <c r="BX314" s="16"/>
      <c r="BY314" s="16"/>
      <c r="BZ314" s="16">
        <v>440</v>
      </c>
      <c r="CA314" s="16">
        <f t="shared" si="182"/>
        <v>28</v>
      </c>
      <c r="CB314" s="16">
        <v>412</v>
      </c>
      <c r="CC314" s="16">
        <v>229</v>
      </c>
      <c r="CD314" s="16">
        <f t="shared" si="183"/>
        <v>183</v>
      </c>
      <c r="CI314" s="40"/>
      <c r="CJ314" s="40"/>
      <c r="CK314" s="40"/>
      <c r="CL314" s="40"/>
      <c r="CM314" s="40"/>
    </row>
    <row r="315" spans="1:91" s="18" customFormat="1" ht="15" customHeight="1">
      <c r="A315" s="18">
        <v>2018</v>
      </c>
      <c r="B315" s="21" t="s">
        <v>45</v>
      </c>
      <c r="C315" s="15">
        <f>+MITRE[[#This Row],[Trenes Puntuales]]/MITRE[[#This Row],[Trenes Programados]]</f>
        <v>0.84217866274114817</v>
      </c>
      <c r="D315" s="15">
        <f>+MITRE[[#This Row],[Trenes Puntuales]]/MITRE[[#This Row],[Trenes Corridos]]</f>
        <v>0.91061405713328303</v>
      </c>
      <c r="E315" s="15">
        <f>+MITRE[[#This Row],[Trenes Corridos]]/MITRE[[#This Row],[Trenes Programados]]</f>
        <v>0.92484698225768958</v>
      </c>
      <c r="F315" s="16">
        <f>+Tabla4[[#This Row],[Trenes Programados por Día Hábil]]+Tabla5[[#This Row],[Trenes Programados por Día Hábil]]+Tabla6[[#This Row],[Trenes Programados por Día Hábil]]+MIT_Vic_Cap[[#This Row],[Trenes Programados por Día Hábil]]+Tabla8[[#This Row],[Trenes Programados por Día Hábil]]</f>
        <v>0</v>
      </c>
      <c r="G31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5" s="16">
        <f t="shared" si="139"/>
        <v>12907</v>
      </c>
      <c r="I315" s="16">
        <f t="shared" si="140"/>
        <v>970</v>
      </c>
      <c r="J315" s="16">
        <f t="shared" si="141"/>
        <v>11937</v>
      </c>
      <c r="K315" s="16">
        <f t="shared" si="142"/>
        <v>10870</v>
      </c>
      <c r="L315" s="16">
        <f t="shared" si="143"/>
        <v>1067</v>
      </c>
      <c r="M315" s="16"/>
      <c r="N315" s="17"/>
      <c r="O315" s="18">
        <v>2018</v>
      </c>
      <c r="P315" s="21" t="s">
        <v>45</v>
      </c>
      <c r="Q315" s="15">
        <f>+Tabla4[[#This Row],[Trenes Puntuales]]/Tabla4[[#This Row],[Trenes Programados]]</f>
        <v>0.94099913867355722</v>
      </c>
      <c r="R315" s="15">
        <f>+Tabla4[[#This Row],[Trenes Puntuales]]/Tabla4[[#This Row],[Trenes Corridos]]</f>
        <v>0.95290013083296987</v>
      </c>
      <c r="S315" s="15">
        <f>+Tabla4[[#This Row],[Trenes Corridos]]/Tabla4[[#This Row],[Trenes Programados]]</f>
        <v>0.98751076658053405</v>
      </c>
      <c r="T315" s="16"/>
      <c r="U315" s="16"/>
      <c r="V315" s="16">
        <v>4644</v>
      </c>
      <c r="W315" s="16">
        <f t="shared" si="174"/>
        <v>58</v>
      </c>
      <c r="X315" s="16">
        <v>4586</v>
      </c>
      <c r="Y315" s="16">
        <v>4370</v>
      </c>
      <c r="Z315" s="16">
        <f t="shared" si="175"/>
        <v>216</v>
      </c>
      <c r="AA315" s="16"/>
      <c r="AB315" s="17"/>
      <c r="AC315" s="18">
        <v>2018</v>
      </c>
      <c r="AD315" s="21" t="s">
        <v>45</v>
      </c>
      <c r="AE315" s="15">
        <f>+Tabla5[[#This Row],[Trenes Puntuales]]/Tabla5[[#This Row],[Trenes Programados]]</f>
        <v>0.85899094437257439</v>
      </c>
      <c r="AF315" s="15">
        <f>+Tabla5[[#This Row],[Trenes Puntuales]]/Tabla5[[#This Row],[Trenes Corridos]]</f>
        <v>0.87291849255039444</v>
      </c>
      <c r="AG315" s="15">
        <f>+Tabla5[[#This Row],[Trenes Corridos]]/Tabla5[[#This Row],[Trenes Programados]]</f>
        <v>0.98404484691677452</v>
      </c>
      <c r="AH315" s="16"/>
      <c r="AI315" s="16"/>
      <c r="AJ315" s="16">
        <v>4638</v>
      </c>
      <c r="AK315" s="16">
        <f t="shared" si="176"/>
        <v>74</v>
      </c>
      <c r="AL315" s="16">
        <v>4564</v>
      </c>
      <c r="AM315" s="16">
        <v>3984</v>
      </c>
      <c r="AN315" s="16">
        <f t="shared" si="177"/>
        <v>580</v>
      </c>
      <c r="AO315" s="16"/>
      <c r="AP315" s="17"/>
      <c r="AQ315" s="18">
        <v>2018</v>
      </c>
      <c r="AR315" s="21" t="s">
        <v>45</v>
      </c>
      <c r="AS315" s="15">
        <f>+Tabla6[[#This Row],[Trenes Puntuales]]/Tabla6[[#This Row],[Trenes Programados]]</f>
        <v>0.93258891645988418</v>
      </c>
      <c r="AT315" s="15">
        <f>+Tabla6[[#This Row],[Trenes Puntuales]]/Tabla6[[#This Row],[Trenes Corridos]]</f>
        <v>0.95672464997878659</v>
      </c>
      <c r="AU315" s="15">
        <f>+Tabla6[[#This Row],[Trenes Corridos]]/Tabla6[[#This Row],[Trenes Programados]]</f>
        <v>0.97477253928866836</v>
      </c>
      <c r="AV315" s="16"/>
      <c r="AW315" s="16"/>
      <c r="AX315" s="16">
        <v>2418</v>
      </c>
      <c r="AY315" s="16">
        <f t="shared" si="178"/>
        <v>61</v>
      </c>
      <c r="AZ315" s="16">
        <v>2357</v>
      </c>
      <c r="BA315" s="16">
        <v>2255</v>
      </c>
      <c r="BB315" s="16">
        <f t="shared" si="179"/>
        <v>102</v>
      </c>
      <c r="BC315" s="16"/>
      <c r="BD315" s="17"/>
      <c r="BE315" s="18">
        <v>2018</v>
      </c>
      <c r="BF315" s="21" t="s">
        <v>45</v>
      </c>
      <c r="BG315" s="15">
        <f>+MIT_Vic_Cap[[#This Row],[Trenes Puntuales]]/MIT_Vic_Cap[[#This Row],[Trenes Programados]]</f>
        <v>0</v>
      </c>
      <c r="BH315" s="15" t="e">
        <f>+MIT_Vic_Cap[[#This Row],[Trenes Puntuales]]/MIT_Vic_Cap[[#This Row],[Trenes Corridos]]</f>
        <v>#DIV/0!</v>
      </c>
      <c r="BI315" s="15">
        <f>+MIT_Vic_Cap[[#This Row],[Trenes Corridos]]/MIT_Vic_Cap[[#This Row],[Trenes Programados]]</f>
        <v>0</v>
      </c>
      <c r="BJ315" s="16"/>
      <c r="BK315" s="16"/>
      <c r="BL315" s="16">
        <v>747</v>
      </c>
      <c r="BM315" s="16">
        <f t="shared" si="180"/>
        <v>747</v>
      </c>
      <c r="BN315" s="16">
        <v>0</v>
      </c>
      <c r="BO315" s="16">
        <v>0</v>
      </c>
      <c r="BP315" s="16">
        <f t="shared" si="181"/>
        <v>0</v>
      </c>
      <c r="BQ315" s="19" t="s">
        <v>50</v>
      </c>
      <c r="BR315" s="17"/>
      <c r="BS315" s="18">
        <v>2018</v>
      </c>
      <c r="BT315" s="21" t="s">
        <v>45</v>
      </c>
      <c r="BU315" s="15">
        <f>+Tabla8[[#This Row],[Trenes Puntuales]]/Tabla8[[#This Row],[Trenes Programados]]</f>
        <v>0.56739130434782614</v>
      </c>
      <c r="BV315" s="15">
        <f>+Tabla8[[#This Row],[Trenes Puntuales]]/Tabla8[[#This Row],[Trenes Corridos]]</f>
        <v>0.60697674418604652</v>
      </c>
      <c r="BW315" s="15">
        <f>+Tabla8[[#This Row],[Trenes Corridos]]/Tabla8[[#This Row],[Trenes Programados]]</f>
        <v>0.93478260869565222</v>
      </c>
      <c r="BX315" s="16"/>
      <c r="BY315" s="16"/>
      <c r="BZ315" s="16">
        <v>460</v>
      </c>
      <c r="CA315" s="16">
        <f t="shared" si="182"/>
        <v>30</v>
      </c>
      <c r="CB315" s="16">
        <v>430</v>
      </c>
      <c r="CC315" s="16">
        <v>261</v>
      </c>
      <c r="CD315" s="16">
        <f t="shared" si="183"/>
        <v>169</v>
      </c>
      <c r="CI315" s="40"/>
      <c r="CJ315" s="40"/>
      <c r="CK315" s="40"/>
      <c r="CL315" s="40"/>
      <c r="CM315" s="40"/>
    </row>
    <row r="316" spans="1:91" s="18" customFormat="1" ht="15" customHeight="1">
      <c r="A316" s="18">
        <v>2018</v>
      </c>
      <c r="B316" s="21" t="s">
        <v>46</v>
      </c>
      <c r="C316" s="15">
        <f>+MITRE[[#This Row],[Trenes Puntuales]]/MITRE[[#This Row],[Trenes Programados]]</f>
        <v>0.80952762851872639</v>
      </c>
      <c r="D316" s="15">
        <f>+MITRE[[#This Row],[Trenes Puntuales]]/MITRE[[#This Row],[Trenes Corridos]]</f>
        <v>0.87099836051428081</v>
      </c>
      <c r="E316" s="15">
        <f>+MITRE[[#This Row],[Trenes Corridos]]/MITRE[[#This Row],[Trenes Programados]]</f>
        <v>0.92942497393535972</v>
      </c>
      <c r="F316" s="16">
        <f>+Tabla4[[#This Row],[Trenes Programados por Día Hábil]]+Tabla5[[#This Row],[Trenes Programados por Día Hábil]]+Tabla6[[#This Row],[Trenes Programados por Día Hábil]]+MIT_Vic_Cap[[#This Row],[Trenes Programados por Día Hábil]]+Tabla8[[#This Row],[Trenes Programados por Día Hábil]]</f>
        <v>0</v>
      </c>
      <c r="G31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6" s="16">
        <f t="shared" si="139"/>
        <v>12469</v>
      </c>
      <c r="I316" s="16">
        <f t="shared" si="140"/>
        <v>880</v>
      </c>
      <c r="J316" s="16">
        <f t="shared" si="141"/>
        <v>11589</v>
      </c>
      <c r="K316" s="16">
        <f t="shared" si="142"/>
        <v>10094</v>
      </c>
      <c r="L316" s="16">
        <f t="shared" si="143"/>
        <v>1495</v>
      </c>
      <c r="M316" s="16"/>
      <c r="N316" s="17"/>
      <c r="O316" s="18">
        <v>2018</v>
      </c>
      <c r="P316" s="21" t="s">
        <v>46</v>
      </c>
      <c r="Q316" s="15">
        <f>+Tabla4[[#This Row],[Trenes Puntuales]]/Tabla4[[#This Row],[Trenes Programados]]</f>
        <v>0.9013833110218652</v>
      </c>
      <c r="R316" s="15">
        <f>+Tabla4[[#This Row],[Trenes Puntuales]]/Tabla4[[#This Row],[Trenes Corridos]]</f>
        <v>0.94569288389513106</v>
      </c>
      <c r="S316" s="15">
        <f>+Tabla4[[#This Row],[Trenes Corridos]]/Tabla4[[#This Row],[Trenes Programados]]</f>
        <v>0.95314591700133866</v>
      </c>
      <c r="T316" s="16"/>
      <c r="U316" s="16"/>
      <c r="V316" s="16">
        <v>4482</v>
      </c>
      <c r="W316" s="16">
        <f t="shared" si="174"/>
        <v>210</v>
      </c>
      <c r="X316" s="16">
        <v>4272</v>
      </c>
      <c r="Y316" s="16">
        <v>4040</v>
      </c>
      <c r="Z316" s="16">
        <f t="shared" si="175"/>
        <v>232</v>
      </c>
      <c r="AA316" s="16"/>
      <c r="AB316" s="17"/>
      <c r="AC316" s="18">
        <v>2018</v>
      </c>
      <c r="AD316" s="21" t="s">
        <v>46</v>
      </c>
      <c r="AE316" s="15">
        <f>+Tabla5[[#This Row],[Trenes Puntuales]]/Tabla5[[#This Row],[Trenes Programados]]</f>
        <v>0.79339580544399824</v>
      </c>
      <c r="AF316" s="15">
        <f>+Tabla5[[#This Row],[Trenes Puntuales]]/Tabla5[[#This Row],[Trenes Corridos]]</f>
        <v>0.85357657225156025</v>
      </c>
      <c r="AG316" s="15">
        <f>+Tabla5[[#This Row],[Trenes Corridos]]/Tabla5[[#This Row],[Trenes Programados]]</f>
        <v>0.929495760821062</v>
      </c>
      <c r="AH316" s="16"/>
      <c r="AI316" s="16"/>
      <c r="AJ316" s="16">
        <v>4482</v>
      </c>
      <c r="AK316" s="16">
        <f t="shared" si="176"/>
        <v>316</v>
      </c>
      <c r="AL316" s="16">
        <v>4166</v>
      </c>
      <c r="AM316" s="16">
        <v>3556</v>
      </c>
      <c r="AN316" s="16">
        <f t="shared" si="177"/>
        <v>610</v>
      </c>
      <c r="AO316" s="16"/>
      <c r="AP316" s="17"/>
      <c r="AQ316" s="18">
        <v>2018</v>
      </c>
      <c r="AR316" s="21" t="s">
        <v>46</v>
      </c>
      <c r="AS316" s="15">
        <f>+Tabla6[[#This Row],[Trenes Puntuales]]/Tabla6[[#This Row],[Trenes Programados]]</f>
        <v>0.84615384615384615</v>
      </c>
      <c r="AT316" s="15">
        <f>+Tabla6[[#This Row],[Trenes Puntuales]]/Tabla6[[#This Row],[Trenes Corridos]]</f>
        <v>0.92783505154639179</v>
      </c>
      <c r="AU316" s="15">
        <f>+Tabla6[[#This Row],[Trenes Corridos]]/Tabla6[[#This Row],[Trenes Programados]]</f>
        <v>0.91196581196581195</v>
      </c>
      <c r="AV316" s="16"/>
      <c r="AW316" s="16"/>
      <c r="AX316" s="16">
        <v>2340</v>
      </c>
      <c r="AY316" s="16">
        <f t="shared" si="178"/>
        <v>206</v>
      </c>
      <c r="AZ316" s="16">
        <v>2134</v>
      </c>
      <c r="BA316" s="16">
        <v>1980</v>
      </c>
      <c r="BB316" s="16">
        <f t="shared" si="179"/>
        <v>154</v>
      </c>
      <c r="BC316" s="16"/>
      <c r="BD316" s="17"/>
      <c r="BE316" s="18">
        <v>2018</v>
      </c>
      <c r="BF316" s="21" t="s">
        <v>46</v>
      </c>
      <c r="BG316" s="15">
        <f>+MIT_Vic_Cap[[#This Row],[Trenes Puntuales]]/MIT_Vic_Cap[[#This Row],[Trenes Programados]]</f>
        <v>0.50208044382801664</v>
      </c>
      <c r="BH316" s="15">
        <f>+MIT_Vic_Cap[[#This Row],[Trenes Puntuales]]/MIT_Vic_Cap[[#This Row],[Trenes Corridos]]</f>
        <v>0.59735973597359737</v>
      </c>
      <c r="BI316" s="15">
        <f>+MIT_Vic_Cap[[#This Row],[Trenes Corridos]]/MIT_Vic_Cap[[#This Row],[Trenes Programados]]</f>
        <v>0.84049930651872395</v>
      </c>
      <c r="BJ316" s="16"/>
      <c r="BK316" s="16"/>
      <c r="BL316" s="16">
        <v>721</v>
      </c>
      <c r="BM316" s="16">
        <f t="shared" si="180"/>
        <v>115</v>
      </c>
      <c r="BN316" s="16">
        <v>606</v>
      </c>
      <c r="BO316" s="16">
        <v>362</v>
      </c>
      <c r="BP316" s="16">
        <f t="shared" si="181"/>
        <v>244</v>
      </c>
      <c r="BQ316" s="16"/>
      <c r="BR316" s="17"/>
      <c r="BS316" s="18">
        <v>2018</v>
      </c>
      <c r="BT316" s="21" t="s">
        <v>46</v>
      </c>
      <c r="BU316" s="15">
        <f>+Tabla8[[#This Row],[Trenes Puntuales]]/Tabla8[[#This Row],[Trenes Programados]]</f>
        <v>0.35135135135135137</v>
      </c>
      <c r="BV316" s="15">
        <f>+Tabla8[[#This Row],[Trenes Puntuales]]/Tabla8[[#This Row],[Trenes Corridos]]</f>
        <v>0.37956204379562042</v>
      </c>
      <c r="BW316" s="15">
        <f>+Tabla8[[#This Row],[Trenes Corridos]]/Tabla8[[#This Row],[Trenes Programados]]</f>
        <v>0.92567567567567566</v>
      </c>
      <c r="BX316" s="16"/>
      <c r="BY316" s="16"/>
      <c r="BZ316" s="16">
        <v>444</v>
      </c>
      <c r="CA316" s="16">
        <f t="shared" si="182"/>
        <v>33</v>
      </c>
      <c r="CB316" s="16">
        <v>411</v>
      </c>
      <c r="CC316" s="16">
        <v>156</v>
      </c>
      <c r="CD316" s="16">
        <f t="shared" si="183"/>
        <v>255</v>
      </c>
      <c r="CI316" s="40"/>
      <c r="CJ316" s="40"/>
      <c r="CK316" s="40"/>
      <c r="CL316" s="40"/>
      <c r="CM316" s="40"/>
    </row>
    <row r="317" spans="1:91" s="18" customFormat="1" ht="15" customHeight="1">
      <c r="A317" s="18">
        <v>2018</v>
      </c>
      <c r="B317" s="21" t="s">
        <v>47</v>
      </c>
      <c r="C317" s="15">
        <f>+MITRE[[#This Row],[Trenes Puntuales]]/MITRE[[#This Row],[Trenes Programados]]</f>
        <v>0.7633436434292965</v>
      </c>
      <c r="D317" s="15">
        <f>+MITRE[[#This Row],[Trenes Puntuales]]/MITRE[[#This Row],[Trenes Corridos]]</f>
        <v>0.86532410320956576</v>
      </c>
      <c r="E317" s="15">
        <f>+MITRE[[#This Row],[Trenes Corridos]]/MITRE[[#This Row],[Trenes Programados]]</f>
        <v>0.88214767229756519</v>
      </c>
      <c r="F317" s="16">
        <f>+Tabla4[[#This Row],[Trenes Programados por Día Hábil]]+Tabla5[[#This Row],[Trenes Programados por Día Hábil]]+Tabla6[[#This Row],[Trenes Programados por Día Hábil]]+MIT_Vic_Cap[[#This Row],[Trenes Programados por Día Hábil]]+Tabla8[[#This Row],[Trenes Programados por Día Hábil]]</f>
        <v>0</v>
      </c>
      <c r="G31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7" s="16">
        <f t="shared" si="139"/>
        <v>12609</v>
      </c>
      <c r="I317" s="16">
        <f t="shared" si="140"/>
        <v>1486</v>
      </c>
      <c r="J317" s="16">
        <f t="shared" si="141"/>
        <v>11123</v>
      </c>
      <c r="K317" s="16">
        <f t="shared" si="142"/>
        <v>9625</v>
      </c>
      <c r="L317" s="16">
        <f t="shared" si="143"/>
        <v>1498</v>
      </c>
      <c r="M317" s="16"/>
      <c r="N317" s="17"/>
      <c r="O317" s="18">
        <v>2018</v>
      </c>
      <c r="P317" s="21" t="s">
        <v>47</v>
      </c>
      <c r="Q317" s="15">
        <f>+Tabla4[[#This Row],[Trenes Puntuales]]/Tabla4[[#This Row],[Trenes Programados]]</f>
        <v>0.86081322609472744</v>
      </c>
      <c r="R317" s="15">
        <f>+Tabla4[[#This Row],[Trenes Puntuales]]/Tabla4[[#This Row],[Trenes Corridos]]</f>
        <v>0.95182806324110669</v>
      </c>
      <c r="S317" s="15">
        <f>+Tabla4[[#This Row],[Trenes Corridos]]/Tabla4[[#This Row],[Trenes Programados]]</f>
        <v>0.90437890974084001</v>
      </c>
      <c r="T317" s="16"/>
      <c r="U317" s="16"/>
      <c r="V317" s="16">
        <v>4476</v>
      </c>
      <c r="W317" s="16">
        <f t="shared" si="174"/>
        <v>428</v>
      </c>
      <c r="X317" s="16">
        <v>4048</v>
      </c>
      <c r="Y317" s="16">
        <v>3853</v>
      </c>
      <c r="Z317" s="16">
        <f t="shared" si="175"/>
        <v>195</v>
      </c>
      <c r="AA317" s="16"/>
      <c r="AB317" s="17"/>
      <c r="AC317" s="18">
        <v>2018</v>
      </c>
      <c r="AD317" s="21" t="s">
        <v>47</v>
      </c>
      <c r="AE317" s="15">
        <f>+Tabla5[[#This Row],[Trenes Puntuales]]/Tabla5[[#This Row],[Trenes Programados]]</f>
        <v>0.72175824175824177</v>
      </c>
      <c r="AF317" s="15">
        <f>+Tabla5[[#This Row],[Trenes Puntuales]]/Tabla5[[#This Row],[Trenes Corridos]]</f>
        <v>0.84011256075722696</v>
      </c>
      <c r="AG317" s="15">
        <f>+Tabla5[[#This Row],[Trenes Corridos]]/Tabla5[[#This Row],[Trenes Programados]]</f>
        <v>0.85912087912087909</v>
      </c>
      <c r="AH317" s="16"/>
      <c r="AI317" s="16"/>
      <c r="AJ317" s="16">
        <v>4550</v>
      </c>
      <c r="AK317" s="16">
        <f t="shared" si="176"/>
        <v>641</v>
      </c>
      <c r="AL317" s="16">
        <v>3909</v>
      </c>
      <c r="AM317" s="16">
        <v>3284</v>
      </c>
      <c r="AN317" s="16">
        <f t="shared" si="177"/>
        <v>625</v>
      </c>
      <c r="AO317" s="16"/>
      <c r="AP317" s="17"/>
      <c r="AQ317" s="18">
        <v>2018</v>
      </c>
      <c r="AR317" s="21" t="s">
        <v>47</v>
      </c>
      <c r="AS317" s="15">
        <f>+Tabla6[[#This Row],[Trenes Puntuales]]/Tabla6[[#This Row],[Trenes Programados]]</f>
        <v>0.80479735318445</v>
      </c>
      <c r="AT317" s="15">
        <f>+Tabla6[[#This Row],[Trenes Puntuales]]/Tabla6[[#This Row],[Trenes Corridos]]</f>
        <v>0.91019644527595889</v>
      </c>
      <c r="AU317" s="15">
        <f>+Tabla6[[#This Row],[Trenes Corridos]]/Tabla6[[#This Row],[Trenes Programados]]</f>
        <v>0.88420181968569067</v>
      </c>
      <c r="AV317" s="16"/>
      <c r="AW317" s="16"/>
      <c r="AX317" s="16">
        <v>2418</v>
      </c>
      <c r="AY317" s="16">
        <f t="shared" si="178"/>
        <v>280</v>
      </c>
      <c r="AZ317" s="16">
        <v>2138</v>
      </c>
      <c r="BA317" s="16">
        <v>1946</v>
      </c>
      <c r="BB317" s="16">
        <f t="shared" si="179"/>
        <v>192</v>
      </c>
      <c r="BC317" s="16"/>
      <c r="BD317" s="17"/>
      <c r="BE317" s="18">
        <v>2018</v>
      </c>
      <c r="BF317" s="21" t="s">
        <v>47</v>
      </c>
      <c r="BG317" s="15">
        <f>+MIT_Vic_Cap[[#This Row],[Trenes Puntuales]]/MIT_Vic_Cap[[#This Row],[Trenes Programados]]</f>
        <v>0.56310679611650483</v>
      </c>
      <c r="BH317" s="15">
        <f>+MIT_Vic_Cap[[#This Row],[Trenes Puntuales]]/MIT_Vic_Cap[[#This Row],[Trenes Corridos]]</f>
        <v>0.6485623003194888</v>
      </c>
      <c r="BI317" s="15">
        <f>+MIT_Vic_Cap[[#This Row],[Trenes Corridos]]/MIT_Vic_Cap[[#This Row],[Trenes Programados]]</f>
        <v>0.86823855755894586</v>
      </c>
      <c r="BJ317" s="16"/>
      <c r="BK317" s="16"/>
      <c r="BL317" s="16">
        <v>721</v>
      </c>
      <c r="BM317" s="16">
        <f t="shared" si="180"/>
        <v>95</v>
      </c>
      <c r="BN317" s="16">
        <v>626</v>
      </c>
      <c r="BO317" s="16">
        <v>406</v>
      </c>
      <c r="BP317" s="16">
        <f t="shared" si="181"/>
        <v>220</v>
      </c>
      <c r="BQ317" s="16"/>
      <c r="BR317" s="17"/>
      <c r="BS317" s="18">
        <v>2018</v>
      </c>
      <c r="BT317" s="21" t="s">
        <v>47</v>
      </c>
      <c r="BU317" s="15">
        <f>+Tabla8[[#This Row],[Trenes Puntuales]]/Tabla8[[#This Row],[Trenes Programados]]</f>
        <v>0.30630630630630629</v>
      </c>
      <c r="BV317" s="15">
        <f>+Tabla8[[#This Row],[Trenes Puntuales]]/Tabla8[[#This Row],[Trenes Corridos]]</f>
        <v>0.3383084577114428</v>
      </c>
      <c r="BW317" s="15">
        <f>+Tabla8[[#This Row],[Trenes Corridos]]/Tabla8[[#This Row],[Trenes Programados]]</f>
        <v>0.90540540540540537</v>
      </c>
      <c r="BX317" s="16"/>
      <c r="BY317" s="16"/>
      <c r="BZ317" s="16">
        <v>444</v>
      </c>
      <c r="CA317" s="16">
        <f t="shared" si="182"/>
        <v>42</v>
      </c>
      <c r="CB317" s="16">
        <v>402</v>
      </c>
      <c r="CC317" s="16">
        <v>136</v>
      </c>
      <c r="CD317" s="16">
        <f t="shared" si="183"/>
        <v>266</v>
      </c>
      <c r="CI317" s="40"/>
      <c r="CJ317" s="40"/>
      <c r="CK317" s="40"/>
      <c r="CL317" s="40"/>
      <c r="CM317" s="40"/>
    </row>
    <row r="318" spans="1:91" s="18" customFormat="1" ht="15" customHeight="1">
      <c r="A318" s="18">
        <v>2019</v>
      </c>
      <c r="B318" s="21" t="s">
        <v>36</v>
      </c>
      <c r="C318" s="15">
        <f>+MITRE[[#This Row],[Trenes Puntuales]]/MITRE[[#This Row],[Trenes Programados]]</f>
        <v>0.77709769892306502</v>
      </c>
      <c r="D318" s="15">
        <f>+MITRE[[#This Row],[Trenes Puntuales]]/MITRE[[#This Row],[Trenes Corridos]]</f>
        <v>0.88059701492537312</v>
      </c>
      <c r="E318" s="15">
        <f>+MITRE[[#This Row],[Trenes Corridos]]/MITRE[[#This Row],[Trenes Programados]]</f>
        <v>0.88246687843805682</v>
      </c>
      <c r="F318" s="16">
        <f>+Tabla4[[#This Row],[Trenes Programados por Día Hábil]]+Tabla5[[#This Row],[Trenes Programados por Día Hábil]]+Tabla6[[#This Row],[Trenes Programados por Día Hábil]]+MIT_Vic_Cap[[#This Row],[Trenes Programados por Día Hábil]]+Tabla8[[#This Row],[Trenes Programados por Día Hábil]]</f>
        <v>0</v>
      </c>
      <c r="G31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8" s="16">
        <f t="shared" si="139"/>
        <v>12907</v>
      </c>
      <c r="I318" s="16">
        <f t="shared" si="140"/>
        <v>1517</v>
      </c>
      <c r="J318" s="16">
        <f t="shared" si="141"/>
        <v>11390</v>
      </c>
      <c r="K318" s="16">
        <f t="shared" si="142"/>
        <v>10030</v>
      </c>
      <c r="L318" s="16">
        <f t="shared" si="143"/>
        <v>1360</v>
      </c>
      <c r="M318" s="16"/>
      <c r="N318" s="17"/>
      <c r="O318" s="18">
        <v>2019</v>
      </c>
      <c r="P318" s="21" t="s">
        <v>36</v>
      </c>
      <c r="Q318" s="15">
        <f>+Tabla4[[#This Row],[Trenes Puntuales]]/Tabla4[[#This Row],[Trenes Programados]]</f>
        <v>0.78789836347975883</v>
      </c>
      <c r="R318" s="15">
        <f>+Tabla4[[#This Row],[Trenes Puntuales]]/Tabla4[[#This Row],[Trenes Corridos]]</f>
        <v>0.92143037018383278</v>
      </c>
      <c r="S318" s="15">
        <f>+Tabla4[[#This Row],[Trenes Corridos]]/Tabla4[[#This Row],[Trenes Programados]]</f>
        <v>0.85508182601205862</v>
      </c>
      <c r="T318" s="16"/>
      <c r="U318" s="16"/>
      <c r="V318" s="16">
        <v>4644</v>
      </c>
      <c r="W318" s="16">
        <f t="shared" ref="W318:W329" si="184">+V318-X318</f>
        <v>673</v>
      </c>
      <c r="X318" s="16">
        <v>3971</v>
      </c>
      <c r="Y318" s="16">
        <v>3659</v>
      </c>
      <c r="Z318" s="16">
        <f>+X318-Y318</f>
        <v>312</v>
      </c>
      <c r="AA318" s="16"/>
      <c r="AB318" s="17"/>
      <c r="AC318" s="18">
        <v>2019</v>
      </c>
      <c r="AD318" s="21" t="s">
        <v>36</v>
      </c>
      <c r="AE318" s="15">
        <f>+Tabla5[[#This Row],[Trenes Puntuales]]/Tabla5[[#This Row],[Trenes Programados]]</f>
        <v>0.85597240189736956</v>
      </c>
      <c r="AF318" s="15">
        <f>+Tabla5[[#This Row],[Trenes Puntuales]]/Tabla5[[#This Row],[Trenes Corridos]]</f>
        <v>0.88794453142473717</v>
      </c>
      <c r="AG318" s="15">
        <f>+Tabla5[[#This Row],[Trenes Corridos]]/Tabla5[[#This Row],[Trenes Programados]]</f>
        <v>0.96399310047434239</v>
      </c>
      <c r="AH318" s="16"/>
      <c r="AI318" s="16"/>
      <c r="AJ318" s="16">
        <v>4638</v>
      </c>
      <c r="AK318" s="16">
        <f t="shared" ref="AK318:AK329" si="185">+AJ318-AL318</f>
        <v>167</v>
      </c>
      <c r="AL318" s="16">
        <v>4471</v>
      </c>
      <c r="AM318" s="16">
        <v>3970</v>
      </c>
      <c r="AN318" s="16">
        <f>+AL318-AM318</f>
        <v>501</v>
      </c>
      <c r="AO318" s="16"/>
      <c r="AP318" s="17"/>
      <c r="AQ318" s="18">
        <v>2019</v>
      </c>
      <c r="AR318" s="21" t="s">
        <v>36</v>
      </c>
      <c r="AS318" s="15">
        <f>+Tabla6[[#This Row],[Trenes Puntuales]]/Tabla6[[#This Row],[Trenes Programados]]</f>
        <v>0.84284532671629442</v>
      </c>
      <c r="AT318" s="15">
        <f>+Tabla6[[#This Row],[Trenes Puntuales]]/Tabla6[[#This Row],[Trenes Corridos]]</f>
        <v>0.91677912730544309</v>
      </c>
      <c r="AU318" s="15">
        <f>+Tabla6[[#This Row],[Trenes Corridos]]/Tabla6[[#This Row],[Trenes Programados]]</f>
        <v>0.91935483870967738</v>
      </c>
      <c r="AV318" s="16"/>
      <c r="AW318" s="16"/>
      <c r="AX318" s="16">
        <v>2418</v>
      </c>
      <c r="AY318" s="16">
        <f t="shared" ref="AY318:AY329" si="186">+AX318-AZ318</f>
        <v>195</v>
      </c>
      <c r="AZ318" s="16">
        <v>2223</v>
      </c>
      <c r="BA318" s="16">
        <v>2038</v>
      </c>
      <c r="BB318" s="16">
        <f>+AZ318-BA318</f>
        <v>185</v>
      </c>
      <c r="BC318" s="16"/>
      <c r="BD318" s="17"/>
      <c r="BE318" s="18">
        <v>2019</v>
      </c>
      <c r="BF318" s="21" t="s">
        <v>36</v>
      </c>
      <c r="BG318" s="15">
        <f>+MIT_Vic_Cap[[#This Row],[Trenes Puntuales]]/MIT_Vic_Cap[[#This Row],[Trenes Programados]]</f>
        <v>0.26907630522088355</v>
      </c>
      <c r="BH318" s="15">
        <f>+MIT_Vic_Cap[[#This Row],[Trenes Puntuales]]/MIT_Vic_Cap[[#This Row],[Trenes Corridos]]</f>
        <v>0.73357664233576647</v>
      </c>
      <c r="BI318" s="15">
        <f>+MIT_Vic_Cap[[#This Row],[Trenes Corridos]]/MIT_Vic_Cap[[#This Row],[Trenes Programados]]</f>
        <v>0.36680053547523428</v>
      </c>
      <c r="BJ318" s="16"/>
      <c r="BK318" s="16"/>
      <c r="BL318" s="16">
        <v>747</v>
      </c>
      <c r="BM318" s="16">
        <f t="shared" ref="BM318:BM340" si="187">+BL318-BN318</f>
        <v>473</v>
      </c>
      <c r="BN318" s="16">
        <v>274</v>
      </c>
      <c r="BO318" s="16">
        <v>201</v>
      </c>
      <c r="BP318" s="16">
        <f>+BN318-BO318</f>
        <v>73</v>
      </c>
      <c r="BQ318" s="16"/>
      <c r="BR318" s="17"/>
      <c r="BS318" s="18">
        <v>2019</v>
      </c>
      <c r="BT318" s="21" t="s">
        <v>36</v>
      </c>
      <c r="BU318" s="15">
        <f>+Tabla8[[#This Row],[Trenes Puntuales]]/Tabla8[[#This Row],[Trenes Programados]]</f>
        <v>0.35217391304347828</v>
      </c>
      <c r="BV318" s="15">
        <f>+Tabla8[[#This Row],[Trenes Puntuales]]/Tabla8[[#This Row],[Trenes Corridos]]</f>
        <v>0.35920177383592017</v>
      </c>
      <c r="BW318" s="15">
        <f>+Tabla8[[#This Row],[Trenes Corridos]]/Tabla8[[#This Row],[Trenes Programados]]</f>
        <v>0.98043478260869565</v>
      </c>
      <c r="BX318" s="16"/>
      <c r="BY318" s="16"/>
      <c r="BZ318" s="16">
        <v>460</v>
      </c>
      <c r="CA318" s="16">
        <f t="shared" ref="CA318:CA329" si="188">+BZ318-CB318</f>
        <v>9</v>
      </c>
      <c r="CB318" s="16">
        <v>451</v>
      </c>
      <c r="CC318" s="16">
        <v>162</v>
      </c>
      <c r="CD318" s="16">
        <f>+CB318-CC318</f>
        <v>289</v>
      </c>
      <c r="CI318" s="40"/>
      <c r="CJ318" s="40"/>
      <c r="CK318" s="40"/>
      <c r="CL318" s="40"/>
      <c r="CM318" s="40"/>
    </row>
    <row r="319" spans="1:91" s="18" customFormat="1" ht="15" customHeight="1">
      <c r="A319" s="18">
        <v>2019</v>
      </c>
      <c r="B319" s="21" t="s">
        <v>37</v>
      </c>
      <c r="C319" s="15">
        <f>+MITRE[[#This Row],[Trenes Puntuales]]/MITRE[[#This Row],[Trenes Programados]]</f>
        <v>0.79674727520435973</v>
      </c>
      <c r="D319" s="15">
        <f>+MITRE[[#This Row],[Trenes Puntuales]]/MITRE[[#This Row],[Trenes Corridos]]</f>
        <v>0.86670989255279729</v>
      </c>
      <c r="E319" s="15">
        <f>+MITRE[[#This Row],[Trenes Corridos]]/MITRE[[#This Row],[Trenes Programados]]</f>
        <v>0.91927792915531337</v>
      </c>
      <c r="F319" s="16">
        <f>+Tabla4[[#This Row],[Trenes Programados por Día Hábil]]+Tabla5[[#This Row],[Trenes Programados por Día Hábil]]+Tabla6[[#This Row],[Trenes Programados por Día Hábil]]+MIT_Vic_Cap[[#This Row],[Trenes Programados por Día Hábil]]+Tabla8[[#This Row],[Trenes Programados por Día Hábil]]</f>
        <v>0</v>
      </c>
      <c r="G31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9" s="16">
        <f t="shared" si="139"/>
        <v>11744</v>
      </c>
      <c r="I319" s="16">
        <f t="shared" si="140"/>
        <v>948</v>
      </c>
      <c r="J319" s="16">
        <f t="shared" si="141"/>
        <v>10796</v>
      </c>
      <c r="K319" s="16">
        <f t="shared" si="142"/>
        <v>9357</v>
      </c>
      <c r="L319" s="16">
        <f t="shared" si="143"/>
        <v>1439</v>
      </c>
      <c r="M319" s="16"/>
      <c r="N319" s="17"/>
      <c r="O319" s="18">
        <v>2019</v>
      </c>
      <c r="P319" s="21" t="s">
        <v>37</v>
      </c>
      <c r="Q319" s="15">
        <f>+Tabla4[[#This Row],[Trenes Puntuales]]/Tabla4[[#This Row],[Trenes Programados]]</f>
        <v>0.86395396629675303</v>
      </c>
      <c r="R319" s="15">
        <f>+Tabla4[[#This Row],[Trenes Puntuales]]/Tabla4[[#This Row],[Trenes Corridos]]</f>
        <v>0.94238959874467609</v>
      </c>
      <c r="S319" s="15">
        <f>+Tabla4[[#This Row],[Trenes Corridos]]/Tabla4[[#This Row],[Trenes Programados]]</f>
        <v>0.91676942046855736</v>
      </c>
      <c r="T319" s="16"/>
      <c r="U319" s="16"/>
      <c r="V319" s="16">
        <v>4866</v>
      </c>
      <c r="W319" s="16">
        <f t="shared" si="184"/>
        <v>405</v>
      </c>
      <c r="X319" s="16">
        <v>4461</v>
      </c>
      <c r="Y319" s="16">
        <v>4204</v>
      </c>
      <c r="Z319" s="16">
        <f>+X319-Y319</f>
        <v>257</v>
      </c>
      <c r="AA319" s="19" t="s">
        <v>48</v>
      </c>
      <c r="AB319" s="17"/>
      <c r="AC319" s="18">
        <v>2019</v>
      </c>
      <c r="AD319" s="21" t="s">
        <v>37</v>
      </c>
      <c r="AE319" s="15">
        <f>+Tabla5[[#This Row],[Trenes Puntuales]]/Tabla5[[#This Row],[Trenes Programados]]</f>
        <v>0.83479276123759483</v>
      </c>
      <c r="AF319" s="15">
        <f>+Tabla5[[#This Row],[Trenes Puntuales]]/Tabla5[[#This Row],[Trenes Corridos]]</f>
        <v>0.8501783590963139</v>
      </c>
      <c r="AG319" s="15">
        <f>+Tabla5[[#This Row],[Trenes Corridos]]/Tabla5[[#This Row],[Trenes Programados]]</f>
        <v>0.98190309398715703</v>
      </c>
      <c r="AH319" s="16"/>
      <c r="AI319" s="16"/>
      <c r="AJ319" s="16">
        <v>3426</v>
      </c>
      <c r="AK319" s="16">
        <f t="shared" si="185"/>
        <v>62</v>
      </c>
      <c r="AL319" s="16">
        <v>3364</v>
      </c>
      <c r="AM319" s="16">
        <v>2860</v>
      </c>
      <c r="AN319" s="16">
        <f>+AL319-AM319</f>
        <v>504</v>
      </c>
      <c r="AO319" s="16"/>
      <c r="AP319" s="17"/>
      <c r="AQ319" s="18">
        <v>2019</v>
      </c>
      <c r="AR319" s="21" t="s">
        <v>37</v>
      </c>
      <c r="AS319" s="15">
        <f>+Tabla6[[#This Row],[Trenes Puntuales]]/Tabla6[[#This Row],[Trenes Programados]]</f>
        <v>0.8203389830508474</v>
      </c>
      <c r="AT319" s="15">
        <f>+Tabla6[[#This Row],[Trenes Puntuales]]/Tabla6[[#This Row],[Trenes Corridos]]</f>
        <v>0.84210526315789469</v>
      </c>
      <c r="AU319" s="15">
        <f>+Tabla6[[#This Row],[Trenes Corridos]]/Tabla6[[#This Row],[Trenes Programados]]</f>
        <v>0.9741525423728814</v>
      </c>
      <c r="AV319" s="16"/>
      <c r="AW319" s="16"/>
      <c r="AX319" s="16">
        <v>2360</v>
      </c>
      <c r="AY319" s="16">
        <f t="shared" si="186"/>
        <v>61</v>
      </c>
      <c r="AZ319" s="16">
        <v>2299</v>
      </c>
      <c r="BA319" s="16">
        <v>1936</v>
      </c>
      <c r="BB319" s="16">
        <f>+AZ319-BA319</f>
        <v>363</v>
      </c>
      <c r="BC319" s="16"/>
      <c r="BD319" s="17"/>
      <c r="BE319" s="18">
        <v>2019</v>
      </c>
      <c r="BF319" s="21" t="s">
        <v>37</v>
      </c>
      <c r="BG319" s="15">
        <f>+MIT_Vic_Cap[[#This Row],[Trenes Puntuales]]/MIT_Vic_Cap[[#This Row],[Trenes Programados]]</f>
        <v>0.27662721893491127</v>
      </c>
      <c r="BH319" s="15">
        <f>+MIT_Vic_Cap[[#This Row],[Trenes Puntuales]]/MIT_Vic_Cap[[#This Row],[Trenes Corridos]]</f>
        <v>0.71647509578544066</v>
      </c>
      <c r="BI319" s="15">
        <f>+MIT_Vic_Cap[[#This Row],[Trenes Corridos]]/MIT_Vic_Cap[[#This Row],[Trenes Programados]]</f>
        <v>0.38609467455621299</v>
      </c>
      <c r="BJ319" s="16"/>
      <c r="BK319" s="16"/>
      <c r="BL319" s="16">
        <v>676</v>
      </c>
      <c r="BM319" s="16">
        <f t="shared" si="187"/>
        <v>415</v>
      </c>
      <c r="BN319" s="16">
        <v>261</v>
      </c>
      <c r="BO319" s="16">
        <v>187</v>
      </c>
      <c r="BP319" s="16">
        <f>+BN319-BO319</f>
        <v>74</v>
      </c>
      <c r="BQ319" s="16"/>
      <c r="BR319" s="17"/>
      <c r="BS319" s="18">
        <v>2019</v>
      </c>
      <c r="BT319" s="21" t="s">
        <v>37</v>
      </c>
      <c r="BU319" s="15">
        <f>+Tabla8[[#This Row],[Trenes Puntuales]]/Tabla8[[#This Row],[Trenes Programados]]</f>
        <v>0.40865384615384615</v>
      </c>
      <c r="BV319" s="15">
        <f>+Tabla8[[#This Row],[Trenes Puntuales]]/Tabla8[[#This Row],[Trenes Corridos]]</f>
        <v>0.41362530413625304</v>
      </c>
      <c r="BW319" s="15">
        <f>+Tabla8[[#This Row],[Trenes Corridos]]/Tabla8[[#This Row],[Trenes Programados]]</f>
        <v>0.98798076923076927</v>
      </c>
      <c r="BX319" s="16"/>
      <c r="BY319" s="16"/>
      <c r="BZ319" s="16">
        <v>416</v>
      </c>
      <c r="CA319" s="16">
        <f t="shared" si="188"/>
        <v>5</v>
      </c>
      <c r="CB319" s="16">
        <v>411</v>
      </c>
      <c r="CC319" s="16">
        <v>170</v>
      </c>
      <c r="CD319" s="16">
        <f>+CB319-CC319</f>
        <v>241</v>
      </c>
      <c r="CI319" s="40"/>
      <c r="CJ319" s="40"/>
      <c r="CK319" s="40"/>
      <c r="CL319" s="40"/>
      <c r="CM319" s="40"/>
    </row>
    <row r="320" spans="1:91" s="18" customFormat="1" ht="15" customHeight="1">
      <c r="A320" s="18">
        <v>2019</v>
      </c>
      <c r="B320" s="21" t="s">
        <v>38</v>
      </c>
      <c r="C320" s="15">
        <f>+MITRE[[#This Row],[Trenes Puntuales]]/MITRE[[#This Row],[Trenes Programados]]</f>
        <v>0.7020926404890665</v>
      </c>
      <c r="D320" s="15">
        <f>+MITRE[[#This Row],[Trenes Puntuales]]/MITRE[[#This Row],[Trenes Corridos]]</f>
        <v>0.80695432843887938</v>
      </c>
      <c r="E320" s="15">
        <f>+MITRE[[#This Row],[Trenes Corridos]]/MITRE[[#This Row],[Trenes Programados]]</f>
        <v>0.87005251195234734</v>
      </c>
      <c r="F320" s="16">
        <f>+Tabla4[[#This Row],[Trenes Programados por Día Hábil]]+Tabla5[[#This Row],[Trenes Programados por Día Hábil]]+Tabla6[[#This Row],[Trenes Programados por Día Hábil]]+MIT_Vic_Cap[[#This Row],[Trenes Programados por Día Hábil]]+Tabla8[[#This Row],[Trenes Programados por Día Hábil]]</f>
        <v>0</v>
      </c>
      <c r="G32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0" s="16">
        <f t="shared" si="139"/>
        <v>12759</v>
      </c>
      <c r="I320" s="16">
        <f t="shared" si="140"/>
        <v>1658</v>
      </c>
      <c r="J320" s="16">
        <f t="shared" si="141"/>
        <v>11101</v>
      </c>
      <c r="K320" s="16">
        <f t="shared" si="142"/>
        <v>8958</v>
      </c>
      <c r="L320" s="16">
        <f t="shared" si="143"/>
        <v>2143</v>
      </c>
      <c r="M320" s="16"/>
      <c r="N320" s="17"/>
      <c r="O320" s="18">
        <v>2019</v>
      </c>
      <c r="P320" s="21" t="s">
        <v>38</v>
      </c>
      <c r="Q320" s="15">
        <f>+Tabla4[[#This Row],[Trenes Puntuales]]/Tabla4[[#This Row],[Trenes Programados]]</f>
        <v>0.7295454545454545</v>
      </c>
      <c r="R320" s="15">
        <f>+Tabla4[[#This Row],[Trenes Puntuales]]/Tabla4[[#This Row],[Trenes Corridos]]</f>
        <v>0.88633225954901063</v>
      </c>
      <c r="S320" s="15">
        <f>+Tabla4[[#This Row],[Trenes Corridos]]/Tabla4[[#This Row],[Trenes Programados]]</f>
        <v>0.82310606060606062</v>
      </c>
      <c r="T320" s="16"/>
      <c r="U320" s="16"/>
      <c r="V320" s="16">
        <v>5280</v>
      </c>
      <c r="W320" s="16">
        <f t="shared" si="184"/>
        <v>934</v>
      </c>
      <c r="X320" s="16">
        <v>4346</v>
      </c>
      <c r="Y320" s="16">
        <v>3852</v>
      </c>
      <c r="Z320" s="16">
        <f t="shared" ref="Z320:Z329" si="189">+X320-Y320</f>
        <v>494</v>
      </c>
      <c r="AA320" s="19" t="s">
        <v>48</v>
      </c>
      <c r="AB320" s="17"/>
      <c r="AC320" s="18">
        <v>2019</v>
      </c>
      <c r="AD320" s="21" t="s">
        <v>38</v>
      </c>
      <c r="AE320" s="15">
        <f>+Tabla5[[#This Row],[Trenes Puntuales]]/Tabla5[[#This Row],[Trenes Programados]]</f>
        <v>0.70374389582202934</v>
      </c>
      <c r="AF320" s="15">
        <f>+Tabla5[[#This Row],[Trenes Puntuales]]/Tabla5[[#This Row],[Trenes Corridos]]</f>
        <v>0.79327217125382266</v>
      </c>
      <c r="AG320" s="15">
        <f>+Tabla5[[#This Row],[Trenes Corridos]]/Tabla5[[#This Row],[Trenes Programados]]</f>
        <v>0.88714053174172547</v>
      </c>
      <c r="AH320" s="16"/>
      <c r="AI320" s="16"/>
      <c r="AJ320" s="16">
        <v>3686</v>
      </c>
      <c r="AK320" s="16">
        <f t="shared" si="185"/>
        <v>416</v>
      </c>
      <c r="AL320" s="16">
        <v>3270</v>
      </c>
      <c r="AM320" s="16">
        <v>2594</v>
      </c>
      <c r="AN320" s="16">
        <f t="shared" ref="AN320:AN329" si="190">+AL320-AM320</f>
        <v>676</v>
      </c>
      <c r="AO320" s="16"/>
      <c r="AP320" s="17"/>
      <c r="AQ320" s="18">
        <v>2019</v>
      </c>
      <c r="AR320" s="21" t="s">
        <v>38</v>
      </c>
      <c r="AS320" s="15">
        <f>+Tabla6[[#This Row],[Trenes Puntuales]]/Tabla6[[#This Row],[Trenes Programados]]</f>
        <v>0.79564553093964863</v>
      </c>
      <c r="AT320" s="15">
        <f>+Tabla6[[#This Row],[Trenes Puntuales]]/Tabla6[[#This Row],[Trenes Corridos]]</f>
        <v>0.82137223974763407</v>
      </c>
      <c r="AU320" s="15">
        <f>+Tabla6[[#This Row],[Trenes Corridos]]/Tabla6[[#This Row],[Trenes Programados]]</f>
        <v>0.9686783804430863</v>
      </c>
      <c r="AV320" s="16"/>
      <c r="AW320" s="16"/>
      <c r="AX320" s="16">
        <v>2618</v>
      </c>
      <c r="AY320" s="16">
        <f t="shared" si="186"/>
        <v>82</v>
      </c>
      <c r="AZ320" s="16">
        <v>2536</v>
      </c>
      <c r="BA320" s="16">
        <v>2083</v>
      </c>
      <c r="BB320" s="16">
        <f t="shared" ref="BB320:BB329" si="191">+AZ320-BA320</f>
        <v>453</v>
      </c>
      <c r="BC320" s="16"/>
      <c r="BD320" s="17"/>
      <c r="BE320" s="18">
        <v>2019</v>
      </c>
      <c r="BF320" s="21" t="s">
        <v>38</v>
      </c>
      <c r="BG320" s="15">
        <f>+MIT_Vic_Cap[[#This Row],[Trenes Puntuales]]/MIT_Vic_Cap[[#This Row],[Trenes Programados]]</f>
        <v>0.34525447042640989</v>
      </c>
      <c r="BH320" s="15">
        <f>+MIT_Vic_Cap[[#This Row],[Trenes Puntuales]]/MIT_Vic_Cap[[#This Row],[Trenes Corridos]]</f>
        <v>0.48176583493282149</v>
      </c>
      <c r="BI320" s="15">
        <f>+MIT_Vic_Cap[[#This Row],[Trenes Corridos]]/MIT_Vic_Cap[[#This Row],[Trenes Programados]]</f>
        <v>0.71664374140302611</v>
      </c>
      <c r="BJ320" s="16"/>
      <c r="BK320" s="16"/>
      <c r="BL320" s="16">
        <v>727</v>
      </c>
      <c r="BM320" s="16">
        <f t="shared" si="187"/>
        <v>206</v>
      </c>
      <c r="BN320" s="16">
        <v>521</v>
      </c>
      <c r="BO320" s="16">
        <v>251</v>
      </c>
      <c r="BP320" s="16">
        <f t="shared" ref="BP320:BP340" si="192">+BN320-BO320</f>
        <v>270</v>
      </c>
      <c r="BQ320" s="16"/>
      <c r="BR320" s="17"/>
      <c r="BS320" s="18">
        <v>2019</v>
      </c>
      <c r="BT320" s="21" t="s">
        <v>38</v>
      </c>
      <c r="BU320" s="15">
        <f>+Tabla8[[#This Row],[Trenes Puntuales]]/Tabla8[[#This Row],[Trenes Programados]]</f>
        <v>0.39732142857142855</v>
      </c>
      <c r="BV320" s="15">
        <f>+Tabla8[[#This Row],[Trenes Puntuales]]/Tabla8[[#This Row],[Trenes Corridos]]</f>
        <v>0.41588785046728971</v>
      </c>
      <c r="BW320" s="15">
        <f>+Tabla8[[#This Row],[Trenes Corridos]]/Tabla8[[#This Row],[Trenes Programados]]</f>
        <v>0.9553571428571429</v>
      </c>
      <c r="BX320" s="16"/>
      <c r="BY320" s="16"/>
      <c r="BZ320" s="16">
        <v>448</v>
      </c>
      <c r="CA320" s="16">
        <f t="shared" si="188"/>
        <v>20</v>
      </c>
      <c r="CB320" s="16">
        <v>428</v>
      </c>
      <c r="CC320" s="16">
        <v>178</v>
      </c>
      <c r="CD320" s="16">
        <f>+CB320-CC320</f>
        <v>250</v>
      </c>
      <c r="CI320" s="40"/>
      <c r="CJ320" s="40"/>
      <c r="CK320" s="40"/>
      <c r="CL320" s="40"/>
      <c r="CM320" s="40"/>
    </row>
    <row r="321" spans="1:91" s="18" customFormat="1" ht="15" customHeight="1">
      <c r="A321" s="18">
        <v>2019</v>
      </c>
      <c r="B321" s="21" t="s">
        <v>39</v>
      </c>
      <c r="C321" s="15">
        <f>+MITRE[[#This Row],[Trenes Puntuales]]/MITRE[[#This Row],[Trenes Programados]]</f>
        <v>0.70726804952564726</v>
      </c>
      <c r="D321" s="15">
        <f>+MITRE[[#This Row],[Trenes Puntuales]]/MITRE[[#This Row],[Trenes Corridos]]</f>
        <v>0.82881100433389865</v>
      </c>
      <c r="E321" s="15">
        <f>+MITRE[[#This Row],[Trenes Corridos]]/MITRE[[#This Row],[Trenes Programados]]</f>
        <v>0.85335262904003861</v>
      </c>
      <c r="F321" s="16">
        <f>+Tabla4[[#This Row],[Trenes Programados por Día Hábil]]+Tabla5[[#This Row],[Trenes Programados por Día Hábil]]+Tabla6[[#This Row],[Trenes Programados por Día Hábil]]+MIT_Vic_Cap[[#This Row],[Trenes Programados por Día Hábil]]+Tabla8[[#This Row],[Trenes Programados por Día Hábil]]</f>
        <v>0</v>
      </c>
      <c r="G32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1" s="16">
        <f t="shared" si="139"/>
        <v>12438</v>
      </c>
      <c r="I321" s="16">
        <f t="shared" si="140"/>
        <v>1824</v>
      </c>
      <c r="J321" s="16">
        <f t="shared" si="141"/>
        <v>10614</v>
      </c>
      <c r="K321" s="16">
        <f t="shared" si="142"/>
        <v>8797</v>
      </c>
      <c r="L321" s="16">
        <f t="shared" si="143"/>
        <v>1817</v>
      </c>
      <c r="M321" s="16"/>
      <c r="N321" s="17"/>
      <c r="O321" s="18">
        <v>2019</v>
      </c>
      <c r="P321" s="18" t="s">
        <v>39</v>
      </c>
      <c r="Q321" s="15">
        <f>+Tabla4[[#This Row],[Trenes Puntuales]]/Tabla4[[#This Row],[Trenes Programados]]</f>
        <v>0.89307931570762056</v>
      </c>
      <c r="R321" s="15">
        <f>+Tabla4[[#This Row],[Trenes Puntuales]]/Tabla4[[#This Row],[Trenes Corridos]]</f>
        <v>0.92304601165360656</v>
      </c>
      <c r="S321" s="15">
        <f>+Tabla4[[#This Row],[Trenes Corridos]]/Tabla4[[#This Row],[Trenes Programados]]</f>
        <v>0.96753499222395023</v>
      </c>
      <c r="T321" s="16"/>
      <c r="U321" s="16"/>
      <c r="V321" s="16">
        <v>5144</v>
      </c>
      <c r="W321" s="16">
        <f t="shared" si="184"/>
        <v>167</v>
      </c>
      <c r="X321" s="16">
        <v>4977</v>
      </c>
      <c r="Y321" s="16">
        <v>4594</v>
      </c>
      <c r="Z321" s="16">
        <f t="shared" si="189"/>
        <v>383</v>
      </c>
      <c r="AA321" s="19" t="s">
        <v>48</v>
      </c>
      <c r="AB321" s="17"/>
      <c r="AC321" s="18">
        <v>2019</v>
      </c>
      <c r="AD321" s="21" t="s">
        <v>39</v>
      </c>
      <c r="AE321" s="15">
        <f>+Tabla5[[#This Row],[Trenes Puntuales]]/Tabla5[[#This Row],[Trenes Programados]]</f>
        <v>0.59406494960806266</v>
      </c>
      <c r="AF321" s="15">
        <f>+Tabla5[[#This Row],[Trenes Puntuales]]/Tabla5[[#This Row],[Trenes Corridos]]</f>
        <v>0.76303487953973392</v>
      </c>
      <c r="AG321" s="15">
        <f>+Tabla5[[#This Row],[Trenes Corridos]]/Tabla5[[#This Row],[Trenes Programados]]</f>
        <v>0.77855543113101899</v>
      </c>
      <c r="AH321" s="16"/>
      <c r="AI321" s="16"/>
      <c r="AJ321" s="16">
        <v>3572</v>
      </c>
      <c r="AK321" s="16">
        <f t="shared" si="185"/>
        <v>791</v>
      </c>
      <c r="AL321" s="16">
        <v>2781</v>
      </c>
      <c r="AM321" s="16">
        <v>2122</v>
      </c>
      <c r="AN321" s="16">
        <f t="shared" si="190"/>
        <v>659</v>
      </c>
      <c r="AO321" s="16"/>
      <c r="AP321" s="17"/>
      <c r="AQ321" s="18">
        <v>2019</v>
      </c>
      <c r="AR321" s="21" t="s">
        <v>39</v>
      </c>
      <c r="AS321" s="15">
        <f>+Tabla6[[#This Row],[Trenes Puntuales]]/Tabla6[[#This Row],[Trenes Programados]]</f>
        <v>0.63840694006309151</v>
      </c>
      <c r="AT321" s="15">
        <f>+Tabla6[[#This Row],[Trenes Puntuales]]/Tabla6[[#This Row],[Trenes Corridos]]</f>
        <v>0.82224479431183339</v>
      </c>
      <c r="AU321" s="15">
        <f>+Tabla6[[#This Row],[Trenes Corridos]]/Tabla6[[#This Row],[Trenes Programados]]</f>
        <v>0.7764195583596214</v>
      </c>
      <c r="AV321" s="16"/>
      <c r="AW321" s="16"/>
      <c r="AX321" s="16">
        <v>2536</v>
      </c>
      <c r="AY321" s="16">
        <f t="shared" si="186"/>
        <v>567</v>
      </c>
      <c r="AZ321" s="16">
        <v>1969</v>
      </c>
      <c r="BA321" s="16">
        <v>1619</v>
      </c>
      <c r="BB321" s="16">
        <f t="shared" si="191"/>
        <v>350</v>
      </c>
      <c r="BC321" s="16"/>
      <c r="BD321" s="17"/>
      <c r="BE321" s="18">
        <v>2019</v>
      </c>
      <c r="BF321" s="21" t="s">
        <v>39</v>
      </c>
      <c r="BG321" s="15">
        <f>+MIT_Vic_Cap[[#This Row],[Trenes Puntuales]]/MIT_Vic_Cap[[#This Row],[Trenes Programados]]</f>
        <v>0.43188010899182561</v>
      </c>
      <c r="BH321" s="15">
        <f>+MIT_Vic_Cap[[#This Row],[Trenes Puntuales]]/MIT_Vic_Cap[[#This Row],[Trenes Corridos]]</f>
        <v>0.619140625</v>
      </c>
      <c r="BI321" s="15">
        <f>+MIT_Vic_Cap[[#This Row],[Trenes Corridos]]/MIT_Vic_Cap[[#This Row],[Trenes Programados]]</f>
        <v>0.6975476839237057</v>
      </c>
      <c r="BJ321" s="16"/>
      <c r="BK321" s="16"/>
      <c r="BL321" s="16">
        <v>734</v>
      </c>
      <c r="BM321" s="16">
        <f t="shared" si="187"/>
        <v>222</v>
      </c>
      <c r="BN321" s="16">
        <v>512</v>
      </c>
      <c r="BO321" s="16">
        <v>317</v>
      </c>
      <c r="BP321" s="16">
        <f t="shared" si="192"/>
        <v>195</v>
      </c>
      <c r="BQ321" s="16"/>
      <c r="BR321" s="17"/>
      <c r="BS321" s="18">
        <v>2019</v>
      </c>
      <c r="BT321" s="21" t="s">
        <v>39</v>
      </c>
      <c r="BU321" s="15">
        <f>+Tabla8[[#This Row],[Trenes Puntuales]]/Tabla8[[#This Row],[Trenes Programados]]</f>
        <v>0.32079646017699115</v>
      </c>
      <c r="BV321" s="15">
        <f>+Tabla8[[#This Row],[Trenes Puntuales]]/Tabla8[[#This Row],[Trenes Corridos]]</f>
        <v>0.38666666666666666</v>
      </c>
      <c r="BW321" s="15">
        <f>+Tabla8[[#This Row],[Trenes Corridos]]/Tabla8[[#This Row],[Trenes Programados]]</f>
        <v>0.82964601769911506</v>
      </c>
      <c r="BX321" s="16"/>
      <c r="BY321" s="16"/>
      <c r="BZ321" s="16">
        <v>452</v>
      </c>
      <c r="CA321" s="16">
        <f t="shared" si="188"/>
        <v>77</v>
      </c>
      <c r="CB321" s="16">
        <v>375</v>
      </c>
      <c r="CC321" s="16">
        <v>145</v>
      </c>
      <c r="CD321" s="16">
        <f>+CB321-CC321</f>
        <v>230</v>
      </c>
      <c r="CI321" s="40"/>
      <c r="CJ321" s="40"/>
      <c r="CK321" s="40"/>
      <c r="CL321" s="40"/>
      <c r="CM321" s="40"/>
    </row>
    <row r="322" spans="1:91" s="18" customFormat="1" ht="15" customHeight="1">
      <c r="A322" s="18">
        <v>2019</v>
      </c>
      <c r="B322" s="21" t="s">
        <v>40</v>
      </c>
      <c r="C322" s="15">
        <f>+MITRE[[#This Row],[Trenes Puntuales]]/MITRE[[#This Row],[Trenes Programados]]</f>
        <v>0.66606080634500986</v>
      </c>
      <c r="D322" s="15">
        <f>+MITRE[[#This Row],[Trenes Puntuales]]/MITRE[[#This Row],[Trenes Corridos]]</f>
        <v>0.75191195672449174</v>
      </c>
      <c r="E322" s="15">
        <f>+MITRE[[#This Row],[Trenes Corridos]]/MITRE[[#This Row],[Trenes Programados]]</f>
        <v>0.88582286847323199</v>
      </c>
      <c r="F322" s="16">
        <f>+Tabla4[[#This Row],[Trenes Programados por Día Hábil]]+Tabla5[[#This Row],[Trenes Programados por Día Hábil]]+Tabla6[[#This Row],[Trenes Programados por Día Hábil]]+MIT_Vic_Cap[[#This Row],[Trenes Programados por Día Hábil]]+Tabla8[[#This Row],[Trenes Programados por Día Hábil]]</f>
        <v>0</v>
      </c>
      <c r="G32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2" s="16">
        <f t="shared" si="139"/>
        <v>12104</v>
      </c>
      <c r="I322" s="16">
        <f t="shared" si="140"/>
        <v>1382</v>
      </c>
      <c r="J322" s="16">
        <f t="shared" si="141"/>
        <v>10722</v>
      </c>
      <c r="K322" s="16">
        <f t="shared" si="142"/>
        <v>8062</v>
      </c>
      <c r="L322" s="16">
        <f t="shared" si="143"/>
        <v>2660</v>
      </c>
      <c r="M322" s="16"/>
      <c r="N322" s="17"/>
      <c r="O322" s="18">
        <v>2019</v>
      </c>
      <c r="P322" s="18" t="s">
        <v>40</v>
      </c>
      <c r="Q322" s="15">
        <f>+Tabla4[[#This Row],[Trenes Puntuales]]/Tabla4[[#This Row],[Trenes Programados]]</f>
        <v>0.75044563279857401</v>
      </c>
      <c r="R322" s="15">
        <f>+Tabla4[[#This Row],[Trenes Puntuales]]/Tabla4[[#This Row],[Trenes Corridos]]</f>
        <v>0.83222139856683963</v>
      </c>
      <c r="S322" s="15">
        <f>+Tabla4[[#This Row],[Trenes Corridos]]/Tabla4[[#This Row],[Trenes Programados]]</f>
        <v>0.9017379679144385</v>
      </c>
      <c r="T322" s="16"/>
      <c r="U322" s="16"/>
      <c r="V322" s="16">
        <v>4488</v>
      </c>
      <c r="W322" s="16">
        <f t="shared" si="184"/>
        <v>441</v>
      </c>
      <c r="X322" s="16">
        <v>4047</v>
      </c>
      <c r="Y322" s="16">
        <v>3368</v>
      </c>
      <c r="Z322" s="16">
        <f t="shared" si="189"/>
        <v>679</v>
      </c>
      <c r="AA322" s="19" t="s">
        <v>48</v>
      </c>
      <c r="AB322" s="17"/>
      <c r="AC322" s="18">
        <v>2019</v>
      </c>
      <c r="AD322" s="21" t="s">
        <v>40</v>
      </c>
      <c r="AE322" s="15">
        <f>+Tabla5[[#This Row],[Trenes Puntuales]]/Tabla5[[#This Row],[Trenes Programados]]</f>
        <v>0.62853470437018</v>
      </c>
      <c r="AF322" s="15">
        <f>+Tabla5[[#This Row],[Trenes Puntuales]]/Tabla5[[#This Row],[Trenes Corridos]]</f>
        <v>0.70037238613577768</v>
      </c>
      <c r="AG322" s="15">
        <f>+Tabla5[[#This Row],[Trenes Corridos]]/Tabla5[[#This Row],[Trenes Programados]]</f>
        <v>0.8974293059125964</v>
      </c>
      <c r="AH322" s="16"/>
      <c r="AI322" s="16"/>
      <c r="AJ322" s="16">
        <v>3890</v>
      </c>
      <c r="AK322" s="16">
        <f t="shared" si="185"/>
        <v>399</v>
      </c>
      <c r="AL322" s="16">
        <v>3491</v>
      </c>
      <c r="AM322" s="16">
        <v>2445</v>
      </c>
      <c r="AN322" s="16">
        <f t="shared" si="190"/>
        <v>1046</v>
      </c>
      <c r="AO322" s="16"/>
      <c r="AP322" s="17"/>
      <c r="AQ322" s="18">
        <v>2019</v>
      </c>
      <c r="AR322" s="21" t="s">
        <v>40</v>
      </c>
      <c r="AS322" s="15">
        <f>+Tabla6[[#This Row],[Trenes Puntuales]]/Tabla6[[#This Row],[Trenes Programados]]</f>
        <v>0.71825396825396826</v>
      </c>
      <c r="AT322" s="15">
        <f>+Tabla6[[#This Row],[Trenes Puntuales]]/Tabla6[[#This Row],[Trenes Corridos]]</f>
        <v>0.78764142732811138</v>
      </c>
      <c r="AU322" s="15">
        <f>+Tabla6[[#This Row],[Trenes Corridos]]/Tabla6[[#This Row],[Trenes Programados]]</f>
        <v>0.91190476190476188</v>
      </c>
      <c r="AV322" s="16"/>
      <c r="AW322" s="16"/>
      <c r="AX322" s="16">
        <v>2520</v>
      </c>
      <c r="AY322" s="16">
        <f t="shared" si="186"/>
        <v>222</v>
      </c>
      <c r="AZ322" s="16">
        <v>2298</v>
      </c>
      <c r="BA322" s="16">
        <v>1810</v>
      </c>
      <c r="BB322" s="16">
        <f t="shared" si="191"/>
        <v>488</v>
      </c>
      <c r="BC322" s="16"/>
      <c r="BD322" s="17"/>
      <c r="BE322" s="18">
        <v>2019</v>
      </c>
      <c r="BF322" s="21" t="s">
        <v>40</v>
      </c>
      <c r="BG322" s="15">
        <f>+MIT_Vic_Cap[[#This Row],[Trenes Puntuales]]/MIT_Vic_Cap[[#This Row],[Trenes Programados]]</f>
        <v>0.41689008042895442</v>
      </c>
      <c r="BH322" s="15">
        <f>+MIT_Vic_Cap[[#This Row],[Trenes Puntuales]]/MIT_Vic_Cap[[#This Row],[Trenes Corridos]]</f>
        <v>0.63991769547325106</v>
      </c>
      <c r="BI322" s="15">
        <f>+MIT_Vic_Cap[[#This Row],[Trenes Corridos]]/MIT_Vic_Cap[[#This Row],[Trenes Programados]]</f>
        <v>0.65147453083109919</v>
      </c>
      <c r="BJ322" s="16"/>
      <c r="BK322" s="16"/>
      <c r="BL322" s="16">
        <v>746</v>
      </c>
      <c r="BM322" s="16">
        <f t="shared" si="187"/>
        <v>260</v>
      </c>
      <c r="BN322" s="16">
        <v>486</v>
      </c>
      <c r="BO322" s="16">
        <v>311</v>
      </c>
      <c r="BP322" s="16">
        <f t="shared" si="192"/>
        <v>175</v>
      </c>
      <c r="BQ322" s="16"/>
      <c r="BR322" s="17"/>
      <c r="BS322" s="18">
        <v>2019</v>
      </c>
      <c r="BT322" s="21" t="s">
        <v>40</v>
      </c>
      <c r="BU322" s="15">
        <f>+Tabla8[[#This Row],[Trenes Puntuales]]/Tabla8[[#This Row],[Trenes Programados]]</f>
        <v>0.27826086956521739</v>
      </c>
      <c r="BV322" s="15">
        <f>+Tabla8[[#This Row],[Trenes Puntuales]]/Tabla8[[#This Row],[Trenes Corridos]]</f>
        <v>0.32</v>
      </c>
      <c r="BW322" s="15">
        <f>+Tabla8[[#This Row],[Trenes Corridos]]/Tabla8[[#This Row],[Trenes Programados]]</f>
        <v>0.86956521739130432</v>
      </c>
      <c r="BX322" s="16"/>
      <c r="BY322" s="16"/>
      <c r="BZ322" s="16">
        <v>460</v>
      </c>
      <c r="CA322" s="16">
        <f t="shared" si="188"/>
        <v>60</v>
      </c>
      <c r="CB322" s="16">
        <v>400</v>
      </c>
      <c r="CC322" s="16">
        <v>128</v>
      </c>
      <c r="CD322" s="16">
        <f t="shared" ref="CD322:CD329" si="193">+CB322-CC322</f>
        <v>272</v>
      </c>
      <c r="CI322" s="40"/>
      <c r="CJ322" s="40"/>
      <c r="CK322" s="40"/>
      <c r="CL322" s="40"/>
      <c r="CM322" s="40"/>
    </row>
    <row r="323" spans="1:91" s="18" customFormat="1" ht="15" customHeight="1">
      <c r="A323" s="18">
        <v>2019</v>
      </c>
      <c r="B323" s="21" t="s">
        <v>41</v>
      </c>
      <c r="C323" s="15">
        <f>+MITRE[[#This Row],[Trenes Puntuales]]/MITRE[[#This Row],[Trenes Programados]]</f>
        <v>0.61413287782073178</v>
      </c>
      <c r="D323" s="15">
        <f>+MITRE[[#This Row],[Trenes Puntuales]]/MITRE[[#This Row],[Trenes Corridos]]</f>
        <v>0.67234251968503933</v>
      </c>
      <c r="E323" s="15">
        <f>+MITRE[[#This Row],[Trenes Corridos]]/MITRE[[#This Row],[Trenes Programados]]</f>
        <v>0.91342263777757804</v>
      </c>
      <c r="F323" s="16">
        <f>+Tabla4[[#This Row],[Trenes Programados por Día Hábil]]+Tabla5[[#This Row],[Trenes Programados por Día Hábil]]+Tabla6[[#This Row],[Trenes Programados por Día Hábil]]+MIT_Vic_Cap[[#This Row],[Trenes Programados por Día Hábil]]+Tabla8[[#This Row],[Trenes Programados por Día Hábil]]</f>
        <v>0</v>
      </c>
      <c r="G32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3" s="16">
        <f t="shared" si="139"/>
        <v>11123</v>
      </c>
      <c r="I323" s="16">
        <f t="shared" si="140"/>
        <v>963</v>
      </c>
      <c r="J323" s="16">
        <f t="shared" si="141"/>
        <v>10160</v>
      </c>
      <c r="K323" s="16">
        <f t="shared" si="142"/>
        <v>6831</v>
      </c>
      <c r="L323" s="16">
        <f t="shared" si="143"/>
        <v>3329</v>
      </c>
      <c r="M323" s="16"/>
      <c r="N323" s="17"/>
      <c r="O323" s="18">
        <v>2019</v>
      </c>
      <c r="P323" s="18" t="s">
        <v>41</v>
      </c>
      <c r="Q323" s="15">
        <f>+Tabla4[[#This Row],[Trenes Puntuales]]/Tabla4[[#This Row],[Trenes Programados]]</f>
        <v>0.87682291666666667</v>
      </c>
      <c r="R323" s="15">
        <f>+Tabla4[[#This Row],[Trenes Puntuales]]/Tabla4[[#This Row],[Trenes Corridos]]</f>
        <v>0.90926275992438566</v>
      </c>
      <c r="S323" s="15">
        <f>+Tabla4[[#This Row],[Trenes Corridos]]/Tabla4[[#This Row],[Trenes Programados]]</f>
        <v>0.9643229166666667</v>
      </c>
      <c r="T323" s="16"/>
      <c r="U323" s="16"/>
      <c r="V323" s="16">
        <v>3840</v>
      </c>
      <c r="W323" s="16">
        <f t="shared" si="184"/>
        <v>137</v>
      </c>
      <c r="X323" s="16">
        <v>3703</v>
      </c>
      <c r="Y323" s="16">
        <v>3367</v>
      </c>
      <c r="Z323" s="16">
        <f t="shared" si="189"/>
        <v>336</v>
      </c>
      <c r="AA323" s="16"/>
      <c r="AB323" s="17"/>
      <c r="AC323" s="18">
        <v>2019</v>
      </c>
      <c r="AD323" s="21" t="s">
        <v>41</v>
      </c>
      <c r="AE323" s="15">
        <f>+Tabla5[[#This Row],[Trenes Puntuales]]/Tabla5[[#This Row],[Trenes Programados]]</f>
        <v>0.50498575498575493</v>
      </c>
      <c r="AF323" s="15">
        <f>+Tabla5[[#This Row],[Trenes Puntuales]]/Tabla5[[#This Row],[Trenes Corridos]]</f>
        <v>0.53335005015045134</v>
      </c>
      <c r="AG323" s="15">
        <f>+Tabla5[[#This Row],[Trenes Corridos]]/Tabla5[[#This Row],[Trenes Programados]]</f>
        <v>0.94681861348528018</v>
      </c>
      <c r="AH323" s="16"/>
      <c r="AI323" s="16"/>
      <c r="AJ323" s="16">
        <v>4212</v>
      </c>
      <c r="AK323" s="16">
        <f t="shared" si="185"/>
        <v>224</v>
      </c>
      <c r="AL323" s="16">
        <v>3988</v>
      </c>
      <c r="AM323" s="16">
        <v>2127</v>
      </c>
      <c r="AN323" s="16">
        <f t="shared" si="190"/>
        <v>1861</v>
      </c>
      <c r="AO323" s="16"/>
      <c r="AP323" s="17"/>
      <c r="AQ323" s="18">
        <v>2019</v>
      </c>
      <c r="AR323" s="21" t="s">
        <v>41</v>
      </c>
      <c r="AS323" s="15">
        <f>+Tabla6[[#This Row],[Trenes Puntuales]]/Tabla6[[#This Row],[Trenes Programados]]</f>
        <v>0.57753164556962022</v>
      </c>
      <c r="AT323" s="15">
        <f>+Tabla6[[#This Row],[Trenes Puntuales]]/Tabla6[[#This Row],[Trenes Corridos]]</f>
        <v>0.59575625680087052</v>
      </c>
      <c r="AU323" s="15">
        <f>+Tabla6[[#This Row],[Trenes Corridos]]/Tabla6[[#This Row],[Trenes Programados]]</f>
        <v>0.96940928270042193</v>
      </c>
      <c r="AV323" s="16"/>
      <c r="AW323" s="16"/>
      <c r="AX323" s="16">
        <v>1896</v>
      </c>
      <c r="AY323" s="16">
        <f t="shared" si="186"/>
        <v>58</v>
      </c>
      <c r="AZ323" s="16">
        <v>1838</v>
      </c>
      <c r="BA323" s="16">
        <v>1095</v>
      </c>
      <c r="BB323" s="16">
        <f t="shared" si="191"/>
        <v>743</v>
      </c>
      <c r="BC323" s="16"/>
      <c r="BD323" s="17"/>
      <c r="BE323" s="18">
        <v>2019</v>
      </c>
      <c r="BF323" s="21" t="s">
        <v>41</v>
      </c>
      <c r="BG323" s="15">
        <f>+MIT_Vic_Cap[[#This Row],[Trenes Puntuales]]/MIT_Vic_Cap[[#This Row],[Trenes Programados]]</f>
        <v>0.20357634112792297</v>
      </c>
      <c r="BH323" s="15">
        <f>+MIT_Vic_Cap[[#This Row],[Trenes Puntuales]]/MIT_Vic_Cap[[#This Row],[Trenes Corridos]]</f>
        <v>0.56488549618320616</v>
      </c>
      <c r="BI323" s="15">
        <f>+MIT_Vic_Cap[[#This Row],[Trenes Corridos]]/MIT_Vic_Cap[[#This Row],[Trenes Programados]]</f>
        <v>0.36038514442916092</v>
      </c>
      <c r="BJ323" s="16"/>
      <c r="BK323" s="16"/>
      <c r="BL323" s="16">
        <v>727</v>
      </c>
      <c r="BM323" s="16">
        <f t="shared" si="187"/>
        <v>465</v>
      </c>
      <c r="BN323" s="16">
        <v>262</v>
      </c>
      <c r="BO323" s="16">
        <v>148</v>
      </c>
      <c r="BP323" s="16">
        <f t="shared" si="192"/>
        <v>114</v>
      </c>
      <c r="BQ323" s="19" t="s">
        <v>33</v>
      </c>
      <c r="BR323" s="17"/>
      <c r="BS323" s="18">
        <v>2019</v>
      </c>
      <c r="BT323" s="18" t="s">
        <v>41</v>
      </c>
      <c r="BU323" s="15">
        <f>+Tabla8[[#This Row],[Trenes Puntuales]]/Tabla8[[#This Row],[Trenes Programados]]</f>
        <v>0.20982142857142858</v>
      </c>
      <c r="BV323" s="15">
        <f>+Tabla8[[#This Row],[Trenes Puntuales]]/Tabla8[[#This Row],[Trenes Corridos]]</f>
        <v>0.25474254742547425</v>
      </c>
      <c r="BW323" s="15">
        <f>+Tabla8[[#This Row],[Trenes Corridos]]/Tabla8[[#This Row],[Trenes Programados]]</f>
        <v>0.8236607142857143</v>
      </c>
      <c r="BX323" s="16"/>
      <c r="BY323" s="16"/>
      <c r="BZ323" s="16">
        <v>448</v>
      </c>
      <c r="CA323" s="16">
        <f t="shared" si="188"/>
        <v>79</v>
      </c>
      <c r="CB323" s="16">
        <v>369</v>
      </c>
      <c r="CC323" s="16">
        <v>94</v>
      </c>
      <c r="CD323" s="16">
        <f t="shared" si="193"/>
        <v>275</v>
      </c>
      <c r="CI323" s="40"/>
      <c r="CJ323" s="40"/>
      <c r="CK323" s="40"/>
      <c r="CL323" s="40"/>
      <c r="CM323" s="40"/>
    </row>
    <row r="324" spans="1:91" s="18" customFormat="1" ht="15" customHeight="1">
      <c r="A324" s="18">
        <v>2019</v>
      </c>
      <c r="B324" s="21" t="s">
        <v>42</v>
      </c>
      <c r="C324" s="15">
        <f>+MITRE[[#This Row],[Trenes Puntuales]]/MITRE[[#This Row],[Trenes Programados]]</f>
        <v>0.66262678356541171</v>
      </c>
      <c r="D324" s="15">
        <f>+MITRE[[#This Row],[Trenes Puntuales]]/MITRE[[#This Row],[Trenes Corridos]]</f>
        <v>0.72364592133671268</v>
      </c>
      <c r="E324" s="15">
        <f>+MITRE[[#This Row],[Trenes Corridos]]/MITRE[[#This Row],[Trenes Programados]]</f>
        <v>0.91567818463125328</v>
      </c>
      <c r="F324" s="16">
        <f>+Tabla4[[#This Row],[Trenes Programados por Día Hábil]]+Tabla5[[#This Row],[Trenes Programados por Día Hábil]]+Tabla6[[#This Row],[Trenes Programados por Día Hábil]]+MIT_Vic_Cap[[#This Row],[Trenes Programados por Día Hábil]]+Tabla8[[#This Row],[Trenes Programados por Día Hábil]]</f>
        <v>390</v>
      </c>
      <c r="G32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5.8404205388153576</v>
      </c>
      <c r="H324" s="16">
        <f t="shared" si="139"/>
        <v>11634</v>
      </c>
      <c r="I324" s="16">
        <f t="shared" si="140"/>
        <v>981</v>
      </c>
      <c r="J324" s="16">
        <f t="shared" si="141"/>
        <v>10653</v>
      </c>
      <c r="K324" s="16">
        <f t="shared" si="142"/>
        <v>7709</v>
      </c>
      <c r="L324" s="16">
        <f t="shared" si="143"/>
        <v>2944</v>
      </c>
      <c r="M324" s="16"/>
      <c r="N324" s="17"/>
      <c r="O324" s="18">
        <v>2019</v>
      </c>
      <c r="P324" s="21" t="s">
        <v>42</v>
      </c>
      <c r="Q324" s="15">
        <f>+Tabla4[[#This Row],[Trenes Puntuales]]/Tabla4[[#This Row],[Trenes Programados]]</f>
        <v>0.8989043824701195</v>
      </c>
      <c r="R324" s="15">
        <f>+Tabla4[[#This Row],[Trenes Puntuales]]/Tabla4[[#This Row],[Trenes Corridos]]</f>
        <v>0.90771938647221528</v>
      </c>
      <c r="S324" s="15">
        <f>+Tabla4[[#This Row],[Trenes Corridos]]/Tabla4[[#This Row],[Trenes Programados]]</f>
        <v>0.9902888446215139</v>
      </c>
      <c r="T324" s="16">
        <v>136</v>
      </c>
      <c r="U324" s="16">
        <v>6</v>
      </c>
      <c r="V324" s="16">
        <v>4016</v>
      </c>
      <c r="W324" s="16">
        <f t="shared" si="184"/>
        <v>39</v>
      </c>
      <c r="X324" s="16">
        <v>3977</v>
      </c>
      <c r="Y324" s="16">
        <v>3610</v>
      </c>
      <c r="Z324" s="16">
        <f t="shared" si="189"/>
        <v>367</v>
      </c>
      <c r="AA324" s="16"/>
      <c r="AB324" s="17"/>
      <c r="AC324" s="18">
        <v>2019</v>
      </c>
      <c r="AD324" s="18" t="s">
        <v>42</v>
      </c>
      <c r="AE324" s="15">
        <f>+Tabla5[[#This Row],[Trenes Puntuales]]/Tabla5[[#This Row],[Trenes Programados]]</f>
        <v>0.61103633916554512</v>
      </c>
      <c r="AF324" s="15">
        <f>+Tabla5[[#This Row],[Trenes Puntuales]]/Tabla5[[#This Row],[Trenes Corridos]]</f>
        <v>0.62982658959537574</v>
      </c>
      <c r="AG324" s="15">
        <f>+Tabla5[[#This Row],[Trenes Corridos]]/Tabla5[[#This Row],[Trenes Programados]]</f>
        <v>0.97016599371915657</v>
      </c>
      <c r="AH324" s="16">
        <v>158</v>
      </c>
      <c r="AI324" s="16">
        <v>6</v>
      </c>
      <c r="AJ324" s="16">
        <v>4458</v>
      </c>
      <c r="AK324" s="16">
        <f t="shared" si="185"/>
        <v>133</v>
      </c>
      <c r="AL324" s="16">
        <v>4325</v>
      </c>
      <c r="AM324" s="16">
        <v>2724</v>
      </c>
      <c r="AN324" s="16">
        <f t="shared" si="190"/>
        <v>1601</v>
      </c>
      <c r="AO324" s="16"/>
      <c r="AP324" s="17"/>
      <c r="AQ324" s="18">
        <v>2019</v>
      </c>
      <c r="AR324" s="21" t="s">
        <v>42</v>
      </c>
      <c r="AS324" s="15">
        <f>+Tabla6[[#This Row],[Trenes Puntuales]]/Tabla6[[#This Row],[Trenes Programados]]</f>
        <v>0.6792260692464358</v>
      </c>
      <c r="AT324" s="15">
        <f>+Tabla6[[#This Row],[Trenes Puntuales]]/Tabla6[[#This Row],[Trenes Corridos]]</f>
        <v>0.69262720664589827</v>
      </c>
      <c r="AU324" s="15">
        <f>+Tabla6[[#This Row],[Trenes Corridos]]/Tabla6[[#This Row],[Trenes Programados]]</f>
        <v>0.9806517311608961</v>
      </c>
      <c r="AV324" s="16">
        <v>64</v>
      </c>
      <c r="AW324" s="16">
        <v>6</v>
      </c>
      <c r="AX324" s="16">
        <v>1964</v>
      </c>
      <c r="AY324" s="16">
        <f t="shared" si="186"/>
        <v>38</v>
      </c>
      <c r="AZ324" s="16">
        <v>1926</v>
      </c>
      <c r="BA324" s="16">
        <v>1334</v>
      </c>
      <c r="BB324" s="16">
        <f t="shared" si="191"/>
        <v>592</v>
      </c>
      <c r="BC324" s="16"/>
      <c r="BD324" s="17"/>
      <c r="BE324" s="18">
        <v>2019</v>
      </c>
      <c r="BF324" s="21" t="s">
        <v>42</v>
      </c>
      <c r="BG324" s="15">
        <f>+MIT_Vic_Cap[[#This Row],[Trenes Puntuales]]/MIT_Vic_Cap[[#This Row],[Trenes Programados]]</f>
        <v>0</v>
      </c>
      <c r="BH324" s="15" t="e">
        <f>+MIT_Vic_Cap[[#This Row],[Trenes Puntuales]]/MIT_Vic_Cap[[#This Row],[Trenes Corridos]]</f>
        <v>#DIV/0!</v>
      </c>
      <c r="BI324" s="15">
        <f>+MIT_Vic_Cap[[#This Row],[Trenes Corridos]]/MIT_Vic_Cap[[#This Row],[Trenes Programados]]</f>
        <v>0</v>
      </c>
      <c r="BJ324" s="16">
        <v>16</v>
      </c>
      <c r="BK324" s="16">
        <v>2</v>
      </c>
      <c r="BL324" s="16">
        <v>740</v>
      </c>
      <c r="BM324" s="16">
        <f t="shared" si="187"/>
        <v>740</v>
      </c>
      <c r="BN324" s="16">
        <v>0</v>
      </c>
      <c r="BO324" s="16">
        <v>0</v>
      </c>
      <c r="BP324" s="16">
        <f t="shared" si="192"/>
        <v>0</v>
      </c>
      <c r="BQ324" s="19" t="s">
        <v>33</v>
      </c>
      <c r="BR324" s="17"/>
      <c r="BS324" s="18">
        <v>2019</v>
      </c>
      <c r="BT324" s="18" t="s">
        <v>42</v>
      </c>
      <c r="BU324" s="15">
        <f>+Tabla8[[#This Row],[Trenes Puntuales]]/Tabla8[[#This Row],[Trenes Programados]]</f>
        <v>8.9912280701754388E-2</v>
      </c>
      <c r="BV324" s="15">
        <f>+Tabla8[[#This Row],[Trenes Puntuales]]/Tabla8[[#This Row],[Trenes Corridos]]</f>
        <v>9.6470588235294114E-2</v>
      </c>
      <c r="BW324" s="15">
        <f>+Tabla8[[#This Row],[Trenes Corridos]]/Tabla8[[#This Row],[Trenes Programados]]</f>
        <v>0.93201754385964908</v>
      </c>
      <c r="BX324" s="16">
        <v>16</v>
      </c>
      <c r="BY324" s="16">
        <v>2</v>
      </c>
      <c r="BZ324" s="16">
        <v>456</v>
      </c>
      <c r="CA324" s="16">
        <f t="shared" si="188"/>
        <v>31</v>
      </c>
      <c r="CB324" s="16">
        <v>425</v>
      </c>
      <c r="CC324" s="16">
        <v>41</v>
      </c>
      <c r="CD324" s="16">
        <f t="shared" si="193"/>
        <v>384</v>
      </c>
      <c r="CI324" s="40"/>
      <c r="CJ324" s="277"/>
      <c r="CK324" s="40"/>
      <c r="CL324" s="40"/>
      <c r="CM324" s="40"/>
    </row>
    <row r="325" spans="1:91" s="18" customFormat="1" ht="15" customHeight="1">
      <c r="A325" s="18">
        <v>2019</v>
      </c>
      <c r="B325" s="21" t="s">
        <v>43</v>
      </c>
      <c r="C325" s="15">
        <f>+MITRE[[#This Row],[Trenes Puntuales]]/MITRE[[#This Row],[Trenes Programados]]</f>
        <v>0.72481551398661404</v>
      </c>
      <c r="D325" s="15">
        <f>+MITRE[[#This Row],[Trenes Puntuales]]/MITRE[[#This Row],[Trenes Corridos]]</f>
        <v>0.76588992655725818</v>
      </c>
      <c r="E325" s="15">
        <f>+MITRE[[#This Row],[Trenes Corridos]]/MITRE[[#This Row],[Trenes Programados]]</f>
        <v>0.9463703449459413</v>
      </c>
      <c r="F325" s="16">
        <f>+Tabla4[[#This Row],[Trenes Programados por Día Hábil]]+Tabla5[[#This Row],[Trenes Programados por Día Hábil]]+Tabla6[[#This Row],[Trenes Programados por Día Hábil]]+MIT_Vic_Cap[[#This Row],[Trenes Programados por Día Hábil]]+Tabla8[[#This Row],[Trenes Programados por Día Hábil]]</f>
        <v>390</v>
      </c>
      <c r="G32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5.6126575392147977</v>
      </c>
      <c r="H325" s="16">
        <f t="shared" si="139"/>
        <v>11654</v>
      </c>
      <c r="I325" s="16">
        <f t="shared" si="140"/>
        <v>625</v>
      </c>
      <c r="J325" s="16">
        <f t="shared" si="141"/>
        <v>11029</v>
      </c>
      <c r="K325" s="16">
        <f t="shared" si="142"/>
        <v>8447</v>
      </c>
      <c r="L325" s="16">
        <f t="shared" si="143"/>
        <v>2582</v>
      </c>
      <c r="M325" s="16"/>
      <c r="N325" s="17"/>
      <c r="O325" s="18">
        <v>2019</v>
      </c>
      <c r="P325" s="21" t="s">
        <v>43</v>
      </c>
      <c r="Q325" s="15">
        <f>+Tabla4[[#This Row],[Trenes Puntuales]]/Tabla4[[#This Row],[Trenes Programados]]</f>
        <v>0.89143426294820716</v>
      </c>
      <c r="R325" s="15">
        <f>+Tabla4[[#This Row],[Trenes Puntuales]]/Tabla4[[#This Row],[Trenes Corridos]]</f>
        <v>0.90978398983481579</v>
      </c>
      <c r="S325" s="15">
        <f>+Tabla4[[#This Row],[Trenes Corridos]]/Tabla4[[#This Row],[Trenes Programados]]</f>
        <v>0.97983067729083662</v>
      </c>
      <c r="T325" s="16">
        <v>136</v>
      </c>
      <c r="U325" s="16">
        <v>6</v>
      </c>
      <c r="V325" s="16">
        <v>4016</v>
      </c>
      <c r="W325" s="16">
        <f t="shared" si="184"/>
        <v>81</v>
      </c>
      <c r="X325" s="16">
        <v>3935</v>
      </c>
      <c r="Y325" s="16">
        <v>3580</v>
      </c>
      <c r="Z325" s="16">
        <f t="shared" si="189"/>
        <v>355</v>
      </c>
      <c r="AA325" s="16"/>
      <c r="AB325" s="17"/>
      <c r="AC325" s="18">
        <v>2019</v>
      </c>
      <c r="AD325" s="18" t="s">
        <v>43</v>
      </c>
      <c r="AE325" s="15">
        <f>+Tabla5[[#This Row],[Trenes Puntuales]]/Tabla5[[#This Row],[Trenes Programados]]</f>
        <v>0.66375056078959171</v>
      </c>
      <c r="AF325" s="15">
        <f>+Tabla5[[#This Row],[Trenes Puntuales]]/Tabla5[[#This Row],[Trenes Corridos]]</f>
        <v>0.70908219506350345</v>
      </c>
      <c r="AG325" s="15">
        <f>+Tabla5[[#This Row],[Trenes Corridos]]/Tabla5[[#This Row],[Trenes Programados]]</f>
        <v>0.93606998654104978</v>
      </c>
      <c r="AH325" s="16">
        <v>158</v>
      </c>
      <c r="AI325" s="16">
        <v>6</v>
      </c>
      <c r="AJ325" s="16">
        <v>4458</v>
      </c>
      <c r="AK325" s="16">
        <f t="shared" si="185"/>
        <v>285</v>
      </c>
      <c r="AL325" s="16">
        <v>4173</v>
      </c>
      <c r="AM325" s="16">
        <v>2959</v>
      </c>
      <c r="AN325" s="16">
        <f t="shared" si="190"/>
        <v>1214</v>
      </c>
      <c r="AO325" s="16"/>
      <c r="AP325" s="17"/>
      <c r="AQ325" s="18">
        <v>2019</v>
      </c>
      <c r="AR325" s="21" t="s">
        <v>43</v>
      </c>
      <c r="AS325" s="15">
        <f>+Tabla6[[#This Row],[Trenes Puntuales]]/Tabla6[[#This Row],[Trenes Programados]]</f>
        <v>0.7372708757637475</v>
      </c>
      <c r="AT325" s="15">
        <f>+Tabla6[[#This Row],[Trenes Puntuales]]/Tabla6[[#This Row],[Trenes Corridos]]</f>
        <v>0.78143550998381006</v>
      </c>
      <c r="AU325" s="15">
        <f>+Tabla6[[#This Row],[Trenes Corridos]]/Tabla6[[#This Row],[Trenes Programados]]</f>
        <v>0.94348268839103866</v>
      </c>
      <c r="AV325" s="16">
        <v>64</v>
      </c>
      <c r="AW325" s="16">
        <v>6</v>
      </c>
      <c r="AX325" s="16">
        <v>1964</v>
      </c>
      <c r="AY325" s="16">
        <f t="shared" si="186"/>
        <v>111</v>
      </c>
      <c r="AZ325" s="16">
        <v>1853</v>
      </c>
      <c r="BA325" s="16">
        <v>1448</v>
      </c>
      <c r="BB325" s="16">
        <f t="shared" si="191"/>
        <v>405</v>
      </c>
      <c r="BC325" s="16"/>
      <c r="BD325" s="17"/>
      <c r="BE325" s="18">
        <v>2019</v>
      </c>
      <c r="BF325" s="21" t="s">
        <v>43</v>
      </c>
      <c r="BG325" s="15">
        <f>+MIT_Vic_Cap[[#This Row],[Trenes Puntuales]]/MIT_Vic_Cap[[#This Row],[Trenes Programados]]</f>
        <v>0.53026315789473688</v>
      </c>
      <c r="BH325" s="15">
        <f>+MIT_Vic_Cap[[#This Row],[Trenes Puntuales]]/MIT_Vic_Cap[[#This Row],[Trenes Corridos]]</f>
        <v>0.58575581395348841</v>
      </c>
      <c r="BI325" s="15">
        <f>+MIT_Vic_Cap[[#This Row],[Trenes Corridos]]/MIT_Vic_Cap[[#This Row],[Trenes Programados]]</f>
        <v>0.90526315789473688</v>
      </c>
      <c r="BJ325" s="16">
        <v>16</v>
      </c>
      <c r="BK325" s="16">
        <v>2</v>
      </c>
      <c r="BL325" s="16">
        <v>760</v>
      </c>
      <c r="BM325" s="16">
        <f t="shared" si="187"/>
        <v>72</v>
      </c>
      <c r="BN325" s="16">
        <v>688</v>
      </c>
      <c r="BO325" s="16">
        <v>403</v>
      </c>
      <c r="BP325" s="16">
        <f t="shared" si="192"/>
        <v>285</v>
      </c>
      <c r="BQ325" s="16"/>
      <c r="BR325" s="17"/>
      <c r="BS325" s="18">
        <v>2019</v>
      </c>
      <c r="BT325" s="18" t="s">
        <v>43</v>
      </c>
      <c r="BU325" s="15">
        <f>+Tabla8[[#This Row],[Trenes Puntuales]]/Tabla8[[#This Row],[Trenes Programados]]</f>
        <v>0.125</v>
      </c>
      <c r="BV325" s="15">
        <f>+Tabla8[[#This Row],[Trenes Puntuales]]/Tabla8[[#This Row],[Trenes Corridos]]</f>
        <v>0.15</v>
      </c>
      <c r="BW325" s="15">
        <f>+Tabla8[[#This Row],[Trenes Corridos]]/Tabla8[[#This Row],[Trenes Programados]]</f>
        <v>0.83333333333333337</v>
      </c>
      <c r="BX325" s="16">
        <v>16</v>
      </c>
      <c r="BY325" s="16">
        <v>2</v>
      </c>
      <c r="BZ325" s="16">
        <v>456</v>
      </c>
      <c r="CA325" s="16">
        <f t="shared" si="188"/>
        <v>76</v>
      </c>
      <c r="CB325" s="16">
        <v>380</v>
      </c>
      <c r="CC325" s="16">
        <v>57</v>
      </c>
      <c r="CD325" s="16">
        <f t="shared" si="193"/>
        <v>323</v>
      </c>
      <c r="CI325" s="40"/>
      <c r="CJ325" s="277"/>
      <c r="CK325" s="40"/>
      <c r="CL325" s="40"/>
      <c r="CM325" s="40"/>
    </row>
    <row r="326" spans="1:91" s="18" customFormat="1" ht="15" customHeight="1">
      <c r="A326" s="18">
        <v>2019</v>
      </c>
      <c r="B326" s="21" t="s">
        <v>44</v>
      </c>
      <c r="C326" s="15">
        <f>+MITRE[[#This Row],[Trenes Puntuales]]/MITRE[[#This Row],[Trenes Programados]]</f>
        <v>0.76962563058677758</v>
      </c>
      <c r="D326" s="15">
        <f>+MITRE[[#This Row],[Trenes Puntuales]]/MITRE[[#This Row],[Trenes Corridos]]</f>
        <v>0.82130714015867023</v>
      </c>
      <c r="E326" s="15">
        <f>+MITRE[[#This Row],[Trenes Corridos]]/MITRE[[#This Row],[Trenes Programados]]</f>
        <v>0.93707407735197801</v>
      </c>
      <c r="F326" s="16">
        <f>+Tabla4[[#This Row],[Trenes Programados por Día Hábil]]+Tabla5[[#This Row],[Trenes Programados por Día Hábil]]+Tabla6[[#This Row],[Trenes Programados por Día Hábil]]+MIT_Vic_Cap[[#This Row],[Trenes Programados por Día Hábil]]+Tabla8[[#This Row],[Trenes Programados por Día Hábil]]</f>
        <v>390</v>
      </c>
      <c r="G32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5.6018133736305256</v>
      </c>
      <c r="H326" s="16">
        <f t="shared" ref="H326:H335" si="194">+V326+AJ326+AX326+BL326+BZ326</f>
        <v>11299</v>
      </c>
      <c r="I326" s="16">
        <f t="shared" ref="I326:I335" si="195">H326-J326</f>
        <v>711</v>
      </c>
      <c r="J326" s="16">
        <f t="shared" ref="J326:J335" si="196">+X326+AL326+AZ326+BN326+CB326</f>
        <v>10588</v>
      </c>
      <c r="K326" s="16">
        <f t="shared" ref="K326:K335" si="197">+Y326+AM326+BA326+BO326+CC326</f>
        <v>8696</v>
      </c>
      <c r="L326" s="16">
        <f t="shared" ref="L326:L335" si="198">J326-K326</f>
        <v>1892</v>
      </c>
      <c r="M326" s="16"/>
      <c r="N326" s="17"/>
      <c r="O326" s="18">
        <v>2019</v>
      </c>
      <c r="P326" s="21" t="s">
        <v>44</v>
      </c>
      <c r="Q326" s="15">
        <f>+Tabla4[[#This Row],[Trenes Puntuales]]/Tabla4[[#This Row],[Trenes Programados]]</f>
        <v>0.92666666666666664</v>
      </c>
      <c r="R326" s="15">
        <f>+Tabla4[[#This Row],[Trenes Puntuales]]/Tabla4[[#This Row],[Trenes Corridos]]</f>
        <v>0.93967758710348415</v>
      </c>
      <c r="S326" s="15">
        <f>+Tabla4[[#This Row],[Trenes Corridos]]/Tabla4[[#This Row],[Trenes Programados]]</f>
        <v>0.98615384615384616</v>
      </c>
      <c r="T326" s="16">
        <v>136</v>
      </c>
      <c r="U326" s="16">
        <v>6</v>
      </c>
      <c r="V326" s="16">
        <v>3900</v>
      </c>
      <c r="W326" s="16">
        <f t="shared" si="184"/>
        <v>54</v>
      </c>
      <c r="X326" s="16">
        <v>3846</v>
      </c>
      <c r="Y326" s="16">
        <v>3614</v>
      </c>
      <c r="Z326" s="16">
        <f t="shared" si="189"/>
        <v>232</v>
      </c>
      <c r="AA326" s="16"/>
      <c r="AB326" s="17"/>
      <c r="AC326" s="18">
        <v>2019</v>
      </c>
      <c r="AD326" s="18" t="s">
        <v>44</v>
      </c>
      <c r="AE326" s="15">
        <f>+Tabla5[[#This Row],[Trenes Puntuales]]/Tabla5[[#This Row],[Trenes Programados]]</f>
        <v>0.68991712707182318</v>
      </c>
      <c r="AF326" s="15">
        <f>+Tabla5[[#This Row],[Trenes Puntuales]]/Tabla5[[#This Row],[Trenes Corridos]]</f>
        <v>0.76376146788990829</v>
      </c>
      <c r="AG326" s="15">
        <f>+Tabla5[[#This Row],[Trenes Corridos]]/Tabla5[[#This Row],[Trenes Programados]]</f>
        <v>0.90331491712707179</v>
      </c>
      <c r="AH326" s="16">
        <v>158</v>
      </c>
      <c r="AI326" s="16">
        <v>6</v>
      </c>
      <c r="AJ326" s="16">
        <v>4344</v>
      </c>
      <c r="AK326" s="16">
        <f t="shared" si="185"/>
        <v>420</v>
      </c>
      <c r="AL326" s="16">
        <v>3924</v>
      </c>
      <c r="AM326" s="16">
        <v>2997</v>
      </c>
      <c r="AN326" s="16">
        <f t="shared" si="190"/>
        <v>927</v>
      </c>
      <c r="AO326" s="16"/>
      <c r="AP326" s="17"/>
      <c r="AQ326" s="18">
        <v>2019</v>
      </c>
      <c r="AR326" s="21" t="s">
        <v>44</v>
      </c>
      <c r="AS326" s="15">
        <f>+Tabla6[[#This Row],[Trenes Puntuales]]/Tabla6[[#This Row],[Trenes Programados]]</f>
        <v>0.79810725552050477</v>
      </c>
      <c r="AT326" s="15">
        <f>+Tabla6[[#This Row],[Trenes Puntuales]]/Tabla6[[#This Row],[Trenes Corridos]]</f>
        <v>0.86054421768707479</v>
      </c>
      <c r="AU326" s="15">
        <f>+Tabla6[[#This Row],[Trenes Corridos]]/Tabla6[[#This Row],[Trenes Programados]]</f>
        <v>0.9274447949526814</v>
      </c>
      <c r="AV326" s="16">
        <v>64</v>
      </c>
      <c r="AW326" s="16">
        <v>6</v>
      </c>
      <c r="AX326" s="16">
        <v>1902</v>
      </c>
      <c r="AY326" s="16">
        <f t="shared" si="186"/>
        <v>138</v>
      </c>
      <c r="AZ326" s="16">
        <v>1764</v>
      </c>
      <c r="BA326" s="16">
        <v>1518</v>
      </c>
      <c r="BB326" s="16">
        <f t="shared" si="191"/>
        <v>246</v>
      </c>
      <c r="BC326" s="16"/>
      <c r="BD326" s="17"/>
      <c r="BE326" s="18">
        <v>2019</v>
      </c>
      <c r="BF326" s="21" t="s">
        <v>44</v>
      </c>
      <c r="BG326" s="15">
        <f>+MIT_Vic_Cap[[#This Row],[Trenes Puntuales]]/MIT_Vic_Cap[[#This Row],[Trenes Programados]]</f>
        <v>0.62623413258110017</v>
      </c>
      <c r="BH326" s="15">
        <f>+MIT_Vic_Cap[[#This Row],[Trenes Puntuales]]/MIT_Vic_Cap[[#This Row],[Trenes Corridos]]</f>
        <v>0.67272727272727273</v>
      </c>
      <c r="BI326" s="15">
        <f>+MIT_Vic_Cap[[#This Row],[Trenes Corridos]]/MIT_Vic_Cap[[#This Row],[Trenes Programados]]</f>
        <v>0.9308885754583921</v>
      </c>
      <c r="BJ326" s="16">
        <v>16</v>
      </c>
      <c r="BK326" s="16">
        <v>2</v>
      </c>
      <c r="BL326" s="16">
        <v>709</v>
      </c>
      <c r="BM326" s="16">
        <f t="shared" si="187"/>
        <v>49</v>
      </c>
      <c r="BN326" s="16">
        <v>660</v>
      </c>
      <c r="BO326" s="16">
        <v>444</v>
      </c>
      <c r="BP326" s="16">
        <f t="shared" si="192"/>
        <v>216</v>
      </c>
      <c r="BQ326" s="16"/>
      <c r="BR326" s="17"/>
      <c r="BS326" s="18">
        <v>2019</v>
      </c>
      <c r="BT326" s="18" t="s">
        <v>44</v>
      </c>
      <c r="BU326" s="15">
        <f>+Tabla8[[#This Row],[Trenes Puntuales]]/Tabla8[[#This Row],[Trenes Programados]]</f>
        <v>0.27702702702702703</v>
      </c>
      <c r="BV326" s="15">
        <f>+Tabla8[[#This Row],[Trenes Puntuales]]/Tabla8[[#This Row],[Trenes Corridos]]</f>
        <v>0.31218274111675126</v>
      </c>
      <c r="BW326" s="15">
        <f>+Tabla8[[#This Row],[Trenes Corridos]]/Tabla8[[#This Row],[Trenes Programados]]</f>
        <v>0.88738738738738743</v>
      </c>
      <c r="BX326" s="16">
        <v>16</v>
      </c>
      <c r="BY326" s="16">
        <v>2</v>
      </c>
      <c r="BZ326" s="16">
        <v>444</v>
      </c>
      <c r="CA326" s="16">
        <f t="shared" si="188"/>
        <v>50</v>
      </c>
      <c r="CB326" s="16">
        <v>394</v>
      </c>
      <c r="CC326" s="16">
        <v>123</v>
      </c>
      <c r="CD326" s="16">
        <f t="shared" si="193"/>
        <v>271</v>
      </c>
      <c r="CI326" s="40"/>
      <c r="CJ326" s="277"/>
      <c r="CK326" s="40"/>
      <c r="CL326" s="40"/>
      <c r="CM326" s="40"/>
    </row>
    <row r="327" spans="1:91" s="18" customFormat="1" ht="15" customHeight="1">
      <c r="A327" s="18">
        <v>2019</v>
      </c>
      <c r="B327" s="21" t="s">
        <v>45</v>
      </c>
      <c r="C327" s="15">
        <f>+MITRE[[#This Row],[Trenes Puntuales]]/MITRE[[#This Row],[Trenes Programados]]</f>
        <v>0.7048213369806805</v>
      </c>
      <c r="D327" s="15">
        <f>+MITRE[[#This Row],[Trenes Puntuales]]/MITRE[[#This Row],[Trenes Corridos]]</f>
        <v>0.75441485954799159</v>
      </c>
      <c r="E327" s="15">
        <f>+MITRE[[#This Row],[Trenes Corridos]]/MITRE[[#This Row],[Trenes Programados]]</f>
        <v>0.93426226705419735</v>
      </c>
      <c r="F327" s="16">
        <f>+Tabla4[[#This Row],[Trenes Programados por Día Hábil]]+Tabla5[[#This Row],[Trenes Programados por Día Hábil]]+Tabla6[[#This Row],[Trenes Programados por Día Hábil]]+MIT_Vic_Cap[[#This Row],[Trenes Programados por Día Hábil]]+Tabla8[[#This Row],[Trenes Programados por Día Hábil]]</f>
        <v>390</v>
      </c>
      <c r="G32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5.6054533809131666</v>
      </c>
      <c r="H327" s="16">
        <f t="shared" si="194"/>
        <v>11698</v>
      </c>
      <c r="I327" s="16">
        <f t="shared" si="195"/>
        <v>769</v>
      </c>
      <c r="J327" s="16">
        <f t="shared" si="196"/>
        <v>10929</v>
      </c>
      <c r="K327" s="16">
        <f t="shared" si="197"/>
        <v>8245</v>
      </c>
      <c r="L327" s="16">
        <f t="shared" si="198"/>
        <v>2684</v>
      </c>
      <c r="M327" s="16"/>
      <c r="N327" s="17"/>
      <c r="O327" s="18">
        <v>2019</v>
      </c>
      <c r="P327" s="21" t="s">
        <v>45</v>
      </c>
      <c r="Q327" s="15">
        <f>+Tabla4[[#This Row],[Trenes Puntuales]]/Tabla4[[#This Row],[Trenes Programados]]</f>
        <v>0.86397423191278488</v>
      </c>
      <c r="R327" s="15">
        <f>+Tabla4[[#This Row],[Trenes Puntuales]]/Tabla4[[#This Row],[Trenes Corridos]]</f>
        <v>0.9097312809809549</v>
      </c>
      <c r="S327" s="15">
        <f>+Tabla4[[#This Row],[Trenes Corridos]]/Tabla4[[#This Row],[Trenes Programados]]</f>
        <v>0.94970267591674928</v>
      </c>
      <c r="T327" s="16">
        <v>136</v>
      </c>
      <c r="U327" s="16">
        <v>6</v>
      </c>
      <c r="V327" s="16">
        <v>4036</v>
      </c>
      <c r="W327" s="16">
        <f t="shared" si="184"/>
        <v>203</v>
      </c>
      <c r="X327" s="16">
        <v>3833</v>
      </c>
      <c r="Y327" s="16">
        <v>3487</v>
      </c>
      <c r="Z327" s="16">
        <f t="shared" si="189"/>
        <v>346</v>
      </c>
      <c r="AA327" s="16"/>
      <c r="AB327" s="17"/>
      <c r="AC327" s="18">
        <v>2019</v>
      </c>
      <c r="AD327" s="18" t="s">
        <v>45</v>
      </c>
      <c r="AE327" s="15">
        <f>+Tabla5[[#This Row],[Trenes Puntuales]]/Tabla5[[#This Row],[Trenes Programados]]</f>
        <v>0.60684140382052421</v>
      </c>
      <c r="AF327" s="15">
        <f>+Tabla5[[#This Row],[Trenes Puntuales]]/Tabla5[[#This Row],[Trenes Corridos]]</f>
        <v>0.65202863961813839</v>
      </c>
      <c r="AG327" s="15">
        <f>+Tabla5[[#This Row],[Trenes Corridos]]/Tabla5[[#This Row],[Trenes Programados]]</f>
        <v>0.93069746779209239</v>
      </c>
      <c r="AH327" s="16">
        <v>158</v>
      </c>
      <c r="AI327" s="16">
        <v>6</v>
      </c>
      <c r="AJ327" s="16">
        <v>4502</v>
      </c>
      <c r="AK327" s="16">
        <f t="shared" si="185"/>
        <v>312</v>
      </c>
      <c r="AL327" s="16">
        <v>4190</v>
      </c>
      <c r="AM327" s="16">
        <v>2732</v>
      </c>
      <c r="AN327" s="16">
        <f t="shared" si="190"/>
        <v>1458</v>
      </c>
      <c r="AO327" s="16"/>
      <c r="AP327" s="17"/>
      <c r="AQ327" s="18">
        <v>2019</v>
      </c>
      <c r="AR327" s="18" t="s">
        <v>45</v>
      </c>
      <c r="AS327" s="15">
        <f>+Tabla6[[#This Row],[Trenes Puntuales]]/Tabla6[[#This Row],[Trenes Programados]]</f>
        <v>0.68667344862665314</v>
      </c>
      <c r="AT327" s="15">
        <f>+Tabla6[[#This Row],[Trenes Puntuales]]/Tabla6[[#This Row],[Trenes Corridos]]</f>
        <v>0.73851203501094087</v>
      </c>
      <c r="AU327" s="15">
        <f>+Tabla6[[#This Row],[Trenes Corridos]]/Tabla6[[#This Row],[Trenes Programados]]</f>
        <v>0.92980671414038663</v>
      </c>
      <c r="AV327" s="16">
        <v>64</v>
      </c>
      <c r="AW327" s="16">
        <v>6</v>
      </c>
      <c r="AX327" s="16">
        <v>1966</v>
      </c>
      <c r="AY327" s="16">
        <f t="shared" si="186"/>
        <v>138</v>
      </c>
      <c r="AZ327" s="16">
        <v>1828</v>
      </c>
      <c r="BA327" s="16">
        <v>1350</v>
      </c>
      <c r="BB327" s="16">
        <f t="shared" si="191"/>
        <v>478</v>
      </c>
      <c r="BC327" s="16"/>
      <c r="BD327" s="17"/>
      <c r="BE327" s="18">
        <v>2019</v>
      </c>
      <c r="BF327" s="21" t="s">
        <v>45</v>
      </c>
      <c r="BG327" s="15">
        <f>+MIT_Vic_Cap[[#This Row],[Trenes Puntuales]]/MIT_Vic_Cap[[#This Row],[Trenes Programados]]</f>
        <v>0.70027247956403271</v>
      </c>
      <c r="BH327" s="15">
        <f>+MIT_Vic_Cap[[#This Row],[Trenes Puntuales]]/MIT_Vic_Cap[[#This Row],[Trenes Corridos]]</f>
        <v>0.71488178025034765</v>
      </c>
      <c r="BI327" s="15">
        <f>+MIT_Vic_Cap[[#This Row],[Trenes Corridos]]/MIT_Vic_Cap[[#This Row],[Trenes Programados]]</f>
        <v>0.97956403269754766</v>
      </c>
      <c r="BJ327" s="16">
        <v>16</v>
      </c>
      <c r="BK327" s="16">
        <v>2</v>
      </c>
      <c r="BL327" s="16">
        <v>734</v>
      </c>
      <c r="BM327" s="16">
        <f t="shared" si="187"/>
        <v>15</v>
      </c>
      <c r="BN327" s="16">
        <v>719</v>
      </c>
      <c r="BO327" s="16">
        <v>514</v>
      </c>
      <c r="BP327" s="16">
        <f t="shared" si="192"/>
        <v>205</v>
      </c>
      <c r="BQ327" s="16"/>
      <c r="BR327" s="17"/>
      <c r="BS327" s="18">
        <v>2019</v>
      </c>
      <c r="BT327" s="18" t="s">
        <v>45</v>
      </c>
      <c r="BU327" s="15">
        <f>+Tabla8[[#This Row],[Trenes Puntuales]]/Tabla8[[#This Row],[Trenes Programados]]</f>
        <v>0.35217391304347828</v>
      </c>
      <c r="BV327" s="15">
        <f>+Tabla8[[#This Row],[Trenes Puntuales]]/Tabla8[[#This Row],[Trenes Corridos]]</f>
        <v>0.45125348189415043</v>
      </c>
      <c r="BW327" s="15">
        <f>+Tabla8[[#This Row],[Trenes Corridos]]/Tabla8[[#This Row],[Trenes Programados]]</f>
        <v>0.7804347826086957</v>
      </c>
      <c r="BX327" s="16">
        <v>16</v>
      </c>
      <c r="BY327" s="16">
        <v>2</v>
      </c>
      <c r="BZ327" s="16">
        <v>460</v>
      </c>
      <c r="CA327" s="16">
        <f t="shared" si="188"/>
        <v>101</v>
      </c>
      <c r="CB327" s="16">
        <v>359</v>
      </c>
      <c r="CC327" s="16">
        <v>162</v>
      </c>
      <c r="CD327" s="16">
        <f t="shared" si="193"/>
        <v>197</v>
      </c>
      <c r="CI327" s="40"/>
      <c r="CJ327" s="277"/>
      <c r="CK327" s="40"/>
      <c r="CL327" s="40"/>
      <c r="CM327" s="40"/>
    </row>
    <row r="328" spans="1:91" s="18" customFormat="1" ht="15" customHeight="1">
      <c r="A328" s="18">
        <v>2019</v>
      </c>
      <c r="B328" s="21" t="s">
        <v>46</v>
      </c>
      <c r="C328" s="15">
        <f>+MITRE[[#This Row],[Trenes Puntuales]]/MITRE[[#This Row],[Trenes Programados]]</f>
        <v>0.75661469933184855</v>
      </c>
      <c r="D328" s="15">
        <f>+MITRE[[#This Row],[Trenes Puntuales]]/MITRE[[#This Row],[Trenes Corridos]]</f>
        <v>0.82464316923973202</v>
      </c>
      <c r="E328" s="15">
        <f>+MITRE[[#This Row],[Trenes Corridos]]/MITRE[[#This Row],[Trenes Programados]]</f>
        <v>0.9175055679287305</v>
      </c>
      <c r="F328" s="16">
        <f>+Tabla4[[#This Row],[Trenes Programados por Día Hábil]]+Tabla5[[#This Row],[Trenes Programados por Día Hábil]]+Tabla6[[#This Row],[Trenes Programados por Día Hábil]]+MIT_Vic_Cap[[#This Row],[Trenes Programados por Día Hábil]]+Tabla8[[#This Row],[Trenes Programados por Día Hábil]]</f>
        <v>390</v>
      </c>
      <c r="G32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5.5754927662879892</v>
      </c>
      <c r="H328" s="16">
        <f t="shared" si="194"/>
        <v>11225</v>
      </c>
      <c r="I328" s="16">
        <f t="shared" si="195"/>
        <v>926</v>
      </c>
      <c r="J328" s="16">
        <f t="shared" si="196"/>
        <v>10299</v>
      </c>
      <c r="K328" s="16">
        <f t="shared" si="197"/>
        <v>8493</v>
      </c>
      <c r="L328" s="16">
        <f t="shared" si="198"/>
        <v>1806</v>
      </c>
      <c r="M328" s="16"/>
      <c r="N328" s="17"/>
      <c r="O328" s="18">
        <v>2019</v>
      </c>
      <c r="P328" s="21" t="s">
        <v>46</v>
      </c>
      <c r="Q328" s="15">
        <f>+Tabla4[[#This Row],[Trenes Puntuales]]/Tabla4[[#This Row],[Trenes Programados]]</f>
        <v>0.82551546391752573</v>
      </c>
      <c r="R328" s="15">
        <f>+Tabla4[[#This Row],[Trenes Puntuales]]/Tabla4[[#This Row],[Trenes Corridos]]</f>
        <v>0.91227570492737109</v>
      </c>
      <c r="S328" s="15">
        <f>+Tabla4[[#This Row],[Trenes Corridos]]/Tabla4[[#This Row],[Trenes Programados]]</f>
        <v>0.90489690721649485</v>
      </c>
      <c r="T328" s="16">
        <v>136</v>
      </c>
      <c r="U328" s="16">
        <v>6</v>
      </c>
      <c r="V328" s="16">
        <v>3880</v>
      </c>
      <c r="W328" s="16">
        <f t="shared" si="184"/>
        <v>369</v>
      </c>
      <c r="X328" s="16">
        <v>3511</v>
      </c>
      <c r="Y328" s="16">
        <v>3203</v>
      </c>
      <c r="Z328" s="16">
        <f t="shared" si="189"/>
        <v>308</v>
      </c>
      <c r="AA328" s="16"/>
      <c r="AB328" s="17"/>
      <c r="AC328" s="18">
        <v>2019</v>
      </c>
      <c r="AD328" s="18" t="s">
        <v>46</v>
      </c>
      <c r="AE328" s="15">
        <f>+Tabla5[[#This Row],[Trenes Puntuales]]/Tabla5[[#This Row],[Trenes Programados]]</f>
        <v>0.71581395348837207</v>
      </c>
      <c r="AF328" s="15">
        <f>+Tabla5[[#This Row],[Trenes Puntuales]]/Tabla5[[#This Row],[Trenes Corridos]]</f>
        <v>0.78801843317972353</v>
      </c>
      <c r="AG328" s="15">
        <f>+Tabla5[[#This Row],[Trenes Corridos]]/Tabla5[[#This Row],[Trenes Programados]]</f>
        <v>0.90837209302325583</v>
      </c>
      <c r="AH328" s="16">
        <v>158</v>
      </c>
      <c r="AI328" s="16">
        <v>6</v>
      </c>
      <c r="AJ328" s="16">
        <v>4300</v>
      </c>
      <c r="AK328" s="16">
        <f t="shared" si="185"/>
        <v>394</v>
      </c>
      <c r="AL328" s="16">
        <v>3906</v>
      </c>
      <c r="AM328" s="16">
        <v>3078</v>
      </c>
      <c r="AN328" s="16">
        <f t="shared" si="190"/>
        <v>828</v>
      </c>
      <c r="AO328" s="16"/>
      <c r="AP328" s="17"/>
      <c r="AQ328" s="18">
        <v>2019</v>
      </c>
      <c r="AR328" s="18" t="s">
        <v>46</v>
      </c>
      <c r="AS328" s="15">
        <f>+Tabla6[[#This Row],[Trenes Puntuales]]/Tabla6[[#This Row],[Trenes Programados]]</f>
        <v>0.76578947368421058</v>
      </c>
      <c r="AT328" s="15">
        <f>+Tabla6[[#This Row],[Trenes Puntuales]]/Tabla6[[#This Row],[Trenes Corridos]]</f>
        <v>0.81330352152040242</v>
      </c>
      <c r="AU328" s="15">
        <f>+Tabla6[[#This Row],[Trenes Corridos]]/Tabla6[[#This Row],[Trenes Programados]]</f>
        <v>0.94157894736842107</v>
      </c>
      <c r="AV328" s="16">
        <v>64</v>
      </c>
      <c r="AW328" s="16">
        <v>6</v>
      </c>
      <c r="AX328" s="16">
        <v>1900</v>
      </c>
      <c r="AY328" s="16">
        <f t="shared" si="186"/>
        <v>111</v>
      </c>
      <c r="AZ328" s="16">
        <v>1789</v>
      </c>
      <c r="BA328" s="16">
        <v>1455</v>
      </c>
      <c r="BB328" s="16">
        <f t="shared" si="191"/>
        <v>334</v>
      </c>
      <c r="BC328" s="16"/>
      <c r="BD328" s="17"/>
      <c r="BE328" s="18">
        <v>2019</v>
      </c>
      <c r="BF328" s="21" t="s">
        <v>46</v>
      </c>
      <c r="BG328" s="15">
        <f>+MIT_Vic_Cap[[#This Row],[Trenes Puntuales]]/MIT_Vic_Cap[[#This Row],[Trenes Programados]]</f>
        <v>0.75035460992907799</v>
      </c>
      <c r="BH328" s="15">
        <f>+MIT_Vic_Cap[[#This Row],[Trenes Puntuales]]/MIT_Vic_Cap[[#This Row],[Trenes Corridos]]</f>
        <v>0.76555716353111436</v>
      </c>
      <c r="BI328" s="15">
        <f>+MIT_Vic_Cap[[#This Row],[Trenes Corridos]]/MIT_Vic_Cap[[#This Row],[Trenes Programados]]</f>
        <v>0.98014184397163118</v>
      </c>
      <c r="BJ328" s="16">
        <v>16</v>
      </c>
      <c r="BK328" s="16">
        <v>2</v>
      </c>
      <c r="BL328" s="16">
        <v>705</v>
      </c>
      <c r="BM328" s="16">
        <f t="shared" si="187"/>
        <v>14</v>
      </c>
      <c r="BN328" s="16">
        <v>691</v>
      </c>
      <c r="BO328" s="16">
        <v>529</v>
      </c>
      <c r="BP328" s="16">
        <f t="shared" si="192"/>
        <v>162</v>
      </c>
      <c r="BQ328" s="16"/>
      <c r="BR328" s="17"/>
      <c r="BS328" s="18">
        <v>2019</v>
      </c>
      <c r="BT328" s="18" t="s">
        <v>46</v>
      </c>
      <c r="BU328" s="15">
        <f>+Tabla8[[#This Row],[Trenes Puntuales]]/Tabla8[[#This Row],[Trenes Programados]]</f>
        <v>0.51818181818181819</v>
      </c>
      <c r="BV328" s="15">
        <f>+Tabla8[[#This Row],[Trenes Puntuales]]/Tabla8[[#This Row],[Trenes Corridos]]</f>
        <v>0.56716417910447758</v>
      </c>
      <c r="BW328" s="15">
        <f>+Tabla8[[#This Row],[Trenes Corridos]]/Tabla8[[#This Row],[Trenes Programados]]</f>
        <v>0.91363636363636369</v>
      </c>
      <c r="BX328" s="16">
        <v>16</v>
      </c>
      <c r="BY328" s="16">
        <v>2</v>
      </c>
      <c r="BZ328" s="16">
        <v>440</v>
      </c>
      <c r="CA328" s="16">
        <f t="shared" si="188"/>
        <v>38</v>
      </c>
      <c r="CB328" s="16">
        <v>402</v>
      </c>
      <c r="CC328" s="16">
        <v>228</v>
      </c>
      <c r="CD328" s="16">
        <f t="shared" si="193"/>
        <v>174</v>
      </c>
      <c r="CE328" s="278"/>
      <c r="CI328" s="40"/>
      <c r="CJ328" s="277"/>
      <c r="CK328" s="40"/>
      <c r="CL328" s="40"/>
      <c r="CM328" s="40"/>
    </row>
    <row r="329" spans="1:91" s="18" customFormat="1" ht="15" customHeight="1">
      <c r="A329" s="18">
        <v>2019</v>
      </c>
      <c r="B329" s="21" t="s">
        <v>47</v>
      </c>
      <c r="C329" s="15">
        <f>+MITRE[[#This Row],[Trenes Puntuales]]/MITRE[[#This Row],[Trenes Programados]]</f>
        <v>0.78603104212860309</v>
      </c>
      <c r="D329" s="15">
        <f>+MITRE[[#This Row],[Trenes Puntuales]]/MITRE[[#This Row],[Trenes Corridos]]</f>
        <v>0.82574807382189575</v>
      </c>
      <c r="E329" s="15">
        <f>+MITRE[[#This Row],[Trenes Corridos]]/MITRE[[#This Row],[Trenes Programados]]</f>
        <v>0.9519017567798056</v>
      </c>
      <c r="F329" s="16">
        <f>+Tabla4[[#This Row],[Trenes Programados por Día Hábil]]+Tabla5[[#This Row],[Trenes Programados por Día Hábil]]+Tabla6[[#This Row],[Trenes Programados por Día Hábil]]+MIT_Vic_Cap[[#This Row],[Trenes Programados por Día Hábil]]+Tabla8[[#This Row],[Trenes Programados por Día Hábil]]</f>
        <v>433</v>
      </c>
      <c r="G32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5.6043719763483244</v>
      </c>
      <c r="H329" s="16">
        <f t="shared" si="194"/>
        <v>11726</v>
      </c>
      <c r="I329" s="16">
        <f t="shared" si="195"/>
        <v>564</v>
      </c>
      <c r="J329" s="16">
        <f t="shared" si="196"/>
        <v>11162</v>
      </c>
      <c r="K329" s="16">
        <f t="shared" si="197"/>
        <v>9217</v>
      </c>
      <c r="L329" s="16">
        <f t="shared" si="198"/>
        <v>1945</v>
      </c>
      <c r="M329" s="16"/>
      <c r="N329" s="17"/>
      <c r="O329" s="18">
        <v>2019</v>
      </c>
      <c r="P329" s="21" t="s">
        <v>47</v>
      </c>
      <c r="Q329" s="15">
        <f>+Tabla4[[#This Row],[Trenes Puntuales]]/Tabla4[[#This Row],[Trenes Programados]]</f>
        <v>0.8449261553120534</v>
      </c>
      <c r="R329" s="15">
        <f>+Tabla4[[#This Row],[Trenes Puntuales]]/Tabla4[[#This Row],[Trenes Corridos]]</f>
        <v>0.87000245278390975</v>
      </c>
      <c r="S329" s="15">
        <f>+Tabla4[[#This Row],[Trenes Corridos]]/Tabla4[[#This Row],[Trenes Programados]]</f>
        <v>0.97117675083373034</v>
      </c>
      <c r="T329" s="16">
        <v>166</v>
      </c>
      <c r="U329" s="16">
        <v>6</v>
      </c>
      <c r="V329" s="16">
        <v>4198</v>
      </c>
      <c r="W329" s="16">
        <f t="shared" si="184"/>
        <v>121</v>
      </c>
      <c r="X329" s="16">
        <v>4077</v>
      </c>
      <c r="Y329" s="16">
        <v>3547</v>
      </c>
      <c r="Z329" s="16">
        <f t="shared" si="189"/>
        <v>530</v>
      </c>
      <c r="AA329" s="16"/>
      <c r="AB329" s="17"/>
      <c r="AC329" s="18">
        <v>2019</v>
      </c>
      <c r="AD329" s="18" t="s">
        <v>47</v>
      </c>
      <c r="AE329" s="15">
        <f>+Tabla5[[#This Row],[Trenes Puntuales]]/Tabla5[[#This Row],[Trenes Programados]]</f>
        <v>0.77848970251716243</v>
      </c>
      <c r="AF329" s="15">
        <f>+Tabla5[[#This Row],[Trenes Puntuales]]/Tabla5[[#This Row],[Trenes Corridos]]</f>
        <v>0.8332108743570904</v>
      </c>
      <c r="AG329" s="15">
        <f>+Tabla5[[#This Row],[Trenes Corridos]]/Tabla5[[#This Row],[Trenes Programados]]</f>
        <v>0.93432494279176204</v>
      </c>
      <c r="AH329" s="16">
        <v>158</v>
      </c>
      <c r="AI329" s="16">
        <v>6</v>
      </c>
      <c r="AJ329" s="16">
        <v>4370</v>
      </c>
      <c r="AK329" s="16">
        <f t="shared" si="185"/>
        <v>287</v>
      </c>
      <c r="AL329" s="16">
        <v>4083</v>
      </c>
      <c r="AM329" s="16">
        <v>3402</v>
      </c>
      <c r="AN329" s="16">
        <f t="shared" si="190"/>
        <v>681</v>
      </c>
      <c r="AO329" s="16"/>
      <c r="AP329" s="17"/>
      <c r="AQ329" s="18">
        <v>2019</v>
      </c>
      <c r="AR329" s="18" t="s">
        <v>47</v>
      </c>
      <c r="AS329" s="15">
        <f>+Tabla6[[#This Row],[Trenes Puntuales]]/Tabla6[[#This Row],[Trenes Programados]]</f>
        <v>0.81377551020408168</v>
      </c>
      <c r="AT329" s="15">
        <f>+Tabla6[[#This Row],[Trenes Puntuales]]/Tabla6[[#This Row],[Trenes Corridos]]</f>
        <v>0.84035827186512113</v>
      </c>
      <c r="AU329" s="15">
        <f>+Tabla6[[#This Row],[Trenes Corridos]]/Tabla6[[#This Row],[Trenes Programados]]</f>
        <v>0.96836734693877546</v>
      </c>
      <c r="AV329" s="16">
        <v>64</v>
      </c>
      <c r="AW329" s="16">
        <v>6</v>
      </c>
      <c r="AX329" s="16">
        <v>1960</v>
      </c>
      <c r="AY329" s="16">
        <f t="shared" si="186"/>
        <v>62</v>
      </c>
      <c r="AZ329" s="16">
        <v>1898</v>
      </c>
      <c r="BA329" s="16">
        <v>1595</v>
      </c>
      <c r="BB329" s="16">
        <f t="shared" si="191"/>
        <v>303</v>
      </c>
      <c r="BC329" s="16"/>
      <c r="BD329" s="17"/>
      <c r="BE329" s="18">
        <v>2019</v>
      </c>
      <c r="BF329" s="21" t="s">
        <v>47</v>
      </c>
      <c r="BG329" s="15">
        <f>+MIT_Vic_Cap[[#This Row],[Trenes Puntuales]]/MIT_Vic_Cap[[#This Row],[Trenes Programados]]</f>
        <v>0.59859154929577463</v>
      </c>
      <c r="BH329" s="15">
        <f>+MIT_Vic_Cap[[#This Row],[Trenes Puntuales]]/MIT_Vic_Cap[[#This Row],[Trenes Corridos]]</f>
        <v>0.64589665653495443</v>
      </c>
      <c r="BI329" s="15">
        <f>+MIT_Vic_Cap[[#This Row],[Trenes Corridos]]/MIT_Vic_Cap[[#This Row],[Trenes Programados]]</f>
        <v>0.92676056338028168</v>
      </c>
      <c r="BJ329" s="16">
        <v>25</v>
      </c>
      <c r="BK329" s="16">
        <v>2</v>
      </c>
      <c r="BL329" s="16">
        <v>710</v>
      </c>
      <c r="BM329" s="16">
        <f t="shared" si="187"/>
        <v>52</v>
      </c>
      <c r="BN329" s="16">
        <v>658</v>
      </c>
      <c r="BO329" s="16">
        <v>425</v>
      </c>
      <c r="BP329" s="16">
        <f t="shared" si="192"/>
        <v>233</v>
      </c>
      <c r="BQ329" s="16"/>
      <c r="BR329" s="17"/>
      <c r="BS329" s="18">
        <v>2019</v>
      </c>
      <c r="BT329" s="18" t="s">
        <v>47</v>
      </c>
      <c r="BU329" s="15">
        <f>+Tabla8[[#This Row],[Trenes Puntuales]]/Tabla8[[#This Row],[Trenes Programados]]</f>
        <v>0.50819672131147542</v>
      </c>
      <c r="BV329" s="15">
        <f>+Tabla8[[#This Row],[Trenes Puntuales]]/Tabla8[[#This Row],[Trenes Corridos]]</f>
        <v>0.55605381165919288</v>
      </c>
      <c r="BW329" s="15">
        <f>+Tabla8[[#This Row],[Trenes Corridos]]/Tabla8[[#This Row],[Trenes Programados]]</f>
        <v>0.91393442622950816</v>
      </c>
      <c r="BX329" s="16">
        <v>20</v>
      </c>
      <c r="BY329" s="16">
        <v>2</v>
      </c>
      <c r="BZ329" s="16">
        <v>488</v>
      </c>
      <c r="CA329" s="16">
        <f t="shared" si="188"/>
        <v>42</v>
      </c>
      <c r="CB329" s="16">
        <v>446</v>
      </c>
      <c r="CC329" s="16">
        <v>248</v>
      </c>
      <c r="CD329" s="16">
        <f t="shared" si="193"/>
        <v>198</v>
      </c>
      <c r="CE329" s="278" t="s">
        <v>220</v>
      </c>
      <c r="CI329" s="40"/>
      <c r="CJ329" s="277"/>
      <c r="CK329" s="40"/>
      <c r="CL329" s="40"/>
      <c r="CM329" s="40"/>
    </row>
    <row r="330" spans="1:91" s="18" customFormat="1" ht="15" customHeight="1">
      <c r="A330" s="18">
        <v>2020</v>
      </c>
      <c r="B330" s="21" t="s">
        <v>36</v>
      </c>
      <c r="C330" s="15">
        <f>+MITRE[[#This Row],[Trenes Puntuales]]/MITRE[[#This Row],[Trenes Programados]]</f>
        <v>0.7729939739930225</v>
      </c>
      <c r="D330" s="15">
        <f>+MITRE[[#This Row],[Trenes Puntuales]]/MITRE[[#This Row],[Trenes Corridos]]</f>
        <v>0.80550276790878295</v>
      </c>
      <c r="E330" s="15">
        <f>+MITRE[[#This Row],[Trenes Corridos]]/MITRE[[#This Row],[Trenes Programados]]</f>
        <v>0.95964161116397084</v>
      </c>
      <c r="F330" s="16">
        <f>+Tabla4[[#This Row],[Trenes Programados por Día Hábil]]+Tabla5[[#This Row],[Trenes Programados por Día Hábil]]+Tabla6[[#This Row],[Trenes Programados por Día Hábil]]+MIT_Vic_Cap[[#This Row],[Trenes Programados por Día Hábil]]+Tabla8[[#This Row],[Trenes Programados por Día Hábil]]</f>
        <v>433</v>
      </c>
      <c r="G33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5.5997686524002317</v>
      </c>
      <c r="H330" s="16">
        <f t="shared" si="194"/>
        <v>12612</v>
      </c>
      <c r="I330" s="16">
        <f t="shared" si="195"/>
        <v>509</v>
      </c>
      <c r="J330" s="16">
        <f t="shared" si="196"/>
        <v>12103</v>
      </c>
      <c r="K330" s="16">
        <f t="shared" si="197"/>
        <v>9749</v>
      </c>
      <c r="L330" s="16">
        <f t="shared" si="198"/>
        <v>2354</v>
      </c>
      <c r="M330" s="16"/>
      <c r="O330" s="18">
        <v>2020</v>
      </c>
      <c r="P330" s="21" t="s">
        <v>36</v>
      </c>
      <c r="Q330" s="44">
        <f>+Tabla4[[#This Row],[Trenes Puntuales]]/Tabla4[[#This Row],[Trenes Programados]]</f>
        <v>0.79995871180842282</v>
      </c>
      <c r="R330" s="44">
        <f>+Tabla4[[#This Row],[Trenes Puntuales]]/Tabla4[[#This Row],[Trenes Corridos]]</f>
        <v>0.82481907194550874</v>
      </c>
      <c r="S330" s="44">
        <f>+Tabla4[[#This Row],[Trenes Corridos]]/Tabla4[[#This Row],[Trenes Programados]]</f>
        <v>0.96985962014863747</v>
      </c>
      <c r="T330" s="16">
        <v>166</v>
      </c>
      <c r="U330" s="16">
        <v>6</v>
      </c>
      <c r="V330" s="16">
        <v>4844</v>
      </c>
      <c r="W330" s="16">
        <f>+V330-X330</f>
        <v>146</v>
      </c>
      <c r="X330" s="16">
        <v>4698</v>
      </c>
      <c r="Y330" s="16">
        <v>3875</v>
      </c>
      <c r="Z330" s="16">
        <f>+X330-Y330</f>
        <v>823</v>
      </c>
      <c r="AA330" s="16"/>
      <c r="AC330" s="18">
        <v>2020</v>
      </c>
      <c r="AD330" s="18" t="s">
        <v>36</v>
      </c>
      <c r="AE330" s="44">
        <f>+Tabla5[[#This Row],[Trenes Puntuales]]/Tabla5[[#This Row],[Trenes Programados]]</f>
        <v>0.76965792980897374</v>
      </c>
      <c r="AF330" s="44">
        <f>+Tabla5[[#This Row],[Trenes Puntuales]]/Tabla5[[#This Row],[Trenes Corridos]]</f>
        <v>0.81299859221022996</v>
      </c>
      <c r="AG330" s="44">
        <f>+Tabla5[[#This Row],[Trenes Corridos]]/Tabla5[[#This Row],[Trenes Programados]]</f>
        <v>0.94669035984007111</v>
      </c>
      <c r="AH330" s="16">
        <v>158</v>
      </c>
      <c r="AI330" s="16">
        <v>6</v>
      </c>
      <c r="AJ330" s="16">
        <v>4502</v>
      </c>
      <c r="AK330" s="16">
        <f>+AJ330-AL330</f>
        <v>240</v>
      </c>
      <c r="AL330" s="16">
        <v>4262</v>
      </c>
      <c r="AM330" s="16">
        <v>3465</v>
      </c>
      <c r="AN330" s="16">
        <f>+AL330-AM330</f>
        <v>797</v>
      </c>
      <c r="AO330" s="16"/>
      <c r="AQ330" s="18">
        <v>2020</v>
      </c>
      <c r="AR330" s="18" t="s">
        <v>36</v>
      </c>
      <c r="AS330" s="44">
        <f>+Tabla6[[#This Row],[Trenes Puntuales]]/Tabla6[[#This Row],[Trenes Programados]]</f>
        <v>0.79247202441505593</v>
      </c>
      <c r="AT330" s="44">
        <f>+Tabla6[[#This Row],[Trenes Puntuales]]/Tabla6[[#This Row],[Trenes Corridos]]</f>
        <v>0.80641821946169767</v>
      </c>
      <c r="AU330" s="44">
        <f>+Tabla6[[#This Row],[Trenes Corridos]]/Tabla6[[#This Row],[Trenes Programados]]</f>
        <v>0.98270600203458802</v>
      </c>
      <c r="AV330" s="16">
        <v>64</v>
      </c>
      <c r="AW330" s="16">
        <v>6</v>
      </c>
      <c r="AX330" s="16">
        <v>1966</v>
      </c>
      <c r="AY330" s="16">
        <f>+AX330-AZ330</f>
        <v>34</v>
      </c>
      <c r="AZ330" s="16">
        <v>1932</v>
      </c>
      <c r="BA330" s="16">
        <v>1558</v>
      </c>
      <c r="BB330" s="16">
        <f>+AZ330-BA330</f>
        <v>374</v>
      </c>
      <c r="BC330" s="16"/>
      <c r="BE330" s="18">
        <v>2020</v>
      </c>
      <c r="BF330" s="21" t="s">
        <v>36</v>
      </c>
      <c r="BG330" s="15">
        <f>+MIT_Vic_Cap[[#This Row],[Trenes Puntuales]]/MIT_Vic_Cap[[#This Row],[Trenes Programados]]</f>
        <v>0.72067039106145248</v>
      </c>
      <c r="BH330" s="15">
        <f>+MIT_Vic_Cap[[#This Row],[Trenes Puntuales]]/MIT_Vic_Cap[[#This Row],[Trenes Corridos]]</f>
        <v>0.77014925373134324</v>
      </c>
      <c r="BI330" s="15">
        <f>+MIT_Vic_Cap[[#This Row],[Trenes Corridos]]/MIT_Vic_Cap[[#This Row],[Trenes Programados]]</f>
        <v>0.93575418994413406</v>
      </c>
      <c r="BJ330" s="16">
        <v>25</v>
      </c>
      <c r="BK330" s="16">
        <v>2</v>
      </c>
      <c r="BL330" s="16">
        <v>716</v>
      </c>
      <c r="BM330" s="16">
        <f t="shared" si="187"/>
        <v>46</v>
      </c>
      <c r="BN330" s="16">
        <v>670</v>
      </c>
      <c r="BO330" s="16">
        <v>516</v>
      </c>
      <c r="BP330" s="16">
        <f t="shared" si="192"/>
        <v>154</v>
      </c>
      <c r="BQ330" s="20"/>
      <c r="BR330" s="20"/>
      <c r="BS330" s="18">
        <v>2020</v>
      </c>
      <c r="BT330" s="18" t="s">
        <v>36</v>
      </c>
      <c r="BU330" s="44">
        <f>+Tabla8[[#This Row],[Trenes Puntuales]]/Tabla8[[#This Row],[Trenes Programados]]</f>
        <v>0.57363013698630139</v>
      </c>
      <c r="BV330" s="44">
        <f>+Tabla8[[#This Row],[Trenes Puntuales]]/Tabla8[[#This Row],[Trenes Corridos]]</f>
        <v>0.61922365988909422</v>
      </c>
      <c r="BW330" s="44">
        <f>+Tabla8[[#This Row],[Trenes Corridos]]/Tabla8[[#This Row],[Trenes Programados]]</f>
        <v>0.92636986301369861</v>
      </c>
      <c r="BX330" s="16">
        <v>20</v>
      </c>
      <c r="BY330" s="16">
        <v>2</v>
      </c>
      <c r="BZ330" s="16">
        <v>584</v>
      </c>
      <c r="CA330" s="16">
        <f>+BZ330-CB330</f>
        <v>43</v>
      </c>
      <c r="CB330" s="16">
        <v>541</v>
      </c>
      <c r="CC330" s="16">
        <v>335</v>
      </c>
      <c r="CD330" s="16">
        <f>+CB330-CC330</f>
        <v>206</v>
      </c>
      <c r="CE330" s="278"/>
      <c r="CI330" s="40"/>
      <c r="CJ330" s="277"/>
      <c r="CK330" s="40"/>
      <c r="CL330" s="40"/>
      <c r="CM330" s="40"/>
    </row>
    <row r="331" spans="1:91" s="18" customFormat="1" ht="15" customHeight="1">
      <c r="A331" s="18">
        <v>2020</v>
      </c>
      <c r="B331" s="21" t="s">
        <v>37</v>
      </c>
      <c r="C331" s="15">
        <f>+MITRE[[#This Row],[Trenes Puntuales]]/MITRE[[#This Row],[Trenes Programados]]</f>
        <v>0.79446845289541923</v>
      </c>
      <c r="D331" s="15">
        <f>+MITRE[[#This Row],[Trenes Puntuales]]/MITRE[[#This Row],[Trenes Corridos]]</f>
        <v>0.82454251883745966</v>
      </c>
      <c r="E331" s="15">
        <f>+MITRE[[#This Row],[Trenes Corridos]]/MITRE[[#This Row],[Trenes Programados]]</f>
        <v>0.96352636127917024</v>
      </c>
      <c r="F331" s="16">
        <f>+Tabla4[[#This Row],[Trenes Programados por Día Hábil]]+Tabla5[[#This Row],[Trenes Programados por Día Hábil]]+Tabla6[[#This Row],[Trenes Programados por Día Hábil]]+MIT_Vic_Cap[[#This Row],[Trenes Programados por Día Hábil]]+Tabla8[[#This Row],[Trenes Programados por Día Hábil]]</f>
        <v>433</v>
      </c>
      <c r="G33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5.5905992106207387</v>
      </c>
      <c r="H331" s="16">
        <f t="shared" si="194"/>
        <v>11570</v>
      </c>
      <c r="I331" s="16">
        <f t="shared" si="195"/>
        <v>422</v>
      </c>
      <c r="J331" s="16">
        <f t="shared" si="196"/>
        <v>11148</v>
      </c>
      <c r="K331" s="16">
        <f t="shared" si="197"/>
        <v>9192</v>
      </c>
      <c r="L331" s="16">
        <f t="shared" si="198"/>
        <v>1956</v>
      </c>
      <c r="M331" s="16"/>
      <c r="O331" s="18">
        <v>2020</v>
      </c>
      <c r="P331" s="21" t="s">
        <v>37</v>
      </c>
      <c r="Q331" s="44">
        <f>+Tabla4[[#This Row],[Trenes Puntuales]]/Tabla4[[#This Row],[Trenes Programados]]</f>
        <v>0.78969860548807913</v>
      </c>
      <c r="R331" s="44">
        <f>+Tabla4[[#This Row],[Trenes Puntuales]]/Tabla4[[#This Row],[Trenes Corridos]]</f>
        <v>0.8367492850333651</v>
      </c>
      <c r="S331" s="44">
        <f>+Tabla4[[#This Row],[Trenes Corridos]]/Tabla4[[#This Row],[Trenes Programados]]</f>
        <v>0.9437696806117859</v>
      </c>
      <c r="T331" s="16">
        <v>166</v>
      </c>
      <c r="U331" s="16">
        <v>6</v>
      </c>
      <c r="V331" s="16">
        <v>4446</v>
      </c>
      <c r="W331" s="16">
        <f>+V331-X331</f>
        <v>250</v>
      </c>
      <c r="X331" s="16">
        <v>4196</v>
      </c>
      <c r="Y331" s="16">
        <v>3511</v>
      </c>
      <c r="Z331" s="16">
        <f>+X331-Y331</f>
        <v>685</v>
      </c>
      <c r="AA331" s="16"/>
      <c r="AC331" s="18">
        <v>2020</v>
      </c>
      <c r="AD331" s="18" t="s">
        <v>37</v>
      </c>
      <c r="AE331" s="44">
        <f>+Tabla5[[#This Row],[Trenes Puntuales]]/Tabla5[[#This Row],[Trenes Programados]]</f>
        <v>0.81600780868716449</v>
      </c>
      <c r="AF331" s="44">
        <f>+Tabla5[[#This Row],[Trenes Puntuales]]/Tabla5[[#This Row],[Trenes Corridos]]</f>
        <v>0.83453955577738959</v>
      </c>
      <c r="AG331" s="44">
        <f>+Tabla5[[#This Row],[Trenes Corridos]]/Tabla5[[#This Row],[Trenes Programados]]</f>
        <v>0.97779404587603713</v>
      </c>
      <c r="AH331" s="16">
        <v>158</v>
      </c>
      <c r="AI331" s="16">
        <v>6</v>
      </c>
      <c r="AJ331" s="16">
        <v>4098</v>
      </c>
      <c r="AK331" s="16">
        <f>+AJ331-AL331</f>
        <v>91</v>
      </c>
      <c r="AL331" s="16">
        <v>4007</v>
      </c>
      <c r="AM331" s="16">
        <v>3344</v>
      </c>
      <c r="AN331" s="16">
        <f>+AL331-AM331</f>
        <v>663</v>
      </c>
      <c r="AO331" s="16"/>
      <c r="AQ331" s="18">
        <v>2020</v>
      </c>
      <c r="AR331" s="18" t="s">
        <v>37</v>
      </c>
      <c r="AS331" s="44">
        <f>+Tabla6[[#This Row],[Trenes Puntuales]]/Tabla6[[#This Row],[Trenes Programados]]</f>
        <v>0.84078516902944389</v>
      </c>
      <c r="AT331" s="44">
        <f>+Tabla6[[#This Row],[Trenes Puntuales]]/Tabla6[[#This Row],[Trenes Corridos]]</f>
        <v>0.85476718403547669</v>
      </c>
      <c r="AU331" s="44">
        <f>+Tabla6[[#This Row],[Trenes Corridos]]/Tabla6[[#This Row],[Trenes Programados]]</f>
        <v>0.98364231188658668</v>
      </c>
      <c r="AV331" s="16">
        <v>64</v>
      </c>
      <c r="AW331" s="16">
        <v>6</v>
      </c>
      <c r="AX331" s="16">
        <v>1834</v>
      </c>
      <c r="AY331" s="16">
        <f>+AX331-AZ331</f>
        <v>30</v>
      </c>
      <c r="AZ331" s="16">
        <v>1804</v>
      </c>
      <c r="BA331" s="16">
        <v>1542</v>
      </c>
      <c r="BB331" s="16">
        <f>+AZ331-BA331</f>
        <v>262</v>
      </c>
      <c r="BC331" s="16"/>
      <c r="BE331" s="18">
        <v>2020</v>
      </c>
      <c r="BF331" s="18" t="s">
        <v>37</v>
      </c>
      <c r="BG331" s="44">
        <f>+MIT_Vic_Cap[[#This Row],[Trenes Puntuales]]/MIT_Vic_Cap[[#This Row],[Trenes Programados]]</f>
        <v>0.74085365853658536</v>
      </c>
      <c r="BH331" s="44">
        <f>+MIT_Vic_Cap[[#This Row],[Trenes Puntuales]]/MIT_Vic_Cap[[#This Row],[Trenes Corridos]]</f>
        <v>0.78387096774193543</v>
      </c>
      <c r="BI331" s="44">
        <f>+MIT_Vic_Cap[[#This Row],[Trenes Corridos]]/MIT_Vic_Cap[[#This Row],[Trenes Programados]]</f>
        <v>0.94512195121951215</v>
      </c>
      <c r="BJ331" s="16">
        <v>25</v>
      </c>
      <c r="BK331" s="16">
        <v>2</v>
      </c>
      <c r="BL331" s="16">
        <v>656</v>
      </c>
      <c r="BM331" s="16">
        <f t="shared" si="187"/>
        <v>36</v>
      </c>
      <c r="BN331" s="16">
        <v>620</v>
      </c>
      <c r="BO331" s="16">
        <v>486</v>
      </c>
      <c r="BP331" s="16">
        <f t="shared" si="192"/>
        <v>134</v>
      </c>
      <c r="BQ331" s="16"/>
      <c r="BS331" s="18">
        <v>2020</v>
      </c>
      <c r="BT331" s="18" t="s">
        <v>37</v>
      </c>
      <c r="BU331" s="44">
        <f>+Tabla8[[#This Row],[Trenes Puntuales]]/Tabla8[[#This Row],[Trenes Programados]]</f>
        <v>0.57649253731343286</v>
      </c>
      <c r="BV331" s="44">
        <f>+Tabla8[[#This Row],[Trenes Puntuales]]/Tabla8[[#This Row],[Trenes Corridos]]</f>
        <v>0.59309021113243765</v>
      </c>
      <c r="BW331" s="44">
        <f>+Tabla8[[#This Row],[Trenes Corridos]]/Tabla8[[#This Row],[Trenes Programados]]</f>
        <v>0.97201492537313428</v>
      </c>
      <c r="BX331" s="16">
        <v>20</v>
      </c>
      <c r="BY331" s="16">
        <v>2</v>
      </c>
      <c r="BZ331" s="16">
        <v>536</v>
      </c>
      <c r="CA331" s="16">
        <f>+BZ331-CB331</f>
        <v>15</v>
      </c>
      <c r="CB331" s="16">
        <v>521</v>
      </c>
      <c r="CC331" s="16">
        <v>309</v>
      </c>
      <c r="CD331" s="16">
        <f>+CB331-CC331</f>
        <v>212</v>
      </c>
      <c r="CE331" s="278"/>
      <c r="CI331" s="40"/>
      <c r="CJ331" s="277"/>
      <c r="CK331" s="40"/>
      <c r="CL331" s="40"/>
      <c r="CM331" s="40"/>
    </row>
    <row r="332" spans="1:91" s="18" customFormat="1" ht="15" customHeight="1">
      <c r="A332" s="18">
        <v>2020</v>
      </c>
      <c r="B332" s="21" t="s">
        <v>38</v>
      </c>
      <c r="C332" s="15">
        <f>+MITRE[[#This Row],[Trenes Puntuales]]/MITRE[[#This Row],[Trenes Programados]]</f>
        <v>0.64361847499316749</v>
      </c>
      <c r="D332" s="15">
        <f>+MITRE[[#This Row],[Trenes Puntuales]]/MITRE[[#This Row],[Trenes Corridos]]</f>
        <v>0.80816746739876455</v>
      </c>
      <c r="E332" s="15">
        <f>+MITRE[[#This Row],[Trenes Corridos]]/MITRE[[#This Row],[Trenes Programados]]</f>
        <v>0.79639245695545235</v>
      </c>
      <c r="F332" s="16">
        <f>+Tabla4[[#This Row],[Trenes Programados por Día Hábil]]+Tabla5[[#This Row],[Trenes Programados por Día Hábil]]+Tabla6[[#This Row],[Trenes Programados por Día Hábil]]+MIT_Vic_Cap[[#This Row],[Trenes Programados por Día Hábil]]+Tabla8[[#This Row],[Trenes Programados por Día Hábil]]</f>
        <v>433</v>
      </c>
      <c r="G33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5.5369480668039346</v>
      </c>
      <c r="H332" s="16">
        <f t="shared" si="194"/>
        <v>10977</v>
      </c>
      <c r="I332" s="16">
        <f t="shared" si="195"/>
        <v>2235</v>
      </c>
      <c r="J332" s="16">
        <f t="shared" si="196"/>
        <v>8742</v>
      </c>
      <c r="K332" s="16">
        <f t="shared" si="197"/>
        <v>7065</v>
      </c>
      <c r="L332" s="16">
        <f t="shared" si="198"/>
        <v>1677</v>
      </c>
      <c r="M332" s="16"/>
      <c r="O332" s="18">
        <v>2020</v>
      </c>
      <c r="P332" s="21" t="s">
        <v>38</v>
      </c>
      <c r="Q332" s="44">
        <f>+Tabla4[[#This Row],[Trenes Puntuales]]/Tabla4[[#This Row],[Trenes Programados]]</f>
        <v>0.6922521655437921</v>
      </c>
      <c r="R332" s="44">
        <f>+Tabla4[[#This Row],[Trenes Puntuales]]/Tabla4[[#This Row],[Trenes Corridos]]</f>
        <v>0.86396396396396391</v>
      </c>
      <c r="S332" s="44">
        <f>+Tabla4[[#This Row],[Trenes Corridos]]/Tabla4[[#This Row],[Trenes Programados]]</f>
        <v>0.80125120307988451</v>
      </c>
      <c r="T332" s="16">
        <v>166</v>
      </c>
      <c r="U332" s="16">
        <v>6</v>
      </c>
      <c r="V332" s="16">
        <v>4156</v>
      </c>
      <c r="W332" s="16">
        <f>+V332-X332</f>
        <v>826</v>
      </c>
      <c r="X332" s="16">
        <v>3330</v>
      </c>
      <c r="Y332" s="16">
        <v>2877</v>
      </c>
      <c r="Z332" s="16">
        <f>+X332-Y332</f>
        <v>453</v>
      </c>
      <c r="AA332" s="16"/>
      <c r="AC332" s="18">
        <v>2020</v>
      </c>
      <c r="AD332" s="18" t="s">
        <v>38</v>
      </c>
      <c r="AE332" s="44">
        <f>+Tabla5[[#This Row],[Trenes Puntuales]]/Tabla5[[#This Row],[Trenes Programados]]</f>
        <v>0.64457202505219202</v>
      </c>
      <c r="AF332" s="44">
        <f>+Tabla5[[#This Row],[Trenes Puntuales]]/Tabla5[[#This Row],[Trenes Corridos]]</f>
        <v>0.81063340991138821</v>
      </c>
      <c r="AG332" s="44">
        <f>+Tabla5[[#This Row],[Trenes Corridos]]/Tabla5[[#This Row],[Trenes Programados]]</f>
        <v>0.79514613778705634</v>
      </c>
      <c r="AH332" s="16">
        <v>158</v>
      </c>
      <c r="AI332" s="16">
        <v>6</v>
      </c>
      <c r="AJ332" s="16">
        <v>3832</v>
      </c>
      <c r="AK332" s="16">
        <f>+AJ332-AL332</f>
        <v>785</v>
      </c>
      <c r="AL332" s="16">
        <v>3047</v>
      </c>
      <c r="AM332" s="16">
        <v>2470</v>
      </c>
      <c r="AN332" s="16">
        <f>+AL332-AM332</f>
        <v>577</v>
      </c>
      <c r="AO332" s="16"/>
      <c r="AQ332" s="18">
        <v>2020</v>
      </c>
      <c r="AR332" s="18" t="s">
        <v>38</v>
      </c>
      <c r="AS332" s="44">
        <f>+Tabla6[[#This Row],[Trenes Puntuales]]/Tabla6[[#This Row],[Trenes Programados]]</f>
        <v>0.6023755656108597</v>
      </c>
      <c r="AT332" s="44">
        <f>+Tabla6[[#This Row],[Trenes Puntuales]]/Tabla6[[#This Row],[Trenes Corridos]]</f>
        <v>0.78713968957871394</v>
      </c>
      <c r="AU332" s="44">
        <f>+Tabla6[[#This Row],[Trenes Corridos]]/Tabla6[[#This Row],[Trenes Programados]]</f>
        <v>0.76527149321266963</v>
      </c>
      <c r="AV332" s="16">
        <v>64</v>
      </c>
      <c r="AW332" s="16">
        <v>6</v>
      </c>
      <c r="AX332" s="16">
        <v>1768</v>
      </c>
      <c r="AY332" s="16">
        <f>+AX332-AZ332</f>
        <v>415</v>
      </c>
      <c r="AZ332" s="16">
        <v>1353</v>
      </c>
      <c r="BA332" s="16">
        <v>1065</v>
      </c>
      <c r="BB332" s="16">
        <f>+AZ332-BA332</f>
        <v>288</v>
      </c>
      <c r="BC332" s="16"/>
      <c r="BE332" s="18">
        <v>2020</v>
      </c>
      <c r="BF332" s="18" t="s">
        <v>38</v>
      </c>
      <c r="BG332" s="44">
        <f>+MIT_Vic_Cap[[#This Row],[Trenes Puntuales]]/MIT_Vic_Cap[[#This Row],[Trenes Programados]]</f>
        <v>0.61285500747384158</v>
      </c>
      <c r="BH332" s="44">
        <f>+MIT_Vic_Cap[[#This Row],[Trenes Puntuales]]/MIT_Vic_Cap[[#This Row],[Trenes Corridos]]</f>
        <v>0.73476702508960579</v>
      </c>
      <c r="BI332" s="44">
        <f>+MIT_Vic_Cap[[#This Row],[Trenes Corridos]]/MIT_Vic_Cap[[#This Row],[Trenes Programados]]</f>
        <v>0.8340807174887892</v>
      </c>
      <c r="BJ332" s="16">
        <v>25</v>
      </c>
      <c r="BK332" s="16">
        <v>2</v>
      </c>
      <c r="BL332" s="16">
        <v>669</v>
      </c>
      <c r="BM332" s="16">
        <f t="shared" si="187"/>
        <v>111</v>
      </c>
      <c r="BN332" s="16">
        <v>558</v>
      </c>
      <c r="BO332" s="16">
        <v>410</v>
      </c>
      <c r="BP332" s="16">
        <f t="shared" si="192"/>
        <v>148</v>
      </c>
      <c r="BQ332" s="16"/>
      <c r="BS332" s="18">
        <v>2020</v>
      </c>
      <c r="BT332" s="18" t="s">
        <v>38</v>
      </c>
      <c r="BU332" s="44">
        <f>+Tabla8[[#This Row],[Trenes Puntuales]]/Tabla8[[#This Row],[Trenes Programados]]</f>
        <v>0.44021739130434784</v>
      </c>
      <c r="BV332" s="44">
        <f>+Tabla8[[#This Row],[Trenes Puntuales]]/Tabla8[[#This Row],[Trenes Corridos]]</f>
        <v>0.53524229074889873</v>
      </c>
      <c r="BW332" s="44">
        <f>+Tabla8[[#This Row],[Trenes Corridos]]/Tabla8[[#This Row],[Trenes Programados]]</f>
        <v>0.82246376811594202</v>
      </c>
      <c r="BX332" s="16">
        <v>20</v>
      </c>
      <c r="BY332" s="16">
        <v>2</v>
      </c>
      <c r="BZ332" s="16">
        <v>552</v>
      </c>
      <c r="CA332" s="16">
        <f>+BZ332-CB332</f>
        <v>98</v>
      </c>
      <c r="CB332" s="16">
        <v>454</v>
      </c>
      <c r="CC332" s="16">
        <v>243</v>
      </c>
      <c r="CD332" s="16">
        <f>+CB332-CC332</f>
        <v>211</v>
      </c>
      <c r="CE332" s="278"/>
      <c r="CI332" s="40"/>
      <c r="CJ332" s="277"/>
      <c r="CK332" s="40"/>
      <c r="CL332" s="40"/>
      <c r="CM332" s="40"/>
    </row>
    <row r="333" spans="1:91" s="18" customFormat="1" ht="15" customHeight="1">
      <c r="A333" s="18">
        <v>2020</v>
      </c>
      <c r="B333" s="21" t="s">
        <v>39</v>
      </c>
      <c r="C333" s="15">
        <f>+MITRE[[#This Row],[Trenes Puntuales]]/MITRE[[#This Row],[Trenes Programados]]</f>
        <v>0.83191817830953296</v>
      </c>
      <c r="D333" s="15">
        <f>+MITRE[[#This Row],[Trenes Puntuales]]/MITRE[[#This Row],[Trenes Corridos]]</f>
        <v>0.9032055311125079</v>
      </c>
      <c r="E333" s="15">
        <f>+MITRE[[#This Row],[Trenes Corridos]]/MITRE[[#This Row],[Trenes Programados]]</f>
        <v>0.92107294480895407</v>
      </c>
      <c r="F333" s="16">
        <f>+Tabla4[[#This Row],[Trenes Programados por Día Hábil]]+Tabla5[[#This Row],[Trenes Programados por Día Hábil]]+Tabla6[[#This Row],[Trenes Programados por Día Hábil]]+MIT_Vic_Cap[[#This Row],[Trenes Programados por Día Hábil]]+Tabla8[[#This Row],[Trenes Programados por Día Hábil]]</f>
        <v>433</v>
      </c>
      <c r="G33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5.3932537188351146</v>
      </c>
      <c r="H333" s="16">
        <f t="shared" si="194"/>
        <v>5182</v>
      </c>
      <c r="I333" s="16">
        <f t="shared" si="195"/>
        <v>409</v>
      </c>
      <c r="J333" s="16">
        <f t="shared" si="196"/>
        <v>4773</v>
      </c>
      <c r="K333" s="16">
        <f t="shared" si="197"/>
        <v>4311</v>
      </c>
      <c r="L333" s="16">
        <f t="shared" si="198"/>
        <v>462</v>
      </c>
      <c r="M333" s="19" t="s">
        <v>80</v>
      </c>
      <c r="O333" s="18">
        <v>2020</v>
      </c>
      <c r="P333" s="21" t="s">
        <v>39</v>
      </c>
      <c r="Q333" s="44">
        <f>+Tabla4[[#This Row],[Trenes Puntuales]]/Tabla4[[#This Row],[Trenes Programados]]</f>
        <v>0.9128329297820823</v>
      </c>
      <c r="R333" s="44">
        <f>+Tabla4[[#This Row],[Trenes Puntuales]]/Tabla4[[#This Row],[Trenes Corridos]]</f>
        <v>0.93839452395768508</v>
      </c>
      <c r="S333" s="44">
        <f>+Tabla4[[#This Row],[Trenes Corridos]]/Tabla4[[#This Row],[Trenes Programados]]</f>
        <v>0.97276029055690072</v>
      </c>
      <c r="T333" s="16">
        <v>166</v>
      </c>
      <c r="U333" s="16">
        <v>6</v>
      </c>
      <c r="V333" s="16">
        <v>1652</v>
      </c>
      <c r="W333" s="16">
        <f>+V333-X333</f>
        <v>45</v>
      </c>
      <c r="X333" s="16">
        <v>1607</v>
      </c>
      <c r="Y333" s="16">
        <v>1508</v>
      </c>
      <c r="Z333" s="16">
        <f>+X333-Y333</f>
        <v>99</v>
      </c>
      <c r="AA333" s="19" t="s">
        <v>80</v>
      </c>
      <c r="AC333" s="18">
        <v>2020</v>
      </c>
      <c r="AD333" s="18" t="s">
        <v>39</v>
      </c>
      <c r="AE333" s="44">
        <f>+Tabla5[[#This Row],[Trenes Puntuales]]/Tabla5[[#This Row],[Trenes Programados]]</f>
        <v>0.93905191873589167</v>
      </c>
      <c r="AF333" s="44">
        <f>+Tabla5[[#This Row],[Trenes Puntuales]]/Tabla5[[#This Row],[Trenes Corridos]]</f>
        <v>0.94438138479001132</v>
      </c>
      <c r="AG333" s="44">
        <f>+Tabla5[[#This Row],[Trenes Corridos]]/Tabla5[[#This Row],[Trenes Programados]]</f>
        <v>0.99435665914221216</v>
      </c>
      <c r="AH333" s="16">
        <v>158</v>
      </c>
      <c r="AI333" s="16">
        <v>6</v>
      </c>
      <c r="AJ333" s="16">
        <v>1772</v>
      </c>
      <c r="AK333" s="16">
        <f>+AJ333-AL333</f>
        <v>10</v>
      </c>
      <c r="AL333" s="16">
        <v>1762</v>
      </c>
      <c r="AM333" s="16">
        <v>1664</v>
      </c>
      <c r="AN333" s="16">
        <f>+AL333-AM333</f>
        <v>98</v>
      </c>
      <c r="AO333" s="19" t="s">
        <v>80</v>
      </c>
      <c r="AQ333" s="18">
        <v>2020</v>
      </c>
      <c r="AR333" s="18" t="s">
        <v>39</v>
      </c>
      <c r="AS333" s="44">
        <f>+Tabla6[[#This Row],[Trenes Puntuales]]/Tabla6[[#This Row],[Trenes Programados]]</f>
        <v>0.85593220338983056</v>
      </c>
      <c r="AT333" s="44">
        <f>+Tabla6[[#This Row],[Trenes Puntuales]]/Tabla6[[#This Row],[Trenes Corridos]]</f>
        <v>0.89117647058823535</v>
      </c>
      <c r="AU333" s="44">
        <f>+Tabla6[[#This Row],[Trenes Corridos]]/Tabla6[[#This Row],[Trenes Programados]]</f>
        <v>0.96045197740112997</v>
      </c>
      <c r="AV333" s="16">
        <v>64</v>
      </c>
      <c r="AW333" s="16">
        <v>6</v>
      </c>
      <c r="AX333" s="16">
        <v>708</v>
      </c>
      <c r="AY333" s="16">
        <f>+AX333-AZ333</f>
        <v>28</v>
      </c>
      <c r="AZ333" s="16">
        <v>680</v>
      </c>
      <c r="BA333" s="16">
        <v>606</v>
      </c>
      <c r="BB333" s="16">
        <f>+AZ333-BA333</f>
        <v>74</v>
      </c>
      <c r="BC333" s="19" t="s">
        <v>80</v>
      </c>
      <c r="BE333" s="18">
        <v>2020</v>
      </c>
      <c r="BF333" s="18" t="s">
        <v>39</v>
      </c>
      <c r="BG333" s="44">
        <f>+MIT_Vic_Cap[[#This Row],[Trenes Puntuales]]/MIT_Vic_Cap[[#This Row],[Trenes Programados]]</f>
        <v>0.57543859649122808</v>
      </c>
      <c r="BH333" s="44">
        <f>+MIT_Vic_Cap[[#This Row],[Trenes Puntuales]]/MIT_Vic_Cap[[#This Row],[Trenes Corridos]]</f>
        <v>0.81188118811881194</v>
      </c>
      <c r="BI333" s="44">
        <f>+MIT_Vic_Cap[[#This Row],[Trenes Corridos]]/MIT_Vic_Cap[[#This Row],[Trenes Programados]]</f>
        <v>0.70877192982456139</v>
      </c>
      <c r="BJ333" s="16">
        <v>25</v>
      </c>
      <c r="BK333" s="16">
        <v>2</v>
      </c>
      <c r="BL333" s="16">
        <v>570</v>
      </c>
      <c r="BM333" s="16">
        <f t="shared" si="187"/>
        <v>166</v>
      </c>
      <c r="BN333" s="16">
        <v>404</v>
      </c>
      <c r="BO333" s="16">
        <v>328</v>
      </c>
      <c r="BP333" s="16">
        <f t="shared" si="192"/>
        <v>76</v>
      </c>
      <c r="BQ333" s="19" t="s">
        <v>81</v>
      </c>
      <c r="BS333" s="18">
        <v>2020</v>
      </c>
      <c r="BT333" s="18" t="s">
        <v>39</v>
      </c>
      <c r="BU333" s="44">
        <f>+Tabla8[[#This Row],[Trenes Puntuales]]/Tabla8[[#This Row],[Trenes Programados]]</f>
        <v>0.42708333333333331</v>
      </c>
      <c r="BV333" s="44">
        <f>+Tabla8[[#This Row],[Trenes Puntuales]]/Tabla8[[#This Row],[Trenes Corridos]]</f>
        <v>0.640625</v>
      </c>
      <c r="BW333" s="44">
        <f>+Tabla8[[#This Row],[Trenes Corridos]]/Tabla8[[#This Row],[Trenes Programados]]</f>
        <v>0.66666666666666663</v>
      </c>
      <c r="BX333" s="16">
        <v>20</v>
      </c>
      <c r="BY333" s="16">
        <v>2</v>
      </c>
      <c r="BZ333" s="16">
        <v>480</v>
      </c>
      <c r="CA333" s="16">
        <f>+BZ333-CB333</f>
        <v>160</v>
      </c>
      <c r="CB333" s="16">
        <v>320</v>
      </c>
      <c r="CC333" s="16">
        <v>205</v>
      </c>
      <c r="CD333" s="16">
        <f>+CB333-CC333</f>
        <v>115</v>
      </c>
      <c r="CE333" s="279" t="s">
        <v>80</v>
      </c>
      <c r="CI333" s="40"/>
      <c r="CJ333" s="277"/>
      <c r="CK333" s="40"/>
      <c r="CL333" s="40"/>
      <c r="CM333" s="40"/>
    </row>
    <row r="334" spans="1:91" s="18" customFormat="1" ht="15" customHeight="1">
      <c r="A334" s="18">
        <v>2020</v>
      </c>
      <c r="B334" s="21" t="s">
        <v>40</v>
      </c>
      <c r="C334" s="15">
        <f>+MITRE[[#This Row],[Trenes Puntuales]]/MITRE[[#This Row],[Trenes Programados]]</f>
        <v>0.84953077779545094</v>
      </c>
      <c r="D334" s="15">
        <f>+MITRE[[#This Row],[Trenes Puntuales]]/MITRE[[#This Row],[Trenes Corridos]]</f>
        <v>0.9066372432524189</v>
      </c>
      <c r="E334" s="15">
        <f>+MITRE[[#This Row],[Trenes Corridos]]/MITRE[[#This Row],[Trenes Programados]]</f>
        <v>0.93701288372832825</v>
      </c>
      <c r="F334" s="16">
        <f>+Tabla4[[#This Row],[Trenes Programados por Día Hábil]]+Tabla5[[#This Row],[Trenes Programados por Día Hábil]]+Tabla6[[#This Row],[Trenes Programados por Día Hábil]]+MIT_Vic_Cap[[#This Row],[Trenes Programados por Día Hábil]]+Tabla8[[#This Row],[Trenes Programados por Día Hábil]]</f>
        <v>425</v>
      </c>
      <c r="G33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5.5688338142929892</v>
      </c>
      <c r="H334" s="16">
        <f t="shared" si="194"/>
        <v>6287</v>
      </c>
      <c r="I334" s="16">
        <f t="shared" si="195"/>
        <v>396</v>
      </c>
      <c r="J334" s="16">
        <f t="shared" si="196"/>
        <v>5891</v>
      </c>
      <c r="K334" s="16">
        <f t="shared" si="197"/>
        <v>5341</v>
      </c>
      <c r="L334" s="16">
        <f t="shared" si="198"/>
        <v>550</v>
      </c>
      <c r="M334" s="19" t="s">
        <v>80</v>
      </c>
      <c r="O334" s="18">
        <v>2020</v>
      </c>
      <c r="P334" s="21" t="s">
        <v>40</v>
      </c>
      <c r="Q334" s="44">
        <f>+Tabla4[[#This Row],[Trenes Puntuales]]/Tabla4[[#This Row],[Trenes Programados]]</f>
        <v>0.9452054794520548</v>
      </c>
      <c r="R334" s="44">
        <f>+Tabla4[[#This Row],[Trenes Puntuales]]/Tabla4[[#This Row],[Trenes Corridos]]</f>
        <v>0.96458527493010249</v>
      </c>
      <c r="S334" s="44">
        <f>+Tabla4[[#This Row],[Trenes Corridos]]/Tabla4[[#This Row],[Trenes Programados]]</f>
        <v>0.9799086757990868</v>
      </c>
      <c r="T334" s="16">
        <v>166</v>
      </c>
      <c r="U334" s="16">
        <v>6</v>
      </c>
      <c r="V334" s="16">
        <v>2190</v>
      </c>
      <c r="W334" s="16">
        <f>+V334-X334</f>
        <v>44</v>
      </c>
      <c r="X334" s="16">
        <v>2146</v>
      </c>
      <c r="Y334" s="16">
        <v>2070</v>
      </c>
      <c r="Z334" s="16">
        <f>+X334-Y334</f>
        <v>76</v>
      </c>
      <c r="AA334" s="19" t="s">
        <v>80</v>
      </c>
      <c r="AC334" s="18">
        <v>2020</v>
      </c>
      <c r="AD334" s="21" t="s">
        <v>40</v>
      </c>
      <c r="AE334" s="44">
        <f>+Tabla5[[#This Row],[Trenes Puntuales]]/Tabla5[[#This Row],[Trenes Programados]]</f>
        <v>0.91119005328596803</v>
      </c>
      <c r="AF334" s="44">
        <f>+Tabla5[[#This Row],[Trenes Puntuales]]/Tabla5[[#This Row],[Trenes Corridos]]</f>
        <v>0.9152542372881356</v>
      </c>
      <c r="AG334" s="44">
        <f>+Tabla5[[#This Row],[Trenes Corridos]]/Tabla5[[#This Row],[Trenes Programados]]</f>
        <v>0.99555950266429838</v>
      </c>
      <c r="AH334" s="16">
        <v>158</v>
      </c>
      <c r="AI334" s="16">
        <v>6</v>
      </c>
      <c r="AJ334" s="16">
        <v>2252</v>
      </c>
      <c r="AK334" s="16">
        <f>+AJ334-AL334</f>
        <v>10</v>
      </c>
      <c r="AL334" s="16">
        <v>2242</v>
      </c>
      <c r="AM334" s="16">
        <v>2052</v>
      </c>
      <c r="AN334" s="16">
        <f>+AL334-AM334</f>
        <v>190</v>
      </c>
      <c r="AO334" s="19" t="s">
        <v>80</v>
      </c>
      <c r="AQ334" s="18">
        <v>2020</v>
      </c>
      <c r="AR334" s="18" t="s">
        <v>40</v>
      </c>
      <c r="AS334" s="44">
        <f>+Tabla6[[#This Row],[Trenes Puntuales]]/Tabla6[[#This Row],[Trenes Programados]]</f>
        <v>0.90207373271889402</v>
      </c>
      <c r="AT334" s="44">
        <f>+Tabla6[[#This Row],[Trenes Puntuales]]/Tabla6[[#This Row],[Trenes Corridos]]</f>
        <v>0.90207373271889402</v>
      </c>
      <c r="AU334" s="44">
        <f>+Tabla6[[#This Row],[Trenes Corridos]]/Tabla6[[#This Row],[Trenes Programados]]</f>
        <v>1</v>
      </c>
      <c r="AV334" s="16">
        <v>64</v>
      </c>
      <c r="AW334" s="16">
        <v>6</v>
      </c>
      <c r="AX334" s="16">
        <v>868</v>
      </c>
      <c r="AY334" s="16">
        <f>+AX334-AZ334</f>
        <v>0</v>
      </c>
      <c r="AZ334" s="16">
        <v>868</v>
      </c>
      <c r="BA334" s="16">
        <v>783</v>
      </c>
      <c r="BB334" s="16">
        <f>+AZ334-BA334</f>
        <v>85</v>
      </c>
      <c r="BC334" s="19" t="s">
        <v>80</v>
      </c>
      <c r="BE334" s="18">
        <v>2020</v>
      </c>
      <c r="BF334" s="18" t="s">
        <v>40</v>
      </c>
      <c r="BG334" s="44">
        <f>+MIT_Vic_Cap[[#This Row],[Trenes Puntuales]]/MIT_Vic_Cap[[#This Row],[Trenes Programados]]</f>
        <v>0.47637051039697542</v>
      </c>
      <c r="BH334" s="44">
        <f>+MIT_Vic_Cap[[#This Row],[Trenes Puntuales]]/MIT_Vic_Cap[[#This Row],[Trenes Corridos]]</f>
        <v>0.86301369863013699</v>
      </c>
      <c r="BI334" s="44">
        <f>+MIT_Vic_Cap[[#This Row],[Trenes Corridos]]/MIT_Vic_Cap[[#This Row],[Trenes Programados]]</f>
        <v>0.55198487712665412</v>
      </c>
      <c r="BJ334" s="16">
        <v>25</v>
      </c>
      <c r="BK334" s="16">
        <v>2</v>
      </c>
      <c r="BL334" s="16">
        <v>529</v>
      </c>
      <c r="BM334" s="16">
        <f t="shared" si="187"/>
        <v>237</v>
      </c>
      <c r="BN334" s="16">
        <v>292</v>
      </c>
      <c r="BO334" s="16">
        <v>252</v>
      </c>
      <c r="BP334" s="16">
        <f t="shared" si="192"/>
        <v>40</v>
      </c>
      <c r="BQ334" s="19" t="s">
        <v>80</v>
      </c>
      <c r="BS334" s="18">
        <v>2020</v>
      </c>
      <c r="BT334" s="21" t="s">
        <v>40</v>
      </c>
      <c r="BU334" s="44">
        <f>+Tabla8[[#This Row],[Trenes Puntuales]]/Tabla8[[#This Row],[Trenes Programados]]</f>
        <v>0.4107142857142857</v>
      </c>
      <c r="BV334" s="44">
        <f>+Tabla8[[#This Row],[Trenes Puntuales]]/Tabla8[[#This Row],[Trenes Corridos]]</f>
        <v>0.53644314868804666</v>
      </c>
      <c r="BW334" s="44">
        <f>+Tabla8[[#This Row],[Trenes Corridos]]/Tabla8[[#This Row],[Trenes Programados]]</f>
        <v>0.765625</v>
      </c>
      <c r="BX334" s="16">
        <v>12</v>
      </c>
      <c r="BY334" s="16">
        <v>2</v>
      </c>
      <c r="BZ334" s="16">
        <v>448</v>
      </c>
      <c r="CA334" s="16">
        <f>+BZ334-CB334</f>
        <v>105</v>
      </c>
      <c r="CB334" s="16">
        <v>343</v>
      </c>
      <c r="CC334" s="16">
        <v>184</v>
      </c>
      <c r="CD334" s="16">
        <f>+CB334-CC334</f>
        <v>159</v>
      </c>
      <c r="CE334" s="279" t="s">
        <v>221</v>
      </c>
      <c r="CI334" s="40"/>
      <c r="CJ334" s="277"/>
      <c r="CK334" s="40"/>
      <c r="CL334" s="40"/>
      <c r="CM334" s="40"/>
    </row>
    <row r="335" spans="1:91" s="18" customFormat="1" ht="15" customHeight="1">
      <c r="A335" s="18">
        <v>2020</v>
      </c>
      <c r="B335" s="21" t="s">
        <v>41</v>
      </c>
      <c r="C335" s="15">
        <f>+MITRE[[#This Row],[Trenes Puntuales]]/MITRE[[#This Row],[Trenes Programados]]</f>
        <v>0.8842592592592593</v>
      </c>
      <c r="D335" s="15">
        <f>+MITRE[[#This Row],[Trenes Puntuales]]/MITRE[[#This Row],[Trenes Corridos]]</f>
        <v>0.90053231939163503</v>
      </c>
      <c r="E335" s="15">
        <f>+MITRE[[#This Row],[Trenes Corridos]]/MITRE[[#This Row],[Trenes Programados]]</f>
        <v>0.9819295101553166</v>
      </c>
      <c r="F335" s="16">
        <f>+Tabla4[[#This Row],[Trenes Programados por Día Hábil]]+Tabla5[[#This Row],[Trenes Programados por Día Hábil]]+Tabla6[[#This Row],[Trenes Programados por Día Hábil]]+MIT_Vic_Cap[[#This Row],[Trenes Programados por Día Hábil]]+Tabla8[[#This Row],[Trenes Programados por Día Hábil]]</f>
        <v>425</v>
      </c>
      <c r="G33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5.5461596958174901</v>
      </c>
      <c r="H335" s="16">
        <f t="shared" si="194"/>
        <v>6696</v>
      </c>
      <c r="I335" s="16">
        <f t="shared" si="195"/>
        <v>121</v>
      </c>
      <c r="J335" s="16">
        <f t="shared" si="196"/>
        <v>6575</v>
      </c>
      <c r="K335" s="16">
        <f t="shared" si="197"/>
        <v>5921</v>
      </c>
      <c r="L335" s="16">
        <f t="shared" si="198"/>
        <v>654</v>
      </c>
      <c r="M335" s="19" t="s">
        <v>80</v>
      </c>
      <c r="O335" s="18">
        <v>2020</v>
      </c>
      <c r="P335" s="21" t="s">
        <v>41</v>
      </c>
      <c r="Q335" s="44">
        <f>+Tabla4[[#This Row],[Trenes Puntuales]]/Tabla4[[#This Row],[Trenes Programados]]</f>
        <v>0.97072599531615922</v>
      </c>
      <c r="R335" s="44">
        <f>+Tabla4[[#This Row],[Trenes Puntuales]]/Tabla4[[#This Row],[Trenes Corridos]]</f>
        <v>0.98222748815165872</v>
      </c>
      <c r="S335" s="44">
        <f>+Tabla4[[#This Row],[Trenes Corridos]]/Tabla4[[#This Row],[Trenes Programados]]</f>
        <v>0.98829039812646369</v>
      </c>
      <c r="T335" s="16">
        <v>166</v>
      </c>
      <c r="U335" s="16">
        <v>6</v>
      </c>
      <c r="V335" s="16">
        <v>2562</v>
      </c>
      <c r="W335" s="16">
        <f t="shared" ref="W335:W341" si="199">+V335-X335</f>
        <v>30</v>
      </c>
      <c r="X335" s="16">
        <v>2532</v>
      </c>
      <c r="Y335" s="16">
        <v>2487</v>
      </c>
      <c r="Z335" s="16">
        <f t="shared" ref="Z335:Z341" si="200">+X335-Y335</f>
        <v>45</v>
      </c>
      <c r="AA335" s="19" t="s">
        <v>80</v>
      </c>
      <c r="AC335" s="18">
        <v>2020</v>
      </c>
      <c r="AD335" s="21" t="s">
        <v>41</v>
      </c>
      <c r="AE335" s="44">
        <f>+Tabla5[[#This Row],[Trenes Puntuales]]/Tabla5[[#This Row],[Trenes Programados]]</f>
        <v>0.87311058074781223</v>
      </c>
      <c r="AF335" s="44">
        <f>+Tabla5[[#This Row],[Trenes Puntuales]]/Tabla5[[#This Row],[Trenes Corridos]]</f>
        <v>0.8904665314401623</v>
      </c>
      <c r="AG335" s="44">
        <f>+Tabla5[[#This Row],[Trenes Corridos]]/Tabla5[[#This Row],[Trenes Programados]]</f>
        <v>0.98050914876690531</v>
      </c>
      <c r="AH335" s="16">
        <v>158</v>
      </c>
      <c r="AI335" s="16">
        <v>6</v>
      </c>
      <c r="AJ335" s="16">
        <v>2514</v>
      </c>
      <c r="AK335" s="16">
        <f t="shared" ref="AK335:AK341" si="201">+AJ335-AL335</f>
        <v>49</v>
      </c>
      <c r="AL335" s="16">
        <v>2465</v>
      </c>
      <c r="AM335" s="16">
        <v>2195</v>
      </c>
      <c r="AN335" s="16">
        <f t="shared" ref="AN335:AN341" si="202">+AL335-AM335</f>
        <v>270</v>
      </c>
      <c r="AO335" s="19" t="s">
        <v>80</v>
      </c>
      <c r="AQ335" s="18">
        <v>2020</v>
      </c>
      <c r="AR335" s="21" t="s">
        <v>41</v>
      </c>
      <c r="AS335" s="44">
        <f>+Tabla6[[#This Row],[Trenes Puntuales]]/Tabla6[[#This Row],[Trenes Programados]]</f>
        <v>0.89642857142857146</v>
      </c>
      <c r="AT335" s="44">
        <f>+Tabla6[[#This Row],[Trenes Puntuales]]/Tabla6[[#This Row],[Trenes Corridos]]</f>
        <v>0.90504807692307687</v>
      </c>
      <c r="AU335" s="44">
        <f>+Tabla6[[#This Row],[Trenes Corridos]]/Tabla6[[#This Row],[Trenes Programados]]</f>
        <v>0.99047619047619051</v>
      </c>
      <c r="AV335" s="16">
        <v>64</v>
      </c>
      <c r="AW335" s="16">
        <v>6</v>
      </c>
      <c r="AX335" s="16">
        <v>840</v>
      </c>
      <c r="AY335" s="16">
        <f t="shared" ref="AY335:AY341" si="203">+AX335-AZ335</f>
        <v>8</v>
      </c>
      <c r="AZ335" s="16">
        <v>832</v>
      </c>
      <c r="BA335" s="16">
        <v>753</v>
      </c>
      <c r="BB335" s="16">
        <f t="shared" ref="BB335:BB341" si="204">+AZ335-BA335</f>
        <v>79</v>
      </c>
      <c r="BC335" s="19" t="s">
        <v>80</v>
      </c>
      <c r="BE335" s="18">
        <v>2020</v>
      </c>
      <c r="BF335" s="18" t="s">
        <v>41</v>
      </c>
      <c r="BG335" s="44">
        <f>+MIT_Vic_Cap[[#This Row],[Trenes Puntuales]]/MIT_Vic_Cap[[#This Row],[Trenes Programados]]</f>
        <v>0.8</v>
      </c>
      <c r="BH335" s="44">
        <f>+MIT_Vic_Cap[[#This Row],[Trenes Puntuales]]/MIT_Vic_Cap[[#This Row],[Trenes Corridos]]</f>
        <v>0.85279187817258884</v>
      </c>
      <c r="BI335" s="44">
        <f>+MIT_Vic_Cap[[#This Row],[Trenes Corridos]]/MIT_Vic_Cap[[#This Row],[Trenes Programados]]</f>
        <v>0.93809523809523809</v>
      </c>
      <c r="BJ335" s="16">
        <v>25</v>
      </c>
      <c r="BK335" s="16">
        <v>2</v>
      </c>
      <c r="BL335" s="16">
        <v>420</v>
      </c>
      <c r="BM335" s="16">
        <f t="shared" si="187"/>
        <v>26</v>
      </c>
      <c r="BN335" s="16">
        <v>394</v>
      </c>
      <c r="BO335" s="16">
        <v>336</v>
      </c>
      <c r="BP335" s="16">
        <f t="shared" si="192"/>
        <v>58</v>
      </c>
      <c r="BQ335" s="19" t="s">
        <v>80</v>
      </c>
      <c r="BS335" s="18">
        <v>2020</v>
      </c>
      <c r="BT335" s="21" t="s">
        <v>41</v>
      </c>
      <c r="BU335" s="44">
        <f>+Tabla8[[#This Row],[Trenes Puntuales]]/Tabla8[[#This Row],[Trenes Programados]]</f>
        <v>0.41666666666666669</v>
      </c>
      <c r="BV335" s="44">
        <f>+Tabla8[[#This Row],[Trenes Puntuales]]/Tabla8[[#This Row],[Trenes Corridos]]</f>
        <v>0.42613636363636365</v>
      </c>
      <c r="BW335" s="44">
        <f>+Tabla8[[#This Row],[Trenes Corridos]]/Tabla8[[#This Row],[Trenes Programados]]</f>
        <v>0.97777777777777775</v>
      </c>
      <c r="BX335" s="16">
        <v>12</v>
      </c>
      <c r="BY335" s="16">
        <v>2</v>
      </c>
      <c r="BZ335" s="16">
        <v>360</v>
      </c>
      <c r="CA335" s="16">
        <f t="shared" ref="CA335:CA341" si="205">+BZ335-CB335</f>
        <v>8</v>
      </c>
      <c r="CB335" s="16">
        <v>352</v>
      </c>
      <c r="CC335" s="16">
        <v>150</v>
      </c>
      <c r="CD335" s="16">
        <f t="shared" ref="CD335:CD341" si="206">+CB335-CC335</f>
        <v>202</v>
      </c>
      <c r="CE335" s="279"/>
      <c r="CI335" s="40"/>
      <c r="CJ335" s="277"/>
      <c r="CK335" s="40"/>
      <c r="CL335" s="40"/>
      <c r="CM335" s="40"/>
    </row>
    <row r="336" spans="1:91" s="18" customFormat="1" ht="15" customHeight="1">
      <c r="A336" s="18">
        <v>2020</v>
      </c>
      <c r="B336" s="21" t="s">
        <v>42</v>
      </c>
      <c r="C336" s="15">
        <f>+MITRE[[#This Row],[Trenes Puntuales]]/MITRE[[#This Row],[Trenes Programados]]</f>
        <v>0.89141856392294216</v>
      </c>
      <c r="D336" s="15">
        <f>+MITRE[[#This Row],[Trenes Puntuales]]/MITRE[[#This Row],[Trenes Corridos]]</f>
        <v>0.91587944219523165</v>
      </c>
      <c r="E336" s="15">
        <f>+MITRE[[#This Row],[Trenes Corridos]]/MITRE[[#This Row],[Trenes Programados]]</f>
        <v>0.97329246935201397</v>
      </c>
      <c r="F336" s="16">
        <f>+Tabla4[[#This Row],[Trenes Programados por Día Hábil]]+Tabla5[[#This Row],[Trenes Programados por Día Hábil]]+Tabla6[[#This Row],[Trenes Programados por Día Hábil]]+MIT_Vic_Cap[[#This Row],[Trenes Programados por Día Hábil]]+Tabla8[[#This Row],[Trenes Programados por Día Hábil]]</f>
        <v>425</v>
      </c>
      <c r="G33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5.5687509371719894</v>
      </c>
      <c r="H336" s="16">
        <f>+V336+AJ336+AX336+BL336+BZ336</f>
        <v>6852</v>
      </c>
      <c r="I336" s="16">
        <f>H336-J336</f>
        <v>183</v>
      </c>
      <c r="J336" s="16">
        <f>+X336+AL336+AZ336+BN336+CB336</f>
        <v>6669</v>
      </c>
      <c r="K336" s="16">
        <f>+Y336+AM336+BA336+BO336+CC336</f>
        <v>6108</v>
      </c>
      <c r="L336" s="16">
        <f>J336-K336</f>
        <v>561</v>
      </c>
      <c r="M336" s="19" t="s">
        <v>80</v>
      </c>
      <c r="O336" s="18">
        <v>2020</v>
      </c>
      <c r="P336" s="21" t="s">
        <v>42</v>
      </c>
      <c r="Q336" s="44">
        <f>+Tabla4[[#This Row],[Trenes Puntuales]]/Tabla4[[#This Row],[Trenes Programados]]</f>
        <v>0.96180290297937354</v>
      </c>
      <c r="R336" s="44">
        <f>+Tabla4[[#This Row],[Trenes Puntuales]]/Tabla4[[#This Row],[Trenes Corridos]]</f>
        <v>0.98014791747761776</v>
      </c>
      <c r="S336" s="44">
        <f>+Tabla4[[#This Row],[Trenes Corridos]]/Tabla4[[#This Row],[Trenes Programados]]</f>
        <v>0.98128342245989308</v>
      </c>
      <c r="T336" s="16">
        <v>166</v>
      </c>
      <c r="U336" s="16">
        <v>6</v>
      </c>
      <c r="V336" s="16">
        <v>2618</v>
      </c>
      <c r="W336" s="16">
        <f t="shared" si="199"/>
        <v>49</v>
      </c>
      <c r="X336" s="16">
        <v>2569</v>
      </c>
      <c r="Y336" s="16">
        <v>2518</v>
      </c>
      <c r="Z336" s="16">
        <f t="shared" si="200"/>
        <v>51</v>
      </c>
      <c r="AA336" s="19" t="s">
        <v>80</v>
      </c>
      <c r="AC336" s="18">
        <v>2020</v>
      </c>
      <c r="AD336" s="21" t="s">
        <v>42</v>
      </c>
      <c r="AE336" s="44">
        <f>+Tabla5[[#This Row],[Trenes Puntuales]]/Tabla5[[#This Row],[Trenes Programados]]</f>
        <v>0.89882812499999998</v>
      </c>
      <c r="AF336" s="44">
        <f>+Tabla5[[#This Row],[Trenes Puntuales]]/Tabla5[[#This Row],[Trenes Corridos]]</f>
        <v>0.91237113402061853</v>
      </c>
      <c r="AG336" s="44">
        <f>+Tabla5[[#This Row],[Trenes Corridos]]/Tabla5[[#This Row],[Trenes Programados]]</f>
        <v>0.98515624999999996</v>
      </c>
      <c r="AH336" s="16">
        <v>158</v>
      </c>
      <c r="AI336" s="16">
        <v>6</v>
      </c>
      <c r="AJ336" s="16">
        <v>2560</v>
      </c>
      <c r="AK336" s="16">
        <f t="shared" si="201"/>
        <v>38</v>
      </c>
      <c r="AL336" s="16">
        <v>2522</v>
      </c>
      <c r="AM336" s="16">
        <v>2301</v>
      </c>
      <c r="AN336" s="16">
        <f t="shared" si="202"/>
        <v>221</v>
      </c>
      <c r="AO336" s="19" t="s">
        <v>80</v>
      </c>
      <c r="AQ336" s="18">
        <v>2020</v>
      </c>
      <c r="AR336" s="21" t="s">
        <v>42</v>
      </c>
      <c r="AS336" s="44">
        <f>+Tabla6[[#This Row],[Trenes Puntuales]]/Tabla6[[#This Row],[Trenes Programados]]</f>
        <v>0.88594470046082952</v>
      </c>
      <c r="AT336" s="44">
        <f>+Tabla6[[#This Row],[Trenes Puntuales]]/Tabla6[[#This Row],[Trenes Corridos]]</f>
        <v>0.89522700814901046</v>
      </c>
      <c r="AU336" s="44">
        <f>+Tabla6[[#This Row],[Trenes Corridos]]/Tabla6[[#This Row],[Trenes Programados]]</f>
        <v>0.98963133640552992</v>
      </c>
      <c r="AV336" s="16">
        <v>64</v>
      </c>
      <c r="AW336" s="16">
        <v>6</v>
      </c>
      <c r="AX336" s="16">
        <v>868</v>
      </c>
      <c r="AY336" s="16">
        <f t="shared" si="203"/>
        <v>9</v>
      </c>
      <c r="AZ336" s="16">
        <v>859</v>
      </c>
      <c r="BA336" s="16">
        <v>769</v>
      </c>
      <c r="BB336" s="16">
        <f t="shared" si="204"/>
        <v>90</v>
      </c>
      <c r="BC336" s="19" t="s">
        <v>80</v>
      </c>
      <c r="BE336" s="18">
        <v>2020</v>
      </c>
      <c r="BF336" s="21" t="s">
        <v>42</v>
      </c>
      <c r="BG336" s="44">
        <f>+MIT_Vic_Cap[[#This Row],[Trenes Puntuales]]/MIT_Vic_Cap[[#This Row],[Trenes Programados]]</f>
        <v>0.70737327188940091</v>
      </c>
      <c r="BH336" s="44">
        <f>+MIT_Vic_Cap[[#This Row],[Trenes Puntuales]]/MIT_Vic_Cap[[#This Row],[Trenes Corridos]]</f>
        <v>0.87215909090909094</v>
      </c>
      <c r="BI336" s="44">
        <f>+MIT_Vic_Cap[[#This Row],[Trenes Corridos]]/MIT_Vic_Cap[[#This Row],[Trenes Programados]]</f>
        <v>0.81105990783410142</v>
      </c>
      <c r="BJ336" s="16">
        <v>25</v>
      </c>
      <c r="BK336" s="16">
        <v>2</v>
      </c>
      <c r="BL336" s="16">
        <v>434</v>
      </c>
      <c r="BM336" s="16">
        <f t="shared" si="187"/>
        <v>82</v>
      </c>
      <c r="BN336" s="16">
        <v>352</v>
      </c>
      <c r="BO336" s="16">
        <v>307</v>
      </c>
      <c r="BP336" s="16">
        <f t="shared" si="192"/>
        <v>45</v>
      </c>
      <c r="BQ336" s="19" t="s">
        <v>80</v>
      </c>
      <c r="BS336" s="18">
        <v>2020</v>
      </c>
      <c r="BT336" s="21" t="s">
        <v>42</v>
      </c>
      <c r="BU336" s="44">
        <f>+Tabla8[[#This Row],[Trenes Puntuales]]/Tabla8[[#This Row],[Trenes Programados]]</f>
        <v>0.57258064516129037</v>
      </c>
      <c r="BV336" s="44">
        <f>+Tabla8[[#This Row],[Trenes Puntuales]]/Tabla8[[#This Row],[Trenes Corridos]]</f>
        <v>0.5803814713896458</v>
      </c>
      <c r="BW336" s="44">
        <f>+Tabla8[[#This Row],[Trenes Corridos]]/Tabla8[[#This Row],[Trenes Programados]]</f>
        <v>0.98655913978494625</v>
      </c>
      <c r="BX336" s="16">
        <v>12</v>
      </c>
      <c r="BY336" s="16">
        <v>2</v>
      </c>
      <c r="BZ336" s="16">
        <v>372</v>
      </c>
      <c r="CA336" s="16">
        <f t="shared" si="205"/>
        <v>5</v>
      </c>
      <c r="CB336" s="16">
        <v>367</v>
      </c>
      <c r="CC336" s="16">
        <v>213</v>
      </c>
      <c r="CD336" s="16">
        <f t="shared" si="206"/>
        <v>154</v>
      </c>
      <c r="CE336" s="279"/>
      <c r="CI336" s="40"/>
      <c r="CJ336" s="277"/>
      <c r="CK336" s="40"/>
      <c r="CL336" s="40"/>
      <c r="CM336" s="40"/>
    </row>
    <row r="337" spans="1:91" s="18" customFormat="1" ht="15" customHeight="1">
      <c r="A337" s="18">
        <v>2020</v>
      </c>
      <c r="B337" s="21" t="s">
        <v>43</v>
      </c>
      <c r="C337" s="15">
        <f>+MITRE[[#This Row],[Trenes Puntuales]]/MITRE[[#This Row],[Trenes Programados]]</f>
        <v>0.84709887507400827</v>
      </c>
      <c r="D337" s="15">
        <f>+MITRE[[#This Row],[Trenes Puntuales]]/MITRE[[#This Row],[Trenes Corridos]]</f>
        <v>0.92054045359498149</v>
      </c>
      <c r="E337" s="15">
        <f>+MITRE[[#This Row],[Trenes Corridos]]/MITRE[[#This Row],[Trenes Programados]]</f>
        <v>0.92021906453522795</v>
      </c>
      <c r="F337" s="16">
        <f>+Tabla4[[#This Row],[Trenes Programados por Día Hábil]]+Tabla5[[#This Row],[Trenes Programados por Día Hábil]]+Tabla6[[#This Row],[Trenes Programados por Día Hábil]]+MIT_Vic_Cap[[#This Row],[Trenes Programados por Día Hábil]]+Tabla8[[#This Row],[Trenes Programados por Día Hábil]]</f>
        <v>425</v>
      </c>
      <c r="G33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5.5245295158436543</v>
      </c>
      <c r="H337" s="16">
        <f t="shared" ref="H337:H365" si="207">+V337+AJ337+AX337+BL337+BZ337</f>
        <v>6756</v>
      </c>
      <c r="I337" s="16">
        <f t="shared" ref="I337:I365" si="208">H337-J337</f>
        <v>539</v>
      </c>
      <c r="J337" s="16">
        <f t="shared" ref="J337:J365" si="209">+X337+AL337+AZ337+BN337+CB337</f>
        <v>6217</v>
      </c>
      <c r="K337" s="16">
        <f t="shared" ref="K337:K365" si="210">+Y337+AM337+BA337+BO337+CC337</f>
        <v>5723</v>
      </c>
      <c r="L337" s="16">
        <f t="shared" ref="L337:L365" si="211">J337-K337</f>
        <v>494</v>
      </c>
      <c r="M337" s="19" t="s">
        <v>80</v>
      </c>
      <c r="O337" s="18">
        <v>2020</v>
      </c>
      <c r="P337" s="21" t="s">
        <v>43</v>
      </c>
      <c r="Q337" s="44">
        <f>+Tabla4[[#This Row],[Trenes Puntuales]]/Tabla4[[#This Row],[Trenes Programados]]</f>
        <v>0.84899068322981364</v>
      </c>
      <c r="R337" s="44">
        <f>+Tabla4[[#This Row],[Trenes Puntuales]]/Tabla4[[#This Row],[Trenes Corridos]]</f>
        <v>0.9842484248424842</v>
      </c>
      <c r="S337" s="44">
        <f>+Tabla4[[#This Row],[Trenes Corridos]]/Tabla4[[#This Row],[Trenes Programados]]</f>
        <v>0.86257763975155277</v>
      </c>
      <c r="T337" s="16">
        <v>166</v>
      </c>
      <c r="U337" s="16">
        <v>6</v>
      </c>
      <c r="V337" s="16">
        <v>2576</v>
      </c>
      <c r="W337" s="16">
        <f t="shared" si="199"/>
        <v>354</v>
      </c>
      <c r="X337" s="16">
        <v>2222</v>
      </c>
      <c r="Y337" s="16">
        <v>2187</v>
      </c>
      <c r="Z337" s="16">
        <f t="shared" si="200"/>
        <v>35</v>
      </c>
      <c r="AA337" s="19" t="s">
        <v>80</v>
      </c>
      <c r="AC337" s="18">
        <v>2020</v>
      </c>
      <c r="AD337" s="21" t="s">
        <v>43</v>
      </c>
      <c r="AE337" s="44">
        <f>+Tabla5[[#This Row],[Trenes Puntuales]]/Tabla5[[#This Row],[Trenes Programados]]</f>
        <v>0.88946528332003194</v>
      </c>
      <c r="AF337" s="44">
        <f>+Tabla5[[#This Row],[Trenes Puntuales]]/Tabla5[[#This Row],[Trenes Corridos]]</f>
        <v>0.92374637380853708</v>
      </c>
      <c r="AG337" s="44">
        <f>+Tabla5[[#This Row],[Trenes Corridos]]/Tabla5[[#This Row],[Trenes Programados]]</f>
        <v>0.96288906624102155</v>
      </c>
      <c r="AH337" s="16">
        <v>158</v>
      </c>
      <c r="AI337" s="16">
        <v>6</v>
      </c>
      <c r="AJ337" s="16">
        <v>2506</v>
      </c>
      <c r="AK337" s="16">
        <f t="shared" si="201"/>
        <v>93</v>
      </c>
      <c r="AL337" s="16">
        <v>2413</v>
      </c>
      <c r="AM337" s="16">
        <v>2229</v>
      </c>
      <c r="AN337" s="16">
        <f t="shared" si="202"/>
        <v>184</v>
      </c>
      <c r="AO337" s="19" t="s">
        <v>80</v>
      </c>
      <c r="AQ337" s="18">
        <v>2020</v>
      </c>
      <c r="AR337" s="21" t="s">
        <v>43</v>
      </c>
      <c r="AS337" s="44">
        <f>+Tabla6[[#This Row],[Trenes Puntuales]]/Tabla6[[#This Row],[Trenes Programados]]</f>
        <v>0.89170506912442393</v>
      </c>
      <c r="AT337" s="44">
        <f>+Tabla6[[#This Row],[Trenes Puntuales]]/Tabla6[[#This Row],[Trenes Corridos]]</f>
        <v>0.91814946619217086</v>
      </c>
      <c r="AU337" s="44">
        <f>+Tabla6[[#This Row],[Trenes Corridos]]/Tabla6[[#This Row],[Trenes Programados]]</f>
        <v>0.97119815668202769</v>
      </c>
      <c r="AV337" s="16">
        <v>64</v>
      </c>
      <c r="AW337" s="16">
        <v>6</v>
      </c>
      <c r="AX337" s="16">
        <v>868</v>
      </c>
      <c r="AY337" s="16">
        <f t="shared" si="203"/>
        <v>25</v>
      </c>
      <c r="AZ337" s="16">
        <v>843</v>
      </c>
      <c r="BA337" s="16">
        <v>774</v>
      </c>
      <c r="BB337" s="16">
        <f t="shared" si="204"/>
        <v>69</v>
      </c>
      <c r="BC337" s="19" t="s">
        <v>80</v>
      </c>
      <c r="BE337" s="18">
        <v>2020</v>
      </c>
      <c r="BF337" s="21" t="s">
        <v>43</v>
      </c>
      <c r="BG337" s="44">
        <f>+MIT_Vic_Cap[[#This Row],[Trenes Puntuales]]/MIT_Vic_Cap[[#This Row],[Trenes Programados]]</f>
        <v>0.73502304147465436</v>
      </c>
      <c r="BH337" s="44">
        <f>+MIT_Vic_Cap[[#This Row],[Trenes Puntuales]]/MIT_Vic_Cap[[#This Row],[Trenes Corridos]]</f>
        <v>0.85983827493261455</v>
      </c>
      <c r="BI337" s="44">
        <f>+MIT_Vic_Cap[[#This Row],[Trenes Corridos]]/MIT_Vic_Cap[[#This Row],[Trenes Programados]]</f>
        <v>0.85483870967741937</v>
      </c>
      <c r="BJ337" s="16">
        <v>25</v>
      </c>
      <c r="BK337" s="16">
        <v>2</v>
      </c>
      <c r="BL337" s="16">
        <v>434</v>
      </c>
      <c r="BM337" s="16">
        <f t="shared" si="187"/>
        <v>63</v>
      </c>
      <c r="BN337" s="16">
        <v>371</v>
      </c>
      <c r="BO337" s="16">
        <v>319</v>
      </c>
      <c r="BP337" s="16">
        <f t="shared" si="192"/>
        <v>52</v>
      </c>
      <c r="BQ337" s="19" t="s">
        <v>82</v>
      </c>
      <c r="BS337" s="18">
        <v>2020</v>
      </c>
      <c r="BT337" s="21" t="s">
        <v>43</v>
      </c>
      <c r="BU337" s="44">
        <f>+Tabla8[[#This Row],[Trenes Puntuales]]/Tabla8[[#This Row],[Trenes Programados]]</f>
        <v>0.57526881720430112</v>
      </c>
      <c r="BV337" s="44">
        <f>+Tabla8[[#This Row],[Trenes Puntuales]]/Tabla8[[#This Row],[Trenes Corridos]]</f>
        <v>0.58152173913043481</v>
      </c>
      <c r="BW337" s="44">
        <f>+Tabla8[[#This Row],[Trenes Corridos]]/Tabla8[[#This Row],[Trenes Programados]]</f>
        <v>0.989247311827957</v>
      </c>
      <c r="BX337" s="16">
        <v>12</v>
      </c>
      <c r="BY337" s="16">
        <v>2</v>
      </c>
      <c r="BZ337" s="16">
        <v>372</v>
      </c>
      <c r="CA337" s="16">
        <f t="shared" si="205"/>
        <v>4</v>
      </c>
      <c r="CB337" s="16">
        <v>368</v>
      </c>
      <c r="CC337" s="16">
        <v>214</v>
      </c>
      <c r="CD337" s="16">
        <f t="shared" si="206"/>
        <v>154</v>
      </c>
      <c r="CE337" s="279"/>
      <c r="CI337" s="40"/>
      <c r="CJ337" s="277"/>
      <c r="CK337" s="40"/>
      <c r="CL337" s="40"/>
      <c r="CM337" s="40"/>
    </row>
    <row r="338" spans="1:91" s="18" customFormat="1" ht="15" customHeight="1">
      <c r="A338" s="18">
        <v>2020</v>
      </c>
      <c r="B338" s="21" t="s">
        <v>44</v>
      </c>
      <c r="C338" s="15">
        <f>+MITRE[[#This Row],[Trenes Puntuales]]/MITRE[[#This Row],[Trenes Programados]]</f>
        <v>0.7614840989399293</v>
      </c>
      <c r="D338" s="15">
        <f>+MITRE[[#This Row],[Trenes Puntuales]]/MITRE[[#This Row],[Trenes Corridos]]</f>
        <v>0.91767210787792763</v>
      </c>
      <c r="E338" s="15">
        <f>+MITRE[[#This Row],[Trenes Corridos]]/MITRE[[#This Row],[Trenes Programados]]</f>
        <v>0.82979976442873971</v>
      </c>
      <c r="F338" s="16">
        <f>+Tabla4[[#This Row],[Trenes Programados por Día Hábil]]+Tabla5[[#This Row],[Trenes Programados por Día Hábil]]+Tabla6[[#This Row],[Trenes Programados por Día Hábil]]+MIT_Vic_Cap[[#This Row],[Trenes Programados por Día Hábil]]+Tabla8[[#This Row],[Trenes Programados por Día Hábil]]</f>
        <v>425</v>
      </c>
      <c r="G33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5.5500354861603975</v>
      </c>
      <c r="H338" s="16">
        <f t="shared" si="207"/>
        <v>6792</v>
      </c>
      <c r="I338" s="16">
        <f t="shared" si="208"/>
        <v>1156</v>
      </c>
      <c r="J338" s="16">
        <f t="shared" si="209"/>
        <v>5636</v>
      </c>
      <c r="K338" s="16">
        <f t="shared" si="210"/>
        <v>5172</v>
      </c>
      <c r="L338" s="16">
        <f t="shared" si="211"/>
        <v>464</v>
      </c>
      <c r="M338" s="19" t="s">
        <v>80</v>
      </c>
      <c r="O338" s="18">
        <v>2020</v>
      </c>
      <c r="P338" s="21" t="s">
        <v>44</v>
      </c>
      <c r="Q338" s="44">
        <f>+Tabla4[[#This Row],[Trenes Puntuales]]/Tabla4[[#This Row],[Trenes Programados]]</f>
        <v>0.64516129032258063</v>
      </c>
      <c r="R338" s="44">
        <f>+Tabla4[[#This Row],[Trenes Puntuales]]/Tabla4[[#This Row],[Trenes Corridos]]</f>
        <v>0.98881695114773394</v>
      </c>
      <c r="S338" s="44">
        <f>+Tabla4[[#This Row],[Trenes Corridos]]/Tabla4[[#This Row],[Trenes Programados]]</f>
        <v>0.65245775729646693</v>
      </c>
      <c r="T338" s="16">
        <v>166</v>
      </c>
      <c r="U338" s="16">
        <v>6</v>
      </c>
      <c r="V338" s="16">
        <v>2604</v>
      </c>
      <c r="W338" s="16">
        <f t="shared" si="199"/>
        <v>905</v>
      </c>
      <c r="X338" s="16">
        <v>1699</v>
      </c>
      <c r="Y338" s="16">
        <v>1680</v>
      </c>
      <c r="Z338" s="16">
        <f t="shared" si="200"/>
        <v>19</v>
      </c>
      <c r="AA338" s="19" t="s">
        <v>80</v>
      </c>
      <c r="AC338" s="18">
        <v>2020</v>
      </c>
      <c r="AD338" s="21" t="s">
        <v>44</v>
      </c>
      <c r="AE338" s="44">
        <f>+Tabla5[[#This Row],[Trenes Puntuales]]/Tabla5[[#This Row],[Trenes Programados]]</f>
        <v>0.88823987538940807</v>
      </c>
      <c r="AF338" s="44">
        <f>+Tabla5[[#This Row],[Trenes Puntuales]]/Tabla5[[#This Row],[Trenes Corridos]]</f>
        <v>0.91643230212936921</v>
      </c>
      <c r="AG338" s="44">
        <f>+Tabla5[[#This Row],[Trenes Corridos]]/Tabla5[[#This Row],[Trenes Programados]]</f>
        <v>0.96923676012461057</v>
      </c>
      <c r="AH338" s="16">
        <v>158</v>
      </c>
      <c r="AI338" s="16">
        <v>6</v>
      </c>
      <c r="AJ338" s="16">
        <v>2568</v>
      </c>
      <c r="AK338" s="16">
        <f t="shared" si="201"/>
        <v>79</v>
      </c>
      <c r="AL338" s="16">
        <v>2489</v>
      </c>
      <c r="AM338" s="16">
        <v>2281</v>
      </c>
      <c r="AN338" s="16">
        <f t="shared" si="202"/>
        <v>208</v>
      </c>
      <c r="AO338" s="19" t="s">
        <v>80</v>
      </c>
      <c r="AQ338" s="18">
        <v>2020</v>
      </c>
      <c r="AR338" s="21" t="s">
        <v>44</v>
      </c>
      <c r="AS338" s="44">
        <f>+Tabla6[[#This Row],[Trenes Puntuales]]/Tabla6[[#This Row],[Trenes Programados]]</f>
        <v>0.8928571428571429</v>
      </c>
      <c r="AT338" s="44">
        <f>+Tabla6[[#This Row],[Trenes Puntuales]]/Tabla6[[#This Row],[Trenes Corridos]]</f>
        <v>0.92137592137592139</v>
      </c>
      <c r="AU338" s="44">
        <f>+Tabla6[[#This Row],[Trenes Corridos]]/Tabla6[[#This Row],[Trenes Programados]]</f>
        <v>0.96904761904761905</v>
      </c>
      <c r="AV338" s="16">
        <v>64</v>
      </c>
      <c r="AW338" s="16">
        <v>6</v>
      </c>
      <c r="AX338" s="16">
        <v>840</v>
      </c>
      <c r="AY338" s="16">
        <f t="shared" si="203"/>
        <v>26</v>
      </c>
      <c r="AZ338" s="16">
        <v>814</v>
      </c>
      <c r="BA338" s="16">
        <v>750</v>
      </c>
      <c r="BB338" s="16">
        <f t="shared" si="204"/>
        <v>64</v>
      </c>
      <c r="BC338" s="19" t="s">
        <v>80</v>
      </c>
      <c r="BE338" s="18">
        <v>2020</v>
      </c>
      <c r="BF338" s="21" t="s">
        <v>44</v>
      </c>
      <c r="BG338" s="44">
        <f>+MIT_Vic_Cap[[#This Row],[Trenes Puntuales]]/MIT_Vic_Cap[[#This Row],[Trenes Programados]]</f>
        <v>0.58571428571428574</v>
      </c>
      <c r="BH338" s="44">
        <f>+MIT_Vic_Cap[[#This Row],[Trenes Puntuales]]/MIT_Vic_Cap[[#This Row],[Trenes Corridos]]</f>
        <v>0.89130434782608692</v>
      </c>
      <c r="BI338" s="44">
        <f>+MIT_Vic_Cap[[#This Row],[Trenes Corridos]]/MIT_Vic_Cap[[#This Row],[Trenes Programados]]</f>
        <v>0.65714285714285714</v>
      </c>
      <c r="BJ338" s="16">
        <v>25</v>
      </c>
      <c r="BK338" s="16">
        <v>2</v>
      </c>
      <c r="BL338" s="16">
        <v>420</v>
      </c>
      <c r="BM338" s="16">
        <f t="shared" si="187"/>
        <v>144</v>
      </c>
      <c r="BN338" s="16">
        <v>276</v>
      </c>
      <c r="BO338" s="16">
        <v>246</v>
      </c>
      <c r="BP338" s="16">
        <f t="shared" si="192"/>
        <v>30</v>
      </c>
      <c r="BQ338" s="19" t="s">
        <v>80</v>
      </c>
      <c r="BS338" s="18">
        <v>2020</v>
      </c>
      <c r="BT338" s="21" t="s">
        <v>44</v>
      </c>
      <c r="BU338" s="44">
        <f>+Tabla8[[#This Row],[Trenes Puntuales]]/Tabla8[[#This Row],[Trenes Programados]]</f>
        <v>0.59722222222222221</v>
      </c>
      <c r="BV338" s="44">
        <f>+Tabla8[[#This Row],[Trenes Puntuales]]/Tabla8[[#This Row],[Trenes Corridos]]</f>
        <v>0.6005586592178771</v>
      </c>
      <c r="BW338" s="44">
        <f>+Tabla8[[#This Row],[Trenes Corridos]]/Tabla8[[#This Row],[Trenes Programados]]</f>
        <v>0.99444444444444446</v>
      </c>
      <c r="BX338" s="16">
        <v>12</v>
      </c>
      <c r="BY338" s="16">
        <v>2</v>
      </c>
      <c r="BZ338" s="16">
        <v>360</v>
      </c>
      <c r="CA338" s="16">
        <f t="shared" si="205"/>
        <v>2</v>
      </c>
      <c r="CB338" s="16">
        <v>358</v>
      </c>
      <c r="CC338" s="16">
        <v>215</v>
      </c>
      <c r="CD338" s="16">
        <f t="shared" si="206"/>
        <v>143</v>
      </c>
      <c r="CE338" s="279"/>
      <c r="CI338" s="40"/>
      <c r="CJ338" s="277"/>
      <c r="CK338" s="40"/>
      <c r="CL338" s="40"/>
      <c r="CM338" s="40"/>
    </row>
    <row r="339" spans="1:91" s="18" customFormat="1" ht="15" customHeight="1">
      <c r="A339" s="18">
        <v>2020</v>
      </c>
      <c r="B339" s="21" t="s">
        <v>45</v>
      </c>
      <c r="C339" s="15">
        <f>+MITRE[[#This Row],[Trenes Puntuales]]/MITRE[[#This Row],[Trenes Programados]]</f>
        <v>0.85367289857205952</v>
      </c>
      <c r="D339" s="15">
        <f>+MITRE[[#This Row],[Trenes Puntuales]]/MITRE[[#This Row],[Trenes Corridos]]</f>
        <v>0.91050400376825247</v>
      </c>
      <c r="E339" s="15">
        <f>+MITRE[[#This Row],[Trenes Corridos]]/MITRE[[#This Row],[Trenes Programados]]</f>
        <v>0.93758280582953035</v>
      </c>
      <c r="F339" s="16">
        <f>+Tabla4[[#This Row],[Trenes Programados por Día Hábil]]+Tabla5[[#This Row],[Trenes Programados por Día Hábil]]+Tabla6[[#This Row],[Trenes Programados por Día Hábil]]+MIT_Vic_Cap[[#This Row],[Trenes Programados por Día Hábil]]+Tabla8[[#This Row],[Trenes Programados por Día Hábil]]</f>
        <v>425</v>
      </c>
      <c r="G33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5.5635107552205998</v>
      </c>
      <c r="H339" s="16">
        <f t="shared" si="207"/>
        <v>6793</v>
      </c>
      <c r="I339" s="16">
        <f t="shared" si="208"/>
        <v>424</v>
      </c>
      <c r="J339" s="16">
        <f t="shared" si="209"/>
        <v>6369</v>
      </c>
      <c r="K339" s="16">
        <f t="shared" si="210"/>
        <v>5799</v>
      </c>
      <c r="L339" s="16">
        <f t="shared" si="211"/>
        <v>570</v>
      </c>
      <c r="M339" s="19" t="s">
        <v>80</v>
      </c>
      <c r="O339" s="18">
        <v>2020</v>
      </c>
      <c r="P339" s="21" t="s">
        <v>45</v>
      </c>
      <c r="Q339" s="44">
        <f>+Tabla4[[#This Row],[Trenes Puntuales]]/Tabla4[[#This Row],[Trenes Programados]]</f>
        <v>0.94117647058823528</v>
      </c>
      <c r="R339" s="44">
        <f>+Tabla4[[#This Row],[Trenes Puntuales]]/Tabla4[[#This Row],[Trenes Corridos]]</f>
        <v>0.98167330677290832</v>
      </c>
      <c r="S339" s="44">
        <f>+Tabla4[[#This Row],[Trenes Corridos]]/Tabla4[[#This Row],[Trenes Programados]]</f>
        <v>0.95874713521772348</v>
      </c>
      <c r="T339" s="16">
        <v>166</v>
      </c>
      <c r="U339" s="16">
        <v>6</v>
      </c>
      <c r="V339" s="16">
        <v>2618</v>
      </c>
      <c r="W339" s="16">
        <f t="shared" si="199"/>
        <v>108</v>
      </c>
      <c r="X339" s="16">
        <v>2510</v>
      </c>
      <c r="Y339" s="16">
        <v>2464</v>
      </c>
      <c r="Z339" s="16">
        <f t="shared" si="200"/>
        <v>46</v>
      </c>
      <c r="AA339" s="19" t="s">
        <v>80</v>
      </c>
      <c r="AC339" s="18">
        <v>2020</v>
      </c>
      <c r="AD339" s="21" t="s">
        <v>45</v>
      </c>
      <c r="AE339" s="44">
        <f>+Tabla5[[#This Row],[Trenes Puntuales]]/Tabla5[[#This Row],[Trenes Programados]]</f>
        <v>0.84106222750693616</v>
      </c>
      <c r="AF339" s="44">
        <f>+Tabla5[[#This Row],[Trenes Puntuales]]/Tabla5[[#This Row],[Trenes Corridos]]</f>
        <v>0.89122217555648886</v>
      </c>
      <c r="AG339" s="44">
        <f>+Tabla5[[#This Row],[Trenes Corridos]]/Tabla5[[#This Row],[Trenes Programados]]</f>
        <v>0.94371779627427665</v>
      </c>
      <c r="AH339" s="16">
        <v>158</v>
      </c>
      <c r="AI339" s="16">
        <v>6</v>
      </c>
      <c r="AJ339" s="16">
        <v>2523</v>
      </c>
      <c r="AK339" s="16">
        <f t="shared" si="201"/>
        <v>142</v>
      </c>
      <c r="AL339" s="16">
        <v>2381</v>
      </c>
      <c r="AM339" s="16">
        <v>2122</v>
      </c>
      <c r="AN339" s="16">
        <f t="shared" si="202"/>
        <v>259</v>
      </c>
      <c r="AO339" s="19" t="s">
        <v>80</v>
      </c>
      <c r="AQ339" s="18">
        <v>2020</v>
      </c>
      <c r="AR339" s="21" t="s">
        <v>45</v>
      </c>
      <c r="AS339" s="44">
        <f>+Tabla6[[#This Row],[Trenes Puntuales]]/Tabla6[[#This Row],[Trenes Programados]]</f>
        <v>0.82505910165484631</v>
      </c>
      <c r="AT339" s="44">
        <f>+Tabla6[[#This Row],[Trenes Puntuales]]/Tabla6[[#This Row],[Trenes Corridos]]</f>
        <v>0.89144316730523632</v>
      </c>
      <c r="AU339" s="44">
        <f>+Tabla6[[#This Row],[Trenes Corridos]]/Tabla6[[#This Row],[Trenes Programados]]</f>
        <v>0.92553191489361697</v>
      </c>
      <c r="AV339" s="16">
        <v>64</v>
      </c>
      <c r="AW339" s="16">
        <v>6</v>
      </c>
      <c r="AX339" s="16">
        <v>846</v>
      </c>
      <c r="AY339" s="16">
        <f t="shared" si="203"/>
        <v>63</v>
      </c>
      <c r="AZ339" s="16">
        <v>783</v>
      </c>
      <c r="BA339" s="16">
        <v>698</v>
      </c>
      <c r="BB339" s="16">
        <f t="shared" si="204"/>
        <v>85</v>
      </c>
      <c r="BC339" s="19" t="s">
        <v>80</v>
      </c>
      <c r="BE339" s="18">
        <v>2020</v>
      </c>
      <c r="BF339" s="21" t="s">
        <v>45</v>
      </c>
      <c r="BG339" s="44">
        <f>+MIT_Vic_Cap[[#This Row],[Trenes Puntuales]]/MIT_Vic_Cap[[#This Row],[Trenes Programados]]</f>
        <v>0.67741935483870963</v>
      </c>
      <c r="BH339" s="44">
        <f>+MIT_Vic_Cap[[#This Row],[Trenes Puntuales]]/MIT_Vic_Cap[[#This Row],[Trenes Corridos]]</f>
        <v>0.85964912280701755</v>
      </c>
      <c r="BI339" s="44">
        <f>+MIT_Vic_Cap[[#This Row],[Trenes Corridos]]/MIT_Vic_Cap[[#This Row],[Trenes Programados]]</f>
        <v>0.78801843317972353</v>
      </c>
      <c r="BJ339" s="16">
        <v>25</v>
      </c>
      <c r="BK339" s="16">
        <v>2</v>
      </c>
      <c r="BL339" s="16">
        <v>434</v>
      </c>
      <c r="BM339" s="16">
        <f t="shared" si="187"/>
        <v>92</v>
      </c>
      <c r="BN339" s="16">
        <v>342</v>
      </c>
      <c r="BO339" s="16">
        <v>294</v>
      </c>
      <c r="BP339" s="16">
        <f t="shared" si="192"/>
        <v>48</v>
      </c>
      <c r="BQ339" s="19" t="s">
        <v>80</v>
      </c>
      <c r="BS339" s="18">
        <v>2020</v>
      </c>
      <c r="BT339" s="21" t="s">
        <v>45</v>
      </c>
      <c r="BU339" s="44">
        <f>+Tabla8[[#This Row],[Trenes Puntuales]]/Tabla8[[#This Row],[Trenes Programados]]</f>
        <v>0.59408602150537637</v>
      </c>
      <c r="BV339" s="44">
        <f>+Tabla8[[#This Row],[Trenes Puntuales]]/Tabla8[[#This Row],[Trenes Corridos]]</f>
        <v>0.62606232294617559</v>
      </c>
      <c r="BW339" s="44">
        <f>+Tabla8[[#This Row],[Trenes Corridos]]/Tabla8[[#This Row],[Trenes Programados]]</f>
        <v>0.94892473118279574</v>
      </c>
      <c r="BX339" s="16">
        <v>12</v>
      </c>
      <c r="BY339" s="16">
        <v>2</v>
      </c>
      <c r="BZ339" s="16">
        <v>372</v>
      </c>
      <c r="CA339" s="16">
        <f t="shared" si="205"/>
        <v>19</v>
      </c>
      <c r="CB339" s="16">
        <v>353</v>
      </c>
      <c r="CC339" s="16">
        <v>221</v>
      </c>
      <c r="CD339" s="16">
        <f t="shared" si="206"/>
        <v>132</v>
      </c>
      <c r="CE339" s="279"/>
      <c r="CI339" s="40"/>
      <c r="CJ339" s="277"/>
      <c r="CK339" s="40"/>
      <c r="CL339" s="40"/>
      <c r="CM339" s="40"/>
    </row>
    <row r="340" spans="1:91" s="18" customFormat="1" ht="15" customHeight="1">
      <c r="A340" s="18">
        <v>2020</v>
      </c>
      <c r="B340" s="21" t="s">
        <v>46</v>
      </c>
      <c r="C340" s="15">
        <f>+MITRE[[#This Row],[Trenes Puntuales]]/MITRE[[#This Row],[Trenes Programados]]</f>
        <v>0.86621212121212121</v>
      </c>
      <c r="D340" s="15">
        <f>+MITRE[[#This Row],[Trenes Puntuales]]/MITRE[[#This Row],[Trenes Corridos]]</f>
        <v>0.90031496062992122</v>
      </c>
      <c r="E340" s="15">
        <f>+MITRE[[#This Row],[Trenes Corridos]]/MITRE[[#This Row],[Trenes Programados]]</f>
        <v>0.96212121212121215</v>
      </c>
      <c r="F340" s="16">
        <f>+Tabla4[[#This Row],[Trenes Programados por Día Hábil]]+Tabla5[[#This Row],[Trenes Programados por Día Hábil]]+Tabla6[[#This Row],[Trenes Programados por Día Hábil]]+MIT_Vic_Cap[[#This Row],[Trenes Programados por Día Hábil]]+Tabla8[[#This Row],[Trenes Programados por Día Hábil]]</f>
        <v>425</v>
      </c>
      <c r="G34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5.5414173228346453</v>
      </c>
      <c r="H340" s="16">
        <f t="shared" si="207"/>
        <v>6600</v>
      </c>
      <c r="I340" s="16">
        <f t="shared" si="208"/>
        <v>250</v>
      </c>
      <c r="J340" s="16">
        <f t="shared" si="209"/>
        <v>6350</v>
      </c>
      <c r="K340" s="16">
        <f t="shared" si="210"/>
        <v>5717</v>
      </c>
      <c r="L340" s="16">
        <f t="shared" si="211"/>
        <v>633</v>
      </c>
      <c r="M340" s="19" t="s">
        <v>80</v>
      </c>
      <c r="O340" s="18">
        <v>2020</v>
      </c>
      <c r="P340" s="40" t="s">
        <v>46</v>
      </c>
      <c r="Q340" s="44">
        <f>+Tabla4[[#This Row],[Trenes Puntuales]]/Tabla4[[#This Row],[Trenes Programados]]</f>
        <v>0.97261904761904761</v>
      </c>
      <c r="R340" s="44">
        <f>+Tabla4[[#This Row],[Trenes Puntuales]]/Tabla4[[#This Row],[Trenes Corridos]]</f>
        <v>0.98079231692677071</v>
      </c>
      <c r="S340" s="44">
        <f>+Tabla4[[#This Row],[Trenes Corridos]]/Tabla4[[#This Row],[Trenes Programados]]</f>
        <v>0.9916666666666667</v>
      </c>
      <c r="T340" s="16">
        <v>166</v>
      </c>
      <c r="U340" s="16">
        <v>6</v>
      </c>
      <c r="V340" s="16">
        <v>2520</v>
      </c>
      <c r="W340" s="16">
        <f t="shared" si="199"/>
        <v>21</v>
      </c>
      <c r="X340" s="16">
        <v>2499</v>
      </c>
      <c r="Y340" s="16">
        <v>2451</v>
      </c>
      <c r="Z340" s="16">
        <f t="shared" si="200"/>
        <v>48</v>
      </c>
      <c r="AA340" s="19" t="s">
        <v>80</v>
      </c>
      <c r="AC340" s="18">
        <v>2020</v>
      </c>
      <c r="AD340" s="21" t="s">
        <v>46</v>
      </c>
      <c r="AE340" s="44">
        <f>+Tabla5[[#This Row],[Trenes Puntuales]]/Tabla5[[#This Row],[Trenes Programados]]</f>
        <v>0.82154471544715446</v>
      </c>
      <c r="AF340" s="44">
        <f>+Tabla5[[#This Row],[Trenes Puntuales]]/Tabla5[[#This Row],[Trenes Corridos]]</f>
        <v>0.87869565217391299</v>
      </c>
      <c r="AG340" s="44">
        <f>+Tabla5[[#This Row],[Trenes Corridos]]/Tabla5[[#This Row],[Trenes Programados]]</f>
        <v>0.93495934959349591</v>
      </c>
      <c r="AH340" s="16">
        <v>158</v>
      </c>
      <c r="AI340" s="16">
        <v>6</v>
      </c>
      <c r="AJ340" s="16">
        <v>2460</v>
      </c>
      <c r="AK340" s="16">
        <f t="shared" si="201"/>
        <v>160</v>
      </c>
      <c r="AL340" s="16">
        <v>2300</v>
      </c>
      <c r="AM340" s="16">
        <v>2021</v>
      </c>
      <c r="AN340" s="16">
        <f t="shared" si="202"/>
        <v>279</v>
      </c>
      <c r="AO340" s="19" t="s">
        <v>80</v>
      </c>
      <c r="AQ340" s="18">
        <v>2020</v>
      </c>
      <c r="AR340" s="21" t="s">
        <v>46</v>
      </c>
      <c r="AS340" s="44">
        <f>+Tabla6[[#This Row],[Trenes Puntuales]]/Tabla6[[#This Row],[Trenes Programados]]</f>
        <v>0.89404761904761909</v>
      </c>
      <c r="AT340" s="44">
        <f>+Tabla6[[#This Row],[Trenes Puntuales]]/Tabla6[[#This Row],[Trenes Corridos]]</f>
        <v>0.9125151883353585</v>
      </c>
      <c r="AU340" s="44">
        <f>+Tabla6[[#This Row],[Trenes Corridos]]/Tabla6[[#This Row],[Trenes Programados]]</f>
        <v>0.97976190476190472</v>
      </c>
      <c r="AV340" s="16">
        <v>64</v>
      </c>
      <c r="AW340" s="16">
        <v>6</v>
      </c>
      <c r="AX340" s="16">
        <v>840</v>
      </c>
      <c r="AY340" s="16">
        <f t="shared" si="203"/>
        <v>17</v>
      </c>
      <c r="AZ340" s="16">
        <v>823</v>
      </c>
      <c r="BA340" s="16">
        <v>751</v>
      </c>
      <c r="BB340" s="16">
        <f t="shared" si="204"/>
        <v>72</v>
      </c>
      <c r="BC340" s="19" t="s">
        <v>80</v>
      </c>
      <c r="BE340" s="18">
        <v>2020</v>
      </c>
      <c r="BF340" s="18" t="s">
        <v>46</v>
      </c>
      <c r="BG340" s="44">
        <f>+MIT_Vic_Cap[[#This Row],[Trenes Puntuales]]/MIT_Vic_Cap[[#This Row],[Trenes Programados]]</f>
        <v>0.7857142857142857</v>
      </c>
      <c r="BH340" s="44">
        <f>+MIT_Vic_Cap[[#This Row],[Trenes Puntuales]]/MIT_Vic_Cap[[#This Row],[Trenes Corridos]]</f>
        <v>0.81280788177339902</v>
      </c>
      <c r="BI340" s="44">
        <f>+MIT_Vic_Cap[[#This Row],[Trenes Corridos]]/MIT_Vic_Cap[[#This Row],[Trenes Programados]]</f>
        <v>0.96666666666666667</v>
      </c>
      <c r="BJ340" s="16">
        <v>25</v>
      </c>
      <c r="BK340" s="16">
        <v>2</v>
      </c>
      <c r="BL340" s="16">
        <v>420</v>
      </c>
      <c r="BM340" s="16">
        <f t="shared" si="187"/>
        <v>14</v>
      </c>
      <c r="BN340" s="16">
        <v>406</v>
      </c>
      <c r="BO340" s="16">
        <v>330</v>
      </c>
      <c r="BP340" s="16">
        <f t="shared" si="192"/>
        <v>76</v>
      </c>
      <c r="BQ340" s="19" t="s">
        <v>80</v>
      </c>
      <c r="BS340" s="18">
        <v>2020</v>
      </c>
      <c r="BT340" s="21" t="s">
        <v>46</v>
      </c>
      <c r="BU340" s="44">
        <f>+Tabla8[[#This Row],[Trenes Puntuales]]/Tabla8[[#This Row],[Trenes Programados]]</f>
        <v>0.45555555555555555</v>
      </c>
      <c r="BV340" s="44">
        <f>+Tabla8[[#This Row],[Trenes Puntuales]]/Tabla8[[#This Row],[Trenes Corridos]]</f>
        <v>0.50931677018633537</v>
      </c>
      <c r="BW340" s="44">
        <f>+Tabla8[[#This Row],[Trenes Corridos]]/Tabla8[[#This Row],[Trenes Programados]]</f>
        <v>0.89444444444444449</v>
      </c>
      <c r="BX340" s="16">
        <v>12</v>
      </c>
      <c r="BY340" s="16">
        <v>2</v>
      </c>
      <c r="BZ340" s="16">
        <v>360</v>
      </c>
      <c r="CA340" s="16">
        <f t="shared" si="205"/>
        <v>38</v>
      </c>
      <c r="CB340" s="16">
        <v>322</v>
      </c>
      <c r="CC340" s="16">
        <v>164</v>
      </c>
      <c r="CD340" s="16">
        <f t="shared" si="206"/>
        <v>158</v>
      </c>
      <c r="CE340" s="279"/>
      <c r="CI340" s="40"/>
      <c r="CJ340" s="277"/>
      <c r="CK340" s="40"/>
      <c r="CL340" s="40"/>
      <c r="CM340" s="40"/>
    </row>
    <row r="341" spans="1:91" s="18" customFormat="1" ht="15" customHeight="1">
      <c r="A341" s="18">
        <v>2020</v>
      </c>
      <c r="B341" s="21" t="s">
        <v>47</v>
      </c>
      <c r="C341" s="15">
        <f>+MITRE[[#This Row],[Trenes Puntuales]]/MITRE[[#This Row],[Trenes Programados]]</f>
        <v>0.83881779402803169</v>
      </c>
      <c r="D341" s="15">
        <f>+MITRE[[#This Row],[Trenes Puntuales]]/MITRE[[#This Row],[Trenes Corridos]]</f>
        <v>0.86818038473667614</v>
      </c>
      <c r="E341" s="15">
        <f>+MITRE[[#This Row],[Trenes Corridos]]/MITRE[[#This Row],[Trenes Programados]]</f>
        <v>0.96617915904936014</v>
      </c>
      <c r="F341" s="16">
        <f>+Tabla4[[#This Row],[Trenes Programados por Día Hábil]]+Tabla5[[#This Row],[Trenes Programados por Día Hábil]]+Tabla6[[#This Row],[Trenes Programados por Día Hábil]]+MIT_Vic_Cap[[#This Row],[Trenes Programados por Día Hábil]]+Tabla8[[#This Row],[Trenes Programados por Día Hábil]]</f>
        <v>425</v>
      </c>
      <c r="G34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5.5137180700094603</v>
      </c>
      <c r="H341" s="16">
        <f t="shared" si="207"/>
        <v>6564</v>
      </c>
      <c r="I341" s="16">
        <f t="shared" si="208"/>
        <v>222</v>
      </c>
      <c r="J341" s="16">
        <f t="shared" si="209"/>
        <v>6342</v>
      </c>
      <c r="K341" s="16">
        <f t="shared" si="210"/>
        <v>5506</v>
      </c>
      <c r="L341" s="16">
        <f t="shared" si="211"/>
        <v>836</v>
      </c>
      <c r="M341" s="19" t="s">
        <v>80</v>
      </c>
      <c r="O341" s="18">
        <v>2020</v>
      </c>
      <c r="P341" s="21" t="s">
        <v>47</v>
      </c>
      <c r="Q341" s="44">
        <f>+Tabla4[[#This Row],[Trenes Puntuales]]/Tabla4[[#This Row],[Trenes Programados]]</f>
        <v>0.8932584269662921</v>
      </c>
      <c r="R341" s="44">
        <f>+Tabla4[[#This Row],[Trenes Puntuales]]/Tabla4[[#This Row],[Trenes Corridos]]</f>
        <v>0.9209764170459247</v>
      </c>
      <c r="S341" s="44">
        <f>+Tabla4[[#This Row],[Trenes Corridos]]/Tabla4[[#This Row],[Trenes Programados]]</f>
        <v>0.9699036918138042</v>
      </c>
      <c r="T341" s="16">
        <v>166</v>
      </c>
      <c r="U341" s="16">
        <v>6</v>
      </c>
      <c r="V341" s="16">
        <v>2492</v>
      </c>
      <c r="W341" s="16">
        <f t="shared" si="199"/>
        <v>75</v>
      </c>
      <c r="X341" s="16">
        <v>2417</v>
      </c>
      <c r="Y341" s="16">
        <v>2226</v>
      </c>
      <c r="Z341" s="16">
        <f t="shared" si="200"/>
        <v>191</v>
      </c>
      <c r="AA341" s="19" t="s">
        <v>80</v>
      </c>
      <c r="AC341" s="18">
        <v>2020</v>
      </c>
      <c r="AD341" s="21" t="s">
        <v>47</v>
      </c>
      <c r="AE341" s="44">
        <f>+Tabla5[[#This Row],[Trenes Puntuales]]/Tabla5[[#This Row],[Trenes Programados]]</f>
        <v>0.81901584653878234</v>
      </c>
      <c r="AF341" s="44">
        <f>+Tabla5[[#This Row],[Trenes Puntuales]]/Tabla5[[#This Row],[Trenes Corridos]]</f>
        <v>0.84838012958963283</v>
      </c>
      <c r="AG341" s="44">
        <f>+Tabla5[[#This Row],[Trenes Corridos]]/Tabla5[[#This Row],[Trenes Programados]]</f>
        <v>0.96538782318598837</v>
      </c>
      <c r="AH341" s="16">
        <v>158</v>
      </c>
      <c r="AI341" s="16">
        <v>6</v>
      </c>
      <c r="AJ341" s="16">
        <v>2398</v>
      </c>
      <c r="AK341" s="16">
        <f t="shared" si="201"/>
        <v>83</v>
      </c>
      <c r="AL341" s="16">
        <v>2315</v>
      </c>
      <c r="AM341" s="16">
        <v>1964</v>
      </c>
      <c r="AN341" s="16">
        <f t="shared" si="202"/>
        <v>351</v>
      </c>
      <c r="AO341" s="19" t="s">
        <v>80</v>
      </c>
      <c r="AQ341" s="18">
        <v>2020</v>
      </c>
      <c r="AR341" s="21" t="s">
        <v>47</v>
      </c>
      <c r="AS341" s="44">
        <f>+Tabla6[[#This Row],[Trenes Puntuales]]/Tabla6[[#This Row],[Trenes Programados]]</f>
        <v>0.84447004608294929</v>
      </c>
      <c r="AT341" s="44">
        <f>+Tabla6[[#This Row],[Trenes Puntuales]]/Tabla6[[#This Row],[Trenes Corridos]]</f>
        <v>0.8736591179976162</v>
      </c>
      <c r="AU341" s="44">
        <f>+Tabla6[[#This Row],[Trenes Corridos]]/Tabla6[[#This Row],[Trenes Programados]]</f>
        <v>0.96658986175115202</v>
      </c>
      <c r="AV341" s="16">
        <v>64</v>
      </c>
      <c r="AW341" s="16">
        <v>6</v>
      </c>
      <c r="AX341" s="16">
        <v>868</v>
      </c>
      <c r="AY341" s="16">
        <f t="shared" si="203"/>
        <v>29</v>
      </c>
      <c r="AZ341" s="16">
        <v>839</v>
      </c>
      <c r="BA341" s="16">
        <v>733</v>
      </c>
      <c r="BB341" s="16">
        <f t="shared" si="204"/>
        <v>106</v>
      </c>
      <c r="BC341" s="19" t="s">
        <v>80</v>
      </c>
      <c r="BE341" s="18">
        <v>2020</v>
      </c>
      <c r="BF341" s="18" t="s">
        <v>47</v>
      </c>
      <c r="BG341" s="44">
        <f>+MIT_Vic_Cap[[#This Row],[Trenes Puntuales]]/MIT_Vic_Cap[[#This Row],[Trenes Programados]]</f>
        <v>0.79723502304147464</v>
      </c>
      <c r="BH341" s="44">
        <f>+MIT_Vic_Cap[[#This Row],[Trenes Puntuales]]/MIT_Vic_Cap[[#This Row],[Trenes Corridos]]</f>
        <v>0.84184914841849146</v>
      </c>
      <c r="BI341" s="44">
        <f>+MIT_Vic_Cap[[#This Row],[Trenes Corridos]]/MIT_Vic_Cap[[#This Row],[Trenes Programados]]</f>
        <v>0.94700460829493083</v>
      </c>
      <c r="BJ341" s="16">
        <v>25</v>
      </c>
      <c r="BK341" s="16">
        <v>2</v>
      </c>
      <c r="BL341" s="16">
        <v>434</v>
      </c>
      <c r="BM341" s="16">
        <f>+MIT_Vic_Cap[[#This Row],[Trenes Programados]]-MIT_Vic_Cap[[#This Row],[Trenes Corridos]]</f>
        <v>23</v>
      </c>
      <c r="BN341" s="16">
        <v>411</v>
      </c>
      <c r="BO341" s="16">
        <v>346</v>
      </c>
      <c r="BP341" s="16">
        <f>+MIT_Vic_Cap[[#This Row],[Trenes Corridos]]-MIT_Vic_Cap[[#This Row],[Trenes Puntuales]]</f>
        <v>65</v>
      </c>
      <c r="BQ341" s="19" t="s">
        <v>80</v>
      </c>
      <c r="BS341" s="18">
        <v>2020</v>
      </c>
      <c r="BT341" s="21" t="s">
        <v>47</v>
      </c>
      <c r="BU341" s="44">
        <f>+Tabla8[[#This Row],[Trenes Puntuales]]/Tabla8[[#This Row],[Trenes Programados]]</f>
        <v>0.63709677419354838</v>
      </c>
      <c r="BV341" s="44">
        <f>+Tabla8[[#This Row],[Trenes Puntuales]]/Tabla8[[#This Row],[Trenes Corridos]]</f>
        <v>0.65833333333333333</v>
      </c>
      <c r="BW341" s="44">
        <f>+Tabla8[[#This Row],[Trenes Corridos]]/Tabla8[[#This Row],[Trenes Programados]]</f>
        <v>0.967741935483871</v>
      </c>
      <c r="BX341" s="16">
        <v>12</v>
      </c>
      <c r="BY341" s="16">
        <v>2</v>
      </c>
      <c r="BZ341" s="16">
        <v>372</v>
      </c>
      <c r="CA341" s="16">
        <f t="shared" si="205"/>
        <v>12</v>
      </c>
      <c r="CB341" s="16">
        <v>360</v>
      </c>
      <c r="CC341" s="16">
        <v>237</v>
      </c>
      <c r="CD341" s="16">
        <f t="shared" si="206"/>
        <v>123</v>
      </c>
      <c r="CE341" s="279"/>
      <c r="CI341" s="40"/>
      <c r="CJ341" s="277"/>
      <c r="CK341" s="40"/>
      <c r="CL341" s="40"/>
      <c r="CM341" s="40"/>
    </row>
    <row r="342" spans="1:91" s="18" customFormat="1" ht="15" customHeight="1">
      <c r="A342" s="18">
        <v>2021</v>
      </c>
      <c r="B342" s="21" t="s">
        <v>36</v>
      </c>
      <c r="C342" s="15">
        <f>+MITRE[[#This Row],[Trenes Puntuales]]/MITRE[[#This Row],[Trenes Programados]]</f>
        <v>0.84384251036116042</v>
      </c>
      <c r="D342" s="15">
        <f>+MITRE[[#This Row],[Trenes Puntuales]]/MITRE[[#This Row],[Trenes Corridos]]</f>
        <v>0.85331537195030682</v>
      </c>
      <c r="E342" s="15">
        <f>+MITRE[[#This Row],[Trenes Corridos]]/MITRE[[#This Row],[Trenes Programados]]</f>
        <v>0.988898756660746</v>
      </c>
      <c r="F342" s="16">
        <f>+Tabla4[[#This Row],[Trenes Programados por Día Hábil]]+Tabla5[[#This Row],[Trenes Programados por Día Hábil]]+Tabla6[[#This Row],[Trenes Programados por Día Hábil]]+MIT_Vic_Cap[[#This Row],[Trenes Programados por Día Hábil]]+Tabla8[[#This Row],[Trenes Programados por Día Hábil]]</f>
        <v>252</v>
      </c>
      <c r="G34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5.5461757221972761</v>
      </c>
      <c r="H342" s="16">
        <f t="shared" si="207"/>
        <v>6756</v>
      </c>
      <c r="I342" s="16">
        <f t="shared" si="208"/>
        <v>75</v>
      </c>
      <c r="J342" s="16">
        <f t="shared" si="209"/>
        <v>6681</v>
      </c>
      <c r="K342" s="16">
        <f t="shared" si="210"/>
        <v>5701</v>
      </c>
      <c r="L342" s="16">
        <f t="shared" si="211"/>
        <v>980</v>
      </c>
      <c r="M342" s="19" t="s">
        <v>80</v>
      </c>
      <c r="O342" s="18">
        <v>2021</v>
      </c>
      <c r="P342" s="21" t="s">
        <v>36</v>
      </c>
      <c r="Q342" s="44">
        <f>+Tabla4[[#This Row],[Trenes Puntuales]]/Tabla4[[#This Row],[Trenes Programados]]</f>
        <v>0.84277950310559002</v>
      </c>
      <c r="R342" s="44">
        <f>+Tabla4[[#This Row],[Trenes Puntuales]]/Tabla4[[#This Row],[Trenes Corridos]]</f>
        <v>0.84507590502140906</v>
      </c>
      <c r="S342" s="44">
        <f>+Tabla4[[#This Row],[Trenes Corridos]]/Tabla4[[#This Row],[Trenes Programados]]</f>
        <v>0.99728260869565222</v>
      </c>
      <c r="T342" s="16">
        <v>98</v>
      </c>
      <c r="U342" s="16">
        <v>6</v>
      </c>
      <c r="V342" s="16">
        <v>2576</v>
      </c>
      <c r="W342" s="16">
        <f t="shared" ref="W342:W349" si="212">+V342-X342</f>
        <v>7</v>
      </c>
      <c r="X342" s="16">
        <v>2569</v>
      </c>
      <c r="Y342" s="16">
        <v>2171</v>
      </c>
      <c r="Z342" s="16">
        <f t="shared" ref="Z342:Z347" si="213">+X342-Y342</f>
        <v>398</v>
      </c>
      <c r="AA342" s="19" t="s">
        <v>80</v>
      </c>
      <c r="AC342" s="18">
        <v>2021</v>
      </c>
      <c r="AD342" s="21" t="s">
        <v>36</v>
      </c>
      <c r="AE342" s="44">
        <f>+Tabla5[[#This Row],[Trenes Puntuales]]/Tabla5[[#This Row],[Trenes Programados]]</f>
        <v>0.87988826815642462</v>
      </c>
      <c r="AF342" s="44">
        <f>+Tabla5[[#This Row],[Trenes Puntuales]]/Tabla5[[#This Row],[Trenes Corridos]]</f>
        <v>0.88518667201926937</v>
      </c>
      <c r="AG342" s="44">
        <f>+Tabla5[[#This Row],[Trenes Corridos]]/Tabla5[[#This Row],[Trenes Programados]]</f>
        <v>0.99401436552274536</v>
      </c>
      <c r="AH342" s="16">
        <v>100</v>
      </c>
      <c r="AI342" s="16">
        <v>6</v>
      </c>
      <c r="AJ342" s="16">
        <v>2506</v>
      </c>
      <c r="AK342" s="16">
        <f t="shared" ref="AK342:AK349" si="214">+AJ342-AL342</f>
        <v>15</v>
      </c>
      <c r="AL342" s="16">
        <v>2491</v>
      </c>
      <c r="AM342" s="16">
        <v>2205</v>
      </c>
      <c r="AN342" s="16">
        <f t="shared" ref="AN342:AN347" si="215">+AL342-AM342</f>
        <v>286</v>
      </c>
      <c r="AO342" s="19" t="s">
        <v>80</v>
      </c>
      <c r="AQ342" s="18">
        <v>2021</v>
      </c>
      <c r="AR342" s="21" t="s">
        <v>36</v>
      </c>
      <c r="AS342" s="44">
        <f>+Tabla6[[#This Row],[Trenes Puntuales]]/Tabla6[[#This Row],[Trenes Programados]]</f>
        <v>0.85599078341013823</v>
      </c>
      <c r="AT342" s="44">
        <f>+Tabla6[[#This Row],[Trenes Puntuales]]/Tabla6[[#This Row],[Trenes Corridos]]</f>
        <v>0.86095017381228278</v>
      </c>
      <c r="AU342" s="44">
        <f>+Tabla6[[#This Row],[Trenes Corridos]]/Tabla6[[#This Row],[Trenes Programados]]</f>
        <v>0.99423963133640558</v>
      </c>
      <c r="AV342" s="16">
        <v>28</v>
      </c>
      <c r="AW342" s="16">
        <v>6</v>
      </c>
      <c r="AX342" s="16">
        <v>868</v>
      </c>
      <c r="AY342" s="16">
        <f t="shared" ref="AY342:AY347" si="216">+AX342-AZ342</f>
        <v>5</v>
      </c>
      <c r="AZ342" s="16">
        <v>863</v>
      </c>
      <c r="BA342" s="16">
        <v>743</v>
      </c>
      <c r="BB342" s="16">
        <f t="shared" ref="BB342:BB347" si="217">+AZ342-BA342</f>
        <v>120</v>
      </c>
      <c r="BC342" s="19" t="s">
        <v>80</v>
      </c>
      <c r="BE342" s="18">
        <v>2021</v>
      </c>
      <c r="BF342" s="18" t="s">
        <v>36</v>
      </c>
      <c r="BG342" s="44">
        <f>+MIT_Vic_Cap[[#This Row],[Trenes Puntuales]]/MIT_Vic_Cap[[#This Row],[Trenes Programados]]</f>
        <v>0.82488479262672809</v>
      </c>
      <c r="BH342" s="44">
        <f>+MIT_Vic_Cap[[#This Row],[Trenes Puntuales]]/MIT_Vic_Cap[[#This Row],[Trenes Corridos]]</f>
        <v>0.91794871794871791</v>
      </c>
      <c r="BI342" s="44">
        <f>+MIT_Vic_Cap[[#This Row],[Trenes Corridos]]/MIT_Vic_Cap[[#This Row],[Trenes Programados]]</f>
        <v>0.89861751152073732</v>
      </c>
      <c r="BJ342" s="16">
        <v>14</v>
      </c>
      <c r="BK342" s="16">
        <v>2</v>
      </c>
      <c r="BL342" s="16">
        <v>434</v>
      </c>
      <c r="BM342" s="16">
        <f>+MIT_Vic_Cap[[#This Row],[Trenes Programados]]-MIT_Vic_Cap[[#This Row],[Trenes Corridos]]</f>
        <v>44</v>
      </c>
      <c r="BN342" s="16">
        <v>390</v>
      </c>
      <c r="BO342" s="16">
        <v>358</v>
      </c>
      <c r="BP342" s="16">
        <f>+MIT_Vic_Cap[[#This Row],[Trenes Corridos]]-MIT_Vic_Cap[[#This Row],[Trenes Puntuales]]</f>
        <v>32</v>
      </c>
      <c r="BQ342" s="19" t="s">
        <v>80</v>
      </c>
      <c r="BS342" s="18">
        <v>2021</v>
      </c>
      <c r="BT342" s="21" t="s">
        <v>36</v>
      </c>
      <c r="BU342" s="44">
        <f>+Tabla8[[#This Row],[Trenes Puntuales]]/Tabla8[[#This Row],[Trenes Programados]]</f>
        <v>0.60215053763440862</v>
      </c>
      <c r="BV342" s="44">
        <f>+Tabla8[[#This Row],[Trenes Puntuales]]/Tabla8[[#This Row],[Trenes Corridos]]</f>
        <v>0.60869565217391308</v>
      </c>
      <c r="BW342" s="44">
        <f>+Tabla8[[#This Row],[Trenes Corridos]]/Tabla8[[#This Row],[Trenes Programados]]</f>
        <v>0.989247311827957</v>
      </c>
      <c r="BX342" s="16">
        <v>12</v>
      </c>
      <c r="BY342" s="16">
        <v>2</v>
      </c>
      <c r="BZ342" s="16">
        <v>372</v>
      </c>
      <c r="CA342" s="16">
        <f t="shared" ref="CA342:CA349" si="218">+BZ342-CB342</f>
        <v>4</v>
      </c>
      <c r="CB342" s="16">
        <v>368</v>
      </c>
      <c r="CC342" s="16">
        <v>224</v>
      </c>
      <c r="CD342" s="16">
        <f t="shared" ref="CD342:CD347" si="219">+CB342-CC342</f>
        <v>144</v>
      </c>
      <c r="CE342" s="279"/>
      <c r="CI342" s="40"/>
      <c r="CJ342" s="277"/>
      <c r="CK342" s="40"/>
      <c r="CL342" s="40"/>
      <c r="CM342" s="40"/>
    </row>
    <row r="343" spans="1:91" s="18" customFormat="1" ht="15" customHeight="1">
      <c r="A343" s="18">
        <v>2021</v>
      </c>
      <c r="B343" s="21" t="s">
        <v>37</v>
      </c>
      <c r="C343" s="15">
        <f>+MITRE[[#This Row],[Trenes Puntuales]]/MITRE[[#This Row],[Trenes Programados]]</f>
        <v>0.85351049868766404</v>
      </c>
      <c r="D343" s="15">
        <f>+MITRE[[#This Row],[Trenes Puntuales]]/MITRE[[#This Row],[Trenes Corridos]]</f>
        <v>0.87504204507231753</v>
      </c>
      <c r="E343" s="15">
        <f>+MITRE[[#This Row],[Trenes Corridos]]/MITRE[[#This Row],[Trenes Programados]]</f>
        <v>0.97539370078740162</v>
      </c>
      <c r="F343" s="16">
        <f>+Tabla4[[#This Row],[Trenes Programados por Día Hábil]]+Tabla5[[#This Row],[Trenes Programados por Día Hábil]]+Tabla6[[#This Row],[Trenes Programados por Día Hábil]]+MIT_Vic_Cap[[#This Row],[Trenes Programados por Día Hábil]]+Tabla8[[#This Row],[Trenes Programados por Día Hábil]]</f>
        <v>252</v>
      </c>
      <c r="G34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5.5371678439286915</v>
      </c>
      <c r="H343" s="16">
        <f t="shared" si="207"/>
        <v>6096</v>
      </c>
      <c r="I343" s="16">
        <f t="shared" si="208"/>
        <v>150</v>
      </c>
      <c r="J343" s="16">
        <f t="shared" si="209"/>
        <v>5946</v>
      </c>
      <c r="K343" s="16">
        <f t="shared" si="210"/>
        <v>5203</v>
      </c>
      <c r="L343" s="16">
        <f t="shared" si="211"/>
        <v>743</v>
      </c>
      <c r="M343" s="19" t="s">
        <v>80</v>
      </c>
      <c r="O343" s="18">
        <v>2021</v>
      </c>
      <c r="P343" s="21" t="s">
        <v>37</v>
      </c>
      <c r="Q343" s="44">
        <f>+Tabla4[[#This Row],[Trenes Puntuales]]/Tabla4[[#This Row],[Trenes Programados]]</f>
        <v>0.94922547332185891</v>
      </c>
      <c r="R343" s="44">
        <f>+Tabla4[[#This Row],[Trenes Puntuales]]/Tabla4[[#This Row],[Trenes Corridos]]</f>
        <v>0.96584938704028023</v>
      </c>
      <c r="S343" s="44">
        <f>+Tabla4[[#This Row],[Trenes Corridos]]/Tabla4[[#This Row],[Trenes Programados]]</f>
        <v>0.98278829604130813</v>
      </c>
      <c r="T343" s="16">
        <v>98</v>
      </c>
      <c r="U343" s="16">
        <v>6</v>
      </c>
      <c r="V343" s="16">
        <v>2324</v>
      </c>
      <c r="W343" s="16">
        <f t="shared" si="212"/>
        <v>40</v>
      </c>
      <c r="X343" s="16">
        <v>2284</v>
      </c>
      <c r="Y343" s="16">
        <v>2206</v>
      </c>
      <c r="Z343" s="16">
        <f t="shared" si="213"/>
        <v>78</v>
      </c>
      <c r="AA343" s="19" t="s">
        <v>80</v>
      </c>
      <c r="AC343" s="18">
        <v>2021</v>
      </c>
      <c r="AD343" s="21" t="s">
        <v>37</v>
      </c>
      <c r="AE343" s="44">
        <f>+Tabla5[[#This Row],[Trenes Puntuales]]/Tabla5[[#This Row],[Trenes Programados]]</f>
        <v>0.83805309734513278</v>
      </c>
      <c r="AF343" s="44">
        <f>+Tabla5[[#This Row],[Trenes Puntuales]]/Tabla5[[#This Row],[Trenes Corridos]]</f>
        <v>0.85507900677200899</v>
      </c>
      <c r="AG343" s="44">
        <f>+Tabla5[[#This Row],[Trenes Corridos]]/Tabla5[[#This Row],[Trenes Programados]]</f>
        <v>0.98008849557522126</v>
      </c>
      <c r="AH343" s="16">
        <v>100</v>
      </c>
      <c r="AI343" s="16">
        <v>6</v>
      </c>
      <c r="AJ343" s="16">
        <v>2260</v>
      </c>
      <c r="AK343" s="16">
        <f t="shared" si="214"/>
        <v>45</v>
      </c>
      <c r="AL343" s="16">
        <v>2215</v>
      </c>
      <c r="AM343" s="16">
        <v>1894</v>
      </c>
      <c r="AN343" s="16">
        <f t="shared" si="215"/>
        <v>321</v>
      </c>
      <c r="AO343" s="19" t="s">
        <v>80</v>
      </c>
      <c r="AQ343" s="18">
        <v>2021</v>
      </c>
      <c r="AR343" s="21" t="s">
        <v>37</v>
      </c>
      <c r="AS343" s="44">
        <f>+Tabla6[[#This Row],[Trenes Puntuales]]/Tabla6[[#This Row],[Trenes Programados]]</f>
        <v>0.83673469387755106</v>
      </c>
      <c r="AT343" s="44">
        <f>+Tabla6[[#This Row],[Trenes Puntuales]]/Tabla6[[#This Row],[Trenes Corridos]]</f>
        <v>0.86429512516469043</v>
      </c>
      <c r="AU343" s="44">
        <f>+Tabla6[[#This Row],[Trenes Corridos]]/Tabla6[[#This Row],[Trenes Programados]]</f>
        <v>0.96811224489795922</v>
      </c>
      <c r="AV343" s="16">
        <v>28</v>
      </c>
      <c r="AW343" s="16">
        <v>6</v>
      </c>
      <c r="AX343" s="16">
        <v>784</v>
      </c>
      <c r="AY343" s="16">
        <f t="shared" si="216"/>
        <v>25</v>
      </c>
      <c r="AZ343" s="16">
        <v>759</v>
      </c>
      <c r="BA343" s="16">
        <v>656</v>
      </c>
      <c r="BB343" s="16">
        <f t="shared" si="217"/>
        <v>103</v>
      </c>
      <c r="BC343" s="19" t="s">
        <v>80</v>
      </c>
      <c r="BE343" s="18">
        <v>2021</v>
      </c>
      <c r="BF343" s="18" t="s">
        <v>37</v>
      </c>
      <c r="BG343" s="44">
        <f>+MIT_Vic_Cap[[#This Row],[Trenes Puntuales]]/MIT_Vic_Cap[[#This Row],[Trenes Programados]]</f>
        <v>0.70663265306122447</v>
      </c>
      <c r="BH343" s="44">
        <f>+MIT_Vic_Cap[[#This Row],[Trenes Puntuales]]/MIT_Vic_Cap[[#This Row],[Trenes Corridos]]</f>
        <v>0.77158774373259054</v>
      </c>
      <c r="BI343" s="44">
        <f>+MIT_Vic_Cap[[#This Row],[Trenes Corridos]]/MIT_Vic_Cap[[#This Row],[Trenes Programados]]</f>
        <v>0.91581632653061229</v>
      </c>
      <c r="BJ343" s="16">
        <v>14</v>
      </c>
      <c r="BK343" s="16">
        <v>2</v>
      </c>
      <c r="BL343" s="16">
        <v>392</v>
      </c>
      <c r="BM343" s="16">
        <f>+MIT_Vic_Cap[[#This Row],[Trenes Programados]]-MIT_Vic_Cap[[#This Row],[Trenes Corridos]]</f>
        <v>33</v>
      </c>
      <c r="BN343" s="16">
        <v>359</v>
      </c>
      <c r="BO343" s="16">
        <v>277</v>
      </c>
      <c r="BP343" s="16">
        <f>+MIT_Vic_Cap[[#This Row],[Trenes Corridos]]-MIT_Vic_Cap[[#This Row],[Trenes Puntuales]]</f>
        <v>82</v>
      </c>
      <c r="BQ343" s="19" t="s">
        <v>80</v>
      </c>
      <c r="BS343" s="18">
        <v>2021</v>
      </c>
      <c r="BT343" s="21" t="s">
        <v>37</v>
      </c>
      <c r="BU343" s="44">
        <f>+Tabla8[[#This Row],[Trenes Puntuales]]/Tabla8[[#This Row],[Trenes Programados]]</f>
        <v>0.50595238095238093</v>
      </c>
      <c r="BV343" s="44">
        <f>+Tabla8[[#This Row],[Trenes Puntuales]]/Tabla8[[#This Row],[Trenes Corridos]]</f>
        <v>0.51671732522796354</v>
      </c>
      <c r="BW343" s="44">
        <f>+Tabla8[[#This Row],[Trenes Corridos]]/Tabla8[[#This Row],[Trenes Programados]]</f>
        <v>0.97916666666666663</v>
      </c>
      <c r="BX343" s="16">
        <v>12</v>
      </c>
      <c r="BY343" s="16">
        <v>2</v>
      </c>
      <c r="BZ343" s="16">
        <v>336</v>
      </c>
      <c r="CA343" s="16">
        <f t="shared" si="218"/>
        <v>7</v>
      </c>
      <c r="CB343" s="16">
        <v>329</v>
      </c>
      <c r="CC343" s="16">
        <v>170</v>
      </c>
      <c r="CD343" s="16">
        <f t="shared" si="219"/>
        <v>159</v>
      </c>
      <c r="CE343" s="279"/>
      <c r="CI343" s="40"/>
      <c r="CJ343" s="277"/>
      <c r="CK343" s="40"/>
      <c r="CL343" s="40"/>
      <c r="CM343" s="40"/>
    </row>
    <row r="344" spans="1:91" s="18" customFormat="1" ht="15" customHeight="1">
      <c r="A344" s="18">
        <v>2021</v>
      </c>
      <c r="B344" s="21" t="s">
        <v>38</v>
      </c>
      <c r="C344" s="15">
        <f>+MITRE[[#This Row],[Trenes Puntuales]]/MITRE[[#This Row],[Trenes Programados]]</f>
        <v>0.89147956246401838</v>
      </c>
      <c r="D344" s="15">
        <f>+MITRE[[#This Row],[Trenes Puntuales]]/MITRE[[#This Row],[Trenes Corridos]]</f>
        <v>0.90055248618784534</v>
      </c>
      <c r="E344" s="15">
        <f>+MITRE[[#This Row],[Trenes Corridos]]/MITRE[[#This Row],[Trenes Programados]]</f>
        <v>0.98992515831894068</v>
      </c>
      <c r="F344" s="16">
        <f>+Tabla4[[#This Row],[Trenes Programados por Día Hábil]]+Tabla5[[#This Row],[Trenes Programados por Día Hábil]]+Tabla6[[#This Row],[Trenes Programados por Día Hábil]]+MIT_Vic_Cap[[#This Row],[Trenes Programados por Día Hábil]]+Tabla8[[#This Row],[Trenes Programados por Día Hábil]]</f>
        <v>252</v>
      </c>
      <c r="G34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5.546379761558593</v>
      </c>
      <c r="H344" s="16">
        <f t="shared" si="207"/>
        <v>6948</v>
      </c>
      <c r="I344" s="16">
        <f t="shared" si="208"/>
        <v>70</v>
      </c>
      <c r="J344" s="16">
        <f t="shared" si="209"/>
        <v>6878</v>
      </c>
      <c r="K344" s="16">
        <f t="shared" si="210"/>
        <v>6194</v>
      </c>
      <c r="L344" s="16">
        <f t="shared" si="211"/>
        <v>684</v>
      </c>
      <c r="M344" s="19" t="s">
        <v>80</v>
      </c>
      <c r="O344" s="18">
        <v>2021</v>
      </c>
      <c r="P344" s="21" t="s">
        <v>38</v>
      </c>
      <c r="Q344" s="44">
        <f>+Tabla4[[#This Row],[Trenes Puntuales]]/Tabla4[[#This Row],[Trenes Programados]]</f>
        <v>0.9654135338345865</v>
      </c>
      <c r="R344" s="44">
        <f>+Tabla4[[#This Row],[Trenes Puntuales]]/Tabla4[[#This Row],[Trenes Corridos]]</f>
        <v>0.96905660377358493</v>
      </c>
      <c r="S344" s="44">
        <f>+Tabla4[[#This Row],[Trenes Corridos]]/Tabla4[[#This Row],[Trenes Programados]]</f>
        <v>0.99624060150375937</v>
      </c>
      <c r="T344" s="16">
        <v>98</v>
      </c>
      <c r="U344" s="16">
        <v>6</v>
      </c>
      <c r="V344" s="16">
        <v>2660</v>
      </c>
      <c r="W344" s="16">
        <f t="shared" si="212"/>
        <v>10</v>
      </c>
      <c r="X344" s="16">
        <v>2650</v>
      </c>
      <c r="Y344" s="16">
        <v>2568</v>
      </c>
      <c r="Z344" s="16">
        <f t="shared" si="213"/>
        <v>82</v>
      </c>
      <c r="AA344" s="19" t="s">
        <v>80</v>
      </c>
      <c r="AC344" s="18">
        <v>2021</v>
      </c>
      <c r="AD344" s="21" t="s">
        <v>38</v>
      </c>
      <c r="AE344" s="44">
        <f>+Tabla5[[#This Row],[Trenes Puntuales]]/Tabla5[[#This Row],[Trenes Programados]]</f>
        <v>0.87681713848508036</v>
      </c>
      <c r="AF344" s="44">
        <f>+Tabla5[[#This Row],[Trenes Puntuales]]/Tabla5[[#This Row],[Trenes Corridos]]</f>
        <v>0.88562596599690879</v>
      </c>
      <c r="AG344" s="44">
        <f>+Tabla5[[#This Row],[Trenes Corridos]]/Tabla5[[#This Row],[Trenes Programados]]</f>
        <v>0.990053557765876</v>
      </c>
      <c r="AH344" s="16">
        <v>100</v>
      </c>
      <c r="AI344" s="16">
        <v>6</v>
      </c>
      <c r="AJ344" s="16">
        <v>2614</v>
      </c>
      <c r="AK344" s="16">
        <f t="shared" si="214"/>
        <v>26</v>
      </c>
      <c r="AL344" s="16">
        <v>2588</v>
      </c>
      <c r="AM344" s="16">
        <v>2292</v>
      </c>
      <c r="AN344" s="16">
        <f t="shared" si="215"/>
        <v>296</v>
      </c>
      <c r="AO344" s="19" t="s">
        <v>80</v>
      </c>
      <c r="AQ344" s="18">
        <v>2021</v>
      </c>
      <c r="AR344" s="21" t="s">
        <v>38</v>
      </c>
      <c r="AS344" s="44">
        <f>+Tabla6[[#This Row],[Trenes Puntuales]]/Tabla6[[#This Row],[Trenes Programados]]</f>
        <v>0.90552995391705071</v>
      </c>
      <c r="AT344" s="44">
        <f>+Tabla6[[#This Row],[Trenes Puntuales]]/Tabla6[[#This Row],[Trenes Corridos]]</f>
        <v>0.913953488372093</v>
      </c>
      <c r="AU344" s="44">
        <f>+Tabla6[[#This Row],[Trenes Corridos]]/Tabla6[[#This Row],[Trenes Programados]]</f>
        <v>0.99078341013824889</v>
      </c>
      <c r="AV344" s="16">
        <v>28</v>
      </c>
      <c r="AW344" s="16">
        <v>6</v>
      </c>
      <c r="AX344" s="16">
        <v>868</v>
      </c>
      <c r="AY344" s="16">
        <f t="shared" si="216"/>
        <v>8</v>
      </c>
      <c r="AZ344" s="16">
        <v>860</v>
      </c>
      <c r="BA344" s="16">
        <v>786</v>
      </c>
      <c r="BB344" s="16">
        <f t="shared" si="217"/>
        <v>74</v>
      </c>
      <c r="BC344" s="19" t="s">
        <v>80</v>
      </c>
      <c r="BE344" s="18">
        <v>2021</v>
      </c>
      <c r="BF344" s="21" t="s">
        <v>38</v>
      </c>
      <c r="BG344" s="44">
        <f>+MIT_Vic_Cap[[#This Row],[Trenes Puntuales]]/MIT_Vic_Cap[[#This Row],[Trenes Programados]]</f>
        <v>0.76036866359447008</v>
      </c>
      <c r="BH344" s="44">
        <f>+MIT_Vic_Cap[[#This Row],[Trenes Puntuales]]/MIT_Vic_Cap[[#This Row],[Trenes Corridos]]</f>
        <v>0.78758949880668261</v>
      </c>
      <c r="BI344" s="44">
        <f>+MIT_Vic_Cap[[#This Row],[Trenes Corridos]]/MIT_Vic_Cap[[#This Row],[Trenes Programados]]</f>
        <v>0.96543778801843316</v>
      </c>
      <c r="BJ344" s="16">
        <v>14</v>
      </c>
      <c r="BK344" s="16">
        <v>2</v>
      </c>
      <c r="BL344" s="16">
        <v>434</v>
      </c>
      <c r="BM344" s="16">
        <f>+MIT_Vic_Cap[[#This Row],[Trenes Programados]]-MIT_Vic_Cap[[#This Row],[Trenes Corridos]]</f>
        <v>15</v>
      </c>
      <c r="BN344" s="16">
        <v>419</v>
      </c>
      <c r="BO344" s="16">
        <v>330</v>
      </c>
      <c r="BP344" s="16">
        <f>+MIT_Vic_Cap[[#This Row],[Trenes Corridos]]-MIT_Vic_Cap[[#This Row],[Trenes Puntuales]]</f>
        <v>89</v>
      </c>
      <c r="BQ344" s="19" t="s">
        <v>80</v>
      </c>
      <c r="BS344" s="18">
        <v>2021</v>
      </c>
      <c r="BT344" s="21" t="s">
        <v>38</v>
      </c>
      <c r="BU344" s="44">
        <f>+Tabla8[[#This Row],[Trenes Puntuales]]/Tabla8[[#This Row],[Trenes Programados]]</f>
        <v>0.58602150537634412</v>
      </c>
      <c r="BV344" s="44">
        <f>+Tabla8[[#This Row],[Trenes Puntuales]]/Tabla8[[#This Row],[Trenes Corridos]]</f>
        <v>0.60387811634349031</v>
      </c>
      <c r="BW344" s="44">
        <f>+Tabla8[[#This Row],[Trenes Corridos]]/Tabla8[[#This Row],[Trenes Programados]]</f>
        <v>0.97043010752688175</v>
      </c>
      <c r="BX344" s="16">
        <v>12</v>
      </c>
      <c r="BY344" s="16">
        <v>2</v>
      </c>
      <c r="BZ344" s="16">
        <v>372</v>
      </c>
      <c r="CA344" s="16">
        <f t="shared" si="218"/>
        <v>11</v>
      </c>
      <c r="CB344" s="16">
        <v>361</v>
      </c>
      <c r="CC344" s="16">
        <v>218</v>
      </c>
      <c r="CD344" s="16">
        <f t="shared" si="219"/>
        <v>143</v>
      </c>
      <c r="CE344" s="279"/>
      <c r="CI344" s="40"/>
      <c r="CJ344" s="277"/>
      <c r="CK344" s="40"/>
      <c r="CL344" s="40"/>
      <c r="CM344" s="40"/>
    </row>
    <row r="345" spans="1:91" s="18" customFormat="1" ht="15" customHeight="1">
      <c r="A345" s="18">
        <v>2021</v>
      </c>
      <c r="B345" s="21" t="s">
        <v>39</v>
      </c>
      <c r="C345" s="15">
        <f>+MITRE[[#This Row],[Trenes Puntuales]]/MITRE[[#This Row],[Trenes Programados]]</f>
        <v>0.83136363636363642</v>
      </c>
      <c r="D345" s="15">
        <f>+MITRE[[#This Row],[Trenes Puntuales]]/MITRE[[#This Row],[Trenes Corridos]]</f>
        <v>0.90291262135922334</v>
      </c>
      <c r="E345" s="15">
        <f>+MITRE[[#This Row],[Trenes Corridos]]/MITRE[[#This Row],[Trenes Programados]]</f>
        <v>0.92075757575757577</v>
      </c>
      <c r="F345" s="16">
        <f>+Tabla4[[#This Row],[Trenes Programados por Día Hábil]]+Tabla5[[#This Row],[Trenes Programados por Día Hábil]]+Tabla6[[#This Row],[Trenes Programados por Día Hábil]]+MIT_Vic_Cap[[#This Row],[Trenes Programados por Día Hábil]]+Tabla8[[#This Row],[Trenes Programados por Día Hábil]]</f>
        <v>252</v>
      </c>
      <c r="G34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5.5886128023695907</v>
      </c>
      <c r="H345" s="16">
        <f t="shared" si="207"/>
        <v>6600</v>
      </c>
      <c r="I345" s="16">
        <f t="shared" si="208"/>
        <v>523</v>
      </c>
      <c r="J345" s="16">
        <f t="shared" si="209"/>
        <v>6077</v>
      </c>
      <c r="K345" s="16">
        <f t="shared" si="210"/>
        <v>5487</v>
      </c>
      <c r="L345" s="16">
        <f t="shared" si="211"/>
        <v>590</v>
      </c>
      <c r="M345" s="19" t="s">
        <v>80</v>
      </c>
      <c r="O345" s="18">
        <v>2021</v>
      </c>
      <c r="P345" s="21" t="s">
        <v>39</v>
      </c>
      <c r="Q345" s="44">
        <f>+Tabla4[[#This Row],[Trenes Puntuales]]/Tabla4[[#This Row],[Trenes Programados]]</f>
        <v>0.91825396825396821</v>
      </c>
      <c r="R345" s="44">
        <f>+Tabla4[[#This Row],[Trenes Puntuales]]/Tabla4[[#This Row],[Trenes Corridos]]</f>
        <v>0.97926364790520526</v>
      </c>
      <c r="S345" s="44">
        <f>+Tabla4[[#This Row],[Trenes Corridos]]/Tabla4[[#This Row],[Trenes Programados]]</f>
        <v>0.9376984126984127</v>
      </c>
      <c r="T345" s="16">
        <v>98</v>
      </c>
      <c r="U345" s="16">
        <v>6</v>
      </c>
      <c r="V345" s="16">
        <v>2520</v>
      </c>
      <c r="W345" s="16">
        <f t="shared" si="212"/>
        <v>157</v>
      </c>
      <c r="X345" s="16">
        <v>2363</v>
      </c>
      <c r="Y345" s="16">
        <v>2314</v>
      </c>
      <c r="Z345" s="16">
        <f t="shared" si="213"/>
        <v>49</v>
      </c>
      <c r="AA345" s="19" t="s">
        <v>80</v>
      </c>
      <c r="AC345" s="18">
        <v>2021</v>
      </c>
      <c r="AD345" s="21" t="s">
        <v>39</v>
      </c>
      <c r="AE345" s="44">
        <f>+Tabla5[[#This Row],[Trenes Puntuales]]/Tabla5[[#This Row],[Trenes Programados]]</f>
        <v>0.84512195121951217</v>
      </c>
      <c r="AF345" s="44">
        <f>+Tabla5[[#This Row],[Trenes Puntuales]]/Tabla5[[#This Row],[Trenes Corridos]]</f>
        <v>0.9078602620087336</v>
      </c>
      <c r="AG345" s="44">
        <f>+Tabla5[[#This Row],[Trenes Corridos]]/Tabla5[[#This Row],[Trenes Programados]]</f>
        <v>0.93089430894308944</v>
      </c>
      <c r="AH345" s="16">
        <v>100</v>
      </c>
      <c r="AI345" s="16">
        <v>6</v>
      </c>
      <c r="AJ345" s="16">
        <v>2460</v>
      </c>
      <c r="AK345" s="16">
        <f t="shared" si="214"/>
        <v>170</v>
      </c>
      <c r="AL345" s="16">
        <v>2290</v>
      </c>
      <c r="AM345" s="16">
        <v>2079</v>
      </c>
      <c r="AN345" s="16">
        <f t="shared" si="215"/>
        <v>211</v>
      </c>
      <c r="AO345" s="19" t="s">
        <v>80</v>
      </c>
      <c r="AQ345" s="18">
        <v>2021</v>
      </c>
      <c r="AR345" s="21" t="s">
        <v>39</v>
      </c>
      <c r="AS345" s="44">
        <f>+Tabla6[[#This Row],[Trenes Puntuales]]/Tabla6[[#This Row],[Trenes Programados]]</f>
        <v>0.830952380952381</v>
      </c>
      <c r="AT345" s="44">
        <f>+Tabla6[[#This Row],[Trenes Puntuales]]/Tabla6[[#This Row],[Trenes Corridos]]</f>
        <v>0.87359198998748433</v>
      </c>
      <c r="AU345" s="44">
        <f>+Tabla6[[#This Row],[Trenes Corridos]]/Tabla6[[#This Row],[Trenes Programados]]</f>
        <v>0.95119047619047614</v>
      </c>
      <c r="AV345" s="16">
        <v>28</v>
      </c>
      <c r="AW345" s="16">
        <v>6</v>
      </c>
      <c r="AX345" s="16">
        <v>840</v>
      </c>
      <c r="AY345" s="16">
        <f t="shared" si="216"/>
        <v>41</v>
      </c>
      <c r="AZ345" s="16">
        <v>799</v>
      </c>
      <c r="BA345" s="16">
        <v>698</v>
      </c>
      <c r="BB345" s="16">
        <f t="shared" si="217"/>
        <v>101</v>
      </c>
      <c r="BC345" s="19" t="s">
        <v>80</v>
      </c>
      <c r="BE345" s="18">
        <v>2021</v>
      </c>
      <c r="BF345" s="21" t="s">
        <v>39</v>
      </c>
      <c r="BG345" s="44">
        <f>+MIT_Vic_Cap[[#This Row],[Trenes Puntuales]]/MIT_Vic_Cap[[#This Row],[Trenes Programados]]</f>
        <v>0.51904761904761909</v>
      </c>
      <c r="BH345" s="44">
        <f>+MIT_Vic_Cap[[#This Row],[Trenes Puntuales]]/MIT_Vic_Cap[[#This Row],[Trenes Corridos]]</f>
        <v>0.66463414634146345</v>
      </c>
      <c r="BI345" s="44">
        <f>+MIT_Vic_Cap[[#This Row],[Trenes Corridos]]/MIT_Vic_Cap[[#This Row],[Trenes Programados]]</f>
        <v>0.78095238095238095</v>
      </c>
      <c r="BJ345" s="16">
        <v>14</v>
      </c>
      <c r="BK345" s="16">
        <v>2</v>
      </c>
      <c r="BL345" s="16">
        <v>420</v>
      </c>
      <c r="BM345" s="16">
        <f>+MIT_Vic_Cap[[#This Row],[Trenes Programados]]-MIT_Vic_Cap[[#This Row],[Trenes Corridos]]</f>
        <v>92</v>
      </c>
      <c r="BN345" s="16">
        <v>328</v>
      </c>
      <c r="BO345" s="16">
        <v>218</v>
      </c>
      <c r="BP345" s="16">
        <f>+MIT_Vic_Cap[[#This Row],[Trenes Corridos]]-MIT_Vic_Cap[[#This Row],[Trenes Puntuales]]</f>
        <v>110</v>
      </c>
      <c r="BQ345" s="19" t="s">
        <v>80</v>
      </c>
      <c r="BS345" s="18">
        <v>2021</v>
      </c>
      <c r="BT345" s="21" t="s">
        <v>39</v>
      </c>
      <c r="BU345" s="44">
        <f>+Tabla8[[#This Row],[Trenes Puntuales]]/Tabla8[[#This Row],[Trenes Programados]]</f>
        <v>0.49444444444444446</v>
      </c>
      <c r="BV345" s="44">
        <f>+Tabla8[[#This Row],[Trenes Puntuales]]/Tabla8[[#This Row],[Trenes Corridos]]</f>
        <v>0.59932659932659937</v>
      </c>
      <c r="BW345" s="44">
        <f>+Tabla8[[#This Row],[Trenes Corridos]]/Tabla8[[#This Row],[Trenes Programados]]</f>
        <v>0.82499999999999996</v>
      </c>
      <c r="BX345" s="16">
        <v>12</v>
      </c>
      <c r="BY345" s="16">
        <v>2</v>
      </c>
      <c r="BZ345" s="16">
        <v>360</v>
      </c>
      <c r="CA345" s="16">
        <f t="shared" si="218"/>
        <v>63</v>
      </c>
      <c r="CB345" s="16">
        <v>297</v>
      </c>
      <c r="CC345" s="16">
        <v>178</v>
      </c>
      <c r="CD345" s="16">
        <f t="shared" si="219"/>
        <v>119</v>
      </c>
      <c r="CE345" s="279"/>
      <c r="CI345" s="40"/>
      <c r="CJ345" s="277"/>
      <c r="CK345" s="40"/>
      <c r="CL345" s="40"/>
      <c r="CM345" s="40"/>
    </row>
    <row r="346" spans="1:91" s="18" customFormat="1" ht="15" customHeight="1">
      <c r="A346" s="18">
        <v>2021</v>
      </c>
      <c r="B346" s="21" t="s">
        <v>40</v>
      </c>
      <c r="C346" s="15">
        <f>+MITRE[[#This Row],[Trenes Puntuales]]/MITRE[[#This Row],[Trenes Programados]]</f>
        <v>0.88152205246468718</v>
      </c>
      <c r="D346" s="15">
        <f>+MITRE[[#This Row],[Trenes Puntuales]]/MITRE[[#This Row],[Trenes Corridos]]</f>
        <v>0.89467524868344062</v>
      </c>
      <c r="E346" s="15">
        <f>+MITRE[[#This Row],[Trenes Corridos]]/MITRE[[#This Row],[Trenes Programados]]</f>
        <v>0.98529835687518019</v>
      </c>
      <c r="F346" s="16">
        <f>+Tabla4[[#This Row],[Trenes Programados por Día Hábil]]+Tabla5[[#This Row],[Trenes Programados por Día Hábil]]+Tabla6[[#This Row],[Trenes Programados por Día Hábil]]+MIT_Vic_Cap[[#This Row],[Trenes Programados por Día Hábil]]+Tabla8[[#This Row],[Trenes Programados por Día Hábil]]</f>
        <v>252</v>
      </c>
      <c r="G34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5.5582211819777649</v>
      </c>
      <c r="H346" s="16">
        <f t="shared" si="207"/>
        <v>6938</v>
      </c>
      <c r="I346" s="16">
        <f t="shared" si="208"/>
        <v>102</v>
      </c>
      <c r="J346" s="16">
        <f t="shared" si="209"/>
        <v>6836</v>
      </c>
      <c r="K346" s="16">
        <f t="shared" si="210"/>
        <v>6116</v>
      </c>
      <c r="L346" s="16">
        <f t="shared" si="211"/>
        <v>720</v>
      </c>
      <c r="M346" s="19" t="s">
        <v>80</v>
      </c>
      <c r="O346" s="18">
        <v>2021</v>
      </c>
      <c r="P346" s="21" t="s">
        <v>40</v>
      </c>
      <c r="Q346" s="44">
        <f>+Tabla4[[#This Row],[Trenes Puntuales]]/Tabla4[[#This Row],[Trenes Programados]]</f>
        <v>0.96247068021892102</v>
      </c>
      <c r="R346" s="44">
        <f>+Tabla4[[#This Row],[Trenes Puntuales]]/Tabla4[[#This Row],[Trenes Corridos]]</f>
        <v>0.97273804820229159</v>
      </c>
      <c r="S346" s="44">
        <f>+Tabla4[[#This Row],[Trenes Corridos]]/Tabla4[[#This Row],[Trenes Programados]]</f>
        <v>0.9894448788115715</v>
      </c>
      <c r="T346" s="16">
        <v>98</v>
      </c>
      <c r="U346" s="16">
        <v>6</v>
      </c>
      <c r="V346" s="16">
        <v>2558</v>
      </c>
      <c r="W346" s="16">
        <f t="shared" si="212"/>
        <v>27</v>
      </c>
      <c r="X346" s="16">
        <v>2531</v>
      </c>
      <c r="Y346" s="16">
        <v>2462</v>
      </c>
      <c r="Z346" s="16">
        <f t="shared" si="213"/>
        <v>69</v>
      </c>
      <c r="AA346" s="19" t="s">
        <v>80</v>
      </c>
      <c r="AC346" s="18">
        <v>2021</v>
      </c>
      <c r="AD346" s="21" t="s">
        <v>40</v>
      </c>
      <c r="AE346" s="44">
        <f>+Tabla5[[#This Row],[Trenes Puntuales]]/Tabla5[[#This Row],[Trenes Programados]]</f>
        <v>0.86374407582938384</v>
      </c>
      <c r="AF346" s="44">
        <f>+Tabla5[[#This Row],[Trenes Puntuales]]/Tabla5[[#This Row],[Trenes Corridos]]</f>
        <v>0.86992840095465396</v>
      </c>
      <c r="AG346" s="44">
        <f>+Tabla5[[#This Row],[Trenes Corridos]]/Tabla5[[#This Row],[Trenes Programados]]</f>
        <v>0.99289099526066349</v>
      </c>
      <c r="AH346" s="16">
        <v>100</v>
      </c>
      <c r="AI346" s="16">
        <v>6</v>
      </c>
      <c r="AJ346" s="16">
        <v>2532</v>
      </c>
      <c r="AK346" s="16">
        <f t="shared" si="214"/>
        <v>18</v>
      </c>
      <c r="AL346" s="16">
        <v>2514</v>
      </c>
      <c r="AM346" s="16">
        <v>2187</v>
      </c>
      <c r="AN346" s="16">
        <f t="shared" si="215"/>
        <v>327</v>
      </c>
      <c r="AO346" s="19" t="s">
        <v>80</v>
      </c>
      <c r="AQ346" s="18">
        <v>2021</v>
      </c>
      <c r="AR346" s="21" t="s">
        <v>40</v>
      </c>
      <c r="AS346" s="44">
        <f>+Tabla6[[#This Row],[Trenes Puntuales]]/Tabla6[[#This Row],[Trenes Programados]]</f>
        <v>0.87715930902111328</v>
      </c>
      <c r="AT346" s="44">
        <f>+Tabla6[[#This Row],[Trenes Puntuales]]/Tabla6[[#This Row],[Trenes Corridos]]</f>
        <v>0.88223938223938225</v>
      </c>
      <c r="AU346" s="44">
        <f>+Tabla6[[#This Row],[Trenes Corridos]]/Tabla6[[#This Row],[Trenes Programados]]</f>
        <v>0.99424184261036463</v>
      </c>
      <c r="AV346" s="16">
        <v>28</v>
      </c>
      <c r="AW346" s="16">
        <v>6</v>
      </c>
      <c r="AX346" s="16">
        <v>1042</v>
      </c>
      <c r="AY346" s="16">
        <f t="shared" si="216"/>
        <v>6</v>
      </c>
      <c r="AZ346" s="16">
        <v>1036</v>
      </c>
      <c r="BA346" s="16">
        <v>914</v>
      </c>
      <c r="BB346" s="16">
        <f t="shared" si="217"/>
        <v>122</v>
      </c>
      <c r="BC346" s="19" t="s">
        <v>97</v>
      </c>
      <c r="BE346" s="18">
        <v>2021</v>
      </c>
      <c r="BF346" s="21" t="s">
        <v>40</v>
      </c>
      <c r="BG346" s="44">
        <f>+MIT_Vic_Cap[[#This Row],[Trenes Puntuales]]/MIT_Vic_Cap[[#This Row],[Trenes Programados]]</f>
        <v>0.67511520737327191</v>
      </c>
      <c r="BH346" s="44">
        <f>+MIT_Vic_Cap[[#This Row],[Trenes Puntuales]]/MIT_Vic_Cap[[#This Row],[Trenes Corridos]]</f>
        <v>0.76103896103896107</v>
      </c>
      <c r="BI346" s="44">
        <f>+MIT_Vic_Cap[[#This Row],[Trenes Corridos]]/MIT_Vic_Cap[[#This Row],[Trenes Programados]]</f>
        <v>0.88709677419354838</v>
      </c>
      <c r="BJ346" s="16">
        <v>14</v>
      </c>
      <c r="BK346" s="16">
        <v>2</v>
      </c>
      <c r="BL346" s="16">
        <v>434</v>
      </c>
      <c r="BM346" s="16">
        <f>+MIT_Vic_Cap[[#This Row],[Trenes Programados]]-MIT_Vic_Cap[[#This Row],[Trenes Corridos]]</f>
        <v>49</v>
      </c>
      <c r="BN346" s="16">
        <v>385</v>
      </c>
      <c r="BO346" s="16">
        <v>293</v>
      </c>
      <c r="BP346" s="16">
        <f>+MIT_Vic_Cap[[#This Row],[Trenes Corridos]]-MIT_Vic_Cap[[#This Row],[Trenes Puntuales]]</f>
        <v>92</v>
      </c>
      <c r="BQ346" s="19" t="s">
        <v>80</v>
      </c>
      <c r="BS346" s="18">
        <v>2021</v>
      </c>
      <c r="BT346" s="21" t="s">
        <v>40</v>
      </c>
      <c r="BU346" s="44">
        <f>+Tabla8[[#This Row],[Trenes Puntuales]]/Tabla8[[#This Row],[Trenes Programados]]</f>
        <v>0.69892473118279574</v>
      </c>
      <c r="BV346" s="44">
        <f>+Tabla8[[#This Row],[Trenes Puntuales]]/Tabla8[[#This Row],[Trenes Corridos]]</f>
        <v>0.70270270270270274</v>
      </c>
      <c r="BW346" s="44">
        <f>+Tabla8[[#This Row],[Trenes Corridos]]/Tabla8[[#This Row],[Trenes Programados]]</f>
        <v>0.9946236559139785</v>
      </c>
      <c r="BX346" s="16">
        <v>12</v>
      </c>
      <c r="BY346" s="16">
        <v>2</v>
      </c>
      <c r="BZ346" s="16">
        <v>372</v>
      </c>
      <c r="CA346" s="16">
        <f t="shared" si="218"/>
        <v>2</v>
      </c>
      <c r="CB346" s="16">
        <v>370</v>
      </c>
      <c r="CC346" s="16">
        <v>260</v>
      </c>
      <c r="CD346" s="16">
        <f t="shared" si="219"/>
        <v>110</v>
      </c>
      <c r="CE346" s="279" t="s">
        <v>219</v>
      </c>
      <c r="CI346" s="40"/>
      <c r="CJ346" s="277"/>
      <c r="CK346" s="40"/>
      <c r="CL346" s="40"/>
      <c r="CM346" s="40"/>
    </row>
    <row r="347" spans="1:91" s="18" customFormat="1" ht="15" customHeight="1">
      <c r="A347" s="18">
        <v>2021</v>
      </c>
      <c r="B347" s="21" t="s">
        <v>41</v>
      </c>
      <c r="C347" s="15">
        <f>+MITRE[[#This Row],[Trenes Puntuales]]/MITRE[[#This Row],[Trenes Programados]]</f>
        <v>0.88975753455699069</v>
      </c>
      <c r="D347" s="15">
        <f>+MITRE[[#This Row],[Trenes Puntuales]]/MITRE[[#This Row],[Trenes Corridos]]</f>
        <v>0.90587149613565576</v>
      </c>
      <c r="E347" s="15">
        <f>+MITRE[[#This Row],[Trenes Corridos]]/MITRE[[#This Row],[Trenes Programados]]</f>
        <v>0.98221164740539313</v>
      </c>
      <c r="F347" s="16">
        <f>+Tabla4[[#This Row],[Trenes Programados por Día Hábil]]+Tabla5[[#This Row],[Trenes Programados por Día Hábil]]+Tabla6[[#This Row],[Trenes Programados por Día Hábil]]+MIT_Vic_Cap[[#This Row],[Trenes Programados por Día Hábil]]+Tabla8[[#This Row],[Trenes Programados por Día Hábil]]</f>
        <v>252</v>
      </c>
      <c r="G34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5.6663975083631328</v>
      </c>
      <c r="H347" s="16">
        <f t="shared" si="207"/>
        <v>8826</v>
      </c>
      <c r="I347" s="16">
        <f t="shared" si="208"/>
        <v>157</v>
      </c>
      <c r="J347" s="16">
        <f t="shared" si="209"/>
        <v>8669</v>
      </c>
      <c r="K347" s="16">
        <f t="shared" si="210"/>
        <v>7853</v>
      </c>
      <c r="L347" s="16">
        <f t="shared" si="211"/>
        <v>816</v>
      </c>
      <c r="M347" s="19" t="s">
        <v>80</v>
      </c>
      <c r="O347" s="18">
        <v>2021</v>
      </c>
      <c r="P347" s="21" t="s">
        <v>41</v>
      </c>
      <c r="Q347" s="44">
        <f>+Tabla4[[#This Row],[Trenes Puntuales]]/Tabla4[[#This Row],[Trenes Programados]]</f>
        <v>0.95680093403385869</v>
      </c>
      <c r="R347" s="44">
        <f>+Tabla4[[#This Row],[Trenes Puntuales]]/Tabla4[[#This Row],[Trenes Corridos]]</f>
        <v>0.97068403908794787</v>
      </c>
      <c r="S347" s="44">
        <f>+Tabla4[[#This Row],[Trenes Corridos]]/Tabla4[[#This Row],[Trenes Programados]]</f>
        <v>0.98569760653823701</v>
      </c>
      <c r="T347" s="16">
        <v>98</v>
      </c>
      <c r="U347" s="16">
        <v>6</v>
      </c>
      <c r="V347" s="16">
        <v>3426</v>
      </c>
      <c r="W347" s="16">
        <f t="shared" si="212"/>
        <v>49</v>
      </c>
      <c r="X347" s="16">
        <v>3377</v>
      </c>
      <c r="Y347" s="16">
        <v>3278</v>
      </c>
      <c r="Z347" s="16">
        <f t="shared" si="213"/>
        <v>99</v>
      </c>
      <c r="AA347" s="19" t="s">
        <v>80</v>
      </c>
      <c r="AC347" s="18">
        <v>2021</v>
      </c>
      <c r="AD347" s="21" t="s">
        <v>41</v>
      </c>
      <c r="AE347" s="44">
        <f>+Tabla5[[#This Row],[Trenes Puntuales]]/Tabla5[[#This Row],[Trenes Programados]]</f>
        <v>0.85429553264604807</v>
      </c>
      <c r="AF347" s="44">
        <f>+Tabla5[[#This Row],[Trenes Puntuales]]/Tabla5[[#This Row],[Trenes Corridos]]</f>
        <v>0.86529759832927255</v>
      </c>
      <c r="AG347" s="44">
        <f>+Tabla5[[#This Row],[Trenes Corridos]]/Tabla5[[#This Row],[Trenes Programados]]</f>
        <v>0.98728522336769764</v>
      </c>
      <c r="AH347" s="16">
        <v>100</v>
      </c>
      <c r="AI347" s="16">
        <v>6</v>
      </c>
      <c r="AJ347" s="16">
        <v>2910</v>
      </c>
      <c r="AK347" s="16">
        <f t="shared" si="214"/>
        <v>37</v>
      </c>
      <c r="AL347" s="16">
        <v>2873</v>
      </c>
      <c r="AM347" s="16">
        <v>2486</v>
      </c>
      <c r="AN347" s="16">
        <f t="shared" si="215"/>
        <v>387</v>
      </c>
      <c r="AO347" s="19" t="s">
        <v>80</v>
      </c>
      <c r="AQ347" s="18">
        <v>2021</v>
      </c>
      <c r="AR347" s="21" t="s">
        <v>41</v>
      </c>
      <c r="AS347" s="44">
        <f>+Tabla6[[#This Row],[Trenes Puntuales]]/Tabla6[[#This Row],[Trenes Programados]]</f>
        <v>0.94619883040935671</v>
      </c>
      <c r="AT347" s="44">
        <f>+Tabla6[[#This Row],[Trenes Puntuales]]/Tabla6[[#This Row],[Trenes Corridos]]</f>
        <v>0.95400943396226412</v>
      </c>
      <c r="AU347" s="44">
        <f>+Tabla6[[#This Row],[Trenes Corridos]]/Tabla6[[#This Row],[Trenes Programados]]</f>
        <v>0.99181286549707603</v>
      </c>
      <c r="AV347" s="16">
        <v>28</v>
      </c>
      <c r="AW347" s="16">
        <v>6</v>
      </c>
      <c r="AX347" s="16">
        <v>1710</v>
      </c>
      <c r="AY347" s="16">
        <f t="shared" si="216"/>
        <v>14</v>
      </c>
      <c r="AZ347" s="16">
        <v>1696</v>
      </c>
      <c r="BA347" s="16">
        <v>1618</v>
      </c>
      <c r="BB347" s="16">
        <f t="shared" si="217"/>
        <v>78</v>
      </c>
      <c r="BC347" s="19" t="s">
        <v>97</v>
      </c>
      <c r="BE347" s="18">
        <v>2021</v>
      </c>
      <c r="BF347" s="21" t="s">
        <v>41</v>
      </c>
      <c r="BG347" s="44">
        <f>+MIT_Vic_Cap[[#This Row],[Trenes Puntuales]]/MIT_Vic_Cap[[#This Row],[Trenes Programados]]</f>
        <v>0.67380952380952386</v>
      </c>
      <c r="BH347" s="44">
        <f>+MIT_Vic_Cap[[#This Row],[Trenes Puntuales]]/MIT_Vic_Cap[[#This Row],[Trenes Corridos]]</f>
        <v>0.75668449197860965</v>
      </c>
      <c r="BI347" s="44">
        <f>+MIT_Vic_Cap[[#This Row],[Trenes Corridos]]/MIT_Vic_Cap[[#This Row],[Trenes Programados]]</f>
        <v>0.89047619047619042</v>
      </c>
      <c r="BJ347" s="16">
        <v>14</v>
      </c>
      <c r="BK347" s="16">
        <v>2</v>
      </c>
      <c r="BL347" s="16">
        <v>420</v>
      </c>
      <c r="BM347" s="16">
        <f>+MIT_Vic_Cap[[#This Row],[Trenes Programados]]-MIT_Vic_Cap[[#This Row],[Trenes Corridos]]</f>
        <v>46</v>
      </c>
      <c r="BN347" s="16">
        <v>374</v>
      </c>
      <c r="BO347" s="16">
        <v>283</v>
      </c>
      <c r="BP347" s="16">
        <f>+MIT_Vic_Cap[[#This Row],[Trenes Corridos]]-MIT_Vic_Cap[[#This Row],[Trenes Puntuales]]</f>
        <v>91</v>
      </c>
      <c r="BQ347" s="19" t="s">
        <v>80</v>
      </c>
      <c r="BS347" s="18">
        <v>2021</v>
      </c>
      <c r="BT347" s="21" t="s">
        <v>41</v>
      </c>
      <c r="BU347" s="44">
        <f>+Tabla8[[#This Row],[Trenes Puntuales]]/Tabla8[[#This Row],[Trenes Programados]]</f>
        <v>0.52222222222222225</v>
      </c>
      <c r="BV347" s="44">
        <f>+Tabla8[[#This Row],[Trenes Puntuales]]/Tabla8[[#This Row],[Trenes Corridos]]</f>
        <v>0.5386819484240688</v>
      </c>
      <c r="BW347" s="44">
        <f>+Tabla8[[#This Row],[Trenes Corridos]]/Tabla8[[#This Row],[Trenes Programados]]</f>
        <v>0.96944444444444444</v>
      </c>
      <c r="BX347" s="16">
        <v>12</v>
      </c>
      <c r="BY347" s="16">
        <v>2</v>
      </c>
      <c r="BZ347" s="16">
        <v>360</v>
      </c>
      <c r="CA347" s="16">
        <f t="shared" si="218"/>
        <v>11</v>
      </c>
      <c r="CB347" s="16">
        <v>349</v>
      </c>
      <c r="CC347" s="16">
        <v>188</v>
      </c>
      <c r="CD347" s="16">
        <f t="shared" si="219"/>
        <v>161</v>
      </c>
      <c r="CE347" s="279"/>
      <c r="CI347" s="40"/>
      <c r="CJ347" s="277"/>
      <c r="CK347" s="40"/>
      <c r="CL347" s="40"/>
      <c r="CM347" s="40"/>
    </row>
    <row r="348" spans="1:91" s="18" customFormat="1" ht="15" customHeight="1">
      <c r="A348" s="18">
        <v>2021</v>
      </c>
      <c r="B348" s="21" t="s">
        <v>42</v>
      </c>
      <c r="C348" s="15">
        <f>+MITRE[[#This Row],[Trenes Puntuales]]/MITRE[[#This Row],[Trenes Programados]]</f>
        <v>0.87928955158425615</v>
      </c>
      <c r="D348" s="15">
        <f>+MITRE[[#This Row],[Trenes Puntuales]]/MITRE[[#This Row],[Trenes Corridos]]</f>
        <v>0.90682948891904114</v>
      </c>
      <c r="E348" s="15">
        <f>+MITRE[[#This Row],[Trenes Corridos]]/MITRE[[#This Row],[Trenes Programados]]</f>
        <v>0.96963052296897267</v>
      </c>
      <c r="F348" s="16">
        <f>+Tabla4[[#This Row],[Trenes Programados por Día Hábil]]+Tabla5[[#This Row],[Trenes Programados por Día Hábil]]+Tabla6[[#This Row],[Trenes Programados por Día Hábil]]+MIT_Vic_Cap[[#This Row],[Trenes Programados por Día Hábil]]+Tabla8[[#This Row],[Trenes Programados por Día Hábil]]</f>
        <v>316</v>
      </c>
      <c r="G34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5.6467661691542288</v>
      </c>
      <c r="H348" s="16">
        <f t="shared" si="207"/>
        <v>9121</v>
      </c>
      <c r="I348" s="16">
        <f t="shared" si="208"/>
        <v>277</v>
      </c>
      <c r="J348" s="16">
        <f t="shared" si="209"/>
        <v>8844</v>
      </c>
      <c r="K348" s="16">
        <f t="shared" si="210"/>
        <v>8020</v>
      </c>
      <c r="L348" s="16">
        <f t="shared" si="211"/>
        <v>824</v>
      </c>
      <c r="M348" s="19" t="s">
        <v>80</v>
      </c>
      <c r="O348" s="18">
        <v>2021</v>
      </c>
      <c r="P348" s="21" t="s">
        <v>42</v>
      </c>
      <c r="Q348" s="44">
        <f>+Tabla4[[#This Row],[Trenes Puntuales]]/Tabla4[[#This Row],[Trenes Programados]]</f>
        <v>0.94576944917660422</v>
      </c>
      <c r="R348" s="44">
        <f>+Tabla4[[#This Row],[Trenes Puntuales]]/Tabla4[[#This Row],[Trenes Corridos]]</f>
        <v>0.97654646731163885</v>
      </c>
      <c r="S348" s="44">
        <f>+Tabla4[[#This Row],[Trenes Corridos]]/Tabla4[[#This Row],[Trenes Programados]]</f>
        <v>0.96848381601362865</v>
      </c>
      <c r="T348" s="16">
        <v>121</v>
      </c>
      <c r="U348" s="16">
        <v>6</v>
      </c>
      <c r="V348" s="16">
        <v>3522</v>
      </c>
      <c r="W348" s="16">
        <f t="shared" si="212"/>
        <v>111</v>
      </c>
      <c r="X348" s="16">
        <v>3411</v>
      </c>
      <c r="Y348" s="16">
        <v>3331</v>
      </c>
      <c r="Z348" s="16">
        <f t="shared" ref="Z348:Z353" si="220">+X348-Y348</f>
        <v>80</v>
      </c>
      <c r="AA348" s="19" t="s">
        <v>80</v>
      </c>
      <c r="AC348" s="18">
        <v>2021</v>
      </c>
      <c r="AD348" s="21" t="s">
        <v>42</v>
      </c>
      <c r="AE348" s="44">
        <f>+Tabla5[[#This Row],[Trenes Puntuales]]/Tabla5[[#This Row],[Trenes Programados]]</f>
        <v>0.85666218034993269</v>
      </c>
      <c r="AF348" s="44">
        <f>+Tabla5[[#This Row],[Trenes Puntuales]]/Tabla5[[#This Row],[Trenes Corridos]]</f>
        <v>0.88066413005880317</v>
      </c>
      <c r="AG348" s="44">
        <f>+Tabla5[[#This Row],[Trenes Corridos]]/Tabla5[[#This Row],[Trenes Programados]]</f>
        <v>0.9727456258411844</v>
      </c>
      <c r="AH348" s="16">
        <v>112</v>
      </c>
      <c r="AI348" s="16">
        <v>6</v>
      </c>
      <c r="AJ348" s="16">
        <v>2972</v>
      </c>
      <c r="AK348" s="16">
        <f t="shared" si="214"/>
        <v>81</v>
      </c>
      <c r="AL348" s="16">
        <v>2891</v>
      </c>
      <c r="AM348" s="16">
        <v>2546</v>
      </c>
      <c r="AN348" s="16">
        <f t="shared" ref="AN348:AN353" si="221">+AL348-AM348</f>
        <v>345</v>
      </c>
      <c r="AO348" s="19" t="s">
        <v>80</v>
      </c>
      <c r="AQ348" s="18">
        <v>2021</v>
      </c>
      <c r="AR348" s="21" t="s">
        <v>42</v>
      </c>
      <c r="AS348" s="44">
        <f>+Tabla6[[#This Row],[Trenes Puntuales]]/Tabla6[[#This Row],[Trenes Programados]]</f>
        <v>0.94170911148839842</v>
      </c>
      <c r="AT348" s="44">
        <f>+Tabla6[[#This Row],[Trenes Puntuales]]/Tabla6[[#This Row],[Trenes Corridos]]</f>
        <v>0.94491766042021574</v>
      </c>
      <c r="AU348" s="44">
        <f>+Tabla6[[#This Row],[Trenes Corridos]]/Tabla6[[#This Row],[Trenes Programados]]</f>
        <v>0.99660441426146007</v>
      </c>
      <c r="AV348" s="16">
        <v>57</v>
      </c>
      <c r="AW348" s="16">
        <v>6</v>
      </c>
      <c r="AX348" s="16">
        <v>1767</v>
      </c>
      <c r="AY348" s="16">
        <f t="shared" ref="AY348:AY353" si="222">+AX348-AZ348</f>
        <v>6</v>
      </c>
      <c r="AZ348" s="16">
        <v>1761</v>
      </c>
      <c r="BA348" s="16">
        <v>1664</v>
      </c>
      <c r="BB348" s="16">
        <f t="shared" ref="BB348:BB353" si="223">+AZ348-BA348</f>
        <v>97</v>
      </c>
      <c r="BC348" s="19" t="s">
        <v>97</v>
      </c>
      <c r="BE348" s="18">
        <v>2021</v>
      </c>
      <c r="BF348" s="21" t="s">
        <v>42</v>
      </c>
      <c r="BG348" s="44">
        <f>+MIT_Vic_Cap[[#This Row],[Trenes Puntuales]]/MIT_Vic_Cap[[#This Row],[Trenes Programados]]</f>
        <v>0.58606557377049184</v>
      </c>
      <c r="BH348" s="44">
        <f>+MIT_Vic_Cap[[#This Row],[Trenes Puntuales]]/MIT_Vic_Cap[[#This Row],[Trenes Corridos]]</f>
        <v>0.68585131894484408</v>
      </c>
      <c r="BI348" s="44">
        <f>+MIT_Vic_Cap[[#This Row],[Trenes Corridos]]/MIT_Vic_Cap[[#This Row],[Trenes Programados]]</f>
        <v>0.85450819672131151</v>
      </c>
      <c r="BJ348" s="16">
        <v>14</v>
      </c>
      <c r="BK348" s="16">
        <v>2</v>
      </c>
      <c r="BL348" s="16">
        <v>488</v>
      </c>
      <c r="BM348" s="16">
        <f>+MIT_Vic_Cap[[#This Row],[Trenes Programados]]-MIT_Vic_Cap[[#This Row],[Trenes Corridos]]</f>
        <v>71</v>
      </c>
      <c r="BN348" s="16">
        <v>417</v>
      </c>
      <c r="BO348" s="16">
        <v>286</v>
      </c>
      <c r="BP348" s="16">
        <f>+MIT_Vic_Cap[[#This Row],[Trenes Corridos]]-MIT_Vic_Cap[[#This Row],[Trenes Puntuales]]</f>
        <v>131</v>
      </c>
      <c r="BQ348" s="19" t="s">
        <v>80</v>
      </c>
      <c r="BS348" s="18">
        <v>2021</v>
      </c>
      <c r="BT348" s="21" t="s">
        <v>42</v>
      </c>
      <c r="BU348" s="44">
        <f>+Tabla8[[#This Row],[Trenes Puntuales]]/Tabla8[[#This Row],[Trenes Programados]]</f>
        <v>0.51881720430107525</v>
      </c>
      <c r="BV348" s="44">
        <f>+Tabla8[[#This Row],[Trenes Puntuales]]/Tabla8[[#This Row],[Trenes Corridos]]</f>
        <v>0.53021978021978022</v>
      </c>
      <c r="BW348" s="44">
        <f>+Tabla8[[#This Row],[Trenes Corridos]]/Tabla8[[#This Row],[Trenes Programados]]</f>
        <v>0.978494623655914</v>
      </c>
      <c r="BX348" s="16">
        <v>12</v>
      </c>
      <c r="BY348" s="16">
        <v>2</v>
      </c>
      <c r="BZ348" s="16">
        <v>372</v>
      </c>
      <c r="CA348" s="16">
        <f t="shared" si="218"/>
        <v>8</v>
      </c>
      <c r="CB348" s="16">
        <v>364</v>
      </c>
      <c r="CC348" s="16">
        <v>193</v>
      </c>
      <c r="CD348" s="16">
        <f t="shared" ref="CD348:CD353" si="224">+CB348-CC348</f>
        <v>171</v>
      </c>
      <c r="CE348" s="279"/>
      <c r="CI348" s="40"/>
      <c r="CJ348" s="277"/>
      <c r="CK348" s="40"/>
      <c r="CL348" s="40"/>
      <c r="CM348" s="40"/>
    </row>
    <row r="349" spans="1:91" s="18" customFormat="1" ht="15" customHeight="1">
      <c r="A349" s="18">
        <v>2021</v>
      </c>
      <c r="B349" s="21" t="s">
        <v>43</v>
      </c>
      <c r="C349" s="15">
        <f>+MITRE[[#This Row],[Trenes Puntuales]]/MITRE[[#This Row],[Trenes Programados]]</f>
        <v>0.87753313615949169</v>
      </c>
      <c r="D349" s="15">
        <f>+MITRE[[#This Row],[Trenes Puntuales]]/MITRE[[#This Row],[Trenes Corridos]]</f>
        <v>0.90061832490163007</v>
      </c>
      <c r="E349" s="15">
        <f>+MITRE[[#This Row],[Trenes Corridos]]/MITRE[[#This Row],[Trenes Programados]]</f>
        <v>0.97436740059152149</v>
      </c>
      <c r="F349" s="16">
        <f>+Tabla4[[#This Row],[Trenes Programados por Día Hábil]]+Tabla5[[#This Row],[Trenes Programados por Día Hábil]]+Tabla6[[#This Row],[Trenes Programados por Día Hábil]]+MIT_Vic_Cap[[#This Row],[Trenes Programados por Día Hábil]]+Tabla8[[#This Row],[Trenes Programados por Día Hábil]]</f>
        <v>316</v>
      </c>
      <c r="G34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5.6784710511523331</v>
      </c>
      <c r="H349" s="16">
        <f t="shared" si="207"/>
        <v>9129</v>
      </c>
      <c r="I349" s="16">
        <f t="shared" si="208"/>
        <v>234</v>
      </c>
      <c r="J349" s="16">
        <f t="shared" si="209"/>
        <v>8895</v>
      </c>
      <c r="K349" s="16">
        <f t="shared" si="210"/>
        <v>8011</v>
      </c>
      <c r="L349" s="16">
        <f t="shared" si="211"/>
        <v>884</v>
      </c>
      <c r="M349" s="19" t="s">
        <v>80</v>
      </c>
      <c r="O349" s="18">
        <v>2021</v>
      </c>
      <c r="P349" s="21" t="s">
        <v>43</v>
      </c>
      <c r="Q349" s="44">
        <f>+Tabla4[[#This Row],[Trenes Puntuales]]/Tabla4[[#This Row],[Trenes Programados]]</f>
        <v>0.97331061896649629</v>
      </c>
      <c r="R349" s="44">
        <f>+Tabla4[[#This Row],[Trenes Puntuales]]/Tabla4[[#This Row],[Trenes Corridos]]</f>
        <v>0.977473624180211</v>
      </c>
      <c r="S349" s="44">
        <f>+Tabla4[[#This Row],[Trenes Corridos]]/Tabla4[[#This Row],[Trenes Programados]]</f>
        <v>0.99574105621805797</v>
      </c>
      <c r="T349" s="16">
        <v>121</v>
      </c>
      <c r="U349" s="16">
        <v>6</v>
      </c>
      <c r="V349" s="16">
        <v>3522</v>
      </c>
      <c r="W349" s="16">
        <f t="shared" si="212"/>
        <v>15</v>
      </c>
      <c r="X349" s="16">
        <v>3507</v>
      </c>
      <c r="Y349" s="16">
        <v>3428</v>
      </c>
      <c r="Z349" s="16">
        <f t="shared" si="220"/>
        <v>79</v>
      </c>
      <c r="AA349" s="19" t="s">
        <v>80</v>
      </c>
      <c r="AC349" s="18">
        <v>2021</v>
      </c>
      <c r="AD349" s="21" t="s">
        <v>43</v>
      </c>
      <c r="AE349" s="44">
        <f>+Tabla5[[#This Row],[Trenes Puntuales]]/Tabla5[[#This Row],[Trenes Programados]]</f>
        <v>0.83176312247644679</v>
      </c>
      <c r="AF349" s="44">
        <f>+Tabla5[[#This Row],[Trenes Puntuales]]/Tabla5[[#This Row],[Trenes Corridos]]</f>
        <v>0.85006877579092155</v>
      </c>
      <c r="AG349" s="44">
        <f>+Tabla5[[#This Row],[Trenes Corridos]]/Tabla5[[#This Row],[Trenes Programados]]</f>
        <v>0.97846567967698517</v>
      </c>
      <c r="AH349" s="16">
        <v>112</v>
      </c>
      <c r="AI349" s="16">
        <v>6</v>
      </c>
      <c r="AJ349" s="16">
        <v>2972</v>
      </c>
      <c r="AK349" s="16">
        <f t="shared" si="214"/>
        <v>64</v>
      </c>
      <c r="AL349" s="16">
        <v>2908</v>
      </c>
      <c r="AM349" s="16">
        <v>2472</v>
      </c>
      <c r="AN349" s="16">
        <f t="shared" si="221"/>
        <v>436</v>
      </c>
      <c r="AO349" s="19" t="s">
        <v>80</v>
      </c>
      <c r="AQ349" s="18">
        <v>2021</v>
      </c>
      <c r="AR349" s="21" t="s">
        <v>43</v>
      </c>
      <c r="AS349" s="44">
        <f>+Tabla6[[#This Row],[Trenes Puntuales]]/Tabla6[[#This Row],[Trenes Programados]]</f>
        <v>0.95529145444255803</v>
      </c>
      <c r="AT349" s="44">
        <f>+Tabla6[[#This Row],[Trenes Puntuales]]/Tabla6[[#This Row],[Trenes Corridos]]</f>
        <v>0.95637393767705381</v>
      </c>
      <c r="AU349" s="44">
        <f>+Tabla6[[#This Row],[Trenes Corridos]]/Tabla6[[#This Row],[Trenes Programados]]</f>
        <v>0.99886813808715336</v>
      </c>
      <c r="AV349" s="16">
        <v>57</v>
      </c>
      <c r="AW349" s="16">
        <v>6</v>
      </c>
      <c r="AX349" s="16">
        <v>1767</v>
      </c>
      <c r="AY349" s="16">
        <f t="shared" si="222"/>
        <v>2</v>
      </c>
      <c r="AZ349" s="16">
        <v>1765</v>
      </c>
      <c r="BA349" s="16">
        <v>1688</v>
      </c>
      <c r="BB349" s="16">
        <f t="shared" si="223"/>
        <v>77</v>
      </c>
      <c r="BC349" s="19" t="s">
        <v>97</v>
      </c>
      <c r="BE349" s="18">
        <v>2021</v>
      </c>
      <c r="BF349" s="18" t="s">
        <v>43</v>
      </c>
      <c r="BG349" s="44">
        <f>+MIT_Vic_Cap[[#This Row],[Trenes Puntuales]]/MIT_Vic_Cap[[#This Row],[Trenes Programados]]</f>
        <v>0.5786290322580645</v>
      </c>
      <c r="BH349" s="44">
        <f>+MIT_Vic_Cap[[#This Row],[Trenes Puntuales]]/MIT_Vic_Cap[[#This Row],[Trenes Corridos]]</f>
        <v>0.7321428571428571</v>
      </c>
      <c r="BI349" s="44">
        <f>+MIT_Vic_Cap[[#This Row],[Trenes Corridos]]/MIT_Vic_Cap[[#This Row],[Trenes Programados]]</f>
        <v>0.79032258064516125</v>
      </c>
      <c r="BJ349" s="16">
        <v>14</v>
      </c>
      <c r="BK349" s="16">
        <v>2</v>
      </c>
      <c r="BL349" s="16">
        <v>496</v>
      </c>
      <c r="BM349" s="16">
        <f>+MIT_Vic_Cap[[#This Row],[Trenes Programados]]-MIT_Vic_Cap[[#This Row],[Trenes Corridos]]</f>
        <v>104</v>
      </c>
      <c r="BN349" s="16">
        <v>392</v>
      </c>
      <c r="BO349" s="16">
        <v>287</v>
      </c>
      <c r="BP349" s="16">
        <f>+MIT_Vic_Cap[[#This Row],[Trenes Corridos]]-MIT_Vic_Cap[[#This Row],[Trenes Puntuales]]</f>
        <v>105</v>
      </c>
      <c r="BQ349" s="19" t="s">
        <v>80</v>
      </c>
      <c r="BS349" s="18">
        <v>2021</v>
      </c>
      <c r="BT349" s="21" t="s">
        <v>43</v>
      </c>
      <c r="BU349" s="44">
        <f>+Tabla8[[#This Row],[Trenes Puntuales]]/Tabla8[[#This Row],[Trenes Programados]]</f>
        <v>0.36559139784946237</v>
      </c>
      <c r="BV349" s="44">
        <f>+Tabla8[[#This Row],[Trenes Puntuales]]/Tabla8[[#This Row],[Trenes Corridos]]</f>
        <v>0.42105263157894735</v>
      </c>
      <c r="BW349" s="44">
        <f>+Tabla8[[#This Row],[Trenes Corridos]]/Tabla8[[#This Row],[Trenes Programados]]</f>
        <v>0.86827956989247312</v>
      </c>
      <c r="BX349" s="16">
        <v>12</v>
      </c>
      <c r="BY349" s="16">
        <v>2</v>
      </c>
      <c r="BZ349" s="16">
        <v>372</v>
      </c>
      <c r="CA349" s="16">
        <f t="shared" si="218"/>
        <v>49</v>
      </c>
      <c r="CB349" s="16">
        <v>323</v>
      </c>
      <c r="CC349" s="16">
        <v>136</v>
      </c>
      <c r="CD349" s="16">
        <f t="shared" si="224"/>
        <v>187</v>
      </c>
      <c r="CE349" s="279"/>
      <c r="CI349" s="40"/>
      <c r="CJ349" s="277"/>
      <c r="CK349" s="40"/>
      <c r="CL349" s="40"/>
      <c r="CM349" s="40"/>
    </row>
    <row r="350" spans="1:91" s="18" customFormat="1" ht="15" customHeight="1">
      <c r="A350" s="18">
        <v>2021</v>
      </c>
      <c r="B350" s="21" t="s">
        <v>44</v>
      </c>
      <c r="C350" s="15">
        <f>+MITRE[[#This Row],[Trenes Puntuales]]/MITRE[[#This Row],[Trenes Programados]]</f>
        <v>0.86849553668626167</v>
      </c>
      <c r="D350" s="15">
        <f>+MITRE[[#This Row],[Trenes Puntuales]]/MITRE[[#This Row],[Trenes Corridos]]</f>
        <v>0.88457700410245044</v>
      </c>
      <c r="E350" s="15">
        <f>+MITRE[[#This Row],[Trenes Corridos]]/MITRE[[#This Row],[Trenes Programados]]</f>
        <v>0.9818201611147398</v>
      </c>
      <c r="F350" s="16">
        <f>+Tabla4[[#This Row],[Trenes Programados por Día Hábil]]+Tabla5[[#This Row],[Trenes Programados por Día Hábil]]+Tabla6[[#This Row],[Trenes Programados por Día Hábil]]+MIT_Vic_Cap[[#This Row],[Trenes Programados por Día Hábil]]+Tabla8[[#This Row],[Trenes Programados por Día Hábil]]</f>
        <v>316</v>
      </c>
      <c r="G35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5.5901984698968841</v>
      </c>
      <c r="H350" s="16">
        <f t="shared" si="207"/>
        <v>9186</v>
      </c>
      <c r="I350" s="16">
        <f t="shared" si="208"/>
        <v>167</v>
      </c>
      <c r="J350" s="16">
        <f t="shared" si="209"/>
        <v>9019</v>
      </c>
      <c r="K350" s="16">
        <f t="shared" si="210"/>
        <v>7978</v>
      </c>
      <c r="L350" s="16">
        <f t="shared" si="211"/>
        <v>1041</v>
      </c>
      <c r="M350" s="19" t="s">
        <v>80</v>
      </c>
      <c r="O350" s="18">
        <v>2021</v>
      </c>
      <c r="P350" s="21" t="s">
        <v>44</v>
      </c>
      <c r="Q350" s="44">
        <f>+Tabla4[[#This Row],[Trenes Puntuales]]/Tabla4[[#This Row],[Trenes Programados]]</f>
        <v>0.94862227324913895</v>
      </c>
      <c r="R350" s="44">
        <f>+Tabla4[[#This Row],[Trenes Puntuales]]/Tabla4[[#This Row],[Trenes Corridos]]</f>
        <v>0.96552731522056678</v>
      </c>
      <c r="S350" s="44">
        <f>+Tabla4[[#This Row],[Trenes Corridos]]/Tabla4[[#This Row],[Trenes Programados]]</f>
        <v>0.9824913892078071</v>
      </c>
      <c r="T350" s="16">
        <v>121</v>
      </c>
      <c r="U350" s="16">
        <v>6</v>
      </c>
      <c r="V350" s="16">
        <v>3484</v>
      </c>
      <c r="W350" s="16">
        <f t="shared" ref="W350:W356" si="225">+V350-X350</f>
        <v>61</v>
      </c>
      <c r="X350" s="16">
        <v>3423</v>
      </c>
      <c r="Y350" s="16">
        <v>3305</v>
      </c>
      <c r="Z350" s="16">
        <f t="shared" si="220"/>
        <v>118</v>
      </c>
      <c r="AA350" s="19" t="s">
        <v>80</v>
      </c>
      <c r="AC350" s="18">
        <v>2021</v>
      </c>
      <c r="AD350" s="21" t="s">
        <v>44</v>
      </c>
      <c r="AE350" s="44">
        <f>+Tabla5[[#This Row],[Trenes Puntuales]]/Tabla5[[#This Row],[Trenes Programados]]</f>
        <v>0.8488063660477454</v>
      </c>
      <c r="AF350" s="44">
        <f>+Tabla5[[#This Row],[Trenes Puntuales]]/Tabla5[[#This Row],[Trenes Corridos]]</f>
        <v>0.86311530681051918</v>
      </c>
      <c r="AG350" s="44">
        <f>+Tabla5[[#This Row],[Trenes Corridos]]/Tabla5[[#This Row],[Trenes Programados]]</f>
        <v>0.98342175066312998</v>
      </c>
      <c r="AH350" s="16">
        <v>112</v>
      </c>
      <c r="AI350" s="16">
        <v>6</v>
      </c>
      <c r="AJ350" s="16">
        <v>3016</v>
      </c>
      <c r="AK350" s="16">
        <f t="shared" ref="AK350:AK356" si="226">+AJ350-AL350</f>
        <v>50</v>
      </c>
      <c r="AL350" s="16">
        <v>2966</v>
      </c>
      <c r="AM350" s="16">
        <v>2560</v>
      </c>
      <c r="AN350" s="16">
        <f t="shared" si="221"/>
        <v>406</v>
      </c>
      <c r="AO350" s="19" t="s">
        <v>80</v>
      </c>
      <c r="AQ350" s="18">
        <v>2021</v>
      </c>
      <c r="AR350" s="21" t="s">
        <v>44</v>
      </c>
      <c r="AS350" s="44">
        <f>+Tabla6[[#This Row],[Trenes Puntuales]]/Tabla6[[#This Row],[Trenes Programados]]</f>
        <v>0.9555555555555556</v>
      </c>
      <c r="AT350" s="44">
        <f>+Tabla6[[#This Row],[Trenes Puntuales]]/Tabla6[[#This Row],[Trenes Corridos]]</f>
        <v>0.9577960140679953</v>
      </c>
      <c r="AU350" s="44">
        <f>+Tabla6[[#This Row],[Trenes Corridos]]/Tabla6[[#This Row],[Trenes Programados]]</f>
        <v>0.99766081871345025</v>
      </c>
      <c r="AV350" s="16">
        <v>57</v>
      </c>
      <c r="AW350" s="16">
        <v>6</v>
      </c>
      <c r="AX350" s="16">
        <v>1710</v>
      </c>
      <c r="AY350" s="16">
        <f t="shared" si="222"/>
        <v>4</v>
      </c>
      <c r="AZ350" s="16">
        <v>1706</v>
      </c>
      <c r="BA350" s="16">
        <v>1634</v>
      </c>
      <c r="BB350" s="16">
        <f t="shared" si="223"/>
        <v>72</v>
      </c>
      <c r="BC350" s="19" t="s">
        <v>97</v>
      </c>
      <c r="BE350" s="18">
        <v>2021</v>
      </c>
      <c r="BF350" s="21" t="s">
        <v>44</v>
      </c>
      <c r="BG350" s="44">
        <f>+MIT_Vic_Cap[[#This Row],[Trenes Puntuales]]/MIT_Vic_Cap[[#This Row],[Trenes Programados]]</f>
        <v>0.70625000000000004</v>
      </c>
      <c r="BH350" s="44">
        <f>+MIT_Vic_Cap[[#This Row],[Trenes Puntuales]]/MIT_Vic_Cap[[#This Row],[Trenes Corridos]]</f>
        <v>0.77574370709382146</v>
      </c>
      <c r="BI350" s="44">
        <f>+MIT_Vic_Cap[[#This Row],[Trenes Corridos]]/MIT_Vic_Cap[[#This Row],[Trenes Programados]]</f>
        <v>0.91041666666666665</v>
      </c>
      <c r="BJ350" s="16">
        <v>14</v>
      </c>
      <c r="BK350" s="16">
        <v>2</v>
      </c>
      <c r="BL350" s="16">
        <v>480</v>
      </c>
      <c r="BM350" s="16">
        <f>+MIT_Vic_Cap[[#This Row],[Trenes Programados]]-MIT_Vic_Cap[[#This Row],[Trenes Corridos]]</f>
        <v>43</v>
      </c>
      <c r="BN350" s="16">
        <v>437</v>
      </c>
      <c r="BO350" s="16">
        <v>339</v>
      </c>
      <c r="BP350" s="16">
        <f>+MIT_Vic_Cap[[#This Row],[Trenes Corridos]]-MIT_Vic_Cap[[#This Row],[Trenes Puntuales]]</f>
        <v>98</v>
      </c>
      <c r="BQ350" s="19" t="s">
        <v>80</v>
      </c>
      <c r="BS350" s="18">
        <v>2021</v>
      </c>
      <c r="BT350" s="21" t="s">
        <v>44</v>
      </c>
      <c r="BU350" s="44">
        <f>+Tabla8[[#This Row],[Trenes Puntuales]]/Tabla8[[#This Row],[Trenes Programados]]</f>
        <v>0.28225806451612906</v>
      </c>
      <c r="BV350" s="44">
        <f>+Tabla8[[#This Row],[Trenes Puntuales]]/Tabla8[[#This Row],[Trenes Corridos]]</f>
        <v>0.28747433264887062</v>
      </c>
      <c r="BW350" s="44">
        <f>+Tabla8[[#This Row],[Trenes Corridos]]/Tabla8[[#This Row],[Trenes Programados]]</f>
        <v>0.98185483870967738</v>
      </c>
      <c r="BX350" s="16">
        <v>12</v>
      </c>
      <c r="BY350" s="16">
        <v>2</v>
      </c>
      <c r="BZ350" s="16">
        <v>496</v>
      </c>
      <c r="CA350" s="16">
        <f t="shared" ref="CA350:CA356" si="227">+BZ350-CB350</f>
        <v>9</v>
      </c>
      <c r="CB350" s="16">
        <v>487</v>
      </c>
      <c r="CC350" s="16">
        <v>140</v>
      </c>
      <c r="CD350" s="16">
        <f t="shared" si="224"/>
        <v>347</v>
      </c>
      <c r="CE350" s="279"/>
      <c r="CI350" s="40"/>
      <c r="CJ350" s="277"/>
      <c r="CK350" s="40"/>
      <c r="CL350" s="40"/>
      <c r="CM350" s="40"/>
    </row>
    <row r="351" spans="1:91" s="18" customFormat="1" ht="15" customHeight="1">
      <c r="A351" s="18">
        <v>2021</v>
      </c>
      <c r="B351" s="21" t="s">
        <v>45</v>
      </c>
      <c r="C351" s="15">
        <f>+MITRE[[#This Row],[Trenes Puntuales]]/MITRE[[#This Row],[Trenes Programados]]</f>
        <v>0.90523338048090518</v>
      </c>
      <c r="D351" s="15">
        <f>+MITRE[[#This Row],[Trenes Puntuales]]/MITRE[[#This Row],[Trenes Corridos]]</f>
        <v>0.91933701657458566</v>
      </c>
      <c r="E351" s="15">
        <f>+MITRE[[#This Row],[Trenes Corridos]]/MITRE[[#This Row],[Trenes Programados]]</f>
        <v>0.98465890545098467</v>
      </c>
      <c r="F351" s="16">
        <f>+Tabla4[[#This Row],[Trenes Programados por Día Hábil]]+Tabla5[[#This Row],[Trenes Programados por Día Hábil]]+Tabla6[[#This Row],[Trenes Programados por Día Hábil]]+MIT_Vic_Cap[[#This Row],[Trenes Programados por Día Hábil]]+Tabla8[[#This Row],[Trenes Programados por Día Hábil]]</f>
        <v>316</v>
      </c>
      <c r="G35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5.5783425414364638</v>
      </c>
      <c r="H351" s="16">
        <f t="shared" si="207"/>
        <v>9191</v>
      </c>
      <c r="I351" s="16">
        <f t="shared" si="208"/>
        <v>141</v>
      </c>
      <c r="J351" s="16">
        <f t="shared" si="209"/>
        <v>9050</v>
      </c>
      <c r="K351" s="16">
        <f t="shared" si="210"/>
        <v>8320</v>
      </c>
      <c r="L351" s="16">
        <f t="shared" si="211"/>
        <v>730</v>
      </c>
      <c r="M351" s="19" t="s">
        <v>80</v>
      </c>
      <c r="O351" s="18">
        <v>2021</v>
      </c>
      <c r="P351" s="21" t="s">
        <v>45</v>
      </c>
      <c r="Q351" s="44">
        <f>+Tabla4[[#This Row],[Trenes Puntuales]]/Tabla4[[#This Row],[Trenes Programados]]</f>
        <v>0.96892816419612315</v>
      </c>
      <c r="R351" s="44">
        <f>+Tabla4[[#This Row],[Trenes Puntuales]]/Tabla4[[#This Row],[Trenes Corridos]]</f>
        <v>0.97392550143266476</v>
      </c>
      <c r="S351" s="44">
        <f>+Tabla4[[#This Row],[Trenes Corridos]]/Tabla4[[#This Row],[Trenes Programados]]</f>
        <v>0.99486887115165334</v>
      </c>
      <c r="T351" s="16">
        <v>121</v>
      </c>
      <c r="U351" s="16">
        <v>6</v>
      </c>
      <c r="V351" s="16">
        <v>3508</v>
      </c>
      <c r="W351" s="16">
        <f t="shared" si="225"/>
        <v>18</v>
      </c>
      <c r="X351" s="16">
        <v>3490</v>
      </c>
      <c r="Y351" s="16">
        <v>3399</v>
      </c>
      <c r="Z351" s="16">
        <f t="shared" si="220"/>
        <v>91</v>
      </c>
      <c r="AA351" s="19" t="s">
        <v>80</v>
      </c>
      <c r="AC351" s="18">
        <v>2021</v>
      </c>
      <c r="AD351" s="21" t="s">
        <v>45</v>
      </c>
      <c r="AE351" s="44">
        <f>+Tabla5[[#This Row],[Trenes Puntuales]]/Tabla5[[#This Row],[Trenes Programados]]</f>
        <v>0.87177747625508817</v>
      </c>
      <c r="AF351" s="44">
        <f>+Tabla5[[#This Row],[Trenes Puntuales]]/Tabla5[[#This Row],[Trenes Corridos]]</f>
        <v>0.87833219412166785</v>
      </c>
      <c r="AG351" s="44">
        <f>+Tabla5[[#This Row],[Trenes Corridos]]/Tabla5[[#This Row],[Trenes Programados]]</f>
        <v>0.9925373134328358</v>
      </c>
      <c r="AH351" s="16">
        <v>112</v>
      </c>
      <c r="AI351" s="16">
        <v>6</v>
      </c>
      <c r="AJ351" s="16">
        <v>2948</v>
      </c>
      <c r="AK351" s="16">
        <f t="shared" si="226"/>
        <v>22</v>
      </c>
      <c r="AL351" s="16">
        <v>2926</v>
      </c>
      <c r="AM351" s="16">
        <v>2570</v>
      </c>
      <c r="AN351" s="16">
        <f t="shared" si="221"/>
        <v>356</v>
      </c>
      <c r="AO351" s="19" t="s">
        <v>80</v>
      </c>
      <c r="AQ351" s="18">
        <v>2021</v>
      </c>
      <c r="AR351" s="21" t="s">
        <v>45</v>
      </c>
      <c r="AS351" s="44">
        <f>+Tabla6[[#This Row],[Trenes Puntuales]]/Tabla6[[#This Row],[Trenes Programados]]</f>
        <v>0.92076966610073574</v>
      </c>
      <c r="AT351" s="44">
        <f>+Tabla6[[#This Row],[Trenes Puntuales]]/Tabla6[[#This Row],[Trenes Corridos]]</f>
        <v>0.96845238095238095</v>
      </c>
      <c r="AU351" s="44">
        <f>+Tabla6[[#This Row],[Trenes Corridos]]/Tabla6[[#This Row],[Trenes Programados]]</f>
        <v>0.95076400679117146</v>
      </c>
      <c r="AV351" s="16">
        <v>57</v>
      </c>
      <c r="AW351" s="16">
        <v>6</v>
      </c>
      <c r="AX351" s="16">
        <v>1767</v>
      </c>
      <c r="AY351" s="16">
        <f t="shared" si="222"/>
        <v>87</v>
      </c>
      <c r="AZ351" s="16">
        <v>1680</v>
      </c>
      <c r="BA351" s="16">
        <v>1627</v>
      </c>
      <c r="BB351" s="16">
        <f t="shared" si="223"/>
        <v>53</v>
      </c>
      <c r="BC351" s="19" t="s">
        <v>97</v>
      </c>
      <c r="BE351" s="18">
        <v>2021</v>
      </c>
      <c r="BF351" s="21" t="s">
        <v>45</v>
      </c>
      <c r="BG351" s="44">
        <f>+MIT_Vic_Cap[[#This Row],[Trenes Puntuales]]/MIT_Vic_Cap[[#This Row],[Trenes Programados]]</f>
        <v>0.90315315315315314</v>
      </c>
      <c r="BH351" s="44">
        <f>+MIT_Vic_Cap[[#This Row],[Trenes Puntuales]]/MIT_Vic_Cap[[#This Row],[Trenes Corridos]]</f>
        <v>0.91972477064220182</v>
      </c>
      <c r="BI351" s="44">
        <f>+MIT_Vic_Cap[[#This Row],[Trenes Corridos]]/MIT_Vic_Cap[[#This Row],[Trenes Programados]]</f>
        <v>0.98198198198198194</v>
      </c>
      <c r="BJ351" s="16">
        <v>14</v>
      </c>
      <c r="BK351" s="16">
        <v>2</v>
      </c>
      <c r="BL351" s="16">
        <v>444</v>
      </c>
      <c r="BM351" s="16">
        <f>+MIT_Vic_Cap[[#This Row],[Trenes Programados]]-MIT_Vic_Cap[[#This Row],[Trenes Corridos]]</f>
        <v>8</v>
      </c>
      <c r="BN351" s="16">
        <v>436</v>
      </c>
      <c r="BO351" s="16">
        <v>401</v>
      </c>
      <c r="BP351" s="16">
        <f>+MIT_Vic_Cap[[#This Row],[Trenes Corridos]]-MIT_Vic_Cap[[#This Row],[Trenes Puntuales]]</f>
        <v>35</v>
      </c>
      <c r="BQ351" s="19" t="s">
        <v>80</v>
      </c>
      <c r="BS351" s="18">
        <v>2021</v>
      </c>
      <c r="BT351" s="21" t="s">
        <v>45</v>
      </c>
      <c r="BU351" s="44">
        <f>+Tabla8[[#This Row],[Trenes Puntuales]]/Tabla8[[#This Row],[Trenes Programados]]</f>
        <v>0.61641221374045807</v>
      </c>
      <c r="BV351" s="44">
        <f>+Tabla8[[#This Row],[Trenes Puntuales]]/Tabla8[[#This Row],[Trenes Corridos]]</f>
        <v>0.62355212355212353</v>
      </c>
      <c r="BW351" s="44">
        <f>+Tabla8[[#This Row],[Trenes Corridos]]/Tabla8[[#This Row],[Trenes Programados]]</f>
        <v>0.98854961832061072</v>
      </c>
      <c r="BX351" s="16">
        <v>12</v>
      </c>
      <c r="BY351" s="16">
        <v>2</v>
      </c>
      <c r="BZ351" s="16">
        <v>524</v>
      </c>
      <c r="CA351" s="16">
        <f t="shared" si="227"/>
        <v>6</v>
      </c>
      <c r="CB351" s="16">
        <v>518</v>
      </c>
      <c r="CC351" s="16">
        <v>323</v>
      </c>
      <c r="CD351" s="16">
        <f t="shared" si="224"/>
        <v>195</v>
      </c>
      <c r="CE351" s="279"/>
      <c r="CI351" s="40"/>
      <c r="CJ351" s="277"/>
      <c r="CK351" s="40"/>
      <c r="CL351" s="40"/>
      <c r="CM351" s="40"/>
    </row>
    <row r="352" spans="1:91" s="18" customFormat="1" ht="15" customHeight="1">
      <c r="A352" s="18">
        <v>2021</v>
      </c>
      <c r="B352" s="21" t="s">
        <v>46</v>
      </c>
      <c r="C352" s="15">
        <f>+MITRE[[#This Row],[Trenes Puntuales]]/MITRE[[#This Row],[Trenes Programados]]</f>
        <v>0.85506220289268742</v>
      </c>
      <c r="D352" s="15">
        <f>+MITRE[[#This Row],[Trenes Puntuales]]/MITRE[[#This Row],[Trenes Corridos]]</f>
        <v>0.87253586541438743</v>
      </c>
      <c r="E352" s="15">
        <f>+MITRE[[#This Row],[Trenes Corridos]]/MITRE[[#This Row],[Trenes Programados]]</f>
        <v>0.97997370284211593</v>
      </c>
      <c r="F352" s="16">
        <f>+Tabla4[[#This Row],[Trenes Programados por Día Hábil]]+Tabla5[[#This Row],[Trenes Programados por Día Hábil]]+Tabla6[[#This Row],[Trenes Programados por Día Hábil]]+MIT_Vic_Cap[[#This Row],[Trenes Programados por Día Hábil]]+Tabla8[[#This Row],[Trenes Programados por Día Hábil]]</f>
        <v>338</v>
      </c>
      <c r="G35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5.5421612137475487</v>
      </c>
      <c r="H352" s="16">
        <f t="shared" si="207"/>
        <v>9887</v>
      </c>
      <c r="I352" s="16">
        <f t="shared" si="208"/>
        <v>198</v>
      </c>
      <c r="J352" s="16">
        <f t="shared" si="209"/>
        <v>9689</v>
      </c>
      <c r="K352" s="16">
        <f t="shared" si="210"/>
        <v>8454</v>
      </c>
      <c r="L352" s="16">
        <f t="shared" si="211"/>
        <v>1235</v>
      </c>
      <c r="M352" s="19" t="s">
        <v>80</v>
      </c>
      <c r="O352" s="18">
        <v>2021</v>
      </c>
      <c r="P352" s="21" t="s">
        <v>46</v>
      </c>
      <c r="Q352" s="44">
        <f>+Tabla4[[#This Row],[Trenes Puntuales]]/Tabla4[[#This Row],[Trenes Programados]]</f>
        <v>0.94393708777270424</v>
      </c>
      <c r="R352" s="44">
        <f>+Tabla4[[#This Row],[Trenes Puntuales]]/Tabla4[[#This Row],[Trenes Corridos]]</f>
        <v>0.95093278814209048</v>
      </c>
      <c r="S352" s="44">
        <f>+Tabla4[[#This Row],[Trenes Corridos]]/Tabla4[[#This Row],[Trenes Programados]]</f>
        <v>0.99264332825976664</v>
      </c>
      <c r="T352" s="16">
        <v>121</v>
      </c>
      <c r="U352" s="16">
        <v>6</v>
      </c>
      <c r="V352" s="16">
        <v>3942</v>
      </c>
      <c r="W352" s="16">
        <f t="shared" si="225"/>
        <v>29</v>
      </c>
      <c r="X352" s="16">
        <v>3913</v>
      </c>
      <c r="Y352" s="16">
        <v>3721</v>
      </c>
      <c r="Z352" s="16">
        <f t="shared" si="220"/>
        <v>192</v>
      </c>
      <c r="AA352" s="19" t="s">
        <v>80</v>
      </c>
      <c r="AC352" s="18">
        <v>2021</v>
      </c>
      <c r="AD352" s="21" t="s">
        <v>46</v>
      </c>
      <c r="AE352" s="44">
        <f>+Tabla5[[#This Row],[Trenes Puntuales]]/Tabla5[[#This Row],[Trenes Programados]]</f>
        <v>0.80721683929168064</v>
      </c>
      <c r="AF352" s="44">
        <f>+Tabla5[[#This Row],[Trenes Puntuales]]/Tabla5[[#This Row],[Trenes Corridos]]</f>
        <v>0.81456507080242746</v>
      </c>
      <c r="AG352" s="44">
        <f>+Tabla5[[#This Row],[Trenes Corridos]]/Tabla5[[#This Row],[Trenes Programados]]</f>
        <v>0.99097895088539922</v>
      </c>
      <c r="AH352" s="16">
        <v>112</v>
      </c>
      <c r="AI352" s="16">
        <v>6</v>
      </c>
      <c r="AJ352" s="16">
        <v>2993</v>
      </c>
      <c r="AK352" s="16">
        <f t="shared" si="226"/>
        <v>27</v>
      </c>
      <c r="AL352" s="16">
        <v>2966</v>
      </c>
      <c r="AM352" s="16">
        <v>2416</v>
      </c>
      <c r="AN352" s="16">
        <f t="shared" si="221"/>
        <v>550</v>
      </c>
      <c r="AO352" s="19" t="s">
        <v>80</v>
      </c>
      <c r="AQ352" s="18">
        <v>2021</v>
      </c>
      <c r="AR352" s="21" t="s">
        <v>46</v>
      </c>
      <c r="AS352" s="44">
        <f>+Tabla6[[#This Row],[Trenes Puntuales]]/Tabla6[[#This Row],[Trenes Programados]]</f>
        <v>0.95847953216374271</v>
      </c>
      <c r="AT352" s="44">
        <f>+Tabla6[[#This Row],[Trenes Puntuales]]/Tabla6[[#This Row],[Trenes Corridos]]</f>
        <v>0.96355085243974137</v>
      </c>
      <c r="AU352" s="44">
        <f>+Tabla6[[#This Row],[Trenes Corridos]]/Tabla6[[#This Row],[Trenes Programados]]</f>
        <v>0.99473684210526314</v>
      </c>
      <c r="AV352" s="16">
        <v>57</v>
      </c>
      <c r="AW352" s="16">
        <v>6</v>
      </c>
      <c r="AX352" s="16">
        <v>1710</v>
      </c>
      <c r="AY352" s="16">
        <f t="shared" si="222"/>
        <v>9</v>
      </c>
      <c r="AZ352" s="16">
        <v>1701</v>
      </c>
      <c r="BA352" s="16">
        <v>1639</v>
      </c>
      <c r="BB352" s="16">
        <f t="shared" si="223"/>
        <v>62</v>
      </c>
      <c r="BC352" s="19" t="s">
        <v>97</v>
      </c>
      <c r="BE352" s="18">
        <v>2021</v>
      </c>
      <c r="BF352" s="21" t="s">
        <v>46</v>
      </c>
      <c r="BG352" s="44">
        <f>+MIT_Vic_Cap[[#This Row],[Trenes Puntuales]]/MIT_Vic_Cap[[#This Row],[Trenes Programados]]</f>
        <v>0.87380952380952381</v>
      </c>
      <c r="BH352" s="44">
        <f>+MIT_Vic_Cap[[#This Row],[Trenes Puntuales]]/MIT_Vic_Cap[[#This Row],[Trenes Corridos]]</f>
        <v>0.91979949874686717</v>
      </c>
      <c r="BI352" s="44">
        <f>+MIT_Vic_Cap[[#This Row],[Trenes Corridos]]/MIT_Vic_Cap[[#This Row],[Trenes Programados]]</f>
        <v>0.95</v>
      </c>
      <c r="BJ352" s="16">
        <v>14</v>
      </c>
      <c r="BK352" s="16">
        <v>2</v>
      </c>
      <c r="BL352" s="16">
        <v>420</v>
      </c>
      <c r="BM352" s="16">
        <f>+MIT_Vic_Cap[[#This Row],[Trenes Programados]]-MIT_Vic_Cap[[#This Row],[Trenes Corridos]]</f>
        <v>21</v>
      </c>
      <c r="BN352" s="16">
        <v>399</v>
      </c>
      <c r="BO352" s="16">
        <v>367</v>
      </c>
      <c r="BP352" s="16">
        <f>+MIT_Vic_Cap[[#This Row],[Trenes Corridos]]-MIT_Vic_Cap[[#This Row],[Trenes Puntuales]]</f>
        <v>32</v>
      </c>
      <c r="BQ352" s="19" t="s">
        <v>80</v>
      </c>
      <c r="BS352" s="18">
        <v>2021</v>
      </c>
      <c r="BT352" s="21" t="s">
        <v>46</v>
      </c>
      <c r="BU352" s="44">
        <f>+Tabla8[[#This Row],[Trenes Puntuales]]/Tabla8[[#This Row],[Trenes Programados]]</f>
        <v>0.37834549878345497</v>
      </c>
      <c r="BV352" s="44">
        <f>+Tabla8[[#This Row],[Trenes Puntuales]]/Tabla8[[#This Row],[Trenes Corridos]]</f>
        <v>0.43802816901408453</v>
      </c>
      <c r="BW352" s="44">
        <f>+Tabla8[[#This Row],[Trenes Corridos]]/Tabla8[[#This Row],[Trenes Programados]]</f>
        <v>0.86374695863746964</v>
      </c>
      <c r="BX352" s="16">
        <v>34</v>
      </c>
      <c r="BY352" s="16">
        <v>2</v>
      </c>
      <c r="BZ352" s="16">
        <v>822</v>
      </c>
      <c r="CA352" s="16">
        <f t="shared" si="227"/>
        <v>112</v>
      </c>
      <c r="CB352" s="16">
        <v>710</v>
      </c>
      <c r="CC352" s="16">
        <v>311</v>
      </c>
      <c r="CD352" s="16">
        <f t="shared" si="224"/>
        <v>399</v>
      </c>
      <c r="CE352" s="279" t="s">
        <v>222</v>
      </c>
      <c r="CI352" s="40"/>
      <c r="CJ352" s="277"/>
      <c r="CK352" s="40"/>
      <c r="CL352" s="40"/>
      <c r="CM352" s="40"/>
    </row>
    <row r="353" spans="1:91" s="18" customFormat="1" ht="15" customHeight="1">
      <c r="A353" s="18">
        <v>2021</v>
      </c>
      <c r="B353" s="21" t="s">
        <v>47</v>
      </c>
      <c r="C353" s="15">
        <f>+MITRE[[#This Row],[Trenes Puntuales]]/MITRE[[#This Row],[Trenes Programados]]</f>
        <v>0.85230416944948006</v>
      </c>
      <c r="D353" s="15">
        <f>+MITRE[[#This Row],[Trenes Puntuales]]/MITRE[[#This Row],[Trenes Corridos]]</f>
        <v>0.87304534792806876</v>
      </c>
      <c r="E353" s="15">
        <f>+MITRE[[#This Row],[Trenes Corridos]]/MITRE[[#This Row],[Trenes Programados]]</f>
        <v>0.9762427249308272</v>
      </c>
      <c r="F353" s="16">
        <f>+Tabla4[[#This Row],[Trenes Programados por Día Hábil]]+Tabla5[[#This Row],[Trenes Programados por Día Hábil]]+Tabla6[[#This Row],[Trenes Programados por Día Hábil]]+MIT_Vic_Cap[[#This Row],[Trenes Programados por Día Hábil]]+Tabla8[[#This Row],[Trenes Programados por Día Hábil]]</f>
        <v>338</v>
      </c>
      <c r="G35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5.517591868647381</v>
      </c>
      <c r="H353" s="16">
        <f t="shared" si="207"/>
        <v>10481</v>
      </c>
      <c r="I353" s="16">
        <f t="shared" si="208"/>
        <v>249</v>
      </c>
      <c r="J353" s="16">
        <f t="shared" si="209"/>
        <v>10232</v>
      </c>
      <c r="K353" s="16">
        <f t="shared" si="210"/>
        <v>8933</v>
      </c>
      <c r="L353" s="16">
        <f t="shared" si="211"/>
        <v>1299</v>
      </c>
      <c r="M353" s="19" t="s">
        <v>80</v>
      </c>
      <c r="O353" s="18">
        <v>2021</v>
      </c>
      <c r="P353" s="21" t="s">
        <v>47</v>
      </c>
      <c r="Q353" s="44">
        <f>+Tabla4[[#This Row],[Trenes Puntuales]]/Tabla4[[#This Row],[Trenes Programados]]</f>
        <v>0.90716305372290296</v>
      </c>
      <c r="R353" s="44">
        <f>+Tabla4[[#This Row],[Trenes Puntuales]]/Tabla4[[#This Row],[Trenes Corridos]]</f>
        <v>0.92215568862275454</v>
      </c>
      <c r="S353" s="44">
        <f>+Tabla4[[#This Row],[Trenes Corridos]]/Tabla4[[#This Row],[Trenes Programados]]</f>
        <v>0.98374175306314793</v>
      </c>
      <c r="T353" s="16">
        <v>121</v>
      </c>
      <c r="U353" s="16">
        <v>6</v>
      </c>
      <c r="V353" s="16">
        <v>4244</v>
      </c>
      <c r="W353" s="16">
        <f t="shared" si="225"/>
        <v>69</v>
      </c>
      <c r="X353" s="16">
        <v>4175</v>
      </c>
      <c r="Y353" s="16">
        <v>3850</v>
      </c>
      <c r="Z353" s="16">
        <f t="shared" si="220"/>
        <v>325</v>
      </c>
      <c r="AA353" s="19" t="s">
        <v>80</v>
      </c>
      <c r="AC353" s="18">
        <v>2021</v>
      </c>
      <c r="AD353" s="21" t="s">
        <v>47</v>
      </c>
      <c r="AE353" s="44">
        <f>+Tabla5[[#This Row],[Trenes Puntuales]]/Tabla5[[#This Row],[Trenes Programados]]</f>
        <v>0.84235976789168276</v>
      </c>
      <c r="AF353" s="44">
        <f>+Tabla5[[#This Row],[Trenes Puntuales]]/Tabla5[[#This Row],[Trenes Corridos]]</f>
        <v>0.85225048923679059</v>
      </c>
      <c r="AG353" s="44">
        <f>+Tabla5[[#This Row],[Trenes Corridos]]/Tabla5[[#This Row],[Trenes Programados]]</f>
        <v>0.98839458413926495</v>
      </c>
      <c r="AH353" s="16">
        <v>112</v>
      </c>
      <c r="AI353" s="16">
        <v>6</v>
      </c>
      <c r="AJ353" s="16">
        <v>3102</v>
      </c>
      <c r="AK353" s="16">
        <f t="shared" si="226"/>
        <v>36</v>
      </c>
      <c r="AL353" s="16">
        <v>3066</v>
      </c>
      <c r="AM353" s="16">
        <v>2613</v>
      </c>
      <c r="AN353" s="16">
        <f t="shared" si="221"/>
        <v>453</v>
      </c>
      <c r="AO353" s="19" t="s">
        <v>80</v>
      </c>
      <c r="AQ353" s="18">
        <v>2021</v>
      </c>
      <c r="AR353" s="21" t="s">
        <v>47</v>
      </c>
      <c r="AS353" s="44">
        <f>+Tabla6[[#This Row],[Trenes Puntuales]]/Tabla6[[#This Row],[Trenes Programados]]</f>
        <v>0.9626485568760611</v>
      </c>
      <c r="AT353" s="44">
        <f>+Tabla6[[#This Row],[Trenes Puntuales]]/Tabla6[[#This Row],[Trenes Corridos]]</f>
        <v>0.96812749003984067</v>
      </c>
      <c r="AU353" s="44">
        <f>+Tabla6[[#This Row],[Trenes Corridos]]/Tabla6[[#This Row],[Trenes Programados]]</f>
        <v>0.99434069043576678</v>
      </c>
      <c r="AV353" s="16">
        <v>57</v>
      </c>
      <c r="AW353" s="16">
        <v>6</v>
      </c>
      <c r="AX353" s="16">
        <v>1767</v>
      </c>
      <c r="AY353" s="16">
        <f t="shared" si="222"/>
        <v>10</v>
      </c>
      <c r="AZ353" s="16">
        <v>1757</v>
      </c>
      <c r="BA353" s="16">
        <v>1701</v>
      </c>
      <c r="BB353" s="16">
        <f t="shared" si="223"/>
        <v>56</v>
      </c>
      <c r="BC353" s="19" t="s">
        <v>97</v>
      </c>
      <c r="BE353" s="18">
        <v>2021</v>
      </c>
      <c r="BF353" s="21" t="s">
        <v>47</v>
      </c>
      <c r="BG353" s="44">
        <f>+MIT_Vic_Cap[[#This Row],[Trenes Puntuales]]/MIT_Vic_Cap[[#This Row],[Trenes Programados]]</f>
        <v>0.87557603686635943</v>
      </c>
      <c r="BH353" s="44">
        <f>+MIT_Vic_Cap[[#This Row],[Trenes Puntuales]]/MIT_Vic_Cap[[#This Row],[Trenes Corridos]]</f>
        <v>0.90476190476190477</v>
      </c>
      <c r="BI353" s="44">
        <f>+MIT_Vic_Cap[[#This Row],[Trenes Corridos]]/MIT_Vic_Cap[[#This Row],[Trenes Programados]]</f>
        <v>0.967741935483871</v>
      </c>
      <c r="BJ353" s="16">
        <v>14</v>
      </c>
      <c r="BK353" s="16">
        <v>2</v>
      </c>
      <c r="BL353" s="16">
        <v>434</v>
      </c>
      <c r="BM353" s="16">
        <f>+MIT_Vic_Cap[[#This Row],[Trenes Programados]]-MIT_Vic_Cap[[#This Row],[Trenes Corridos]]</f>
        <v>14</v>
      </c>
      <c r="BN353" s="16">
        <v>420</v>
      </c>
      <c r="BO353" s="16">
        <v>380</v>
      </c>
      <c r="BP353" s="16">
        <f>+MIT_Vic_Cap[[#This Row],[Trenes Corridos]]-MIT_Vic_Cap[[#This Row],[Trenes Puntuales]]</f>
        <v>40</v>
      </c>
      <c r="BQ353" s="19" t="s">
        <v>80</v>
      </c>
      <c r="BS353" s="18">
        <v>2021</v>
      </c>
      <c r="BT353" s="21" t="s">
        <v>47</v>
      </c>
      <c r="BU353" s="44">
        <f>+Tabla8[[#This Row],[Trenes Puntuales]]/Tabla8[[#This Row],[Trenes Programados]]</f>
        <v>0.41648822269807279</v>
      </c>
      <c r="BV353" s="44">
        <f>+Tabla8[[#This Row],[Trenes Puntuales]]/Tabla8[[#This Row],[Trenes Corridos]]</f>
        <v>0.47788697788697787</v>
      </c>
      <c r="BW353" s="44">
        <f>+Tabla8[[#This Row],[Trenes Corridos]]/Tabla8[[#This Row],[Trenes Programados]]</f>
        <v>0.87152034261241973</v>
      </c>
      <c r="BX353" s="16">
        <v>34</v>
      </c>
      <c r="BY353" s="16">
        <v>2</v>
      </c>
      <c r="BZ353" s="16">
        <v>934</v>
      </c>
      <c r="CA353" s="16">
        <f t="shared" si="227"/>
        <v>120</v>
      </c>
      <c r="CB353" s="16">
        <v>814</v>
      </c>
      <c r="CC353" s="16">
        <v>389</v>
      </c>
      <c r="CD353" s="16">
        <f t="shared" si="224"/>
        <v>425</v>
      </c>
      <c r="CE353" s="279"/>
      <c r="CI353" s="40"/>
      <c r="CJ353" s="277"/>
      <c r="CK353" s="40"/>
      <c r="CL353" s="40"/>
      <c r="CM353" s="40"/>
    </row>
    <row r="354" spans="1:91" s="18" customFormat="1" ht="15" customHeight="1">
      <c r="A354" s="18">
        <v>2022</v>
      </c>
      <c r="B354" s="21" t="s">
        <v>36</v>
      </c>
      <c r="C354" s="15">
        <f>+MITRE[[#This Row],[Trenes Puntuales]]/MITRE[[#This Row],[Trenes Programados]]</f>
        <v>0.85179828367563393</v>
      </c>
      <c r="D354" s="15">
        <f>+MITRE[[#This Row],[Trenes Puntuales]]/MITRE[[#This Row],[Trenes Corridos]]</f>
        <v>0.88119700748129681</v>
      </c>
      <c r="E354" s="15">
        <f>+MITRE[[#This Row],[Trenes Corridos]]/MITRE[[#This Row],[Trenes Programados]]</f>
        <v>0.96663773985150903</v>
      </c>
      <c r="F354" s="26">
        <f>+Tabla4[[#This Row],[Trenes Programados por Día Hábil]]+Tabla5[[#This Row],[Trenes Programados por Día Hábil]]+Tabla6[[#This Row],[Trenes Programados por Día Hábil]]+MIT_Vic_Cap[[#This Row],[Trenes Programados por Día Hábil]]+Tabla8[[#This Row],[Trenes Programados por Día Hábil]]</f>
        <v>338</v>
      </c>
      <c r="G354"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5.484488778054863</v>
      </c>
      <c r="H354" s="16">
        <f t="shared" si="207"/>
        <v>10371</v>
      </c>
      <c r="I354" s="16">
        <f t="shared" si="208"/>
        <v>346</v>
      </c>
      <c r="J354" s="16">
        <f t="shared" si="209"/>
        <v>10025</v>
      </c>
      <c r="K354" s="16">
        <f t="shared" si="210"/>
        <v>8834</v>
      </c>
      <c r="L354" s="16">
        <f t="shared" si="211"/>
        <v>1191</v>
      </c>
      <c r="M354" s="16"/>
      <c r="O354" s="18">
        <v>2022</v>
      </c>
      <c r="P354" s="21" t="s">
        <v>36</v>
      </c>
      <c r="Q354" s="44">
        <f>+Tabla4[[#This Row],[Trenes Puntuales]]/Tabla4[[#This Row],[Trenes Programados]]</f>
        <v>0.88955152671755722</v>
      </c>
      <c r="R354" s="44">
        <f>+Tabla4[[#This Row],[Trenes Puntuales]]/Tabla4[[#This Row],[Trenes Corridos]]</f>
        <v>0.91576620825147348</v>
      </c>
      <c r="S354" s="44">
        <f>+Tabla4[[#This Row],[Trenes Corridos]]/Tabla4[[#This Row],[Trenes Programados]]</f>
        <v>0.97137404580152675</v>
      </c>
      <c r="T354" s="16">
        <v>121</v>
      </c>
      <c r="U354" s="16">
        <v>6</v>
      </c>
      <c r="V354" s="16">
        <v>4192</v>
      </c>
      <c r="W354" s="16">
        <f t="shared" si="225"/>
        <v>120</v>
      </c>
      <c r="X354" s="16">
        <v>4072</v>
      </c>
      <c r="Y354" s="16">
        <v>3729</v>
      </c>
      <c r="Z354" s="16">
        <f t="shared" ref="Z354:Z359" si="228">+X354-Y354</f>
        <v>343</v>
      </c>
      <c r="AA354" s="16"/>
      <c r="AC354" s="18">
        <v>2022</v>
      </c>
      <c r="AD354" s="21" t="s">
        <v>36</v>
      </c>
      <c r="AE354" s="44">
        <f>+Tabla5[[#This Row],[Trenes Puntuales]]/Tabla5[[#This Row],[Trenes Programados]]</f>
        <v>0.81594488188976377</v>
      </c>
      <c r="AF354" s="44">
        <f>+Tabla5[[#This Row],[Trenes Puntuales]]/Tabla5[[#This Row],[Trenes Corridos]]</f>
        <v>0.85463917525773192</v>
      </c>
      <c r="AG354" s="44">
        <f>+Tabla5[[#This Row],[Trenes Corridos]]/Tabla5[[#This Row],[Trenes Programados]]</f>
        <v>0.95472440944881887</v>
      </c>
      <c r="AH354" s="16">
        <v>112</v>
      </c>
      <c r="AI354" s="16">
        <v>6</v>
      </c>
      <c r="AJ354" s="16">
        <v>3048</v>
      </c>
      <c r="AK354" s="16">
        <f t="shared" si="226"/>
        <v>138</v>
      </c>
      <c r="AL354" s="16">
        <v>2910</v>
      </c>
      <c r="AM354" s="16">
        <v>2487</v>
      </c>
      <c r="AN354" s="16">
        <f t="shared" ref="AN354:AN359" si="229">+AL354-AM354</f>
        <v>423</v>
      </c>
      <c r="AO354" s="16"/>
      <c r="AQ354" s="18">
        <v>2022</v>
      </c>
      <c r="AR354" s="21" t="s">
        <v>36</v>
      </c>
      <c r="AS354" s="44">
        <f>+Tabla6[[#This Row],[Trenes Puntuales]]/Tabla6[[#This Row],[Trenes Programados]]</f>
        <v>0.956989247311828</v>
      </c>
      <c r="AT354" s="44">
        <f>+Tabla6[[#This Row],[Trenes Puntuales]]/Tabla6[[#This Row],[Trenes Corridos]]</f>
        <v>0.96573386636207881</v>
      </c>
      <c r="AU354" s="44">
        <f>+Tabla6[[#This Row],[Trenes Corridos]]/Tabla6[[#This Row],[Trenes Programados]]</f>
        <v>0.99094510469722696</v>
      </c>
      <c r="AV354" s="16">
        <v>57</v>
      </c>
      <c r="AW354" s="16">
        <v>6</v>
      </c>
      <c r="AX354" s="16">
        <v>1767</v>
      </c>
      <c r="AY354" s="16">
        <f t="shared" ref="AY354:AY361" si="230">+AX354-AZ354</f>
        <v>16</v>
      </c>
      <c r="AZ354" s="16">
        <v>1751</v>
      </c>
      <c r="BA354" s="16">
        <v>1691</v>
      </c>
      <c r="BB354" s="16">
        <f t="shared" ref="BB354:BB359" si="231">+AZ354-BA354</f>
        <v>60</v>
      </c>
      <c r="BC354" s="19" t="s">
        <v>97</v>
      </c>
      <c r="BE354" s="18">
        <v>2022</v>
      </c>
      <c r="BF354" s="21" t="s">
        <v>36</v>
      </c>
      <c r="BG354" s="44">
        <f>+MIT_Vic_Cap[[#This Row],[Trenes Puntuales]]/MIT_Vic_Cap[[#This Row],[Trenes Programados]]</f>
        <v>0.87327188940092171</v>
      </c>
      <c r="BH354" s="44">
        <f>+MIT_Vic_Cap[[#This Row],[Trenes Puntuales]]/MIT_Vic_Cap[[#This Row],[Trenes Corridos]]</f>
        <v>0.87731481481481477</v>
      </c>
      <c r="BI354" s="44">
        <f>+MIT_Vic_Cap[[#This Row],[Trenes Corridos]]/MIT_Vic_Cap[[#This Row],[Trenes Programados]]</f>
        <v>0.99539170506912444</v>
      </c>
      <c r="BJ354" s="16">
        <v>14</v>
      </c>
      <c r="BK354" s="16">
        <v>2</v>
      </c>
      <c r="BL354" s="16">
        <v>434</v>
      </c>
      <c r="BM354" s="16">
        <f>+MIT_Vic_Cap[[#This Row],[Trenes Programados]]-MIT_Vic_Cap[[#This Row],[Trenes Corridos]]</f>
        <v>2</v>
      </c>
      <c r="BN354" s="16">
        <v>432</v>
      </c>
      <c r="BO354" s="16">
        <v>379</v>
      </c>
      <c r="BP354" s="16">
        <f>+MIT_Vic_Cap[[#This Row],[Trenes Corridos]]-MIT_Vic_Cap[[#This Row],[Trenes Puntuales]]</f>
        <v>53</v>
      </c>
      <c r="BQ354" s="19" t="s">
        <v>80</v>
      </c>
      <c r="BS354" s="18">
        <v>2022</v>
      </c>
      <c r="BT354" s="21" t="s">
        <v>36</v>
      </c>
      <c r="BU354" s="44">
        <f>+Tabla8[[#This Row],[Trenes Puntuales]]/Tabla8[[#This Row],[Trenes Programados]]</f>
        <v>0.58924731182795698</v>
      </c>
      <c r="BV354" s="44">
        <f>+Tabla8[[#This Row],[Trenes Puntuales]]/Tabla8[[#This Row],[Trenes Corridos]]</f>
        <v>0.63720930232558137</v>
      </c>
      <c r="BW354" s="44">
        <f>+Tabla8[[#This Row],[Trenes Corridos]]/Tabla8[[#This Row],[Trenes Programados]]</f>
        <v>0.92473118279569888</v>
      </c>
      <c r="BX354" s="16">
        <v>34</v>
      </c>
      <c r="BY354" s="16">
        <v>2</v>
      </c>
      <c r="BZ354" s="16">
        <v>930</v>
      </c>
      <c r="CA354" s="16">
        <f t="shared" si="227"/>
        <v>70</v>
      </c>
      <c r="CB354" s="16">
        <v>860</v>
      </c>
      <c r="CC354" s="16">
        <v>548</v>
      </c>
      <c r="CD354" s="16">
        <f t="shared" ref="CD354:CD359" si="232">+CB354-CC354</f>
        <v>312</v>
      </c>
      <c r="CE354" s="278"/>
      <c r="CI354" s="40"/>
      <c r="CJ354" s="277"/>
      <c r="CK354" s="40"/>
      <c r="CL354" s="40"/>
      <c r="CM354" s="40"/>
    </row>
    <row r="355" spans="1:91" s="18" customFormat="1" ht="15" customHeight="1">
      <c r="A355" s="18">
        <v>2022</v>
      </c>
      <c r="B355" s="21" t="s">
        <v>37</v>
      </c>
      <c r="C355" s="15">
        <f>+MITRE[[#This Row],[Trenes Puntuales]]/MITRE[[#This Row],[Trenes Programados]]</f>
        <v>0.87967600980496641</v>
      </c>
      <c r="D355" s="15">
        <f>+MITRE[[#This Row],[Trenes Puntuales]]/MITRE[[#This Row],[Trenes Corridos]]</f>
        <v>0.89377368706009741</v>
      </c>
      <c r="E355" s="15">
        <f>+MITRE[[#This Row],[Trenes Corridos]]/MITRE[[#This Row],[Trenes Programados]]</f>
        <v>0.9842267931365235</v>
      </c>
      <c r="F355" s="26">
        <f>+Tabla4[[#This Row],[Trenes Programados por Día Hábil]]+Tabla5[[#This Row],[Trenes Programados por Día Hábil]]+Tabla6[[#This Row],[Trenes Programados por Día Hábil]]+MIT_Vic_Cap[[#This Row],[Trenes Programados por Día Hábil]]+Tabla8[[#This Row],[Trenes Programados por Día Hábil]]</f>
        <v>338</v>
      </c>
      <c r="G355"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5.4850027070925824</v>
      </c>
      <c r="H355" s="16">
        <f t="shared" si="207"/>
        <v>9383</v>
      </c>
      <c r="I355" s="16">
        <f t="shared" si="208"/>
        <v>148</v>
      </c>
      <c r="J355" s="16">
        <f t="shared" si="209"/>
        <v>9235</v>
      </c>
      <c r="K355" s="16">
        <f t="shared" si="210"/>
        <v>8254</v>
      </c>
      <c r="L355" s="16">
        <f t="shared" si="211"/>
        <v>981</v>
      </c>
      <c r="M355" s="16"/>
      <c r="O355" s="18">
        <v>2022</v>
      </c>
      <c r="P355" s="21" t="s">
        <v>37</v>
      </c>
      <c r="Q355" s="44">
        <f>+Tabla4[[#This Row],[Trenes Puntuales]]/Tabla4[[#This Row],[Trenes Programados]]</f>
        <v>0.91684266103484691</v>
      </c>
      <c r="R355" s="44">
        <f>+Tabla4[[#This Row],[Trenes Puntuales]]/Tabla4[[#This Row],[Trenes Corridos]]</f>
        <v>0.93134888710109953</v>
      </c>
      <c r="S355" s="44">
        <f>+Tabla4[[#This Row],[Trenes Corridos]]/Tabla4[[#This Row],[Trenes Programados]]</f>
        <v>0.98442449841605073</v>
      </c>
      <c r="T355" s="16">
        <v>121</v>
      </c>
      <c r="U355" s="16">
        <v>6</v>
      </c>
      <c r="V355" s="16">
        <v>3788</v>
      </c>
      <c r="W355" s="16">
        <f t="shared" si="225"/>
        <v>59</v>
      </c>
      <c r="X355" s="16">
        <v>3729</v>
      </c>
      <c r="Y355" s="16">
        <v>3473</v>
      </c>
      <c r="Z355" s="16">
        <f t="shared" si="228"/>
        <v>256</v>
      </c>
      <c r="AA355" s="16"/>
      <c r="AC355" s="18">
        <v>2022</v>
      </c>
      <c r="AD355" s="21" t="s">
        <v>37</v>
      </c>
      <c r="AE355" s="44">
        <f>+Tabla5[[#This Row],[Trenes Puntuales]]/Tabla5[[#This Row],[Trenes Programados]]</f>
        <v>0.85403839188699748</v>
      </c>
      <c r="AF355" s="44">
        <f>+Tabla5[[#This Row],[Trenes Puntuales]]/Tabla5[[#This Row],[Trenes Corridos]]</f>
        <v>0.86436950146627567</v>
      </c>
      <c r="AG355" s="44">
        <f>+Tabla5[[#This Row],[Trenes Corridos]]/Tabla5[[#This Row],[Trenes Programados]]</f>
        <v>0.98804780876494025</v>
      </c>
      <c r="AH355" s="16">
        <v>112</v>
      </c>
      <c r="AI355" s="16">
        <v>6</v>
      </c>
      <c r="AJ355" s="16">
        <v>2761</v>
      </c>
      <c r="AK355" s="16">
        <f t="shared" si="226"/>
        <v>33</v>
      </c>
      <c r="AL355" s="16">
        <v>2728</v>
      </c>
      <c r="AM355" s="16">
        <v>2358</v>
      </c>
      <c r="AN355" s="16">
        <f t="shared" si="229"/>
        <v>370</v>
      </c>
      <c r="AO355" s="16"/>
      <c r="AQ355" s="56">
        <v>2022</v>
      </c>
      <c r="AR355" s="21" t="s">
        <v>37</v>
      </c>
      <c r="AS355" s="44">
        <f>+Tabla6[[#This Row],[Trenes Puntuales]]/Tabla6[[#This Row],[Trenes Programados]]</f>
        <v>0.95050125313283207</v>
      </c>
      <c r="AT355" s="44">
        <f>+Tabla6[[#This Row],[Trenes Puntuales]]/Tabla6[[#This Row],[Trenes Corridos]]</f>
        <v>0.95468848332284451</v>
      </c>
      <c r="AU355" s="44">
        <f>+Tabla6[[#This Row],[Trenes Corridos]]/Tabla6[[#This Row],[Trenes Programados]]</f>
        <v>0.99561403508771928</v>
      </c>
      <c r="AV355" s="16">
        <v>57</v>
      </c>
      <c r="AW355" s="16">
        <v>6</v>
      </c>
      <c r="AX355" s="16">
        <v>1596</v>
      </c>
      <c r="AY355" s="16">
        <f t="shared" si="230"/>
        <v>7</v>
      </c>
      <c r="AZ355" s="16">
        <v>1589</v>
      </c>
      <c r="BA355" s="16">
        <v>1517</v>
      </c>
      <c r="BB355" s="16">
        <f t="shared" si="231"/>
        <v>72</v>
      </c>
      <c r="BC355" s="19" t="s">
        <v>97</v>
      </c>
      <c r="BE355" s="18">
        <v>2022</v>
      </c>
      <c r="BF355" s="21" t="s">
        <v>37</v>
      </c>
      <c r="BG355" s="44">
        <f>+MIT_Vic_Cap[[#This Row],[Trenes Puntuales]]/MIT_Vic_Cap[[#This Row],[Trenes Programados]]</f>
        <v>0.88520408163265307</v>
      </c>
      <c r="BH355" s="44">
        <f>+MIT_Vic_Cap[[#This Row],[Trenes Puntuales]]/MIT_Vic_Cap[[#This Row],[Trenes Corridos]]</f>
        <v>0.90837696335078533</v>
      </c>
      <c r="BI355" s="44">
        <f>+MIT_Vic_Cap[[#This Row],[Trenes Corridos]]/MIT_Vic_Cap[[#This Row],[Trenes Programados]]</f>
        <v>0.97448979591836737</v>
      </c>
      <c r="BJ355" s="16">
        <v>14</v>
      </c>
      <c r="BK355" s="16">
        <v>2</v>
      </c>
      <c r="BL355" s="16">
        <v>392</v>
      </c>
      <c r="BM355" s="16">
        <f>+MIT_Vic_Cap[[#This Row],[Trenes Programados]]-MIT_Vic_Cap[[#This Row],[Trenes Corridos]]</f>
        <v>10</v>
      </c>
      <c r="BN355" s="16">
        <v>382</v>
      </c>
      <c r="BO355" s="16">
        <v>347</v>
      </c>
      <c r="BP355" s="16">
        <f>+MIT_Vic_Cap[[#This Row],[Trenes Corridos]]-MIT_Vic_Cap[[#This Row],[Trenes Puntuales]]</f>
        <v>35</v>
      </c>
      <c r="BQ355" s="16"/>
      <c r="BS355" s="18">
        <v>2022</v>
      </c>
      <c r="BT355" s="21" t="s">
        <v>37</v>
      </c>
      <c r="BU355" s="44">
        <f>+Tabla8[[#This Row],[Trenes Puntuales]]/Tabla8[[#This Row],[Trenes Programados]]</f>
        <v>0.66075650118203311</v>
      </c>
      <c r="BV355" s="44">
        <f>+Tabla8[[#This Row],[Trenes Puntuales]]/Tabla8[[#This Row],[Trenes Corridos]]</f>
        <v>0.69268897149938047</v>
      </c>
      <c r="BW355" s="44">
        <f>+Tabla8[[#This Row],[Trenes Corridos]]/Tabla8[[#This Row],[Trenes Programados]]</f>
        <v>0.95390070921985815</v>
      </c>
      <c r="BX355" s="16">
        <v>34</v>
      </c>
      <c r="BY355" s="16">
        <v>2</v>
      </c>
      <c r="BZ355" s="16">
        <v>846</v>
      </c>
      <c r="CA355" s="16">
        <f t="shared" si="227"/>
        <v>39</v>
      </c>
      <c r="CB355" s="16">
        <v>807</v>
      </c>
      <c r="CC355" s="16">
        <v>559</v>
      </c>
      <c r="CD355" s="16">
        <f t="shared" si="232"/>
        <v>248</v>
      </c>
      <c r="CE355" s="278"/>
      <c r="CI355" s="40"/>
      <c r="CJ355" s="277"/>
      <c r="CK355" s="40"/>
      <c r="CL355" s="40"/>
      <c r="CM355" s="40"/>
    </row>
    <row r="356" spans="1:91" s="18" customFormat="1" ht="15" customHeight="1">
      <c r="A356" s="18">
        <v>2022</v>
      </c>
      <c r="B356" s="21" t="s">
        <v>38</v>
      </c>
      <c r="C356" s="15">
        <f>+MITRE[[#This Row],[Trenes Puntuales]]/MITRE[[#This Row],[Trenes Programados]]</f>
        <v>0.8906476208860149</v>
      </c>
      <c r="D356" s="15">
        <f>+MITRE[[#This Row],[Trenes Puntuales]]/MITRE[[#This Row],[Trenes Corridos]]</f>
        <v>0.91420645928274225</v>
      </c>
      <c r="E356" s="15">
        <f>+MITRE[[#This Row],[Trenes Corridos]]/MITRE[[#This Row],[Trenes Programados]]</f>
        <v>0.97423028665186762</v>
      </c>
      <c r="F356" s="26">
        <f>+Tabla4[[#This Row],[Trenes Programados por Día Hábil]]+Tabla5[[#This Row],[Trenes Programados por Día Hábil]]+Tabla6[[#This Row],[Trenes Programados por Día Hábil]]+MIT_Vic_Cap[[#This Row],[Trenes Programados por Día Hábil]]+Tabla8[[#This Row],[Trenes Programados por Día Hábil]]</f>
        <v>338</v>
      </c>
      <c r="G356"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5.4951456310679614</v>
      </c>
      <c r="H356" s="16">
        <f t="shared" si="207"/>
        <v>10361</v>
      </c>
      <c r="I356" s="16">
        <f t="shared" si="208"/>
        <v>267</v>
      </c>
      <c r="J356" s="16">
        <f t="shared" si="209"/>
        <v>10094</v>
      </c>
      <c r="K356" s="16">
        <f t="shared" si="210"/>
        <v>9228</v>
      </c>
      <c r="L356" s="16">
        <f t="shared" si="211"/>
        <v>866</v>
      </c>
      <c r="M356" s="16"/>
      <c r="O356" s="18">
        <v>2022</v>
      </c>
      <c r="P356" s="21" t="s">
        <v>38</v>
      </c>
      <c r="Q356" s="44">
        <f>+Tabla4[[#This Row],[Trenes Puntuales]]/Tabla4[[#This Row],[Trenes Programados]]</f>
        <v>0.93462180863755662</v>
      </c>
      <c r="R356" s="44">
        <f>+Tabla4[[#This Row],[Trenes Puntuales]]/Tabla4[[#This Row],[Trenes Corridos]]</f>
        <v>0.95350535540408954</v>
      </c>
      <c r="S356" s="44">
        <f>+Tabla4[[#This Row],[Trenes Corridos]]/Tabla4[[#This Row],[Trenes Programados]]</f>
        <v>0.98019565736101166</v>
      </c>
      <c r="T356" s="16">
        <v>121</v>
      </c>
      <c r="U356" s="16">
        <v>6</v>
      </c>
      <c r="V356" s="16">
        <v>4191</v>
      </c>
      <c r="W356" s="16">
        <f t="shared" si="225"/>
        <v>83</v>
      </c>
      <c r="X356" s="16">
        <v>4108</v>
      </c>
      <c r="Y356" s="16">
        <v>3917</v>
      </c>
      <c r="Z356" s="16">
        <f t="shared" si="228"/>
        <v>191</v>
      </c>
      <c r="AA356" s="16"/>
      <c r="AC356" s="18">
        <v>2022</v>
      </c>
      <c r="AD356" s="21" t="s">
        <v>38</v>
      </c>
      <c r="AE356" s="44">
        <f>+Tabla5[[#This Row],[Trenes Puntuales]]/Tabla5[[#This Row],[Trenes Programados]]</f>
        <v>0.84962158604804217</v>
      </c>
      <c r="AF356" s="44">
        <f>+Tabla5[[#This Row],[Trenes Puntuales]]/Tabla5[[#This Row],[Trenes Corridos]]</f>
        <v>0.87053270397842208</v>
      </c>
      <c r="AG356" s="44">
        <f>+Tabla5[[#This Row],[Trenes Corridos]]/Tabla5[[#This Row],[Trenes Programados]]</f>
        <v>0.97597894044093447</v>
      </c>
      <c r="AH356" s="16">
        <v>112</v>
      </c>
      <c r="AI356" s="16">
        <v>6</v>
      </c>
      <c r="AJ356" s="16">
        <v>3039</v>
      </c>
      <c r="AK356" s="16">
        <f t="shared" si="226"/>
        <v>73</v>
      </c>
      <c r="AL356" s="16">
        <v>2966</v>
      </c>
      <c r="AM356" s="16">
        <v>2582</v>
      </c>
      <c r="AN356" s="16">
        <f t="shared" si="229"/>
        <v>384</v>
      </c>
      <c r="AO356" s="16"/>
      <c r="AQ356" s="18">
        <v>2022</v>
      </c>
      <c r="AR356" s="21" t="s">
        <v>38</v>
      </c>
      <c r="AS356" s="44">
        <f>+Tabla6[[#This Row],[Trenes Puntuales]]/Tabla6[[#This Row],[Trenes Programados]]</f>
        <v>0.96661007357102435</v>
      </c>
      <c r="AT356" s="44">
        <f>+Tabla6[[#This Row],[Trenes Puntuales]]/Tabla6[[#This Row],[Trenes Corridos]]</f>
        <v>0.97823596792668954</v>
      </c>
      <c r="AU356" s="44">
        <f>+Tabla6[[#This Row],[Trenes Corridos]]/Tabla6[[#This Row],[Trenes Programados]]</f>
        <v>0.98811544991511036</v>
      </c>
      <c r="AV356" s="16">
        <v>57</v>
      </c>
      <c r="AW356" s="16">
        <v>6</v>
      </c>
      <c r="AX356" s="16">
        <v>1767</v>
      </c>
      <c r="AY356" s="16">
        <f t="shared" si="230"/>
        <v>21</v>
      </c>
      <c r="AZ356" s="16">
        <v>1746</v>
      </c>
      <c r="BA356" s="16">
        <v>1708</v>
      </c>
      <c r="BB356" s="16">
        <f t="shared" si="231"/>
        <v>38</v>
      </c>
      <c r="BC356" s="19" t="s">
        <v>97</v>
      </c>
      <c r="BE356" s="18">
        <v>2022</v>
      </c>
      <c r="BF356" s="21" t="s">
        <v>38</v>
      </c>
      <c r="BG356" s="44">
        <f>+MIT_Vic_Cap[[#This Row],[Trenes Puntuales]]/MIT_Vic_Cap[[#This Row],[Trenes Programados]]</f>
        <v>0.87327188940092171</v>
      </c>
      <c r="BH356" s="44">
        <f>+MIT_Vic_Cap[[#This Row],[Trenes Puntuales]]/MIT_Vic_Cap[[#This Row],[Trenes Corridos]]</f>
        <v>0.90669856459330145</v>
      </c>
      <c r="BI356" s="44">
        <f>+MIT_Vic_Cap[[#This Row],[Trenes Corridos]]/MIT_Vic_Cap[[#This Row],[Trenes Programados]]</f>
        <v>0.96313364055299544</v>
      </c>
      <c r="BJ356" s="16">
        <v>14</v>
      </c>
      <c r="BK356" s="16">
        <v>2</v>
      </c>
      <c r="BL356" s="16">
        <v>434</v>
      </c>
      <c r="BM356" s="16">
        <f>+MIT_Vic_Cap[[#This Row],[Trenes Programados]]-MIT_Vic_Cap[[#This Row],[Trenes Corridos]]</f>
        <v>16</v>
      </c>
      <c r="BN356" s="16">
        <v>418</v>
      </c>
      <c r="BO356" s="16">
        <v>379</v>
      </c>
      <c r="BP356" s="16">
        <f>+MIT_Vic_Cap[[#This Row],[Trenes Corridos]]-MIT_Vic_Cap[[#This Row],[Trenes Puntuales]]</f>
        <v>39</v>
      </c>
      <c r="BQ356" s="16"/>
      <c r="BS356" s="18">
        <v>2022</v>
      </c>
      <c r="BT356" s="21" t="s">
        <v>38</v>
      </c>
      <c r="BU356" s="44">
        <f>+Tabla8[[#This Row],[Trenes Puntuales]]/Tabla8[[#This Row],[Trenes Programados]]</f>
        <v>0.69032258064516128</v>
      </c>
      <c r="BV356" s="44">
        <f>+Tabla8[[#This Row],[Trenes Puntuales]]/Tabla8[[#This Row],[Trenes Corridos]]</f>
        <v>0.75</v>
      </c>
      <c r="BW356" s="44">
        <f>+Tabla8[[#This Row],[Trenes Corridos]]/Tabla8[[#This Row],[Trenes Programados]]</f>
        <v>0.9204301075268817</v>
      </c>
      <c r="BX356" s="16">
        <v>34</v>
      </c>
      <c r="BY356" s="16">
        <v>2</v>
      </c>
      <c r="BZ356" s="16">
        <v>930</v>
      </c>
      <c r="CA356" s="16">
        <f t="shared" si="227"/>
        <v>74</v>
      </c>
      <c r="CB356" s="16">
        <v>856</v>
      </c>
      <c r="CC356" s="16">
        <v>642</v>
      </c>
      <c r="CD356" s="16">
        <f t="shared" si="232"/>
        <v>214</v>
      </c>
      <c r="CE356" s="278"/>
      <c r="CI356" s="40"/>
      <c r="CJ356" s="277"/>
      <c r="CK356" s="40"/>
      <c r="CL356" s="40"/>
      <c r="CM356" s="40"/>
    </row>
    <row r="357" spans="1:91" s="18" customFormat="1" ht="15" customHeight="1">
      <c r="A357" s="18">
        <v>2022</v>
      </c>
      <c r="B357" s="21" t="s">
        <v>39</v>
      </c>
      <c r="C357" s="15">
        <f>+MITRE[[#This Row],[Trenes Puntuales]]/MITRE[[#This Row],[Trenes Programados]]</f>
        <v>0.89093825180433039</v>
      </c>
      <c r="D357" s="15">
        <f>+MITRE[[#This Row],[Trenes Puntuales]]/MITRE[[#This Row],[Trenes Corridos]]</f>
        <v>0.91158974358974354</v>
      </c>
      <c r="E357" s="15">
        <f>+MITRE[[#This Row],[Trenes Corridos]]/MITRE[[#This Row],[Trenes Programados]]</f>
        <v>0.97734562951082593</v>
      </c>
      <c r="F357" s="26">
        <f>+Tabla4[[#This Row],[Trenes Programados por Día Hábil]]+Tabla5[[#This Row],[Trenes Programados por Día Hábil]]+Tabla6[[#This Row],[Trenes Programados por Día Hábil]]+MIT_Vic_Cap[[#This Row],[Trenes Programados por Día Hábil]]+Tabla8[[#This Row],[Trenes Programados por Día Hábil]]</f>
        <v>338</v>
      </c>
      <c r="G357"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5.4691282051282055</v>
      </c>
      <c r="H357" s="16">
        <f t="shared" si="207"/>
        <v>9976</v>
      </c>
      <c r="I357" s="16">
        <f t="shared" si="208"/>
        <v>226</v>
      </c>
      <c r="J357" s="16">
        <f t="shared" si="209"/>
        <v>9750</v>
      </c>
      <c r="K357" s="16">
        <f t="shared" si="210"/>
        <v>8888</v>
      </c>
      <c r="L357" s="16">
        <f t="shared" si="211"/>
        <v>862</v>
      </c>
      <c r="M357" s="16"/>
      <c r="O357" s="18">
        <v>2022</v>
      </c>
      <c r="P357" s="21" t="s">
        <v>39</v>
      </c>
      <c r="Q357" s="44">
        <f>+Tabla4[[#This Row],[Trenes Puntuales]]/Tabla4[[#This Row],[Trenes Programados]]</f>
        <v>0.92778335005015045</v>
      </c>
      <c r="R357" s="44">
        <f>+Tabla4[[#This Row],[Trenes Puntuales]]/Tabla4[[#This Row],[Trenes Corridos]]</f>
        <v>0.95434614392571571</v>
      </c>
      <c r="S357" s="44">
        <f>+Tabla4[[#This Row],[Trenes Corridos]]/Tabla4[[#This Row],[Trenes Programados]]</f>
        <v>0.97216649949849554</v>
      </c>
      <c r="T357" s="16">
        <v>121</v>
      </c>
      <c r="U357" s="16">
        <v>6</v>
      </c>
      <c r="V357" s="16">
        <v>3988</v>
      </c>
      <c r="W357" s="16">
        <f t="shared" ref="W357:W365" si="233">+V357-X357</f>
        <v>111</v>
      </c>
      <c r="X357" s="16">
        <v>3877</v>
      </c>
      <c r="Y357" s="16">
        <v>3700</v>
      </c>
      <c r="Z357" s="16">
        <f t="shared" si="228"/>
        <v>177</v>
      </c>
      <c r="AA357" s="16"/>
      <c r="AC357" s="18">
        <v>2022</v>
      </c>
      <c r="AD357" s="21" t="s">
        <v>39</v>
      </c>
      <c r="AE357" s="44">
        <f>+Tabla5[[#This Row],[Trenes Puntuales]]/Tabla5[[#This Row],[Trenes Programados]]</f>
        <v>0.83912747102931151</v>
      </c>
      <c r="AF357" s="44">
        <f>+Tabla5[[#This Row],[Trenes Puntuales]]/Tabla5[[#This Row],[Trenes Corridos]]</f>
        <v>0.86416286416286414</v>
      </c>
      <c r="AG357" s="44">
        <f>+Tabla5[[#This Row],[Trenes Corridos]]/Tabla5[[#This Row],[Trenes Programados]]</f>
        <v>0.97102931152010907</v>
      </c>
      <c r="AH357" s="16">
        <v>112</v>
      </c>
      <c r="AI357" s="16">
        <v>6</v>
      </c>
      <c r="AJ357" s="16">
        <v>2934</v>
      </c>
      <c r="AK357" s="16">
        <f t="shared" ref="AK357:AK365" si="234">+AJ357-AL357</f>
        <v>85</v>
      </c>
      <c r="AL357" s="16">
        <v>2849</v>
      </c>
      <c r="AM357" s="16">
        <v>2462</v>
      </c>
      <c r="AN357" s="16">
        <f t="shared" si="229"/>
        <v>387</v>
      </c>
      <c r="AO357" s="16"/>
      <c r="AQ357" s="18">
        <v>2022</v>
      </c>
      <c r="AR357" s="21" t="s">
        <v>39</v>
      </c>
      <c r="AS357" s="44">
        <f>+Tabla6[[#This Row],[Trenes Puntuales]]/Tabla6[[#This Row],[Trenes Programados]]</f>
        <v>0.95866819747416765</v>
      </c>
      <c r="AT357" s="44">
        <f>+Tabla6[[#This Row],[Trenes Puntuales]]/Tabla6[[#This Row],[Trenes Corridos]]</f>
        <v>0.96531791907514453</v>
      </c>
      <c r="AU357" s="44">
        <f>+Tabla6[[#This Row],[Trenes Corridos]]/Tabla6[[#This Row],[Trenes Programados]]</f>
        <v>0.99311136624569463</v>
      </c>
      <c r="AV357" s="16">
        <v>57</v>
      </c>
      <c r="AW357" s="16">
        <v>6</v>
      </c>
      <c r="AX357" s="16">
        <v>1742</v>
      </c>
      <c r="AY357" s="16">
        <f t="shared" si="230"/>
        <v>12</v>
      </c>
      <c r="AZ357" s="16">
        <v>1730</v>
      </c>
      <c r="BA357" s="16">
        <v>1670</v>
      </c>
      <c r="BB357" s="16">
        <f t="shared" si="231"/>
        <v>60</v>
      </c>
      <c r="BC357" s="19" t="s">
        <v>97</v>
      </c>
      <c r="BE357" s="18">
        <v>2022</v>
      </c>
      <c r="BF357" s="21" t="s">
        <v>39</v>
      </c>
      <c r="BG357" s="44">
        <f>+MIT_Vic_Cap[[#This Row],[Trenes Puntuales]]/MIT_Vic_Cap[[#This Row],[Trenes Programados]]</f>
        <v>0.88809523809523805</v>
      </c>
      <c r="BH357" s="44">
        <f>+MIT_Vic_Cap[[#This Row],[Trenes Puntuales]]/MIT_Vic_Cap[[#This Row],[Trenes Corridos]]</f>
        <v>0.88809523809523805</v>
      </c>
      <c r="BI357" s="44">
        <f>+MIT_Vic_Cap[[#This Row],[Trenes Corridos]]/MIT_Vic_Cap[[#This Row],[Trenes Programados]]</f>
        <v>1</v>
      </c>
      <c r="BJ357" s="16">
        <v>14</v>
      </c>
      <c r="BK357" s="16">
        <v>2</v>
      </c>
      <c r="BL357" s="16">
        <v>420</v>
      </c>
      <c r="BM357" s="16">
        <f>+MIT_Vic_Cap[[#This Row],[Trenes Programados]]-MIT_Vic_Cap[[#This Row],[Trenes Corridos]]</f>
        <v>0</v>
      </c>
      <c r="BN357" s="16">
        <v>420</v>
      </c>
      <c r="BO357" s="16">
        <v>373</v>
      </c>
      <c r="BP357" s="16">
        <f>+MIT_Vic_Cap[[#This Row],[Trenes Corridos]]-MIT_Vic_Cap[[#This Row],[Trenes Puntuales]]</f>
        <v>47</v>
      </c>
      <c r="BQ357" s="16"/>
      <c r="BS357" s="18">
        <v>2022</v>
      </c>
      <c r="BT357" s="21" t="s">
        <v>39</v>
      </c>
      <c r="BU357" s="44">
        <f>+Tabla8[[#This Row],[Trenes Puntuales]]/Tabla8[[#This Row],[Trenes Programados]]</f>
        <v>0.76569506726457404</v>
      </c>
      <c r="BV357" s="44">
        <f>+Tabla8[[#This Row],[Trenes Puntuales]]/Tabla8[[#This Row],[Trenes Corridos]]</f>
        <v>0.78146453089244849</v>
      </c>
      <c r="BW357" s="44">
        <f>+Tabla8[[#This Row],[Trenes Corridos]]/Tabla8[[#This Row],[Trenes Programados]]</f>
        <v>0.97982062780269064</v>
      </c>
      <c r="BX357" s="16">
        <v>34</v>
      </c>
      <c r="BY357" s="16">
        <v>2</v>
      </c>
      <c r="BZ357" s="16">
        <v>892</v>
      </c>
      <c r="CA357" s="16">
        <f t="shared" ref="CA357:CA365" si="235">+BZ357-CB357</f>
        <v>18</v>
      </c>
      <c r="CB357" s="16">
        <v>874</v>
      </c>
      <c r="CC357" s="16">
        <v>683</v>
      </c>
      <c r="CD357" s="16">
        <f t="shared" si="232"/>
        <v>191</v>
      </c>
      <c r="CE357" s="278"/>
      <c r="CI357" s="40"/>
      <c r="CJ357" s="277"/>
      <c r="CK357" s="40"/>
      <c r="CL357" s="40"/>
      <c r="CM357" s="40"/>
    </row>
    <row r="358" spans="1:91" s="18" customFormat="1" ht="15" customHeight="1">
      <c r="A358" s="18">
        <v>2022</v>
      </c>
      <c r="B358" s="21" t="s">
        <v>40</v>
      </c>
      <c r="C358" s="15">
        <f>+MITRE[[#This Row],[Trenes Puntuales]]/MITRE[[#This Row],[Trenes Programados]]</f>
        <v>0.9017089890895047</v>
      </c>
      <c r="D358" s="15">
        <f>+MITRE[[#This Row],[Trenes Puntuales]]/MITRE[[#This Row],[Trenes Corridos]]</f>
        <v>0.91192266380236309</v>
      </c>
      <c r="E358" s="15">
        <f>+MITRE[[#This Row],[Trenes Corridos]]/MITRE[[#This Row],[Trenes Programados]]</f>
        <v>0.98879984551511058</v>
      </c>
      <c r="F358" s="26">
        <f>+Tabla4[[#This Row],[Trenes Programados por Día Hábil]]+Tabla5[[#This Row],[Trenes Programados por Día Hábil]]+Tabla6[[#This Row],[Trenes Programados por Día Hábil]]+MIT_Vic_Cap[[#This Row],[Trenes Programados por Día Hábil]]+Tabla8[[#This Row],[Trenes Programados por Día Hábil]]</f>
        <v>338</v>
      </c>
      <c r="G358"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5.488331217654526</v>
      </c>
      <c r="H358" s="16">
        <f t="shared" si="207"/>
        <v>10357</v>
      </c>
      <c r="I358" s="16">
        <f t="shared" si="208"/>
        <v>116</v>
      </c>
      <c r="J358" s="16">
        <f t="shared" si="209"/>
        <v>10241</v>
      </c>
      <c r="K358" s="16">
        <f t="shared" si="210"/>
        <v>9339</v>
      </c>
      <c r="L358" s="16">
        <f t="shared" si="211"/>
        <v>902</v>
      </c>
      <c r="M358" s="16"/>
      <c r="O358" s="18">
        <v>2022</v>
      </c>
      <c r="P358" s="21" t="s">
        <v>40</v>
      </c>
      <c r="Q358" s="44">
        <f>+Tabla4[[#This Row],[Trenes Puntuales]]/Tabla4[[#This Row],[Trenes Programados]]</f>
        <v>0.94492753623188408</v>
      </c>
      <c r="R358" s="44">
        <f>+Tabla4[[#This Row],[Trenes Puntuales]]/Tabla4[[#This Row],[Trenes Corridos]]</f>
        <v>0.95671313279530446</v>
      </c>
      <c r="S358" s="44">
        <f>+Tabla4[[#This Row],[Trenes Corridos]]/Tabla4[[#This Row],[Trenes Programados]]</f>
        <v>0.98768115942028989</v>
      </c>
      <c r="T358" s="16">
        <v>121</v>
      </c>
      <c r="U358" s="16">
        <v>6</v>
      </c>
      <c r="V358" s="16">
        <v>4140</v>
      </c>
      <c r="W358" s="16">
        <f t="shared" si="233"/>
        <v>51</v>
      </c>
      <c r="X358" s="16">
        <v>4089</v>
      </c>
      <c r="Y358" s="16">
        <v>3912</v>
      </c>
      <c r="Z358" s="16">
        <f t="shared" si="228"/>
        <v>177</v>
      </c>
      <c r="AA358" s="16"/>
      <c r="AC358" s="18">
        <v>2022</v>
      </c>
      <c r="AD358" s="21" t="s">
        <v>40</v>
      </c>
      <c r="AE358" s="44">
        <f>+Tabla5[[#This Row],[Trenes Puntuales]]/Tabla5[[#This Row],[Trenes Programados]]</f>
        <v>0.86325065274151436</v>
      </c>
      <c r="AF358" s="44">
        <f>+Tabla5[[#This Row],[Trenes Puntuales]]/Tabla5[[#This Row],[Trenes Corridos]]</f>
        <v>0.8709252551860388</v>
      </c>
      <c r="AG358" s="44">
        <f>+Tabla5[[#This Row],[Trenes Corridos]]/Tabla5[[#This Row],[Trenes Programados]]</f>
        <v>0.99118798955613574</v>
      </c>
      <c r="AH358" s="16">
        <v>112</v>
      </c>
      <c r="AI358" s="16">
        <v>6</v>
      </c>
      <c r="AJ358" s="16">
        <v>3064</v>
      </c>
      <c r="AK358" s="16">
        <f t="shared" si="234"/>
        <v>27</v>
      </c>
      <c r="AL358" s="16">
        <v>3037</v>
      </c>
      <c r="AM358" s="16">
        <v>2645</v>
      </c>
      <c r="AN358" s="16">
        <f t="shared" si="229"/>
        <v>392</v>
      </c>
      <c r="AO358" s="16"/>
      <c r="AQ358" s="18">
        <v>2022</v>
      </c>
      <c r="AR358" s="21" t="s">
        <v>40</v>
      </c>
      <c r="AS358" s="44">
        <f>+Tabla6[[#This Row],[Trenes Puntuales]]/Tabla6[[#This Row],[Trenes Programados]]</f>
        <v>0.9789706696181516</v>
      </c>
      <c r="AT358" s="44">
        <f>+Tabla6[[#This Row],[Trenes Puntuales]]/Tabla6[[#This Row],[Trenes Corridos]]</f>
        <v>0.98005540166204985</v>
      </c>
      <c r="AU358" s="44">
        <f>+Tabla6[[#This Row],[Trenes Corridos]]/Tabla6[[#This Row],[Trenes Programados]]</f>
        <v>0.99889319313779745</v>
      </c>
      <c r="AV358" s="16">
        <v>57</v>
      </c>
      <c r="AW358" s="16">
        <v>6</v>
      </c>
      <c r="AX358" s="16">
        <v>1807</v>
      </c>
      <c r="AY358" s="16">
        <f t="shared" si="230"/>
        <v>2</v>
      </c>
      <c r="AZ358" s="16">
        <v>1805</v>
      </c>
      <c r="BA358" s="16">
        <v>1769</v>
      </c>
      <c r="BB358" s="16">
        <f t="shared" si="231"/>
        <v>36</v>
      </c>
      <c r="BC358" s="19" t="s">
        <v>97</v>
      </c>
      <c r="BE358" s="18">
        <v>2022</v>
      </c>
      <c r="BF358" s="21" t="s">
        <v>40</v>
      </c>
      <c r="BG358" s="44">
        <f>+MIT_Vic_Cap[[#This Row],[Trenes Puntuales]]/MIT_Vic_Cap[[#This Row],[Trenes Programados]]</f>
        <v>0.89861751152073732</v>
      </c>
      <c r="BH358" s="44">
        <f>+MIT_Vic_Cap[[#This Row],[Trenes Puntuales]]/MIT_Vic_Cap[[#This Row],[Trenes Corridos]]</f>
        <v>0.9285714285714286</v>
      </c>
      <c r="BI358" s="44">
        <f>+MIT_Vic_Cap[[#This Row],[Trenes Corridos]]/MIT_Vic_Cap[[#This Row],[Trenes Programados]]</f>
        <v>0.967741935483871</v>
      </c>
      <c r="BJ358" s="16">
        <v>14</v>
      </c>
      <c r="BK358" s="16">
        <v>2</v>
      </c>
      <c r="BL358" s="16">
        <v>434</v>
      </c>
      <c r="BM358" s="16">
        <f>+MIT_Vic_Cap[[#This Row],[Trenes Programados]]-MIT_Vic_Cap[[#This Row],[Trenes Corridos]]</f>
        <v>14</v>
      </c>
      <c r="BN358" s="16">
        <v>420</v>
      </c>
      <c r="BO358" s="16">
        <v>390</v>
      </c>
      <c r="BP358" s="16">
        <f>+MIT_Vic_Cap[[#This Row],[Trenes Corridos]]-MIT_Vic_Cap[[#This Row],[Trenes Puntuales]]</f>
        <v>30</v>
      </c>
      <c r="BQ358" s="16"/>
      <c r="BS358" s="18">
        <v>2022</v>
      </c>
      <c r="BT358" s="21" t="s">
        <v>40</v>
      </c>
      <c r="BU358" s="44">
        <f>+Tabla8[[#This Row],[Trenes Puntuales]]/Tabla8[[#This Row],[Trenes Programados]]</f>
        <v>0.68311403508771928</v>
      </c>
      <c r="BV358" s="44">
        <f>+Tabla8[[#This Row],[Trenes Puntuales]]/Tabla8[[#This Row],[Trenes Corridos]]</f>
        <v>0.7</v>
      </c>
      <c r="BW358" s="44">
        <f>+Tabla8[[#This Row],[Trenes Corridos]]/Tabla8[[#This Row],[Trenes Programados]]</f>
        <v>0.97587719298245612</v>
      </c>
      <c r="BX358" s="16">
        <v>34</v>
      </c>
      <c r="BY358" s="16">
        <v>2</v>
      </c>
      <c r="BZ358" s="16">
        <v>912</v>
      </c>
      <c r="CA358" s="16">
        <f t="shared" si="235"/>
        <v>22</v>
      </c>
      <c r="CB358" s="16">
        <v>890</v>
      </c>
      <c r="CC358" s="16">
        <v>623</v>
      </c>
      <c r="CD358" s="16">
        <f t="shared" si="232"/>
        <v>267</v>
      </c>
      <c r="CE358" s="278"/>
      <c r="CI358" s="40"/>
      <c r="CJ358" s="277"/>
      <c r="CK358" s="40"/>
      <c r="CL358" s="40"/>
      <c r="CM358" s="40"/>
    </row>
    <row r="359" spans="1:91" s="18" customFormat="1" ht="15" customHeight="1">
      <c r="A359" s="18">
        <v>2022</v>
      </c>
      <c r="B359" s="21" t="s">
        <v>41</v>
      </c>
      <c r="C359" s="15">
        <f>+MITRE[[#This Row],[Trenes Puntuales]]/MITRE[[#This Row],[Trenes Programados]]</f>
        <v>0.91294864168153878</v>
      </c>
      <c r="D359" s="15">
        <f>+MITRE[[#This Row],[Trenes Puntuales]]/MITRE[[#This Row],[Trenes Corridos]]</f>
        <v>0.92181399539493447</v>
      </c>
      <c r="E359" s="15">
        <f>+MITRE[[#This Row],[Trenes Corridos]]/MITRE[[#This Row],[Trenes Programados]]</f>
        <v>0.99038270870513578</v>
      </c>
      <c r="F359" s="26">
        <f>+Tabla4[[#This Row],[Trenes Programados por Día Hábil]]+Tabla5[[#This Row],[Trenes Programados por Día Hábil]]+Tabla6[[#This Row],[Trenes Programados por Día Hábil]]+MIT_Vic_Cap[[#This Row],[Trenes Programados por Día Hábil]]+Tabla8[[#This Row],[Trenes Programados por Día Hábil]]</f>
        <v>338</v>
      </c>
      <c r="G359"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5.4838322154369807</v>
      </c>
      <c r="H359" s="16">
        <f t="shared" si="207"/>
        <v>10086</v>
      </c>
      <c r="I359" s="16">
        <f t="shared" si="208"/>
        <v>97</v>
      </c>
      <c r="J359" s="16">
        <f t="shared" si="209"/>
        <v>9989</v>
      </c>
      <c r="K359" s="16">
        <f t="shared" si="210"/>
        <v>9208</v>
      </c>
      <c r="L359" s="16">
        <f t="shared" si="211"/>
        <v>781</v>
      </c>
      <c r="M359" s="16"/>
      <c r="O359" s="18">
        <v>2022</v>
      </c>
      <c r="P359" s="21" t="s">
        <v>41</v>
      </c>
      <c r="Q359" s="44">
        <f>+Tabla4[[#This Row],[Trenes Puntuales]]/Tabla4[[#This Row],[Trenes Programados]]</f>
        <v>0.95470297029702966</v>
      </c>
      <c r="R359" s="44">
        <f>+Tabla4[[#This Row],[Trenes Puntuales]]/Tabla4[[#This Row],[Trenes Corridos]]</f>
        <v>0.96521521521521525</v>
      </c>
      <c r="S359" s="44">
        <f>+Tabla4[[#This Row],[Trenes Corridos]]/Tabla4[[#This Row],[Trenes Programados]]</f>
        <v>0.9891089108910891</v>
      </c>
      <c r="T359" s="16">
        <v>121</v>
      </c>
      <c r="U359" s="16">
        <v>6</v>
      </c>
      <c r="V359" s="16">
        <v>4040</v>
      </c>
      <c r="W359" s="16">
        <f t="shared" si="233"/>
        <v>44</v>
      </c>
      <c r="X359" s="16">
        <v>3996</v>
      </c>
      <c r="Y359" s="16">
        <v>3857</v>
      </c>
      <c r="Z359" s="16">
        <f t="shared" si="228"/>
        <v>139</v>
      </c>
      <c r="AA359" s="16"/>
      <c r="AC359" s="18">
        <v>2022</v>
      </c>
      <c r="AD359" s="21" t="s">
        <v>41</v>
      </c>
      <c r="AE359" s="44">
        <f>+Tabla5[[#This Row],[Trenes Puntuales]]/Tabla5[[#This Row],[Trenes Programados]]</f>
        <v>0.86682242990654201</v>
      </c>
      <c r="AF359" s="44">
        <f>+Tabla5[[#This Row],[Trenes Puntuales]]/Tabla5[[#This Row],[Trenes Corridos]]</f>
        <v>0.87559002022926502</v>
      </c>
      <c r="AG359" s="44">
        <f>+Tabla5[[#This Row],[Trenes Corridos]]/Tabla5[[#This Row],[Trenes Programados]]</f>
        <v>0.98998664886515353</v>
      </c>
      <c r="AH359" s="16">
        <v>112</v>
      </c>
      <c r="AI359" s="16">
        <v>6</v>
      </c>
      <c r="AJ359" s="16">
        <v>2996</v>
      </c>
      <c r="AK359" s="16">
        <f t="shared" si="234"/>
        <v>30</v>
      </c>
      <c r="AL359" s="16">
        <v>2966</v>
      </c>
      <c r="AM359" s="16">
        <v>2597</v>
      </c>
      <c r="AN359" s="16">
        <f t="shared" si="229"/>
        <v>369</v>
      </c>
      <c r="AO359" s="16"/>
      <c r="AQ359" s="56">
        <v>2022</v>
      </c>
      <c r="AR359" s="21" t="s">
        <v>41</v>
      </c>
      <c r="AS359" s="44">
        <f>+Tabla6[[#This Row],[Trenes Puntuales]]/Tabla6[[#This Row],[Trenes Programados]]</f>
        <v>0.96052631578947367</v>
      </c>
      <c r="AT359" s="44">
        <f>+Tabla6[[#This Row],[Trenes Puntuales]]/Tabla6[[#This Row],[Trenes Corridos]]</f>
        <v>0.96605293440736484</v>
      </c>
      <c r="AU359" s="44">
        <f>+Tabla6[[#This Row],[Trenes Corridos]]/Tabla6[[#This Row],[Trenes Programados]]</f>
        <v>0.99427917620137296</v>
      </c>
      <c r="AV359" s="16">
        <v>57</v>
      </c>
      <c r="AW359" s="16">
        <v>6</v>
      </c>
      <c r="AX359" s="16">
        <v>1748</v>
      </c>
      <c r="AY359" s="16">
        <f t="shared" si="230"/>
        <v>10</v>
      </c>
      <c r="AZ359" s="16">
        <v>1738</v>
      </c>
      <c r="BA359" s="16">
        <v>1679</v>
      </c>
      <c r="BB359" s="16">
        <f t="shared" si="231"/>
        <v>59</v>
      </c>
      <c r="BC359" s="19" t="s">
        <v>97</v>
      </c>
      <c r="BE359" s="18">
        <v>2022</v>
      </c>
      <c r="BF359" s="21" t="s">
        <v>41</v>
      </c>
      <c r="BG359" s="44">
        <f>+MIT_Vic_Cap[[#This Row],[Trenes Puntuales]]/MIT_Vic_Cap[[#This Row],[Trenes Programados]]</f>
        <v>0.91666666666666663</v>
      </c>
      <c r="BH359" s="44">
        <f>+MIT_Vic_Cap[[#This Row],[Trenes Puntuales]]/MIT_Vic_Cap[[#This Row],[Trenes Corridos]]</f>
        <v>0.91885441527446299</v>
      </c>
      <c r="BI359" s="44">
        <f>+MIT_Vic_Cap[[#This Row],[Trenes Corridos]]/MIT_Vic_Cap[[#This Row],[Trenes Programados]]</f>
        <v>0.99761904761904763</v>
      </c>
      <c r="BJ359" s="16">
        <v>14</v>
      </c>
      <c r="BK359" s="16">
        <v>2</v>
      </c>
      <c r="BL359" s="16">
        <v>420</v>
      </c>
      <c r="BM359" s="16">
        <f>+MIT_Vic_Cap[[#This Row],[Trenes Programados]]-MIT_Vic_Cap[[#This Row],[Trenes Corridos]]</f>
        <v>1</v>
      </c>
      <c r="BN359" s="16">
        <v>419</v>
      </c>
      <c r="BO359" s="16">
        <v>385</v>
      </c>
      <c r="BP359" s="16">
        <f>+MIT_Vic_Cap[[#This Row],[Trenes Corridos]]-MIT_Vic_Cap[[#This Row],[Trenes Puntuales]]</f>
        <v>34</v>
      </c>
      <c r="BQ359" s="16"/>
      <c r="BS359" s="18">
        <v>2022</v>
      </c>
      <c r="BT359" s="21" t="s">
        <v>41</v>
      </c>
      <c r="BU359" s="44">
        <f>+Tabla8[[#This Row],[Trenes Puntuales]]/Tabla8[[#This Row],[Trenes Programados]]</f>
        <v>0.78231292517006801</v>
      </c>
      <c r="BV359" s="44">
        <f>+Tabla8[[#This Row],[Trenes Puntuales]]/Tabla8[[#This Row],[Trenes Corridos]]</f>
        <v>0.7931034482758621</v>
      </c>
      <c r="BW359" s="44">
        <f>+Tabla8[[#This Row],[Trenes Corridos]]/Tabla8[[#This Row],[Trenes Programados]]</f>
        <v>0.98639455782312924</v>
      </c>
      <c r="BX359" s="16">
        <v>34</v>
      </c>
      <c r="BY359" s="16">
        <v>2</v>
      </c>
      <c r="BZ359" s="16">
        <v>882</v>
      </c>
      <c r="CA359" s="16">
        <f t="shared" si="235"/>
        <v>12</v>
      </c>
      <c r="CB359" s="16">
        <v>870</v>
      </c>
      <c r="CC359" s="16">
        <v>690</v>
      </c>
      <c r="CD359" s="16">
        <f t="shared" si="232"/>
        <v>180</v>
      </c>
      <c r="CE359" s="278"/>
      <c r="CI359" s="40"/>
      <c r="CJ359" s="277"/>
      <c r="CK359" s="40"/>
      <c r="CL359" s="40"/>
      <c r="CM359" s="40"/>
    </row>
    <row r="360" spans="1:91" s="18" customFormat="1" ht="15" customHeight="1">
      <c r="A360" s="18">
        <v>2022</v>
      </c>
      <c r="B360" s="21" t="s">
        <v>42</v>
      </c>
      <c r="C360" s="15">
        <f>+MITRE[[#This Row],[Trenes Puntuales]]/MITRE[[#This Row],[Trenes Programados]]</f>
        <v>0.88442067055115103</v>
      </c>
      <c r="D360" s="15">
        <f>+MITRE[[#This Row],[Trenes Puntuales]]/MITRE[[#This Row],[Trenes Corridos]]</f>
        <v>0.91937245556548508</v>
      </c>
      <c r="E360" s="15">
        <f>+MITRE[[#This Row],[Trenes Corridos]]/MITRE[[#This Row],[Trenes Programados]]</f>
        <v>0.96198299742095716</v>
      </c>
      <c r="F360" s="26">
        <f>+Tabla4[[#This Row],[Trenes Programados por Día Hábil]]+Tabla5[[#This Row],[Trenes Programados por Día Hábil]]+Tabla6[[#This Row],[Trenes Programados por Día Hábil]]+MIT_Vic_Cap[[#This Row],[Trenes Programados por Día Hábil]]+Tabla8[[#This Row],[Trenes Programados por Día Hábil]]</f>
        <v>338</v>
      </c>
      <c r="G360"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5.5563499155992453</v>
      </c>
      <c r="H360" s="16">
        <f t="shared" si="207"/>
        <v>10469</v>
      </c>
      <c r="I360" s="16">
        <f t="shared" si="208"/>
        <v>398</v>
      </c>
      <c r="J360" s="16">
        <f t="shared" si="209"/>
        <v>10071</v>
      </c>
      <c r="K360" s="16">
        <f t="shared" si="210"/>
        <v>9259</v>
      </c>
      <c r="L360" s="16">
        <f t="shared" si="211"/>
        <v>812</v>
      </c>
      <c r="M360" s="19" t="s">
        <v>106</v>
      </c>
      <c r="O360" s="18">
        <v>2022</v>
      </c>
      <c r="P360" s="21" t="s">
        <v>42</v>
      </c>
      <c r="Q360" s="44">
        <f>+Tabla4[[#This Row],[Trenes Puntuales]]/Tabla4[[#This Row],[Trenes Programados]]</f>
        <v>0.95073774393146115</v>
      </c>
      <c r="R360" s="44">
        <f>+Tabla4[[#This Row],[Trenes Puntuales]]/Tabla4[[#This Row],[Trenes Corridos]]</f>
        <v>0.96966019417475724</v>
      </c>
      <c r="S360" s="44">
        <f>+Tabla4[[#This Row],[Trenes Corridos]]/Tabla4[[#This Row],[Trenes Programados]]</f>
        <v>0.98048548310328421</v>
      </c>
      <c r="T360" s="16">
        <v>121</v>
      </c>
      <c r="U360" s="16">
        <v>6</v>
      </c>
      <c r="V360" s="16">
        <v>4202</v>
      </c>
      <c r="W360" s="16">
        <f t="shared" si="233"/>
        <v>82</v>
      </c>
      <c r="X360" s="16">
        <v>4120</v>
      </c>
      <c r="Y360" s="16">
        <v>3995</v>
      </c>
      <c r="Z360" s="16">
        <f t="shared" ref="Z360:Z365" si="236">+X360-Y360</f>
        <v>125</v>
      </c>
      <c r="AA360" s="19" t="s">
        <v>106</v>
      </c>
      <c r="AC360" s="18">
        <v>2022</v>
      </c>
      <c r="AD360" s="21" t="s">
        <v>42</v>
      </c>
      <c r="AE360" s="44">
        <f>+Tabla5[[#This Row],[Trenes Puntuales]]/Tabla5[[#This Row],[Trenes Programados]]</f>
        <v>0.84757653061224492</v>
      </c>
      <c r="AF360" s="44">
        <f>+Tabla5[[#This Row],[Trenes Puntuales]]/Tabla5[[#This Row],[Trenes Corridos]]</f>
        <v>0.87780713342140027</v>
      </c>
      <c r="AG360" s="44">
        <f>+Tabla5[[#This Row],[Trenes Corridos]]/Tabla5[[#This Row],[Trenes Programados]]</f>
        <v>0.96556122448979587</v>
      </c>
      <c r="AH360" s="16">
        <v>112</v>
      </c>
      <c r="AI360" s="16">
        <v>6</v>
      </c>
      <c r="AJ360" s="16">
        <v>3136</v>
      </c>
      <c r="AK360" s="16">
        <f t="shared" si="234"/>
        <v>108</v>
      </c>
      <c r="AL360" s="16">
        <v>3028</v>
      </c>
      <c r="AM360" s="16">
        <v>2658</v>
      </c>
      <c r="AN360" s="16">
        <f t="shared" ref="AN360:AN365" si="237">+AL360-AM360</f>
        <v>370</v>
      </c>
      <c r="AO360" s="19" t="s">
        <v>106</v>
      </c>
      <c r="AQ360" s="18">
        <v>2022</v>
      </c>
      <c r="AR360" s="21" t="s">
        <v>42</v>
      </c>
      <c r="AS360" s="44">
        <f>+Tabla6[[#This Row],[Trenes Puntuales]]/Tabla6[[#This Row],[Trenes Programados]]</f>
        <v>0.96517412935323388</v>
      </c>
      <c r="AT360" s="44">
        <f>+Tabla6[[#This Row],[Trenes Puntuales]]/Tabla6[[#This Row],[Trenes Corridos]]</f>
        <v>0.96677740863787376</v>
      </c>
      <c r="AU360" s="44">
        <f>+Tabla6[[#This Row],[Trenes Corridos]]/Tabla6[[#This Row],[Trenes Programados]]</f>
        <v>0.99834162520729686</v>
      </c>
      <c r="AV360" s="16">
        <v>57</v>
      </c>
      <c r="AW360" s="16">
        <v>6</v>
      </c>
      <c r="AX360" s="16">
        <v>1809</v>
      </c>
      <c r="AY360" s="16">
        <f t="shared" si="230"/>
        <v>3</v>
      </c>
      <c r="AZ360" s="16">
        <v>1806</v>
      </c>
      <c r="BA360" s="16">
        <v>1746</v>
      </c>
      <c r="BB360" s="16">
        <f t="shared" ref="BB360:BB365" si="238">+AZ360-BA360</f>
        <v>60</v>
      </c>
      <c r="BC360" s="19" t="s">
        <v>97</v>
      </c>
      <c r="BE360" s="18">
        <v>2022</v>
      </c>
      <c r="BF360" s="21" t="s">
        <v>42</v>
      </c>
      <c r="BG360" s="44">
        <f>+MIT_Vic_Cap[[#This Row],[Trenes Puntuales]]/MIT_Vic_Cap[[#This Row],[Trenes Programados]]</f>
        <v>0.81527093596059108</v>
      </c>
      <c r="BH360" s="44">
        <f>+MIT_Vic_Cap[[#This Row],[Trenes Puntuales]]/MIT_Vic_Cap[[#This Row],[Trenes Corridos]]</f>
        <v>0.85529715762273906</v>
      </c>
      <c r="BI360" s="44">
        <f>+MIT_Vic_Cap[[#This Row],[Trenes Corridos]]/MIT_Vic_Cap[[#This Row],[Trenes Programados]]</f>
        <v>0.95320197044334976</v>
      </c>
      <c r="BJ360" s="16">
        <v>14</v>
      </c>
      <c r="BK360" s="16">
        <v>2</v>
      </c>
      <c r="BL360" s="16">
        <v>406</v>
      </c>
      <c r="BM360" s="16">
        <f>+MIT_Vic_Cap[[#This Row],[Trenes Programados]]-MIT_Vic_Cap[[#This Row],[Trenes Corridos]]</f>
        <v>19</v>
      </c>
      <c r="BN360" s="16">
        <v>387</v>
      </c>
      <c r="BO360" s="16">
        <v>331</v>
      </c>
      <c r="BP360" s="16">
        <f>+MIT_Vic_Cap[[#This Row],[Trenes Corridos]]-MIT_Vic_Cap[[#This Row],[Trenes Puntuales]]</f>
        <v>56</v>
      </c>
      <c r="BQ360" s="16"/>
      <c r="BS360" s="18">
        <v>2022</v>
      </c>
      <c r="BT360" s="21" t="s">
        <v>42</v>
      </c>
      <c r="BU360" s="44">
        <f>+Tabla8[[#This Row],[Trenes Puntuales]]/Tabla8[[#This Row],[Trenes Programados]]</f>
        <v>0.57751091703056767</v>
      </c>
      <c r="BV360" s="44">
        <f>+Tabla8[[#This Row],[Trenes Puntuales]]/Tabla8[[#This Row],[Trenes Corridos]]</f>
        <v>0.72465753424657531</v>
      </c>
      <c r="BW360" s="44">
        <f>+Tabla8[[#This Row],[Trenes Corridos]]/Tabla8[[#This Row],[Trenes Programados]]</f>
        <v>0.79694323144104806</v>
      </c>
      <c r="BX360" s="16">
        <v>34</v>
      </c>
      <c r="BY360" s="16">
        <v>2</v>
      </c>
      <c r="BZ360" s="16">
        <v>916</v>
      </c>
      <c r="CA360" s="16">
        <f t="shared" si="235"/>
        <v>186</v>
      </c>
      <c r="CB360" s="16">
        <v>730</v>
      </c>
      <c r="CC360" s="16">
        <v>529</v>
      </c>
      <c r="CD360" s="16">
        <f t="shared" ref="CD360:CD365" si="239">+CB360-CC360</f>
        <v>201</v>
      </c>
      <c r="CE360" s="278"/>
      <c r="CI360" s="40"/>
      <c r="CJ360" s="277"/>
      <c r="CK360" s="40"/>
      <c r="CL360" s="40"/>
      <c r="CM360" s="40"/>
    </row>
    <row r="361" spans="1:91" s="18" customFormat="1" ht="15" customHeight="1">
      <c r="A361" s="18">
        <v>2022</v>
      </c>
      <c r="B361" s="21" t="s">
        <v>43</v>
      </c>
      <c r="C361" s="15">
        <f>+MITRE[[#This Row],[Trenes Puntuales]]/MITRE[[#This Row],[Trenes Programados]]</f>
        <v>0.91710188965910167</v>
      </c>
      <c r="D361" s="15">
        <f>+MITRE[[#This Row],[Trenes Puntuales]]/MITRE[[#This Row],[Trenes Corridos]]</f>
        <v>0.92447592610318752</v>
      </c>
      <c r="E361" s="15">
        <f>+MITRE[[#This Row],[Trenes Corridos]]/MITRE[[#This Row],[Trenes Programados]]</f>
        <v>0.99202354952046334</v>
      </c>
      <c r="F361" s="26">
        <f>+Tabla4[[#This Row],[Trenes Programados por Día Hábil]]+Tabla5[[#This Row],[Trenes Programados por Día Hábil]]+Tabla6[[#This Row],[Trenes Programados por Día Hábil]]+MIT_Vic_Cap[[#This Row],[Trenes Programados por Día Hábil]]+Tabla8[[#This Row],[Trenes Programados por Día Hábil]]</f>
        <v>338</v>
      </c>
      <c r="G361"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5.5321144826265911</v>
      </c>
      <c r="H361" s="16">
        <f t="shared" si="207"/>
        <v>10531</v>
      </c>
      <c r="I361" s="16">
        <f t="shared" si="208"/>
        <v>84</v>
      </c>
      <c r="J361" s="16">
        <f t="shared" si="209"/>
        <v>10447</v>
      </c>
      <c r="K361" s="16">
        <f t="shared" si="210"/>
        <v>9658</v>
      </c>
      <c r="L361" s="16">
        <f t="shared" si="211"/>
        <v>789</v>
      </c>
      <c r="M361" s="16"/>
      <c r="O361" s="18">
        <v>2022</v>
      </c>
      <c r="P361" s="21" t="s">
        <v>43</v>
      </c>
      <c r="Q361" s="44">
        <f>+Tabla4[[#This Row],[Trenes Puntuales]]/Tabla4[[#This Row],[Trenes Programados]]</f>
        <v>0.95429917550058896</v>
      </c>
      <c r="R361" s="44">
        <f>+Tabla4[[#This Row],[Trenes Puntuales]]/Tabla4[[#This Row],[Trenes Corridos]]</f>
        <v>0.9631478839752734</v>
      </c>
      <c r="S361" s="44">
        <f>+Tabla4[[#This Row],[Trenes Corridos]]/Tabla4[[#This Row],[Trenes Programados]]</f>
        <v>0.99081272084805649</v>
      </c>
      <c r="T361" s="16">
        <v>121</v>
      </c>
      <c r="U361" s="16">
        <v>6</v>
      </c>
      <c r="V361" s="16">
        <v>4245</v>
      </c>
      <c r="W361" s="16">
        <f t="shared" si="233"/>
        <v>39</v>
      </c>
      <c r="X361" s="16">
        <v>4206</v>
      </c>
      <c r="Y361" s="16">
        <v>4051</v>
      </c>
      <c r="Z361" s="16">
        <f t="shared" si="236"/>
        <v>155</v>
      </c>
      <c r="AA361" s="19"/>
      <c r="AC361" s="18">
        <v>2022</v>
      </c>
      <c r="AD361" s="21" t="s">
        <v>43</v>
      </c>
      <c r="AE361" s="44">
        <f>+Tabla5[[#This Row],[Trenes Puntuales]]/Tabla5[[#This Row],[Trenes Programados]]</f>
        <v>0.86198321417469692</v>
      </c>
      <c r="AF361" s="44">
        <f>+Tabla5[[#This Row],[Trenes Puntuales]]/Tabla5[[#This Row],[Trenes Corridos]]</f>
        <v>0.86440149625935159</v>
      </c>
      <c r="AG361" s="44">
        <f>+Tabla5[[#This Row],[Trenes Corridos]]/Tabla5[[#This Row],[Trenes Programados]]</f>
        <v>0.99720236244948712</v>
      </c>
      <c r="AH361" s="16">
        <v>112</v>
      </c>
      <c r="AI361" s="16">
        <v>6</v>
      </c>
      <c r="AJ361" s="16">
        <v>3217</v>
      </c>
      <c r="AK361" s="16">
        <f t="shared" si="234"/>
        <v>9</v>
      </c>
      <c r="AL361" s="16">
        <v>3208</v>
      </c>
      <c r="AM361" s="16">
        <v>2773</v>
      </c>
      <c r="AN361" s="16">
        <f t="shared" si="237"/>
        <v>435</v>
      </c>
      <c r="AO361" s="16"/>
      <c r="AQ361" s="18">
        <v>2022</v>
      </c>
      <c r="AR361" s="21" t="s">
        <v>43</v>
      </c>
      <c r="AS361" s="44">
        <f>+Tabla6[[#This Row],[Trenes Puntuales]]/Tabla6[[#This Row],[Trenes Programados]]</f>
        <v>0.97736057426835998</v>
      </c>
      <c r="AT361" s="44">
        <f>+Tabla6[[#This Row],[Trenes Puntuales]]/Tabla6[[#This Row],[Trenes Corridos]]</f>
        <v>0.97736057426835998</v>
      </c>
      <c r="AU361" s="44">
        <f>+Tabla6[[#This Row],[Trenes Corridos]]/Tabla6[[#This Row],[Trenes Programados]]</f>
        <v>1</v>
      </c>
      <c r="AV361" s="16">
        <v>57</v>
      </c>
      <c r="AW361" s="16">
        <v>6</v>
      </c>
      <c r="AX361" s="16">
        <v>1811</v>
      </c>
      <c r="AY361" s="16">
        <f t="shared" si="230"/>
        <v>0</v>
      </c>
      <c r="AZ361" s="16">
        <v>1811</v>
      </c>
      <c r="BA361" s="16">
        <v>1770</v>
      </c>
      <c r="BB361" s="16">
        <f t="shared" si="238"/>
        <v>41</v>
      </c>
      <c r="BC361" s="19" t="s">
        <v>97</v>
      </c>
      <c r="BE361" s="18">
        <v>2022</v>
      </c>
      <c r="BF361" s="21" t="s">
        <v>43</v>
      </c>
      <c r="BG361" s="44">
        <f>+MIT_Vic_Cap[[#This Row],[Trenes Puntuales]]/MIT_Vic_Cap[[#This Row],[Trenes Programados]]</f>
        <v>0.88387096774193552</v>
      </c>
      <c r="BH361" s="44">
        <f>+MIT_Vic_Cap[[#This Row],[Trenes Puntuales]]/MIT_Vic_Cap[[#This Row],[Trenes Corridos]]</f>
        <v>0.94809688581314877</v>
      </c>
      <c r="BI361" s="44">
        <f>+MIT_Vic_Cap[[#This Row],[Trenes Corridos]]/MIT_Vic_Cap[[#This Row],[Trenes Programados]]</f>
        <v>0.93225806451612903</v>
      </c>
      <c r="BJ361" s="16">
        <v>14</v>
      </c>
      <c r="BK361" s="16">
        <v>2</v>
      </c>
      <c r="BL361" s="16">
        <v>310</v>
      </c>
      <c r="BM361" s="16">
        <f>+MIT_Vic_Cap[[#This Row],[Trenes Programados]]-MIT_Vic_Cap[[#This Row],[Trenes Corridos]]</f>
        <v>21</v>
      </c>
      <c r="BN361" s="16">
        <v>289</v>
      </c>
      <c r="BO361" s="16">
        <v>274</v>
      </c>
      <c r="BP361" s="16">
        <f>+MIT_Vic_Cap[[#This Row],[Trenes Corridos]]-MIT_Vic_Cap[[#This Row],[Trenes Puntuales]]</f>
        <v>15</v>
      </c>
      <c r="BQ361" s="16"/>
      <c r="BS361" s="18">
        <v>2022</v>
      </c>
      <c r="BT361" s="21" t="s">
        <v>43</v>
      </c>
      <c r="BU361" s="44">
        <f>+Tabla8[[#This Row],[Trenes Puntuales]]/Tabla8[[#This Row],[Trenes Programados]]</f>
        <v>0.83333333333333337</v>
      </c>
      <c r="BV361" s="44">
        <f>+Tabla8[[#This Row],[Trenes Puntuales]]/Tabla8[[#This Row],[Trenes Corridos]]</f>
        <v>0.84673097534833874</v>
      </c>
      <c r="BW361" s="44">
        <f>+Tabla8[[#This Row],[Trenes Corridos]]/Tabla8[[#This Row],[Trenes Programados]]</f>
        <v>0.98417721518987344</v>
      </c>
      <c r="BX361" s="16">
        <v>34</v>
      </c>
      <c r="BY361" s="16">
        <v>2</v>
      </c>
      <c r="BZ361" s="16">
        <v>948</v>
      </c>
      <c r="CA361" s="16">
        <f t="shared" si="235"/>
        <v>15</v>
      </c>
      <c r="CB361" s="16">
        <v>933</v>
      </c>
      <c r="CC361" s="16">
        <v>790</v>
      </c>
      <c r="CD361" s="16">
        <f t="shared" si="239"/>
        <v>143</v>
      </c>
      <c r="CE361" s="278"/>
      <c r="CI361" s="40"/>
      <c r="CJ361" s="277"/>
      <c r="CK361" s="40"/>
      <c r="CL361" s="40"/>
      <c r="CM361" s="40"/>
    </row>
    <row r="362" spans="1:91" s="18" customFormat="1" ht="15" customHeight="1">
      <c r="A362" s="18">
        <v>2022</v>
      </c>
      <c r="B362" s="21" t="s">
        <v>44</v>
      </c>
      <c r="C362" s="15">
        <f>+MITRE[[#This Row],[Trenes Puntuales]]/MITRE[[#This Row],[Trenes Programados]]</f>
        <v>0.92447070408665677</v>
      </c>
      <c r="D362" s="15">
        <f>+MITRE[[#This Row],[Trenes Puntuales]]/MITRE[[#This Row],[Trenes Corridos]]</f>
        <v>0.93357199681782022</v>
      </c>
      <c r="E362" s="15">
        <f>+MITRE[[#This Row],[Trenes Corridos]]/MITRE[[#This Row],[Trenes Programados]]</f>
        <v>0.99025110782865589</v>
      </c>
      <c r="F362" s="26">
        <f>+Tabla4[[#This Row],[Trenes Programados por Día Hábil]]+Tabla5[[#This Row],[Trenes Programados por Día Hábil]]+Tabla6[[#This Row],[Trenes Programados por Día Hábil]]+MIT_Vic_Cap[[#This Row],[Trenes Programados por Día Hábil]]+Tabla8[[#This Row],[Trenes Programados por Día Hábil]]</f>
        <v>338</v>
      </c>
      <c r="G362"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5.535799522673031</v>
      </c>
      <c r="H362" s="16">
        <f t="shared" si="207"/>
        <v>10155</v>
      </c>
      <c r="I362" s="16">
        <f t="shared" si="208"/>
        <v>99</v>
      </c>
      <c r="J362" s="16">
        <f t="shared" si="209"/>
        <v>10056</v>
      </c>
      <c r="K362" s="16">
        <f t="shared" si="210"/>
        <v>9388</v>
      </c>
      <c r="L362" s="16">
        <f t="shared" si="211"/>
        <v>668</v>
      </c>
      <c r="M362" s="16"/>
      <c r="O362" s="18">
        <v>2022</v>
      </c>
      <c r="P362" s="21" t="s">
        <v>44</v>
      </c>
      <c r="Q362" s="44">
        <f>+Tabla4[[#This Row],[Trenes Puntuales]]/Tabla4[[#This Row],[Trenes Programados]]</f>
        <v>0.96847507331378302</v>
      </c>
      <c r="R362" s="44">
        <f>+Tabla4[[#This Row],[Trenes Puntuales]]/Tabla4[[#This Row],[Trenes Corridos]]</f>
        <v>0.97347089167280765</v>
      </c>
      <c r="S362" s="44">
        <f>+Tabla4[[#This Row],[Trenes Corridos]]/Tabla4[[#This Row],[Trenes Programados]]</f>
        <v>0.99486803519061584</v>
      </c>
      <c r="T362" s="16">
        <v>121</v>
      </c>
      <c r="U362" s="16">
        <v>6</v>
      </c>
      <c r="V362" s="16">
        <v>4092</v>
      </c>
      <c r="W362" s="16">
        <f t="shared" si="233"/>
        <v>21</v>
      </c>
      <c r="X362" s="16">
        <v>4071</v>
      </c>
      <c r="Y362" s="16">
        <v>3963</v>
      </c>
      <c r="Z362" s="16">
        <f t="shared" si="236"/>
        <v>108</v>
      </c>
      <c r="AA362" s="19"/>
      <c r="AC362" s="18">
        <v>2022</v>
      </c>
      <c r="AD362" s="40" t="s">
        <v>44</v>
      </c>
      <c r="AE362" s="44">
        <f>+Tabla5[[#This Row],[Trenes Puntuales]]/Tabla5[[#This Row],[Trenes Programados]]</f>
        <v>0.87665482725217958</v>
      </c>
      <c r="AF362" s="44">
        <f>+Tabla5[[#This Row],[Trenes Puntuales]]/Tabla5[[#This Row],[Trenes Corridos]]</f>
        <v>0.88436482084690549</v>
      </c>
      <c r="AG362" s="44">
        <f>+Tabla5[[#This Row],[Trenes Corridos]]/Tabla5[[#This Row],[Trenes Programados]]</f>
        <v>0.99128188569583464</v>
      </c>
      <c r="AH362" s="16">
        <v>112</v>
      </c>
      <c r="AI362" s="16">
        <v>6</v>
      </c>
      <c r="AJ362" s="16">
        <v>3097</v>
      </c>
      <c r="AK362" s="16">
        <f t="shared" si="234"/>
        <v>27</v>
      </c>
      <c r="AL362" s="16">
        <v>3070</v>
      </c>
      <c r="AM362" s="16">
        <v>2715</v>
      </c>
      <c r="AN362" s="16">
        <f t="shared" si="237"/>
        <v>355</v>
      </c>
      <c r="AO362" s="16"/>
      <c r="AQ362" s="18">
        <v>2022</v>
      </c>
      <c r="AR362" s="40" t="s">
        <v>44</v>
      </c>
      <c r="AS362" s="44">
        <f>+Tabla6[[#This Row],[Trenes Puntuales]]/Tabla6[[#This Row],[Trenes Programados]]</f>
        <v>0.97888127853881279</v>
      </c>
      <c r="AT362" s="44">
        <f>+Tabla6[[#This Row],[Trenes Puntuales]]/Tabla6[[#This Row],[Trenes Corridos]]</f>
        <v>0.98112128146453093</v>
      </c>
      <c r="AU362" s="44">
        <f>+Tabla6[[#This Row],[Trenes Corridos]]/Tabla6[[#This Row],[Trenes Programados]]</f>
        <v>0.99771689497716898</v>
      </c>
      <c r="AV362" s="16">
        <v>57</v>
      </c>
      <c r="AW362" s="16">
        <v>6</v>
      </c>
      <c r="AX362" s="16">
        <v>1752</v>
      </c>
      <c r="AY362" s="16">
        <f t="shared" ref="AY362:AY369" si="240">+AX362-AZ362</f>
        <v>4</v>
      </c>
      <c r="AZ362" s="16">
        <v>1748</v>
      </c>
      <c r="BA362" s="16">
        <v>1715</v>
      </c>
      <c r="BB362" s="16">
        <f t="shared" si="238"/>
        <v>33</v>
      </c>
      <c r="BC362" s="19" t="s">
        <v>97</v>
      </c>
      <c r="BE362" s="18">
        <v>2022</v>
      </c>
      <c r="BF362" s="40" t="s">
        <v>44</v>
      </c>
      <c r="BG362" s="44">
        <f>+MIT_Vic_Cap[[#This Row],[Trenes Puntuales]]/MIT_Vic_Cap[[#This Row],[Trenes Programados]]</f>
        <v>0.90666666666666662</v>
      </c>
      <c r="BH362" s="44">
        <f>+MIT_Vic_Cap[[#This Row],[Trenes Puntuales]]/MIT_Vic_Cap[[#This Row],[Trenes Corridos]]</f>
        <v>0.95104895104895104</v>
      </c>
      <c r="BI362" s="44">
        <f>+MIT_Vic_Cap[[#This Row],[Trenes Corridos]]/MIT_Vic_Cap[[#This Row],[Trenes Programados]]</f>
        <v>0.95333333333333337</v>
      </c>
      <c r="BJ362" s="16">
        <v>14</v>
      </c>
      <c r="BK362" s="16">
        <v>2</v>
      </c>
      <c r="BL362" s="16">
        <v>300</v>
      </c>
      <c r="BM362" s="16">
        <f>+MIT_Vic_Cap[[#This Row],[Trenes Programados]]-MIT_Vic_Cap[[#This Row],[Trenes Corridos]]</f>
        <v>14</v>
      </c>
      <c r="BN362" s="16">
        <v>286</v>
      </c>
      <c r="BO362" s="16">
        <v>272</v>
      </c>
      <c r="BP362" s="16">
        <f>+MIT_Vic_Cap[[#This Row],[Trenes Corridos]]-MIT_Vic_Cap[[#This Row],[Trenes Puntuales]]</f>
        <v>14</v>
      </c>
      <c r="BQ362" s="16"/>
      <c r="BS362" s="18">
        <v>2022</v>
      </c>
      <c r="BT362" s="40" t="s">
        <v>44</v>
      </c>
      <c r="BU362" s="44">
        <f>+Tabla8[[#This Row],[Trenes Puntuales]]/Tabla8[[#This Row],[Trenes Programados]]</f>
        <v>0.79102844638949676</v>
      </c>
      <c r="BV362" s="44">
        <f>+Tabla8[[#This Row],[Trenes Puntuales]]/Tabla8[[#This Row],[Trenes Corridos]]</f>
        <v>0.82065834279228145</v>
      </c>
      <c r="BW362" s="44">
        <f>+Tabla8[[#This Row],[Trenes Corridos]]/Tabla8[[#This Row],[Trenes Programados]]</f>
        <v>0.96389496717724288</v>
      </c>
      <c r="BX362" s="16">
        <v>34</v>
      </c>
      <c r="BY362" s="16">
        <v>2</v>
      </c>
      <c r="BZ362" s="16">
        <v>914</v>
      </c>
      <c r="CA362" s="16">
        <f t="shared" si="235"/>
        <v>33</v>
      </c>
      <c r="CB362" s="16">
        <v>881</v>
      </c>
      <c r="CC362" s="16">
        <v>723</v>
      </c>
      <c r="CD362" s="16">
        <f t="shared" si="239"/>
        <v>158</v>
      </c>
      <c r="CE362" s="278"/>
      <c r="CI362" s="40"/>
      <c r="CJ362" s="277"/>
      <c r="CK362" s="40"/>
      <c r="CL362" s="40"/>
      <c r="CM362" s="40"/>
    </row>
    <row r="363" spans="1:91" s="18" customFormat="1" ht="15" customHeight="1">
      <c r="A363" s="18">
        <v>2022</v>
      </c>
      <c r="B363" s="21" t="s">
        <v>45</v>
      </c>
      <c r="C363" s="15">
        <f>+MITRE[[#This Row],[Trenes Puntuales]]/MITRE[[#This Row],[Trenes Programados]]</f>
        <v>0.88465691567684301</v>
      </c>
      <c r="D363" s="15">
        <f>+MITRE[[#This Row],[Trenes Puntuales]]/MITRE[[#This Row],[Trenes Corridos]]</f>
        <v>0.89805680119581466</v>
      </c>
      <c r="E363" s="15">
        <f>+MITRE[[#This Row],[Trenes Corridos]]/MITRE[[#This Row],[Trenes Programados]]</f>
        <v>0.98507902228330224</v>
      </c>
      <c r="F363" s="26">
        <f>+Tabla4[[#This Row],[Trenes Programados por Día Hábil]]+Tabla5[[#This Row],[Trenes Programados por Día Hábil]]+Tabla6[[#This Row],[Trenes Programados por Día Hábil]]+MIT_Vic_Cap[[#This Row],[Trenes Programados por Día Hábil]]+Tabla8[[#This Row],[Trenes Programados por Día Hábil]]</f>
        <v>344</v>
      </c>
      <c r="G363"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5.5312406576980564</v>
      </c>
      <c r="H363" s="16">
        <f t="shared" si="207"/>
        <v>10187</v>
      </c>
      <c r="I363" s="16">
        <f t="shared" si="208"/>
        <v>152</v>
      </c>
      <c r="J363" s="16">
        <f t="shared" si="209"/>
        <v>10035</v>
      </c>
      <c r="K363" s="16">
        <f t="shared" si="210"/>
        <v>9012</v>
      </c>
      <c r="L363" s="16">
        <f t="shared" si="211"/>
        <v>1023</v>
      </c>
      <c r="M363" s="16"/>
      <c r="O363" s="18">
        <v>2022</v>
      </c>
      <c r="P363" s="21" t="s">
        <v>45</v>
      </c>
      <c r="Q363" s="44">
        <f>+Tabla4[[#This Row],[Trenes Puntuales]]/Tabla4[[#This Row],[Trenes Programados]]</f>
        <v>0.96257338551859095</v>
      </c>
      <c r="R363" s="44">
        <f>+Tabla4[[#This Row],[Trenes Puntuales]]/Tabla4[[#This Row],[Trenes Corridos]]</f>
        <v>0.97328716299777396</v>
      </c>
      <c r="S363" s="44">
        <f>+Tabla4[[#This Row],[Trenes Corridos]]/Tabla4[[#This Row],[Trenes Programados]]</f>
        <v>0.98899217221135027</v>
      </c>
      <c r="T363" s="16">
        <v>121</v>
      </c>
      <c r="U363" s="16">
        <v>6</v>
      </c>
      <c r="V363" s="16">
        <v>4088</v>
      </c>
      <c r="W363" s="16">
        <f t="shared" si="233"/>
        <v>45</v>
      </c>
      <c r="X363" s="16">
        <v>4043</v>
      </c>
      <c r="Y363" s="16">
        <v>3935</v>
      </c>
      <c r="Z363" s="16">
        <f t="shared" si="236"/>
        <v>108</v>
      </c>
      <c r="AA363" s="19"/>
      <c r="AC363" s="18">
        <v>2022</v>
      </c>
      <c r="AD363" s="21" t="s">
        <v>45</v>
      </c>
      <c r="AE363" s="44">
        <f>+Tabla5[[#This Row],[Trenes Puntuales]]/Tabla5[[#This Row],[Trenes Programados]]</f>
        <v>0.90813648293963256</v>
      </c>
      <c r="AF363" s="44">
        <f>+Tabla5[[#This Row],[Trenes Puntuales]]/Tabla5[[#This Row],[Trenes Corridos]]</f>
        <v>0.91594970218398408</v>
      </c>
      <c r="AG363" s="44">
        <f>+Tabla5[[#This Row],[Trenes Corridos]]/Tabla5[[#This Row],[Trenes Programados]]</f>
        <v>0.99146981627296593</v>
      </c>
      <c r="AH363" s="16">
        <v>112</v>
      </c>
      <c r="AI363" s="16">
        <v>6</v>
      </c>
      <c r="AJ363" s="16">
        <v>3048</v>
      </c>
      <c r="AK363" s="16">
        <f t="shared" si="234"/>
        <v>26</v>
      </c>
      <c r="AL363" s="16">
        <v>3022</v>
      </c>
      <c r="AM363" s="16">
        <v>2768</v>
      </c>
      <c r="AN363" s="16">
        <f t="shared" si="237"/>
        <v>254</v>
      </c>
      <c r="AO363" s="16"/>
      <c r="AQ363" s="18">
        <v>2022</v>
      </c>
      <c r="AR363" s="21" t="s">
        <v>45</v>
      </c>
      <c r="AS363" s="44">
        <f>+Tabla6[[#This Row],[Trenes Puntuales]]/Tabla6[[#This Row],[Trenes Programados]]</f>
        <v>0.97673130193905822</v>
      </c>
      <c r="AT363" s="44">
        <f>+Tabla6[[#This Row],[Trenes Puntuales]]/Tabla6[[#This Row],[Trenes Corridos]]</f>
        <v>0.98272017837235226</v>
      </c>
      <c r="AU363" s="44">
        <f>+Tabla6[[#This Row],[Trenes Corridos]]/Tabla6[[#This Row],[Trenes Programados]]</f>
        <v>0.9939058171745152</v>
      </c>
      <c r="AV363" s="16">
        <v>57</v>
      </c>
      <c r="AW363" s="16">
        <v>6</v>
      </c>
      <c r="AX363" s="16">
        <v>1805</v>
      </c>
      <c r="AY363" s="16">
        <f t="shared" si="240"/>
        <v>11</v>
      </c>
      <c r="AZ363" s="16">
        <v>1794</v>
      </c>
      <c r="BA363" s="16">
        <v>1763</v>
      </c>
      <c r="BB363" s="16">
        <f t="shared" si="238"/>
        <v>31</v>
      </c>
      <c r="BC363" s="19" t="s">
        <v>97</v>
      </c>
      <c r="BE363" s="18">
        <v>2022</v>
      </c>
      <c r="BF363" s="21" t="s">
        <v>45</v>
      </c>
      <c r="BG363" s="44">
        <f>+MIT_Vic_Cap[[#This Row],[Trenes Puntuales]]/MIT_Vic_Cap[[#This Row],[Trenes Programados]]</f>
        <v>0.91249999999999998</v>
      </c>
      <c r="BH363" s="44">
        <f>+MIT_Vic_Cap[[#This Row],[Trenes Puntuales]]/MIT_Vic_Cap[[#This Row],[Trenes Corridos]]</f>
        <v>0.9668874172185431</v>
      </c>
      <c r="BI363" s="44">
        <f>+MIT_Vic_Cap[[#This Row],[Trenes Corridos]]/MIT_Vic_Cap[[#This Row],[Trenes Programados]]</f>
        <v>0.94374999999999998</v>
      </c>
      <c r="BJ363" s="16">
        <v>14</v>
      </c>
      <c r="BK363" s="16">
        <v>2</v>
      </c>
      <c r="BL363" s="16">
        <v>160</v>
      </c>
      <c r="BM363" s="16">
        <f>+MIT_Vic_Cap[[#This Row],[Trenes Programados]]-MIT_Vic_Cap[[#This Row],[Trenes Corridos]]</f>
        <v>9</v>
      </c>
      <c r="BN363" s="16">
        <v>151</v>
      </c>
      <c r="BO363" s="16">
        <v>146</v>
      </c>
      <c r="BP363" s="16">
        <f>+MIT_Vic_Cap[[#This Row],[Trenes Corridos]]-MIT_Vic_Cap[[#This Row],[Trenes Puntuales]]</f>
        <v>5</v>
      </c>
      <c r="BQ363" s="16"/>
      <c r="BS363" s="18">
        <v>2022</v>
      </c>
      <c r="BT363" s="21" t="s">
        <v>45</v>
      </c>
      <c r="BU363" s="44">
        <f>+Tabla8[[#This Row],[Trenes Puntuales]]/Tabla8[[#This Row],[Trenes Programados]]</f>
        <v>0.36832412523020258</v>
      </c>
      <c r="BV363" s="44">
        <f>+Tabla8[[#This Row],[Trenes Puntuales]]/Tabla8[[#This Row],[Trenes Corridos]]</f>
        <v>0.3902439024390244</v>
      </c>
      <c r="BW363" s="44">
        <f>+Tabla8[[#This Row],[Trenes Corridos]]/Tabla8[[#This Row],[Trenes Programados]]</f>
        <v>0.94383057090239408</v>
      </c>
      <c r="BX363" s="16">
        <v>40</v>
      </c>
      <c r="BY363" s="16">
        <v>2</v>
      </c>
      <c r="BZ363" s="16">
        <v>1086</v>
      </c>
      <c r="CA363" s="16">
        <f t="shared" si="235"/>
        <v>61</v>
      </c>
      <c r="CB363" s="16">
        <v>1025</v>
      </c>
      <c r="CC363" s="16">
        <v>400</v>
      </c>
      <c r="CD363" s="16">
        <f t="shared" si="239"/>
        <v>625</v>
      </c>
      <c r="CE363" s="278" t="s">
        <v>223</v>
      </c>
      <c r="CI363" s="40"/>
      <c r="CJ363" s="277"/>
      <c r="CK363" s="40"/>
      <c r="CL363" s="40"/>
      <c r="CM363" s="40"/>
    </row>
    <row r="364" spans="1:91" s="18" customFormat="1" ht="15" customHeight="1">
      <c r="A364" s="18">
        <v>2022</v>
      </c>
      <c r="B364" s="21" t="s">
        <v>46</v>
      </c>
      <c r="C364" s="15">
        <f>+MITRE[[#This Row],[Trenes Puntuales]]/MITRE[[#This Row],[Trenes Programados]]</f>
        <v>0.87457694604817837</v>
      </c>
      <c r="D364" s="15">
        <f>+MITRE[[#This Row],[Trenes Puntuales]]/MITRE[[#This Row],[Trenes Corridos]]</f>
        <v>0.90131308986458758</v>
      </c>
      <c r="E364" s="15">
        <f>+MITRE[[#This Row],[Trenes Corridos]]/MITRE[[#This Row],[Trenes Programados]]</f>
        <v>0.97033645231933108</v>
      </c>
      <c r="F364" s="26">
        <f>+Tabla4[[#This Row],[Trenes Programados por Día Hábil]]+Tabla5[[#This Row],[Trenes Programados por Día Hábil]]+Tabla6[[#This Row],[Trenes Programados por Día Hábil]]+MIT_Vic_Cap[[#This Row],[Trenes Programados por Día Hábil]]+Tabla8[[#This Row],[Trenes Programados por Día Hábil]]</f>
        <v>330</v>
      </c>
      <c r="G364"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5.5769388592531799</v>
      </c>
      <c r="H364" s="16">
        <f t="shared" si="207"/>
        <v>10046</v>
      </c>
      <c r="I364" s="16">
        <f t="shared" si="208"/>
        <v>298</v>
      </c>
      <c r="J364" s="16">
        <f t="shared" si="209"/>
        <v>9748</v>
      </c>
      <c r="K364" s="16">
        <f t="shared" si="210"/>
        <v>8786</v>
      </c>
      <c r="L364" s="16">
        <f t="shared" si="211"/>
        <v>962</v>
      </c>
      <c r="M364" s="19" t="s">
        <v>112</v>
      </c>
      <c r="O364" s="18">
        <v>2022</v>
      </c>
      <c r="P364" s="21" t="s">
        <v>46</v>
      </c>
      <c r="Q364" s="44">
        <f>+Tabla4[[#This Row],[Trenes Puntuales]]/Tabla4[[#This Row],[Trenes Programados]]</f>
        <v>0.94031668696711324</v>
      </c>
      <c r="R364" s="44">
        <f>+Tabla4[[#This Row],[Trenes Puntuales]]/Tabla4[[#This Row],[Trenes Corridos]]</f>
        <v>0.96644967451176766</v>
      </c>
      <c r="S364" s="44">
        <f>+Tabla4[[#This Row],[Trenes Corridos]]/Tabla4[[#This Row],[Trenes Programados]]</f>
        <v>0.97295980511571256</v>
      </c>
      <c r="T364" s="16">
        <v>121</v>
      </c>
      <c r="U364" s="16">
        <v>6</v>
      </c>
      <c r="V364" s="16">
        <v>4105</v>
      </c>
      <c r="W364" s="16">
        <f t="shared" si="233"/>
        <v>111</v>
      </c>
      <c r="X364" s="16">
        <v>3994</v>
      </c>
      <c r="Y364" s="16">
        <v>3860</v>
      </c>
      <c r="Z364" s="16">
        <f t="shared" si="236"/>
        <v>134</v>
      </c>
      <c r="AA364" s="19"/>
      <c r="AC364" s="18">
        <v>2022</v>
      </c>
      <c r="AD364" s="21" t="s">
        <v>46</v>
      </c>
      <c r="AE364" s="44">
        <f>+Tabla5[[#This Row],[Trenes Puntuales]]/Tabla5[[#This Row],[Trenes Programados]]</f>
        <v>0.89266084707403814</v>
      </c>
      <c r="AF364" s="44">
        <f>+Tabla5[[#This Row],[Trenes Puntuales]]/Tabla5[[#This Row],[Trenes Corridos]]</f>
        <v>0.91788563829787229</v>
      </c>
      <c r="AG364" s="44">
        <f>+Tabla5[[#This Row],[Trenes Corridos]]/Tabla5[[#This Row],[Trenes Programados]]</f>
        <v>0.97251859036534105</v>
      </c>
      <c r="AH364" s="16">
        <v>112</v>
      </c>
      <c r="AI364" s="16">
        <v>6</v>
      </c>
      <c r="AJ364" s="16">
        <v>3093</v>
      </c>
      <c r="AK364" s="16">
        <f t="shared" si="234"/>
        <v>85</v>
      </c>
      <c r="AL364" s="16">
        <v>3008</v>
      </c>
      <c r="AM364" s="16">
        <v>2761</v>
      </c>
      <c r="AN364" s="16">
        <f t="shared" si="237"/>
        <v>247</v>
      </c>
      <c r="AO364" s="16"/>
      <c r="AQ364" s="18">
        <v>2022</v>
      </c>
      <c r="AR364" s="21" t="s">
        <v>46</v>
      </c>
      <c r="AS364" s="44">
        <f>+Tabla6[[#This Row],[Trenes Puntuales]]/Tabla6[[#This Row],[Trenes Programados]]</f>
        <v>0.97431506849315064</v>
      </c>
      <c r="AT364" s="44">
        <f>+Tabla6[[#This Row],[Trenes Puntuales]]/Tabla6[[#This Row],[Trenes Corridos]]</f>
        <v>0.99533527696793</v>
      </c>
      <c r="AU364" s="44">
        <f>+Tabla6[[#This Row],[Trenes Corridos]]/Tabla6[[#This Row],[Trenes Programados]]</f>
        <v>0.97888127853881279</v>
      </c>
      <c r="AV364" s="16">
        <v>57</v>
      </c>
      <c r="AW364" s="16">
        <v>6</v>
      </c>
      <c r="AX364" s="16">
        <v>1752</v>
      </c>
      <c r="AY364" s="16">
        <f t="shared" si="240"/>
        <v>37</v>
      </c>
      <c r="AZ364" s="16">
        <v>1715</v>
      </c>
      <c r="BA364" s="16">
        <v>1707</v>
      </c>
      <c r="BB364" s="16">
        <f t="shared" si="238"/>
        <v>8</v>
      </c>
      <c r="BC364" s="19" t="s">
        <v>97</v>
      </c>
      <c r="BE364" s="18">
        <v>2022</v>
      </c>
      <c r="BF364" s="21" t="s">
        <v>46</v>
      </c>
      <c r="BG364" s="44"/>
      <c r="BH364" s="44"/>
      <c r="BI364" s="44"/>
      <c r="BJ364" s="16"/>
      <c r="BK364" s="16"/>
      <c r="BL364" s="16"/>
      <c r="BM364" s="16"/>
      <c r="BN364" s="16"/>
      <c r="BO364" s="16"/>
      <c r="BP364" s="16"/>
      <c r="BQ364" s="19" t="s">
        <v>111</v>
      </c>
      <c r="BS364" s="18">
        <v>2022</v>
      </c>
      <c r="BT364" s="21" t="s">
        <v>46</v>
      </c>
      <c r="BU364" s="44">
        <f>+Tabla8[[#This Row],[Trenes Puntuales]]/Tabla8[[#This Row],[Trenes Programados]]</f>
        <v>0.41788321167883213</v>
      </c>
      <c r="BV364" s="44">
        <f>+Tabla8[[#This Row],[Trenes Puntuales]]/Tabla8[[#This Row],[Trenes Corridos]]</f>
        <v>0.44422890397672166</v>
      </c>
      <c r="BW364" s="44">
        <f>+Tabla8[[#This Row],[Trenes Corridos]]/Tabla8[[#This Row],[Trenes Programados]]</f>
        <v>0.94069343065693434</v>
      </c>
      <c r="BX364" s="16">
        <v>40</v>
      </c>
      <c r="BY364" s="16">
        <v>2</v>
      </c>
      <c r="BZ364" s="16">
        <v>1096</v>
      </c>
      <c r="CA364" s="16">
        <f t="shared" si="235"/>
        <v>65</v>
      </c>
      <c r="CB364" s="16">
        <v>1031</v>
      </c>
      <c r="CC364" s="16">
        <v>458</v>
      </c>
      <c r="CD364" s="16">
        <f t="shared" si="239"/>
        <v>573</v>
      </c>
      <c r="CE364" s="278"/>
      <c r="CI364" s="40"/>
      <c r="CJ364" s="277"/>
      <c r="CK364" s="40"/>
      <c r="CL364" s="40"/>
      <c r="CM364" s="40"/>
    </row>
    <row r="365" spans="1:91" s="18" customFormat="1" ht="15" customHeight="1">
      <c r="A365" s="18">
        <v>2022</v>
      </c>
      <c r="B365" s="21" t="s">
        <v>47</v>
      </c>
      <c r="C365" s="15">
        <f>+MITRE[[#This Row],[Trenes Puntuales]]/MITRE[[#This Row],[Trenes Programados]]</f>
        <v>0.84367220949915367</v>
      </c>
      <c r="D365" s="15">
        <f>+MITRE[[#This Row],[Trenes Puntuales]]/MITRE[[#This Row],[Trenes Corridos]]</f>
        <v>0.87063296341964658</v>
      </c>
      <c r="E365" s="15">
        <f>+MITRE[[#This Row],[Trenes Corridos]]/MITRE[[#This Row],[Trenes Programados]]</f>
        <v>0.96903315742308072</v>
      </c>
      <c r="F365" s="26">
        <f>+Tabla4[[#This Row],[Trenes Programados por Día Hábil]]+Tabla5[[#This Row],[Trenes Programados por Día Hábil]]+Tabla6[[#This Row],[Trenes Programados por Día Hábil]]+MIT_Vic_Cap[[#This Row],[Trenes Programados por Día Hábil]]+Tabla8[[#This Row],[Trenes Programados por Día Hábil]]</f>
        <v>330</v>
      </c>
      <c r="G365"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5.5688450472667492</v>
      </c>
      <c r="H365" s="16">
        <f t="shared" si="207"/>
        <v>10043</v>
      </c>
      <c r="I365" s="16">
        <f t="shared" si="208"/>
        <v>311</v>
      </c>
      <c r="J365" s="16">
        <f t="shared" si="209"/>
        <v>9732</v>
      </c>
      <c r="K365" s="16">
        <f t="shared" si="210"/>
        <v>8473</v>
      </c>
      <c r="L365" s="16">
        <f t="shared" si="211"/>
        <v>1259</v>
      </c>
      <c r="M365" s="19" t="s">
        <v>112</v>
      </c>
      <c r="O365" s="18">
        <v>2022</v>
      </c>
      <c r="P365" s="21" t="s">
        <v>47</v>
      </c>
      <c r="Q365" s="44">
        <f>+Tabla4[[#This Row],[Trenes Puntuales]]/Tabla4[[#This Row],[Trenes Programados]]</f>
        <v>0.9052734375</v>
      </c>
      <c r="R365" s="44">
        <f>+Tabla4[[#This Row],[Trenes Puntuales]]/Tabla4[[#This Row],[Trenes Corridos]]</f>
        <v>0.94471337579617831</v>
      </c>
      <c r="S365" s="44">
        <f>+Tabla4[[#This Row],[Trenes Corridos]]/Tabla4[[#This Row],[Trenes Programados]]</f>
        <v>0.958251953125</v>
      </c>
      <c r="T365" s="16">
        <v>121</v>
      </c>
      <c r="U365" s="16">
        <v>6</v>
      </c>
      <c r="V365" s="16">
        <v>4096</v>
      </c>
      <c r="W365" s="16">
        <f t="shared" si="233"/>
        <v>171</v>
      </c>
      <c r="X365" s="16">
        <v>3925</v>
      </c>
      <c r="Y365" s="16">
        <v>3708</v>
      </c>
      <c r="Z365" s="16">
        <f t="shared" si="236"/>
        <v>217</v>
      </c>
      <c r="AA365" s="16"/>
      <c r="AC365" s="18">
        <v>2022</v>
      </c>
      <c r="AD365" s="21" t="s">
        <v>47</v>
      </c>
      <c r="AE365" s="44">
        <f>+Tabla5[[#This Row],[Trenes Puntuales]]/Tabla5[[#This Row],[Trenes Programados]]</f>
        <v>0.85578186596583439</v>
      </c>
      <c r="AF365" s="44">
        <f>+Tabla5[[#This Row],[Trenes Puntuales]]/Tabla5[[#This Row],[Trenes Corridos]]</f>
        <v>0.87947332883187035</v>
      </c>
      <c r="AG365" s="44">
        <f>+Tabla5[[#This Row],[Trenes Corridos]]/Tabla5[[#This Row],[Trenes Programados]]</f>
        <v>0.97306176084099871</v>
      </c>
      <c r="AH365" s="16">
        <v>112</v>
      </c>
      <c r="AI365" s="16">
        <v>6</v>
      </c>
      <c r="AJ365" s="16">
        <v>3044</v>
      </c>
      <c r="AK365" s="16">
        <f t="shared" si="234"/>
        <v>82</v>
      </c>
      <c r="AL365" s="16">
        <v>2962</v>
      </c>
      <c r="AM365" s="16">
        <v>2605</v>
      </c>
      <c r="AN365" s="16">
        <f t="shared" si="237"/>
        <v>357</v>
      </c>
      <c r="AO365" s="16"/>
      <c r="AQ365" s="18">
        <v>2022</v>
      </c>
      <c r="AR365" s="21" t="s">
        <v>47</v>
      </c>
      <c r="AS365" s="44">
        <f>+Tabla6[[#This Row],[Trenes Puntuales]]/Tabla6[[#This Row],[Trenes Programados]]</f>
        <v>0.9828254847645429</v>
      </c>
      <c r="AT365" s="44">
        <f>+Tabla6[[#This Row],[Trenes Puntuales]]/Tabla6[[#This Row],[Trenes Corridos]]</f>
        <v>0.98775055679287305</v>
      </c>
      <c r="AU365" s="44">
        <f>+Tabla6[[#This Row],[Trenes Corridos]]/Tabla6[[#This Row],[Trenes Programados]]</f>
        <v>0.99501385041551249</v>
      </c>
      <c r="AV365" s="16">
        <v>57</v>
      </c>
      <c r="AW365" s="16">
        <v>6</v>
      </c>
      <c r="AX365" s="16">
        <v>1805</v>
      </c>
      <c r="AY365" s="16">
        <f t="shared" si="240"/>
        <v>9</v>
      </c>
      <c r="AZ365" s="16">
        <v>1796</v>
      </c>
      <c r="BA365" s="16">
        <v>1774</v>
      </c>
      <c r="BB365" s="16">
        <f t="shared" si="238"/>
        <v>22</v>
      </c>
      <c r="BC365" s="19" t="s">
        <v>97</v>
      </c>
      <c r="BE365" s="18">
        <v>2022</v>
      </c>
      <c r="BF365" s="21" t="s">
        <v>47</v>
      </c>
      <c r="BG365" s="44"/>
      <c r="BH365" s="44"/>
      <c r="BI365" s="44"/>
      <c r="BJ365" s="16"/>
      <c r="BK365" s="16"/>
      <c r="BL365" s="16"/>
      <c r="BM365" s="16"/>
      <c r="BN365" s="16"/>
      <c r="BO365" s="16"/>
      <c r="BP365" s="16"/>
      <c r="BQ365" s="19" t="s">
        <v>111</v>
      </c>
      <c r="BS365" s="18">
        <v>2022</v>
      </c>
      <c r="BT365" s="21" t="s">
        <v>47</v>
      </c>
      <c r="BU365" s="44">
        <f>+Tabla8[[#This Row],[Trenes Puntuales]]/Tabla8[[#This Row],[Trenes Programados]]</f>
        <v>0.35154826958105645</v>
      </c>
      <c r="BV365" s="44">
        <f>+Tabla8[[#This Row],[Trenes Puntuales]]/Tabla8[[#This Row],[Trenes Corridos]]</f>
        <v>0.36796949475691132</v>
      </c>
      <c r="BW365" s="44">
        <f>+Tabla8[[#This Row],[Trenes Corridos]]/Tabla8[[#This Row],[Trenes Programados]]</f>
        <v>0.95537340619307831</v>
      </c>
      <c r="BX365" s="16">
        <v>40</v>
      </c>
      <c r="BY365" s="16">
        <v>2</v>
      </c>
      <c r="BZ365" s="16">
        <v>1098</v>
      </c>
      <c r="CA365" s="16">
        <f t="shared" si="235"/>
        <v>49</v>
      </c>
      <c r="CB365" s="16">
        <v>1049</v>
      </c>
      <c r="CC365" s="16">
        <v>386</v>
      </c>
      <c r="CD365" s="16">
        <f t="shared" si="239"/>
        <v>663</v>
      </c>
      <c r="CE365" s="278"/>
      <c r="CI365" s="40"/>
      <c r="CJ365" s="277"/>
      <c r="CK365" s="40"/>
      <c r="CL365" s="40"/>
      <c r="CM365" s="40"/>
    </row>
    <row r="366" spans="1:91" s="18" customFormat="1" ht="15" customHeight="1">
      <c r="A366" s="18">
        <v>2023</v>
      </c>
      <c r="B366" s="21" t="s">
        <v>36</v>
      </c>
      <c r="C366" s="15">
        <f>+MITRE[[#This Row],[Trenes Puntuales]]/MITRE[[#This Row],[Trenes Programados]]</f>
        <v>0.89450908741225121</v>
      </c>
      <c r="D366" s="15">
        <f>+MITRE[[#This Row],[Trenes Puntuales]]/MITRE[[#This Row],[Trenes Corridos]]</f>
        <v>0.91402181389407489</v>
      </c>
      <c r="E366" s="15">
        <f>+MITRE[[#This Row],[Trenes Corridos]]/MITRE[[#This Row],[Trenes Programados]]</f>
        <v>0.97865179344167708</v>
      </c>
      <c r="F366" s="26">
        <f>+Tabla4[[#This Row],[Trenes Programados por Día Hábil]]+Tabla5[[#This Row],[Trenes Programados por Día Hábil]]+Tabla6[[#This Row],[Trenes Programados por Día Hábil]]+MIT_Vic_Cap[[#This Row],[Trenes Programados por Día Hábil]]+Tabla8[[#This Row],[Trenes Programados por Día Hábil]]</f>
        <v>330</v>
      </c>
      <c r="G366"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5.582588189053749</v>
      </c>
      <c r="H366" s="16">
        <f t="shared" ref="H366:H371" si="241">+V366+AJ366+AX366+BL366+BZ366</f>
        <v>10399</v>
      </c>
      <c r="I366" s="16">
        <f t="shared" ref="I366:I371" si="242">H366-J366</f>
        <v>222</v>
      </c>
      <c r="J366" s="16">
        <f t="shared" ref="J366:K368" si="243">+X366+AL366+AZ366+BN366+CB366</f>
        <v>10177</v>
      </c>
      <c r="K366" s="16">
        <f t="shared" si="243"/>
        <v>9302</v>
      </c>
      <c r="L366" s="16">
        <f t="shared" ref="L366:L371" si="244">J366-K366</f>
        <v>875</v>
      </c>
      <c r="M366" s="19" t="s">
        <v>121</v>
      </c>
      <c r="O366" s="18">
        <v>2023</v>
      </c>
      <c r="P366" s="21" t="s">
        <v>36</v>
      </c>
      <c r="Q366" s="44">
        <f>+Tabla4[[#This Row],[Trenes Puntuales]]/Tabla4[[#This Row],[Trenes Programados]]</f>
        <v>0.94654841802492806</v>
      </c>
      <c r="R366" s="44">
        <f>+Tabla4[[#This Row],[Trenes Puntuales]]/Tabla4[[#This Row],[Trenes Corridos]]</f>
        <v>0.96152909666423181</v>
      </c>
      <c r="S366" s="44">
        <f>+Tabla4[[#This Row],[Trenes Corridos]]/Tabla4[[#This Row],[Trenes Programados]]</f>
        <v>0.98441994247363374</v>
      </c>
      <c r="T366" s="16">
        <v>121</v>
      </c>
      <c r="U366" s="16">
        <v>6</v>
      </c>
      <c r="V366" s="16">
        <v>4172</v>
      </c>
      <c r="W366" s="16">
        <f t="shared" ref="W366:W371" si="245">+V366-X366</f>
        <v>65</v>
      </c>
      <c r="X366" s="16">
        <v>4107</v>
      </c>
      <c r="Y366" s="16">
        <v>3949</v>
      </c>
      <c r="Z366" s="16">
        <f t="shared" ref="Z366:Z371" si="246">+X366-Y366</f>
        <v>158</v>
      </c>
      <c r="AA366" s="19" t="s">
        <v>113</v>
      </c>
      <c r="AC366" s="18">
        <v>2023</v>
      </c>
      <c r="AD366" s="21" t="s">
        <v>36</v>
      </c>
      <c r="AE366" s="44">
        <f>+Tabla5[[#This Row],[Trenes Puntuales]]/Tabla5[[#This Row],[Trenes Programados]]</f>
        <v>0.92892156862745101</v>
      </c>
      <c r="AF366" s="44">
        <f>+Tabla5[[#This Row],[Trenes Puntuales]]/Tabla5[[#This Row],[Trenes Corridos]]</f>
        <v>0.9507682659140797</v>
      </c>
      <c r="AG366" s="44">
        <f>+Tabla5[[#This Row],[Trenes Corridos]]/Tabla5[[#This Row],[Trenes Programados]]</f>
        <v>0.97702205882352944</v>
      </c>
      <c r="AH366" s="16">
        <v>112</v>
      </c>
      <c r="AI366" s="16">
        <v>6</v>
      </c>
      <c r="AJ366" s="16">
        <v>3264</v>
      </c>
      <c r="AK366" s="16">
        <f t="shared" ref="AK366:AK371" si="247">+AJ366-AL366</f>
        <v>75</v>
      </c>
      <c r="AL366" s="16">
        <v>3189</v>
      </c>
      <c r="AM366" s="16">
        <v>3032</v>
      </c>
      <c r="AN366" s="16">
        <f t="shared" ref="AN366:AN371" si="248">+AL366-AM366</f>
        <v>157</v>
      </c>
      <c r="AO366" s="16"/>
      <c r="AQ366" s="18">
        <v>2023</v>
      </c>
      <c r="AR366" s="21" t="s">
        <v>36</v>
      </c>
      <c r="AS366" s="44">
        <f>+Tabla6[[#This Row],[Trenes Puntuales]]/Tabla6[[#This Row],[Trenes Programados]]</f>
        <v>0.98960043787629992</v>
      </c>
      <c r="AT366" s="44">
        <f>+Tabla6[[#This Row],[Trenes Puntuales]]/Tabla6[[#This Row],[Trenes Corridos]]</f>
        <v>0.99395272127542611</v>
      </c>
      <c r="AU366" s="44">
        <f>+Tabla6[[#This Row],[Trenes Corridos]]/Tabla6[[#This Row],[Trenes Programados]]</f>
        <v>0.99562123700054739</v>
      </c>
      <c r="AV366" s="16">
        <v>57</v>
      </c>
      <c r="AW366" s="16">
        <v>6</v>
      </c>
      <c r="AX366" s="16">
        <v>1827</v>
      </c>
      <c r="AY366" s="16">
        <f t="shared" si="240"/>
        <v>8</v>
      </c>
      <c r="AZ366" s="16">
        <v>1819</v>
      </c>
      <c r="BA366" s="16">
        <v>1808</v>
      </c>
      <c r="BB366" s="16">
        <f t="shared" ref="BB366:BB371" si="249">+AZ366-BA366</f>
        <v>11</v>
      </c>
      <c r="BC366" s="19" t="s">
        <v>113</v>
      </c>
      <c r="BE366" s="18">
        <v>2023</v>
      </c>
      <c r="BF366" s="21" t="s">
        <v>36</v>
      </c>
      <c r="BG366" s="44"/>
      <c r="BH366" s="44"/>
      <c r="BI366" s="44"/>
      <c r="BJ366" s="16"/>
      <c r="BK366" s="16"/>
      <c r="BL366" s="16"/>
      <c r="BM366" s="16"/>
      <c r="BN366" s="16"/>
      <c r="BO366" s="16"/>
      <c r="BP366" s="16"/>
      <c r="BQ366" s="19" t="s">
        <v>111</v>
      </c>
      <c r="BS366" s="18">
        <v>2023</v>
      </c>
      <c r="BT366" s="21" t="s">
        <v>36</v>
      </c>
      <c r="BU366" s="44">
        <f>+Tabla8[[#This Row],[Trenes Puntuales]]/Tabla8[[#This Row],[Trenes Programados]]</f>
        <v>0.4515845070422535</v>
      </c>
      <c r="BV366" s="44">
        <f>+Tabla8[[#This Row],[Trenes Puntuales]]/Tabla8[[#This Row],[Trenes Corridos]]</f>
        <v>0.48305084745762711</v>
      </c>
      <c r="BW366" s="44">
        <f>+Tabla8[[#This Row],[Trenes Corridos]]/Tabla8[[#This Row],[Trenes Programados]]</f>
        <v>0.9348591549295775</v>
      </c>
      <c r="BX366" s="16">
        <v>40</v>
      </c>
      <c r="BY366" s="16">
        <v>2</v>
      </c>
      <c r="BZ366" s="16">
        <v>1136</v>
      </c>
      <c r="CA366" s="16">
        <f t="shared" ref="CA366:CA371" si="250">+BZ366-CB366</f>
        <v>74</v>
      </c>
      <c r="CB366" s="16">
        <v>1062</v>
      </c>
      <c r="CC366" s="16">
        <v>513</v>
      </c>
      <c r="CD366" s="16">
        <f t="shared" ref="CD366:CD371" si="251">+CB366-CC366</f>
        <v>549</v>
      </c>
      <c r="CE366" s="278" t="s">
        <v>224</v>
      </c>
      <c r="CI366" s="40"/>
      <c r="CJ366" s="277"/>
      <c r="CK366" s="40"/>
      <c r="CL366" s="40"/>
      <c r="CM366" s="40"/>
    </row>
    <row r="367" spans="1:91" s="18" customFormat="1" ht="15" customHeight="1">
      <c r="A367" s="18">
        <v>2023</v>
      </c>
      <c r="B367" s="21" t="s">
        <v>37</v>
      </c>
      <c r="C367" s="15">
        <f>+MITRE[[#This Row],[Trenes Puntuales]]/MITRE[[#This Row],[Trenes Programados]]</f>
        <v>0.88378407733246445</v>
      </c>
      <c r="D367" s="15">
        <f>+MITRE[[#This Row],[Trenes Puntuales]]/MITRE[[#This Row],[Trenes Corridos]]</f>
        <v>0.90531820204717406</v>
      </c>
      <c r="E367" s="15">
        <f>+MITRE[[#This Row],[Trenes Corridos]]/MITRE[[#This Row],[Trenes Programados]]</f>
        <v>0.97621375040729874</v>
      </c>
      <c r="F367" s="26">
        <f>+Tabla4[[#This Row],[Trenes Programados por Día Hábil]]+Tabla5[[#This Row],[Trenes Programados por Día Hábil]]+Tabla6[[#This Row],[Trenes Programados por Día Hábil]]+MIT_Vic_Cap[[#This Row],[Trenes Programados por Día Hábil]]+Tabla8[[#This Row],[Trenes Programados por Día Hábil]]</f>
        <v>330</v>
      </c>
      <c r="G367"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5.6203827325322653</v>
      </c>
      <c r="H367" s="16">
        <f t="shared" si="241"/>
        <v>9207</v>
      </c>
      <c r="I367" s="16">
        <f t="shared" si="242"/>
        <v>219</v>
      </c>
      <c r="J367" s="16">
        <f t="shared" si="243"/>
        <v>8988</v>
      </c>
      <c r="K367" s="16">
        <f t="shared" si="243"/>
        <v>8137</v>
      </c>
      <c r="L367" s="16">
        <f t="shared" si="244"/>
        <v>851</v>
      </c>
      <c r="M367" s="19" t="s">
        <v>121</v>
      </c>
      <c r="O367" s="18">
        <v>2023</v>
      </c>
      <c r="P367" s="21" t="s">
        <v>37</v>
      </c>
      <c r="Q367" s="44">
        <f>+Tabla4[[#This Row],[Trenes Puntuales]]/Tabla4[[#This Row],[Trenes Programados]]</f>
        <v>0.9341496598639456</v>
      </c>
      <c r="R367" s="44">
        <f>+Tabla4[[#This Row],[Trenes Puntuales]]/Tabla4[[#This Row],[Trenes Corridos]]</f>
        <v>0.94808064070698705</v>
      </c>
      <c r="S367" s="44">
        <f>+Tabla4[[#This Row],[Trenes Corridos]]/Tabla4[[#This Row],[Trenes Programados]]</f>
        <v>0.98530612244897964</v>
      </c>
      <c r="T367" s="16">
        <v>121</v>
      </c>
      <c r="U367" s="16">
        <v>6</v>
      </c>
      <c r="V367" s="16">
        <v>3675</v>
      </c>
      <c r="W367" s="16">
        <f t="shared" si="245"/>
        <v>54</v>
      </c>
      <c r="X367" s="16">
        <v>3621</v>
      </c>
      <c r="Y367" s="16">
        <v>3433</v>
      </c>
      <c r="Z367" s="16">
        <f t="shared" si="246"/>
        <v>188</v>
      </c>
      <c r="AA367" s="19" t="s">
        <v>113</v>
      </c>
      <c r="AC367" s="18">
        <v>2023</v>
      </c>
      <c r="AD367" s="21" t="s">
        <v>37</v>
      </c>
      <c r="AE367" s="44">
        <f>+Tabla5[[#This Row],[Trenes Puntuales]]/Tabla5[[#This Row],[Trenes Programados]]</f>
        <v>0.9334958217270195</v>
      </c>
      <c r="AF367" s="44">
        <f>+Tabla5[[#This Row],[Trenes Puntuales]]/Tabla5[[#This Row],[Trenes Corridos]]</f>
        <v>0.93938332165381921</v>
      </c>
      <c r="AG367" s="44">
        <f>+Tabla5[[#This Row],[Trenes Corridos]]/Tabla5[[#This Row],[Trenes Programados]]</f>
        <v>0.99373259052924789</v>
      </c>
      <c r="AH367" s="16">
        <v>112</v>
      </c>
      <c r="AI367" s="16">
        <v>6</v>
      </c>
      <c r="AJ367" s="16">
        <v>2872</v>
      </c>
      <c r="AK367" s="16">
        <f t="shared" si="247"/>
        <v>18</v>
      </c>
      <c r="AL367" s="16">
        <v>2854</v>
      </c>
      <c r="AM367" s="16">
        <v>2681</v>
      </c>
      <c r="AN367" s="16">
        <f t="shared" si="248"/>
        <v>173</v>
      </c>
      <c r="AO367" s="45" t="s">
        <v>113</v>
      </c>
      <c r="AQ367" s="18">
        <v>2023</v>
      </c>
      <c r="AR367" s="21" t="s">
        <v>37</v>
      </c>
      <c r="AS367" s="44">
        <f>+Tabla6[[#This Row],[Trenes Puntuales]]/Tabla6[[#This Row],[Trenes Programados]]</f>
        <v>0.98915662650602409</v>
      </c>
      <c r="AT367" s="44">
        <f>+Tabla6[[#This Row],[Trenes Puntuales]]/Tabla6[[#This Row],[Trenes Corridos]]</f>
        <v>0.98915662650602409</v>
      </c>
      <c r="AU367" s="44">
        <f>+Tabla6[[#This Row],[Trenes Corridos]]/Tabla6[[#This Row],[Trenes Programados]]</f>
        <v>1</v>
      </c>
      <c r="AV367" s="16">
        <v>57</v>
      </c>
      <c r="AW367" s="16">
        <v>6</v>
      </c>
      <c r="AX367" s="16">
        <v>1660</v>
      </c>
      <c r="AY367" s="16">
        <f t="shared" si="240"/>
        <v>0</v>
      </c>
      <c r="AZ367" s="16">
        <v>1660</v>
      </c>
      <c r="BA367" s="16">
        <v>1642</v>
      </c>
      <c r="BB367" s="16">
        <f t="shared" si="249"/>
        <v>18</v>
      </c>
      <c r="BC367" s="19" t="s">
        <v>113</v>
      </c>
      <c r="BE367" s="18">
        <v>2023</v>
      </c>
      <c r="BF367" s="21" t="s">
        <v>37</v>
      </c>
      <c r="BG367" s="44"/>
      <c r="BH367" s="44"/>
      <c r="BI367" s="44"/>
      <c r="BJ367" s="16"/>
      <c r="BK367" s="16"/>
      <c r="BL367" s="16"/>
      <c r="BM367" s="16"/>
      <c r="BN367" s="16"/>
      <c r="BO367" s="16"/>
      <c r="BP367" s="16"/>
      <c r="BQ367" s="19" t="s">
        <v>111</v>
      </c>
      <c r="BS367" s="18">
        <v>2023</v>
      </c>
      <c r="BT367" s="21" t="s">
        <v>37</v>
      </c>
      <c r="BU367" s="44">
        <f>+Tabla8[[#This Row],[Trenes Puntuales]]/Tabla8[[#This Row],[Trenes Programados]]</f>
        <v>0.38100000000000001</v>
      </c>
      <c r="BV367" s="44">
        <f>+Tabla8[[#This Row],[Trenes Puntuales]]/Tabla8[[#This Row],[Trenes Corridos]]</f>
        <v>0.44665885111371628</v>
      </c>
      <c r="BW367" s="44">
        <f>+Tabla8[[#This Row],[Trenes Corridos]]/Tabla8[[#This Row],[Trenes Programados]]</f>
        <v>0.85299999999999998</v>
      </c>
      <c r="BX367" s="16">
        <v>40</v>
      </c>
      <c r="BY367" s="16">
        <v>2</v>
      </c>
      <c r="BZ367" s="16">
        <v>1000</v>
      </c>
      <c r="CA367" s="16">
        <f t="shared" si="250"/>
        <v>147</v>
      </c>
      <c r="CB367" s="16">
        <v>853</v>
      </c>
      <c r="CC367" s="16">
        <v>381</v>
      </c>
      <c r="CD367" s="16">
        <f t="shared" si="251"/>
        <v>472</v>
      </c>
      <c r="CE367" s="278"/>
      <c r="CI367" s="40"/>
      <c r="CJ367" s="277"/>
      <c r="CK367" s="40"/>
      <c r="CL367" s="40"/>
      <c r="CM367" s="40"/>
    </row>
    <row r="368" spans="1:91" s="18" customFormat="1" ht="15" customHeight="1">
      <c r="A368" s="18">
        <v>2023</v>
      </c>
      <c r="B368" s="21" t="s">
        <v>38</v>
      </c>
      <c r="C368" s="15">
        <f>+MITRE[[#This Row],[Trenes Puntuales]]/MITRE[[#This Row],[Trenes Programados]]</f>
        <v>0.90605187319884728</v>
      </c>
      <c r="D368" s="15">
        <f>+MITRE[[#This Row],[Trenes Puntuales]]/MITRE[[#This Row],[Trenes Corridos]]</f>
        <v>0.91697452848531991</v>
      </c>
      <c r="E368" s="15">
        <f>+MITRE[[#This Row],[Trenes Corridos]]/MITRE[[#This Row],[Trenes Programados]]</f>
        <v>0.98808837656099902</v>
      </c>
      <c r="F368" s="26">
        <f>+Tabla4[[#This Row],[Trenes Programados por Día Hábil]]+Tabla5[[#This Row],[Trenes Programados por Día Hábil]]+Tabla6[[#This Row],[Trenes Programados por Día Hábil]]+MIT_Vic_Cap[[#This Row],[Trenes Programados por Día Hábil]]+Tabla8[[#This Row],[Trenes Programados por Día Hábil]]</f>
        <v>330</v>
      </c>
      <c r="G368"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5.5745673731285246</v>
      </c>
      <c r="H368" s="16">
        <f t="shared" si="241"/>
        <v>10410</v>
      </c>
      <c r="I368" s="16">
        <f t="shared" si="242"/>
        <v>124</v>
      </c>
      <c r="J368" s="16">
        <f t="shared" si="243"/>
        <v>10286</v>
      </c>
      <c r="K368" s="16">
        <f t="shared" si="243"/>
        <v>9432</v>
      </c>
      <c r="L368" s="16">
        <f t="shared" si="244"/>
        <v>854</v>
      </c>
      <c r="M368" s="19" t="s">
        <v>121</v>
      </c>
      <c r="O368" s="18">
        <v>2023</v>
      </c>
      <c r="P368" s="21" t="s">
        <v>38</v>
      </c>
      <c r="Q368" s="44">
        <f>+Tabla4[[#This Row],[Trenes Puntuales]]/Tabla4[[#This Row],[Trenes Programados]]</f>
        <v>0.97457627118644063</v>
      </c>
      <c r="R368" s="44">
        <f>+Tabla4[[#This Row],[Trenes Puntuales]]/Tabla4[[#This Row],[Trenes Corridos]]</f>
        <v>0.98003408814219628</v>
      </c>
      <c r="S368" s="44">
        <f>+Tabla4[[#This Row],[Trenes Corridos]]/Tabla4[[#This Row],[Trenes Programados]]</f>
        <v>0.99443099273607749</v>
      </c>
      <c r="T368" s="16">
        <v>121</v>
      </c>
      <c r="U368" s="16">
        <v>6</v>
      </c>
      <c r="V368" s="16">
        <v>4130</v>
      </c>
      <c r="W368" s="16">
        <f t="shared" si="245"/>
        <v>23</v>
      </c>
      <c r="X368" s="16">
        <v>4107</v>
      </c>
      <c r="Y368" s="16">
        <v>4025</v>
      </c>
      <c r="Z368" s="16">
        <f t="shared" si="246"/>
        <v>82</v>
      </c>
      <c r="AA368" s="19" t="s">
        <v>113</v>
      </c>
      <c r="AC368" s="18">
        <v>2023</v>
      </c>
      <c r="AD368" s="21" t="s">
        <v>38</v>
      </c>
      <c r="AE368" s="44">
        <f>+Tabla5[[#This Row],[Trenes Puntuales]]/Tabla5[[#This Row],[Trenes Programados]]</f>
        <v>0.9107142857142857</v>
      </c>
      <c r="AF368" s="44">
        <f>+Tabla5[[#This Row],[Trenes Puntuales]]/Tabla5[[#This Row],[Trenes Corridos]]</f>
        <v>0.92584615384615387</v>
      </c>
      <c r="AG368" s="44">
        <f>+Tabla5[[#This Row],[Trenes Corridos]]/Tabla5[[#This Row],[Trenes Programados]]</f>
        <v>0.98365617433414043</v>
      </c>
      <c r="AH368" s="16">
        <v>112</v>
      </c>
      <c r="AI368" s="16">
        <v>6</v>
      </c>
      <c r="AJ368" s="16">
        <v>3304</v>
      </c>
      <c r="AK368" s="16">
        <f t="shared" si="247"/>
        <v>54</v>
      </c>
      <c r="AL368" s="16">
        <v>3250</v>
      </c>
      <c r="AM368" s="16">
        <v>3009</v>
      </c>
      <c r="AN368" s="16">
        <f t="shared" si="248"/>
        <v>241</v>
      </c>
      <c r="AO368" s="45" t="s">
        <v>113</v>
      </c>
      <c r="AQ368" s="18">
        <v>2023</v>
      </c>
      <c r="AR368" s="21" t="s">
        <v>38</v>
      </c>
      <c r="AS368" s="44">
        <f>+Tabla6[[#This Row],[Trenes Puntuales]]/Tabla6[[#This Row],[Trenes Programados]]</f>
        <v>0.97338403041825095</v>
      </c>
      <c r="AT368" s="44">
        <f>+Tabla6[[#This Row],[Trenes Puntuales]]/Tabla6[[#This Row],[Trenes Corridos]]</f>
        <v>0.976566757493188</v>
      </c>
      <c r="AU368" s="44">
        <f>+Tabla6[[#This Row],[Trenes Corridos]]/Tabla6[[#This Row],[Trenes Programados]]</f>
        <v>0.99674090168386742</v>
      </c>
      <c r="AV368" s="16">
        <v>57</v>
      </c>
      <c r="AW368" s="16">
        <v>6</v>
      </c>
      <c r="AX368" s="16">
        <v>1841</v>
      </c>
      <c r="AY368" s="16">
        <f t="shared" si="240"/>
        <v>6</v>
      </c>
      <c r="AZ368" s="16">
        <v>1835</v>
      </c>
      <c r="BA368" s="16">
        <v>1792</v>
      </c>
      <c r="BB368" s="16">
        <f t="shared" si="249"/>
        <v>43</v>
      </c>
      <c r="BC368" s="19" t="s">
        <v>113</v>
      </c>
      <c r="BE368" s="18">
        <v>2023</v>
      </c>
      <c r="BF368" s="21" t="s">
        <v>38</v>
      </c>
      <c r="BG368" s="44"/>
      <c r="BH368" s="44"/>
      <c r="BI368" s="44"/>
      <c r="BJ368" s="16"/>
      <c r="BK368" s="16"/>
      <c r="BL368" s="16"/>
      <c r="BM368" s="16"/>
      <c r="BN368" s="16"/>
      <c r="BO368" s="16"/>
      <c r="BP368" s="16"/>
      <c r="BQ368" s="19" t="s">
        <v>111</v>
      </c>
      <c r="BS368" s="18">
        <v>2023</v>
      </c>
      <c r="BT368" s="21" t="s">
        <v>38</v>
      </c>
      <c r="BU368" s="44">
        <f>+Tabla8[[#This Row],[Trenes Puntuales]]/Tabla8[[#This Row],[Trenes Programados]]</f>
        <v>0.533920704845815</v>
      </c>
      <c r="BV368" s="44">
        <f>+Tabla8[[#This Row],[Trenes Puntuales]]/Tabla8[[#This Row],[Trenes Corridos]]</f>
        <v>0.55393053016453386</v>
      </c>
      <c r="BW368" s="44">
        <f>+Tabla8[[#This Row],[Trenes Corridos]]/Tabla8[[#This Row],[Trenes Programados]]</f>
        <v>0.96387665198237882</v>
      </c>
      <c r="BX368" s="16">
        <v>40</v>
      </c>
      <c r="BY368" s="16">
        <v>2</v>
      </c>
      <c r="BZ368" s="16">
        <v>1135</v>
      </c>
      <c r="CA368" s="16">
        <f t="shared" si="250"/>
        <v>41</v>
      </c>
      <c r="CB368" s="16">
        <v>1094</v>
      </c>
      <c r="CC368" s="16">
        <v>606</v>
      </c>
      <c r="CD368" s="16">
        <f t="shared" si="251"/>
        <v>488</v>
      </c>
      <c r="CE368" s="278"/>
      <c r="CI368" s="40"/>
      <c r="CJ368" s="277"/>
      <c r="CK368" s="40"/>
      <c r="CL368" s="40"/>
      <c r="CM368" s="40"/>
    </row>
    <row r="369" spans="1:91" s="18" customFormat="1" ht="15" customHeight="1">
      <c r="A369" s="18">
        <v>2023</v>
      </c>
      <c r="B369" s="21" t="s">
        <v>39</v>
      </c>
      <c r="C369" s="15">
        <f>+MITRE[[#This Row],[Trenes Puntuales]]/MITRE[[#This Row],[Trenes Programados]]</f>
        <v>0.91133004926108374</v>
      </c>
      <c r="D369" s="15">
        <f>+MITRE[[#This Row],[Trenes Puntuales]]/MITRE[[#This Row],[Trenes Corridos]]</f>
        <v>0.91934982917486285</v>
      </c>
      <c r="E369" s="15">
        <f>+MITRE[[#This Row],[Trenes Corridos]]/MITRE[[#This Row],[Trenes Programados]]</f>
        <v>0.99127668308702788</v>
      </c>
      <c r="F369" s="26">
        <f>+Tabla4[[#This Row],[Trenes Programados por Día Hábil]]+Tabla5[[#This Row],[Trenes Programados por Día Hábil]]+Tabla6[[#This Row],[Trenes Programados por Día Hábil]]+MIT_Vic_Cap[[#This Row],[Trenes Programados por Día Hábil]]+Tabla8[[#This Row],[Trenes Programados por Día Hábil]]</f>
        <v>330</v>
      </c>
      <c r="G369"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5.5767677813438246</v>
      </c>
      <c r="H369" s="16">
        <f t="shared" si="241"/>
        <v>9744</v>
      </c>
      <c r="I369" s="16">
        <f t="shared" si="242"/>
        <v>85</v>
      </c>
      <c r="J369" s="16">
        <f t="shared" ref="J369:K371" si="252">+X369+AL369+AZ369+BN369+CB369</f>
        <v>9659</v>
      </c>
      <c r="K369" s="16">
        <f t="shared" si="252"/>
        <v>8880</v>
      </c>
      <c r="L369" s="16">
        <f t="shared" si="244"/>
        <v>779</v>
      </c>
      <c r="M369" s="19" t="s">
        <v>121</v>
      </c>
      <c r="O369" s="18">
        <v>2023</v>
      </c>
      <c r="P369" s="21" t="s">
        <v>39</v>
      </c>
      <c r="Q369" s="44">
        <f>+Tabla4[[#This Row],[Trenes Puntuales]]/Tabla4[[#This Row],[Trenes Programados]]</f>
        <v>0.97717948717948722</v>
      </c>
      <c r="R369" s="44">
        <f>+Tabla4[[#This Row],[Trenes Puntuales]]/Tabla4[[#This Row],[Trenes Corridos]]</f>
        <v>0.98196341149188349</v>
      </c>
      <c r="S369" s="44">
        <f>+Tabla4[[#This Row],[Trenes Corridos]]/Tabla4[[#This Row],[Trenes Programados]]</f>
        <v>0.9951282051282051</v>
      </c>
      <c r="T369" s="16">
        <v>121</v>
      </c>
      <c r="U369" s="16">
        <v>6</v>
      </c>
      <c r="V369" s="16">
        <v>3900</v>
      </c>
      <c r="W369" s="16">
        <f t="shared" si="245"/>
        <v>19</v>
      </c>
      <c r="X369" s="16">
        <v>3881</v>
      </c>
      <c r="Y369" s="16">
        <v>3811</v>
      </c>
      <c r="Z369" s="16">
        <f t="shared" si="246"/>
        <v>70</v>
      </c>
      <c r="AA369" s="19" t="s">
        <v>113</v>
      </c>
      <c r="AC369" s="18">
        <v>2023</v>
      </c>
      <c r="AD369" s="21" t="s">
        <v>39</v>
      </c>
      <c r="AE369" s="44">
        <f>+Tabla5[[#This Row],[Trenes Puntuales]]/Tabla5[[#This Row],[Trenes Programados]]</f>
        <v>0.93666666666666665</v>
      </c>
      <c r="AF369" s="44">
        <f>+Tabla5[[#This Row],[Trenes Puntuales]]/Tabla5[[#This Row],[Trenes Corridos]]</f>
        <v>0.94105827193569991</v>
      </c>
      <c r="AG369" s="44">
        <f>+Tabla5[[#This Row],[Trenes Corridos]]/Tabla5[[#This Row],[Trenes Programados]]</f>
        <v>0.99533333333333329</v>
      </c>
      <c r="AH369" s="16">
        <v>112</v>
      </c>
      <c r="AI369" s="16">
        <v>6</v>
      </c>
      <c r="AJ369" s="16">
        <v>3000</v>
      </c>
      <c r="AK369" s="16">
        <f t="shared" si="247"/>
        <v>14</v>
      </c>
      <c r="AL369" s="16">
        <v>2986</v>
      </c>
      <c r="AM369" s="16">
        <v>2810</v>
      </c>
      <c r="AN369" s="16">
        <f t="shared" si="248"/>
        <v>176</v>
      </c>
      <c r="AO369" s="45" t="s">
        <v>113</v>
      </c>
      <c r="AQ369" s="18">
        <v>2023</v>
      </c>
      <c r="AR369" s="21" t="s">
        <v>39</v>
      </c>
      <c r="AS369" s="44">
        <f>+Tabla6[[#This Row],[Trenes Puntuales]]/Tabla6[[#This Row],[Trenes Programados]]</f>
        <v>0.98817567567567566</v>
      </c>
      <c r="AT369" s="44">
        <f>+Tabla6[[#This Row],[Trenes Puntuales]]/Tabla6[[#This Row],[Trenes Corridos]]</f>
        <v>0.99152542372881358</v>
      </c>
      <c r="AU369" s="44">
        <f>+Tabla6[[#This Row],[Trenes Corridos]]/Tabla6[[#This Row],[Trenes Programados]]</f>
        <v>0.9966216216216216</v>
      </c>
      <c r="AV369" s="16">
        <v>57</v>
      </c>
      <c r="AW369" s="16">
        <v>6</v>
      </c>
      <c r="AX369" s="16">
        <v>1776</v>
      </c>
      <c r="AY369" s="16">
        <f t="shared" si="240"/>
        <v>6</v>
      </c>
      <c r="AZ369" s="16">
        <v>1770</v>
      </c>
      <c r="BA369" s="16">
        <v>1755</v>
      </c>
      <c r="BB369" s="16">
        <f t="shared" si="249"/>
        <v>15</v>
      </c>
      <c r="BC369" s="19" t="s">
        <v>113</v>
      </c>
      <c r="BE369" s="18">
        <v>2023</v>
      </c>
      <c r="BF369" s="21" t="s">
        <v>39</v>
      </c>
      <c r="BG369" s="44"/>
      <c r="BH369" s="44"/>
      <c r="BI369" s="44"/>
      <c r="BJ369" s="16"/>
      <c r="BK369" s="16"/>
      <c r="BL369" s="16"/>
      <c r="BM369" s="16"/>
      <c r="BN369" s="16"/>
      <c r="BO369" s="16"/>
      <c r="BP369" s="16"/>
      <c r="BQ369" s="19" t="s">
        <v>111</v>
      </c>
      <c r="BS369" s="18">
        <v>2023</v>
      </c>
      <c r="BT369" s="21" t="s">
        <v>39</v>
      </c>
      <c r="BU369" s="44">
        <f>+Tabla8[[#This Row],[Trenes Puntuales]]/Tabla8[[#This Row],[Trenes Programados]]</f>
        <v>0.47191011235955055</v>
      </c>
      <c r="BV369" s="44">
        <f>+Tabla8[[#This Row],[Trenes Puntuales]]/Tabla8[[#This Row],[Trenes Corridos]]</f>
        <v>0.49315068493150682</v>
      </c>
      <c r="BW369" s="44">
        <f>+Tabla8[[#This Row],[Trenes Corridos]]/Tabla8[[#This Row],[Trenes Programados]]</f>
        <v>0.95692883895131087</v>
      </c>
      <c r="BX369" s="16">
        <v>40</v>
      </c>
      <c r="BY369" s="16">
        <v>2</v>
      </c>
      <c r="BZ369" s="16">
        <v>1068</v>
      </c>
      <c r="CA369" s="16">
        <f t="shared" si="250"/>
        <v>46</v>
      </c>
      <c r="CB369" s="16">
        <v>1022</v>
      </c>
      <c r="CC369" s="16">
        <v>504</v>
      </c>
      <c r="CD369" s="16">
        <f t="shared" si="251"/>
        <v>518</v>
      </c>
      <c r="CE369" s="278"/>
      <c r="CI369" s="40"/>
      <c r="CJ369" s="277"/>
      <c r="CK369" s="40"/>
      <c r="CL369" s="40"/>
      <c r="CM369" s="40"/>
    </row>
    <row r="370" spans="1:91" s="18" customFormat="1" ht="15" customHeight="1">
      <c r="A370" s="18">
        <v>2023</v>
      </c>
      <c r="B370" s="21" t="s">
        <v>40</v>
      </c>
      <c r="C370" s="15">
        <f>+MITRE[[#This Row],[Trenes Puntuales]]/MITRE[[#This Row],[Trenes Programados]]</f>
        <v>0.89864017745202041</v>
      </c>
      <c r="D370" s="15">
        <f>+MITRE[[#This Row],[Trenes Puntuales]]/MITRE[[#This Row],[Trenes Corridos]]</f>
        <v>0.9080101344767102</v>
      </c>
      <c r="E370" s="15">
        <f>+MITRE[[#This Row],[Trenes Corridos]]/MITRE[[#This Row],[Trenes Programados]]</f>
        <v>0.98968077924582887</v>
      </c>
      <c r="F370" s="26">
        <f>+Tabla4[[#This Row],[Trenes Programados por Día Hábil]]+Tabla5[[#This Row],[Trenes Programados por Día Hábil]]+Tabla6[[#This Row],[Trenes Programados por Día Hábil]]+MIT_Vic_Cap[[#This Row],[Trenes Programados por Día Hábil]]+Tabla8[[#This Row],[Trenes Programados por Día Hábil]]</f>
        <v>330</v>
      </c>
      <c r="G370"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5.5860456051451957</v>
      </c>
      <c r="H370" s="16">
        <f t="shared" si="241"/>
        <v>10369</v>
      </c>
      <c r="I370" s="16">
        <f t="shared" si="242"/>
        <v>107</v>
      </c>
      <c r="J370" s="16">
        <f t="shared" si="252"/>
        <v>10262</v>
      </c>
      <c r="K370" s="16">
        <f t="shared" si="252"/>
        <v>9318</v>
      </c>
      <c r="L370" s="16">
        <f t="shared" si="244"/>
        <v>944</v>
      </c>
      <c r="M370" s="19" t="s">
        <v>121</v>
      </c>
      <c r="O370" s="18">
        <v>2023</v>
      </c>
      <c r="P370" s="21" t="s">
        <v>40</v>
      </c>
      <c r="Q370" s="44">
        <f>+Tabla4[[#This Row],[Trenes Puntuales]]/Tabla4[[#This Row],[Trenes Programados]]</f>
        <v>0.98103241296518606</v>
      </c>
      <c r="R370" s="44">
        <f>+Tabla4[[#This Row],[Trenes Puntuales]]/Tabla4[[#This Row],[Trenes Corridos]]</f>
        <v>0.98363023591718823</v>
      </c>
      <c r="S370" s="44">
        <f>+Tabla4[[#This Row],[Trenes Corridos]]/Tabla4[[#This Row],[Trenes Programados]]</f>
        <v>0.99735894357743093</v>
      </c>
      <c r="T370" s="16">
        <v>121</v>
      </c>
      <c r="U370" s="16">
        <v>6</v>
      </c>
      <c r="V370" s="16">
        <v>4165</v>
      </c>
      <c r="W370" s="16">
        <f t="shared" si="245"/>
        <v>11</v>
      </c>
      <c r="X370" s="16">
        <v>4154</v>
      </c>
      <c r="Y370" s="16">
        <v>4086</v>
      </c>
      <c r="Z370" s="16">
        <f t="shared" si="246"/>
        <v>68</v>
      </c>
      <c r="AA370" s="19" t="s">
        <v>113</v>
      </c>
      <c r="AC370" s="18">
        <v>2023</v>
      </c>
      <c r="AD370" s="21" t="s">
        <v>40</v>
      </c>
      <c r="AE370" s="44">
        <f>+Tabla5[[#This Row],[Trenes Puntuales]]/Tabla5[[#This Row],[Trenes Programados]]</f>
        <v>0.89981504315659677</v>
      </c>
      <c r="AF370" s="44">
        <f>+Tabla5[[#This Row],[Trenes Puntuales]]/Tabla5[[#This Row],[Trenes Corridos]]</f>
        <v>0.90934579439252339</v>
      </c>
      <c r="AG370" s="44">
        <f>+Tabla5[[#This Row],[Trenes Corridos]]/Tabla5[[#This Row],[Trenes Programados]]</f>
        <v>0.98951911220715172</v>
      </c>
      <c r="AH370" s="16">
        <v>112</v>
      </c>
      <c r="AI370" s="16">
        <v>6</v>
      </c>
      <c r="AJ370" s="16">
        <v>3244</v>
      </c>
      <c r="AK370" s="16">
        <f t="shared" si="247"/>
        <v>34</v>
      </c>
      <c r="AL370" s="16">
        <v>3210</v>
      </c>
      <c r="AM370" s="16">
        <v>2919</v>
      </c>
      <c r="AN370" s="16">
        <f t="shared" si="248"/>
        <v>291</v>
      </c>
      <c r="AO370" s="45" t="s">
        <v>113</v>
      </c>
      <c r="AQ370" s="18">
        <v>2023</v>
      </c>
      <c r="AR370" s="21" t="s">
        <v>40</v>
      </c>
      <c r="AS370" s="44">
        <f>+Tabla6[[#This Row],[Trenes Puntuales]]/Tabla6[[#This Row],[Trenes Programados]]</f>
        <v>0.96739130434782605</v>
      </c>
      <c r="AT370" s="44">
        <f>+Tabla6[[#This Row],[Trenes Puntuales]]/Tabla6[[#This Row],[Trenes Corridos]]</f>
        <v>0.9694989106753813</v>
      </c>
      <c r="AU370" s="44">
        <f>+Tabla6[[#This Row],[Trenes Corridos]]/Tabla6[[#This Row],[Trenes Programados]]</f>
        <v>0.99782608695652175</v>
      </c>
      <c r="AV370" s="16">
        <v>57</v>
      </c>
      <c r="AW370" s="16">
        <v>6</v>
      </c>
      <c r="AX370" s="16">
        <v>1840</v>
      </c>
      <c r="AY370" s="16">
        <f t="shared" ref="AY370:AY386" si="253">+AX370-AZ370</f>
        <v>4</v>
      </c>
      <c r="AZ370" s="16">
        <v>1836</v>
      </c>
      <c r="BA370" s="16">
        <v>1780</v>
      </c>
      <c r="BB370" s="16">
        <f t="shared" si="249"/>
        <v>56</v>
      </c>
      <c r="BC370" s="19" t="s">
        <v>113</v>
      </c>
      <c r="BE370" s="18">
        <v>2023</v>
      </c>
      <c r="BF370" s="21" t="s">
        <v>40</v>
      </c>
      <c r="BG370" s="44"/>
      <c r="BH370" s="44"/>
      <c r="BI370" s="44"/>
      <c r="BJ370" s="16"/>
      <c r="BK370" s="16"/>
      <c r="BL370" s="16"/>
      <c r="BM370" s="16"/>
      <c r="BN370" s="16"/>
      <c r="BO370" s="16"/>
      <c r="BP370" s="16"/>
      <c r="BQ370" s="19" t="s">
        <v>111</v>
      </c>
      <c r="BS370" s="18">
        <v>2023</v>
      </c>
      <c r="BT370" s="21" t="s">
        <v>40</v>
      </c>
      <c r="BU370" s="44">
        <f>+Tabla8[[#This Row],[Trenes Puntuales]]/Tabla8[[#This Row],[Trenes Programados]]</f>
        <v>0.47589285714285712</v>
      </c>
      <c r="BV370" s="44">
        <f>+Tabla8[[#This Row],[Trenes Puntuales]]/Tabla8[[#This Row],[Trenes Corridos]]</f>
        <v>0.50188323917137478</v>
      </c>
      <c r="BW370" s="44">
        <f>+Tabla8[[#This Row],[Trenes Corridos]]/Tabla8[[#This Row],[Trenes Programados]]</f>
        <v>0.94821428571428568</v>
      </c>
      <c r="BX370" s="16">
        <v>40</v>
      </c>
      <c r="BY370" s="16">
        <v>2</v>
      </c>
      <c r="BZ370" s="16">
        <v>1120</v>
      </c>
      <c r="CA370" s="16">
        <f t="shared" si="250"/>
        <v>58</v>
      </c>
      <c r="CB370" s="16">
        <v>1062</v>
      </c>
      <c r="CC370" s="16">
        <v>533</v>
      </c>
      <c r="CD370" s="16">
        <f t="shared" si="251"/>
        <v>529</v>
      </c>
      <c r="CE370" s="278"/>
      <c r="CI370" s="40"/>
      <c r="CJ370" s="277"/>
      <c r="CK370" s="40"/>
      <c r="CL370" s="40"/>
      <c r="CM370" s="40"/>
    </row>
    <row r="371" spans="1:91" s="18" customFormat="1" ht="15" customHeight="1">
      <c r="A371" s="18">
        <v>2023</v>
      </c>
      <c r="B371" s="21" t="s">
        <v>41</v>
      </c>
      <c r="C371" s="15">
        <f>+MITRE[[#This Row],[Trenes Puntuales]]/MITRE[[#This Row],[Trenes Programados]]</f>
        <v>0.84288577154308619</v>
      </c>
      <c r="D371" s="15">
        <f>+MITRE[[#This Row],[Trenes Puntuales]]/MITRE[[#This Row],[Trenes Corridos]]</f>
        <v>0.87198092671296779</v>
      </c>
      <c r="E371" s="15">
        <f>+MITRE[[#This Row],[Trenes Corridos]]/MITRE[[#This Row],[Trenes Programados]]</f>
        <v>0.96663326653306614</v>
      </c>
      <c r="F371" s="26">
        <f>+Tabla4[[#This Row],[Trenes Programados por Día Hábil]]+Tabla5[[#This Row],[Trenes Programados por Día Hábil]]+Tabla6[[#This Row],[Trenes Programados por Día Hábil]]+MIT_Vic_Cap[[#This Row],[Trenes Programados por Día Hábil]]+Tabla8[[#This Row],[Trenes Programados por Día Hábil]]</f>
        <v>340.45454545454544</v>
      </c>
      <c r="G371"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5.5774852285684666</v>
      </c>
      <c r="H371" s="16">
        <f t="shared" si="241"/>
        <v>9980</v>
      </c>
      <c r="I371" s="16">
        <f t="shared" si="242"/>
        <v>333</v>
      </c>
      <c r="J371" s="16">
        <f t="shared" si="252"/>
        <v>9647</v>
      </c>
      <c r="K371" s="16">
        <f t="shared" si="252"/>
        <v>8412</v>
      </c>
      <c r="L371" s="16">
        <f t="shared" si="244"/>
        <v>1235</v>
      </c>
      <c r="M371" s="19" t="s">
        <v>144</v>
      </c>
      <c r="O371" s="18">
        <v>2023</v>
      </c>
      <c r="P371" s="21" t="s">
        <v>41</v>
      </c>
      <c r="Q371" s="44">
        <f>+Tabla4[[#This Row],[Trenes Puntuales]]/Tabla4[[#This Row],[Trenes Programados]]</f>
        <v>0.93700000000000006</v>
      </c>
      <c r="R371" s="44">
        <f>+Tabla4[[#This Row],[Trenes Puntuales]]/Tabla4[[#This Row],[Trenes Corridos]]</f>
        <v>0.9687257689325407</v>
      </c>
      <c r="S371" s="44">
        <f>+Tabla4[[#This Row],[Trenes Corridos]]/Tabla4[[#This Row],[Trenes Programados]]</f>
        <v>0.96725000000000005</v>
      </c>
      <c r="T371" s="131">
        <f>+(121*17+150*5)/(17+5)</f>
        <v>127.59090909090909</v>
      </c>
      <c r="U371" s="16">
        <v>6</v>
      </c>
      <c r="V371" s="16">
        <v>4000</v>
      </c>
      <c r="W371" s="16">
        <f t="shared" si="245"/>
        <v>131</v>
      </c>
      <c r="X371" s="16">
        <v>3869</v>
      </c>
      <c r="Y371" s="16">
        <v>3748</v>
      </c>
      <c r="Z371" s="16">
        <f t="shared" si="246"/>
        <v>121</v>
      </c>
      <c r="AA371" s="126" t="s">
        <v>145</v>
      </c>
      <c r="AC371" s="18">
        <v>2023</v>
      </c>
      <c r="AD371" s="21" t="s">
        <v>41</v>
      </c>
      <c r="AE371" s="44">
        <f>+Tabla5[[#This Row],[Trenes Puntuales]]/Tabla5[[#This Row],[Trenes Programados]]</f>
        <v>0.79041533546325882</v>
      </c>
      <c r="AF371" s="44">
        <f>+Tabla5[[#This Row],[Trenes Puntuales]]/Tabla5[[#This Row],[Trenes Corridos]]</f>
        <v>0.82138114209827362</v>
      </c>
      <c r="AG371" s="44">
        <f>+Tabla5[[#This Row],[Trenes Corridos]]/Tabla5[[#This Row],[Trenes Programados]]</f>
        <v>0.96230031948881789</v>
      </c>
      <c r="AH371" s="131">
        <f>+(112*17+126*5)/(17+5)</f>
        <v>115.18181818181819</v>
      </c>
      <c r="AI371" s="16">
        <v>6</v>
      </c>
      <c r="AJ371" s="16">
        <v>3130</v>
      </c>
      <c r="AK371" s="16">
        <f t="shared" si="247"/>
        <v>118</v>
      </c>
      <c r="AL371" s="16">
        <v>3012</v>
      </c>
      <c r="AM371" s="16">
        <v>2474</v>
      </c>
      <c r="AN371" s="16">
        <f t="shared" si="248"/>
        <v>538</v>
      </c>
      <c r="AO371" s="126" t="s">
        <v>146</v>
      </c>
      <c r="AQ371" s="18">
        <v>2023</v>
      </c>
      <c r="AR371" s="21" t="s">
        <v>41</v>
      </c>
      <c r="AS371" s="44">
        <f>+Tabla6[[#This Row],[Trenes Puntuales]]/Tabla6[[#This Row],[Trenes Programados]]</f>
        <v>0.95</v>
      </c>
      <c r="AT371" s="44">
        <f>+Tabla6[[#This Row],[Trenes Puntuales]]/Tabla6[[#This Row],[Trenes Corridos]]</f>
        <v>0.96794504865483688</v>
      </c>
      <c r="AU371" s="44">
        <f>+Tabla6[[#This Row],[Trenes Corridos]]/Tabla6[[#This Row],[Trenes Programados]]</f>
        <v>0.98146067415730343</v>
      </c>
      <c r="AV371" s="131">
        <f>+(57*17+60*5)/(17+5)</f>
        <v>57.68181818181818</v>
      </c>
      <c r="AW371" s="16">
        <v>6</v>
      </c>
      <c r="AX371" s="16">
        <v>1780</v>
      </c>
      <c r="AY371" s="16">
        <f t="shared" si="253"/>
        <v>33</v>
      </c>
      <c r="AZ371" s="16">
        <v>1747</v>
      </c>
      <c r="BA371" s="16">
        <v>1691</v>
      </c>
      <c r="BB371" s="16">
        <f t="shared" si="249"/>
        <v>56</v>
      </c>
      <c r="BC371" s="126" t="s">
        <v>149</v>
      </c>
      <c r="BE371" s="18">
        <v>2023</v>
      </c>
      <c r="BF371" s="21" t="s">
        <v>41</v>
      </c>
      <c r="BG371" s="44"/>
      <c r="BH371" s="44"/>
      <c r="BI371" s="44"/>
      <c r="BJ371" s="16"/>
      <c r="BK371" s="16"/>
      <c r="BL371" s="16"/>
      <c r="BM371" s="16"/>
      <c r="BN371" s="16"/>
      <c r="BO371" s="16"/>
      <c r="BP371" s="16"/>
      <c r="BQ371" s="19" t="s">
        <v>111</v>
      </c>
      <c r="BS371" s="18">
        <v>2023</v>
      </c>
      <c r="BT371" s="21" t="s">
        <v>41</v>
      </c>
      <c r="BU371" s="44">
        <f>+Tabla8[[#This Row],[Trenes Puntuales]]/Tabla8[[#This Row],[Trenes Programados]]</f>
        <v>0.46635514018691587</v>
      </c>
      <c r="BV371" s="44">
        <f>+Tabla8[[#This Row],[Trenes Puntuales]]/Tabla8[[#This Row],[Trenes Corridos]]</f>
        <v>0.48969578017664378</v>
      </c>
      <c r="BW371" s="44">
        <f>+Tabla8[[#This Row],[Trenes Corridos]]/Tabla8[[#This Row],[Trenes Programados]]</f>
        <v>0.95233644859813082</v>
      </c>
      <c r="BX371" s="16">
        <v>40</v>
      </c>
      <c r="BY371" s="16">
        <v>2</v>
      </c>
      <c r="BZ371" s="16">
        <v>1070</v>
      </c>
      <c r="CA371" s="16">
        <f t="shared" si="250"/>
        <v>51</v>
      </c>
      <c r="CB371" s="16">
        <v>1019</v>
      </c>
      <c r="CC371" s="16">
        <v>499</v>
      </c>
      <c r="CD371" s="16">
        <f t="shared" si="251"/>
        <v>520</v>
      </c>
      <c r="CE371" s="278" t="s">
        <v>225</v>
      </c>
      <c r="CI371" s="40"/>
      <c r="CJ371" s="277"/>
      <c r="CK371" s="40"/>
      <c r="CL371" s="40"/>
      <c r="CM371" s="40"/>
    </row>
    <row r="372" spans="1:91" s="18" customFormat="1" ht="15" customHeight="1">
      <c r="A372" s="18">
        <v>2023</v>
      </c>
      <c r="B372" s="21" t="s">
        <v>42</v>
      </c>
      <c r="C372" s="15">
        <f>+MITRE[[#This Row],[Trenes Puntuales]]/MITRE[[#This Row],[Trenes Programados]]</f>
        <v>0.8567513937446849</v>
      </c>
      <c r="D372" s="15">
        <f>+MITRE[[#This Row],[Trenes Puntuales]]/MITRE[[#This Row],[Trenes Corridos]]</f>
        <v>0.88900872634572015</v>
      </c>
      <c r="E372" s="15">
        <f>+MITRE[[#This Row],[Trenes Corridos]]/MITRE[[#This Row],[Trenes Programados]]</f>
        <v>0.96371539261079087</v>
      </c>
      <c r="F372" s="26">
        <f>+Tabla4[[#This Row],[Trenes Programados por Día Hábil]]+Tabla5[[#This Row],[Trenes Programados por Día Hábil]]+Tabla6[[#This Row],[Trenes Programados por Día Hábil]]+MIT_Vic_Cap[[#This Row],[Trenes Programados por Día Hábil]]+Tabla8[[#This Row],[Trenes Programados por Día Hábil]]</f>
        <v>376</v>
      </c>
      <c r="G372"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5.598784194528875</v>
      </c>
      <c r="H372" s="16">
        <f t="shared" ref="H372:H377" si="254">+V372+AJ372+AX372+BL372+BZ372</f>
        <v>10583</v>
      </c>
      <c r="I372" s="16">
        <f t="shared" ref="I372:I377" si="255">H372-J372</f>
        <v>384</v>
      </c>
      <c r="J372" s="16">
        <f t="shared" ref="J372:K374" si="256">+X372+AL372+AZ372+BN372+CB372</f>
        <v>10199</v>
      </c>
      <c r="K372" s="16">
        <f t="shared" si="256"/>
        <v>9067</v>
      </c>
      <c r="L372" s="16">
        <f t="shared" ref="L372:L377" si="257">J372-K372</f>
        <v>1132</v>
      </c>
      <c r="M372" s="16"/>
      <c r="O372" s="18">
        <v>2023</v>
      </c>
      <c r="P372" s="21" t="s">
        <v>42</v>
      </c>
      <c r="Q372" s="44">
        <f>+Tabla4[[#This Row],[Trenes Puntuales]]/Tabla4[[#This Row],[Trenes Programados]]</f>
        <v>0.88948545861297534</v>
      </c>
      <c r="R372" s="44">
        <f>+Tabla4[[#This Row],[Trenes Puntuales]]/Tabla4[[#This Row],[Trenes Corridos]]</f>
        <v>0.91634017054620875</v>
      </c>
      <c r="S372" s="44">
        <f>+Tabla4[[#This Row],[Trenes Corridos]]/Tabla4[[#This Row],[Trenes Programados]]</f>
        <v>0.97069351230425061</v>
      </c>
      <c r="T372" s="16">
        <v>150</v>
      </c>
      <c r="U372" s="16">
        <v>6</v>
      </c>
      <c r="V372" s="16">
        <v>4470</v>
      </c>
      <c r="W372" s="16">
        <f t="shared" ref="W372:W386" si="258">+V372-X372</f>
        <v>131</v>
      </c>
      <c r="X372" s="16">
        <v>4339</v>
      </c>
      <c r="Y372" s="16">
        <v>3976</v>
      </c>
      <c r="Z372" s="16">
        <f t="shared" ref="Z372:Z377" si="259">+X372-Y372</f>
        <v>363</v>
      </c>
      <c r="AA372" s="19"/>
      <c r="AC372" s="18">
        <v>2023</v>
      </c>
      <c r="AD372" s="21" t="s">
        <v>42</v>
      </c>
      <c r="AE372" s="44">
        <f>+Tabla5[[#This Row],[Trenes Puntuales]]/Tabla5[[#This Row],[Trenes Programados]]</f>
        <v>0.79195693476884099</v>
      </c>
      <c r="AF372" s="44">
        <f>+Tabla5[[#This Row],[Trenes Puntuales]]/Tabla5[[#This Row],[Trenes Corridos]]</f>
        <v>0.82269736842105268</v>
      </c>
      <c r="AG372" s="44">
        <f>+Tabla5[[#This Row],[Trenes Corridos]]/Tabla5[[#This Row],[Trenes Programados]]</f>
        <v>0.9626345788473718</v>
      </c>
      <c r="AH372" s="16">
        <v>126</v>
      </c>
      <c r="AI372" s="16">
        <v>6</v>
      </c>
      <c r="AJ372" s="16">
        <v>3158</v>
      </c>
      <c r="AK372" s="16">
        <f t="shared" ref="AK372:AK386" si="260">+AJ372-AL372</f>
        <v>118</v>
      </c>
      <c r="AL372" s="16">
        <v>3040</v>
      </c>
      <c r="AM372" s="16">
        <v>2501</v>
      </c>
      <c r="AN372" s="16">
        <f t="shared" ref="AN372:AN377" si="261">+AL372-AM372</f>
        <v>539</v>
      </c>
      <c r="AO372" s="19"/>
      <c r="AQ372" s="18">
        <v>2023</v>
      </c>
      <c r="AR372" s="21" t="s">
        <v>42</v>
      </c>
      <c r="AS372" s="44">
        <f>+Tabla6[[#This Row],[Trenes Puntuales]]/Tabla6[[#This Row],[Trenes Programados]]</f>
        <v>0.95437262357414454</v>
      </c>
      <c r="AT372" s="44">
        <f>+Tabla6[[#This Row],[Trenes Puntuales]]/Tabla6[[#This Row],[Trenes Corridos]]</f>
        <v>0.97774067890929328</v>
      </c>
      <c r="AU372" s="44">
        <f>+Tabla6[[#This Row],[Trenes Corridos]]/Tabla6[[#This Row],[Trenes Programados]]</f>
        <v>0.97609994568169478</v>
      </c>
      <c r="AV372" s="16">
        <v>60</v>
      </c>
      <c r="AW372" s="16">
        <v>6</v>
      </c>
      <c r="AX372" s="16">
        <v>1841</v>
      </c>
      <c r="AY372" s="16">
        <f t="shared" si="253"/>
        <v>44</v>
      </c>
      <c r="AZ372" s="16">
        <v>1797</v>
      </c>
      <c r="BA372" s="16">
        <v>1757</v>
      </c>
      <c r="BB372" s="16">
        <f t="shared" ref="BB372:BB377" si="262">+AZ372-BA372</f>
        <v>40</v>
      </c>
      <c r="BC372" s="19"/>
      <c r="BE372" s="18">
        <v>2023</v>
      </c>
      <c r="BF372" s="21" t="s">
        <v>42</v>
      </c>
      <c r="BG372" s="44"/>
      <c r="BH372" s="44"/>
      <c r="BI372" s="44"/>
      <c r="BJ372" s="16"/>
      <c r="BK372" s="16"/>
      <c r="BL372" s="16"/>
      <c r="BM372" s="16"/>
      <c r="BN372" s="16"/>
      <c r="BO372" s="16"/>
      <c r="BP372" s="16"/>
      <c r="BQ372" s="19" t="s">
        <v>111</v>
      </c>
      <c r="BS372" s="18">
        <v>2023</v>
      </c>
      <c r="BT372" s="21" t="s">
        <v>42</v>
      </c>
      <c r="BU372" s="44">
        <f>+Tabla8[[#This Row],[Trenes Puntuales]]/Tabla8[[#This Row],[Trenes Programados]]</f>
        <v>0.74775583482944341</v>
      </c>
      <c r="BV372" s="44">
        <f>+Tabla8[[#This Row],[Trenes Puntuales]]/Tabla8[[#This Row],[Trenes Corridos]]</f>
        <v>0.81427174975562078</v>
      </c>
      <c r="BW372" s="44">
        <f>+Tabla8[[#This Row],[Trenes Corridos]]/Tabla8[[#This Row],[Trenes Programados]]</f>
        <v>0.91831238779174151</v>
      </c>
      <c r="BX372" s="16">
        <v>40</v>
      </c>
      <c r="BY372" s="16">
        <v>2</v>
      </c>
      <c r="BZ372" s="16">
        <v>1114</v>
      </c>
      <c r="CA372" s="16">
        <f t="shared" ref="CA372:CA386" si="263">+BZ372-CB372</f>
        <v>91</v>
      </c>
      <c r="CB372" s="16">
        <v>1023</v>
      </c>
      <c r="CC372" s="16">
        <v>833</v>
      </c>
      <c r="CD372" s="16">
        <f t="shared" ref="CD372:CD377" si="264">+CB372-CC372</f>
        <v>190</v>
      </c>
      <c r="CE372" s="278"/>
      <c r="CI372" s="40"/>
      <c r="CJ372" s="277"/>
      <c r="CK372" s="40"/>
      <c r="CL372" s="40"/>
      <c r="CM372" s="40"/>
    </row>
    <row r="373" spans="1:91" s="18" customFormat="1" ht="15" customHeight="1">
      <c r="A373" s="151">
        <v>2023</v>
      </c>
      <c r="B373" s="152" t="s">
        <v>43</v>
      </c>
      <c r="C373" s="153">
        <f>+MITRE[[#This Row],[Trenes Puntuales]]/MITRE[[#This Row],[Trenes Programados]]</f>
        <v>0.86292259375577318</v>
      </c>
      <c r="D373" s="153">
        <f>+MITRE[[#This Row],[Trenes Puntuales]]/MITRE[[#This Row],[Trenes Corridos]]</f>
        <v>0.8967172201958149</v>
      </c>
      <c r="E373" s="153">
        <f>+MITRE[[#This Row],[Trenes Corridos]]/MITRE[[#This Row],[Trenes Programados]]</f>
        <v>0.96231295030482178</v>
      </c>
      <c r="F373" s="154">
        <f>+Tabla4[[#This Row],[Trenes Programados por Día Hábil]]+Tabla5[[#This Row],[Trenes Programados por Día Hábil]]+Tabla6[[#This Row],[Trenes Programados por Día Hábil]]+MIT_Vic_Cap[[#This Row],[Trenes Programados por Día Hábil]]+Tabla8[[#This Row],[Trenes Programados por Día Hábil]]</f>
        <v>376</v>
      </c>
      <c r="G373" s="155">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5.602226914954886</v>
      </c>
      <c r="H373" s="16">
        <f t="shared" si="254"/>
        <v>10826</v>
      </c>
      <c r="I373" s="16">
        <f t="shared" si="255"/>
        <v>408</v>
      </c>
      <c r="J373" s="16">
        <f t="shared" si="256"/>
        <v>10418</v>
      </c>
      <c r="K373" s="16">
        <f t="shared" si="256"/>
        <v>9342</v>
      </c>
      <c r="L373" s="16">
        <f t="shared" si="257"/>
        <v>1076</v>
      </c>
      <c r="M373" s="156"/>
      <c r="O373" s="151">
        <v>2023</v>
      </c>
      <c r="P373" s="152" t="s">
        <v>43</v>
      </c>
      <c r="Q373" s="44">
        <f>+Tabla4[[#This Row],[Trenes Puntuales]]/Tabla4[[#This Row],[Trenes Programados]]</f>
        <v>0.90508021390374327</v>
      </c>
      <c r="R373" s="44">
        <f>+Tabla4[[#This Row],[Trenes Puntuales]]/Tabla4[[#This Row],[Trenes Corridos]]</f>
        <v>0.93250688705234164</v>
      </c>
      <c r="S373" s="44">
        <f>+Tabla4[[#This Row],[Trenes Corridos]]/Tabla4[[#This Row],[Trenes Programados]]</f>
        <v>0.97058823529411764</v>
      </c>
      <c r="T373" s="16">
        <v>150</v>
      </c>
      <c r="U373" s="16">
        <v>6</v>
      </c>
      <c r="V373" s="16">
        <v>4488</v>
      </c>
      <c r="W373" s="16">
        <f t="shared" si="258"/>
        <v>132</v>
      </c>
      <c r="X373" s="16">
        <v>4356</v>
      </c>
      <c r="Y373" s="16">
        <v>4062</v>
      </c>
      <c r="Z373" s="16">
        <f t="shared" si="259"/>
        <v>294</v>
      </c>
      <c r="AA373" s="156"/>
      <c r="AC373" s="151">
        <v>2023</v>
      </c>
      <c r="AD373" s="152" t="s">
        <v>43</v>
      </c>
      <c r="AE373" s="153">
        <f>+Tabla5[[#This Row],[Trenes Puntuales]]/Tabla5[[#This Row],[Trenes Programados]]</f>
        <v>0.8167164179104478</v>
      </c>
      <c r="AF373" s="153">
        <f>+Tabla5[[#This Row],[Trenes Puntuales]]/Tabla5[[#This Row],[Trenes Corridos]]</f>
        <v>0.84995340167753963</v>
      </c>
      <c r="AG373" s="153">
        <f>+Tabla5[[#This Row],[Trenes Corridos]]/Tabla5[[#This Row],[Trenes Programados]]</f>
        <v>0.96089552238805975</v>
      </c>
      <c r="AH373" s="156">
        <v>126</v>
      </c>
      <c r="AI373" s="156">
        <v>6</v>
      </c>
      <c r="AJ373" s="156">
        <v>3350</v>
      </c>
      <c r="AK373" s="16">
        <f t="shared" si="260"/>
        <v>131</v>
      </c>
      <c r="AL373" s="156">
        <v>3219</v>
      </c>
      <c r="AM373" s="156">
        <v>2736</v>
      </c>
      <c r="AN373" s="156">
        <f t="shared" si="261"/>
        <v>483</v>
      </c>
      <c r="AO373" s="156"/>
      <c r="AQ373" s="151">
        <v>2023</v>
      </c>
      <c r="AR373" s="152" t="s">
        <v>43</v>
      </c>
      <c r="AS373" s="153">
        <f>+Tabla6[[#This Row],[Trenes Puntuales]]/Tabla6[[#This Row],[Trenes Programados]]</f>
        <v>0.96145494028230183</v>
      </c>
      <c r="AT373" s="153">
        <f>+Tabla6[[#This Row],[Trenes Puntuales]]/Tabla6[[#This Row],[Trenes Corridos]]</f>
        <v>0.98007747648035415</v>
      </c>
      <c r="AU373" s="153">
        <f>+Tabla6[[#This Row],[Trenes Corridos]]/Tabla6[[#This Row],[Trenes Programados]]</f>
        <v>0.98099891422366992</v>
      </c>
      <c r="AV373" s="156">
        <v>60</v>
      </c>
      <c r="AW373" s="156">
        <v>6</v>
      </c>
      <c r="AX373" s="156">
        <v>1842</v>
      </c>
      <c r="AY373" s="16">
        <f t="shared" si="253"/>
        <v>35</v>
      </c>
      <c r="AZ373" s="156">
        <v>1807</v>
      </c>
      <c r="BA373" s="156">
        <v>1771</v>
      </c>
      <c r="BB373" s="156">
        <f t="shared" si="262"/>
        <v>36</v>
      </c>
      <c r="BC373" s="156"/>
      <c r="BE373" s="151">
        <v>2023</v>
      </c>
      <c r="BF373" s="152" t="s">
        <v>43</v>
      </c>
      <c r="BG373" s="153"/>
      <c r="BH373" s="153"/>
      <c r="BI373" s="153"/>
      <c r="BJ373" s="156"/>
      <c r="BK373" s="156"/>
      <c r="BL373" s="156"/>
      <c r="BM373" s="156"/>
      <c r="BN373" s="156"/>
      <c r="BO373" s="156"/>
      <c r="BP373" s="156"/>
      <c r="BQ373" s="19" t="s">
        <v>111</v>
      </c>
      <c r="BS373" s="151">
        <v>2023</v>
      </c>
      <c r="BT373" s="152" t="s">
        <v>43</v>
      </c>
      <c r="BU373" s="153">
        <f>+Tabla8[[#This Row],[Trenes Puntuales]]/Tabla8[[#This Row],[Trenes Programados]]</f>
        <v>0.67452006980802792</v>
      </c>
      <c r="BV373" s="153">
        <f>+Tabla8[[#This Row],[Trenes Puntuales]]/Tabla8[[#This Row],[Trenes Corridos]]</f>
        <v>0.74613899613899615</v>
      </c>
      <c r="BW373" s="153">
        <f>+Tabla8[[#This Row],[Trenes Corridos]]/Tabla8[[#This Row],[Trenes Programados]]</f>
        <v>0.90401396160558467</v>
      </c>
      <c r="BX373" s="156">
        <v>40</v>
      </c>
      <c r="BY373" s="156">
        <v>2</v>
      </c>
      <c r="BZ373" s="156">
        <v>1146</v>
      </c>
      <c r="CA373" s="16">
        <f t="shared" si="263"/>
        <v>110</v>
      </c>
      <c r="CB373" s="156">
        <v>1036</v>
      </c>
      <c r="CC373" s="156">
        <v>773</v>
      </c>
      <c r="CD373" s="156">
        <f t="shared" si="264"/>
        <v>263</v>
      </c>
      <c r="CE373" s="280"/>
      <c r="CI373" s="40"/>
      <c r="CJ373" s="277"/>
      <c r="CK373" s="40"/>
      <c r="CL373" s="40"/>
      <c r="CM373" s="40"/>
    </row>
    <row r="374" spans="1:91" s="18" customFormat="1" ht="15" customHeight="1">
      <c r="A374" s="167">
        <v>2023</v>
      </c>
      <c r="B374" s="170" t="s">
        <v>44</v>
      </c>
      <c r="C374" s="169">
        <f>+MITRE[[#This Row],[Trenes Puntuales]]/MITRE[[#This Row],[Trenes Programados]]</f>
        <v>0.91679418515684774</v>
      </c>
      <c r="D374" s="169">
        <f>+MITRE[[#This Row],[Trenes Puntuales]]/MITRE[[#This Row],[Trenes Corridos]]</f>
        <v>0.92851607903913214</v>
      </c>
      <c r="E374" s="169">
        <f>+MITRE[[#This Row],[Trenes Corridos]]/MITRE[[#This Row],[Trenes Programados]]</f>
        <v>0.98737566947207345</v>
      </c>
      <c r="F374" s="171">
        <f>+Tabla4[[#This Row],[Trenes Programados por Día Hábil]]+Tabla5[[#This Row],[Trenes Programados por Día Hábil]]+Tabla6[[#This Row],[Trenes Programados por Día Hábil]]+MIT_Vic_Cap[[#This Row],[Trenes Programados por Día Hábil]]+Tabla8[[#This Row],[Trenes Programados por Día Hábil]]</f>
        <v>376</v>
      </c>
      <c r="G374" s="172">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5.584269662921348</v>
      </c>
      <c r="H374" s="168">
        <f t="shared" si="254"/>
        <v>10456</v>
      </c>
      <c r="I374" s="168">
        <f t="shared" si="255"/>
        <v>132</v>
      </c>
      <c r="J374" s="168">
        <f t="shared" si="256"/>
        <v>10324</v>
      </c>
      <c r="K374" s="168">
        <f t="shared" si="256"/>
        <v>9586</v>
      </c>
      <c r="L374" s="168">
        <f t="shared" si="257"/>
        <v>738</v>
      </c>
      <c r="M374" s="168"/>
      <c r="O374" s="167">
        <v>2023</v>
      </c>
      <c r="P374" s="170" t="s">
        <v>44</v>
      </c>
      <c r="Q374" s="44">
        <f>+Tabla4[[#This Row],[Trenes Puntuales]]/Tabla4[[#This Row],[Trenes Programados]]</f>
        <v>0.94781609195402294</v>
      </c>
      <c r="R374" s="44">
        <f>+Tabla4[[#This Row],[Trenes Puntuales]]/Tabla4[[#This Row],[Trenes Corridos]]</f>
        <v>0.96309273534220974</v>
      </c>
      <c r="S374" s="44">
        <f>+Tabla4[[#This Row],[Trenes Corridos]]/Tabla4[[#This Row],[Trenes Programados]]</f>
        <v>0.98413793103448277</v>
      </c>
      <c r="T374" s="16">
        <v>150</v>
      </c>
      <c r="U374" s="16">
        <v>6</v>
      </c>
      <c r="V374" s="16">
        <v>4350</v>
      </c>
      <c r="W374" s="16">
        <f t="shared" si="258"/>
        <v>69</v>
      </c>
      <c r="X374" s="16">
        <v>4281</v>
      </c>
      <c r="Y374" s="16">
        <v>4123</v>
      </c>
      <c r="Z374" s="16">
        <f t="shared" si="259"/>
        <v>158</v>
      </c>
      <c r="AA374" s="168"/>
      <c r="AC374" s="167">
        <v>2023</v>
      </c>
      <c r="AD374" s="170" t="s">
        <v>44</v>
      </c>
      <c r="AE374" s="169">
        <f>+Tabla5[[#This Row],[Trenes Puntuales]]/Tabla5[[#This Row],[Trenes Programados]]</f>
        <v>0.88502175264139216</v>
      </c>
      <c r="AF374" s="169">
        <f>+Tabla5[[#This Row],[Trenes Puntuales]]/Tabla5[[#This Row],[Trenes Corridos]]</f>
        <v>0.89335006273525719</v>
      </c>
      <c r="AG374" s="169">
        <f>+Tabla5[[#This Row],[Trenes Corridos]]/Tabla5[[#This Row],[Trenes Programados]]</f>
        <v>0.99067743940335617</v>
      </c>
      <c r="AH374" s="168">
        <v>126</v>
      </c>
      <c r="AI374" s="168">
        <v>6</v>
      </c>
      <c r="AJ374" s="168">
        <v>3218</v>
      </c>
      <c r="AK374" s="16">
        <f t="shared" si="260"/>
        <v>30</v>
      </c>
      <c r="AL374" s="168">
        <v>3188</v>
      </c>
      <c r="AM374" s="168">
        <v>2848</v>
      </c>
      <c r="AN374" s="168">
        <f t="shared" si="261"/>
        <v>340</v>
      </c>
      <c r="AO374" s="168"/>
      <c r="AQ374" s="167">
        <v>2023</v>
      </c>
      <c r="AR374" s="170" t="s">
        <v>44</v>
      </c>
      <c r="AS374" s="169">
        <f>+Tabla6[[#This Row],[Trenes Puntuales]]/Tabla6[[#This Row],[Trenes Programados]]</f>
        <v>0.98597081930415265</v>
      </c>
      <c r="AT374" s="169">
        <f>+Tabla6[[#This Row],[Trenes Puntuales]]/Tabla6[[#This Row],[Trenes Corridos]]</f>
        <v>0.98597081930415265</v>
      </c>
      <c r="AU374" s="169">
        <f>+Tabla6[[#This Row],[Trenes Corridos]]/Tabla6[[#This Row],[Trenes Programados]]</f>
        <v>1</v>
      </c>
      <c r="AV374" s="168">
        <v>60</v>
      </c>
      <c r="AW374" s="168">
        <v>6</v>
      </c>
      <c r="AX374" s="168">
        <v>1782</v>
      </c>
      <c r="AY374" s="16">
        <f t="shared" si="253"/>
        <v>0</v>
      </c>
      <c r="AZ374" s="168">
        <v>1782</v>
      </c>
      <c r="BA374" s="168">
        <v>1757</v>
      </c>
      <c r="BB374" s="168">
        <f t="shared" si="262"/>
        <v>25</v>
      </c>
      <c r="BC374" s="168"/>
      <c r="BE374" s="167">
        <v>2023</v>
      </c>
      <c r="BF374" s="170" t="s">
        <v>44</v>
      </c>
      <c r="BG374" s="169"/>
      <c r="BH374" s="169"/>
      <c r="BI374" s="169"/>
      <c r="BJ374" s="168"/>
      <c r="BK374" s="168"/>
      <c r="BL374" s="168"/>
      <c r="BM374" s="168"/>
      <c r="BN374" s="168"/>
      <c r="BO374" s="168"/>
      <c r="BP374" s="168"/>
      <c r="BQ374" s="19" t="s">
        <v>111</v>
      </c>
      <c r="BS374" s="167">
        <v>2023</v>
      </c>
      <c r="BT374" s="170" t="s">
        <v>44</v>
      </c>
      <c r="BU374" s="169">
        <f>+Tabla8[[#This Row],[Trenes Puntuales]]/Tabla8[[#This Row],[Trenes Programados]]</f>
        <v>0.77576853526220613</v>
      </c>
      <c r="BV374" s="169">
        <f>+Tabla8[[#This Row],[Trenes Puntuales]]/Tabla8[[#This Row],[Trenes Corridos]]</f>
        <v>0.79962721342031684</v>
      </c>
      <c r="BW374" s="169">
        <f>+Tabla8[[#This Row],[Trenes Corridos]]/Tabla8[[#This Row],[Trenes Programados]]</f>
        <v>0.97016274864376129</v>
      </c>
      <c r="BX374" s="168">
        <v>40</v>
      </c>
      <c r="BY374" s="168">
        <v>2</v>
      </c>
      <c r="BZ374" s="168">
        <v>1106</v>
      </c>
      <c r="CA374" s="16">
        <f t="shared" si="263"/>
        <v>33</v>
      </c>
      <c r="CB374" s="168">
        <v>1073</v>
      </c>
      <c r="CC374" s="168">
        <v>858</v>
      </c>
      <c r="CD374" s="168">
        <f t="shared" si="264"/>
        <v>215</v>
      </c>
      <c r="CE374" s="281"/>
      <c r="CI374" s="40"/>
      <c r="CJ374" s="277"/>
      <c r="CK374" s="40"/>
      <c r="CL374" s="40"/>
      <c r="CM374" s="40"/>
    </row>
    <row r="375" spans="1:91" s="18" customFormat="1" ht="15" customHeight="1">
      <c r="A375" s="18">
        <v>2023</v>
      </c>
      <c r="B375" s="21" t="s">
        <v>45</v>
      </c>
      <c r="C375" s="169">
        <f>+MITRE[[#This Row],[Trenes Puntuales]]/MITRE[[#This Row],[Trenes Programados]]</f>
        <v>0.91242362525458254</v>
      </c>
      <c r="D375" s="169">
        <f>+MITRE[[#This Row],[Trenes Puntuales]]/MITRE[[#This Row],[Trenes Corridos]]</f>
        <v>0.93474962063732925</v>
      </c>
      <c r="E375" s="169">
        <f>+MITRE[[#This Row],[Trenes Corridos]]/MITRE[[#This Row],[Trenes Programados]]</f>
        <v>0.97611553416034069</v>
      </c>
      <c r="F375" s="171">
        <f>+Tabla4[[#This Row],[Trenes Programados por Día Hábil]]+Tabla5[[#This Row],[Trenes Programados por Día Hábil]]+Tabla6[[#This Row],[Trenes Programados por Día Hábil]]+MIT_Vic_Cap[[#This Row],[Trenes Programados por Día Hábil]]+Tabla8[[#This Row],[Trenes Programados por Día Hábil]]</f>
        <v>376</v>
      </c>
      <c r="G375" s="172">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5.5918057663125946</v>
      </c>
      <c r="H375" s="168">
        <f t="shared" si="254"/>
        <v>10802</v>
      </c>
      <c r="I375" s="168">
        <f t="shared" si="255"/>
        <v>258</v>
      </c>
      <c r="J375" s="168">
        <f t="shared" ref="J375" si="265">+X375+AL375+AZ375+BN375+CB375</f>
        <v>10544</v>
      </c>
      <c r="K375" s="168">
        <f t="shared" ref="K375" si="266">+Y375+AM375+BA375+BO375+CC375</f>
        <v>9856</v>
      </c>
      <c r="L375" s="168">
        <f t="shared" si="257"/>
        <v>688</v>
      </c>
      <c r="M375" s="16"/>
      <c r="O375" s="167">
        <v>2023</v>
      </c>
      <c r="P375" s="170" t="s">
        <v>45</v>
      </c>
      <c r="Q375" s="44">
        <f>+Tabla4[[#This Row],[Trenes Puntuales]]/Tabla4[[#This Row],[Trenes Programados]]</f>
        <v>0.94111208406304725</v>
      </c>
      <c r="R375" s="44">
        <f>+Tabla4[[#This Row],[Trenes Puntuales]]/Tabla4[[#This Row],[Trenes Corridos]]</f>
        <v>0.96368527236045731</v>
      </c>
      <c r="S375" s="44">
        <f>+Tabla4[[#This Row],[Trenes Corridos]]/Tabla4[[#This Row],[Trenes Programados]]</f>
        <v>0.97657618213660247</v>
      </c>
      <c r="T375" s="16">
        <v>150</v>
      </c>
      <c r="U375" s="16">
        <v>6</v>
      </c>
      <c r="V375" s="16">
        <v>4568</v>
      </c>
      <c r="W375" s="16">
        <f t="shared" si="258"/>
        <v>107</v>
      </c>
      <c r="X375" s="16">
        <v>4461</v>
      </c>
      <c r="Y375" s="16">
        <v>4299</v>
      </c>
      <c r="Z375" s="16">
        <f t="shared" si="259"/>
        <v>162</v>
      </c>
      <c r="AA375" s="16"/>
      <c r="AC375" s="18">
        <v>2023</v>
      </c>
      <c r="AD375" s="21" t="s">
        <v>45</v>
      </c>
      <c r="AE375" s="15">
        <f>+Tabla5[[#This Row],[Trenes Puntuales]]/Tabla5[[#This Row],[Trenes Programados]]</f>
        <v>0.8675395858708892</v>
      </c>
      <c r="AF375" s="15">
        <f>+Tabla5[[#This Row],[Trenes Puntuales]]/Tabla5[[#This Row],[Trenes Corridos]]</f>
        <v>0.89845474613686538</v>
      </c>
      <c r="AG375" s="15">
        <f>+Tabla5[[#This Row],[Trenes Corridos]]/Tabla5[[#This Row],[Trenes Programados]]</f>
        <v>0.96559074299634595</v>
      </c>
      <c r="AH375" s="16">
        <v>126</v>
      </c>
      <c r="AI375" s="16">
        <v>6</v>
      </c>
      <c r="AJ375" s="16">
        <v>3284</v>
      </c>
      <c r="AK375" s="16">
        <f t="shared" si="260"/>
        <v>113</v>
      </c>
      <c r="AL375" s="16">
        <v>3171</v>
      </c>
      <c r="AM375" s="16">
        <v>2849</v>
      </c>
      <c r="AN375" s="16">
        <f t="shared" si="261"/>
        <v>322</v>
      </c>
      <c r="AO375" s="16"/>
      <c r="AQ375" s="18">
        <v>2023</v>
      </c>
      <c r="AR375" s="21" t="s">
        <v>45</v>
      </c>
      <c r="AS375" s="15">
        <f>+Tabla6[[#This Row],[Trenes Puntuales]]/Tabla6[[#This Row],[Trenes Programados]]</f>
        <v>0.98857453754080526</v>
      </c>
      <c r="AT375" s="15">
        <f>+Tabla6[[#This Row],[Trenes Puntuales]]/Tabla6[[#This Row],[Trenes Corridos]]</f>
        <v>0.98965141612200436</v>
      </c>
      <c r="AU375" s="15">
        <f>+Tabla6[[#This Row],[Trenes Corridos]]/Tabla6[[#This Row],[Trenes Programados]]</f>
        <v>0.99891186071817195</v>
      </c>
      <c r="AV375" s="16">
        <v>60</v>
      </c>
      <c r="AW375" s="16">
        <v>6</v>
      </c>
      <c r="AX375" s="16">
        <v>1838</v>
      </c>
      <c r="AY375" s="16">
        <f t="shared" si="253"/>
        <v>2</v>
      </c>
      <c r="AZ375" s="16">
        <v>1836</v>
      </c>
      <c r="BA375" s="16">
        <v>1817</v>
      </c>
      <c r="BB375" s="16">
        <f t="shared" si="262"/>
        <v>19</v>
      </c>
      <c r="BC375" s="16"/>
      <c r="BE375" s="18">
        <v>2023</v>
      </c>
      <c r="BF375" s="21" t="s">
        <v>45</v>
      </c>
      <c r="BG375" s="15"/>
      <c r="BH375" s="15"/>
      <c r="BI375" s="15"/>
      <c r="BJ375" s="16"/>
      <c r="BK375" s="16"/>
      <c r="BL375" s="16"/>
      <c r="BM375" s="16"/>
      <c r="BN375" s="16"/>
      <c r="BO375" s="16"/>
      <c r="BP375" s="16"/>
      <c r="BQ375" s="19" t="s">
        <v>111</v>
      </c>
      <c r="BS375" s="18">
        <v>2023</v>
      </c>
      <c r="BT375" s="21" t="s">
        <v>45</v>
      </c>
      <c r="BU375" s="15">
        <f>+Tabla8[[#This Row],[Trenes Puntuales]]/Tabla8[[#This Row],[Trenes Programados]]</f>
        <v>0.80125899280575541</v>
      </c>
      <c r="BV375" s="15">
        <f>+Tabla8[[#This Row],[Trenes Puntuales]]/Tabla8[[#This Row],[Trenes Corridos]]</f>
        <v>0.82806691449814129</v>
      </c>
      <c r="BW375" s="15">
        <f>+Tabla8[[#This Row],[Trenes Corridos]]/Tabla8[[#This Row],[Trenes Programados]]</f>
        <v>0.96762589928057552</v>
      </c>
      <c r="BX375" s="16">
        <v>40</v>
      </c>
      <c r="BY375" s="16">
        <v>2</v>
      </c>
      <c r="BZ375" s="16">
        <v>1112</v>
      </c>
      <c r="CA375" s="16">
        <f t="shared" si="263"/>
        <v>36</v>
      </c>
      <c r="CB375" s="16">
        <v>1076</v>
      </c>
      <c r="CC375" s="16">
        <v>891</v>
      </c>
      <c r="CD375" s="16">
        <f t="shared" si="264"/>
        <v>185</v>
      </c>
      <c r="CE375" s="278"/>
      <c r="CI375" s="40"/>
      <c r="CJ375" s="277"/>
      <c r="CK375" s="40"/>
      <c r="CL375" s="40"/>
      <c r="CM375" s="40"/>
    </row>
    <row r="376" spans="1:91" s="18" customFormat="1" ht="15" customHeight="1">
      <c r="A376" s="18">
        <v>2023</v>
      </c>
      <c r="B376" s="21" t="s">
        <v>46</v>
      </c>
      <c r="C376" s="169">
        <f>+MITRE[[#This Row],[Trenes Puntuales]]/MITRE[[#This Row],[Trenes Programados]]</f>
        <v>0.90409988488444171</v>
      </c>
      <c r="D376" s="169">
        <f>+MITRE[[#This Row],[Trenes Puntuales]]/MITRE[[#This Row],[Trenes Corridos]]</f>
        <v>0.92523787947439962</v>
      </c>
      <c r="E376" s="169">
        <f>+MITRE[[#This Row],[Trenes Corridos]]/MITRE[[#This Row],[Trenes Programados]]</f>
        <v>0.97715398919684759</v>
      </c>
      <c r="F376" s="171">
        <f>+Tabla4[[#This Row],[Trenes Programados por Día Hábil]]+Tabla5[[#This Row],[Trenes Programados por Día Hábil]]+Tabla6[[#This Row],[Trenes Programados por Día Hábil]]+MIT_Vic_Cap[[#This Row],[Trenes Programados por Día Hábil]]+Tabla8[[#This Row],[Trenes Programados por Día Hábil]]</f>
        <v>388</v>
      </c>
      <c r="G376" s="172">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5.6048935206162209</v>
      </c>
      <c r="H376" s="168">
        <f t="shared" si="254"/>
        <v>11293</v>
      </c>
      <c r="I376" s="168">
        <f t="shared" si="255"/>
        <v>258</v>
      </c>
      <c r="J376" s="168">
        <f t="shared" ref="J376" si="267">+X376+AL376+AZ376+BN376+CB376</f>
        <v>11035</v>
      </c>
      <c r="K376" s="168">
        <f t="shared" ref="K376" si="268">+Y376+AM376+BA376+BO376+CC376</f>
        <v>10210</v>
      </c>
      <c r="L376" s="168">
        <f t="shared" si="257"/>
        <v>825</v>
      </c>
      <c r="M376" s="19" t="s">
        <v>161</v>
      </c>
      <c r="O376" s="167">
        <v>2023</v>
      </c>
      <c r="P376" s="170" t="s">
        <v>46</v>
      </c>
      <c r="Q376" s="44">
        <f>+Tabla4[[#This Row],[Trenes Puntuales]]/Tabla4[[#This Row],[Trenes Programados]]</f>
        <v>0.96715817694369977</v>
      </c>
      <c r="R376" s="44">
        <f>+Tabla4[[#This Row],[Trenes Puntuales]]/Tabla4[[#This Row],[Trenes Corridos]]</f>
        <v>0.97390326209223843</v>
      </c>
      <c r="S376" s="44">
        <f>+Tabla4[[#This Row],[Trenes Corridos]]/Tabla4[[#This Row],[Trenes Programados]]</f>
        <v>0.99307417336907955</v>
      </c>
      <c r="T376" s="16">
        <v>150</v>
      </c>
      <c r="U376" s="16">
        <v>6</v>
      </c>
      <c r="V376" s="16">
        <v>4476</v>
      </c>
      <c r="W376" s="16">
        <f t="shared" si="258"/>
        <v>31</v>
      </c>
      <c r="X376" s="16">
        <v>4445</v>
      </c>
      <c r="Y376" s="16">
        <v>4329</v>
      </c>
      <c r="Z376" s="16">
        <f t="shared" si="259"/>
        <v>116</v>
      </c>
      <c r="AA376" s="16"/>
      <c r="AC376" s="18">
        <v>2023</v>
      </c>
      <c r="AD376" s="21" t="s">
        <v>46</v>
      </c>
      <c r="AE376" s="15">
        <f>+Tabla5[[#This Row],[Trenes Puntuales]]/Tabla5[[#This Row],[Trenes Programados]]</f>
        <v>0.87730061349693256</v>
      </c>
      <c r="AF376" s="15">
        <f>+Tabla5[[#This Row],[Trenes Puntuales]]/Tabla5[[#This Row],[Trenes Corridos]]</f>
        <v>0.90183712640526459</v>
      </c>
      <c r="AG376" s="15">
        <f>+Tabla5[[#This Row],[Trenes Corridos]]/Tabla5[[#This Row],[Trenes Programados]]</f>
        <v>0.97279274473192856</v>
      </c>
      <c r="AH376" s="16">
        <v>126</v>
      </c>
      <c r="AI376" s="16">
        <v>6</v>
      </c>
      <c r="AJ376" s="16">
        <v>3749</v>
      </c>
      <c r="AK376" s="16">
        <f t="shared" si="260"/>
        <v>102</v>
      </c>
      <c r="AL376" s="16">
        <v>3647</v>
      </c>
      <c r="AM376" s="16">
        <v>3289</v>
      </c>
      <c r="AN376" s="16">
        <f t="shared" si="261"/>
        <v>358</v>
      </c>
      <c r="AO376" s="16"/>
      <c r="AQ376" s="18">
        <v>2023</v>
      </c>
      <c r="AR376" s="21" t="s">
        <v>46</v>
      </c>
      <c r="AS376" s="15">
        <f>+Tabla6[[#This Row],[Trenes Puntuales]]/Tabla6[[#This Row],[Trenes Programados]]</f>
        <v>0.9481283422459893</v>
      </c>
      <c r="AT376" s="15">
        <f>+Tabla6[[#This Row],[Trenes Puntuales]]/Tabla6[[#This Row],[Trenes Corridos]]</f>
        <v>0.95682676740420936</v>
      </c>
      <c r="AU376" s="15">
        <f>+Tabla6[[#This Row],[Trenes Corridos]]/Tabla6[[#This Row],[Trenes Programados]]</f>
        <v>0.99090909090909096</v>
      </c>
      <c r="AV376" s="16">
        <v>60</v>
      </c>
      <c r="AW376" s="16">
        <v>6</v>
      </c>
      <c r="AX376" s="16">
        <v>1870</v>
      </c>
      <c r="AY376" s="16">
        <f t="shared" si="253"/>
        <v>17</v>
      </c>
      <c r="AZ376" s="16">
        <v>1853</v>
      </c>
      <c r="BA376" s="16">
        <v>1773</v>
      </c>
      <c r="BB376" s="16">
        <f t="shared" si="262"/>
        <v>80</v>
      </c>
      <c r="BC376" s="19" t="s">
        <v>158</v>
      </c>
      <c r="BE376" s="18">
        <v>2023</v>
      </c>
      <c r="BF376" s="21" t="s">
        <v>46</v>
      </c>
      <c r="BG376" s="15">
        <f>+MIT_Vic_Cap[[#This Row],[Trenes Puntuales]]/MIT_Vic_Cap[[#This Row],[Trenes Programados]]</f>
        <v>0.61333333333333329</v>
      </c>
      <c r="BH376" s="15">
        <f>+MIT_Vic_Cap[[#This Row],[Trenes Puntuales]]/MIT_Vic_Cap[[#This Row],[Trenes Corridos]]</f>
        <v>0.66187050359712229</v>
      </c>
      <c r="BI376" s="15">
        <f>+MIT_Vic_Cap[[#This Row],[Trenes Corridos]]/MIT_Vic_Cap[[#This Row],[Trenes Programados]]</f>
        <v>0.92666666666666664</v>
      </c>
      <c r="BJ376" s="16">
        <v>14</v>
      </c>
      <c r="BK376" s="16">
        <v>2</v>
      </c>
      <c r="BL376" s="16">
        <v>150</v>
      </c>
      <c r="BM376" s="16">
        <f>+MIT_Vic_Cap[[#This Row],[Trenes Programados]]-MIT_Vic_Cap[[#This Row],[Trenes Corridos]]</f>
        <v>11</v>
      </c>
      <c r="BN376" s="16">
        <v>139</v>
      </c>
      <c r="BO376" s="16">
        <v>92</v>
      </c>
      <c r="BP376" s="16">
        <f>+MIT_Vic_Cap[[#This Row],[Trenes Corridos]]-MIT_Vic_Cap[[#This Row],[Trenes Puntuales]]</f>
        <v>47</v>
      </c>
      <c r="BQ376" s="19" t="s">
        <v>160</v>
      </c>
      <c r="BS376" s="18">
        <v>2023</v>
      </c>
      <c r="BT376" s="21" t="s">
        <v>46</v>
      </c>
      <c r="BU376" s="15">
        <f>+Tabla8[[#This Row],[Trenes Puntuales]]/Tabla8[[#This Row],[Trenes Programados]]</f>
        <v>0.69370229007633588</v>
      </c>
      <c r="BV376" s="15">
        <f>+Tabla8[[#This Row],[Trenes Puntuales]]/Tabla8[[#This Row],[Trenes Corridos]]</f>
        <v>0.76445846477392221</v>
      </c>
      <c r="BW376" s="15">
        <f>+Tabla8[[#This Row],[Trenes Corridos]]/Tabla8[[#This Row],[Trenes Programados]]</f>
        <v>0.90744274809160308</v>
      </c>
      <c r="BX376" s="16">
        <v>38</v>
      </c>
      <c r="BY376" s="16">
        <v>2</v>
      </c>
      <c r="BZ376" s="16">
        <v>1048</v>
      </c>
      <c r="CA376" s="16">
        <f t="shared" si="263"/>
        <v>97</v>
      </c>
      <c r="CB376" s="16">
        <v>951</v>
      </c>
      <c r="CC376" s="16">
        <v>727</v>
      </c>
      <c r="CD376" s="16">
        <f t="shared" si="264"/>
        <v>224</v>
      </c>
      <c r="CE376" s="278" t="s">
        <v>226</v>
      </c>
      <c r="CI376" s="40"/>
      <c r="CJ376" s="277"/>
      <c r="CK376" s="40"/>
      <c r="CL376" s="40"/>
      <c r="CM376" s="40"/>
    </row>
    <row r="377" spans="1:91" s="18" customFormat="1" ht="15" customHeight="1">
      <c r="A377" s="18">
        <v>2023</v>
      </c>
      <c r="B377" s="21" t="s">
        <v>47</v>
      </c>
      <c r="C377" s="169">
        <f>+MITRE[[#This Row],[Trenes Puntuales]]/MITRE[[#This Row],[Trenes Programados]]</f>
        <v>0.84712184338066487</v>
      </c>
      <c r="D377" s="169">
        <f>+MITRE[[#This Row],[Trenes Puntuales]]/MITRE[[#This Row],[Trenes Corridos]]</f>
        <v>0.91169472913616401</v>
      </c>
      <c r="E377" s="169">
        <f>+MITRE[[#This Row],[Trenes Corridos]]/MITRE[[#This Row],[Trenes Programados]]</f>
        <v>0.92917268939716013</v>
      </c>
      <c r="F377" s="171">
        <f>+Tabla4[[#This Row],[Trenes Programados por Día Hábil]]+Tabla5[[#This Row],[Trenes Programados por Día Hábil]]+Tabla6[[#This Row],[Trenes Programados por Día Hábil]]+MIT_Vic_Cap[[#This Row],[Trenes Programados por Día Hábil]]+Tabla8[[#This Row],[Trenes Programados por Día Hábil]]</f>
        <v>388</v>
      </c>
      <c r="G377" s="172">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5.5226939970717419</v>
      </c>
      <c r="H377" s="168">
        <f t="shared" si="254"/>
        <v>11761</v>
      </c>
      <c r="I377" s="168">
        <f t="shared" si="255"/>
        <v>833</v>
      </c>
      <c r="J377" s="168">
        <f t="shared" ref="J377:K379" si="269">+X377+AL377+AZ377+BN377+CB377</f>
        <v>10928</v>
      </c>
      <c r="K377" s="168">
        <f t="shared" si="269"/>
        <v>9963</v>
      </c>
      <c r="L377" s="168">
        <f t="shared" si="257"/>
        <v>965</v>
      </c>
      <c r="M377" s="19"/>
      <c r="O377" s="167">
        <v>2023</v>
      </c>
      <c r="P377" s="170" t="s">
        <v>47</v>
      </c>
      <c r="Q377" s="44">
        <f>+Tabla4[[#This Row],[Trenes Puntuales]]/Tabla4[[#This Row],[Trenes Programados]]</f>
        <v>0.91207289293849658</v>
      </c>
      <c r="R377" s="44">
        <f>+Tabla4[[#This Row],[Trenes Puntuales]]/Tabla4[[#This Row],[Trenes Corridos]]</f>
        <v>0.9732620320855615</v>
      </c>
      <c r="S377" s="44">
        <f>+Tabla4[[#This Row],[Trenes Corridos]]/Tabla4[[#This Row],[Trenes Programados]]</f>
        <v>0.93712984054669701</v>
      </c>
      <c r="T377" s="16">
        <v>150</v>
      </c>
      <c r="U377" s="16">
        <v>6</v>
      </c>
      <c r="V377" s="16">
        <v>4390</v>
      </c>
      <c r="W377" s="16">
        <f t="shared" si="258"/>
        <v>276</v>
      </c>
      <c r="X377" s="16">
        <v>4114</v>
      </c>
      <c r="Y377" s="16">
        <v>4004</v>
      </c>
      <c r="Z377" s="16">
        <f t="shared" si="259"/>
        <v>110</v>
      </c>
      <c r="AA377" s="16"/>
      <c r="AC377" s="18">
        <v>2023</v>
      </c>
      <c r="AD377" s="21" t="s">
        <v>47</v>
      </c>
      <c r="AE377" s="15">
        <f>+Tabla5[[#This Row],[Trenes Puntuales]]/Tabla5[[#This Row],[Trenes Programados]]</f>
        <v>0.85934291581108835</v>
      </c>
      <c r="AF377" s="15">
        <f>+Tabla5[[#This Row],[Trenes Puntuales]]/Tabla5[[#This Row],[Trenes Corridos]]</f>
        <v>0.90169674117963916</v>
      </c>
      <c r="AG377" s="15">
        <f>+Tabla5[[#This Row],[Trenes Corridos]]/Tabla5[[#This Row],[Trenes Programados]]</f>
        <v>0.95302874743326493</v>
      </c>
      <c r="AH377" s="16">
        <v>126</v>
      </c>
      <c r="AI377" s="16">
        <v>6</v>
      </c>
      <c r="AJ377" s="16">
        <v>3896</v>
      </c>
      <c r="AK377" s="16">
        <f t="shared" si="260"/>
        <v>183</v>
      </c>
      <c r="AL377" s="16">
        <v>3713</v>
      </c>
      <c r="AM377" s="16">
        <v>3348</v>
      </c>
      <c r="AN377" s="16">
        <f t="shared" si="261"/>
        <v>365</v>
      </c>
      <c r="AO377" s="16"/>
      <c r="AQ377" s="18">
        <v>2023</v>
      </c>
      <c r="AR377" s="21" t="s">
        <v>47</v>
      </c>
      <c r="AS377" s="15">
        <f>+Tabla6[[#This Row],[Trenes Puntuales]]/Tabla6[[#This Row],[Trenes Programados]]</f>
        <v>0.86811520970186962</v>
      </c>
      <c r="AT377" s="15">
        <f>+Tabla6[[#This Row],[Trenes Puntuales]]/Tabla6[[#This Row],[Trenes Corridos]]</f>
        <v>0.95603784084585419</v>
      </c>
      <c r="AU377" s="15">
        <f>+Tabla6[[#This Row],[Trenes Corridos]]/Tabla6[[#This Row],[Trenes Programados]]</f>
        <v>0.90803436078827693</v>
      </c>
      <c r="AV377" s="16">
        <v>60</v>
      </c>
      <c r="AW377" s="16">
        <v>6</v>
      </c>
      <c r="AX377" s="16">
        <v>1979</v>
      </c>
      <c r="AY377" s="16">
        <f t="shared" si="253"/>
        <v>182</v>
      </c>
      <c r="AZ377" s="16">
        <v>1797</v>
      </c>
      <c r="BA377" s="16">
        <v>1718</v>
      </c>
      <c r="BB377" s="16">
        <f t="shared" si="262"/>
        <v>79</v>
      </c>
      <c r="BC377" s="19"/>
      <c r="BE377" s="18">
        <v>2023</v>
      </c>
      <c r="BF377" s="21" t="s">
        <v>47</v>
      </c>
      <c r="BG377" s="15">
        <f>+MIT_Vic_Cap[[#This Row],[Trenes Puntuales]]/MIT_Vic_Cap[[#This Row],[Trenes Programados]]</f>
        <v>0.44303797468354428</v>
      </c>
      <c r="BH377" s="15">
        <f>+MIT_Vic_Cap[[#This Row],[Trenes Puntuales]]/MIT_Vic_Cap[[#This Row],[Trenes Corridos]]</f>
        <v>0.57377049180327866</v>
      </c>
      <c r="BI377" s="15">
        <f>+MIT_Vic_Cap[[#This Row],[Trenes Corridos]]/MIT_Vic_Cap[[#This Row],[Trenes Programados]]</f>
        <v>0.77215189873417722</v>
      </c>
      <c r="BJ377" s="16">
        <v>14</v>
      </c>
      <c r="BK377" s="16">
        <v>2</v>
      </c>
      <c r="BL377" s="16">
        <v>474</v>
      </c>
      <c r="BM377" s="16">
        <f>+MIT_Vic_Cap[[#This Row],[Trenes Programados]]-MIT_Vic_Cap[[#This Row],[Trenes Corridos]]</f>
        <v>108</v>
      </c>
      <c r="BN377" s="16">
        <v>366</v>
      </c>
      <c r="BO377" s="16">
        <v>210</v>
      </c>
      <c r="BP377" s="16">
        <f>+MIT_Vic_Cap[[#This Row],[Trenes Corridos]]-MIT_Vic_Cap[[#This Row],[Trenes Puntuales]]</f>
        <v>156</v>
      </c>
      <c r="BQ377" s="19"/>
      <c r="BS377" s="18">
        <v>2023</v>
      </c>
      <c r="BT377" s="21" t="s">
        <v>47</v>
      </c>
      <c r="BU377" s="15">
        <f>+Tabla8[[#This Row],[Trenes Puntuales]]/Tabla8[[#This Row],[Trenes Programados]]</f>
        <v>0.66829745596868884</v>
      </c>
      <c r="BV377" s="15">
        <f>+Tabla8[[#This Row],[Trenes Puntuales]]/Tabla8[[#This Row],[Trenes Corridos]]</f>
        <v>0.72814498933901917</v>
      </c>
      <c r="BW377" s="15">
        <f>+Tabla8[[#This Row],[Trenes Corridos]]/Tabla8[[#This Row],[Trenes Programados]]</f>
        <v>0.9178082191780822</v>
      </c>
      <c r="BX377" s="16">
        <v>38</v>
      </c>
      <c r="BY377" s="16">
        <v>2</v>
      </c>
      <c r="BZ377" s="16">
        <v>1022</v>
      </c>
      <c r="CA377" s="16">
        <f t="shared" si="263"/>
        <v>84</v>
      </c>
      <c r="CB377" s="16">
        <v>938</v>
      </c>
      <c r="CC377" s="16">
        <v>683</v>
      </c>
      <c r="CD377" s="16">
        <f t="shared" si="264"/>
        <v>255</v>
      </c>
      <c r="CE377" s="278"/>
      <c r="CI377" s="40"/>
      <c r="CJ377" s="277"/>
      <c r="CK377" s="40"/>
      <c r="CL377" s="40"/>
      <c r="CM377" s="40"/>
    </row>
    <row r="378" spans="1:91" s="18" customFormat="1" ht="15" customHeight="1">
      <c r="A378" s="18">
        <v>2024</v>
      </c>
      <c r="B378" s="21" t="s">
        <v>36</v>
      </c>
      <c r="C378" s="169">
        <f>+MITRE[[#This Row],[Trenes Puntuales]]/MITRE[[#This Row],[Trenes Programados]]</f>
        <v>0.89549268967903795</v>
      </c>
      <c r="D378" s="169">
        <f>+MITRE[[#This Row],[Trenes Puntuales]]/MITRE[[#This Row],[Trenes Corridos]]</f>
        <v>0.92560135920593756</v>
      </c>
      <c r="E378" s="169">
        <f>+MITRE[[#This Row],[Trenes Corridos]]/MITRE[[#This Row],[Trenes Programados]]</f>
        <v>0.96747123453585948</v>
      </c>
      <c r="F378" s="171">
        <f>+Tabla4[[#This Row],[Trenes Programados por Día Hábil]]+Tabla5[[#This Row],[Trenes Programados por Día Hábil]]+Tabla6[[#This Row],[Trenes Programados por Día Hábil]]+MIT_Vic_Cap[[#This Row],[Trenes Programados por Día Hábil]]+Tabla8[[#This Row],[Trenes Programados por Día Hábil]]</f>
        <v>396</v>
      </c>
      <c r="G378" s="172">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5.4598944826969511</v>
      </c>
      <c r="H378" s="168">
        <f t="shared" ref="H378:H383" si="270">+V378+AJ378+AX378+BL378+BZ378</f>
        <v>11559</v>
      </c>
      <c r="I378" s="168">
        <f t="shared" ref="I378:I384" si="271">H378-J378</f>
        <v>376</v>
      </c>
      <c r="J378" s="168">
        <f t="shared" si="269"/>
        <v>11183</v>
      </c>
      <c r="K378" s="168">
        <f t="shared" si="269"/>
        <v>10351</v>
      </c>
      <c r="L378" s="168">
        <f t="shared" ref="L378:L383" si="272">J378-K378</f>
        <v>832</v>
      </c>
      <c r="M378" s="19"/>
      <c r="O378" s="167">
        <v>2024</v>
      </c>
      <c r="P378" s="170" t="s">
        <v>36</v>
      </c>
      <c r="Q378" s="44">
        <f>+Tabla4[[#This Row],[Trenes Puntuales]]/Tabla4[[#This Row],[Trenes Programados]]</f>
        <v>0.94888565891472865</v>
      </c>
      <c r="R378" s="44">
        <f>+Tabla4[[#This Row],[Trenes Puntuales]]/Tabla4[[#This Row],[Trenes Corridos]]</f>
        <v>0.96501601379650159</v>
      </c>
      <c r="S378" s="44">
        <f>+Tabla4[[#This Row],[Trenes Corridos]]/Tabla4[[#This Row],[Trenes Programados]]</f>
        <v>0.98328488372093026</v>
      </c>
      <c r="T378" s="16">
        <v>140</v>
      </c>
      <c r="U378" s="16">
        <v>6</v>
      </c>
      <c r="V378" s="16">
        <v>4128</v>
      </c>
      <c r="W378" s="16">
        <f t="shared" si="258"/>
        <v>69</v>
      </c>
      <c r="X378" s="16">
        <v>4059</v>
      </c>
      <c r="Y378" s="16">
        <v>3917</v>
      </c>
      <c r="Z378" s="16">
        <f t="shared" ref="Z378:Z383" si="273">+X378-Y378</f>
        <v>142</v>
      </c>
      <c r="AA378" s="150" t="s">
        <v>178</v>
      </c>
      <c r="AC378" s="18">
        <v>2024</v>
      </c>
      <c r="AD378" s="21" t="s">
        <v>36</v>
      </c>
      <c r="AE378" s="15">
        <f>+Tabla5[[#This Row],[Trenes Puntuales]]/Tabla5[[#This Row],[Trenes Programados]]</f>
        <v>0.90882431351639559</v>
      </c>
      <c r="AF378" s="15">
        <f>+Tabla5[[#This Row],[Trenes Puntuales]]/Tabla5[[#This Row],[Trenes Corridos]]</f>
        <v>0.92711449551264613</v>
      </c>
      <c r="AG378" s="15">
        <f>+Tabla5[[#This Row],[Trenes Corridos]]/Tabla5[[#This Row],[Trenes Programados]]</f>
        <v>0.98027192748600378</v>
      </c>
      <c r="AH378" s="16">
        <v>123</v>
      </c>
      <c r="AI378" s="16">
        <v>6</v>
      </c>
      <c r="AJ378" s="16">
        <v>3751</v>
      </c>
      <c r="AK378" s="16">
        <f t="shared" si="260"/>
        <v>74</v>
      </c>
      <c r="AL378" s="16">
        <v>3677</v>
      </c>
      <c r="AM378" s="16">
        <v>3409</v>
      </c>
      <c r="AN378" s="16">
        <f t="shared" ref="AN378:AN383" si="274">+AL378-AM378</f>
        <v>268</v>
      </c>
      <c r="AO378" s="150" t="s">
        <v>178</v>
      </c>
      <c r="AQ378" s="18">
        <v>2024</v>
      </c>
      <c r="AR378" s="21" t="s">
        <v>36</v>
      </c>
      <c r="AS378" s="15">
        <f>+Tabla6[[#This Row],[Trenes Puntuales]]/Tabla6[[#This Row],[Trenes Programados]]</f>
        <v>0.93987975951903813</v>
      </c>
      <c r="AT378" s="15">
        <f>+Tabla6[[#This Row],[Trenes Puntuales]]/Tabla6[[#This Row],[Trenes Corridos]]</f>
        <v>0.96850800206504906</v>
      </c>
      <c r="AU378" s="15">
        <f>+Tabla6[[#This Row],[Trenes Corridos]]/Tabla6[[#This Row],[Trenes Programados]]</f>
        <v>0.97044088176352705</v>
      </c>
      <c r="AV378" s="16">
        <v>67</v>
      </c>
      <c r="AW378" s="16">
        <v>6</v>
      </c>
      <c r="AX378" s="16">
        <v>1996</v>
      </c>
      <c r="AY378" s="16">
        <f t="shared" si="253"/>
        <v>59</v>
      </c>
      <c r="AZ378" s="16">
        <v>1937</v>
      </c>
      <c r="BA378" s="16">
        <v>1876</v>
      </c>
      <c r="BB378" s="16">
        <f t="shared" ref="BB378:BB383" si="275">+AZ378-BA378</f>
        <v>61</v>
      </c>
      <c r="BC378" s="150" t="s">
        <v>178</v>
      </c>
      <c r="BE378" s="18">
        <v>2024</v>
      </c>
      <c r="BF378" s="21" t="s">
        <v>36</v>
      </c>
      <c r="BG378" s="15">
        <f>+MIT_Vic_Cap[[#This Row],[Trenes Puntuales]]/MIT_Vic_Cap[[#This Row],[Trenes Programados]]</f>
        <v>0.69741100323624594</v>
      </c>
      <c r="BH378" s="15">
        <f>+MIT_Vic_Cap[[#This Row],[Trenes Puntuales]]/MIT_Vic_Cap[[#This Row],[Trenes Corridos]]</f>
        <v>0.77797833935018046</v>
      </c>
      <c r="BI378" s="15">
        <f>+MIT_Vic_Cap[[#This Row],[Trenes Corridos]]/MIT_Vic_Cap[[#This Row],[Trenes Programados]]</f>
        <v>0.8964401294498382</v>
      </c>
      <c r="BJ378" s="16">
        <v>28</v>
      </c>
      <c r="BK378" s="16">
        <v>2</v>
      </c>
      <c r="BL378" s="16">
        <v>618</v>
      </c>
      <c r="BM378" s="16">
        <f>+MIT_Vic_Cap[[#This Row],[Trenes Programados]]-MIT_Vic_Cap[[#This Row],[Trenes Corridos]]</f>
        <v>64</v>
      </c>
      <c r="BN378" s="16">
        <v>554</v>
      </c>
      <c r="BO378" s="16">
        <v>431</v>
      </c>
      <c r="BP378" s="16">
        <f>+MIT_Vic_Cap[[#This Row],[Trenes Corridos]]-MIT_Vic_Cap[[#This Row],[Trenes Puntuales]]</f>
        <v>123</v>
      </c>
      <c r="BQ378" s="19"/>
      <c r="BS378" s="18">
        <v>2024</v>
      </c>
      <c r="BT378" s="21" t="s">
        <v>36</v>
      </c>
      <c r="BU378" s="15">
        <f>+Tabla8[[#This Row],[Trenes Puntuales]]/Tabla8[[#This Row],[Trenes Programados]]</f>
        <v>0.67354596622889307</v>
      </c>
      <c r="BV378" s="15">
        <f>+Tabla8[[#This Row],[Trenes Puntuales]]/Tabla8[[#This Row],[Trenes Corridos]]</f>
        <v>0.7510460251046025</v>
      </c>
      <c r="BW378" s="15">
        <f>+Tabla8[[#This Row],[Trenes Corridos]]/Tabla8[[#This Row],[Trenes Programados]]</f>
        <v>0.8968105065666041</v>
      </c>
      <c r="BX378" s="16">
        <v>38</v>
      </c>
      <c r="BY378" s="16">
        <v>2</v>
      </c>
      <c r="BZ378" s="16">
        <v>1066</v>
      </c>
      <c r="CA378" s="16">
        <f t="shared" si="263"/>
        <v>110</v>
      </c>
      <c r="CB378" s="16">
        <v>956</v>
      </c>
      <c r="CC378" s="16">
        <v>718</v>
      </c>
      <c r="CD378" s="16">
        <f t="shared" ref="CD378:CD383" si="276">+CB378-CC378</f>
        <v>238</v>
      </c>
      <c r="CE378" s="278"/>
      <c r="CI378" s="40"/>
      <c r="CJ378" s="277"/>
      <c r="CK378" s="40"/>
      <c r="CL378" s="40"/>
      <c r="CM378" s="40"/>
    </row>
    <row r="379" spans="1:91" s="18" customFormat="1" ht="15" customHeight="1">
      <c r="A379" s="18">
        <v>2024</v>
      </c>
      <c r="B379" s="21" t="s">
        <v>37</v>
      </c>
      <c r="C379" s="208">
        <f>+MITRE[[#This Row],[Trenes Puntuales]]/MITRE[[#This Row],[Trenes Programados]]</f>
        <v>0.84782608695652173</v>
      </c>
      <c r="D379" s="208">
        <f>+MITRE[[#This Row],[Trenes Puntuales]]/MITRE[[#This Row],[Trenes Corridos]]</f>
        <v>0.91364639142767101</v>
      </c>
      <c r="E379" s="208">
        <f>+MITRE[[#This Row],[Trenes Corridos]]/MITRE[[#This Row],[Trenes Programados]]</f>
        <v>0.92795866640670699</v>
      </c>
      <c r="F379" s="209">
        <f>+Tabla4[[#This Row],[Trenes Programados por Día Hábil]]+Tabla5[[#This Row],[Trenes Programados por Día Hábil]]+Tabla6[[#This Row],[Trenes Programados por Día Hábil]]+MIT_Vic_Cap[[#This Row],[Trenes Programados por Día Hábil]]+Tabla8[[#This Row],[Trenes Programados por Día Hábil]]</f>
        <v>396</v>
      </c>
      <c r="G379"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5.4163252442483456</v>
      </c>
      <c r="H379" s="217">
        <f t="shared" si="270"/>
        <v>10258</v>
      </c>
      <c r="I379" s="217">
        <f t="shared" si="271"/>
        <v>739</v>
      </c>
      <c r="J379" s="217">
        <f t="shared" si="269"/>
        <v>9519</v>
      </c>
      <c r="K379" s="217">
        <f t="shared" si="269"/>
        <v>8697</v>
      </c>
      <c r="L379" s="217">
        <f t="shared" si="272"/>
        <v>822</v>
      </c>
      <c r="M379" s="217"/>
      <c r="O379" s="18">
        <v>2024</v>
      </c>
      <c r="P379" s="21" t="s">
        <v>37</v>
      </c>
      <c r="Q379" s="44">
        <f>+Tabla4[[#This Row],[Trenes Puntuales]]/Tabla4[[#This Row],[Trenes Programados]]</f>
        <v>0.8517067711247901</v>
      </c>
      <c r="R379" s="44">
        <f>+Tabla4[[#This Row],[Trenes Puntuales]]/Tabla4[[#This Row],[Trenes Corridos]]</f>
        <v>0.93863706444650019</v>
      </c>
      <c r="S379" s="44">
        <f>+Tabla4[[#This Row],[Trenes Corridos]]/Tabla4[[#This Row],[Trenes Programados]]</f>
        <v>0.90738668158925573</v>
      </c>
      <c r="T379" s="16">
        <v>140</v>
      </c>
      <c r="U379" s="16">
        <v>6</v>
      </c>
      <c r="V379" s="16">
        <v>3574</v>
      </c>
      <c r="W379" s="16">
        <f t="shared" si="258"/>
        <v>331</v>
      </c>
      <c r="X379" s="16">
        <v>3243</v>
      </c>
      <c r="Y379" s="16">
        <v>3044</v>
      </c>
      <c r="Z379" s="16">
        <f t="shared" si="273"/>
        <v>199</v>
      </c>
      <c r="AA379" s="217"/>
      <c r="AC379" s="18">
        <v>2024</v>
      </c>
      <c r="AD379" s="21" t="s">
        <v>37</v>
      </c>
      <c r="AE379" s="218">
        <f>+Tabla5[[#This Row],[Trenes Puntuales]]/Tabla5[[#This Row],[Trenes Programados]]</f>
        <v>0.87929975429975427</v>
      </c>
      <c r="AF379" s="218">
        <f>+Tabla5[[#This Row],[Trenes Puntuales]]/Tabla5[[#This Row],[Trenes Corridos]]</f>
        <v>0.92593790426908151</v>
      </c>
      <c r="AG379" s="218">
        <f>+Tabla5[[#This Row],[Trenes Corridos]]/Tabla5[[#This Row],[Trenes Programados]]</f>
        <v>0.94963144963144963</v>
      </c>
      <c r="AH379" s="217">
        <v>123</v>
      </c>
      <c r="AI379" s="217">
        <v>6</v>
      </c>
      <c r="AJ379" s="217">
        <v>3256</v>
      </c>
      <c r="AK379" s="16">
        <f t="shared" si="260"/>
        <v>164</v>
      </c>
      <c r="AL379" s="217">
        <v>3092</v>
      </c>
      <c r="AM379" s="217">
        <v>2863</v>
      </c>
      <c r="AN379" s="217">
        <f t="shared" si="274"/>
        <v>229</v>
      </c>
      <c r="AO379" s="217"/>
      <c r="AQ379" s="18">
        <v>2024</v>
      </c>
      <c r="AR379" s="21" t="s">
        <v>37</v>
      </c>
      <c r="AS379" s="218">
        <f>+Tabla6[[#This Row],[Trenes Puntuales]]/Tabla6[[#This Row],[Trenes Programados]]</f>
        <v>0.93223052294557096</v>
      </c>
      <c r="AT379" s="218">
        <f>+Tabla6[[#This Row],[Trenes Puntuales]]/Tabla6[[#This Row],[Trenes Corridos]]</f>
        <v>0.97325905292479109</v>
      </c>
      <c r="AU379" s="218">
        <f>+Tabla6[[#This Row],[Trenes Corridos]]/Tabla6[[#This Row],[Trenes Programados]]</f>
        <v>0.9578441835645678</v>
      </c>
      <c r="AV379" s="217">
        <v>67</v>
      </c>
      <c r="AW379" s="217">
        <v>6</v>
      </c>
      <c r="AX379" s="217">
        <v>1874</v>
      </c>
      <c r="AY379" s="16">
        <f t="shared" si="253"/>
        <v>79</v>
      </c>
      <c r="AZ379" s="217">
        <v>1795</v>
      </c>
      <c r="BA379" s="217">
        <v>1747</v>
      </c>
      <c r="BB379" s="217">
        <f t="shared" si="275"/>
        <v>48</v>
      </c>
      <c r="BC379" s="217"/>
      <c r="BE379" s="18">
        <v>2024</v>
      </c>
      <c r="BF379" s="21" t="s">
        <v>37</v>
      </c>
      <c r="BG379" s="218">
        <f>+MIT_Vic_Cap[[#This Row],[Trenes Puntuales]]/MIT_Vic_Cap[[#This Row],[Trenes Programados]]</f>
        <v>0.78965517241379313</v>
      </c>
      <c r="BH379" s="218">
        <f>+MIT_Vic_Cap[[#This Row],[Trenes Puntuales]]/MIT_Vic_Cap[[#This Row],[Trenes Corridos]]</f>
        <v>0.8481481481481481</v>
      </c>
      <c r="BI379" s="218">
        <f>+MIT_Vic_Cap[[#This Row],[Trenes Corridos]]/MIT_Vic_Cap[[#This Row],[Trenes Programados]]</f>
        <v>0.93103448275862066</v>
      </c>
      <c r="BJ379" s="217">
        <v>28</v>
      </c>
      <c r="BK379" s="217">
        <v>2</v>
      </c>
      <c r="BL379" s="217">
        <v>580</v>
      </c>
      <c r="BM379" s="16">
        <f>+MIT_Vic_Cap[[#This Row],[Trenes Programados]]-MIT_Vic_Cap[[#This Row],[Trenes Corridos]]</f>
        <v>40</v>
      </c>
      <c r="BN379" s="217">
        <v>540</v>
      </c>
      <c r="BO379" s="217">
        <v>458</v>
      </c>
      <c r="BP379" s="16">
        <f>+MIT_Vic_Cap[[#This Row],[Trenes Corridos]]-MIT_Vic_Cap[[#This Row],[Trenes Puntuales]]</f>
        <v>82</v>
      </c>
      <c r="BQ379" s="217"/>
      <c r="BS379" s="18">
        <v>2024</v>
      </c>
      <c r="BT379" s="21" t="s">
        <v>37</v>
      </c>
      <c r="BU379" s="218">
        <f>+Tabla8[[#This Row],[Trenes Puntuales]]/Tabla8[[#This Row],[Trenes Programados]]</f>
        <v>0.60061601642710472</v>
      </c>
      <c r="BV379" s="218">
        <f>+Tabla8[[#This Row],[Trenes Puntuales]]/Tabla8[[#This Row],[Trenes Corridos]]</f>
        <v>0.68904593639575973</v>
      </c>
      <c r="BW379" s="218">
        <f>+Tabla8[[#This Row],[Trenes Corridos]]/Tabla8[[#This Row],[Trenes Programados]]</f>
        <v>0.87166324435318276</v>
      </c>
      <c r="BX379" s="217">
        <v>38</v>
      </c>
      <c r="BY379" s="217">
        <v>2</v>
      </c>
      <c r="BZ379" s="217">
        <v>974</v>
      </c>
      <c r="CA379" s="16">
        <f t="shared" si="263"/>
        <v>125</v>
      </c>
      <c r="CB379" s="217">
        <v>849</v>
      </c>
      <c r="CC379" s="217">
        <v>585</v>
      </c>
      <c r="CD379" s="217">
        <f t="shared" si="276"/>
        <v>264</v>
      </c>
      <c r="CE379" s="282"/>
      <c r="CI379" s="40"/>
      <c r="CJ379" s="277"/>
      <c r="CK379" s="40"/>
      <c r="CL379" s="40"/>
      <c r="CM379" s="40"/>
    </row>
    <row r="380" spans="1:91" s="18" customFormat="1" ht="15" customHeight="1">
      <c r="A380" s="18">
        <v>2024</v>
      </c>
      <c r="B380" s="21" t="s">
        <v>38</v>
      </c>
      <c r="C380" s="208">
        <f>+MITRE[[#This Row],[Trenes Puntuales]]/MITRE[[#This Row],[Trenes Programados]]</f>
        <v>0.69461850350165866</v>
      </c>
      <c r="D380" s="208">
        <f>+MITRE[[#This Row],[Trenes Puntuales]]/MITRE[[#This Row],[Trenes Corridos]]</f>
        <v>0.73822348447752428</v>
      </c>
      <c r="E380" s="208">
        <f>+MITRE[[#This Row],[Trenes Corridos]]/MITRE[[#This Row],[Trenes Programados]]</f>
        <v>0.94093254699594542</v>
      </c>
      <c r="F380" s="209">
        <f>+Tabla4[[#This Row],[Trenes Programados por Día Hábil]]+Tabla5[[#This Row],[Trenes Programados por Día Hábil]]+Tabla6[[#This Row],[Trenes Programados por Día Hábil]]+MIT_Vic_Cap[[#This Row],[Trenes Programados por Día Hábil]]+Tabla8[[#This Row],[Trenes Programados por Día Hábil]]</f>
        <v>396</v>
      </c>
      <c r="G380"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5.4464792870433847</v>
      </c>
      <c r="H380" s="217">
        <f t="shared" si="270"/>
        <v>10852</v>
      </c>
      <c r="I380" s="217">
        <f t="shared" si="271"/>
        <v>641</v>
      </c>
      <c r="J380" s="217">
        <f t="shared" ref="J380" si="277">+X380+AL380+AZ380+BN380+CB380</f>
        <v>10211</v>
      </c>
      <c r="K380" s="217">
        <f t="shared" ref="K380" si="278">+Y380+AM380+BA380+BO380+CC380</f>
        <v>7538</v>
      </c>
      <c r="L380" s="217">
        <f t="shared" si="272"/>
        <v>2673</v>
      </c>
      <c r="M380" s="217"/>
      <c r="O380" s="18">
        <v>2024</v>
      </c>
      <c r="P380" s="21" t="s">
        <v>38</v>
      </c>
      <c r="Q380" s="44">
        <f>+Tabla4[[#This Row],[Trenes Puntuales]]/Tabla4[[#This Row],[Trenes Programados]]</f>
        <v>0.51009564293304999</v>
      </c>
      <c r="R380" s="44">
        <f>+Tabla4[[#This Row],[Trenes Puntuales]]/Tabla4[[#This Row],[Trenes Corridos]]</f>
        <v>0.53872053872053871</v>
      </c>
      <c r="S380" s="44">
        <f>+Tabla4[[#This Row],[Trenes Corridos]]/Tabla4[[#This Row],[Trenes Programados]]</f>
        <v>0.94686503719447401</v>
      </c>
      <c r="T380" s="16">
        <v>140</v>
      </c>
      <c r="U380" s="16">
        <v>6</v>
      </c>
      <c r="V380" s="16">
        <v>3764</v>
      </c>
      <c r="W380" s="16">
        <f t="shared" si="258"/>
        <v>200</v>
      </c>
      <c r="X380" s="16">
        <v>3564</v>
      </c>
      <c r="Y380" s="16">
        <v>1920</v>
      </c>
      <c r="Z380" s="16">
        <f t="shared" si="273"/>
        <v>1644</v>
      </c>
      <c r="AA380" s="217"/>
      <c r="AC380" s="18">
        <v>2024</v>
      </c>
      <c r="AD380" s="21" t="s">
        <v>38</v>
      </c>
      <c r="AE380" s="218">
        <f>+Tabla5[[#This Row],[Trenes Puntuales]]/Tabla5[[#This Row],[Trenes Programados]]</f>
        <v>0.8489522700814901</v>
      </c>
      <c r="AF380" s="218">
        <f>+Tabla5[[#This Row],[Trenes Puntuales]]/Tabla5[[#This Row],[Trenes Corridos]]</f>
        <v>0.87887918047604696</v>
      </c>
      <c r="AG380" s="218">
        <f>+Tabla5[[#This Row],[Trenes Corridos]]/Tabla5[[#This Row],[Trenes Programados]]</f>
        <v>0.96594877764842846</v>
      </c>
      <c r="AH380" s="217">
        <v>123</v>
      </c>
      <c r="AI380" s="217">
        <v>6</v>
      </c>
      <c r="AJ380" s="217">
        <v>3436</v>
      </c>
      <c r="AK380" s="16">
        <f t="shared" si="260"/>
        <v>117</v>
      </c>
      <c r="AL380" s="217">
        <v>3319</v>
      </c>
      <c r="AM380" s="217">
        <v>2917</v>
      </c>
      <c r="AN380" s="217">
        <f t="shared" si="274"/>
        <v>402</v>
      </c>
      <c r="AO380" s="217"/>
      <c r="AQ380" s="18">
        <v>2024</v>
      </c>
      <c r="AR380" s="21" t="s">
        <v>38</v>
      </c>
      <c r="AS380" s="218">
        <f>+Tabla6[[#This Row],[Trenes Puntuales]]/Tabla6[[#This Row],[Trenes Programados]]</f>
        <v>0.90290290290290287</v>
      </c>
      <c r="AT380" s="218">
        <f>+Tabla6[[#This Row],[Trenes Puntuales]]/Tabla6[[#This Row],[Trenes Corridos]]</f>
        <v>0.9420365535248042</v>
      </c>
      <c r="AU380" s="218">
        <f>+Tabla6[[#This Row],[Trenes Corridos]]/Tabla6[[#This Row],[Trenes Programados]]</f>
        <v>0.95845845845845845</v>
      </c>
      <c r="AV380" s="217">
        <v>67</v>
      </c>
      <c r="AW380" s="217">
        <v>6</v>
      </c>
      <c r="AX380" s="217">
        <v>1998</v>
      </c>
      <c r="AY380" s="16">
        <f t="shared" si="253"/>
        <v>83</v>
      </c>
      <c r="AZ380" s="217">
        <v>1915</v>
      </c>
      <c r="BA380" s="217">
        <v>1804</v>
      </c>
      <c r="BB380" s="217">
        <f t="shared" si="275"/>
        <v>111</v>
      </c>
      <c r="BC380" s="217"/>
      <c r="BE380" s="18">
        <v>2024</v>
      </c>
      <c r="BF380" s="21" t="s">
        <v>38</v>
      </c>
      <c r="BG380" s="218">
        <f>+MIT_Vic_Cap[[#This Row],[Trenes Puntuales]]/MIT_Vic_Cap[[#This Row],[Trenes Programados]]</f>
        <v>0.61612903225806448</v>
      </c>
      <c r="BH380" s="218">
        <f>+MIT_Vic_Cap[[#This Row],[Trenes Puntuales]]/MIT_Vic_Cap[[#This Row],[Trenes Corridos]]</f>
        <v>0.7034990791896869</v>
      </c>
      <c r="BI380" s="218">
        <f>+MIT_Vic_Cap[[#This Row],[Trenes Corridos]]/MIT_Vic_Cap[[#This Row],[Trenes Programados]]</f>
        <v>0.87580645161290327</v>
      </c>
      <c r="BJ380" s="217">
        <v>28</v>
      </c>
      <c r="BK380" s="217">
        <v>2</v>
      </c>
      <c r="BL380" s="217">
        <v>620</v>
      </c>
      <c r="BM380" s="16">
        <f>+MIT_Vic_Cap[[#This Row],[Trenes Programados]]-MIT_Vic_Cap[[#This Row],[Trenes Corridos]]</f>
        <v>77</v>
      </c>
      <c r="BN380" s="217">
        <v>543</v>
      </c>
      <c r="BO380" s="217">
        <v>382</v>
      </c>
      <c r="BP380" s="16">
        <f>+MIT_Vic_Cap[[#This Row],[Trenes Corridos]]-MIT_Vic_Cap[[#This Row],[Trenes Puntuales]]</f>
        <v>161</v>
      </c>
      <c r="BQ380" s="217"/>
      <c r="BS380" s="18">
        <v>2024</v>
      </c>
      <c r="BT380" s="21" t="s">
        <v>38</v>
      </c>
      <c r="BU380" s="218">
        <f>+Tabla8[[#This Row],[Trenes Puntuales]]/Tabla8[[#This Row],[Trenes Programados]]</f>
        <v>0.49806576402321084</v>
      </c>
      <c r="BV380" s="218">
        <f>+Tabla8[[#This Row],[Trenes Puntuales]]/Tabla8[[#This Row],[Trenes Corridos]]</f>
        <v>0.59195402298850575</v>
      </c>
      <c r="BW380" s="218">
        <f>+Tabla8[[#This Row],[Trenes Corridos]]/Tabla8[[#This Row],[Trenes Programados]]</f>
        <v>0.84139264990328821</v>
      </c>
      <c r="BX380" s="217">
        <v>38</v>
      </c>
      <c r="BY380" s="217">
        <v>2</v>
      </c>
      <c r="BZ380" s="217">
        <v>1034</v>
      </c>
      <c r="CA380" s="16">
        <f t="shared" si="263"/>
        <v>164</v>
      </c>
      <c r="CB380" s="217">
        <v>870</v>
      </c>
      <c r="CC380" s="217">
        <v>515</v>
      </c>
      <c r="CD380" s="217">
        <f t="shared" si="276"/>
        <v>355</v>
      </c>
      <c r="CE380" s="282"/>
      <c r="CI380" s="40"/>
      <c r="CJ380" s="277"/>
      <c r="CK380" s="40"/>
      <c r="CL380" s="40"/>
      <c r="CM380" s="40"/>
    </row>
    <row r="381" spans="1:91" s="18" customFormat="1" ht="15" customHeight="1">
      <c r="A381" s="18">
        <v>2024</v>
      </c>
      <c r="B381" s="21" t="s">
        <v>39</v>
      </c>
      <c r="C381" s="208">
        <f>+MITRE[[#This Row],[Trenes Puntuales]]/MITRE[[#This Row],[Trenes Programados]]</f>
        <v>0.44977469019902366</v>
      </c>
      <c r="D381" s="208">
        <f>+MITRE[[#This Row],[Trenes Puntuales]]/MITRE[[#This Row],[Trenes Corridos]]</f>
        <v>0.52400743738379085</v>
      </c>
      <c r="E381" s="208">
        <f>+MITRE[[#This Row],[Trenes Corridos]]/MITRE[[#This Row],[Trenes Programados]]</f>
        <v>0.85833646263612462</v>
      </c>
      <c r="F381" s="209">
        <f>+Tabla4[[#This Row],[Trenes Programados por Día Hábil]]+Tabla5[[#This Row],[Trenes Programados por Día Hábil]]+Tabla6[[#This Row],[Trenes Programados por Día Hábil]]+MIT_Vic_Cap[[#This Row],[Trenes Programados por Día Hábil]]+Tabla8[[#This Row],[Trenes Programados por Día Hábil]]</f>
        <v>396</v>
      </c>
      <c r="G381"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5.5590068905173355</v>
      </c>
      <c r="H381" s="217">
        <f t="shared" si="270"/>
        <v>10652</v>
      </c>
      <c r="I381" s="217">
        <f t="shared" si="271"/>
        <v>1509</v>
      </c>
      <c r="J381" s="217">
        <f t="shared" ref="J381" si="279">+X381+AL381+AZ381+BN381+CB381</f>
        <v>9143</v>
      </c>
      <c r="K381" s="217">
        <f t="shared" ref="K381" si="280">+Y381+AM381+BA381+BO381+CC381</f>
        <v>4791</v>
      </c>
      <c r="L381" s="217">
        <f t="shared" si="272"/>
        <v>4352</v>
      </c>
      <c r="M381" s="217"/>
      <c r="O381" s="18">
        <v>2024</v>
      </c>
      <c r="P381" s="21" t="s">
        <v>39</v>
      </c>
      <c r="Q381" s="44">
        <f>+Tabla4[[#This Row],[Trenes Puntuales]]/Tabla4[[#This Row],[Trenes Programados]]</f>
        <v>4.2204301075268819E-2</v>
      </c>
      <c r="R381" s="44">
        <f>+Tabla4[[#This Row],[Trenes Puntuales]]/Tabla4[[#This Row],[Trenes Corridos]]</f>
        <v>4.767689037351959E-2</v>
      </c>
      <c r="S381" s="44">
        <f>+Tabla4[[#This Row],[Trenes Corridos]]/Tabla4[[#This Row],[Trenes Programados]]</f>
        <v>0.8852150537634409</v>
      </c>
      <c r="T381" s="16">
        <v>140</v>
      </c>
      <c r="U381" s="16">
        <v>6</v>
      </c>
      <c r="V381" s="16">
        <v>3720</v>
      </c>
      <c r="W381" s="16">
        <f t="shared" si="258"/>
        <v>427</v>
      </c>
      <c r="X381" s="16">
        <v>3293</v>
      </c>
      <c r="Y381" s="16">
        <v>157</v>
      </c>
      <c r="Z381" s="16">
        <f t="shared" si="273"/>
        <v>3136</v>
      </c>
      <c r="AA381" s="227" t="s">
        <v>170</v>
      </c>
      <c r="AC381" s="18">
        <v>2024</v>
      </c>
      <c r="AD381" s="21" t="s">
        <v>39</v>
      </c>
      <c r="AE381" s="218">
        <f>+Tabla5[[#This Row],[Trenes Puntuales]]/Tabla5[[#This Row],[Trenes Programados]]</f>
        <v>0.75591715976331364</v>
      </c>
      <c r="AF381" s="218">
        <f>+Tabla5[[#This Row],[Trenes Puntuales]]/Tabla5[[#This Row],[Trenes Corridos]]</f>
        <v>0.81162642947903429</v>
      </c>
      <c r="AG381" s="218">
        <f>+Tabla5[[#This Row],[Trenes Corridos]]/Tabla5[[#This Row],[Trenes Programados]]</f>
        <v>0.93136094674556213</v>
      </c>
      <c r="AH381" s="217">
        <v>123</v>
      </c>
      <c r="AI381" s="217">
        <v>6</v>
      </c>
      <c r="AJ381" s="217">
        <v>3380</v>
      </c>
      <c r="AK381" s="16">
        <f t="shared" si="260"/>
        <v>232</v>
      </c>
      <c r="AL381" s="217">
        <v>3148</v>
      </c>
      <c r="AM381" s="217">
        <v>2555</v>
      </c>
      <c r="AN381" s="217">
        <f t="shared" si="274"/>
        <v>593</v>
      </c>
      <c r="AO381" s="217"/>
      <c r="AQ381" s="18">
        <v>2024</v>
      </c>
      <c r="AR381" s="21" t="s">
        <v>39</v>
      </c>
      <c r="AS381" s="218">
        <f>+Tabla6[[#This Row],[Trenes Puntuales]]/Tabla6[[#This Row],[Trenes Programados]]</f>
        <v>0.82525773195876284</v>
      </c>
      <c r="AT381" s="218">
        <f>+Tabla6[[#This Row],[Trenes Puntuales]]/Tabla6[[#This Row],[Trenes Corridos]]</f>
        <v>0.94510035419126326</v>
      </c>
      <c r="AU381" s="218">
        <f>+Tabla6[[#This Row],[Trenes Corridos]]/Tabla6[[#This Row],[Trenes Programados]]</f>
        <v>0.8731958762886598</v>
      </c>
      <c r="AV381" s="217">
        <v>67</v>
      </c>
      <c r="AW381" s="217">
        <v>6</v>
      </c>
      <c r="AX381" s="217">
        <v>1940</v>
      </c>
      <c r="AY381" s="16">
        <f t="shared" si="253"/>
        <v>246</v>
      </c>
      <c r="AZ381" s="217">
        <v>1694</v>
      </c>
      <c r="BA381" s="217">
        <v>1601</v>
      </c>
      <c r="BB381" s="217">
        <f t="shared" si="275"/>
        <v>93</v>
      </c>
      <c r="BC381" s="217"/>
      <c r="BE381" s="18">
        <v>2024</v>
      </c>
      <c r="BF381" s="21" t="s">
        <v>39</v>
      </c>
      <c r="BG381" s="218">
        <f>+MIT_Vic_Cap[[#This Row],[Trenes Puntuales]]/MIT_Vic_Cap[[#This Row],[Trenes Programados]]</f>
        <v>0.36499999999999999</v>
      </c>
      <c r="BH381" s="218">
        <f>+MIT_Vic_Cap[[#This Row],[Trenes Puntuales]]/MIT_Vic_Cap[[#This Row],[Trenes Corridos]]</f>
        <v>0.57480314960629919</v>
      </c>
      <c r="BI381" s="218">
        <f>+MIT_Vic_Cap[[#This Row],[Trenes Corridos]]/MIT_Vic_Cap[[#This Row],[Trenes Programados]]</f>
        <v>0.63500000000000001</v>
      </c>
      <c r="BJ381" s="217">
        <v>28</v>
      </c>
      <c r="BK381" s="217">
        <v>2</v>
      </c>
      <c r="BL381" s="217">
        <v>600</v>
      </c>
      <c r="BM381" s="16">
        <f t="shared" ref="BM381:BM386" si="281">+BL381-BN381</f>
        <v>219</v>
      </c>
      <c r="BN381" s="217">
        <v>381</v>
      </c>
      <c r="BO381" s="217">
        <v>219</v>
      </c>
      <c r="BP381" s="16">
        <f t="shared" ref="BP381:BP386" si="282">+BO381-BQ381</f>
        <v>219</v>
      </c>
      <c r="BQ381" s="217"/>
      <c r="BS381" s="18">
        <v>2024</v>
      </c>
      <c r="BT381" s="21" t="s">
        <v>39</v>
      </c>
      <c r="BU381" s="218">
        <f>+Tabla8[[#This Row],[Trenes Puntuales]]/Tabla8[[#This Row],[Trenes Programados]]</f>
        <v>0.25592885375494073</v>
      </c>
      <c r="BV381" s="218">
        <f>+Tabla8[[#This Row],[Trenes Puntuales]]/Tabla8[[#This Row],[Trenes Corridos]]</f>
        <v>0.41307814992025521</v>
      </c>
      <c r="BW381" s="218">
        <f>+Tabla8[[#This Row],[Trenes Corridos]]/Tabla8[[#This Row],[Trenes Programados]]</f>
        <v>0.61956521739130432</v>
      </c>
      <c r="BX381" s="217">
        <v>38</v>
      </c>
      <c r="BY381" s="217">
        <v>2</v>
      </c>
      <c r="BZ381" s="217">
        <v>1012</v>
      </c>
      <c r="CA381" s="16">
        <f t="shared" si="263"/>
        <v>385</v>
      </c>
      <c r="CB381" s="217">
        <v>627</v>
      </c>
      <c r="CC381" s="217">
        <v>259</v>
      </c>
      <c r="CD381" s="217">
        <f t="shared" si="276"/>
        <v>368</v>
      </c>
      <c r="CE381" s="282"/>
      <c r="CI381" s="40"/>
      <c r="CJ381" s="277"/>
      <c r="CK381" s="40"/>
      <c r="CL381" s="40"/>
      <c r="CM381" s="40"/>
    </row>
    <row r="382" spans="1:91" s="18" customFormat="1" ht="15" customHeight="1">
      <c r="A382" s="18">
        <v>2024</v>
      </c>
      <c r="B382" s="21" t="s">
        <v>40</v>
      </c>
      <c r="C382" s="208">
        <f>+MITRE[[#This Row],[Trenes Puntuales]]/MITRE[[#This Row],[Trenes Programados]]</f>
        <v>0.45862905399335191</v>
      </c>
      <c r="D382" s="208">
        <f>+MITRE[[#This Row],[Trenes Puntuales]]/MITRE[[#This Row],[Trenes Corridos]]</f>
        <v>0.49965743368894977</v>
      </c>
      <c r="E382" s="208">
        <f>+MITRE[[#This Row],[Trenes Corridos]]/MITRE[[#This Row],[Trenes Programados]]</f>
        <v>0.91788698230167998</v>
      </c>
      <c r="F382" s="209">
        <f>+Tabla4[[#This Row],[Trenes Programados por Día Hábil]]+Tabla5[[#This Row],[Trenes Programados por Día Hábil]]+Tabla6[[#This Row],[Trenes Programados por Día Hábil]]+MIT_Vic_Cap[[#This Row],[Trenes Programados por Día Hábil]]+Tabla8[[#This Row],[Trenes Programados por Día Hábil]]</f>
        <v>396</v>
      </c>
      <c r="G382"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5.4933933640011743</v>
      </c>
      <c r="H382" s="217">
        <f t="shared" si="270"/>
        <v>11131</v>
      </c>
      <c r="I382" s="217">
        <f t="shared" si="271"/>
        <v>914</v>
      </c>
      <c r="J382" s="217">
        <f t="shared" ref="J382" si="283">+X382+AL382+AZ382+BN382+CB382</f>
        <v>10217</v>
      </c>
      <c r="K382" s="217">
        <f t="shared" ref="K382" si="284">+Y382+AM382+BA382+BO382+CC382</f>
        <v>5105</v>
      </c>
      <c r="L382" s="217">
        <f t="shared" si="272"/>
        <v>5112</v>
      </c>
      <c r="M382" s="217"/>
      <c r="O382" s="18">
        <v>2024</v>
      </c>
      <c r="P382" s="21" t="s">
        <v>40</v>
      </c>
      <c r="Q382" s="44">
        <f>+Tabla4[[#This Row],[Trenes Puntuales]]/Tabla4[[#This Row],[Trenes Programados]]</f>
        <v>3.8638689866939614E-2</v>
      </c>
      <c r="R382" s="44">
        <f>+Tabla4[[#This Row],[Trenes Puntuales]]/Tabla4[[#This Row],[Trenes Corridos]]</f>
        <v>4.104376189181843E-2</v>
      </c>
      <c r="S382" s="44">
        <f>+Tabla4[[#This Row],[Trenes Corridos]]/Tabla4[[#This Row],[Trenes Programados]]</f>
        <v>0.94140225179119752</v>
      </c>
      <c r="T382" s="16">
        <v>140</v>
      </c>
      <c r="U382" s="16">
        <v>6</v>
      </c>
      <c r="V382" s="16">
        <v>3908</v>
      </c>
      <c r="W382" s="16">
        <f t="shared" si="258"/>
        <v>229</v>
      </c>
      <c r="X382" s="16">
        <v>3679</v>
      </c>
      <c r="Y382" s="16">
        <v>151</v>
      </c>
      <c r="Z382" s="16">
        <f t="shared" si="273"/>
        <v>3528</v>
      </c>
      <c r="AA382" s="227" t="s">
        <v>170</v>
      </c>
      <c r="AC382" s="18">
        <v>2024</v>
      </c>
      <c r="AD382" s="21" t="s">
        <v>40</v>
      </c>
      <c r="AE382" s="218">
        <f>+Tabla5[[#This Row],[Trenes Puntuales]]/Tabla5[[#This Row],[Trenes Programados]]</f>
        <v>0.73798756359525153</v>
      </c>
      <c r="AF382" s="218">
        <f>+Tabla5[[#This Row],[Trenes Puntuales]]/Tabla5[[#This Row],[Trenes Corridos]]</f>
        <v>0.78056801195814651</v>
      </c>
      <c r="AG382" s="218">
        <f>+Tabla5[[#This Row],[Trenes Corridos]]/Tabla5[[#This Row],[Trenes Programados]]</f>
        <v>0.94544940644431885</v>
      </c>
      <c r="AH382" s="217">
        <v>123</v>
      </c>
      <c r="AI382" s="217">
        <v>6</v>
      </c>
      <c r="AJ382" s="217">
        <v>3538</v>
      </c>
      <c r="AK382" s="16">
        <f t="shared" si="260"/>
        <v>193</v>
      </c>
      <c r="AL382" s="217">
        <v>3345</v>
      </c>
      <c r="AM382" s="217">
        <v>2611</v>
      </c>
      <c r="AN382" s="217">
        <f t="shared" si="274"/>
        <v>734</v>
      </c>
      <c r="AO382" s="217"/>
      <c r="AQ382" s="18">
        <v>2024</v>
      </c>
      <c r="AR382" s="21" t="s">
        <v>40</v>
      </c>
      <c r="AS382" s="218">
        <f>+Tabla6[[#This Row],[Trenes Puntuales]]/Tabla6[[#This Row],[Trenes Programados]]</f>
        <v>0.82727725236436034</v>
      </c>
      <c r="AT382" s="218">
        <f>+Tabla6[[#This Row],[Trenes Puntuales]]/Tabla6[[#This Row],[Trenes Corridos]]</f>
        <v>0.87519747235387046</v>
      </c>
      <c r="AU382" s="218">
        <f>+Tabla6[[#This Row],[Trenes Corridos]]/Tabla6[[#This Row],[Trenes Programados]]</f>
        <v>0.94524639123942256</v>
      </c>
      <c r="AV382" s="217">
        <v>67</v>
      </c>
      <c r="AW382" s="217">
        <v>6</v>
      </c>
      <c r="AX382" s="217">
        <v>2009</v>
      </c>
      <c r="AY382" s="16">
        <f t="shared" si="253"/>
        <v>110</v>
      </c>
      <c r="AZ382" s="217">
        <v>1899</v>
      </c>
      <c r="BA382" s="217">
        <v>1662</v>
      </c>
      <c r="BB382" s="217">
        <f t="shared" si="275"/>
        <v>237</v>
      </c>
      <c r="BC382" s="217"/>
      <c r="BE382" s="18">
        <v>2024</v>
      </c>
      <c r="BF382" s="21" t="s">
        <v>40</v>
      </c>
      <c r="BG382" s="218">
        <f>+MIT_Vic_Cap[[#This Row],[Trenes Puntuales]]/MIT_Vic_Cap[[#This Row],[Trenes Programados]]</f>
        <v>0.45954692556634302</v>
      </c>
      <c r="BH382" s="218">
        <f>+MIT_Vic_Cap[[#This Row],[Trenes Puntuales]]/MIT_Vic_Cap[[#This Row],[Trenes Corridos]]</f>
        <v>0.5220588235294118</v>
      </c>
      <c r="BI382" s="218">
        <f>+MIT_Vic_Cap[[#This Row],[Trenes Corridos]]/MIT_Vic_Cap[[#This Row],[Trenes Programados]]</f>
        <v>0.88025889967637538</v>
      </c>
      <c r="BJ382" s="217">
        <v>28</v>
      </c>
      <c r="BK382" s="217">
        <v>2</v>
      </c>
      <c r="BL382" s="217">
        <v>618</v>
      </c>
      <c r="BM382" s="16">
        <f t="shared" si="281"/>
        <v>74</v>
      </c>
      <c r="BN382" s="217">
        <v>544</v>
      </c>
      <c r="BO382" s="217">
        <v>284</v>
      </c>
      <c r="BP382" s="16">
        <f t="shared" si="282"/>
        <v>284</v>
      </c>
      <c r="BQ382" s="217"/>
      <c r="BS382" s="18">
        <v>2024</v>
      </c>
      <c r="BT382" s="21" t="s">
        <v>40</v>
      </c>
      <c r="BU382" s="218">
        <f>+Tabla8[[#This Row],[Trenes Puntuales]]/Tabla8[[#This Row],[Trenes Programados]]</f>
        <v>0.37523629489603022</v>
      </c>
      <c r="BV382" s="218">
        <f>+Tabla8[[#This Row],[Trenes Puntuales]]/Tabla8[[#This Row],[Trenes Corridos]]</f>
        <v>0.52933333333333332</v>
      </c>
      <c r="BW382" s="218">
        <f>+Tabla8[[#This Row],[Trenes Corridos]]/Tabla8[[#This Row],[Trenes Programados]]</f>
        <v>0.70888468809073724</v>
      </c>
      <c r="BX382" s="217">
        <v>38</v>
      </c>
      <c r="BY382" s="217">
        <v>2</v>
      </c>
      <c r="BZ382" s="217">
        <v>1058</v>
      </c>
      <c r="CA382" s="16">
        <f t="shared" si="263"/>
        <v>308</v>
      </c>
      <c r="CB382" s="217">
        <v>750</v>
      </c>
      <c r="CC382" s="217">
        <v>397</v>
      </c>
      <c r="CD382" s="217">
        <f t="shared" si="276"/>
        <v>353</v>
      </c>
      <c r="CE382" s="282"/>
      <c r="CI382" s="40"/>
      <c r="CJ382" s="277"/>
      <c r="CK382" s="40"/>
      <c r="CL382" s="40"/>
      <c r="CM382" s="40"/>
    </row>
    <row r="383" spans="1:91" s="18" customFormat="1" ht="15" customHeight="1">
      <c r="A383" s="18">
        <v>2024</v>
      </c>
      <c r="B383" s="236" t="s">
        <v>41</v>
      </c>
      <c r="C383" s="208">
        <f>+MITRE[[#This Row],[Trenes Puntuales]]/MITRE[[#This Row],[Trenes Programados]]</f>
        <v>0.54442727448329153</v>
      </c>
      <c r="D383" s="208">
        <f>+MITRE[[#This Row],[Trenes Puntuales]]/MITRE[[#This Row],[Trenes Corridos]]</f>
        <v>0.56341829085457273</v>
      </c>
      <c r="E383" s="208">
        <f>+MITRE[[#This Row],[Trenes Corridos]]/MITRE[[#This Row],[Trenes Programados]]</f>
        <v>0.96629322001158968</v>
      </c>
      <c r="F383" s="209">
        <f>+Tabla4[[#This Row],[Trenes Programados por Día Hábil]]+Tabla5[[#This Row],[Trenes Programados por Día Hábil]]+Tabla6[[#This Row],[Trenes Programados por Día Hábil]]+MIT_Vic_Cap[[#This Row],[Trenes Programados por Día Hábil]]+Tabla8[[#This Row],[Trenes Programados por Día Hábil]]</f>
        <v>396</v>
      </c>
      <c r="G383"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5.4518740629685158</v>
      </c>
      <c r="H383" s="217">
        <f t="shared" si="270"/>
        <v>10354</v>
      </c>
      <c r="I383" s="217">
        <f t="shared" si="271"/>
        <v>349</v>
      </c>
      <c r="J383" s="217">
        <f t="shared" ref="J383" si="285">+X383+AL383+AZ383+BN383+CB383</f>
        <v>10005</v>
      </c>
      <c r="K383" s="217">
        <f t="shared" ref="K383" si="286">+Y383+AM383+BA383+BO383+CC383</f>
        <v>5637</v>
      </c>
      <c r="L383" s="217">
        <f t="shared" si="272"/>
        <v>4368</v>
      </c>
      <c r="M383" s="217"/>
      <c r="O383" s="18">
        <v>2024</v>
      </c>
      <c r="P383" s="236" t="s">
        <v>41</v>
      </c>
      <c r="Q383" s="61">
        <f>+Tabla4[[#This Row],[Trenes Puntuales]]/Tabla4[[#This Row],[Trenes Programados]]</f>
        <v>0.13366890380313198</v>
      </c>
      <c r="R383" s="61">
        <f>+Tabla4[[#This Row],[Trenes Puntuales]]/Tabla4[[#This Row],[Trenes Corridos]]</f>
        <v>0.13510457885811192</v>
      </c>
      <c r="S383" s="61">
        <f>+Tabla4[[#This Row],[Trenes Corridos]]/Tabla4[[#This Row],[Trenes Programados]]</f>
        <v>0.98937360178970912</v>
      </c>
      <c r="T383" s="16">
        <v>140</v>
      </c>
      <c r="U383" s="16">
        <v>6</v>
      </c>
      <c r="V383" s="16">
        <v>3576</v>
      </c>
      <c r="W383" s="16">
        <f t="shared" si="258"/>
        <v>38</v>
      </c>
      <c r="X383" s="16">
        <v>3538</v>
      </c>
      <c r="Y383" s="16">
        <v>478</v>
      </c>
      <c r="Z383" s="16">
        <f t="shared" si="273"/>
        <v>3060</v>
      </c>
      <c r="AA383" s="227" t="s">
        <v>170</v>
      </c>
      <c r="AC383" s="18">
        <v>2024</v>
      </c>
      <c r="AD383" s="236" t="s">
        <v>41</v>
      </c>
      <c r="AE383" s="218">
        <f>+Tabla5[[#This Row],[Trenes Puntuales]]/Tabla5[[#This Row],[Trenes Programados]]</f>
        <v>0.81757169005491148</v>
      </c>
      <c r="AF383" s="218">
        <f>+Tabla5[[#This Row],[Trenes Puntuales]]/Tabla5[[#This Row],[Trenes Corridos]]</f>
        <v>0.83126550868486349</v>
      </c>
      <c r="AG383" s="218">
        <f>+Tabla5[[#This Row],[Trenes Corridos]]/Tabla5[[#This Row],[Trenes Programados]]</f>
        <v>0.9835265405735204</v>
      </c>
      <c r="AH383" s="217">
        <v>123</v>
      </c>
      <c r="AI383" s="217">
        <v>6</v>
      </c>
      <c r="AJ383" s="217">
        <v>3278</v>
      </c>
      <c r="AK383" s="16">
        <f t="shared" si="260"/>
        <v>54</v>
      </c>
      <c r="AL383" s="217">
        <v>3224</v>
      </c>
      <c r="AM383" s="217">
        <v>2680</v>
      </c>
      <c r="AN383" s="217">
        <f t="shared" si="274"/>
        <v>544</v>
      </c>
      <c r="AO383" s="217"/>
      <c r="AQ383" s="18">
        <v>2024</v>
      </c>
      <c r="AR383" s="236" t="s">
        <v>41</v>
      </c>
      <c r="AS383" s="218">
        <f>+Tabla6[[#This Row],[Trenes Puntuales]]/Tabla6[[#This Row],[Trenes Programados]]</f>
        <v>0.89004149377593356</v>
      </c>
      <c r="AT383" s="218">
        <f>+Tabla6[[#This Row],[Trenes Puntuales]]/Tabla6[[#This Row],[Trenes Corridos]]</f>
        <v>0.91666666666666663</v>
      </c>
      <c r="AU383" s="218">
        <f>+Tabla6[[#This Row],[Trenes Corridos]]/Tabla6[[#This Row],[Trenes Programados]]</f>
        <v>0.97095435684647302</v>
      </c>
      <c r="AV383" s="217">
        <v>67</v>
      </c>
      <c r="AW383" s="217">
        <v>6</v>
      </c>
      <c r="AX383" s="217">
        <v>1928</v>
      </c>
      <c r="AY383" s="16">
        <f t="shared" si="253"/>
        <v>56</v>
      </c>
      <c r="AZ383" s="217">
        <v>1872</v>
      </c>
      <c r="BA383" s="217">
        <v>1716</v>
      </c>
      <c r="BB383" s="217">
        <f t="shared" si="275"/>
        <v>156</v>
      </c>
      <c r="BC383" s="217"/>
      <c r="BE383" s="18">
        <v>2024</v>
      </c>
      <c r="BF383" s="236" t="s">
        <v>41</v>
      </c>
      <c r="BG383" s="218">
        <f>+MIT_Vic_Cap[[#This Row],[Trenes Puntuales]]/MIT_Vic_Cap[[#This Row],[Trenes Programados]]</f>
        <v>0.58166666666666667</v>
      </c>
      <c r="BH383" s="218">
        <f>+MIT_Vic_Cap[[#This Row],[Trenes Puntuales]]/MIT_Vic_Cap[[#This Row],[Trenes Corridos]]</f>
        <v>0.64510166358595189</v>
      </c>
      <c r="BI383" s="218">
        <f>+MIT_Vic_Cap[[#This Row],[Trenes Corridos]]/MIT_Vic_Cap[[#This Row],[Trenes Programados]]</f>
        <v>0.90166666666666662</v>
      </c>
      <c r="BJ383" s="217">
        <v>28</v>
      </c>
      <c r="BK383" s="217">
        <v>2</v>
      </c>
      <c r="BL383" s="217">
        <v>600</v>
      </c>
      <c r="BM383" s="16">
        <f t="shared" si="281"/>
        <v>59</v>
      </c>
      <c r="BN383" s="217">
        <v>541</v>
      </c>
      <c r="BO383" s="217">
        <v>349</v>
      </c>
      <c r="BP383" s="16">
        <f t="shared" si="282"/>
        <v>349</v>
      </c>
      <c r="BQ383" s="217"/>
      <c r="BS383" s="18">
        <v>2024</v>
      </c>
      <c r="BT383" s="236" t="s">
        <v>41</v>
      </c>
      <c r="BU383" s="218">
        <f>+Tabla8[[#This Row],[Trenes Puntuales]]/Tabla8[[#This Row],[Trenes Programados]]</f>
        <v>0.42592592592592593</v>
      </c>
      <c r="BV383" s="218">
        <f>+Tabla8[[#This Row],[Trenes Puntuales]]/Tabla8[[#This Row],[Trenes Corridos]]</f>
        <v>0.49879518072289158</v>
      </c>
      <c r="BW383" s="218">
        <f>+Tabla8[[#This Row],[Trenes Corridos]]/Tabla8[[#This Row],[Trenes Programados]]</f>
        <v>0.85390946502057619</v>
      </c>
      <c r="BX383" s="217">
        <v>38</v>
      </c>
      <c r="BY383" s="217">
        <v>2</v>
      </c>
      <c r="BZ383" s="217">
        <v>972</v>
      </c>
      <c r="CA383" s="16">
        <f t="shared" si="263"/>
        <v>142</v>
      </c>
      <c r="CB383" s="217">
        <v>830</v>
      </c>
      <c r="CC383" s="217">
        <v>414</v>
      </c>
      <c r="CD383" s="217">
        <f t="shared" si="276"/>
        <v>416</v>
      </c>
      <c r="CE383" s="282"/>
      <c r="CI383" s="40"/>
      <c r="CJ383" s="277"/>
      <c r="CK383" s="40"/>
      <c r="CL383" s="40"/>
      <c r="CM383" s="40"/>
    </row>
    <row r="384" spans="1:91" s="18" customFormat="1" ht="15" customHeight="1">
      <c r="A384" s="244">
        <v>2024</v>
      </c>
      <c r="B384" s="245" t="s">
        <v>42</v>
      </c>
      <c r="C384" s="208">
        <f>+MITRE[[#This Row],[Trenes Puntuales]]/MITRE[[#This Row],[Trenes Programados]]</f>
        <v>0.68776901004304158</v>
      </c>
      <c r="D384" s="208">
        <f>+MITRE[[#This Row],[Trenes Puntuales]]/MITRE[[#This Row],[Trenes Corridos]]</f>
        <v>0.71448532836516065</v>
      </c>
      <c r="E384" s="208">
        <f>+MITRE[[#This Row],[Trenes Corridos]]/MITRE[[#This Row],[Trenes Programados]]</f>
        <v>0.96260760401721668</v>
      </c>
      <c r="F384" s="209">
        <f>+Tabla4[[#This Row],[Trenes Programados por Día Hábil]]+Tabla5[[#This Row],[Trenes Programados por Día Hábil]]+Tabla6[[#This Row],[Trenes Programados por Día Hábil]]+MIT_Vic_Cap[[#This Row],[Trenes Programados por Día Hábil]]+Tabla8[[#This Row],[Trenes Programados por Día Hábil]]</f>
        <v>387</v>
      </c>
      <c r="G384"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5.509268747088961</v>
      </c>
      <c r="H384" s="217">
        <f t="shared" ref="H384" si="287">+V384+AJ384+AX384+BL384+BZ384</f>
        <v>11152</v>
      </c>
      <c r="I384" s="217">
        <f t="shared" si="271"/>
        <v>417</v>
      </c>
      <c r="J384" s="217">
        <f t="shared" ref="J384" si="288">+X384+AL384+AZ384+BN384+CB384</f>
        <v>10735</v>
      </c>
      <c r="K384" s="217">
        <f t="shared" ref="K384" si="289">+Y384+AM384+BA384+BO384+CC384</f>
        <v>7670</v>
      </c>
      <c r="L384" s="217">
        <f t="shared" ref="L384" si="290">J384-K384</f>
        <v>3065</v>
      </c>
      <c r="M384" s="246"/>
      <c r="O384" s="244">
        <v>2024</v>
      </c>
      <c r="P384" s="245" t="s">
        <v>42</v>
      </c>
      <c r="Q384" s="61">
        <f>+Tabla4[[#This Row],[Trenes Puntuales]]/Tabla4[[#This Row],[Trenes Programados]]</f>
        <v>0.65353329944077276</v>
      </c>
      <c r="R384" s="61">
        <f>+Tabla4[[#This Row],[Trenes Puntuales]]/Tabla4[[#This Row],[Trenes Corridos]]</f>
        <v>0.65788126919140222</v>
      </c>
      <c r="S384" s="61">
        <f>+Tabla4[[#This Row],[Trenes Corridos]]/Tabla4[[#This Row],[Trenes Programados]]</f>
        <v>0.99339095068632433</v>
      </c>
      <c r="T384" s="16">
        <v>141</v>
      </c>
      <c r="U384" s="16">
        <v>6</v>
      </c>
      <c r="V384" s="16">
        <v>3934</v>
      </c>
      <c r="W384" s="16">
        <f t="shared" si="258"/>
        <v>26</v>
      </c>
      <c r="X384" s="16">
        <v>3908</v>
      </c>
      <c r="Y384" s="16">
        <v>2571</v>
      </c>
      <c r="Z384" s="16">
        <f>+X384-Y384</f>
        <v>1337</v>
      </c>
      <c r="AA384" s="227" t="s">
        <v>175</v>
      </c>
      <c r="AC384" s="244">
        <v>2024</v>
      </c>
      <c r="AD384" s="245" t="s">
        <v>42</v>
      </c>
      <c r="AE384" s="247">
        <f>+Tabla5[[#This Row],[Trenes Puntuales]]/Tabla5[[#This Row],[Trenes Programados]]</f>
        <v>0.73572639909553417</v>
      </c>
      <c r="AF384" s="247">
        <f>+Tabla5[[#This Row],[Trenes Puntuales]]/Tabla5[[#This Row],[Trenes Corridos]]</f>
        <v>0.7403299203640501</v>
      </c>
      <c r="AG384" s="247">
        <f>+Tabla5[[#This Row],[Trenes Corridos]]/Tabla5[[#This Row],[Trenes Programados]]</f>
        <v>0.99378179762577723</v>
      </c>
      <c r="AH384" s="246">
        <v>124</v>
      </c>
      <c r="AI384" s="246">
        <v>6</v>
      </c>
      <c r="AJ384" s="246">
        <v>3538</v>
      </c>
      <c r="AK384" s="16">
        <f t="shared" si="260"/>
        <v>22</v>
      </c>
      <c r="AL384" s="246">
        <v>3516</v>
      </c>
      <c r="AM384" s="246">
        <v>2603</v>
      </c>
      <c r="AN384" s="246">
        <f>+AL384-AM384</f>
        <v>913</v>
      </c>
      <c r="AO384" s="227" t="s">
        <v>176</v>
      </c>
      <c r="AQ384" s="244">
        <v>2024</v>
      </c>
      <c r="AR384" s="245" t="s">
        <v>42</v>
      </c>
      <c r="AS384" s="247">
        <f>+Tabla6[[#This Row],[Trenes Puntuales]]/Tabla6[[#This Row],[Trenes Programados]]</f>
        <v>0.8233830845771144</v>
      </c>
      <c r="AT384" s="247">
        <f>+Tabla6[[#This Row],[Trenes Puntuales]]/Tabla6[[#This Row],[Trenes Corridos]]</f>
        <v>0.82998996990972917</v>
      </c>
      <c r="AU384" s="247">
        <f>+Tabla6[[#This Row],[Trenes Corridos]]/Tabla6[[#This Row],[Trenes Programados]]</f>
        <v>0.99203980099502487</v>
      </c>
      <c r="AV384" s="246">
        <v>66</v>
      </c>
      <c r="AW384" s="246">
        <v>6</v>
      </c>
      <c r="AX384" s="246">
        <v>2010</v>
      </c>
      <c r="AY384" s="16">
        <f t="shared" si="253"/>
        <v>16</v>
      </c>
      <c r="AZ384" s="246">
        <v>1994</v>
      </c>
      <c r="BA384" s="246">
        <v>1655</v>
      </c>
      <c r="BB384" s="246">
        <f>+AZ384-BA384</f>
        <v>339</v>
      </c>
      <c r="BC384" s="227" t="s">
        <v>176</v>
      </c>
      <c r="BE384" s="244">
        <v>2024</v>
      </c>
      <c r="BF384" s="245" t="s">
        <v>42</v>
      </c>
      <c r="BG384" s="247">
        <f>+MIT_Vic_Cap[[#This Row],[Trenes Puntuales]]/MIT_Vic_Cap[[#This Row],[Trenes Programados]]</f>
        <v>0.66290322580645167</v>
      </c>
      <c r="BH384" s="247">
        <f>+MIT_Vic_Cap[[#This Row],[Trenes Puntuales]]/MIT_Vic_Cap[[#This Row],[Trenes Corridos]]</f>
        <v>0.71602787456445993</v>
      </c>
      <c r="BI384" s="247">
        <f>+MIT_Vic_Cap[[#This Row],[Trenes Corridos]]/MIT_Vic_Cap[[#This Row],[Trenes Programados]]</f>
        <v>0.9258064516129032</v>
      </c>
      <c r="BJ384" s="246">
        <v>20</v>
      </c>
      <c r="BK384" s="246">
        <v>2</v>
      </c>
      <c r="BL384" s="246">
        <v>620</v>
      </c>
      <c r="BM384" s="16">
        <f t="shared" si="281"/>
        <v>46</v>
      </c>
      <c r="BN384" s="246">
        <v>574</v>
      </c>
      <c r="BO384" s="246">
        <v>411</v>
      </c>
      <c r="BP384" s="16">
        <f t="shared" si="282"/>
        <v>411</v>
      </c>
      <c r="BQ384" s="246"/>
      <c r="BS384" s="244">
        <v>2024</v>
      </c>
      <c r="BT384" s="245" t="s">
        <v>42</v>
      </c>
      <c r="BU384" s="247">
        <f>+Tabla8[[#This Row],[Trenes Puntuales]]/Tabla8[[#This Row],[Trenes Programados]]</f>
        <v>0.40952380952380951</v>
      </c>
      <c r="BV384" s="247">
        <f>+Tabla8[[#This Row],[Trenes Puntuales]]/Tabla8[[#This Row],[Trenes Corridos]]</f>
        <v>0.57873485868102292</v>
      </c>
      <c r="BW384" s="247">
        <f>+Tabla8[[#This Row],[Trenes Corridos]]/Tabla8[[#This Row],[Trenes Programados]]</f>
        <v>0.70761904761904759</v>
      </c>
      <c r="BX384" s="246">
        <v>36</v>
      </c>
      <c r="BY384" s="246">
        <v>2</v>
      </c>
      <c r="BZ384" s="246">
        <v>1050</v>
      </c>
      <c r="CA384" s="16">
        <f t="shared" si="263"/>
        <v>307</v>
      </c>
      <c r="CB384" s="246">
        <v>743</v>
      </c>
      <c r="CC384" s="246">
        <v>430</v>
      </c>
      <c r="CD384" s="246">
        <f>+CB384-CC384</f>
        <v>313</v>
      </c>
      <c r="CE384" s="283" t="s">
        <v>227</v>
      </c>
      <c r="CI384" s="40"/>
      <c r="CJ384" s="277"/>
      <c r="CK384" s="40"/>
      <c r="CL384" s="40"/>
      <c r="CM384" s="40"/>
    </row>
    <row r="385" spans="1:91" s="18" customFormat="1" ht="15" customHeight="1">
      <c r="A385" s="18">
        <v>2024</v>
      </c>
      <c r="B385" s="236" t="s">
        <v>43</v>
      </c>
      <c r="C385" s="208">
        <f>+MITRE[[#This Row],[Trenes Puntuales]]/MITRE[[#This Row],[Trenes Programados]]</f>
        <v>0.70723388978639379</v>
      </c>
      <c r="D385" s="208">
        <f>+MITRE[[#This Row],[Trenes Puntuales]]/MITRE[[#This Row],[Trenes Corridos]]</f>
        <v>0.74262557723117517</v>
      </c>
      <c r="E385" s="208">
        <f>+MITRE[[#This Row],[Trenes Corridos]]/MITRE[[#This Row],[Trenes Programados]]</f>
        <v>0.95234248788368336</v>
      </c>
      <c r="F385" s="209">
        <f>+Tabla4[[#This Row],[Trenes Programados por Día Hábil]]+Tabla5[[#This Row],[Trenes Programados por Día Hábil]]+Tabla6[[#This Row],[Trenes Programados por Día Hábil]]+MIT_Vic_Cap[[#This Row],[Trenes Programados por Día Hábil]]+Tabla8[[#This Row],[Trenes Programados por Día Hábil]]</f>
        <v>388</v>
      </c>
      <c r="G385"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5.4997643954386959</v>
      </c>
      <c r="H385" s="217">
        <f t="shared" ref="H385" si="291">+V385+AJ385+AX385+BL385+BZ385</f>
        <v>11142</v>
      </c>
      <c r="I385" s="217">
        <f t="shared" ref="I385" si="292">H385-J385</f>
        <v>531</v>
      </c>
      <c r="J385" s="217">
        <f t="shared" ref="J385" si="293">+X385+AL385+AZ385+BN385+CB385</f>
        <v>10611</v>
      </c>
      <c r="K385" s="217">
        <f t="shared" ref="K385" si="294">+Y385+AM385+BA385+BO385+CC385</f>
        <v>7880</v>
      </c>
      <c r="L385" s="217">
        <f t="shared" ref="L385" si="295">J385-K385</f>
        <v>2731</v>
      </c>
      <c r="M385" s="217"/>
      <c r="O385" s="18">
        <v>2024</v>
      </c>
      <c r="P385" s="236" t="s">
        <v>43</v>
      </c>
      <c r="Q385" s="61">
        <f>+Tabla4[[#This Row],[Trenes Puntuales]]/Tabla4[[#This Row],[Trenes Programados]]</f>
        <v>0.96002024291497978</v>
      </c>
      <c r="R385" s="61">
        <f>+Tabla4[[#This Row],[Trenes Puntuales]]/Tabla4[[#This Row],[Trenes Corridos]]</f>
        <v>0.96687054026503572</v>
      </c>
      <c r="S385" s="61">
        <f>+Tabla4[[#This Row],[Trenes Corridos]]/Tabla4[[#This Row],[Trenes Programados]]</f>
        <v>0.99291497975708498</v>
      </c>
      <c r="T385" s="16">
        <v>142</v>
      </c>
      <c r="U385" s="16">
        <v>6</v>
      </c>
      <c r="V385" s="16">
        <v>3952</v>
      </c>
      <c r="W385" s="16">
        <f t="shared" si="258"/>
        <v>28</v>
      </c>
      <c r="X385" s="16">
        <v>3924</v>
      </c>
      <c r="Y385" s="16">
        <v>3794</v>
      </c>
      <c r="Z385" s="16">
        <f>+X385-Y385</f>
        <v>130</v>
      </c>
      <c r="AA385" s="217"/>
      <c r="AC385" s="18">
        <v>2024</v>
      </c>
      <c r="AD385" s="236" t="s">
        <v>43</v>
      </c>
      <c r="AE385" s="247">
        <f>+Tabla5[[#This Row],[Trenes Puntuales]]/Tabla5[[#This Row],[Trenes Programados]]</f>
        <v>0.54267947993216503</v>
      </c>
      <c r="AF385" s="247">
        <f>+Tabla5[[#This Row],[Trenes Puntuales]]/Tabla5[[#This Row],[Trenes Corridos]]</f>
        <v>0.55716773070226344</v>
      </c>
      <c r="AG385" s="247">
        <f>+Tabla5[[#This Row],[Trenes Corridos]]/Tabla5[[#This Row],[Trenes Programados]]</f>
        <v>0.97399660825325041</v>
      </c>
      <c r="AH385" s="217">
        <v>124</v>
      </c>
      <c r="AI385" s="217">
        <v>6</v>
      </c>
      <c r="AJ385" s="217">
        <v>3538</v>
      </c>
      <c r="AK385" s="16">
        <f t="shared" si="260"/>
        <v>92</v>
      </c>
      <c r="AL385" s="217">
        <v>3446</v>
      </c>
      <c r="AM385" s="217">
        <v>1920</v>
      </c>
      <c r="AN385" s="246">
        <f>+AL385-AM385</f>
        <v>1526</v>
      </c>
      <c r="AO385" s="217"/>
      <c r="AQ385" s="18">
        <v>2024</v>
      </c>
      <c r="AR385" s="236" t="s">
        <v>43</v>
      </c>
      <c r="AS385" s="247">
        <f>+Tabla6[[#This Row],[Trenes Puntuales]]/Tabla6[[#This Row],[Trenes Programados]]</f>
        <v>0.61840796019900501</v>
      </c>
      <c r="AT385" s="247">
        <f>+Tabla6[[#This Row],[Trenes Puntuales]]/Tabla6[[#This Row],[Trenes Corridos]]</f>
        <v>0.64942528735632188</v>
      </c>
      <c r="AU385" s="247">
        <f>+Tabla6[[#This Row],[Trenes Corridos]]/Tabla6[[#This Row],[Trenes Programados]]</f>
        <v>0.9522388059701492</v>
      </c>
      <c r="AV385" s="217">
        <v>66</v>
      </c>
      <c r="AW385" s="217">
        <v>6</v>
      </c>
      <c r="AX385" s="217">
        <v>2010</v>
      </c>
      <c r="AY385" s="16">
        <f t="shared" si="253"/>
        <v>96</v>
      </c>
      <c r="AZ385" s="217">
        <v>1914</v>
      </c>
      <c r="BA385" s="217">
        <v>1243</v>
      </c>
      <c r="BB385" s="217">
        <f>+AZ385-BA385</f>
        <v>671</v>
      </c>
      <c r="BC385" s="217"/>
      <c r="BE385" s="18">
        <v>2024</v>
      </c>
      <c r="BF385" s="236" t="s">
        <v>43</v>
      </c>
      <c r="BG385" s="218">
        <f>+MIT_Vic_Cap[[#This Row],[Trenes Puntuales]]/MIT_Vic_Cap[[#This Row],[Trenes Programados]]</f>
        <v>0.6435483870967742</v>
      </c>
      <c r="BH385" s="218">
        <f>+MIT_Vic_Cap[[#This Row],[Trenes Puntuales]]/MIT_Vic_Cap[[#This Row],[Trenes Corridos]]</f>
        <v>0.70370370370370372</v>
      </c>
      <c r="BI385" s="218">
        <f>+MIT_Vic_Cap[[#This Row],[Trenes Corridos]]/MIT_Vic_Cap[[#This Row],[Trenes Programados]]</f>
        <v>0.9145161290322581</v>
      </c>
      <c r="BJ385" s="217">
        <v>20</v>
      </c>
      <c r="BK385" s="217">
        <v>2</v>
      </c>
      <c r="BL385" s="217">
        <v>620</v>
      </c>
      <c r="BM385" s="16">
        <f t="shared" si="281"/>
        <v>53</v>
      </c>
      <c r="BN385" s="217">
        <v>567</v>
      </c>
      <c r="BO385" s="217">
        <v>399</v>
      </c>
      <c r="BP385" s="16">
        <f t="shared" si="282"/>
        <v>399</v>
      </c>
      <c r="BQ385" s="217"/>
      <c r="BS385" s="18">
        <v>2024</v>
      </c>
      <c r="BT385" s="236" t="s">
        <v>43</v>
      </c>
      <c r="BU385" s="218">
        <f>+Tabla8[[#This Row],[Trenes Puntuales]]/Tabla8[[#This Row],[Trenes Programados]]</f>
        <v>0.51272015655577297</v>
      </c>
      <c r="BV385" s="218">
        <f>+Tabla8[[#This Row],[Trenes Puntuales]]/Tabla8[[#This Row],[Trenes Corridos]]</f>
        <v>0.68947368421052635</v>
      </c>
      <c r="BW385" s="218">
        <f>+Tabla8[[#This Row],[Trenes Corridos]]/Tabla8[[#This Row],[Trenes Programados]]</f>
        <v>0.74363992172211346</v>
      </c>
      <c r="BX385" s="217">
        <v>36</v>
      </c>
      <c r="BY385" s="217">
        <v>2</v>
      </c>
      <c r="BZ385" s="217">
        <v>1022</v>
      </c>
      <c r="CA385" s="16">
        <f t="shared" si="263"/>
        <v>262</v>
      </c>
      <c r="CB385" s="217">
        <v>760</v>
      </c>
      <c r="CC385" s="217">
        <v>524</v>
      </c>
      <c r="CD385" s="217">
        <f>+CB385-CC385</f>
        <v>236</v>
      </c>
      <c r="CE385" s="216"/>
      <c r="CI385" s="40"/>
      <c r="CJ385" s="277"/>
      <c r="CK385" s="40"/>
      <c r="CL385" s="40"/>
      <c r="CM385" s="40"/>
    </row>
    <row r="386" spans="1:91" s="18" customFormat="1" ht="15" customHeight="1">
      <c r="A386" s="18">
        <v>2024</v>
      </c>
      <c r="B386" s="236" t="s">
        <v>44</v>
      </c>
      <c r="C386" s="208">
        <f>+MITRE[[#This Row],[Trenes Puntuales]]/MITRE[[#This Row],[Trenes Programados]]</f>
        <v>0.87679003161614288</v>
      </c>
      <c r="D386" s="208">
        <f>+MITRE[[#This Row],[Trenes Puntuales]]/MITRE[[#This Row],[Trenes Corridos]]</f>
        <v>0.91022299449753841</v>
      </c>
      <c r="E386" s="208">
        <f>+MITRE[[#This Row],[Trenes Corridos]]/MITRE[[#This Row],[Trenes Programados]]</f>
        <v>0.96326948112330291</v>
      </c>
      <c r="F386" s="209">
        <f>+Tabla4[[#This Row],[Trenes Programados por Día Hábil]]+Tabla5[[#This Row],[Trenes Programados por Día Hábil]]+Tabla6[[#This Row],[Trenes Programados por Día Hábil]]+MIT_Vic_Cap[[#This Row],[Trenes Programados por Día Hábil]]+Tabla8[[#This Row],[Trenes Programados por Día Hábil]]</f>
        <v>388</v>
      </c>
      <c r="G386"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5.49763490684429</v>
      </c>
      <c r="H386" s="217">
        <f>+V386+AJ386+AX386+BL386+BZ386</f>
        <v>10754</v>
      </c>
      <c r="I386" s="217">
        <f>H386-J386</f>
        <v>395</v>
      </c>
      <c r="J386" s="217">
        <f>+X386+AL386+AZ386+BN386+CB386</f>
        <v>10359</v>
      </c>
      <c r="K386" s="217">
        <f>+Y386+AM386+BA386+BO386+CC386</f>
        <v>9429</v>
      </c>
      <c r="L386" s="217">
        <f>J386-K386</f>
        <v>930</v>
      </c>
      <c r="M386" s="217"/>
      <c r="O386" s="18">
        <v>2024</v>
      </c>
      <c r="P386" s="236" t="s">
        <v>44</v>
      </c>
      <c r="Q386" s="61">
        <f>+Tabla4[[#This Row],[Trenes Puntuales]]/Tabla4[[#This Row],[Trenes Programados]]</f>
        <v>0.96824146981627301</v>
      </c>
      <c r="R386" s="61">
        <f>+Tabla4[[#This Row],[Trenes Puntuales]]/Tabla4[[#This Row],[Trenes Corridos]]</f>
        <v>0.97799575821845175</v>
      </c>
      <c r="S386" s="61">
        <f>+Tabla4[[#This Row],[Trenes Corridos]]/Tabla4[[#This Row],[Trenes Programados]]</f>
        <v>0.99002624671916006</v>
      </c>
      <c r="T386" s="16">
        <v>141</v>
      </c>
      <c r="U386" s="16">
        <v>6</v>
      </c>
      <c r="V386" s="16">
        <v>3810</v>
      </c>
      <c r="W386" s="16">
        <f t="shared" si="258"/>
        <v>38</v>
      </c>
      <c r="X386" s="16">
        <v>3772</v>
      </c>
      <c r="Y386" s="16">
        <v>3689</v>
      </c>
      <c r="Z386" s="16">
        <f>+X386-Y386</f>
        <v>83</v>
      </c>
      <c r="AA386" s="217"/>
      <c r="AC386" s="18">
        <v>2024</v>
      </c>
      <c r="AD386" s="236" t="s">
        <v>44</v>
      </c>
      <c r="AE386" s="218">
        <f>+Tabla5[[#This Row],[Trenes Puntuales]]/Tabla5[[#This Row],[Trenes Programados]]</f>
        <v>0.84651435266549502</v>
      </c>
      <c r="AF386" s="218">
        <f>+Tabla5[[#This Row],[Trenes Puntuales]]/Tabla5[[#This Row],[Trenes Corridos]]</f>
        <v>0.8537666174298375</v>
      </c>
      <c r="AG386" s="218">
        <f>+Tabla5[[#This Row],[Trenes Corridos]]/Tabla5[[#This Row],[Trenes Programados]]</f>
        <v>0.99150556531927359</v>
      </c>
      <c r="AH386" s="217">
        <v>124</v>
      </c>
      <c r="AI386" s="217">
        <v>6</v>
      </c>
      <c r="AJ386" s="217">
        <v>3414</v>
      </c>
      <c r="AK386" s="16">
        <f t="shared" si="260"/>
        <v>29</v>
      </c>
      <c r="AL386" s="217">
        <v>3385</v>
      </c>
      <c r="AM386" s="217">
        <v>2890</v>
      </c>
      <c r="AN386" s="217">
        <f>+AL386-AM386</f>
        <v>495</v>
      </c>
      <c r="AO386" s="217"/>
      <c r="AQ386" s="18">
        <v>2024</v>
      </c>
      <c r="AR386" s="236" t="s">
        <v>44</v>
      </c>
      <c r="AS386" s="218">
        <f>+Tabla6[[#This Row],[Trenes Puntuales]]/Tabla6[[#This Row],[Trenes Programados]]</f>
        <v>0.89094650205761317</v>
      </c>
      <c r="AT386" s="218">
        <f>+Tabla6[[#This Row],[Trenes Puntuales]]/Tabla6[[#This Row],[Trenes Corridos]]</f>
        <v>0.91109942135718047</v>
      </c>
      <c r="AU386" s="218">
        <f>+Tabla6[[#This Row],[Trenes Corridos]]/Tabla6[[#This Row],[Trenes Programados]]</f>
        <v>0.97788065843621397</v>
      </c>
      <c r="AV386" s="217">
        <v>67</v>
      </c>
      <c r="AW386" s="217">
        <v>6</v>
      </c>
      <c r="AX386" s="217">
        <v>1944</v>
      </c>
      <c r="AY386" s="16">
        <f t="shared" si="253"/>
        <v>43</v>
      </c>
      <c r="AZ386" s="217">
        <v>1901</v>
      </c>
      <c r="BA386" s="217">
        <v>1732</v>
      </c>
      <c r="BB386" s="217">
        <f>+AZ386-BA386</f>
        <v>169</v>
      </c>
      <c r="BC386" s="217"/>
      <c r="BE386" s="18">
        <v>2024</v>
      </c>
      <c r="BF386" s="236" t="s">
        <v>44</v>
      </c>
      <c r="BG386" s="218">
        <f>+MIT_Vic_Cap[[#This Row],[Trenes Puntuales]]/MIT_Vic_Cap[[#This Row],[Trenes Programados]]</f>
        <v>0.83666666666666667</v>
      </c>
      <c r="BH386" s="218">
        <f>+MIT_Vic_Cap[[#This Row],[Trenes Puntuales]]/MIT_Vic_Cap[[#This Row],[Trenes Corridos]]</f>
        <v>0.85665529010238906</v>
      </c>
      <c r="BI386" s="218">
        <f>+MIT_Vic_Cap[[#This Row],[Trenes Corridos]]/MIT_Vic_Cap[[#This Row],[Trenes Programados]]</f>
        <v>0.97666666666666668</v>
      </c>
      <c r="BJ386" s="217">
        <v>20</v>
      </c>
      <c r="BK386" s="217">
        <v>2</v>
      </c>
      <c r="BL386" s="217">
        <v>600</v>
      </c>
      <c r="BM386" s="16">
        <f t="shared" si="281"/>
        <v>14</v>
      </c>
      <c r="BN386" s="217">
        <v>586</v>
      </c>
      <c r="BO386" s="217">
        <v>502</v>
      </c>
      <c r="BP386" s="16">
        <f t="shared" si="282"/>
        <v>502</v>
      </c>
      <c r="BQ386" s="217"/>
      <c r="BS386" s="18">
        <v>2024</v>
      </c>
      <c r="BT386" s="236" t="s">
        <v>44</v>
      </c>
      <c r="BU386" s="218">
        <f>+Tabla8[[#This Row],[Trenes Puntuales]]/Tabla8[[#This Row],[Trenes Programados]]</f>
        <v>0.62474645030425968</v>
      </c>
      <c r="BV386" s="218">
        <f>+Tabla8[[#This Row],[Trenes Puntuales]]/Tabla8[[#This Row],[Trenes Corridos]]</f>
        <v>0.86153846153846159</v>
      </c>
      <c r="BW386" s="218">
        <f>+Tabla8[[#This Row],[Trenes Corridos]]/Tabla8[[#This Row],[Trenes Programados]]</f>
        <v>0.72515212981744426</v>
      </c>
      <c r="BX386" s="217">
        <v>36</v>
      </c>
      <c r="BY386" s="217">
        <v>2</v>
      </c>
      <c r="BZ386" s="217">
        <v>986</v>
      </c>
      <c r="CA386" s="16">
        <f t="shared" si="263"/>
        <v>271</v>
      </c>
      <c r="CB386" s="217">
        <v>715</v>
      </c>
      <c r="CC386" s="217">
        <v>616</v>
      </c>
      <c r="CD386" s="217">
        <f>+CB386-CC386</f>
        <v>99</v>
      </c>
      <c r="CE386" s="216"/>
      <c r="CI386" s="40"/>
      <c r="CJ386" s="40"/>
      <c r="CK386" s="40"/>
      <c r="CL386" s="40"/>
      <c r="CM386" s="40"/>
    </row>
    <row r="387" spans="1:91" s="18" customFormat="1" ht="15" customHeight="1">
      <c r="A387" s="145" t="s">
        <v>152</v>
      </c>
      <c r="B387" s="146"/>
      <c r="C387" s="140">
        <f>+MITRE[[#Totals],[Trenes Puntuales]]/MITRE[[#Totals],[Trenes Programados]]</f>
        <v>0.83464256717039964</v>
      </c>
      <c r="D387" s="140">
        <f>+MITRE[[#Totals],[Trenes Puntuales]]/MITRE[[#Totals],[Trenes Corridos]]</f>
        <v>0.88035967782939195</v>
      </c>
      <c r="E387" s="140">
        <f>+MITRE[[#Totals],[Trenes Corridos]]/MITRE[[#Totals],[Trenes Programados]]</f>
        <v>0.94806996298182122</v>
      </c>
      <c r="F387" s="147"/>
      <c r="G387" s="46"/>
      <c r="H387" s="141">
        <f>SUBTOTAL(109,MITRE[Trenes Programados])</f>
        <v>5086690</v>
      </c>
      <c r="I387" s="141">
        <f>SUBTOTAL(109,MITRE[Trenes Cancelados])</f>
        <v>264152</v>
      </c>
      <c r="J387" s="141">
        <f>SUBTOTAL(109,MITRE[Trenes Corridos])</f>
        <v>4822538</v>
      </c>
      <c r="K387" s="141">
        <f>SUBTOTAL(109,MITRE[Trenes Puntuales])</f>
        <v>4245568</v>
      </c>
      <c r="L387" s="141">
        <f>SUBTOTAL(109,MITRE[Trenes Atrasados])</f>
        <v>576970</v>
      </c>
      <c r="M387" s="142">
        <f>SUBTOTAL(103,MITRE[Observaciones])</f>
        <v>31</v>
      </c>
      <c r="O387" s="18" t="s">
        <v>152</v>
      </c>
      <c r="P387" s="164"/>
      <c r="Q387" s="165">
        <f>+Tabla4[[#Totals],[Trenes Puntuales]]/Tabla4[[#Totals],[Trenes Programados]]</f>
        <v>0.79864115621831877</v>
      </c>
      <c r="R387" s="165">
        <f>+Tabla4[[#Totals],[Trenes Puntuales]]/Tabla4[[#Totals],[Trenes Corridos]]</f>
        <v>0.52609273321865335</v>
      </c>
      <c r="S387" s="165">
        <f>+Tabla4[[#Totals],[Trenes Corridos]]/Tabla4[[#Totals],[Trenes Programados]]</f>
        <v>1.5180615617558617</v>
      </c>
      <c r="T387" s="166"/>
      <c r="U387" s="166"/>
      <c r="V387" s="166">
        <f>SUBTOTAL(109,Tabla4[Trenes Programados])</f>
        <v>1190571</v>
      </c>
      <c r="W387" s="166">
        <f>SUBTOTAL(109,Tabla4[Trenes Cancelados])</f>
        <v>72181</v>
      </c>
      <c r="X387" s="166">
        <f>SUBTOTAL(109,Tabla4[Trenes Corridos])</f>
        <v>1807360.0716412379</v>
      </c>
      <c r="Y387" s="166">
        <f>SUBTOTAL(109,Tabla4[Trenes Puntuales])</f>
        <v>950839</v>
      </c>
      <c r="Z387" s="166">
        <f>SUBTOTAL(109,Tabla4[Trenes Atrasados])</f>
        <v>167551</v>
      </c>
      <c r="AA387" s="40">
        <f>SUBTOTAL(103,Tabla4[Observaciones])</f>
        <v>39</v>
      </c>
      <c r="AC387" s="18" t="s">
        <v>152</v>
      </c>
      <c r="AD387" s="40"/>
      <c r="AE387" s="44">
        <f>+Tabla5[[#Totals],[Trenes Puntuales]]/Tabla5[[#Totals],[Trenes Programados]]</f>
        <v>0.80458815331580058</v>
      </c>
      <c r="AF387" s="44">
        <f>+Tabla5[[#Totals],[Trenes Puntuales]]/Tabla5[[#Totals],[Trenes Corridos]]</f>
        <v>0.53247802300947078</v>
      </c>
      <c r="AG387" s="44">
        <f>+Tabla5[[#Totals],[Trenes Corridos]]/Tabla5[[#Totals],[Trenes Programados]]</f>
        <v>1.5110260302733471</v>
      </c>
      <c r="AH387" s="40"/>
      <c r="AI387" s="40"/>
      <c r="AJ387" s="16">
        <f>SUBTOTAL(109,Tabla5[Trenes Programados])</f>
        <v>978738</v>
      </c>
      <c r="AK387" s="16">
        <f>SUBTOTAL(109,Tabla5[Trenes Cancelados])</f>
        <v>38622</v>
      </c>
      <c r="AL387" s="16">
        <f>SUBTOTAL(109,Tabla5[Trenes Corridos])</f>
        <v>1478898.5948176752</v>
      </c>
      <c r="AM387" s="16">
        <f>SUBTOTAL(109,Tabla5[Trenes Puntuales])</f>
        <v>787481</v>
      </c>
      <c r="AN387" s="16">
        <f>SUBTOTAL(109,Tabla5[Trenes Atrasados])</f>
        <v>152635</v>
      </c>
      <c r="AO387" s="40">
        <f>SUBTOTAL(103,Tabla5[Observaciones])</f>
        <v>30</v>
      </c>
      <c r="AQ387" s="18" t="s">
        <v>152</v>
      </c>
      <c r="AR387" s="40"/>
      <c r="AS387" s="44">
        <f>+Tabla6[[#Totals],[Trenes Puntuales]]/Tabla6[[#Totals],[Trenes Programados]]</f>
        <v>0.83827004997954291</v>
      </c>
      <c r="AT387" s="44">
        <f>+Tabla6[[#Totals],[Trenes Puntuales]]/Tabla6[[#Totals],[Trenes Corridos]]</f>
        <v>0.53125331977846646</v>
      </c>
      <c r="AU387" s="44">
        <f>+Tabla6[[#Totals],[Trenes Corridos]]/Tabla6[[#Totals],[Trenes Programados]]</f>
        <v>1.5779102337263564</v>
      </c>
      <c r="AV387" s="40"/>
      <c r="AW387" s="40"/>
      <c r="AX387" s="16">
        <f>SUBTOTAL(109,Tabla6[Trenes Programados])</f>
        <v>623255</v>
      </c>
      <c r="AY387" s="16">
        <f>SUBTOTAL(109,Tabla6[Trenes Cancelados])</f>
        <v>28114</v>
      </c>
      <c r="AZ387" s="16">
        <f>SUBTOTAL(109,Tabla6[Trenes Corridos])</f>
        <v>983440.44272112031</v>
      </c>
      <c r="BA387" s="16">
        <f>SUBTOTAL(109,Tabla6[Trenes Puntuales])</f>
        <v>522456</v>
      </c>
      <c r="BB387" s="16">
        <f>SUBTOTAL(109,Tabla6[Trenes Atrasados])</f>
        <v>72685</v>
      </c>
      <c r="BC387" s="40">
        <f>SUBTOTAL(103,Tabla6[Observaciones])</f>
        <v>43</v>
      </c>
      <c r="BE387" s="18" t="s">
        <v>152</v>
      </c>
      <c r="BF387" s="40"/>
      <c r="BG387" s="44">
        <f>+MIT_Vic_Cap[[#Totals],[Trenes Puntuales]]/MIT_Vic_Cap[[#Totals],[Trenes Programados]]</f>
        <v>0.63159597888650165</v>
      </c>
      <c r="BH387" s="44">
        <f>+MIT_Vic_Cap[[#Totals],[Trenes Puntuales]]/MIT_Vic_Cap[[#Totals],[Trenes Corridos]]</f>
        <v>0.43621048876875212</v>
      </c>
      <c r="BI387" s="44">
        <f>+MIT_Vic_Cap[[#Totals],[Trenes Corridos]]/MIT_Vic_Cap[[#Totals],[Trenes Programados]]</f>
        <v>1.4479156167685119</v>
      </c>
      <c r="BJ387" s="40"/>
      <c r="BK387" s="40"/>
      <c r="BL387" s="16">
        <f>SUBTOTAL(109,MIT_Vic_Cap[Trenes Programados])</f>
        <v>188505</v>
      </c>
      <c r="BM387" s="16">
        <f>SUBTOTAL(109,MIT_Vic_Cap[Trenes Cancelados])</f>
        <v>32194</v>
      </c>
      <c r="BN387" s="16">
        <f>SUBTOTAL(109,MIT_Vic_Cap[Trenes Corridos])</f>
        <v>272939.33333894832</v>
      </c>
      <c r="BO387" s="16">
        <f>SUBTOTAL(109,MIT_Vic_Cap[Trenes Puntuales])</f>
        <v>119059</v>
      </c>
      <c r="BP387" s="16">
        <f>SUBTOTAL(109,MIT_Vic_Cap[Trenes Atrasados])</f>
        <v>38387</v>
      </c>
      <c r="BQ387" s="40">
        <f>SUBTOTAL(103,MIT_Vic_Cap[Observaciones])</f>
        <v>40</v>
      </c>
      <c r="BS387" s="18" t="s">
        <v>152</v>
      </c>
      <c r="BT387" s="40"/>
      <c r="BU387" s="44">
        <f>+Tabla8[[#Totals],[Trenes Puntuales]]/Tabla8[[#Totals],[Trenes Programados]]</f>
        <v>0.60813918388628196</v>
      </c>
      <c r="BV387" s="44">
        <f>+Tabla8[[#Totals],[Trenes Puntuales]]/Tabla8[[#Totals],[Trenes Corridos]]</f>
        <v>0.39587772484247175</v>
      </c>
      <c r="BW387" s="44">
        <f>+Tabla8[[#Totals],[Trenes Corridos]]/Tabla8[[#Totals],[Trenes Programados]]</f>
        <v>1.5361793445899832</v>
      </c>
      <c r="BX387" s="40"/>
      <c r="BY387" s="40"/>
      <c r="BZ387" s="16">
        <f>SUBTOTAL(109,Tabla8[Trenes Programados])</f>
        <v>182205</v>
      </c>
      <c r="CA387" s="16">
        <f>SUBTOTAL(109,Tabla8[Trenes Cancelados])</f>
        <v>17965</v>
      </c>
      <c r="CB387" s="16">
        <f>SUBTOTAL(109,Tabla8[Trenes Corridos])</f>
        <v>279899.5574810179</v>
      </c>
      <c r="CC387" s="16">
        <f>SUBTOTAL(109,Tabla8[Trenes Puntuales])</f>
        <v>110806</v>
      </c>
      <c r="CD387" s="16">
        <f>SUBTOTAL(109,Tabla8[Trenes Atrasados])</f>
        <v>54107</v>
      </c>
      <c r="CE387" s="18">
        <f>SUBTOTAL(103,Tabla8[Observaciones])</f>
        <v>10</v>
      </c>
      <c r="CI387" s="40"/>
      <c r="CJ387" s="40"/>
      <c r="CK387" s="40"/>
      <c r="CL387" s="40"/>
      <c r="CM387" s="40"/>
    </row>
    <row r="388" spans="1:91" s="18" customFormat="1" ht="15" customHeight="1">
      <c r="A388" s="145"/>
      <c r="B388" s="146"/>
      <c r="C388" s="140"/>
      <c r="D388" s="140"/>
      <c r="E388" s="140"/>
      <c r="F388" s="147"/>
      <c r="G388" s="46"/>
      <c r="H388" s="141"/>
      <c r="I388" s="141"/>
      <c r="J388" s="141"/>
      <c r="K388" s="141"/>
      <c r="L388" s="141"/>
      <c r="M388" s="142"/>
      <c r="P388" s="164"/>
      <c r="Q388" s="165"/>
      <c r="R388" s="165"/>
      <c r="S388" s="165"/>
      <c r="T388" s="166"/>
      <c r="U388" s="166"/>
      <c r="V388" s="166"/>
      <c r="W388" s="166"/>
      <c r="X388" s="166"/>
      <c r="Y388" s="166"/>
      <c r="Z388" s="166"/>
      <c r="AA388" s="40"/>
      <c r="AD388" s="40"/>
      <c r="AE388" s="44"/>
      <c r="AF388" s="44"/>
      <c r="AG388" s="44"/>
      <c r="AH388" s="40"/>
      <c r="AI388" s="40"/>
      <c r="AJ388" s="16"/>
      <c r="AK388" s="16"/>
      <c r="AL388" s="16"/>
      <c r="AM388" s="16"/>
      <c r="AN388" s="16"/>
      <c r="AO388" s="40"/>
      <c r="AR388" s="40"/>
      <c r="AS388" s="44"/>
      <c r="AT388" s="44"/>
      <c r="AU388" s="44"/>
      <c r="AV388" s="40"/>
      <c r="AW388" s="40"/>
      <c r="AX388" s="16"/>
      <c r="AY388" s="16"/>
      <c r="AZ388" s="16"/>
      <c r="BA388" s="16"/>
      <c r="BB388" s="16"/>
      <c r="BC388" s="40"/>
      <c r="BF388" s="40"/>
      <c r="BG388" s="44"/>
      <c r="BH388" s="44"/>
      <c r="BI388" s="44"/>
      <c r="BJ388" s="40"/>
      <c r="BK388" s="40"/>
      <c r="BL388" s="16"/>
      <c r="BM388" s="16"/>
      <c r="BN388" s="16"/>
      <c r="BO388" s="16"/>
      <c r="BP388" s="16"/>
      <c r="BQ388" s="40"/>
      <c r="BT388" s="40"/>
      <c r="BU388" s="44"/>
      <c r="BV388" s="44"/>
      <c r="BW388" s="44"/>
      <c r="BX388" s="40"/>
      <c r="BY388" s="40"/>
      <c r="BZ388" s="16"/>
      <c r="CA388" s="16"/>
      <c r="CB388" s="16"/>
      <c r="CC388" s="16"/>
      <c r="CD388" s="16"/>
      <c r="CI388" s="40"/>
      <c r="CJ388" s="40"/>
      <c r="CK388" s="40"/>
      <c r="CL388" s="40"/>
      <c r="CM388" s="40"/>
    </row>
    <row r="389" spans="1:91" s="18" customFormat="1" ht="15" customHeight="1">
      <c r="A389" s="145"/>
      <c r="B389" s="146"/>
      <c r="C389" s="140"/>
      <c r="D389" s="140"/>
      <c r="E389" s="140"/>
      <c r="F389" s="147"/>
      <c r="G389" s="46"/>
      <c r="H389" s="141"/>
      <c r="I389" s="141"/>
      <c r="J389" s="141"/>
      <c r="K389" s="141"/>
      <c r="L389" s="141"/>
      <c r="M389" s="142"/>
      <c r="P389" s="164"/>
      <c r="Q389" s="165"/>
      <c r="R389" s="165"/>
      <c r="S389" s="165"/>
      <c r="T389" s="166"/>
      <c r="U389" s="166"/>
      <c r="V389" s="166"/>
      <c r="W389" s="166"/>
      <c r="X389" s="166"/>
      <c r="Y389" s="166"/>
      <c r="Z389" s="166"/>
      <c r="AA389" s="40"/>
      <c r="AD389" s="40"/>
      <c r="AE389" s="44"/>
      <c r="AF389" s="44"/>
      <c r="AG389" s="44"/>
      <c r="AH389" s="40"/>
      <c r="AI389" s="40"/>
      <c r="AJ389" s="16"/>
      <c r="AK389" s="16"/>
      <c r="AL389" s="16"/>
      <c r="AM389" s="16"/>
      <c r="AN389" s="16"/>
      <c r="AO389" s="40"/>
      <c r="AR389" s="40"/>
      <c r="AS389" s="44"/>
      <c r="AT389" s="44"/>
      <c r="AU389" s="44"/>
      <c r="AV389" s="40"/>
      <c r="AW389" s="40"/>
      <c r="AX389" s="16"/>
      <c r="AY389" s="16"/>
      <c r="AZ389" s="16"/>
      <c r="BA389" s="16"/>
      <c r="BB389" s="16"/>
      <c r="BC389" s="40"/>
      <c r="BF389" s="40"/>
      <c r="BG389" s="44"/>
      <c r="BH389" s="44"/>
      <c r="BI389" s="44"/>
      <c r="BJ389" s="40"/>
      <c r="BK389" s="40"/>
      <c r="BL389" s="16"/>
      <c r="BM389" s="16"/>
      <c r="BN389" s="16"/>
      <c r="BO389" s="16"/>
      <c r="BP389" s="16"/>
      <c r="BQ389" s="40"/>
      <c r="BT389" s="40"/>
      <c r="BU389" s="44"/>
      <c r="BV389" s="44"/>
      <c r="BW389" s="44"/>
      <c r="BX389" s="40"/>
      <c r="BY389" s="40"/>
      <c r="BZ389" s="16"/>
      <c r="CA389" s="16"/>
      <c r="CB389" s="16"/>
      <c r="CC389" s="16"/>
      <c r="CD389" s="16"/>
      <c r="CI389" s="40"/>
      <c r="CJ389" s="40"/>
      <c r="CK389" s="40"/>
      <c r="CL389" s="40"/>
      <c r="CM389" s="40"/>
    </row>
    <row r="390" spans="1:91" s="18" customFormat="1" ht="15" customHeight="1">
      <c r="A390" s="145"/>
      <c r="B390" s="146"/>
      <c r="C390" s="140"/>
      <c r="D390" s="140"/>
      <c r="E390" s="140"/>
      <c r="F390" s="147"/>
      <c r="G390" s="46"/>
      <c r="H390" s="141"/>
      <c r="I390" s="141"/>
      <c r="J390" s="141"/>
      <c r="K390" s="141"/>
      <c r="L390" s="141"/>
      <c r="M390" s="142"/>
      <c r="P390" s="164"/>
      <c r="Q390" s="165"/>
      <c r="R390" s="165"/>
      <c r="S390" s="165"/>
      <c r="T390" s="166"/>
      <c r="U390" s="166"/>
      <c r="V390" s="166"/>
      <c r="W390" s="166"/>
      <c r="X390" s="166"/>
      <c r="Y390" s="166"/>
      <c r="Z390" s="166"/>
      <c r="AA390" s="40"/>
      <c r="AD390" s="40"/>
      <c r="AE390" s="44"/>
      <c r="AF390" s="44"/>
      <c r="AG390" s="44"/>
      <c r="AH390" s="40"/>
      <c r="AI390" s="40"/>
      <c r="AJ390" s="16"/>
      <c r="AK390" s="16"/>
      <c r="AL390" s="16"/>
      <c r="AM390" s="16"/>
      <c r="AN390" s="16"/>
      <c r="AO390" s="40"/>
      <c r="AR390" s="40"/>
      <c r="AS390" s="44"/>
      <c r="AT390" s="44"/>
      <c r="AU390" s="44"/>
      <c r="AV390" s="40"/>
      <c r="AW390" s="40"/>
      <c r="AX390" s="16"/>
      <c r="AY390" s="16"/>
      <c r="AZ390" s="16"/>
      <c r="BA390" s="16"/>
      <c r="BB390" s="16"/>
      <c r="BC390" s="40"/>
      <c r="BF390" s="40"/>
      <c r="BG390" s="44"/>
      <c r="BH390" s="44"/>
      <c r="BI390" s="44"/>
      <c r="BJ390" s="40"/>
      <c r="BK390" s="40"/>
      <c r="BL390" s="16"/>
      <c r="BM390" s="16"/>
      <c r="BN390" s="16"/>
      <c r="BO390" s="16"/>
      <c r="BP390" s="16"/>
      <c r="BQ390" s="40"/>
      <c r="BT390" s="40"/>
      <c r="BU390" s="44"/>
      <c r="BV390" s="44"/>
      <c r="BW390" s="44"/>
      <c r="BX390" s="40"/>
      <c r="BY390" s="40"/>
      <c r="BZ390" s="16"/>
      <c r="CA390" s="16"/>
      <c r="CB390" s="16"/>
      <c r="CC390" s="16"/>
      <c r="CD390" s="16"/>
      <c r="CI390" s="40"/>
      <c r="CJ390" s="40"/>
      <c r="CK390" s="40"/>
      <c r="CL390" s="40"/>
      <c r="CM390" s="40"/>
    </row>
    <row r="391" spans="1:91" s="18" customFormat="1" ht="15" customHeight="1">
      <c r="A391" s="145"/>
      <c r="B391" s="146"/>
      <c r="C391" s="140"/>
      <c r="D391" s="140"/>
      <c r="E391" s="140"/>
      <c r="F391" s="147"/>
      <c r="G391" s="46"/>
      <c r="H391" s="141"/>
      <c r="I391" s="141"/>
      <c r="J391" s="141"/>
      <c r="K391" s="141"/>
      <c r="L391" s="141"/>
      <c r="M391" s="142"/>
      <c r="P391" s="164"/>
      <c r="Q391" s="165"/>
      <c r="R391" s="165"/>
      <c r="S391" s="165"/>
      <c r="T391" s="166"/>
      <c r="U391" s="166"/>
      <c r="V391" s="166"/>
      <c r="W391" s="166"/>
      <c r="X391" s="166"/>
      <c r="Y391" s="166"/>
      <c r="Z391" s="166"/>
      <c r="AA391" s="40"/>
      <c r="AD391" s="40"/>
      <c r="AE391" s="44"/>
      <c r="AF391" s="44"/>
      <c r="AG391" s="44"/>
      <c r="AH391" s="40"/>
      <c r="AI391" s="40"/>
      <c r="AJ391" s="16"/>
      <c r="AK391" s="16"/>
      <c r="AL391" s="16"/>
      <c r="AM391" s="16"/>
      <c r="AN391" s="16"/>
      <c r="AO391" s="40"/>
      <c r="AR391" s="40"/>
      <c r="AS391" s="44"/>
      <c r="AT391" s="44"/>
      <c r="AU391" s="44"/>
      <c r="AV391" s="40"/>
      <c r="AW391" s="40"/>
      <c r="AX391" s="16"/>
      <c r="AY391" s="16"/>
      <c r="AZ391" s="16"/>
      <c r="BA391" s="16"/>
      <c r="BB391" s="16"/>
      <c r="BC391" s="40"/>
      <c r="BF391" s="40"/>
      <c r="BG391" s="44"/>
      <c r="BH391" s="44"/>
      <c r="BI391" s="44"/>
      <c r="BJ391" s="40"/>
      <c r="BK391" s="40"/>
      <c r="BL391" s="16"/>
      <c r="BM391" s="16"/>
      <c r="BN391" s="16"/>
      <c r="BO391" s="16"/>
      <c r="BP391" s="16"/>
      <c r="BQ391" s="40"/>
      <c r="BT391" s="40"/>
      <c r="BU391" s="44"/>
      <c r="BV391" s="44"/>
      <c r="BW391" s="44"/>
      <c r="BX391" s="40"/>
      <c r="BY391" s="40"/>
      <c r="BZ391" s="16"/>
      <c r="CA391" s="16"/>
      <c r="CB391" s="16"/>
      <c r="CC391" s="16"/>
      <c r="CD391" s="16"/>
      <c r="CI391" s="40"/>
      <c r="CJ391" s="40"/>
      <c r="CK391" s="40"/>
      <c r="CL391" s="40"/>
      <c r="CM391" s="40"/>
    </row>
    <row r="392" spans="1:91" s="18" customFormat="1" ht="15" customHeight="1">
      <c r="A392" s="145"/>
      <c r="B392" s="146"/>
      <c r="C392" s="140"/>
      <c r="D392" s="140"/>
      <c r="E392" s="140"/>
      <c r="F392" s="147"/>
      <c r="G392" s="46"/>
      <c r="H392" s="141"/>
      <c r="I392" s="141"/>
      <c r="J392" s="141"/>
      <c r="K392" s="141"/>
      <c r="L392" s="141"/>
      <c r="M392" s="142"/>
      <c r="P392" s="164"/>
      <c r="Q392" s="165"/>
      <c r="R392" s="165"/>
      <c r="S392" s="165"/>
      <c r="T392" s="166"/>
      <c r="U392" s="166"/>
      <c r="V392" s="166"/>
      <c r="W392" s="166"/>
      <c r="X392" s="166"/>
      <c r="Y392" s="166"/>
      <c r="Z392" s="166"/>
      <c r="AA392" s="40"/>
      <c r="AD392" s="40"/>
      <c r="AE392" s="44"/>
      <c r="AF392" s="44"/>
      <c r="AG392" s="44"/>
      <c r="AH392" s="40"/>
      <c r="AI392" s="40"/>
      <c r="AJ392" s="16"/>
      <c r="AK392" s="16"/>
      <c r="AL392" s="16"/>
      <c r="AM392" s="16"/>
      <c r="AN392" s="16"/>
      <c r="AO392" s="40"/>
      <c r="AR392" s="40"/>
      <c r="AS392" s="44"/>
      <c r="AT392" s="44"/>
      <c r="AU392" s="44"/>
      <c r="AV392" s="40"/>
      <c r="AW392" s="40"/>
      <c r="AX392" s="16"/>
      <c r="AY392" s="16"/>
      <c r="AZ392" s="16"/>
      <c r="BA392" s="16"/>
      <c r="BB392" s="16"/>
      <c r="BC392" s="40"/>
      <c r="BF392" s="40"/>
      <c r="BG392" s="44"/>
      <c r="BH392" s="44"/>
      <c r="BI392" s="44"/>
      <c r="BJ392" s="40"/>
      <c r="BK392" s="40"/>
      <c r="BL392" s="16"/>
      <c r="BM392" s="16"/>
      <c r="BN392" s="16"/>
      <c r="BO392" s="16"/>
      <c r="BP392" s="16"/>
      <c r="BQ392" s="40"/>
      <c r="BT392" s="40"/>
      <c r="BU392" s="44"/>
      <c r="BV392" s="44"/>
      <c r="BW392" s="44"/>
      <c r="BX392" s="40"/>
      <c r="BY392" s="40"/>
      <c r="BZ392" s="16"/>
      <c r="CA392" s="16"/>
      <c r="CB392" s="16"/>
      <c r="CC392" s="16"/>
      <c r="CD392" s="16"/>
      <c r="CI392" s="40"/>
      <c r="CJ392" s="40"/>
      <c r="CK392" s="40"/>
      <c r="CL392" s="40"/>
      <c r="CM392" s="40"/>
    </row>
    <row r="393" spans="1:91" s="18" customFormat="1" ht="15" customHeight="1">
      <c r="A393" s="145"/>
      <c r="B393" s="146"/>
      <c r="C393" s="140"/>
      <c r="D393" s="140"/>
      <c r="E393" s="140"/>
      <c r="F393" s="147"/>
      <c r="G393" s="46"/>
      <c r="H393" s="141"/>
      <c r="I393" s="141"/>
      <c r="J393" s="141"/>
      <c r="K393" s="141"/>
      <c r="L393" s="141"/>
      <c r="M393" s="142"/>
      <c r="P393" s="164"/>
      <c r="Q393" s="165"/>
      <c r="R393" s="165"/>
      <c r="S393" s="165"/>
      <c r="T393" s="166"/>
      <c r="U393" s="166"/>
      <c r="V393" s="166"/>
      <c r="W393" s="166"/>
      <c r="X393" s="166"/>
      <c r="Y393" s="166"/>
      <c r="Z393" s="166"/>
      <c r="AA393" s="40"/>
      <c r="AD393" s="40"/>
      <c r="AE393" s="44"/>
      <c r="AF393" s="44"/>
      <c r="AG393" s="44"/>
      <c r="AH393" s="40"/>
      <c r="AI393" s="40"/>
      <c r="AJ393" s="16"/>
      <c r="AK393" s="16"/>
      <c r="AL393" s="16"/>
      <c r="AM393" s="16"/>
      <c r="AN393" s="16"/>
      <c r="AO393" s="40"/>
      <c r="AR393" s="40"/>
      <c r="AS393" s="44"/>
      <c r="AT393" s="44"/>
      <c r="AU393" s="44"/>
      <c r="AV393" s="40"/>
      <c r="AW393" s="40"/>
      <c r="AX393" s="16"/>
      <c r="AY393" s="16"/>
      <c r="AZ393" s="16"/>
      <c r="BA393" s="16"/>
      <c r="BB393" s="16"/>
      <c r="BC393" s="40"/>
      <c r="BF393" s="40"/>
      <c r="BG393" s="44"/>
      <c r="BH393" s="44"/>
      <c r="BI393" s="44"/>
      <c r="BJ393" s="40"/>
      <c r="BK393" s="40"/>
      <c r="BL393" s="16"/>
      <c r="BM393" s="16"/>
      <c r="BN393" s="16"/>
      <c r="BO393" s="16"/>
      <c r="BP393" s="16"/>
      <c r="BQ393" s="40"/>
      <c r="BT393" s="40"/>
      <c r="BU393" s="44"/>
      <c r="BV393" s="44"/>
      <c r="BW393" s="44"/>
      <c r="BX393" s="40"/>
      <c r="BY393" s="40"/>
      <c r="BZ393" s="16"/>
      <c r="CA393" s="16"/>
      <c r="CB393" s="16"/>
      <c r="CC393" s="16"/>
      <c r="CD393" s="16"/>
      <c r="CI393" s="40"/>
      <c r="CJ393" s="40"/>
      <c r="CK393" s="40"/>
      <c r="CL393" s="40"/>
      <c r="CM393" s="40"/>
    </row>
    <row r="394" spans="1:91" s="74" customFormat="1" ht="45" customHeight="1">
      <c r="A394" s="18"/>
      <c r="B394" s="21"/>
      <c r="C394" s="18"/>
      <c r="D394" s="18"/>
      <c r="E394" s="18"/>
      <c r="F394" s="18"/>
      <c r="G394" s="18"/>
      <c r="H394" s="18"/>
      <c r="I394" s="18"/>
      <c r="J394" s="18"/>
      <c r="K394" s="18"/>
      <c r="L394" s="18"/>
      <c r="M394" s="18"/>
      <c r="O394" s="18"/>
      <c r="P394" s="18"/>
      <c r="Q394" s="18"/>
      <c r="R394" s="18"/>
      <c r="S394" s="18"/>
      <c r="T394" s="18"/>
      <c r="U394" s="18"/>
      <c r="V394" s="18"/>
      <c r="W394" s="18"/>
      <c r="X394" s="18"/>
      <c r="Y394" s="18"/>
      <c r="Z394" s="18"/>
      <c r="AA394" s="18"/>
      <c r="AC394" s="18"/>
      <c r="AD394" s="18"/>
      <c r="AE394" s="18"/>
      <c r="AF394" s="18"/>
      <c r="AG394" s="18"/>
      <c r="AH394" s="18"/>
      <c r="AI394" s="18"/>
      <c r="AJ394" s="18"/>
      <c r="AK394" s="18"/>
      <c r="AL394" s="18"/>
      <c r="AM394" s="18"/>
      <c r="AN394" s="18"/>
      <c r="AO394" s="18"/>
      <c r="AQ394" s="18"/>
      <c r="AR394" s="21"/>
      <c r="AS394" s="18"/>
      <c r="AT394" s="18"/>
      <c r="AU394" s="18"/>
      <c r="AV394" s="18"/>
      <c r="AW394" s="18"/>
      <c r="AX394" s="18"/>
      <c r="AY394" s="18"/>
      <c r="AZ394" s="18"/>
      <c r="BA394" s="18"/>
      <c r="BB394" s="18"/>
      <c r="BC394" s="18"/>
      <c r="BE394" s="18"/>
      <c r="BF394" s="21"/>
      <c r="BG394" s="18"/>
      <c r="BH394" s="18"/>
      <c r="BI394" s="18"/>
      <c r="BJ394" s="18"/>
      <c r="BK394" s="18"/>
      <c r="BL394" s="18"/>
      <c r="BM394" s="18"/>
      <c r="BN394" s="18"/>
      <c r="BO394" s="18"/>
      <c r="BP394" s="18"/>
      <c r="BQ394" s="18"/>
      <c r="BS394" s="18"/>
      <c r="BT394" s="21"/>
      <c r="BU394" s="18"/>
      <c r="BV394" s="18"/>
      <c r="BW394" s="18"/>
      <c r="BX394" s="18"/>
      <c r="BY394" s="18"/>
      <c r="BZ394" s="18"/>
      <c r="CA394" s="18"/>
      <c r="CB394" s="18"/>
      <c r="CC394" s="18"/>
      <c r="CD394" s="18"/>
      <c r="CE394" s="18"/>
    </row>
    <row r="395" spans="1:91" s="18" customFormat="1" ht="15" customHeight="1">
      <c r="A395" s="187" t="s">
        <v>107</v>
      </c>
      <c r="B395" s="71" t="s">
        <v>116</v>
      </c>
      <c r="C395" s="71" t="s">
        <v>117</v>
      </c>
      <c r="D395" s="71" t="s">
        <v>118</v>
      </c>
      <c r="E395" s="71" t="s">
        <v>120</v>
      </c>
      <c r="F395" s="71" t="s">
        <v>119</v>
      </c>
      <c r="G395" s="70" t="s">
        <v>151</v>
      </c>
      <c r="H395" s="74"/>
      <c r="I395" s="74"/>
      <c r="J395" s="74"/>
      <c r="K395" s="74"/>
      <c r="L395" s="74"/>
      <c r="M395" s="74"/>
      <c r="AC395" s="74"/>
      <c r="AD395" s="74"/>
      <c r="AE395" s="74"/>
      <c r="AF395" s="74"/>
      <c r="AG395" s="74"/>
      <c r="AH395" s="74"/>
      <c r="AI395" s="74"/>
      <c r="AJ395" s="74"/>
      <c r="AK395" s="74"/>
      <c r="AL395" s="74"/>
      <c r="AM395" s="74"/>
      <c r="AN395" s="74"/>
      <c r="AO395" s="74"/>
      <c r="AQ395" s="74"/>
      <c r="AR395" s="74"/>
      <c r="AS395" s="74"/>
      <c r="AT395" s="74"/>
      <c r="AU395" s="74"/>
      <c r="AV395" s="74"/>
      <c r="AW395" s="74"/>
      <c r="AX395" s="74"/>
      <c r="AY395" s="74"/>
      <c r="AZ395" s="74"/>
      <c r="BA395" s="74"/>
      <c r="BB395" s="74"/>
      <c r="BC395" s="74"/>
      <c r="BE395" s="74"/>
      <c r="BF395" s="74"/>
      <c r="BG395" s="74"/>
      <c r="BH395" s="74"/>
      <c r="BI395" s="74"/>
      <c r="BJ395" s="74"/>
      <c r="BK395" s="74"/>
      <c r="BL395" s="74"/>
      <c r="BM395" s="74"/>
      <c r="BN395" s="74"/>
      <c r="BO395" s="74"/>
      <c r="BP395" s="74"/>
      <c r="BQ395" s="74"/>
      <c r="BS395" s="74"/>
      <c r="BT395" s="74"/>
      <c r="BU395" s="74"/>
      <c r="BV395" s="74"/>
      <c r="BW395" s="74"/>
      <c r="BX395" s="74"/>
      <c r="BY395" s="74"/>
      <c r="BZ395" s="74"/>
      <c r="CA395" s="74"/>
      <c r="CB395" s="74"/>
      <c r="CC395" s="74"/>
      <c r="CD395" s="74"/>
      <c r="CE395" s="74"/>
      <c r="CI395" s="40"/>
      <c r="CJ395" s="40"/>
      <c r="CK395" s="40"/>
      <c r="CL395" s="40"/>
      <c r="CM395" s="40"/>
    </row>
    <row r="396" spans="1:91" s="18" customFormat="1" ht="15" customHeight="1">
      <c r="A396" s="188">
        <v>1993</v>
      </c>
      <c r="B396" s="186">
        <v>175489</v>
      </c>
      <c r="C396" s="186">
        <v>21057</v>
      </c>
      <c r="D396" s="186">
        <v>154432</v>
      </c>
      <c r="E396" s="186">
        <v>133290</v>
      </c>
      <c r="F396" s="186">
        <v>21142</v>
      </c>
      <c r="G396" s="189">
        <v>0.75953478565608101</v>
      </c>
      <c r="O396" s="74"/>
      <c r="P396" s="74"/>
      <c r="Q396" s="74"/>
      <c r="R396" s="74"/>
      <c r="S396" s="74"/>
      <c r="T396" s="74"/>
      <c r="V396" s="74"/>
      <c r="W396" s="74"/>
      <c r="X396" s="74"/>
      <c r="Y396" s="74"/>
      <c r="Z396" s="74"/>
      <c r="AA396" s="74"/>
      <c r="AR396" s="21"/>
      <c r="BF396" s="21"/>
      <c r="BT396" s="21"/>
      <c r="CI396" s="40"/>
      <c r="CJ396" s="40"/>
      <c r="CK396" s="40"/>
      <c r="CL396" s="40"/>
      <c r="CM396" s="40"/>
    </row>
    <row r="397" spans="1:91" s="18" customFormat="1" ht="15" customHeight="1">
      <c r="A397" s="188">
        <v>1994</v>
      </c>
      <c r="B397" s="186">
        <v>173913</v>
      </c>
      <c r="C397" s="186">
        <v>18629</v>
      </c>
      <c r="D397" s="186">
        <v>155284</v>
      </c>
      <c r="E397" s="186">
        <v>137847</v>
      </c>
      <c r="F397" s="186">
        <v>17437</v>
      </c>
      <c r="G397" s="189">
        <v>0.79262044815511201</v>
      </c>
      <c r="AR397" s="21"/>
      <c r="BF397" s="21"/>
      <c r="BT397" s="21"/>
      <c r="CI397" s="40"/>
      <c r="CJ397" s="40"/>
      <c r="CK397" s="40"/>
      <c r="CL397" s="40"/>
      <c r="CM397" s="40"/>
    </row>
    <row r="398" spans="1:91" s="18" customFormat="1" ht="15" customHeight="1">
      <c r="A398" s="188">
        <v>1995</v>
      </c>
      <c r="B398" s="186">
        <v>161009</v>
      </c>
      <c r="C398" s="186">
        <v>8984</v>
      </c>
      <c r="D398" s="186">
        <v>152025</v>
      </c>
      <c r="E398" s="186">
        <v>136361</v>
      </c>
      <c r="F398" s="186">
        <v>15664</v>
      </c>
      <c r="G398" s="189">
        <v>0.84691538982292913</v>
      </c>
      <c r="AR398" s="21"/>
      <c r="BF398" s="21"/>
      <c r="BT398" s="21"/>
      <c r="CI398" s="40"/>
      <c r="CJ398" s="40"/>
      <c r="CK398" s="40"/>
      <c r="CL398" s="40"/>
      <c r="CM398" s="40"/>
    </row>
    <row r="399" spans="1:91" s="18" customFormat="1" ht="15" customHeight="1">
      <c r="A399" s="188">
        <v>1996</v>
      </c>
      <c r="B399" s="186">
        <v>170375</v>
      </c>
      <c r="C399" s="186">
        <v>2691</v>
      </c>
      <c r="D399" s="186">
        <v>167684</v>
      </c>
      <c r="E399" s="186">
        <v>163400</v>
      </c>
      <c r="F399" s="186">
        <v>4284</v>
      </c>
      <c r="G399" s="189">
        <v>0.95906089508437276</v>
      </c>
      <c r="AR399" s="21"/>
      <c r="BF399" s="21"/>
      <c r="BT399" s="21"/>
      <c r="CI399" s="40"/>
      <c r="CJ399" s="40"/>
      <c r="CK399" s="40"/>
      <c r="CL399" s="40"/>
      <c r="CM399" s="40"/>
    </row>
    <row r="400" spans="1:91" s="18" customFormat="1" ht="15" customHeight="1">
      <c r="A400" s="188">
        <v>1997</v>
      </c>
      <c r="B400" s="186">
        <v>178637</v>
      </c>
      <c r="C400" s="186">
        <v>642</v>
      </c>
      <c r="D400" s="186">
        <v>177995</v>
      </c>
      <c r="E400" s="186">
        <v>173353</v>
      </c>
      <c r="F400" s="186">
        <v>4642</v>
      </c>
      <c r="G400" s="189">
        <v>0.97042046160649809</v>
      </c>
      <c r="AR400" s="21"/>
      <c r="BF400" s="21"/>
      <c r="BT400" s="21"/>
      <c r="CI400" s="40"/>
      <c r="CJ400" s="40"/>
      <c r="CK400" s="40"/>
      <c r="CL400" s="40"/>
      <c r="CM400" s="40"/>
    </row>
    <row r="401" spans="1:91" s="18" customFormat="1" ht="15" customHeight="1">
      <c r="A401" s="188">
        <v>1998</v>
      </c>
      <c r="B401" s="186">
        <v>187711</v>
      </c>
      <c r="C401" s="186">
        <v>1431</v>
      </c>
      <c r="D401" s="186">
        <v>186280</v>
      </c>
      <c r="E401" s="186">
        <v>182389</v>
      </c>
      <c r="F401" s="186">
        <v>3891</v>
      </c>
      <c r="G401" s="189">
        <v>0.97164790555694658</v>
      </c>
      <c r="AR401" s="21"/>
      <c r="BF401" s="21"/>
      <c r="BT401" s="21"/>
      <c r="CI401" s="40"/>
      <c r="CJ401" s="40"/>
      <c r="CK401" s="40"/>
      <c r="CL401" s="40"/>
      <c r="CM401" s="40"/>
    </row>
    <row r="402" spans="1:91" s="18" customFormat="1" ht="15" customHeight="1">
      <c r="A402" s="188">
        <v>1999</v>
      </c>
      <c r="B402" s="186">
        <v>189764</v>
      </c>
      <c r="C402" s="186">
        <v>1208</v>
      </c>
      <c r="D402" s="186">
        <v>188556</v>
      </c>
      <c r="E402" s="186">
        <v>184508</v>
      </c>
      <c r="F402" s="186">
        <v>4048</v>
      </c>
      <c r="G402" s="189">
        <v>0.97230243881874323</v>
      </c>
      <c r="AR402" s="21"/>
      <c r="BF402" s="21"/>
      <c r="BT402" s="21"/>
      <c r="CI402" s="40"/>
      <c r="CJ402" s="40"/>
      <c r="CK402" s="40"/>
      <c r="CL402" s="40"/>
      <c r="CM402" s="40"/>
    </row>
    <row r="403" spans="1:91" s="18" customFormat="1" ht="15" customHeight="1">
      <c r="A403" s="188">
        <v>2000</v>
      </c>
      <c r="B403" s="186">
        <v>189970</v>
      </c>
      <c r="C403" s="186">
        <v>3789</v>
      </c>
      <c r="D403" s="186">
        <v>186181</v>
      </c>
      <c r="E403" s="186">
        <v>180393</v>
      </c>
      <c r="F403" s="186">
        <v>5788</v>
      </c>
      <c r="G403" s="189">
        <v>0.9495867768595041</v>
      </c>
      <c r="AR403" s="21"/>
      <c r="BF403" s="21"/>
      <c r="BT403" s="21"/>
      <c r="CI403" s="40"/>
      <c r="CJ403" s="40"/>
      <c r="CK403" s="40"/>
      <c r="CL403" s="40"/>
      <c r="CM403" s="40"/>
    </row>
    <row r="404" spans="1:91" s="18" customFormat="1" ht="15" customHeight="1">
      <c r="A404" s="188">
        <v>2001</v>
      </c>
      <c r="B404" s="186">
        <v>188922</v>
      </c>
      <c r="C404" s="186">
        <v>4721</v>
      </c>
      <c r="D404" s="186">
        <v>184201</v>
      </c>
      <c r="E404" s="186">
        <v>179690</v>
      </c>
      <c r="F404" s="186">
        <v>4511</v>
      </c>
      <c r="G404" s="189">
        <v>0.95113327193233188</v>
      </c>
      <c r="AR404" s="21"/>
      <c r="BF404" s="21"/>
      <c r="BT404" s="21"/>
      <c r="CI404" s="40"/>
      <c r="CJ404" s="40"/>
      <c r="CK404" s="40"/>
      <c r="CL404" s="40"/>
      <c r="CM404" s="40"/>
    </row>
    <row r="405" spans="1:91" s="18" customFormat="1" ht="15" customHeight="1">
      <c r="A405" s="188">
        <v>2002</v>
      </c>
      <c r="B405" s="186">
        <v>186937</v>
      </c>
      <c r="C405" s="186">
        <v>9949</v>
      </c>
      <c r="D405" s="186">
        <v>176988</v>
      </c>
      <c r="E405" s="186">
        <v>170724</v>
      </c>
      <c r="F405" s="186">
        <v>6264</v>
      </c>
      <c r="G405" s="189">
        <v>0.91327024612570007</v>
      </c>
      <c r="AR405" s="21"/>
      <c r="BF405" s="21"/>
      <c r="BT405" s="21"/>
      <c r="CI405" s="40"/>
      <c r="CJ405" s="40"/>
      <c r="CK405" s="40"/>
      <c r="CL405" s="40"/>
      <c r="CM405" s="40"/>
    </row>
    <row r="406" spans="1:91" s="18" customFormat="1" ht="15" customHeight="1">
      <c r="A406" s="188">
        <v>2003</v>
      </c>
      <c r="B406" s="186">
        <v>181386</v>
      </c>
      <c r="C406" s="186">
        <v>3877</v>
      </c>
      <c r="D406" s="186">
        <v>177509</v>
      </c>
      <c r="E406" s="186">
        <v>169292</v>
      </c>
      <c r="F406" s="186">
        <v>8217</v>
      </c>
      <c r="G406" s="189">
        <v>0.93332451236589375</v>
      </c>
      <c r="AR406" s="21"/>
      <c r="BF406" s="21"/>
      <c r="BT406" s="21"/>
      <c r="CI406" s="40"/>
      <c r="CJ406" s="40"/>
      <c r="CK406" s="40"/>
      <c r="CL406" s="40"/>
      <c r="CM406" s="40"/>
    </row>
    <row r="407" spans="1:91" s="18" customFormat="1" ht="15" customHeight="1">
      <c r="A407" s="188">
        <v>2004</v>
      </c>
      <c r="B407" s="186">
        <v>181491</v>
      </c>
      <c r="C407" s="186">
        <v>3498</v>
      </c>
      <c r="D407" s="186">
        <v>177993</v>
      </c>
      <c r="E407" s="186">
        <v>162237</v>
      </c>
      <c r="F407" s="186">
        <v>15756</v>
      </c>
      <c r="G407" s="189">
        <v>0.89391209481461886</v>
      </c>
      <c r="AR407" s="21"/>
      <c r="BF407" s="21"/>
      <c r="BT407" s="21"/>
      <c r="CI407" s="40"/>
      <c r="CJ407" s="40"/>
      <c r="CK407" s="40"/>
      <c r="CL407" s="40"/>
      <c r="CM407" s="40"/>
    </row>
    <row r="408" spans="1:91" s="18" customFormat="1" ht="15" customHeight="1">
      <c r="A408" s="188">
        <v>2005</v>
      </c>
      <c r="B408" s="186">
        <v>179155</v>
      </c>
      <c r="C408" s="186">
        <v>5752</v>
      </c>
      <c r="D408" s="186">
        <v>173403</v>
      </c>
      <c r="E408" s="186">
        <v>147966</v>
      </c>
      <c r="F408" s="186">
        <v>25437</v>
      </c>
      <c r="G408" s="189">
        <v>0.82591052440624035</v>
      </c>
      <c r="AR408" s="21"/>
      <c r="BF408" s="21"/>
      <c r="BT408" s="21"/>
      <c r="CI408" s="40"/>
      <c r="CJ408" s="40"/>
      <c r="CK408" s="40"/>
      <c r="CL408" s="40"/>
      <c r="CM408" s="40"/>
    </row>
    <row r="409" spans="1:91" s="18" customFormat="1" ht="15" customHeight="1">
      <c r="A409" s="188">
        <v>2006</v>
      </c>
      <c r="B409" s="186">
        <v>177967</v>
      </c>
      <c r="C409" s="186">
        <v>5235</v>
      </c>
      <c r="D409" s="186">
        <v>172732</v>
      </c>
      <c r="E409" s="186">
        <v>154078</v>
      </c>
      <c r="F409" s="186">
        <v>18654</v>
      </c>
      <c r="G409" s="189">
        <v>0.8657672489843623</v>
      </c>
      <c r="N409" s="75"/>
      <c r="AB409" s="75"/>
      <c r="AP409" s="75"/>
      <c r="AR409" s="21"/>
      <c r="BD409" s="75"/>
      <c r="BF409" s="21"/>
      <c r="BR409" s="75"/>
      <c r="BT409" s="21"/>
      <c r="CF409" s="75"/>
      <c r="CG409" s="75"/>
      <c r="CH409" s="75"/>
      <c r="CI409" s="40"/>
      <c r="CJ409" s="40"/>
      <c r="CK409" s="40"/>
      <c r="CL409" s="40"/>
      <c r="CM409" s="40"/>
    </row>
    <row r="410" spans="1:91" s="18" customFormat="1" ht="15" customHeight="1">
      <c r="A410" s="188">
        <v>2007</v>
      </c>
      <c r="B410" s="186">
        <v>177821</v>
      </c>
      <c r="C410" s="186">
        <v>5233</v>
      </c>
      <c r="D410" s="186">
        <v>172588</v>
      </c>
      <c r="E410" s="186">
        <v>154742</v>
      </c>
      <c r="F410" s="186">
        <v>17846</v>
      </c>
      <c r="G410" s="189">
        <v>0.87021217966381925</v>
      </c>
      <c r="J410" s="75"/>
      <c r="K410" s="75"/>
      <c r="L410" s="75"/>
      <c r="M410" s="75"/>
      <c r="N410" s="75"/>
      <c r="AB410" s="75"/>
      <c r="AC410" s="75"/>
      <c r="AD410" s="75"/>
      <c r="AE410" s="75"/>
      <c r="AF410" s="75"/>
      <c r="AG410" s="75"/>
      <c r="AH410" s="75"/>
      <c r="AI410" s="75"/>
      <c r="AJ410" s="75"/>
      <c r="AK410" s="75"/>
      <c r="AL410" s="75"/>
      <c r="AM410" s="75"/>
      <c r="AN410" s="75"/>
      <c r="AO410" s="75"/>
      <c r="AP410" s="75"/>
      <c r="AQ410" s="75"/>
      <c r="AR410" s="104"/>
      <c r="AS410" s="75"/>
      <c r="AT410" s="75"/>
      <c r="AU410" s="75"/>
      <c r="AV410" s="75"/>
      <c r="AW410" s="75"/>
      <c r="AX410" s="75"/>
      <c r="AY410" s="75"/>
      <c r="AZ410" s="75"/>
      <c r="BA410" s="75"/>
      <c r="BB410" s="75"/>
      <c r="BC410" s="75"/>
      <c r="BD410" s="75"/>
      <c r="BE410" s="75"/>
      <c r="BF410" s="104"/>
      <c r="BG410" s="75"/>
      <c r="BH410" s="75"/>
      <c r="BI410" s="75"/>
      <c r="BJ410" s="75"/>
      <c r="BK410" s="75"/>
      <c r="BL410" s="75"/>
      <c r="BM410" s="75"/>
      <c r="BN410" s="75"/>
      <c r="BO410" s="75"/>
      <c r="BP410" s="75"/>
      <c r="BQ410" s="75"/>
      <c r="BR410" s="75"/>
      <c r="BS410" s="75"/>
      <c r="BT410" s="104"/>
      <c r="BU410" s="75"/>
      <c r="BV410" s="75"/>
      <c r="BW410" s="75"/>
      <c r="BX410" s="75"/>
      <c r="BY410" s="75"/>
      <c r="BZ410" s="75"/>
      <c r="CA410" s="75"/>
      <c r="CB410" s="75"/>
      <c r="CC410" s="75"/>
      <c r="CD410" s="75"/>
      <c r="CE410" s="75"/>
      <c r="CF410" s="75"/>
      <c r="CG410" s="75"/>
      <c r="CH410" s="75"/>
      <c r="CI410" s="40"/>
      <c r="CJ410" s="40"/>
      <c r="CK410" s="40"/>
      <c r="CL410" s="40"/>
      <c r="CM410" s="40"/>
    </row>
    <row r="411" spans="1:91" s="18" customFormat="1" ht="15" customHeight="1">
      <c r="A411" s="188">
        <v>2008</v>
      </c>
      <c r="B411" s="186">
        <v>178629</v>
      </c>
      <c r="C411" s="186">
        <v>3773</v>
      </c>
      <c r="D411" s="186">
        <v>174856</v>
      </c>
      <c r="E411" s="186">
        <v>161547</v>
      </c>
      <c r="F411" s="186">
        <v>13309</v>
      </c>
      <c r="G411" s="189">
        <v>0.90437163058629899</v>
      </c>
      <c r="J411" s="102"/>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102"/>
      <c r="AM411" s="75"/>
      <c r="AN411" s="75"/>
      <c r="AO411" s="75"/>
      <c r="AP411" s="75"/>
      <c r="AQ411" s="75"/>
      <c r="AR411" s="104"/>
      <c r="AS411" s="75"/>
      <c r="AT411" s="75"/>
      <c r="AU411" s="75"/>
      <c r="AV411" s="75"/>
      <c r="AW411" s="75"/>
      <c r="AX411" s="75"/>
      <c r="AY411" s="75"/>
      <c r="AZ411" s="102"/>
      <c r="BA411" s="75"/>
      <c r="BB411" s="75"/>
      <c r="BC411" s="75"/>
      <c r="BD411" s="75"/>
      <c r="BE411" s="75"/>
      <c r="BF411" s="104"/>
      <c r="BG411" s="75"/>
      <c r="BH411" s="75"/>
      <c r="BI411" s="75"/>
      <c r="BJ411" s="75"/>
      <c r="BK411" s="75"/>
      <c r="BL411" s="75"/>
      <c r="BM411" s="75"/>
      <c r="BN411" s="102"/>
      <c r="BO411" s="75"/>
      <c r="BP411" s="75"/>
      <c r="BQ411" s="75"/>
      <c r="BR411" s="75"/>
      <c r="BS411" s="75"/>
      <c r="BT411" s="104"/>
      <c r="BU411" s="75"/>
      <c r="BV411" s="75"/>
      <c r="BW411" s="75"/>
      <c r="BX411" s="75"/>
      <c r="BY411" s="75"/>
      <c r="BZ411" s="75"/>
      <c r="CA411" s="75"/>
      <c r="CB411" s="102"/>
      <c r="CC411" s="75"/>
      <c r="CD411" s="75"/>
      <c r="CE411" s="75"/>
      <c r="CF411" s="75"/>
      <c r="CG411" s="75"/>
      <c r="CH411" s="75"/>
      <c r="CI411" s="40"/>
      <c r="CJ411" s="40"/>
      <c r="CK411" s="40"/>
      <c r="CL411" s="40"/>
      <c r="CM411" s="40"/>
    </row>
    <row r="412" spans="1:91" s="18" customFormat="1" ht="15" customHeight="1">
      <c r="A412" s="188">
        <v>2009</v>
      </c>
      <c r="B412" s="186">
        <v>177770</v>
      </c>
      <c r="C412" s="186">
        <v>4169</v>
      </c>
      <c r="D412" s="186">
        <v>173601</v>
      </c>
      <c r="E412" s="186">
        <v>152183</v>
      </c>
      <c r="F412" s="186">
        <v>21418</v>
      </c>
      <c r="G412" s="189">
        <v>0.85606682792372168</v>
      </c>
      <c r="J412" s="75"/>
      <c r="K412" s="75"/>
      <c r="L412" s="75"/>
      <c r="M412" s="75"/>
      <c r="N412" s="75"/>
      <c r="O412" s="75"/>
      <c r="P412" s="75"/>
      <c r="Q412" s="75"/>
      <c r="R412" s="75"/>
      <c r="S412" s="75"/>
      <c r="T412" s="75"/>
      <c r="U412" s="75"/>
      <c r="V412" s="75"/>
      <c r="W412" s="75"/>
      <c r="X412" s="102"/>
      <c r="Y412" s="75"/>
      <c r="Z412" s="75"/>
      <c r="AA412" s="75"/>
      <c r="AB412" s="75"/>
      <c r="AC412" s="75"/>
      <c r="AD412" s="75"/>
      <c r="AE412" s="75"/>
      <c r="AF412" s="75"/>
      <c r="AG412" s="75"/>
      <c r="AH412" s="75"/>
      <c r="AI412" s="75"/>
      <c r="AJ412" s="75"/>
      <c r="AK412" s="75"/>
      <c r="AL412" s="103"/>
      <c r="AM412" s="75"/>
      <c r="AN412" s="75"/>
      <c r="AO412" s="75"/>
      <c r="AP412" s="75"/>
      <c r="AQ412" s="75"/>
      <c r="AR412" s="104"/>
      <c r="AS412" s="75"/>
      <c r="AT412" s="75"/>
      <c r="AU412" s="75"/>
      <c r="AV412" s="75"/>
      <c r="AW412" s="75"/>
      <c r="AX412" s="75"/>
      <c r="AY412" s="75"/>
      <c r="AZ412" s="103"/>
      <c r="BA412" s="75"/>
      <c r="BB412" s="75"/>
      <c r="BC412" s="75"/>
      <c r="BD412" s="75"/>
      <c r="BE412" s="75"/>
      <c r="BF412" s="104"/>
      <c r="BG412" s="75"/>
      <c r="BH412" s="75"/>
      <c r="BI412" s="75"/>
      <c r="BJ412" s="75"/>
      <c r="BK412" s="75"/>
      <c r="BL412" s="75"/>
      <c r="BM412" s="75"/>
      <c r="BN412" s="103"/>
      <c r="BO412" s="75"/>
      <c r="BP412" s="75"/>
      <c r="BQ412" s="75"/>
      <c r="BR412" s="75"/>
      <c r="BS412" s="75"/>
      <c r="BT412" s="104"/>
      <c r="BU412" s="75"/>
      <c r="BV412" s="75"/>
      <c r="BW412" s="75"/>
      <c r="BX412" s="75"/>
      <c r="BY412" s="75"/>
      <c r="BZ412" s="75"/>
      <c r="CA412" s="75"/>
      <c r="CB412" s="103"/>
      <c r="CC412" s="75"/>
      <c r="CD412" s="75"/>
      <c r="CE412" s="75"/>
      <c r="CF412" s="75"/>
      <c r="CG412" s="75"/>
      <c r="CH412" s="75"/>
      <c r="CI412" s="40"/>
      <c r="CJ412" s="40"/>
      <c r="CK412" s="40"/>
      <c r="CL412" s="40"/>
      <c r="CM412" s="40"/>
    </row>
    <row r="413" spans="1:91" s="18" customFormat="1" ht="15" customHeight="1">
      <c r="A413" s="188">
        <v>2010</v>
      </c>
      <c r="B413" s="186">
        <v>177653</v>
      </c>
      <c r="C413" s="186">
        <v>4781</v>
      </c>
      <c r="D413" s="186">
        <v>172872</v>
      </c>
      <c r="E413" s="186">
        <v>148629</v>
      </c>
      <c r="F413" s="186">
        <v>24243</v>
      </c>
      <c r="G413" s="189">
        <v>0.83662533140447948</v>
      </c>
      <c r="J413" s="75"/>
      <c r="K413" s="75"/>
      <c r="L413" s="75"/>
      <c r="M413" s="75"/>
      <c r="O413" s="75"/>
      <c r="P413" s="75"/>
      <c r="Q413" s="75"/>
      <c r="R413" s="75"/>
      <c r="S413" s="75"/>
      <c r="T413" s="75"/>
      <c r="U413" s="75"/>
      <c r="V413" s="75"/>
      <c r="W413" s="75"/>
      <c r="X413" s="103"/>
      <c r="Y413" s="75"/>
      <c r="Z413" s="75"/>
      <c r="AA413" s="75"/>
      <c r="AC413" s="75"/>
      <c r="AD413" s="75"/>
      <c r="AE413" s="75"/>
      <c r="AF413" s="75"/>
      <c r="AG413" s="75"/>
      <c r="AH413" s="75"/>
      <c r="AI413" s="75"/>
      <c r="AJ413" s="75"/>
      <c r="AK413" s="75"/>
      <c r="AL413" s="75"/>
      <c r="AM413" s="75"/>
      <c r="AN413" s="75"/>
      <c r="AO413" s="75"/>
      <c r="AQ413" s="75"/>
      <c r="AR413" s="104"/>
      <c r="AS413" s="75"/>
      <c r="AT413" s="75"/>
      <c r="AU413" s="75"/>
      <c r="AV413" s="75"/>
      <c r="AW413" s="75"/>
      <c r="AX413" s="75"/>
      <c r="AY413" s="75"/>
      <c r="AZ413" s="75"/>
      <c r="BA413" s="75"/>
      <c r="BB413" s="75"/>
      <c r="BC413" s="75"/>
      <c r="BE413" s="75"/>
      <c r="BF413" s="104"/>
      <c r="BG413" s="75"/>
      <c r="BH413" s="75"/>
      <c r="BI413" s="75"/>
      <c r="BJ413" s="75"/>
      <c r="BK413" s="75"/>
      <c r="BL413" s="75"/>
      <c r="BM413" s="75"/>
      <c r="BN413" s="75"/>
      <c r="BO413" s="75"/>
      <c r="BP413" s="75"/>
      <c r="BQ413" s="75"/>
      <c r="BS413" s="75"/>
      <c r="BT413" s="104"/>
      <c r="BU413" s="75"/>
      <c r="BV413" s="75"/>
      <c r="BW413" s="75"/>
      <c r="BX413" s="75"/>
      <c r="BY413" s="75"/>
      <c r="BZ413" s="75"/>
      <c r="CA413" s="75"/>
      <c r="CB413" s="75"/>
      <c r="CC413" s="75"/>
      <c r="CD413" s="75"/>
      <c r="CE413" s="271"/>
      <c r="CI413" s="40"/>
      <c r="CJ413" s="40"/>
      <c r="CK413" s="40"/>
      <c r="CL413" s="40"/>
      <c r="CM413" s="40"/>
    </row>
    <row r="414" spans="1:91" s="18" customFormat="1" ht="15" customHeight="1">
      <c r="A414" s="188">
        <v>2011</v>
      </c>
      <c r="B414" s="186">
        <v>177360</v>
      </c>
      <c r="C414" s="186">
        <v>9243</v>
      </c>
      <c r="D414" s="186">
        <v>168117</v>
      </c>
      <c r="E414" s="186">
        <v>110990</v>
      </c>
      <c r="F414" s="186">
        <v>57127</v>
      </c>
      <c r="G414" s="189">
        <v>0.62578935498421295</v>
      </c>
      <c r="O414" s="75"/>
      <c r="P414" s="75"/>
      <c r="Q414" s="75"/>
      <c r="R414" s="75"/>
      <c r="S414" s="75"/>
      <c r="T414" s="75"/>
      <c r="U414" s="75"/>
      <c r="V414" s="75"/>
      <c r="W414" s="75"/>
      <c r="X414" s="75"/>
      <c r="Y414" s="75"/>
      <c r="Z414" s="75"/>
      <c r="AA414" s="75"/>
      <c r="AR414" s="21"/>
      <c r="BF414" s="21"/>
      <c r="BT414" s="21"/>
      <c r="CE414" s="271"/>
      <c r="CI414" s="40"/>
      <c r="CJ414" s="40"/>
      <c r="CK414" s="40"/>
      <c r="CL414" s="40"/>
      <c r="CM414" s="40"/>
    </row>
    <row r="415" spans="1:91" s="18" customFormat="1" ht="15" customHeight="1">
      <c r="A415" s="188">
        <v>2012</v>
      </c>
      <c r="B415" s="186">
        <v>177009</v>
      </c>
      <c r="C415" s="186">
        <v>23036</v>
      </c>
      <c r="D415" s="186">
        <v>153973</v>
      </c>
      <c r="E415" s="186">
        <v>93306</v>
      </c>
      <c r="F415" s="186">
        <v>60667</v>
      </c>
      <c r="G415" s="189">
        <v>0.52712573936918461</v>
      </c>
      <c r="AR415" s="21"/>
      <c r="BF415" s="21"/>
      <c r="BT415" s="21"/>
      <c r="CE415" s="271"/>
      <c r="CI415" s="40"/>
      <c r="CJ415" s="40"/>
      <c r="CK415" s="40"/>
      <c r="CL415" s="40"/>
      <c r="CM415" s="40"/>
    </row>
    <row r="416" spans="1:91" s="18" customFormat="1" ht="15" customHeight="1">
      <c r="A416" s="188">
        <v>2013</v>
      </c>
      <c r="B416" s="186">
        <v>138026</v>
      </c>
      <c r="C416" s="186">
        <v>37231</v>
      </c>
      <c r="D416" s="186">
        <v>100795</v>
      </c>
      <c r="E416" s="186">
        <v>64119</v>
      </c>
      <c r="F416" s="186">
        <v>36676</v>
      </c>
      <c r="G416" s="189">
        <v>0.46454291220494687</v>
      </c>
      <c r="AR416" s="21"/>
      <c r="BF416" s="21"/>
      <c r="BT416" s="21"/>
      <c r="CE416" s="271"/>
      <c r="CI416" s="40"/>
      <c r="CJ416" s="40"/>
      <c r="CK416" s="40"/>
      <c r="CL416" s="40"/>
      <c r="CM416" s="40"/>
    </row>
    <row r="417" spans="1:91" s="18" customFormat="1" ht="15" customHeight="1">
      <c r="A417" s="188">
        <v>2014</v>
      </c>
      <c r="B417" s="186">
        <v>116750</v>
      </c>
      <c r="C417" s="186">
        <v>20118</v>
      </c>
      <c r="D417" s="186">
        <v>96632</v>
      </c>
      <c r="E417" s="186">
        <v>68420</v>
      </c>
      <c r="F417" s="186">
        <v>28212</v>
      </c>
      <c r="G417" s="189">
        <v>0.58603854389721632</v>
      </c>
      <c r="AR417" s="21"/>
      <c r="BF417" s="21"/>
      <c r="BT417" s="21"/>
      <c r="CE417" s="271"/>
      <c r="CI417" s="40"/>
      <c r="CJ417" s="40"/>
      <c r="CK417" s="40"/>
      <c r="CL417" s="40"/>
      <c r="CM417" s="40"/>
    </row>
    <row r="418" spans="1:91" s="18" customFormat="1" ht="15" customHeight="1">
      <c r="A418" s="188">
        <v>2015</v>
      </c>
      <c r="B418" s="186">
        <v>129924</v>
      </c>
      <c r="C418" s="186">
        <v>6889</v>
      </c>
      <c r="D418" s="186">
        <v>123035</v>
      </c>
      <c r="E418" s="186">
        <v>108950</v>
      </c>
      <c r="F418" s="186">
        <v>14085</v>
      </c>
      <c r="G418" s="189">
        <v>0.83856716234106088</v>
      </c>
      <c r="AR418" s="21"/>
      <c r="BF418" s="21"/>
      <c r="BT418" s="21"/>
      <c r="CE418" s="271"/>
      <c r="CI418" s="40"/>
      <c r="CJ418" s="40"/>
      <c r="CK418" s="40"/>
      <c r="CL418" s="40"/>
      <c r="CM418" s="40"/>
    </row>
    <row r="419" spans="1:91" s="18" customFormat="1" ht="15" customHeight="1">
      <c r="A419" s="188">
        <v>2016</v>
      </c>
      <c r="B419" s="186">
        <v>140224</v>
      </c>
      <c r="C419" s="186">
        <v>4780</v>
      </c>
      <c r="D419" s="186">
        <v>135444</v>
      </c>
      <c r="E419" s="186">
        <v>124121</v>
      </c>
      <c r="F419" s="186">
        <v>11323</v>
      </c>
      <c r="G419" s="189">
        <v>0.88516231172980375</v>
      </c>
      <c r="AR419" s="21"/>
      <c r="BF419" s="21"/>
      <c r="BT419" s="21"/>
      <c r="CE419" s="271"/>
      <c r="CI419" s="40"/>
      <c r="CJ419" s="40"/>
      <c r="CK419" s="40"/>
      <c r="CL419" s="40"/>
      <c r="CM419" s="40"/>
    </row>
    <row r="420" spans="1:91" s="18" customFormat="1" ht="15" customHeight="1">
      <c r="A420" s="188">
        <v>2017</v>
      </c>
      <c r="B420" s="186">
        <v>141734</v>
      </c>
      <c r="C420" s="186">
        <v>4435</v>
      </c>
      <c r="D420" s="186">
        <v>137299</v>
      </c>
      <c r="E420" s="186">
        <v>122348</v>
      </c>
      <c r="F420" s="186">
        <v>14951</v>
      </c>
      <c r="G420" s="189">
        <v>0.86322265652560426</v>
      </c>
      <c r="AR420" s="21"/>
      <c r="BF420" s="21"/>
      <c r="BT420" s="21"/>
      <c r="CE420" s="271"/>
      <c r="CI420" s="40"/>
      <c r="CJ420" s="40"/>
      <c r="CK420" s="40"/>
      <c r="CL420" s="40"/>
      <c r="CM420" s="40"/>
    </row>
    <row r="421" spans="1:91" s="18" customFormat="1" ht="15" customHeight="1">
      <c r="A421" s="188">
        <v>2018</v>
      </c>
      <c r="B421" s="186">
        <v>150264</v>
      </c>
      <c r="C421" s="186">
        <v>15148</v>
      </c>
      <c r="D421" s="186">
        <v>135116</v>
      </c>
      <c r="E421" s="186">
        <v>109039</v>
      </c>
      <c r="F421" s="186">
        <v>26077</v>
      </c>
      <c r="G421" s="189">
        <v>0.72564952350529732</v>
      </c>
      <c r="AR421" s="21"/>
      <c r="BF421" s="21"/>
      <c r="BT421" s="21"/>
      <c r="CE421" s="271"/>
      <c r="CI421" s="40"/>
      <c r="CJ421" s="40"/>
      <c r="CK421" s="40"/>
      <c r="CL421" s="40"/>
      <c r="CM421" s="40"/>
    </row>
    <row r="422" spans="1:91" s="18" customFormat="1" ht="15" customHeight="1">
      <c r="A422" s="188">
        <v>2019</v>
      </c>
      <c r="B422" s="186">
        <v>142311</v>
      </c>
      <c r="C422" s="186">
        <v>12868</v>
      </c>
      <c r="D422" s="186">
        <v>129443</v>
      </c>
      <c r="E422" s="186">
        <v>102842</v>
      </c>
      <c r="F422" s="186">
        <v>26601</v>
      </c>
      <c r="G422" s="189">
        <v>0.72265671662766762</v>
      </c>
      <c r="AR422" s="21"/>
      <c r="BF422" s="21"/>
      <c r="BT422" s="21"/>
      <c r="CE422" s="271"/>
      <c r="CI422" s="40"/>
      <c r="CJ422" s="40"/>
      <c r="CK422" s="40"/>
      <c r="CL422" s="40"/>
      <c r="CM422" s="40"/>
    </row>
    <row r="423" spans="1:91" s="18" customFormat="1" ht="15" customHeight="1">
      <c r="A423" s="188">
        <v>2020</v>
      </c>
      <c r="B423" s="186">
        <v>93681</v>
      </c>
      <c r="C423" s="186">
        <v>6866</v>
      </c>
      <c r="D423" s="186">
        <v>86815</v>
      </c>
      <c r="E423" s="186">
        <v>75604</v>
      </c>
      <c r="F423" s="186">
        <v>11211</v>
      </c>
      <c r="G423" s="189">
        <v>0.80703664563785615</v>
      </c>
      <c r="AR423" s="21"/>
      <c r="BF423" s="21"/>
      <c r="BT423" s="21"/>
      <c r="CE423" s="271"/>
      <c r="CI423" s="40"/>
      <c r="CJ423" s="40"/>
      <c r="CK423" s="40"/>
      <c r="CL423" s="40"/>
      <c r="CM423" s="40"/>
    </row>
    <row r="424" spans="1:91" s="18" customFormat="1" ht="15" customHeight="1">
      <c r="A424" s="188">
        <v>2021</v>
      </c>
      <c r="B424" s="186">
        <v>99159</v>
      </c>
      <c r="C424" s="186">
        <v>2343</v>
      </c>
      <c r="D424" s="186">
        <v>96816</v>
      </c>
      <c r="E424" s="186">
        <v>86270</v>
      </c>
      <c r="F424" s="186">
        <v>10546</v>
      </c>
      <c r="G424" s="189">
        <v>0.87001684163817705</v>
      </c>
      <c r="AR424" s="21"/>
      <c r="BF424" s="21"/>
      <c r="BT424" s="21"/>
      <c r="CE424" s="271"/>
      <c r="CI424" s="40"/>
      <c r="CJ424" s="40"/>
      <c r="CK424" s="40"/>
      <c r="CL424" s="40"/>
      <c r="CM424" s="40"/>
    </row>
    <row r="425" spans="1:91" s="18" customFormat="1" ht="15" customHeight="1">
      <c r="A425" s="188">
        <v>2022</v>
      </c>
      <c r="B425" s="186">
        <v>121965</v>
      </c>
      <c r="C425" s="186">
        <v>2542</v>
      </c>
      <c r="D425" s="186">
        <v>119423</v>
      </c>
      <c r="E425" s="186">
        <v>108327</v>
      </c>
      <c r="F425" s="186">
        <v>11096</v>
      </c>
      <c r="G425" s="189">
        <v>0.88818103554298367</v>
      </c>
      <c r="AR425" s="21"/>
      <c r="BF425" s="21"/>
      <c r="BT425" s="21"/>
      <c r="CE425" s="271"/>
      <c r="CI425" s="40"/>
      <c r="CJ425" s="40"/>
      <c r="CK425" s="40"/>
      <c r="CL425" s="40"/>
      <c r="CM425" s="40"/>
    </row>
    <row r="426" spans="1:91" s="18" customFormat="1" ht="15" customHeight="1">
      <c r="A426" s="188">
        <v>2023</v>
      </c>
      <c r="B426" s="186">
        <v>125830</v>
      </c>
      <c r="C426" s="186">
        <v>3363</v>
      </c>
      <c r="D426" s="186">
        <v>122467</v>
      </c>
      <c r="E426" s="186">
        <v>111505</v>
      </c>
      <c r="F426" s="186">
        <v>10962</v>
      </c>
      <c r="G426" s="189">
        <v>0.88615592466025594</v>
      </c>
      <c r="AR426" s="21"/>
      <c r="BF426" s="21"/>
      <c r="BT426" s="21"/>
      <c r="CE426" s="271"/>
      <c r="CI426" s="40"/>
      <c r="CJ426" s="40"/>
      <c r="CK426" s="40"/>
      <c r="CL426" s="40"/>
      <c r="CM426" s="40"/>
    </row>
    <row r="427" spans="1:91" s="18" customFormat="1" ht="15" customHeight="1">
      <c r="A427" s="188">
        <v>2024</v>
      </c>
      <c r="B427" s="186">
        <v>97854</v>
      </c>
      <c r="C427" s="186">
        <v>5871</v>
      </c>
      <c r="D427" s="186">
        <v>91983</v>
      </c>
      <c r="E427" s="186">
        <v>67098</v>
      </c>
      <c r="F427" s="186">
        <v>24885</v>
      </c>
      <c r="G427" s="189">
        <v>0.68569501502238028</v>
      </c>
      <c r="AR427" s="21"/>
      <c r="BF427" s="21"/>
      <c r="BT427" s="21"/>
      <c r="CE427" s="271"/>
      <c r="CI427" s="40"/>
      <c r="CJ427" s="40"/>
      <c r="CK427" s="40"/>
      <c r="CL427" s="40"/>
      <c r="CM427" s="40"/>
    </row>
    <row r="428" spans="1:91" s="18" customFormat="1" ht="15" customHeight="1">
      <c r="B428" s="21"/>
      <c r="AR428" s="21"/>
      <c r="BF428" s="21"/>
      <c r="BT428" s="21"/>
      <c r="CE428" s="271"/>
      <c r="CI428" s="40"/>
      <c r="CJ428" s="40"/>
      <c r="CK428" s="40"/>
      <c r="CL428" s="40"/>
      <c r="CM428" s="40"/>
    </row>
    <row r="429" spans="1:91" s="18" customFormat="1" ht="15" customHeight="1">
      <c r="B429" s="21"/>
      <c r="AR429" s="21"/>
      <c r="BF429" s="21"/>
      <c r="BT429" s="21"/>
      <c r="CE429" s="271"/>
      <c r="CI429" s="40"/>
      <c r="CJ429" s="40"/>
      <c r="CK429" s="40"/>
      <c r="CL429" s="40"/>
      <c r="CM429" s="40"/>
    </row>
    <row r="430" spans="1:91" s="18" customFormat="1" ht="15" customHeight="1">
      <c r="B430" s="21"/>
      <c r="AR430" s="21"/>
      <c r="BF430" s="21"/>
      <c r="BT430" s="21"/>
      <c r="CE430" s="271"/>
      <c r="CI430" s="40"/>
      <c r="CJ430" s="40"/>
      <c r="CK430" s="40"/>
      <c r="CL430" s="40"/>
      <c r="CM430" s="40"/>
    </row>
    <row r="431" spans="1:91" s="18" customFormat="1" ht="15" customHeight="1">
      <c r="B431" s="21"/>
      <c r="AR431" s="21"/>
      <c r="BF431" s="21"/>
      <c r="BT431" s="21"/>
      <c r="CE431" s="271"/>
      <c r="CI431" s="40"/>
      <c r="CJ431" s="40"/>
      <c r="CK431" s="40"/>
      <c r="CL431" s="40"/>
      <c r="CM431" s="40"/>
    </row>
    <row r="432" spans="1:91" s="18" customFormat="1" ht="15" customHeight="1">
      <c r="B432" s="21"/>
      <c r="AR432" s="21"/>
      <c r="BF432" s="21"/>
      <c r="BT432" s="21"/>
      <c r="CE432" s="271"/>
      <c r="CI432" s="40"/>
      <c r="CJ432" s="40"/>
      <c r="CK432" s="40"/>
      <c r="CL432" s="40"/>
      <c r="CM432" s="40"/>
    </row>
    <row r="433" spans="2:91" s="18" customFormat="1" ht="15" customHeight="1">
      <c r="B433" s="21"/>
      <c r="AR433" s="21"/>
      <c r="BF433" s="21"/>
      <c r="BT433" s="21"/>
      <c r="CE433" s="271"/>
      <c r="CI433" s="40"/>
      <c r="CJ433" s="40"/>
      <c r="CK433" s="40"/>
      <c r="CL433" s="40"/>
      <c r="CM433" s="40"/>
    </row>
    <row r="434" spans="2:91" s="18" customFormat="1" ht="15" customHeight="1">
      <c r="B434" s="21"/>
      <c r="AR434" s="21"/>
      <c r="BF434" s="21"/>
      <c r="BT434" s="21"/>
      <c r="CE434" s="271"/>
      <c r="CI434" s="40"/>
      <c r="CJ434" s="40"/>
      <c r="CK434" s="40"/>
      <c r="CL434" s="40"/>
      <c r="CM434" s="40"/>
    </row>
    <row r="435" spans="2:91" s="18" customFormat="1" ht="15" customHeight="1">
      <c r="B435" s="21"/>
      <c r="AR435" s="21"/>
      <c r="BF435" s="21"/>
      <c r="BT435" s="21"/>
      <c r="CE435" s="271"/>
      <c r="CI435" s="40"/>
      <c r="CJ435" s="40"/>
      <c r="CK435" s="40"/>
      <c r="CL435" s="40"/>
      <c r="CM435" s="40"/>
    </row>
    <row r="436" spans="2:91" s="18" customFormat="1" ht="15" customHeight="1">
      <c r="B436" s="21"/>
      <c r="AR436" s="21"/>
      <c r="BF436" s="21"/>
      <c r="BT436" s="21"/>
      <c r="CE436" s="271"/>
      <c r="CI436" s="40"/>
      <c r="CJ436" s="40"/>
      <c r="CK436" s="40"/>
      <c r="CL436" s="40"/>
      <c r="CM436" s="40"/>
    </row>
    <row r="437" spans="2:91" s="18" customFormat="1" ht="15" customHeight="1">
      <c r="B437" s="21"/>
      <c r="AR437" s="21"/>
      <c r="BF437" s="21"/>
      <c r="BT437" s="21"/>
      <c r="CE437" s="271"/>
      <c r="CI437" s="40"/>
      <c r="CJ437" s="40"/>
      <c r="CK437" s="40"/>
      <c r="CL437" s="40"/>
      <c r="CM437" s="40"/>
    </row>
    <row r="438" spans="2:91" s="18" customFormat="1" ht="15" customHeight="1">
      <c r="B438" s="21"/>
      <c r="AR438" s="21"/>
      <c r="BF438" s="21"/>
      <c r="BT438" s="21"/>
      <c r="CE438" s="271"/>
      <c r="CI438" s="40"/>
      <c r="CJ438" s="40"/>
      <c r="CK438" s="40"/>
      <c r="CL438" s="40"/>
      <c r="CM438" s="40"/>
    </row>
    <row r="439" spans="2:91" s="18" customFormat="1" ht="15" customHeight="1">
      <c r="B439" s="21"/>
      <c r="AR439" s="21"/>
      <c r="BF439" s="21"/>
      <c r="BT439" s="21"/>
      <c r="CE439" s="271"/>
      <c r="CI439" s="40"/>
      <c r="CJ439" s="40"/>
      <c r="CK439" s="40"/>
      <c r="CL439" s="40"/>
      <c r="CM439" s="40"/>
    </row>
    <row r="440" spans="2:91" s="18" customFormat="1" ht="15" customHeight="1">
      <c r="B440" s="21"/>
      <c r="AR440" s="21"/>
      <c r="BF440" s="21"/>
      <c r="BT440" s="21"/>
      <c r="CE440" s="271"/>
      <c r="CI440" s="40"/>
      <c r="CJ440" s="40"/>
      <c r="CK440" s="40"/>
      <c r="CL440" s="40"/>
      <c r="CM440" s="40"/>
    </row>
    <row r="441" spans="2:91" s="18" customFormat="1" ht="15" customHeight="1">
      <c r="B441" s="21"/>
      <c r="AR441" s="21"/>
      <c r="BF441" s="21"/>
      <c r="BT441" s="21"/>
      <c r="CE441" s="271"/>
      <c r="CI441" s="40"/>
      <c r="CJ441" s="40"/>
      <c r="CK441" s="40"/>
      <c r="CL441" s="40"/>
      <c r="CM441" s="40"/>
    </row>
    <row r="442" spans="2:91" s="18" customFormat="1" ht="15" customHeight="1">
      <c r="B442" s="21"/>
      <c r="AR442" s="21"/>
      <c r="BF442" s="21"/>
      <c r="BT442" s="21"/>
      <c r="CE442" s="271"/>
      <c r="CI442" s="40"/>
      <c r="CJ442" s="40"/>
      <c r="CK442" s="40"/>
      <c r="CL442" s="40"/>
      <c r="CM442" s="40"/>
    </row>
    <row r="443" spans="2:91" s="18" customFormat="1" ht="15" customHeight="1">
      <c r="B443" s="21"/>
      <c r="AR443" s="21"/>
      <c r="BF443" s="21"/>
      <c r="BT443" s="21"/>
      <c r="CE443" s="271"/>
      <c r="CI443" s="40"/>
      <c r="CJ443" s="40"/>
      <c r="CK443" s="40"/>
      <c r="CL443" s="40"/>
      <c r="CM443" s="40"/>
    </row>
    <row r="444" spans="2:91" s="18" customFormat="1" ht="15" customHeight="1">
      <c r="B444" s="21"/>
      <c r="AR444" s="21"/>
      <c r="BF444" s="21"/>
      <c r="BT444" s="21"/>
      <c r="CE444" s="271"/>
      <c r="CI444" s="40"/>
      <c r="CJ444" s="40"/>
      <c r="CK444" s="40"/>
      <c r="CL444" s="40"/>
      <c r="CM444" s="40"/>
    </row>
    <row r="445" spans="2:91" s="18" customFormat="1" ht="15" customHeight="1">
      <c r="B445" s="21"/>
      <c r="AR445" s="21"/>
      <c r="BF445" s="21"/>
      <c r="BT445" s="21"/>
      <c r="CE445" s="271"/>
      <c r="CI445" s="40"/>
      <c r="CJ445" s="40"/>
      <c r="CK445" s="40"/>
      <c r="CL445" s="40"/>
      <c r="CM445" s="40"/>
    </row>
    <row r="446" spans="2:91" s="18" customFormat="1" ht="15" customHeight="1">
      <c r="B446" s="21"/>
      <c r="AR446" s="21"/>
      <c r="BF446" s="21"/>
      <c r="BT446" s="21"/>
      <c r="CE446" s="271"/>
      <c r="CI446" s="40"/>
      <c r="CJ446" s="40"/>
      <c r="CK446" s="40"/>
      <c r="CL446" s="40"/>
      <c r="CM446" s="40"/>
    </row>
    <row r="447" spans="2:91" s="18" customFormat="1" ht="15" customHeight="1">
      <c r="B447" s="21"/>
      <c r="AR447" s="21"/>
      <c r="BF447" s="21"/>
      <c r="BT447" s="21"/>
      <c r="CE447" s="271"/>
      <c r="CI447" s="40"/>
      <c r="CJ447" s="40"/>
      <c r="CK447" s="40"/>
      <c r="CL447" s="40"/>
      <c r="CM447" s="40"/>
    </row>
    <row r="448" spans="2:91" s="18" customFormat="1" ht="15" customHeight="1">
      <c r="B448" s="21"/>
      <c r="AR448" s="21"/>
      <c r="BF448" s="21"/>
      <c r="BT448" s="21"/>
      <c r="CE448" s="271"/>
      <c r="CI448" s="40"/>
      <c r="CJ448" s="40"/>
      <c r="CK448" s="40"/>
      <c r="CL448" s="40"/>
      <c r="CM448" s="40"/>
    </row>
    <row r="449" spans="2:91" s="18" customFormat="1" ht="15" customHeight="1">
      <c r="B449" s="21"/>
      <c r="AR449" s="21"/>
      <c r="BF449" s="21"/>
      <c r="BT449" s="21"/>
      <c r="CE449" s="271"/>
      <c r="CI449" s="40"/>
      <c r="CJ449" s="40"/>
      <c r="CK449" s="40"/>
      <c r="CL449" s="40"/>
      <c r="CM449" s="40"/>
    </row>
    <row r="450" spans="2:91" s="18" customFormat="1" ht="15" customHeight="1">
      <c r="B450" s="21"/>
      <c r="AR450" s="21"/>
      <c r="BF450" s="21"/>
      <c r="BT450" s="21"/>
      <c r="CE450" s="271"/>
      <c r="CI450" s="40"/>
      <c r="CJ450" s="40"/>
      <c r="CK450" s="40"/>
      <c r="CL450" s="40"/>
      <c r="CM450" s="40"/>
    </row>
    <row r="451" spans="2:91" s="18" customFormat="1" ht="15" customHeight="1">
      <c r="B451" s="21"/>
      <c r="AR451" s="21"/>
      <c r="BF451" s="21"/>
      <c r="BT451" s="21"/>
      <c r="CE451" s="271"/>
      <c r="CI451" s="40"/>
      <c r="CJ451" s="40"/>
      <c r="CK451" s="40"/>
      <c r="CL451" s="40"/>
      <c r="CM451" s="40"/>
    </row>
    <row r="452" spans="2:91" s="18" customFormat="1" ht="15" customHeight="1">
      <c r="B452" s="21"/>
      <c r="AR452" s="21"/>
      <c r="BF452" s="21"/>
      <c r="BT452" s="21"/>
      <c r="CE452" s="271"/>
      <c r="CI452" s="40"/>
      <c r="CJ452" s="40"/>
      <c r="CK452" s="40"/>
      <c r="CL452" s="40"/>
      <c r="CM452" s="40"/>
    </row>
    <row r="453" spans="2:91" s="18" customFormat="1" ht="15" customHeight="1">
      <c r="B453" s="21"/>
      <c r="AR453" s="21"/>
      <c r="BF453" s="21"/>
      <c r="BT453" s="21"/>
      <c r="CE453" s="271"/>
      <c r="CI453" s="40"/>
      <c r="CJ453" s="40"/>
      <c r="CK453" s="40"/>
      <c r="CL453" s="40"/>
      <c r="CM453" s="40"/>
    </row>
    <row r="454" spans="2:91" s="18" customFormat="1" ht="15" customHeight="1">
      <c r="B454" s="21"/>
      <c r="AR454" s="21"/>
      <c r="BF454" s="21"/>
      <c r="BT454" s="21"/>
      <c r="CE454" s="271"/>
      <c r="CI454" s="40"/>
      <c r="CJ454" s="40"/>
      <c r="CK454" s="40"/>
      <c r="CL454" s="40"/>
      <c r="CM454" s="40"/>
    </row>
    <row r="455" spans="2:91" s="18" customFormat="1" ht="15" customHeight="1">
      <c r="B455" s="21"/>
      <c r="AR455" s="21"/>
      <c r="BF455" s="21"/>
      <c r="BT455" s="21"/>
      <c r="CE455" s="271"/>
      <c r="CI455" s="40"/>
      <c r="CJ455" s="40"/>
      <c r="CK455" s="40"/>
      <c r="CL455" s="40"/>
      <c r="CM455" s="40"/>
    </row>
    <row r="456" spans="2:91" s="18" customFormat="1" ht="15" customHeight="1">
      <c r="B456" s="21"/>
      <c r="AR456" s="21"/>
      <c r="BF456" s="21"/>
      <c r="BT456" s="21"/>
      <c r="CE456" s="271"/>
      <c r="CI456" s="40"/>
      <c r="CJ456" s="40"/>
      <c r="CK456" s="40"/>
      <c r="CL456" s="40"/>
      <c r="CM456" s="40"/>
    </row>
    <row r="457" spans="2:91" s="18" customFormat="1" ht="15" customHeight="1">
      <c r="B457" s="21"/>
      <c r="AR457" s="21"/>
      <c r="BF457" s="21"/>
      <c r="BT457" s="21"/>
      <c r="CE457" s="271"/>
      <c r="CI457" s="40"/>
      <c r="CJ457" s="40"/>
      <c r="CK457" s="40"/>
      <c r="CL457" s="40"/>
      <c r="CM457" s="40"/>
    </row>
    <row r="458" spans="2:91" s="18" customFormat="1" ht="15" customHeight="1">
      <c r="B458" s="21"/>
      <c r="AR458" s="21"/>
      <c r="BF458" s="21"/>
      <c r="BT458" s="21"/>
      <c r="CE458" s="271"/>
      <c r="CI458" s="40"/>
      <c r="CJ458" s="40"/>
      <c r="CK458" s="40"/>
      <c r="CL458" s="40"/>
      <c r="CM458" s="40"/>
    </row>
    <row r="459" spans="2:91" s="18" customFormat="1" ht="15" customHeight="1">
      <c r="B459" s="21"/>
      <c r="AR459" s="21"/>
      <c r="BF459" s="21"/>
      <c r="BT459" s="21"/>
      <c r="CE459" s="271"/>
      <c r="CI459" s="40"/>
      <c r="CJ459" s="40"/>
      <c r="CK459" s="40"/>
      <c r="CL459" s="40"/>
      <c r="CM459" s="40"/>
    </row>
    <row r="460" spans="2:91" s="18" customFormat="1" ht="15" customHeight="1">
      <c r="B460" s="21"/>
      <c r="AR460" s="21"/>
      <c r="BF460" s="21"/>
      <c r="BT460" s="21"/>
      <c r="CE460" s="271"/>
      <c r="CI460" s="40"/>
      <c r="CJ460" s="40"/>
      <c r="CK460" s="40"/>
      <c r="CL460" s="40"/>
      <c r="CM460" s="40"/>
    </row>
    <row r="461" spans="2:91" s="18" customFormat="1" ht="15" customHeight="1">
      <c r="B461" s="21"/>
      <c r="AR461" s="21"/>
      <c r="BF461" s="21"/>
      <c r="BT461" s="21"/>
      <c r="CE461" s="271"/>
      <c r="CI461" s="40"/>
      <c r="CJ461" s="40"/>
      <c r="CK461" s="40"/>
      <c r="CL461" s="40"/>
      <c r="CM461" s="40"/>
    </row>
    <row r="462" spans="2:91" s="18" customFormat="1" ht="15" customHeight="1">
      <c r="B462" s="21"/>
      <c r="AR462" s="21"/>
      <c r="BF462" s="21"/>
      <c r="BT462" s="21"/>
      <c r="CE462" s="271"/>
      <c r="CI462" s="40"/>
      <c r="CJ462" s="40"/>
      <c r="CK462" s="40"/>
      <c r="CL462" s="40"/>
      <c r="CM462" s="40"/>
    </row>
    <row r="463" spans="2:91" s="18" customFormat="1" ht="15" customHeight="1">
      <c r="B463" s="21"/>
      <c r="AR463" s="21"/>
      <c r="BF463" s="21"/>
      <c r="BT463" s="21"/>
      <c r="CE463" s="271"/>
      <c r="CI463" s="40"/>
      <c r="CJ463" s="40"/>
      <c r="CK463" s="40"/>
      <c r="CL463" s="40"/>
      <c r="CM463" s="40"/>
    </row>
    <row r="464" spans="2:91" s="18" customFormat="1" ht="15" customHeight="1">
      <c r="B464" s="21"/>
      <c r="AR464" s="21"/>
      <c r="BF464" s="21"/>
      <c r="BT464" s="21"/>
      <c r="CE464" s="271"/>
      <c r="CI464" s="40"/>
      <c r="CJ464" s="40"/>
      <c r="CK464" s="40"/>
      <c r="CL464" s="40"/>
      <c r="CM464" s="40"/>
    </row>
    <row r="465" spans="2:91" s="18" customFormat="1" ht="15" customHeight="1">
      <c r="B465" s="21"/>
      <c r="AR465" s="21"/>
      <c r="BF465" s="21"/>
      <c r="BT465" s="21"/>
      <c r="CE465" s="271"/>
      <c r="CI465" s="40"/>
      <c r="CJ465" s="40"/>
      <c r="CK465" s="40"/>
      <c r="CL465" s="40"/>
      <c r="CM465" s="40"/>
    </row>
    <row r="466" spans="2:91" s="18" customFormat="1" ht="15" customHeight="1">
      <c r="B466" s="21"/>
      <c r="AR466" s="21"/>
      <c r="BF466" s="21"/>
      <c r="BT466" s="21"/>
      <c r="CE466" s="271"/>
      <c r="CI466" s="40"/>
      <c r="CJ466" s="40"/>
      <c r="CK466" s="40"/>
      <c r="CL466" s="40"/>
      <c r="CM466" s="40"/>
    </row>
    <row r="467" spans="2:91" s="18" customFormat="1" ht="15" customHeight="1">
      <c r="B467" s="21"/>
      <c r="AR467" s="21"/>
      <c r="BF467" s="21"/>
      <c r="BT467" s="21"/>
      <c r="CE467" s="271"/>
      <c r="CI467" s="40"/>
      <c r="CJ467" s="40"/>
      <c r="CK467" s="40"/>
      <c r="CL467" s="40"/>
      <c r="CM467" s="40"/>
    </row>
    <row r="468" spans="2:91" s="18" customFormat="1" ht="15" customHeight="1">
      <c r="B468" s="21"/>
      <c r="AR468" s="21"/>
      <c r="BF468" s="21"/>
      <c r="BT468" s="21"/>
      <c r="CE468" s="271"/>
      <c r="CI468" s="40"/>
      <c r="CJ468" s="40"/>
      <c r="CK468" s="40"/>
      <c r="CL468" s="40"/>
      <c r="CM468" s="40"/>
    </row>
    <row r="469" spans="2:91" s="18" customFormat="1" ht="15" customHeight="1">
      <c r="B469" s="21"/>
      <c r="AR469" s="21"/>
      <c r="BF469" s="21"/>
      <c r="BT469" s="21"/>
      <c r="CE469" s="271"/>
      <c r="CI469" s="40"/>
      <c r="CJ469" s="40"/>
      <c r="CK469" s="40"/>
      <c r="CL469" s="40"/>
      <c r="CM469" s="40"/>
    </row>
    <row r="470" spans="2:91" s="18" customFormat="1" ht="15" customHeight="1">
      <c r="B470" s="21"/>
      <c r="AR470" s="21"/>
      <c r="BF470" s="21"/>
      <c r="BT470" s="21"/>
      <c r="CE470" s="271"/>
      <c r="CI470" s="40"/>
      <c r="CJ470" s="40"/>
      <c r="CK470" s="40"/>
      <c r="CL470" s="40"/>
      <c r="CM470" s="40"/>
    </row>
    <row r="471" spans="2:91" s="18" customFormat="1" ht="15" customHeight="1">
      <c r="B471" s="21"/>
      <c r="AR471" s="21"/>
      <c r="BF471" s="21"/>
      <c r="BT471" s="21"/>
      <c r="CE471" s="271"/>
      <c r="CI471" s="40"/>
      <c r="CJ471" s="40"/>
      <c r="CK471" s="40"/>
      <c r="CL471" s="40"/>
      <c r="CM471" s="40"/>
    </row>
    <row r="472" spans="2:91" s="18" customFormat="1" ht="15" customHeight="1">
      <c r="B472" s="21"/>
      <c r="AR472" s="21"/>
      <c r="BF472" s="21"/>
      <c r="BT472" s="21"/>
      <c r="CE472" s="271"/>
      <c r="CI472" s="40"/>
      <c r="CJ472" s="40"/>
      <c r="CK472" s="40"/>
      <c r="CL472" s="40"/>
      <c r="CM472" s="40"/>
    </row>
    <row r="473" spans="2:91" s="18" customFormat="1" ht="15" customHeight="1">
      <c r="B473" s="21"/>
      <c r="AR473" s="21"/>
      <c r="BF473" s="21"/>
      <c r="BT473" s="21"/>
      <c r="CE473" s="271"/>
      <c r="CI473" s="40"/>
      <c r="CJ473" s="40"/>
      <c r="CK473" s="40"/>
      <c r="CL473" s="40"/>
      <c r="CM473" s="40"/>
    </row>
    <row r="474" spans="2:91" s="18" customFormat="1" ht="15" customHeight="1">
      <c r="B474" s="21"/>
      <c r="AR474" s="21"/>
      <c r="BF474" s="21"/>
      <c r="BT474" s="21"/>
      <c r="CE474" s="271"/>
      <c r="CI474" s="40"/>
      <c r="CJ474" s="40"/>
      <c r="CK474" s="40"/>
      <c r="CL474" s="40"/>
      <c r="CM474" s="40"/>
    </row>
    <row r="475" spans="2:91" s="18" customFormat="1" ht="15" customHeight="1">
      <c r="B475" s="21"/>
      <c r="AR475" s="21"/>
      <c r="BF475" s="21"/>
      <c r="BT475" s="21"/>
      <c r="CI475" s="40"/>
      <c r="CJ475" s="40"/>
      <c r="CK475" s="40"/>
      <c r="CL475" s="40"/>
      <c r="CM475" s="40"/>
    </row>
    <row r="476" spans="2:91" s="18" customFormat="1" ht="15" customHeight="1">
      <c r="B476" s="21"/>
      <c r="AR476" s="21"/>
      <c r="BF476" s="21"/>
      <c r="BT476" s="21"/>
      <c r="CI476" s="40"/>
      <c r="CJ476" s="40"/>
      <c r="CK476" s="40"/>
      <c r="CL476" s="40"/>
      <c r="CM476" s="40"/>
    </row>
    <row r="477" spans="2:91" s="18" customFormat="1" ht="15" customHeight="1">
      <c r="B477" s="21"/>
      <c r="AR477" s="21"/>
      <c r="BF477" s="21"/>
      <c r="BT477" s="21"/>
      <c r="CI477" s="40"/>
      <c r="CJ477" s="40"/>
      <c r="CK477" s="40"/>
      <c r="CL477" s="40"/>
      <c r="CM477" s="40"/>
    </row>
    <row r="478" spans="2:91" s="18" customFormat="1" ht="15" customHeight="1">
      <c r="B478" s="21"/>
      <c r="AR478" s="21"/>
      <c r="BF478" s="21"/>
      <c r="BT478" s="21"/>
      <c r="CI478" s="40"/>
      <c r="CJ478" s="40"/>
      <c r="CK478" s="40"/>
      <c r="CL478" s="40"/>
      <c r="CM478" s="40"/>
    </row>
    <row r="479" spans="2:91" s="18" customFormat="1" ht="15" customHeight="1">
      <c r="B479" s="21"/>
      <c r="AR479" s="21"/>
      <c r="BF479" s="21"/>
      <c r="BT479" s="21"/>
      <c r="CI479" s="40"/>
      <c r="CJ479" s="40"/>
      <c r="CK479" s="40"/>
      <c r="CL479" s="40"/>
      <c r="CM479" s="40"/>
    </row>
    <row r="480" spans="2:91" s="18" customFormat="1" ht="15" customHeight="1">
      <c r="B480" s="21"/>
      <c r="AR480" s="21"/>
      <c r="BF480" s="21"/>
      <c r="BT480" s="21"/>
      <c r="CI480" s="40"/>
      <c r="CJ480" s="40"/>
      <c r="CK480" s="40"/>
      <c r="CL480" s="40"/>
      <c r="CM480" s="40"/>
    </row>
    <row r="481" spans="2:91" s="18" customFormat="1" ht="15" customHeight="1">
      <c r="B481" s="21"/>
      <c r="AR481" s="21"/>
      <c r="BF481" s="21"/>
      <c r="BT481" s="21"/>
      <c r="CI481" s="40"/>
      <c r="CJ481" s="40"/>
      <c r="CK481" s="40"/>
      <c r="CL481" s="40"/>
      <c r="CM481" s="40"/>
    </row>
    <row r="482" spans="2:91" s="18" customFormat="1" ht="15" customHeight="1">
      <c r="B482" s="21"/>
      <c r="AR482" s="21"/>
      <c r="BF482" s="21"/>
      <c r="BT482" s="21"/>
      <c r="CI482" s="40"/>
      <c r="CJ482" s="40"/>
      <c r="CK482" s="40"/>
      <c r="CL482" s="40"/>
      <c r="CM482" s="40"/>
    </row>
    <row r="483" spans="2:91" s="18" customFormat="1" ht="15" customHeight="1">
      <c r="B483" s="21"/>
      <c r="AR483" s="21"/>
      <c r="BF483" s="21"/>
      <c r="BT483" s="21"/>
      <c r="CI483" s="40"/>
      <c r="CJ483" s="40"/>
      <c r="CK483" s="40"/>
      <c r="CL483" s="40"/>
      <c r="CM483" s="40"/>
    </row>
    <row r="484" spans="2:91" s="18" customFormat="1" ht="15" customHeight="1">
      <c r="B484" s="21"/>
      <c r="AR484" s="21"/>
      <c r="BF484" s="21"/>
      <c r="BT484" s="21"/>
      <c r="CI484" s="40"/>
      <c r="CJ484" s="40"/>
      <c r="CK484" s="40"/>
      <c r="CL484" s="40"/>
      <c r="CM484" s="40"/>
    </row>
    <row r="485" spans="2:91" s="18" customFormat="1" ht="15" customHeight="1">
      <c r="B485" s="21"/>
      <c r="AR485" s="21"/>
      <c r="BF485" s="21"/>
      <c r="BT485" s="21"/>
      <c r="CI485" s="40"/>
      <c r="CJ485" s="40"/>
      <c r="CK485" s="40"/>
      <c r="CL485" s="40"/>
      <c r="CM485" s="40"/>
    </row>
    <row r="486" spans="2:91" s="18" customFormat="1" ht="15" customHeight="1">
      <c r="B486" s="21"/>
      <c r="AR486" s="21"/>
      <c r="BF486" s="21"/>
      <c r="BT486" s="21"/>
      <c r="CI486" s="40"/>
      <c r="CJ486" s="40"/>
      <c r="CK486" s="40"/>
      <c r="CL486" s="40"/>
      <c r="CM486" s="40"/>
    </row>
    <row r="487" spans="2:91" s="18" customFormat="1" ht="15" customHeight="1">
      <c r="B487" s="21"/>
      <c r="AR487" s="21"/>
      <c r="BF487" s="21"/>
      <c r="BT487" s="21"/>
      <c r="CI487" s="40"/>
      <c r="CJ487" s="40"/>
      <c r="CK487" s="40"/>
      <c r="CL487" s="40"/>
      <c r="CM487" s="40"/>
    </row>
    <row r="488" spans="2:91" s="18" customFormat="1" ht="15" customHeight="1">
      <c r="B488" s="21"/>
      <c r="AR488" s="21"/>
      <c r="BF488" s="21"/>
      <c r="BT488" s="21"/>
      <c r="CI488" s="40"/>
      <c r="CJ488" s="40"/>
      <c r="CK488" s="40"/>
      <c r="CL488" s="40"/>
      <c r="CM488" s="40"/>
    </row>
    <row r="489" spans="2:91" s="18" customFormat="1" ht="15" customHeight="1">
      <c r="B489" s="21"/>
      <c r="AR489" s="21"/>
      <c r="BF489" s="21"/>
      <c r="BT489" s="21"/>
      <c r="CI489" s="40"/>
      <c r="CJ489" s="40"/>
      <c r="CK489" s="40"/>
      <c r="CL489" s="40"/>
      <c r="CM489" s="40"/>
    </row>
    <row r="490" spans="2:91" s="18" customFormat="1" ht="15" customHeight="1">
      <c r="B490" s="21"/>
      <c r="AR490" s="21"/>
      <c r="BF490" s="21"/>
      <c r="BT490" s="21"/>
      <c r="CI490" s="40"/>
      <c r="CJ490" s="40"/>
      <c r="CK490" s="40"/>
      <c r="CL490" s="40"/>
      <c r="CM490" s="40"/>
    </row>
    <row r="491" spans="2:91" s="18" customFormat="1" ht="15" customHeight="1">
      <c r="B491" s="21"/>
      <c r="AR491" s="21"/>
      <c r="BF491" s="21"/>
      <c r="BT491" s="21"/>
      <c r="CI491" s="40"/>
      <c r="CJ491" s="40"/>
      <c r="CK491" s="40"/>
      <c r="CL491" s="40"/>
      <c r="CM491" s="40"/>
    </row>
    <row r="492" spans="2:91" s="18" customFormat="1" ht="15" customHeight="1">
      <c r="B492" s="21"/>
      <c r="AR492" s="21"/>
      <c r="BF492" s="21"/>
      <c r="BT492" s="21"/>
      <c r="CI492" s="40"/>
      <c r="CJ492" s="40"/>
      <c r="CK492" s="40"/>
      <c r="CL492" s="40"/>
      <c r="CM492" s="40"/>
    </row>
    <row r="493" spans="2:91" s="18" customFormat="1" ht="15" customHeight="1">
      <c r="B493" s="21"/>
      <c r="AR493" s="21"/>
      <c r="BF493" s="21"/>
      <c r="BT493" s="21"/>
      <c r="CI493" s="40"/>
      <c r="CJ493" s="40"/>
      <c r="CK493" s="40"/>
      <c r="CL493" s="40"/>
      <c r="CM493" s="40"/>
    </row>
    <row r="494" spans="2:91" s="18" customFormat="1" ht="15" customHeight="1">
      <c r="B494" s="21"/>
      <c r="AR494" s="21"/>
      <c r="BF494" s="21"/>
      <c r="BT494" s="21"/>
      <c r="CI494" s="40"/>
      <c r="CJ494" s="40"/>
      <c r="CK494" s="40"/>
      <c r="CL494" s="40"/>
      <c r="CM494" s="40"/>
    </row>
    <row r="495" spans="2:91" s="18" customFormat="1" ht="15" customHeight="1">
      <c r="B495" s="21"/>
      <c r="AR495" s="21"/>
      <c r="BF495" s="21"/>
      <c r="BT495" s="21"/>
      <c r="CI495" s="40"/>
      <c r="CJ495" s="40"/>
      <c r="CK495" s="40"/>
      <c r="CL495" s="40"/>
      <c r="CM495" s="40"/>
    </row>
    <row r="496" spans="2:91" s="18" customFormat="1" ht="15" customHeight="1">
      <c r="B496" s="21"/>
      <c r="AR496" s="21"/>
      <c r="BF496" s="21"/>
      <c r="BT496" s="21"/>
      <c r="CI496" s="40"/>
      <c r="CJ496" s="40"/>
      <c r="CK496" s="40"/>
      <c r="CL496" s="40"/>
      <c r="CM496" s="40"/>
    </row>
    <row r="497" spans="2:91" s="18" customFormat="1" ht="15" customHeight="1">
      <c r="B497" s="21"/>
      <c r="AR497" s="21"/>
      <c r="BF497" s="21"/>
      <c r="BT497" s="21"/>
      <c r="CI497" s="40"/>
      <c r="CJ497" s="40"/>
      <c r="CK497" s="40"/>
      <c r="CL497" s="40"/>
      <c r="CM497" s="40"/>
    </row>
    <row r="498" spans="2:91" s="18" customFormat="1" ht="15" customHeight="1">
      <c r="B498" s="21"/>
      <c r="AR498" s="21"/>
      <c r="BF498" s="21"/>
      <c r="BT498" s="21"/>
      <c r="CI498" s="40"/>
      <c r="CJ498" s="40"/>
      <c r="CK498" s="40"/>
      <c r="CL498" s="40"/>
      <c r="CM498" s="40"/>
    </row>
    <row r="499" spans="2:91" s="18" customFormat="1" ht="15" customHeight="1">
      <c r="B499" s="21"/>
      <c r="AR499" s="21"/>
      <c r="BF499" s="21"/>
      <c r="BT499" s="21"/>
      <c r="CI499" s="40"/>
      <c r="CJ499" s="40"/>
      <c r="CK499" s="40"/>
      <c r="CL499" s="40"/>
      <c r="CM499" s="40"/>
    </row>
    <row r="500" spans="2:91" s="18" customFormat="1" ht="15" customHeight="1">
      <c r="B500" s="21"/>
      <c r="AR500" s="21"/>
      <c r="BF500" s="21"/>
      <c r="BT500" s="21"/>
      <c r="CI500" s="40"/>
      <c r="CJ500" s="40"/>
      <c r="CK500" s="40"/>
      <c r="CL500" s="40"/>
      <c r="CM500" s="40"/>
    </row>
    <row r="501" spans="2:91" s="18" customFormat="1" ht="15" customHeight="1">
      <c r="B501" s="21"/>
      <c r="AR501" s="21"/>
      <c r="BF501" s="21"/>
      <c r="BT501" s="21"/>
      <c r="CI501" s="40"/>
      <c r="CJ501" s="40"/>
      <c r="CK501" s="40"/>
      <c r="CL501" s="40"/>
      <c r="CM501" s="40"/>
    </row>
    <row r="502" spans="2:91" s="18" customFormat="1" ht="15" customHeight="1">
      <c r="B502" s="21"/>
      <c r="AR502" s="21"/>
      <c r="BF502" s="21"/>
      <c r="BT502" s="21"/>
      <c r="CI502" s="40"/>
      <c r="CJ502" s="40"/>
      <c r="CK502" s="40"/>
      <c r="CL502" s="40"/>
      <c r="CM502" s="40"/>
    </row>
    <row r="503" spans="2:91" s="18" customFormat="1" ht="15" customHeight="1">
      <c r="B503" s="21"/>
      <c r="AR503" s="21"/>
      <c r="BF503" s="21"/>
      <c r="BT503" s="21"/>
      <c r="CI503" s="40"/>
      <c r="CJ503" s="40"/>
      <c r="CK503" s="40"/>
      <c r="CL503" s="40"/>
      <c r="CM503" s="40"/>
    </row>
    <row r="504" spans="2:91" s="18" customFormat="1" ht="15" customHeight="1">
      <c r="B504" s="21"/>
      <c r="AR504" s="21"/>
      <c r="BF504" s="21"/>
      <c r="BT504" s="21"/>
      <c r="CI504" s="40"/>
      <c r="CJ504" s="40"/>
      <c r="CK504" s="40"/>
      <c r="CL504" s="40"/>
      <c r="CM504" s="40"/>
    </row>
    <row r="505" spans="2:91" s="18" customFormat="1" ht="15" customHeight="1">
      <c r="B505" s="21"/>
      <c r="AR505" s="21"/>
      <c r="BF505" s="21"/>
      <c r="BT505" s="21"/>
      <c r="CI505" s="40"/>
      <c r="CJ505" s="40"/>
      <c r="CK505" s="40"/>
      <c r="CL505" s="40"/>
      <c r="CM505" s="40"/>
    </row>
    <row r="506" spans="2:91" s="18" customFormat="1" ht="15" customHeight="1">
      <c r="B506" s="21"/>
      <c r="AR506" s="21"/>
      <c r="BF506" s="21"/>
      <c r="BT506" s="21"/>
      <c r="CI506" s="40"/>
      <c r="CJ506" s="40"/>
      <c r="CK506" s="40"/>
      <c r="CL506" s="40"/>
      <c r="CM506" s="40"/>
    </row>
    <row r="507" spans="2:91" s="18" customFormat="1" ht="15" customHeight="1">
      <c r="B507" s="21"/>
      <c r="AR507" s="21"/>
      <c r="BF507" s="21"/>
      <c r="BT507" s="21"/>
      <c r="CI507" s="40"/>
      <c r="CJ507" s="40"/>
      <c r="CK507" s="40"/>
      <c r="CL507" s="40"/>
      <c r="CM507" s="40"/>
    </row>
    <row r="508" spans="2:91" s="18" customFormat="1" ht="15" customHeight="1">
      <c r="B508" s="21"/>
      <c r="AR508" s="21"/>
      <c r="BF508" s="21"/>
      <c r="BT508" s="21"/>
      <c r="CI508" s="40"/>
      <c r="CJ508" s="40"/>
      <c r="CK508" s="40"/>
      <c r="CL508" s="40"/>
      <c r="CM508" s="40"/>
    </row>
    <row r="509" spans="2:91" s="18" customFormat="1" ht="15" customHeight="1">
      <c r="B509" s="21"/>
      <c r="AR509" s="21"/>
      <c r="BF509" s="21"/>
      <c r="BT509" s="21"/>
      <c r="CI509" s="40"/>
      <c r="CJ509" s="40"/>
      <c r="CK509" s="40"/>
      <c r="CL509" s="40"/>
      <c r="CM509" s="40"/>
    </row>
    <row r="510" spans="2:91" s="18" customFormat="1" ht="15" customHeight="1">
      <c r="B510" s="21"/>
      <c r="AR510" s="21"/>
      <c r="BF510" s="21"/>
      <c r="BT510" s="21"/>
      <c r="CI510" s="40"/>
      <c r="CJ510" s="40"/>
      <c r="CK510" s="40"/>
      <c r="CL510" s="40"/>
      <c r="CM510" s="40"/>
    </row>
    <row r="511" spans="2:91" s="18" customFormat="1" ht="15" customHeight="1">
      <c r="B511" s="21"/>
      <c r="AR511" s="21"/>
      <c r="BF511" s="21"/>
      <c r="BT511" s="21"/>
      <c r="CI511" s="40"/>
      <c r="CJ511" s="40"/>
      <c r="CK511" s="40"/>
      <c r="CL511" s="40"/>
      <c r="CM511" s="40"/>
    </row>
    <row r="512" spans="2:91" s="18" customFormat="1" ht="15" customHeight="1">
      <c r="B512" s="21"/>
      <c r="AR512" s="21"/>
      <c r="BF512" s="21"/>
      <c r="BT512" s="21"/>
      <c r="CI512" s="40"/>
      <c r="CJ512" s="40"/>
      <c r="CK512" s="40"/>
      <c r="CL512" s="40"/>
      <c r="CM512" s="40"/>
    </row>
    <row r="513" spans="2:91" s="18" customFormat="1" ht="15" customHeight="1">
      <c r="B513" s="21"/>
      <c r="AR513" s="21"/>
      <c r="BF513" s="21"/>
      <c r="BT513" s="21"/>
      <c r="CI513" s="40"/>
      <c r="CJ513" s="40"/>
      <c r="CK513" s="40"/>
      <c r="CL513" s="40"/>
      <c r="CM513" s="40"/>
    </row>
    <row r="514" spans="2:91" s="18" customFormat="1" ht="15" customHeight="1">
      <c r="B514" s="21"/>
      <c r="AR514" s="21"/>
      <c r="BF514" s="21"/>
      <c r="BT514" s="21"/>
      <c r="CI514" s="40"/>
      <c r="CJ514" s="40"/>
      <c r="CK514" s="40"/>
      <c r="CL514" s="40"/>
      <c r="CM514" s="40"/>
    </row>
    <row r="515" spans="2:91" s="18" customFormat="1" ht="15" customHeight="1">
      <c r="B515" s="21"/>
      <c r="AR515" s="21"/>
      <c r="BF515" s="21"/>
      <c r="BT515" s="21"/>
      <c r="CI515" s="40"/>
      <c r="CJ515" s="40"/>
      <c r="CK515" s="40"/>
      <c r="CL515" s="40"/>
      <c r="CM515" s="40"/>
    </row>
    <row r="516" spans="2:91" s="18" customFormat="1" ht="15" customHeight="1">
      <c r="B516" s="21"/>
      <c r="AR516" s="21"/>
      <c r="BF516" s="21"/>
      <c r="BT516" s="21"/>
      <c r="CI516" s="40"/>
      <c r="CJ516" s="40"/>
      <c r="CK516" s="40"/>
      <c r="CL516" s="40"/>
      <c r="CM516" s="40"/>
    </row>
    <row r="517" spans="2:91" s="18" customFormat="1" ht="15" customHeight="1">
      <c r="B517" s="21"/>
      <c r="AR517" s="21"/>
      <c r="BF517" s="21"/>
      <c r="BT517" s="21"/>
      <c r="CI517" s="40"/>
      <c r="CJ517" s="40"/>
      <c r="CK517" s="40"/>
      <c r="CL517" s="40"/>
      <c r="CM517" s="40"/>
    </row>
    <row r="518" spans="2:91" s="18" customFormat="1" ht="15" customHeight="1">
      <c r="B518" s="21"/>
      <c r="AR518" s="21"/>
      <c r="BF518" s="21"/>
      <c r="BT518" s="21"/>
      <c r="CI518" s="40"/>
      <c r="CJ518" s="40"/>
      <c r="CK518" s="40"/>
      <c r="CL518" s="40"/>
      <c r="CM518" s="40"/>
    </row>
    <row r="519" spans="2:91" s="18" customFormat="1" ht="15" customHeight="1">
      <c r="B519" s="21"/>
      <c r="AR519" s="21"/>
      <c r="BF519" s="21"/>
      <c r="BT519" s="21"/>
      <c r="CI519" s="40"/>
      <c r="CJ519" s="40"/>
      <c r="CK519" s="40"/>
      <c r="CL519" s="40"/>
      <c r="CM519" s="40"/>
    </row>
    <row r="520" spans="2:91" s="18" customFormat="1" ht="15" customHeight="1">
      <c r="B520" s="21"/>
      <c r="AR520" s="21"/>
      <c r="BF520" s="21"/>
      <c r="BT520" s="21"/>
      <c r="CI520" s="40"/>
      <c r="CJ520" s="40"/>
      <c r="CK520" s="40"/>
      <c r="CL520" s="40"/>
      <c r="CM520" s="40"/>
    </row>
    <row r="521" spans="2:91" s="18" customFormat="1" ht="15" customHeight="1">
      <c r="B521" s="21"/>
      <c r="AR521" s="21"/>
      <c r="BF521" s="21"/>
      <c r="BT521" s="21"/>
      <c r="CI521" s="40"/>
      <c r="CJ521" s="40"/>
      <c r="CK521" s="40"/>
      <c r="CL521" s="40"/>
      <c r="CM521" s="40"/>
    </row>
    <row r="522" spans="2:91" s="18" customFormat="1" ht="15" customHeight="1">
      <c r="B522" s="21"/>
      <c r="AR522" s="21"/>
      <c r="BF522" s="21"/>
      <c r="BT522" s="21"/>
      <c r="CI522" s="40"/>
      <c r="CJ522" s="40"/>
      <c r="CK522" s="40"/>
      <c r="CL522" s="40"/>
      <c r="CM522" s="40"/>
    </row>
    <row r="523" spans="2:91" s="18" customFormat="1" ht="15" customHeight="1">
      <c r="B523" s="21"/>
      <c r="AR523" s="21"/>
      <c r="BF523" s="21"/>
      <c r="BT523" s="21"/>
      <c r="CI523" s="40"/>
      <c r="CJ523" s="40"/>
      <c r="CK523" s="40"/>
      <c r="CL523" s="40"/>
      <c r="CM523" s="40"/>
    </row>
    <row r="524" spans="2:91" s="18" customFormat="1" ht="15" customHeight="1">
      <c r="B524" s="21"/>
      <c r="AR524" s="21"/>
      <c r="BF524" s="21"/>
      <c r="BT524" s="21"/>
      <c r="CI524" s="40"/>
      <c r="CJ524" s="40"/>
      <c r="CK524" s="40"/>
      <c r="CL524" s="40"/>
      <c r="CM524" s="40"/>
    </row>
    <row r="525" spans="2:91" s="18" customFormat="1" ht="15" customHeight="1">
      <c r="B525" s="21"/>
      <c r="AR525" s="21"/>
      <c r="BF525" s="21"/>
      <c r="BT525" s="21"/>
      <c r="CI525" s="40"/>
      <c r="CJ525" s="40"/>
      <c r="CK525" s="40"/>
      <c r="CL525" s="40"/>
      <c r="CM525" s="40"/>
    </row>
    <row r="526" spans="2:91" s="18" customFormat="1" ht="15" customHeight="1">
      <c r="B526" s="21"/>
      <c r="AR526" s="21"/>
      <c r="BF526" s="21"/>
      <c r="BT526" s="21"/>
      <c r="CI526" s="40"/>
      <c r="CJ526" s="40"/>
      <c r="CK526" s="40"/>
      <c r="CL526" s="40"/>
      <c r="CM526" s="40"/>
    </row>
    <row r="527" spans="2:91" s="18" customFormat="1" ht="15" customHeight="1">
      <c r="B527" s="21"/>
      <c r="AR527" s="21"/>
      <c r="BF527" s="21"/>
      <c r="BT527" s="21"/>
      <c r="CI527" s="40"/>
      <c r="CJ527" s="40"/>
      <c r="CK527" s="40"/>
      <c r="CL527" s="40"/>
      <c r="CM527" s="40"/>
    </row>
    <row r="528" spans="2:91" s="18" customFormat="1" ht="15" customHeight="1">
      <c r="B528" s="21"/>
      <c r="AR528" s="21"/>
      <c r="BF528" s="21"/>
      <c r="BT528" s="21"/>
      <c r="CI528" s="40"/>
      <c r="CJ528" s="40"/>
      <c r="CK528" s="40"/>
      <c r="CL528" s="40"/>
      <c r="CM528" s="40"/>
    </row>
    <row r="529" spans="2:91" s="18" customFormat="1" ht="15" customHeight="1">
      <c r="B529" s="21"/>
      <c r="AR529" s="21"/>
      <c r="BF529" s="21"/>
      <c r="BT529" s="21"/>
      <c r="CI529" s="40"/>
      <c r="CJ529" s="40"/>
      <c r="CK529" s="40"/>
      <c r="CL529" s="40"/>
      <c r="CM529" s="40"/>
    </row>
    <row r="530" spans="2:91" s="18" customFormat="1" ht="15" customHeight="1">
      <c r="B530" s="21"/>
      <c r="AR530" s="21"/>
      <c r="BF530" s="21"/>
      <c r="BT530" s="21"/>
      <c r="CI530" s="40"/>
      <c r="CJ530" s="40"/>
      <c r="CK530" s="40"/>
      <c r="CL530" s="40"/>
      <c r="CM530" s="40"/>
    </row>
    <row r="531" spans="2:91" s="18" customFormat="1" ht="15" customHeight="1">
      <c r="B531" s="21"/>
      <c r="AR531" s="21"/>
      <c r="BF531" s="21"/>
      <c r="BT531" s="21"/>
      <c r="CI531" s="40"/>
      <c r="CJ531" s="40"/>
      <c r="CK531" s="40"/>
      <c r="CL531" s="40"/>
      <c r="CM531" s="40"/>
    </row>
    <row r="532" spans="2:91" s="18" customFormat="1" ht="15" customHeight="1">
      <c r="B532" s="21"/>
      <c r="AR532" s="21"/>
      <c r="BF532" s="21"/>
      <c r="BT532" s="21"/>
      <c r="CI532" s="40"/>
      <c r="CJ532" s="40"/>
      <c r="CK532" s="40"/>
      <c r="CL532" s="40"/>
      <c r="CM532" s="40"/>
    </row>
    <row r="533" spans="2:91" s="18" customFormat="1" ht="15" customHeight="1">
      <c r="B533" s="21"/>
      <c r="AR533" s="21"/>
      <c r="BF533" s="21"/>
      <c r="BT533" s="21"/>
      <c r="CI533" s="40"/>
      <c r="CJ533" s="40"/>
      <c r="CK533" s="40"/>
      <c r="CL533" s="40"/>
      <c r="CM533" s="40"/>
    </row>
    <row r="534" spans="2:91" s="18" customFormat="1" ht="15" customHeight="1">
      <c r="B534" s="21"/>
      <c r="AR534" s="21"/>
      <c r="BF534" s="21"/>
      <c r="BT534" s="21"/>
      <c r="CI534" s="40"/>
      <c r="CJ534" s="40"/>
      <c r="CK534" s="40"/>
      <c r="CL534" s="40"/>
      <c r="CM534" s="40"/>
    </row>
    <row r="535" spans="2:91" s="18" customFormat="1" ht="15" customHeight="1">
      <c r="B535" s="21"/>
      <c r="AR535" s="21"/>
      <c r="BF535" s="21"/>
      <c r="BT535" s="21"/>
      <c r="CI535" s="40"/>
      <c r="CJ535" s="40"/>
      <c r="CK535" s="40"/>
      <c r="CL535" s="40"/>
      <c r="CM535" s="40"/>
    </row>
    <row r="536" spans="2:91" s="18" customFormat="1" ht="15" customHeight="1">
      <c r="B536" s="21"/>
      <c r="AR536" s="21"/>
      <c r="BF536" s="21"/>
      <c r="BT536" s="21"/>
      <c r="CI536" s="40"/>
      <c r="CJ536" s="40"/>
      <c r="CK536" s="40"/>
      <c r="CL536" s="40"/>
      <c r="CM536" s="40"/>
    </row>
    <row r="537" spans="2:91" s="18" customFormat="1" ht="15" customHeight="1">
      <c r="B537" s="21"/>
      <c r="AR537" s="21"/>
      <c r="BF537" s="21"/>
      <c r="BT537" s="21"/>
      <c r="CI537" s="40"/>
      <c r="CJ537" s="40"/>
      <c r="CK537" s="40"/>
      <c r="CL537" s="40"/>
      <c r="CM537" s="40"/>
    </row>
    <row r="538" spans="2:91" s="18" customFormat="1" ht="15" customHeight="1">
      <c r="B538" s="21"/>
      <c r="AR538" s="21"/>
      <c r="BF538" s="21"/>
      <c r="BT538" s="21"/>
      <c r="CI538" s="40"/>
      <c r="CJ538" s="40"/>
      <c r="CK538" s="40"/>
      <c r="CL538" s="40"/>
      <c r="CM538" s="40"/>
    </row>
    <row r="539" spans="2:91" s="18" customFormat="1" ht="15" customHeight="1">
      <c r="B539" s="21"/>
      <c r="AR539" s="21"/>
      <c r="BF539" s="21"/>
      <c r="BT539" s="21"/>
      <c r="CI539" s="40"/>
      <c r="CJ539" s="40"/>
      <c r="CK539" s="40"/>
      <c r="CL539" s="40"/>
      <c r="CM539" s="40"/>
    </row>
    <row r="540" spans="2:91" s="18" customFormat="1" ht="15" customHeight="1">
      <c r="B540" s="21"/>
      <c r="AR540" s="21"/>
      <c r="BF540" s="21"/>
      <c r="BT540" s="21"/>
      <c r="CI540" s="40"/>
      <c r="CJ540" s="40"/>
      <c r="CK540" s="40"/>
      <c r="CL540" s="40"/>
      <c r="CM540" s="40"/>
    </row>
    <row r="541" spans="2:91" s="18" customFormat="1" ht="15" customHeight="1">
      <c r="B541" s="21"/>
      <c r="AR541" s="21"/>
      <c r="BF541" s="21"/>
      <c r="BT541" s="21"/>
      <c r="CI541" s="40"/>
      <c r="CJ541" s="40"/>
      <c r="CK541" s="40"/>
      <c r="CL541" s="40"/>
      <c r="CM541" s="40"/>
    </row>
    <row r="542" spans="2:91" s="18" customFormat="1" ht="15" customHeight="1">
      <c r="B542" s="21"/>
      <c r="AR542" s="21"/>
      <c r="BF542" s="21"/>
      <c r="BT542" s="21"/>
      <c r="CI542" s="40"/>
      <c r="CJ542" s="40"/>
      <c r="CK542" s="40"/>
      <c r="CL542" s="40"/>
      <c r="CM542" s="40"/>
    </row>
    <row r="543" spans="2:91" s="18" customFormat="1" ht="15" customHeight="1">
      <c r="B543" s="21"/>
      <c r="AR543" s="21"/>
      <c r="BF543" s="21"/>
      <c r="BT543" s="21"/>
      <c r="CI543" s="40"/>
      <c r="CJ543" s="40"/>
      <c r="CK543" s="40"/>
      <c r="CL543" s="40"/>
      <c r="CM543" s="40"/>
    </row>
    <row r="544" spans="2:91" s="18" customFormat="1" ht="15" customHeight="1">
      <c r="B544" s="21"/>
      <c r="AR544" s="21"/>
      <c r="BF544" s="21"/>
      <c r="BT544" s="21"/>
      <c r="CI544" s="40"/>
      <c r="CJ544" s="40"/>
      <c r="CK544" s="40"/>
      <c r="CL544" s="40"/>
      <c r="CM544" s="40"/>
    </row>
    <row r="545" spans="2:91" s="18" customFormat="1" ht="15" customHeight="1">
      <c r="B545" s="21"/>
      <c r="AR545" s="21"/>
      <c r="BF545" s="21"/>
      <c r="BT545" s="21"/>
      <c r="CI545" s="40"/>
      <c r="CJ545" s="40"/>
      <c r="CK545" s="40"/>
      <c r="CL545" s="40"/>
      <c r="CM545" s="40"/>
    </row>
    <row r="546" spans="2:91" s="18" customFormat="1" ht="15" customHeight="1">
      <c r="B546" s="21"/>
      <c r="AR546" s="21"/>
      <c r="BF546" s="21"/>
      <c r="BT546" s="21"/>
      <c r="CI546" s="40"/>
      <c r="CJ546" s="40"/>
      <c r="CK546" s="40"/>
      <c r="CL546" s="40"/>
      <c r="CM546" s="40"/>
    </row>
    <row r="547" spans="2:91" s="18" customFormat="1" ht="15" customHeight="1">
      <c r="B547" s="21"/>
      <c r="AR547" s="21"/>
      <c r="BF547" s="21"/>
      <c r="BT547" s="21"/>
      <c r="CI547" s="40"/>
      <c r="CJ547" s="40"/>
      <c r="CK547" s="40"/>
      <c r="CL547" s="40"/>
      <c r="CM547" s="40"/>
    </row>
    <row r="548" spans="2:91" s="18" customFormat="1" ht="15" customHeight="1">
      <c r="B548" s="21"/>
      <c r="AR548" s="21"/>
      <c r="BF548" s="21"/>
      <c r="BT548" s="21"/>
      <c r="CI548" s="40"/>
      <c r="CJ548" s="40"/>
      <c r="CK548" s="40"/>
      <c r="CL548" s="40"/>
      <c r="CM548" s="40"/>
    </row>
    <row r="549" spans="2:91" s="18" customFormat="1" ht="15" customHeight="1">
      <c r="B549" s="21"/>
      <c r="AR549" s="21"/>
      <c r="BF549" s="21"/>
      <c r="BT549" s="21"/>
      <c r="CI549" s="40"/>
      <c r="CJ549" s="40"/>
      <c r="CK549" s="40"/>
      <c r="CL549" s="40"/>
      <c r="CM549" s="40"/>
    </row>
    <row r="550" spans="2:91" s="18" customFormat="1" ht="15" customHeight="1">
      <c r="B550" s="21"/>
      <c r="AR550" s="21"/>
      <c r="BF550" s="21"/>
      <c r="BT550" s="21"/>
      <c r="CI550" s="40"/>
      <c r="CJ550" s="40"/>
      <c r="CK550" s="40"/>
      <c r="CL550" s="40"/>
      <c r="CM550" s="40"/>
    </row>
    <row r="551" spans="2:91" s="18" customFormat="1" ht="15" customHeight="1">
      <c r="B551" s="21"/>
      <c r="AR551" s="21"/>
      <c r="BF551" s="21"/>
      <c r="BT551" s="21"/>
      <c r="CI551" s="40"/>
      <c r="CJ551" s="40"/>
      <c r="CK551" s="40"/>
      <c r="CL551" s="40"/>
      <c r="CM551" s="40"/>
    </row>
    <row r="552" spans="2:91" s="18" customFormat="1" ht="15" customHeight="1">
      <c r="B552" s="21"/>
      <c r="AR552" s="21"/>
      <c r="BF552" s="21"/>
      <c r="BT552" s="21"/>
      <c r="CI552" s="40"/>
      <c r="CJ552" s="40"/>
      <c r="CK552" s="40"/>
      <c r="CL552" s="40"/>
      <c r="CM552" s="40"/>
    </row>
    <row r="553" spans="2:91" s="18" customFormat="1" ht="15" customHeight="1">
      <c r="B553" s="21"/>
      <c r="AR553" s="21"/>
      <c r="BF553" s="21"/>
      <c r="BT553" s="21"/>
      <c r="CI553" s="40"/>
      <c r="CJ553" s="40"/>
      <c r="CK553" s="40"/>
      <c r="CL553" s="40"/>
      <c r="CM553" s="40"/>
    </row>
    <row r="554" spans="2:91" s="18" customFormat="1" ht="15" customHeight="1">
      <c r="B554" s="21"/>
      <c r="AR554" s="21"/>
      <c r="BF554" s="21"/>
      <c r="BT554" s="21"/>
      <c r="CI554" s="40"/>
      <c r="CJ554" s="40"/>
      <c r="CK554" s="40"/>
      <c r="CL554" s="40"/>
      <c r="CM554" s="40"/>
    </row>
    <row r="555" spans="2:91" s="18" customFormat="1" ht="15" customHeight="1">
      <c r="B555" s="21"/>
      <c r="AR555" s="21"/>
      <c r="BF555" s="21"/>
      <c r="BT555" s="21"/>
      <c r="CI555" s="40"/>
      <c r="CJ555" s="40"/>
      <c r="CK555" s="40"/>
      <c r="CL555" s="40"/>
      <c r="CM555" s="40"/>
    </row>
    <row r="556" spans="2:91" s="18" customFormat="1" ht="15" customHeight="1">
      <c r="B556" s="21"/>
      <c r="AR556" s="21"/>
      <c r="BF556" s="21"/>
      <c r="BT556" s="21"/>
      <c r="CI556" s="40"/>
      <c r="CJ556" s="40"/>
      <c r="CK556" s="40"/>
      <c r="CL556" s="40"/>
      <c r="CM556" s="40"/>
    </row>
    <row r="557" spans="2:91" s="18" customFormat="1" ht="15" customHeight="1">
      <c r="B557" s="21"/>
      <c r="AR557" s="21"/>
      <c r="BF557" s="21"/>
      <c r="BT557" s="21"/>
      <c r="CI557" s="40"/>
      <c r="CJ557" s="40"/>
      <c r="CK557" s="40"/>
      <c r="CL557" s="40"/>
      <c r="CM557" s="40"/>
    </row>
    <row r="558" spans="2:91" s="18" customFormat="1" ht="15" customHeight="1">
      <c r="B558" s="21"/>
      <c r="AR558" s="21"/>
      <c r="BF558" s="21"/>
      <c r="BT558" s="21"/>
      <c r="CI558" s="40"/>
      <c r="CJ558" s="40"/>
      <c r="CK558" s="40"/>
      <c r="CL558" s="40"/>
      <c r="CM558" s="40"/>
    </row>
    <row r="559" spans="2:91" s="18" customFormat="1" ht="15" customHeight="1">
      <c r="B559" s="21"/>
      <c r="AR559" s="21"/>
      <c r="BF559" s="21"/>
      <c r="BT559" s="21"/>
      <c r="CI559" s="40"/>
      <c r="CJ559" s="40"/>
      <c r="CK559" s="40"/>
      <c r="CL559" s="40"/>
      <c r="CM559" s="40"/>
    </row>
    <row r="560" spans="2:91" s="18" customFormat="1" ht="15" customHeight="1">
      <c r="B560" s="21"/>
      <c r="AR560" s="21"/>
      <c r="BF560" s="21"/>
      <c r="BT560" s="21"/>
      <c r="CI560" s="40"/>
      <c r="CJ560" s="40"/>
      <c r="CK560" s="40"/>
      <c r="CL560" s="40"/>
      <c r="CM560" s="40"/>
    </row>
    <row r="561" spans="2:91" s="18" customFormat="1" ht="15" customHeight="1">
      <c r="B561" s="21"/>
      <c r="AR561" s="21"/>
      <c r="BF561" s="21"/>
      <c r="BT561" s="21"/>
      <c r="CI561" s="40"/>
      <c r="CJ561" s="40"/>
      <c r="CK561" s="40"/>
      <c r="CL561" s="40"/>
      <c r="CM561" s="40"/>
    </row>
    <row r="562" spans="2:91" s="18" customFormat="1" ht="15" customHeight="1">
      <c r="B562" s="21"/>
      <c r="AR562" s="21"/>
      <c r="BF562" s="21"/>
      <c r="BT562" s="21"/>
      <c r="CI562" s="40"/>
      <c r="CJ562" s="40"/>
      <c r="CK562" s="40"/>
      <c r="CL562" s="40"/>
      <c r="CM562" s="40"/>
    </row>
    <row r="563" spans="2:91" s="18" customFormat="1" ht="15" customHeight="1">
      <c r="B563" s="21"/>
      <c r="AR563" s="21"/>
      <c r="BF563" s="21"/>
      <c r="BT563" s="21"/>
      <c r="CI563" s="40"/>
      <c r="CJ563" s="40"/>
      <c r="CK563" s="40"/>
      <c r="CL563" s="40"/>
      <c r="CM563" s="40"/>
    </row>
    <row r="564" spans="2:91" s="18" customFormat="1" ht="15" customHeight="1">
      <c r="B564" s="21"/>
      <c r="AR564" s="21"/>
      <c r="BF564" s="21"/>
      <c r="BT564" s="21"/>
      <c r="CI564" s="40"/>
      <c r="CJ564" s="40"/>
      <c r="CK564" s="40"/>
      <c r="CL564" s="40"/>
      <c r="CM564" s="40"/>
    </row>
    <row r="565" spans="2:91" s="18" customFormat="1" ht="15" customHeight="1">
      <c r="B565" s="21"/>
      <c r="AR565" s="21"/>
      <c r="BF565" s="21"/>
      <c r="BT565" s="21"/>
      <c r="CI565" s="40"/>
      <c r="CJ565" s="40"/>
      <c r="CK565" s="40"/>
      <c r="CL565" s="40"/>
      <c r="CM565" s="40"/>
    </row>
    <row r="566" spans="2:91" s="18" customFormat="1" ht="15" customHeight="1">
      <c r="B566" s="21"/>
      <c r="AR566" s="21"/>
      <c r="BF566" s="21"/>
      <c r="BT566" s="21"/>
      <c r="CI566" s="40"/>
      <c r="CJ566" s="40"/>
      <c r="CK566" s="40"/>
      <c r="CL566" s="40"/>
      <c r="CM566" s="40"/>
    </row>
    <row r="567" spans="2:91" s="18" customFormat="1" ht="15" customHeight="1">
      <c r="B567" s="21"/>
      <c r="AR567" s="21"/>
      <c r="BF567" s="21"/>
      <c r="BT567" s="21"/>
      <c r="CI567" s="40"/>
      <c r="CJ567" s="40"/>
      <c r="CK567" s="40"/>
      <c r="CL567" s="40"/>
      <c r="CM567" s="40"/>
    </row>
    <row r="568" spans="2:91" s="18" customFormat="1" ht="15" customHeight="1">
      <c r="B568" s="21"/>
      <c r="AR568" s="21"/>
      <c r="BF568" s="21"/>
      <c r="BT568" s="21"/>
      <c r="CI568" s="40"/>
      <c r="CJ568" s="40"/>
      <c r="CK568" s="40"/>
      <c r="CL568" s="40"/>
      <c r="CM568" s="40"/>
    </row>
    <row r="569" spans="2:91" s="18" customFormat="1" ht="15" customHeight="1">
      <c r="B569" s="21"/>
      <c r="AR569" s="21"/>
      <c r="BF569" s="21"/>
      <c r="BT569" s="21"/>
      <c r="CI569" s="40"/>
      <c r="CJ569" s="40"/>
      <c r="CK569" s="40"/>
      <c r="CL569" s="40"/>
      <c r="CM569" s="40"/>
    </row>
    <row r="570" spans="2:91" s="18" customFormat="1" ht="15" customHeight="1">
      <c r="B570" s="21"/>
      <c r="AR570" s="21"/>
      <c r="BF570" s="21"/>
      <c r="BT570" s="21"/>
      <c r="CI570" s="40"/>
      <c r="CJ570" s="40"/>
      <c r="CK570" s="40"/>
      <c r="CL570" s="40"/>
      <c r="CM570" s="40"/>
    </row>
    <row r="571" spans="2:91" s="18" customFormat="1" ht="15" customHeight="1">
      <c r="B571" s="21"/>
      <c r="AR571" s="21"/>
      <c r="BF571" s="21"/>
      <c r="BT571" s="21"/>
      <c r="CI571" s="40"/>
      <c r="CJ571" s="40"/>
      <c r="CK571" s="40"/>
      <c r="CL571" s="40"/>
      <c r="CM571" s="40"/>
    </row>
    <row r="572" spans="2:91" s="18" customFormat="1" ht="15" customHeight="1">
      <c r="B572" s="21"/>
      <c r="AR572" s="21"/>
      <c r="BF572" s="21"/>
      <c r="BT572" s="21"/>
      <c r="CI572" s="40"/>
      <c r="CJ572" s="40"/>
      <c r="CK572" s="40"/>
      <c r="CL572" s="40"/>
      <c r="CM572" s="40"/>
    </row>
    <row r="573" spans="2:91" s="18" customFormat="1" ht="15" customHeight="1">
      <c r="B573" s="21"/>
      <c r="AR573" s="21"/>
      <c r="BF573" s="21"/>
      <c r="BT573" s="21"/>
      <c r="CI573" s="40"/>
      <c r="CJ573" s="40"/>
      <c r="CK573" s="40"/>
      <c r="CL573" s="40"/>
      <c r="CM573" s="40"/>
    </row>
    <row r="574" spans="2:91" s="18" customFormat="1" ht="15" customHeight="1">
      <c r="B574" s="21"/>
      <c r="AR574" s="21"/>
      <c r="BF574" s="21"/>
      <c r="BT574" s="21"/>
      <c r="CI574" s="40"/>
      <c r="CJ574" s="40"/>
      <c r="CK574" s="40"/>
      <c r="CL574" s="40"/>
      <c r="CM574" s="40"/>
    </row>
    <row r="575" spans="2:91" s="18" customFormat="1" ht="15" customHeight="1">
      <c r="B575" s="21"/>
      <c r="AR575" s="21"/>
      <c r="BF575" s="21"/>
      <c r="BT575" s="21"/>
      <c r="CI575" s="40"/>
      <c r="CJ575" s="40"/>
      <c r="CK575" s="40"/>
      <c r="CL575" s="40"/>
      <c r="CM575" s="40"/>
    </row>
    <row r="576" spans="2:91" s="18" customFormat="1" ht="15" customHeight="1">
      <c r="B576" s="21"/>
      <c r="AR576" s="21"/>
      <c r="BF576" s="21"/>
      <c r="BT576" s="21"/>
      <c r="CI576" s="40"/>
      <c r="CJ576" s="40"/>
      <c r="CK576" s="40"/>
      <c r="CL576" s="40"/>
      <c r="CM576" s="40"/>
    </row>
    <row r="577" spans="2:91" s="18" customFormat="1" ht="15" customHeight="1">
      <c r="B577" s="21"/>
      <c r="AR577" s="21"/>
      <c r="BF577" s="21"/>
      <c r="BT577" s="21"/>
      <c r="CI577" s="40"/>
      <c r="CJ577" s="40"/>
      <c r="CK577" s="40"/>
      <c r="CL577" s="40"/>
      <c r="CM577" s="40"/>
    </row>
    <row r="578" spans="2:91" s="18" customFormat="1" ht="15" customHeight="1">
      <c r="B578" s="21"/>
      <c r="AR578" s="21"/>
      <c r="BF578" s="21"/>
      <c r="BT578" s="21"/>
      <c r="CI578" s="40"/>
      <c r="CJ578" s="40"/>
      <c r="CK578" s="40"/>
      <c r="CL578" s="40"/>
      <c r="CM578" s="40"/>
    </row>
    <row r="579" spans="2:91" s="18" customFormat="1" ht="15" customHeight="1">
      <c r="B579" s="21"/>
      <c r="AR579" s="21"/>
      <c r="BF579" s="21"/>
      <c r="BT579" s="21"/>
      <c r="CI579" s="40"/>
      <c r="CJ579" s="40"/>
      <c r="CK579" s="40"/>
      <c r="CL579" s="40"/>
      <c r="CM579" s="40"/>
    </row>
    <row r="580" spans="2:91" s="18" customFormat="1" ht="15" customHeight="1">
      <c r="B580" s="21"/>
      <c r="AR580" s="21"/>
      <c r="BF580" s="21"/>
      <c r="BT580" s="21"/>
      <c r="CI580" s="40"/>
      <c r="CJ580" s="40"/>
      <c r="CK580" s="40"/>
      <c r="CL580" s="40"/>
      <c r="CM580" s="40"/>
    </row>
    <row r="581" spans="2:91" s="18" customFormat="1" ht="15" customHeight="1">
      <c r="B581" s="21"/>
      <c r="AR581" s="21"/>
      <c r="BF581" s="21"/>
      <c r="BT581" s="21"/>
      <c r="CI581" s="40"/>
      <c r="CJ581" s="40"/>
      <c r="CK581" s="40"/>
      <c r="CL581" s="40"/>
      <c r="CM581" s="40"/>
    </row>
    <row r="582" spans="2:91" s="18" customFormat="1" ht="15" customHeight="1">
      <c r="B582" s="21"/>
      <c r="AR582" s="21"/>
      <c r="BF582" s="21"/>
      <c r="BT582" s="21"/>
      <c r="CI582" s="40"/>
      <c r="CJ582" s="40"/>
      <c r="CK582" s="40"/>
      <c r="CL582" s="40"/>
      <c r="CM582" s="40"/>
    </row>
    <row r="583" spans="2:91" s="18" customFormat="1" ht="15" customHeight="1">
      <c r="B583" s="21"/>
      <c r="AR583" s="21"/>
      <c r="BF583" s="21"/>
      <c r="BT583" s="21"/>
      <c r="CI583" s="40"/>
      <c r="CJ583" s="40"/>
      <c r="CK583" s="40"/>
      <c r="CL583" s="40"/>
      <c r="CM583" s="40"/>
    </row>
    <row r="584" spans="2:91" s="18" customFormat="1" ht="15" customHeight="1">
      <c r="B584" s="21"/>
      <c r="AR584" s="21"/>
      <c r="BF584" s="21"/>
      <c r="BT584" s="21"/>
      <c r="CI584" s="40"/>
      <c r="CJ584" s="40"/>
      <c r="CK584" s="40"/>
      <c r="CL584" s="40"/>
      <c r="CM584" s="40"/>
    </row>
    <row r="585" spans="2:91" s="18" customFormat="1" ht="15" customHeight="1">
      <c r="B585" s="21"/>
      <c r="AR585" s="21"/>
      <c r="BF585" s="21"/>
      <c r="BT585" s="21"/>
      <c r="CI585" s="40"/>
      <c r="CJ585" s="40"/>
      <c r="CK585" s="40"/>
      <c r="CL585" s="40"/>
      <c r="CM585" s="40"/>
    </row>
    <row r="586" spans="2:91" s="18" customFormat="1" ht="15" customHeight="1">
      <c r="B586" s="21"/>
      <c r="AR586" s="21"/>
      <c r="BF586" s="21"/>
      <c r="BT586" s="21"/>
      <c r="CI586" s="40"/>
      <c r="CJ586" s="40"/>
      <c r="CK586" s="40"/>
      <c r="CL586" s="40"/>
      <c r="CM586" s="40"/>
    </row>
    <row r="587" spans="2:91" s="18" customFormat="1" ht="15" customHeight="1">
      <c r="B587" s="21"/>
      <c r="AR587" s="21"/>
      <c r="BF587" s="21"/>
      <c r="BT587" s="21"/>
      <c r="CI587" s="40"/>
      <c r="CJ587" s="40"/>
      <c r="CK587" s="40"/>
      <c r="CL587" s="40"/>
      <c r="CM587" s="40"/>
    </row>
    <row r="588" spans="2:91" s="18" customFormat="1" ht="15" customHeight="1">
      <c r="B588" s="21"/>
      <c r="AR588" s="21"/>
      <c r="BF588" s="21"/>
      <c r="BT588" s="21"/>
      <c r="CI588" s="40"/>
      <c r="CJ588" s="40"/>
      <c r="CK588" s="40"/>
      <c r="CL588" s="40"/>
      <c r="CM588" s="40"/>
    </row>
    <row r="589" spans="2:91" s="18" customFormat="1" ht="15" customHeight="1">
      <c r="B589" s="21"/>
      <c r="AR589" s="21"/>
      <c r="BF589" s="21"/>
      <c r="BT589" s="21"/>
      <c r="CI589" s="40"/>
      <c r="CJ589" s="40"/>
      <c r="CK589" s="40"/>
      <c r="CL589" s="40"/>
      <c r="CM589" s="40"/>
    </row>
    <row r="590" spans="2:91" s="18" customFormat="1" ht="15" customHeight="1">
      <c r="B590" s="21"/>
      <c r="AR590" s="21"/>
      <c r="BF590" s="21"/>
      <c r="BT590" s="21"/>
      <c r="CI590" s="40"/>
      <c r="CJ590" s="40"/>
      <c r="CK590" s="40"/>
      <c r="CL590" s="40"/>
      <c r="CM590" s="40"/>
    </row>
    <row r="591" spans="2:91" s="18" customFormat="1" ht="15" customHeight="1">
      <c r="B591" s="21"/>
      <c r="AR591" s="21"/>
      <c r="BF591" s="21"/>
      <c r="BT591" s="21"/>
      <c r="CI591" s="40"/>
      <c r="CJ591" s="40"/>
      <c r="CK591" s="40"/>
      <c r="CL591" s="40"/>
      <c r="CM591" s="40"/>
    </row>
    <row r="592" spans="2:91" s="18" customFormat="1" ht="15" customHeight="1">
      <c r="B592" s="21"/>
      <c r="AR592" s="21"/>
      <c r="BF592" s="21"/>
      <c r="BT592" s="21"/>
      <c r="CI592" s="40"/>
      <c r="CJ592" s="40"/>
      <c r="CK592" s="40"/>
      <c r="CL592" s="40"/>
      <c r="CM592" s="40"/>
    </row>
    <row r="593" spans="2:91" s="18" customFormat="1" ht="15" customHeight="1">
      <c r="B593" s="21"/>
      <c r="AR593" s="21"/>
      <c r="BF593" s="21"/>
      <c r="BT593" s="21"/>
      <c r="CI593" s="40"/>
      <c r="CJ593" s="40"/>
      <c r="CK593" s="40"/>
      <c r="CL593" s="40"/>
      <c r="CM593" s="40"/>
    </row>
    <row r="594" spans="2:91" s="18" customFormat="1" ht="15" customHeight="1">
      <c r="B594" s="21"/>
      <c r="AR594" s="21"/>
      <c r="BF594" s="21"/>
      <c r="BT594" s="21"/>
      <c r="CI594" s="40"/>
      <c r="CJ594" s="40"/>
      <c r="CK594" s="40"/>
      <c r="CL594" s="40"/>
      <c r="CM594" s="40"/>
    </row>
    <row r="595" spans="2:91" s="18" customFormat="1" ht="15" customHeight="1">
      <c r="B595" s="21"/>
      <c r="AR595" s="21"/>
      <c r="BF595" s="21"/>
      <c r="BT595" s="21"/>
      <c r="CI595" s="40"/>
      <c r="CJ595" s="40"/>
      <c r="CK595" s="40"/>
      <c r="CL595" s="40"/>
      <c r="CM595" s="40"/>
    </row>
    <row r="596" spans="2:91" s="18" customFormat="1" ht="15" customHeight="1">
      <c r="B596" s="21"/>
      <c r="AR596" s="21"/>
      <c r="BF596" s="21"/>
      <c r="BT596" s="21"/>
      <c r="CI596" s="40"/>
      <c r="CJ596" s="40"/>
      <c r="CK596" s="40"/>
      <c r="CL596" s="40"/>
      <c r="CM596" s="40"/>
    </row>
    <row r="597" spans="2:91" s="18" customFormat="1" ht="15" customHeight="1">
      <c r="B597" s="21"/>
      <c r="AR597" s="21"/>
      <c r="BF597" s="21"/>
      <c r="BT597" s="21"/>
      <c r="CI597" s="40"/>
      <c r="CJ597" s="40"/>
      <c r="CK597" s="40"/>
      <c r="CL597" s="40"/>
      <c r="CM597" s="40"/>
    </row>
    <row r="598" spans="2:91" s="18" customFormat="1" ht="15" customHeight="1">
      <c r="B598" s="21"/>
      <c r="AR598" s="21"/>
      <c r="BF598" s="21"/>
      <c r="BT598" s="21"/>
      <c r="CI598" s="40"/>
      <c r="CJ598" s="40"/>
      <c r="CK598" s="40"/>
      <c r="CL598" s="40"/>
      <c r="CM598" s="40"/>
    </row>
    <row r="599" spans="2:91" s="18" customFormat="1" ht="15" customHeight="1">
      <c r="B599" s="21"/>
      <c r="AR599" s="21"/>
      <c r="BF599" s="21"/>
      <c r="BT599" s="21"/>
      <c r="CI599" s="40"/>
      <c r="CJ599" s="40"/>
      <c r="CK599" s="40"/>
      <c r="CL599" s="40"/>
      <c r="CM599" s="40"/>
    </row>
    <row r="600" spans="2:91" s="18" customFormat="1" ht="15" customHeight="1">
      <c r="B600" s="21"/>
      <c r="AR600" s="21"/>
      <c r="BF600" s="21"/>
      <c r="BT600" s="21"/>
      <c r="CI600" s="40"/>
      <c r="CJ600" s="40"/>
      <c r="CK600" s="40"/>
      <c r="CL600" s="40"/>
      <c r="CM600" s="40"/>
    </row>
    <row r="601" spans="2:91" s="18" customFormat="1" ht="15" customHeight="1">
      <c r="B601" s="21"/>
      <c r="AR601" s="21"/>
      <c r="BF601" s="21"/>
      <c r="BT601" s="21"/>
      <c r="CI601" s="40"/>
      <c r="CJ601" s="40"/>
      <c r="CK601" s="40"/>
      <c r="CL601" s="40"/>
      <c r="CM601" s="40"/>
    </row>
    <row r="602" spans="2:91" s="18" customFormat="1" ht="15" customHeight="1">
      <c r="B602" s="21"/>
      <c r="AR602" s="21"/>
      <c r="BF602" s="21"/>
      <c r="BT602" s="21"/>
      <c r="CI602" s="40"/>
      <c r="CJ602" s="40"/>
      <c r="CK602" s="40"/>
      <c r="CL602" s="40"/>
      <c r="CM602" s="40"/>
    </row>
    <row r="603" spans="2:91" s="18" customFormat="1" ht="15" customHeight="1">
      <c r="B603" s="21"/>
      <c r="AR603" s="21"/>
      <c r="BF603" s="21"/>
      <c r="BT603" s="21"/>
      <c r="CI603" s="40"/>
      <c r="CJ603" s="40"/>
      <c r="CK603" s="40"/>
      <c r="CL603" s="40"/>
      <c r="CM603" s="40"/>
    </row>
    <row r="604" spans="2:91" s="18" customFormat="1" ht="15" customHeight="1">
      <c r="B604" s="21"/>
      <c r="AR604" s="21"/>
      <c r="BF604" s="21"/>
      <c r="BT604" s="21"/>
      <c r="CI604" s="40"/>
      <c r="CJ604" s="40"/>
      <c r="CK604" s="40"/>
      <c r="CL604" s="40"/>
      <c r="CM604" s="40"/>
    </row>
    <row r="605" spans="2:91" s="18" customFormat="1" ht="15" customHeight="1">
      <c r="B605" s="21"/>
      <c r="AR605" s="21"/>
      <c r="BF605" s="21"/>
      <c r="BT605" s="21"/>
      <c r="CI605" s="40"/>
      <c r="CJ605" s="40"/>
      <c r="CK605" s="40"/>
      <c r="CL605" s="40"/>
      <c r="CM605" s="40"/>
    </row>
    <row r="606" spans="2:91" s="18" customFormat="1" ht="15" customHeight="1">
      <c r="B606" s="21"/>
      <c r="AR606" s="21"/>
      <c r="BF606" s="21"/>
      <c r="BT606" s="21"/>
      <c r="CI606" s="40"/>
      <c r="CJ606" s="40"/>
      <c r="CK606" s="40"/>
      <c r="CL606" s="40"/>
      <c r="CM606" s="40"/>
    </row>
    <row r="607" spans="2:91" s="18" customFormat="1" ht="15" customHeight="1">
      <c r="B607" s="21"/>
      <c r="AR607" s="21"/>
      <c r="BF607" s="21"/>
      <c r="BT607" s="21"/>
      <c r="CI607" s="40"/>
      <c r="CJ607" s="40"/>
      <c r="CK607" s="40"/>
      <c r="CL607" s="40"/>
      <c r="CM607" s="40"/>
    </row>
    <row r="608" spans="2:91" s="18" customFormat="1" ht="15" customHeight="1">
      <c r="B608" s="21"/>
      <c r="AR608" s="21"/>
      <c r="BF608" s="21"/>
      <c r="BT608" s="21"/>
      <c r="CI608" s="40"/>
      <c r="CJ608" s="40"/>
      <c r="CK608" s="40"/>
      <c r="CL608" s="40"/>
      <c r="CM608" s="40"/>
    </row>
    <row r="609" spans="2:91" s="18" customFormat="1" ht="15" customHeight="1">
      <c r="B609" s="21"/>
      <c r="AR609" s="21"/>
      <c r="BF609" s="21"/>
      <c r="BT609" s="21"/>
      <c r="CI609" s="40"/>
      <c r="CJ609" s="40"/>
      <c r="CK609" s="40"/>
      <c r="CL609" s="40"/>
      <c r="CM609" s="40"/>
    </row>
    <row r="610" spans="2:91" s="18" customFormat="1" ht="15" customHeight="1">
      <c r="B610" s="21"/>
      <c r="AR610" s="21"/>
      <c r="BF610" s="21"/>
      <c r="BT610" s="21"/>
      <c r="CI610" s="40"/>
      <c r="CJ610" s="40"/>
      <c r="CK610" s="40"/>
      <c r="CL610" s="40"/>
      <c r="CM610" s="40"/>
    </row>
    <row r="611" spans="2:91" s="18" customFormat="1" ht="15" customHeight="1">
      <c r="B611" s="21"/>
      <c r="AR611" s="21"/>
      <c r="BF611" s="21"/>
      <c r="BT611" s="21"/>
      <c r="CI611" s="40"/>
      <c r="CJ611" s="40"/>
      <c r="CK611" s="40"/>
      <c r="CL611" s="40"/>
      <c r="CM611" s="40"/>
    </row>
    <row r="612" spans="2:91" s="18" customFormat="1" ht="15" customHeight="1">
      <c r="B612" s="21"/>
      <c r="AR612" s="21"/>
      <c r="BF612" s="21"/>
      <c r="BT612" s="21"/>
      <c r="CI612" s="40"/>
      <c r="CJ612" s="40"/>
      <c r="CK612" s="40"/>
      <c r="CL612" s="40"/>
      <c r="CM612" s="40"/>
    </row>
    <row r="613" spans="2:91" s="18" customFormat="1" ht="15" customHeight="1">
      <c r="B613" s="21"/>
      <c r="AR613" s="21"/>
      <c r="BF613" s="21"/>
      <c r="BT613" s="21"/>
      <c r="CI613" s="40"/>
      <c r="CJ613" s="40"/>
      <c r="CK613" s="40"/>
      <c r="CL613" s="40"/>
      <c r="CM613" s="40"/>
    </row>
    <row r="614" spans="2:91" s="18" customFormat="1" ht="15" customHeight="1">
      <c r="B614" s="21"/>
      <c r="AR614" s="21"/>
      <c r="BF614" s="21"/>
      <c r="BT614" s="21"/>
      <c r="CI614" s="40"/>
      <c r="CJ614" s="40"/>
      <c r="CK614" s="40"/>
      <c r="CL614" s="40"/>
      <c r="CM614" s="40"/>
    </row>
    <row r="615" spans="2:91" s="18" customFormat="1" ht="15" customHeight="1">
      <c r="B615" s="21"/>
      <c r="AR615" s="21"/>
      <c r="BF615" s="21"/>
      <c r="BT615" s="21"/>
      <c r="CI615" s="40"/>
      <c r="CJ615" s="40"/>
      <c r="CK615" s="40"/>
      <c r="CL615" s="40"/>
      <c r="CM615" s="40"/>
    </row>
    <row r="616" spans="2:91" s="18" customFormat="1" ht="15" customHeight="1">
      <c r="B616" s="21"/>
      <c r="AR616" s="21"/>
      <c r="BF616" s="21"/>
      <c r="BT616" s="21"/>
      <c r="CI616" s="40"/>
      <c r="CJ616" s="40"/>
      <c r="CK616" s="40"/>
      <c r="CL616" s="40"/>
      <c r="CM616" s="40"/>
    </row>
    <row r="617" spans="2:91" s="18" customFormat="1" ht="15" customHeight="1">
      <c r="B617" s="21"/>
      <c r="AR617" s="21"/>
      <c r="BF617" s="21"/>
      <c r="BT617" s="21"/>
      <c r="CI617" s="40"/>
      <c r="CJ617" s="40"/>
      <c r="CK617" s="40"/>
      <c r="CL617" s="40"/>
      <c r="CM617" s="40"/>
    </row>
    <row r="618" spans="2:91" s="18" customFormat="1" ht="15" customHeight="1">
      <c r="B618" s="21"/>
      <c r="AR618" s="21"/>
      <c r="BF618" s="21"/>
      <c r="BT618" s="21"/>
      <c r="CI618" s="40"/>
      <c r="CJ618" s="40"/>
      <c r="CK618" s="40"/>
      <c r="CL618" s="40"/>
      <c r="CM618" s="40"/>
    </row>
    <row r="619" spans="2:91" s="18" customFormat="1" ht="15" customHeight="1">
      <c r="B619" s="21"/>
      <c r="AR619" s="21"/>
      <c r="BF619" s="21"/>
      <c r="BT619" s="21"/>
      <c r="CI619" s="40"/>
      <c r="CJ619" s="40"/>
      <c r="CK619" s="40"/>
      <c r="CL619" s="40"/>
      <c r="CM619" s="40"/>
    </row>
    <row r="620" spans="2:91" s="18" customFormat="1" ht="15" customHeight="1">
      <c r="B620" s="21"/>
      <c r="AR620" s="21"/>
      <c r="BF620" s="21"/>
      <c r="BT620" s="21"/>
      <c r="CI620" s="40"/>
      <c r="CJ620" s="40"/>
      <c r="CK620" s="40"/>
      <c r="CL620" s="40"/>
      <c r="CM620" s="40"/>
    </row>
    <row r="621" spans="2:91" s="18" customFormat="1" ht="15" customHeight="1">
      <c r="B621" s="21"/>
      <c r="AR621" s="21"/>
      <c r="BF621" s="21"/>
      <c r="BT621" s="21"/>
      <c r="CI621" s="40"/>
      <c r="CJ621" s="40"/>
      <c r="CK621" s="40"/>
      <c r="CL621" s="40"/>
      <c r="CM621" s="40"/>
    </row>
    <row r="622" spans="2:91" s="18" customFormat="1" ht="15" customHeight="1">
      <c r="B622" s="21"/>
      <c r="AR622" s="21"/>
      <c r="BF622" s="21"/>
      <c r="BT622" s="21"/>
      <c r="CI622" s="40"/>
      <c r="CJ622" s="40"/>
      <c r="CK622" s="40"/>
      <c r="CL622" s="40"/>
      <c r="CM622" s="40"/>
    </row>
    <row r="623" spans="2:91" s="18" customFormat="1" ht="15" customHeight="1">
      <c r="B623" s="21"/>
      <c r="AR623" s="21"/>
      <c r="BF623" s="21"/>
      <c r="BT623" s="21"/>
      <c r="CI623" s="40"/>
      <c r="CJ623" s="40"/>
      <c r="CK623" s="40"/>
      <c r="CL623" s="40"/>
      <c r="CM623" s="40"/>
    </row>
    <row r="624" spans="2:91" s="18" customFormat="1" ht="15" customHeight="1">
      <c r="B624" s="21"/>
      <c r="AR624" s="21"/>
      <c r="BF624" s="21"/>
      <c r="BT624" s="21"/>
      <c r="CI624" s="40"/>
      <c r="CJ624" s="40"/>
      <c r="CK624" s="40"/>
      <c r="CL624" s="40"/>
      <c r="CM624" s="40"/>
    </row>
    <row r="625" spans="2:91" s="18" customFormat="1" ht="15" customHeight="1">
      <c r="B625" s="21"/>
      <c r="AR625" s="21"/>
      <c r="BF625" s="21"/>
      <c r="BT625" s="21"/>
      <c r="CI625" s="40"/>
      <c r="CJ625" s="40"/>
      <c r="CK625" s="40"/>
      <c r="CL625" s="40"/>
      <c r="CM625" s="40"/>
    </row>
    <row r="626" spans="2:91" s="18" customFormat="1" ht="15" customHeight="1">
      <c r="B626" s="21"/>
      <c r="AR626" s="21"/>
      <c r="BF626" s="21"/>
      <c r="BT626" s="21"/>
      <c r="CI626" s="40"/>
      <c r="CJ626" s="40"/>
      <c r="CK626" s="40"/>
      <c r="CL626" s="40"/>
      <c r="CM626" s="40"/>
    </row>
    <row r="627" spans="2:91" s="18" customFormat="1" ht="15" customHeight="1">
      <c r="B627" s="21"/>
      <c r="AR627" s="21"/>
      <c r="BF627" s="21"/>
      <c r="BT627" s="21"/>
      <c r="CI627" s="40"/>
      <c r="CJ627" s="40"/>
      <c r="CK627" s="40"/>
      <c r="CL627" s="40"/>
      <c r="CM627" s="40"/>
    </row>
    <row r="628" spans="2:91" s="18" customFormat="1" ht="15" customHeight="1">
      <c r="B628" s="21"/>
      <c r="AR628" s="21"/>
      <c r="BF628" s="21"/>
      <c r="BT628" s="21"/>
      <c r="CI628" s="40"/>
      <c r="CJ628" s="40"/>
      <c r="CK628" s="40"/>
      <c r="CL628" s="40"/>
      <c r="CM628" s="40"/>
    </row>
    <row r="629" spans="2:91" s="18" customFormat="1" ht="15" customHeight="1">
      <c r="B629" s="21"/>
      <c r="AR629" s="21"/>
      <c r="BF629" s="21"/>
      <c r="BT629" s="21"/>
      <c r="CI629" s="40"/>
      <c r="CJ629" s="40"/>
      <c r="CK629" s="40"/>
      <c r="CL629" s="40"/>
      <c r="CM629" s="40"/>
    </row>
    <row r="630" spans="2:91" s="18" customFormat="1" ht="15" customHeight="1">
      <c r="B630" s="21"/>
      <c r="AR630" s="21"/>
      <c r="BF630" s="21"/>
      <c r="BT630" s="21"/>
      <c r="CI630" s="40"/>
      <c r="CJ630" s="40"/>
      <c r="CK630" s="40"/>
      <c r="CL630" s="40"/>
      <c r="CM630" s="40"/>
    </row>
    <row r="631" spans="2:91" s="18" customFormat="1" ht="15" customHeight="1">
      <c r="B631" s="21"/>
      <c r="AR631" s="21"/>
      <c r="BF631" s="21"/>
      <c r="BT631" s="21"/>
      <c r="CI631" s="40"/>
      <c r="CJ631" s="40"/>
      <c r="CK631" s="40"/>
      <c r="CL631" s="40"/>
      <c r="CM631" s="40"/>
    </row>
    <row r="632" spans="2:91" s="18" customFormat="1" ht="15" customHeight="1">
      <c r="B632" s="21"/>
      <c r="AR632" s="21"/>
      <c r="BF632" s="21"/>
      <c r="BT632" s="21"/>
      <c r="CI632" s="40"/>
      <c r="CJ632" s="40"/>
      <c r="CK632" s="40"/>
      <c r="CL632" s="40"/>
      <c r="CM632" s="40"/>
    </row>
    <row r="633" spans="2:91" s="18" customFormat="1" ht="15" customHeight="1">
      <c r="B633" s="21"/>
      <c r="AR633" s="21"/>
      <c r="BF633" s="21"/>
      <c r="BT633" s="21"/>
      <c r="CI633" s="40"/>
      <c r="CJ633" s="40"/>
      <c r="CK633" s="40"/>
      <c r="CL633" s="40"/>
      <c r="CM633" s="40"/>
    </row>
    <row r="634" spans="2:91" s="18" customFormat="1" ht="15" customHeight="1">
      <c r="B634" s="21"/>
      <c r="AR634" s="21"/>
      <c r="BF634" s="21"/>
      <c r="BT634" s="21"/>
      <c r="CI634" s="40"/>
      <c r="CJ634" s="40"/>
      <c r="CK634" s="40"/>
      <c r="CL634" s="40"/>
      <c r="CM634" s="40"/>
    </row>
    <row r="635" spans="2:91" s="18" customFormat="1" ht="15" customHeight="1">
      <c r="B635" s="21"/>
      <c r="AR635" s="21"/>
      <c r="BF635" s="21"/>
      <c r="BT635" s="21"/>
      <c r="CI635" s="40"/>
      <c r="CJ635" s="40"/>
      <c r="CK635" s="40"/>
      <c r="CL635" s="40"/>
      <c r="CM635" s="40"/>
    </row>
    <row r="636" spans="2:91" s="18" customFormat="1" ht="15" customHeight="1">
      <c r="B636" s="21"/>
      <c r="AR636" s="21"/>
      <c r="BF636" s="21"/>
      <c r="BT636" s="21"/>
      <c r="CI636" s="40"/>
      <c r="CJ636" s="40"/>
      <c r="CK636" s="40"/>
      <c r="CL636" s="40"/>
      <c r="CM636" s="40"/>
    </row>
    <row r="637" spans="2:91" s="18" customFormat="1" ht="15" customHeight="1">
      <c r="B637" s="21"/>
      <c r="AR637" s="21"/>
      <c r="BF637" s="21"/>
      <c r="BT637" s="21"/>
      <c r="CI637" s="40"/>
      <c r="CJ637" s="40"/>
      <c r="CK637" s="40"/>
      <c r="CL637" s="40"/>
      <c r="CM637" s="40"/>
    </row>
    <row r="638" spans="2:91" s="18" customFormat="1" ht="15" customHeight="1">
      <c r="B638" s="21"/>
      <c r="AR638" s="21"/>
      <c r="BF638" s="21"/>
      <c r="BT638" s="21"/>
      <c r="CI638" s="40"/>
      <c r="CJ638" s="40"/>
      <c r="CK638" s="40"/>
      <c r="CL638" s="40"/>
      <c r="CM638" s="40"/>
    </row>
    <row r="639" spans="2:91" s="18" customFormat="1" ht="15" customHeight="1">
      <c r="B639" s="21"/>
      <c r="AR639" s="21"/>
      <c r="BF639" s="21"/>
      <c r="BT639" s="21"/>
      <c r="CI639" s="40"/>
      <c r="CJ639" s="40"/>
      <c r="CK639" s="40"/>
      <c r="CL639" s="40"/>
      <c r="CM639" s="40"/>
    </row>
    <row r="640" spans="2:91" s="18" customFormat="1" ht="15" customHeight="1">
      <c r="B640" s="21"/>
      <c r="AR640" s="21"/>
      <c r="BF640" s="21"/>
      <c r="BT640" s="21"/>
      <c r="CI640" s="40"/>
      <c r="CJ640" s="40"/>
      <c r="CK640" s="40"/>
      <c r="CL640" s="40"/>
      <c r="CM640" s="40"/>
    </row>
    <row r="641" spans="2:91" s="18" customFormat="1" ht="15" customHeight="1">
      <c r="B641" s="21"/>
      <c r="AR641" s="21"/>
      <c r="BF641" s="21"/>
      <c r="BT641" s="21"/>
      <c r="CI641" s="40"/>
      <c r="CJ641" s="40"/>
      <c r="CK641" s="40"/>
      <c r="CL641" s="40"/>
      <c r="CM641" s="40"/>
    </row>
    <row r="642" spans="2:91" s="18" customFormat="1" ht="15" customHeight="1">
      <c r="B642" s="21"/>
      <c r="AR642" s="21"/>
      <c r="BF642" s="21"/>
      <c r="BT642" s="21"/>
      <c r="CI642" s="40"/>
      <c r="CJ642" s="40"/>
      <c r="CK642" s="40"/>
      <c r="CL642" s="40"/>
      <c r="CM642" s="40"/>
    </row>
    <row r="643" spans="2:91" s="18" customFormat="1" ht="15" customHeight="1">
      <c r="B643" s="21"/>
      <c r="AR643" s="21"/>
      <c r="BF643" s="21"/>
      <c r="BT643" s="21"/>
      <c r="CI643" s="40"/>
      <c r="CJ643" s="40"/>
      <c r="CK643" s="40"/>
      <c r="CL643" s="40"/>
      <c r="CM643" s="40"/>
    </row>
    <row r="644" spans="2:91" s="18" customFormat="1" ht="15" customHeight="1">
      <c r="B644" s="21"/>
      <c r="AR644" s="21"/>
      <c r="BF644" s="21"/>
      <c r="BT644" s="21"/>
      <c r="CI644" s="40"/>
      <c r="CJ644" s="40"/>
      <c r="CK644" s="40"/>
      <c r="CL644" s="40"/>
      <c r="CM644" s="40"/>
    </row>
    <row r="645" spans="2:91" s="18" customFormat="1" ht="15" customHeight="1">
      <c r="B645" s="21"/>
      <c r="AR645" s="21"/>
      <c r="BF645" s="21"/>
      <c r="BT645" s="21"/>
      <c r="CI645" s="40"/>
      <c r="CJ645" s="40"/>
      <c r="CK645" s="40"/>
      <c r="CL645" s="40"/>
      <c r="CM645" s="40"/>
    </row>
    <row r="646" spans="2:91" s="18" customFormat="1" ht="15" customHeight="1">
      <c r="B646" s="21"/>
      <c r="AR646" s="21"/>
      <c r="BF646" s="21"/>
      <c r="BT646" s="21"/>
      <c r="CI646" s="40"/>
      <c r="CJ646" s="40"/>
      <c r="CK646" s="40"/>
      <c r="CL646" s="40"/>
      <c r="CM646" s="40"/>
    </row>
    <row r="647" spans="2:91" s="18" customFormat="1" ht="15" customHeight="1">
      <c r="B647" s="21"/>
      <c r="AR647" s="21"/>
      <c r="BF647" s="21"/>
      <c r="BT647" s="21"/>
      <c r="CI647" s="40"/>
      <c r="CJ647" s="40"/>
      <c r="CK647" s="40"/>
      <c r="CL647" s="40"/>
      <c r="CM647" s="40"/>
    </row>
    <row r="648" spans="2:91" s="18" customFormat="1" ht="15" customHeight="1">
      <c r="B648" s="21"/>
      <c r="AR648" s="21"/>
      <c r="BF648" s="21"/>
      <c r="BT648" s="21"/>
      <c r="CI648" s="40"/>
      <c r="CJ648" s="40"/>
      <c r="CK648" s="40"/>
      <c r="CL648" s="40"/>
      <c r="CM648" s="40"/>
    </row>
    <row r="649" spans="2:91" s="18" customFormat="1" ht="15" customHeight="1">
      <c r="B649" s="21"/>
      <c r="AR649" s="21"/>
      <c r="BF649" s="21"/>
      <c r="BT649" s="21"/>
      <c r="CI649" s="40"/>
      <c r="CJ649" s="40"/>
      <c r="CK649" s="40"/>
      <c r="CL649" s="40"/>
      <c r="CM649" s="40"/>
    </row>
    <row r="650" spans="2:91" s="18" customFormat="1" ht="15" customHeight="1">
      <c r="B650" s="21"/>
      <c r="AR650" s="21"/>
      <c r="BF650" s="21"/>
      <c r="BT650" s="21"/>
      <c r="CI650" s="40"/>
      <c r="CJ650" s="40"/>
      <c r="CK650" s="40"/>
      <c r="CL650" s="40"/>
      <c r="CM650" s="40"/>
    </row>
    <row r="651" spans="2:91" s="18" customFormat="1" ht="15" customHeight="1">
      <c r="B651" s="21"/>
      <c r="AR651" s="21"/>
      <c r="BF651" s="21"/>
      <c r="BT651" s="21"/>
      <c r="CI651" s="40"/>
      <c r="CJ651" s="40"/>
      <c r="CK651" s="40"/>
      <c r="CL651" s="40"/>
      <c r="CM651" s="40"/>
    </row>
    <row r="652" spans="2:91" s="18" customFormat="1" ht="15" customHeight="1">
      <c r="B652" s="21"/>
      <c r="AR652" s="21"/>
      <c r="BF652" s="21"/>
      <c r="BT652" s="21"/>
      <c r="CI652" s="40"/>
      <c r="CJ652" s="40"/>
      <c r="CK652" s="40"/>
      <c r="CL652" s="40"/>
      <c r="CM652" s="40"/>
    </row>
    <row r="653" spans="2:91" s="18" customFormat="1" ht="15" customHeight="1">
      <c r="B653" s="21"/>
      <c r="AR653" s="21"/>
      <c r="BF653" s="21"/>
      <c r="BT653" s="21"/>
      <c r="CI653" s="40"/>
      <c r="CJ653" s="40"/>
      <c r="CK653" s="40"/>
      <c r="CL653" s="40"/>
      <c r="CM653" s="40"/>
    </row>
    <row r="654" spans="2:91" s="18" customFormat="1" ht="15" customHeight="1">
      <c r="B654" s="21"/>
      <c r="AR654" s="21"/>
      <c r="BF654" s="21"/>
      <c r="BT654" s="21"/>
      <c r="CI654" s="40"/>
      <c r="CJ654" s="40"/>
      <c r="CK654" s="40"/>
      <c r="CL654" s="40"/>
      <c r="CM654" s="40"/>
    </row>
    <row r="655" spans="2:91" s="18" customFormat="1" ht="15" customHeight="1">
      <c r="B655" s="21"/>
      <c r="AR655" s="21"/>
      <c r="BF655" s="21"/>
      <c r="BT655" s="21"/>
      <c r="CI655" s="40"/>
      <c r="CJ655" s="40"/>
      <c r="CK655" s="40"/>
      <c r="CL655" s="40"/>
      <c r="CM655" s="40"/>
    </row>
    <row r="656" spans="2:91" s="18" customFormat="1" ht="15" customHeight="1">
      <c r="B656" s="21"/>
      <c r="AR656" s="21"/>
      <c r="BF656" s="21"/>
      <c r="BT656" s="21"/>
      <c r="CI656" s="40"/>
      <c r="CJ656" s="40"/>
      <c r="CK656" s="40"/>
      <c r="CL656" s="40"/>
      <c r="CM656" s="40"/>
    </row>
    <row r="657" spans="2:91" s="18" customFormat="1" ht="15" customHeight="1">
      <c r="B657" s="21"/>
      <c r="AR657" s="21"/>
      <c r="BF657" s="21"/>
      <c r="BT657" s="21"/>
      <c r="CI657" s="40"/>
      <c r="CJ657" s="40"/>
      <c r="CK657" s="40"/>
      <c r="CL657" s="40"/>
      <c r="CM657" s="40"/>
    </row>
    <row r="658" spans="2:91" s="18" customFormat="1" ht="15" customHeight="1">
      <c r="B658" s="21"/>
      <c r="AR658" s="21"/>
      <c r="BF658" s="21"/>
      <c r="BT658" s="21"/>
      <c r="CI658" s="40"/>
      <c r="CJ658" s="40"/>
      <c r="CK658" s="40"/>
      <c r="CL658" s="40"/>
      <c r="CM658" s="40"/>
    </row>
    <row r="659" spans="2:91" s="18" customFormat="1" ht="15" customHeight="1">
      <c r="B659" s="21"/>
      <c r="AR659" s="21"/>
      <c r="BF659" s="21"/>
      <c r="BT659" s="21"/>
      <c r="CI659" s="40"/>
      <c r="CJ659" s="40"/>
      <c r="CK659" s="40"/>
      <c r="CL659" s="40"/>
      <c r="CM659" s="40"/>
    </row>
    <row r="660" spans="2:91" s="18" customFormat="1" ht="15" customHeight="1">
      <c r="B660" s="21"/>
      <c r="AR660" s="21"/>
      <c r="BF660" s="21"/>
      <c r="BT660" s="21"/>
      <c r="CI660" s="40"/>
      <c r="CJ660" s="40"/>
      <c r="CK660" s="40"/>
      <c r="CL660" s="40"/>
      <c r="CM660" s="40"/>
    </row>
    <row r="661" spans="2:91" s="18" customFormat="1" ht="15" customHeight="1">
      <c r="B661" s="21"/>
      <c r="AR661" s="21"/>
      <c r="BF661" s="21"/>
      <c r="BT661" s="21"/>
      <c r="CI661" s="40"/>
      <c r="CJ661" s="40"/>
      <c r="CK661" s="40"/>
      <c r="CL661" s="40"/>
      <c r="CM661" s="40"/>
    </row>
    <row r="662" spans="2:91" s="18" customFormat="1" ht="15" customHeight="1">
      <c r="B662" s="21"/>
      <c r="AR662" s="21"/>
      <c r="BF662" s="21"/>
      <c r="BT662" s="21"/>
      <c r="CI662" s="40"/>
      <c r="CJ662" s="40"/>
      <c r="CK662" s="40"/>
      <c r="CL662" s="40"/>
      <c r="CM662" s="40"/>
    </row>
    <row r="663" spans="2:91" s="18" customFormat="1" ht="15" customHeight="1">
      <c r="B663" s="21"/>
      <c r="AR663" s="21"/>
      <c r="BF663" s="21"/>
      <c r="BT663" s="21"/>
      <c r="CI663" s="40"/>
      <c r="CJ663" s="40"/>
      <c r="CK663" s="40"/>
      <c r="CL663" s="40"/>
      <c r="CM663" s="40"/>
    </row>
    <row r="664" spans="2:91" s="18" customFormat="1" ht="15" customHeight="1">
      <c r="B664" s="21"/>
      <c r="AR664" s="21"/>
      <c r="BF664" s="21"/>
      <c r="BT664" s="21"/>
      <c r="CI664" s="40"/>
      <c r="CJ664" s="40"/>
      <c r="CK664" s="40"/>
      <c r="CL664" s="40"/>
      <c r="CM664" s="40"/>
    </row>
    <row r="665" spans="2:91" s="18" customFormat="1" ht="15" customHeight="1">
      <c r="B665" s="21"/>
      <c r="AR665" s="21"/>
      <c r="BF665" s="21"/>
      <c r="BT665" s="21"/>
      <c r="CI665" s="40"/>
      <c r="CJ665" s="40"/>
      <c r="CK665" s="40"/>
      <c r="CL665" s="40"/>
      <c r="CM665" s="40"/>
    </row>
    <row r="666" spans="2:91" s="18" customFormat="1" ht="15" customHeight="1">
      <c r="B666" s="21"/>
      <c r="AR666" s="21"/>
      <c r="BF666" s="21"/>
      <c r="BT666" s="21"/>
      <c r="CI666" s="40"/>
      <c r="CJ666" s="40"/>
      <c r="CK666" s="40"/>
      <c r="CL666" s="40"/>
      <c r="CM666" s="40"/>
    </row>
    <row r="667" spans="2:91" s="18" customFormat="1" ht="12.75">
      <c r="B667" s="21"/>
      <c r="AR667" s="21"/>
      <c r="BF667" s="21"/>
      <c r="BT667" s="21"/>
      <c r="CI667" s="72"/>
      <c r="CJ667" s="72"/>
      <c r="CK667" s="72"/>
      <c r="CL667" s="72"/>
      <c r="CM667" s="72"/>
    </row>
    <row r="668" spans="2:91" s="18" customFormat="1" ht="12.75">
      <c r="B668" s="21"/>
      <c r="AR668" s="21"/>
      <c r="BF668" s="21"/>
      <c r="BT668" s="21"/>
      <c r="CI668" s="72"/>
      <c r="CJ668" s="72"/>
      <c r="CK668" s="72"/>
      <c r="CL668" s="72"/>
      <c r="CM668" s="72"/>
    </row>
    <row r="669" spans="2:91" s="18" customFormat="1" ht="12.75">
      <c r="B669" s="21"/>
      <c r="AR669" s="21"/>
      <c r="BF669" s="21"/>
      <c r="BT669" s="21"/>
      <c r="CI669" s="72"/>
      <c r="CJ669" s="72"/>
      <c r="CK669" s="72"/>
      <c r="CL669" s="72"/>
      <c r="CM669" s="72"/>
    </row>
    <row r="670" spans="2:91" s="18" customFormat="1" ht="12.75">
      <c r="B670" s="21"/>
      <c r="AR670" s="21"/>
      <c r="BF670" s="21"/>
      <c r="BT670" s="21"/>
      <c r="CI670" s="72"/>
      <c r="CJ670" s="72"/>
      <c r="CK670" s="72"/>
      <c r="CL670" s="72"/>
      <c r="CM670" s="72"/>
    </row>
    <row r="671" spans="2:91" s="18" customFormat="1" ht="12.75">
      <c r="B671" s="21"/>
      <c r="AR671" s="21"/>
      <c r="BF671" s="21"/>
      <c r="BT671" s="21"/>
      <c r="CI671" s="72"/>
      <c r="CJ671" s="72"/>
      <c r="CK671" s="72"/>
      <c r="CL671" s="72"/>
      <c r="CM671" s="72"/>
    </row>
    <row r="672" spans="2:91" s="18" customFormat="1" ht="12.75">
      <c r="B672" s="21"/>
      <c r="AR672" s="21"/>
      <c r="BF672" s="21"/>
      <c r="BT672" s="21"/>
      <c r="CI672" s="72"/>
      <c r="CJ672" s="72"/>
      <c r="CK672" s="72"/>
      <c r="CL672" s="72"/>
      <c r="CM672" s="72"/>
    </row>
    <row r="673" spans="2:91" s="18" customFormat="1" ht="12.75">
      <c r="B673" s="21"/>
      <c r="AR673" s="21"/>
      <c r="BF673" s="21"/>
      <c r="BT673" s="21"/>
      <c r="CI673" s="72"/>
      <c r="CJ673" s="72"/>
      <c r="CK673" s="72"/>
      <c r="CL673" s="72"/>
      <c r="CM673" s="72"/>
    </row>
    <row r="674" spans="2:91" s="18" customFormat="1" ht="12.75">
      <c r="B674" s="21"/>
      <c r="AR674" s="21"/>
      <c r="BF674" s="21"/>
      <c r="BT674" s="21"/>
      <c r="CI674" s="72"/>
      <c r="CJ674" s="72"/>
      <c r="CK674" s="72"/>
      <c r="CL674" s="72"/>
      <c r="CM674" s="72"/>
    </row>
    <row r="675" spans="2:91" s="18" customFormat="1" ht="12.75">
      <c r="B675" s="21"/>
      <c r="AR675" s="21"/>
      <c r="BF675" s="21"/>
      <c r="BT675" s="21"/>
      <c r="CI675" s="72"/>
      <c r="CJ675" s="72"/>
      <c r="CK675" s="72"/>
      <c r="CL675" s="72"/>
      <c r="CM675" s="72"/>
    </row>
    <row r="676" spans="2:91" s="18" customFormat="1" ht="12.75">
      <c r="B676" s="21"/>
      <c r="AR676" s="21"/>
      <c r="BF676" s="21"/>
      <c r="BT676" s="21"/>
      <c r="CI676" s="72"/>
      <c r="CJ676" s="72"/>
      <c r="CK676" s="72"/>
      <c r="CL676" s="72"/>
      <c r="CM676" s="72"/>
    </row>
    <row r="677" spans="2:91" s="18" customFormat="1" ht="12.75">
      <c r="B677" s="21"/>
      <c r="AR677" s="21"/>
      <c r="BF677" s="21"/>
      <c r="BT677" s="21"/>
      <c r="CI677" s="72"/>
      <c r="CJ677" s="72"/>
      <c r="CK677" s="72"/>
      <c r="CL677" s="72"/>
      <c r="CM677" s="72"/>
    </row>
    <row r="678" spans="2:91" s="18" customFormat="1" ht="12.75">
      <c r="B678" s="21"/>
      <c r="AR678" s="21"/>
      <c r="BF678" s="21"/>
      <c r="BT678" s="21"/>
      <c r="CI678" s="72"/>
      <c r="CJ678" s="72"/>
      <c r="CK678" s="72"/>
      <c r="CL678" s="72"/>
      <c r="CM678" s="72"/>
    </row>
    <row r="679" spans="2:91" s="18" customFormat="1" ht="12.75">
      <c r="B679" s="21"/>
      <c r="AR679" s="21"/>
      <c r="BF679" s="21"/>
      <c r="BT679" s="21"/>
      <c r="CI679" s="72"/>
      <c r="CJ679" s="72"/>
      <c r="CK679" s="72"/>
      <c r="CL679" s="72"/>
      <c r="CM679" s="72"/>
    </row>
    <row r="680" spans="2:91" s="18" customFormat="1" ht="12.75">
      <c r="B680" s="21"/>
      <c r="AR680" s="21"/>
      <c r="BF680" s="21"/>
      <c r="BT680" s="21"/>
      <c r="CI680" s="72"/>
      <c r="CJ680" s="72"/>
      <c r="CK680" s="72"/>
      <c r="CL680" s="72"/>
      <c r="CM680" s="72"/>
    </row>
    <row r="681" spans="2:91" s="18" customFormat="1" ht="12.75">
      <c r="B681" s="21"/>
      <c r="AR681" s="21"/>
      <c r="BF681" s="21"/>
      <c r="BT681" s="21"/>
      <c r="CI681" s="72"/>
      <c r="CJ681" s="72"/>
      <c r="CK681" s="72"/>
      <c r="CL681" s="72"/>
      <c r="CM681" s="72"/>
    </row>
    <row r="682" spans="2:91" s="18" customFormat="1" ht="12.75">
      <c r="B682" s="21"/>
      <c r="AR682" s="21"/>
      <c r="BF682" s="21"/>
      <c r="BT682" s="21"/>
      <c r="CI682" s="72"/>
      <c r="CJ682" s="72"/>
      <c r="CK682" s="72"/>
      <c r="CL682" s="72"/>
      <c r="CM682" s="72"/>
    </row>
    <row r="683" spans="2:91" s="18" customFormat="1" ht="12.75">
      <c r="B683" s="21"/>
      <c r="AR683" s="21"/>
      <c r="BF683" s="21"/>
      <c r="BT683" s="21"/>
      <c r="CI683" s="72"/>
      <c r="CJ683" s="72"/>
      <c r="CK683" s="72"/>
      <c r="CL683" s="72"/>
      <c r="CM683" s="72"/>
    </row>
    <row r="684" spans="2:91" s="18" customFormat="1" ht="12.75">
      <c r="B684" s="21"/>
      <c r="AR684" s="21"/>
      <c r="BF684" s="21"/>
      <c r="BT684" s="21"/>
      <c r="CI684" s="72"/>
      <c r="CJ684" s="72"/>
      <c r="CK684" s="72"/>
      <c r="CL684" s="72"/>
      <c r="CM684" s="72"/>
    </row>
    <row r="685" spans="2:91" s="18" customFormat="1" ht="12.75">
      <c r="B685" s="21"/>
      <c r="AR685" s="21"/>
      <c r="BF685" s="21"/>
      <c r="BT685" s="21"/>
      <c r="CI685" s="72"/>
      <c r="CJ685" s="72"/>
      <c r="CK685" s="72"/>
      <c r="CL685" s="72"/>
      <c r="CM685" s="72"/>
    </row>
    <row r="686" spans="2:91" s="18" customFormat="1" ht="12.75">
      <c r="B686" s="21"/>
      <c r="AR686" s="21"/>
      <c r="BF686" s="21"/>
      <c r="BT686" s="21"/>
      <c r="CI686" s="72"/>
      <c r="CJ686" s="72"/>
      <c r="CK686" s="72"/>
      <c r="CL686" s="72"/>
      <c r="CM686" s="72"/>
    </row>
    <row r="687" spans="2:91" s="18" customFormat="1" ht="12.75">
      <c r="B687" s="21"/>
      <c r="AR687" s="21"/>
      <c r="BF687" s="21"/>
      <c r="BT687" s="21"/>
      <c r="CI687" s="72"/>
      <c r="CJ687" s="72"/>
      <c r="CK687" s="72"/>
      <c r="CL687" s="72"/>
      <c r="CM687" s="72"/>
    </row>
    <row r="688" spans="2:91" s="18" customFormat="1" ht="12.75">
      <c r="B688" s="21"/>
      <c r="AR688" s="21"/>
      <c r="BF688" s="21"/>
      <c r="BT688" s="21"/>
      <c r="CI688" s="72"/>
      <c r="CJ688" s="72"/>
      <c r="CK688" s="72"/>
      <c r="CL688" s="72"/>
      <c r="CM688" s="72"/>
    </row>
    <row r="689" spans="2:91" s="18" customFormat="1" ht="12.75">
      <c r="B689" s="21"/>
      <c r="AR689" s="21"/>
      <c r="BF689" s="21"/>
      <c r="BT689" s="21"/>
      <c r="CI689" s="72"/>
      <c r="CJ689" s="72"/>
      <c r="CK689" s="72"/>
      <c r="CL689" s="72"/>
      <c r="CM689" s="72"/>
    </row>
    <row r="690" spans="2:91" s="18" customFormat="1" ht="12.75">
      <c r="B690" s="21"/>
      <c r="AR690" s="21"/>
      <c r="BF690" s="21"/>
      <c r="BT690" s="21"/>
      <c r="CI690" s="72"/>
      <c r="CJ690" s="72"/>
      <c r="CK690" s="72"/>
      <c r="CL690" s="72"/>
      <c r="CM690" s="72"/>
    </row>
    <row r="691" spans="2:91" s="18" customFormat="1" ht="12.75">
      <c r="B691" s="21"/>
      <c r="AR691" s="21"/>
      <c r="BF691" s="21"/>
      <c r="BT691" s="21"/>
      <c r="CI691" s="72"/>
      <c r="CJ691" s="72"/>
      <c r="CK691" s="72"/>
      <c r="CL691" s="72"/>
      <c r="CM691" s="72"/>
    </row>
    <row r="692" spans="2:91" s="18" customFormat="1" ht="12.75">
      <c r="B692" s="21"/>
      <c r="AR692" s="21"/>
      <c r="BF692" s="21"/>
      <c r="BT692" s="21"/>
      <c r="CI692" s="72"/>
      <c r="CJ692" s="72"/>
      <c r="CK692" s="72"/>
      <c r="CL692" s="72"/>
      <c r="CM692" s="72"/>
    </row>
    <row r="693" spans="2:91" s="18" customFormat="1" ht="12.75">
      <c r="B693" s="21"/>
      <c r="AR693" s="21"/>
      <c r="BF693" s="21"/>
      <c r="BT693" s="21"/>
      <c r="CI693" s="72"/>
      <c r="CJ693" s="72"/>
      <c r="CK693" s="72"/>
      <c r="CL693" s="72"/>
      <c r="CM693" s="72"/>
    </row>
    <row r="694" spans="2:91" s="18" customFormat="1" ht="12.75">
      <c r="B694" s="21"/>
      <c r="AR694" s="21"/>
      <c r="BF694" s="21"/>
      <c r="BT694" s="21"/>
      <c r="CI694" s="72"/>
      <c r="CJ694" s="72"/>
      <c r="CK694" s="72"/>
      <c r="CL694" s="72"/>
      <c r="CM694" s="72"/>
    </row>
    <row r="695" spans="2:91" s="18" customFormat="1" ht="12.75">
      <c r="B695" s="21"/>
      <c r="AR695" s="21"/>
      <c r="BF695" s="21"/>
      <c r="BT695" s="21"/>
      <c r="CI695" s="72"/>
      <c r="CJ695" s="72"/>
      <c r="CK695" s="72"/>
      <c r="CL695" s="72"/>
      <c r="CM695" s="72"/>
    </row>
    <row r="696" spans="2:91" s="18" customFormat="1" ht="12.75">
      <c r="B696" s="21"/>
      <c r="AR696" s="21"/>
      <c r="BF696" s="21"/>
      <c r="BT696" s="21"/>
      <c r="CI696" s="72"/>
      <c r="CJ696" s="72"/>
      <c r="CK696" s="72"/>
      <c r="CL696" s="72"/>
      <c r="CM696" s="72"/>
    </row>
    <row r="697" spans="2:91" s="18" customFormat="1" ht="12.75">
      <c r="B697" s="21"/>
      <c r="AR697" s="21"/>
      <c r="BF697" s="21"/>
      <c r="BT697" s="21"/>
      <c r="CI697" s="72"/>
      <c r="CJ697" s="72"/>
      <c r="CK697" s="72"/>
      <c r="CL697" s="72"/>
      <c r="CM697" s="72"/>
    </row>
    <row r="698" spans="2:91" s="18" customFormat="1" ht="12.75">
      <c r="B698" s="21"/>
      <c r="AR698" s="21"/>
      <c r="BF698" s="21"/>
      <c r="BT698" s="21"/>
      <c r="CI698" s="72"/>
      <c r="CJ698" s="72"/>
      <c r="CK698" s="72"/>
      <c r="CL698" s="72"/>
      <c r="CM698" s="72"/>
    </row>
    <row r="699" spans="2:91" s="18" customFormat="1" ht="12.75">
      <c r="B699" s="21"/>
      <c r="AR699" s="21"/>
      <c r="BF699" s="21"/>
      <c r="BT699" s="21"/>
      <c r="CI699" s="72"/>
      <c r="CJ699" s="72"/>
      <c r="CK699" s="72"/>
      <c r="CL699" s="72"/>
      <c r="CM699" s="72"/>
    </row>
    <row r="700" spans="2:91" s="18" customFormat="1" ht="12.75">
      <c r="B700" s="21"/>
      <c r="AR700" s="21"/>
      <c r="BF700" s="21"/>
      <c r="BT700" s="21"/>
      <c r="CI700" s="72"/>
      <c r="CJ700" s="72"/>
      <c r="CK700" s="72"/>
      <c r="CL700" s="72"/>
      <c r="CM700" s="72"/>
    </row>
    <row r="701" spans="2:91" s="18" customFormat="1" ht="12.75">
      <c r="B701" s="21"/>
      <c r="AR701" s="21"/>
      <c r="BF701" s="21"/>
      <c r="BT701" s="21"/>
      <c r="CI701" s="72"/>
      <c r="CJ701" s="72"/>
      <c r="CK701" s="72"/>
      <c r="CL701" s="72"/>
      <c r="CM701" s="72"/>
    </row>
    <row r="702" spans="2:91" s="18" customFormat="1" ht="12.75">
      <c r="B702" s="21"/>
      <c r="AR702" s="21"/>
      <c r="BF702" s="21"/>
      <c r="BT702" s="21"/>
      <c r="CI702" s="72"/>
      <c r="CJ702" s="72"/>
      <c r="CK702" s="72"/>
      <c r="CL702" s="72"/>
      <c r="CM702" s="72"/>
    </row>
    <row r="703" spans="2:91" s="18" customFormat="1" ht="12.75">
      <c r="B703" s="21"/>
      <c r="AR703" s="21"/>
      <c r="BF703" s="21"/>
      <c r="BT703" s="21"/>
      <c r="CI703" s="72"/>
      <c r="CJ703" s="72"/>
      <c r="CK703" s="72"/>
      <c r="CL703" s="72"/>
      <c r="CM703" s="72"/>
    </row>
    <row r="704" spans="2:91" s="18" customFormat="1" ht="12.75">
      <c r="B704" s="21"/>
      <c r="AR704" s="21"/>
      <c r="BF704" s="21"/>
      <c r="BT704" s="21"/>
      <c r="CI704" s="72"/>
      <c r="CJ704" s="72"/>
      <c r="CK704" s="72"/>
      <c r="CL704" s="72"/>
      <c r="CM704" s="72"/>
    </row>
    <row r="705" spans="1:91" s="18" customFormat="1" ht="12.75">
      <c r="B705" s="21"/>
      <c r="AR705" s="21"/>
      <c r="BF705" s="21"/>
      <c r="BT705" s="21"/>
      <c r="CI705" s="72"/>
      <c r="CJ705" s="72"/>
      <c r="CK705" s="72"/>
      <c r="CL705" s="72"/>
      <c r="CM705" s="72"/>
    </row>
    <row r="706" spans="1:91" s="18" customFormat="1" ht="12.75">
      <c r="B706" s="21"/>
      <c r="AR706" s="21"/>
      <c r="BF706" s="21"/>
      <c r="BT706" s="21"/>
      <c r="CI706" s="72"/>
      <c r="CJ706" s="72"/>
      <c r="CK706" s="72"/>
      <c r="CL706" s="72"/>
      <c r="CM706" s="72"/>
    </row>
    <row r="707" spans="1:91" s="18" customFormat="1" ht="12.75">
      <c r="B707" s="21"/>
      <c r="AR707" s="21"/>
      <c r="BF707" s="21"/>
      <c r="BT707" s="21"/>
      <c r="CI707" s="72"/>
      <c r="CJ707" s="72"/>
      <c r="CK707" s="72"/>
      <c r="CL707" s="72"/>
      <c r="CM707" s="72"/>
    </row>
    <row r="708" spans="1:91" s="18" customFormat="1" ht="12.75">
      <c r="B708" s="21"/>
      <c r="AR708" s="21"/>
      <c r="BF708" s="21"/>
      <c r="BT708" s="21"/>
      <c r="CI708" s="72"/>
      <c r="CJ708" s="72"/>
      <c r="CK708" s="72"/>
      <c r="CL708" s="72"/>
      <c r="CM708" s="72"/>
    </row>
    <row r="709" spans="1:91" s="18" customFormat="1" ht="12.75">
      <c r="B709" s="21"/>
      <c r="AR709" s="21"/>
      <c r="BF709" s="21"/>
      <c r="BT709" s="21"/>
      <c r="CI709" s="72"/>
      <c r="CJ709" s="72"/>
      <c r="CK709" s="72"/>
      <c r="CL709" s="72"/>
      <c r="CM709" s="72"/>
    </row>
    <row r="710" spans="1:91" s="18" customFormat="1" ht="12.75">
      <c r="B710" s="21"/>
      <c r="AR710" s="21"/>
      <c r="BF710" s="21"/>
      <c r="BT710" s="21"/>
      <c r="CI710" s="72"/>
      <c r="CJ710" s="72"/>
      <c r="CK710" s="72"/>
      <c r="CL710" s="72"/>
      <c r="CM710" s="72"/>
    </row>
    <row r="711" spans="1:91" s="18" customFormat="1" ht="12.75">
      <c r="B711" s="21"/>
      <c r="AR711" s="21"/>
      <c r="BF711" s="21"/>
      <c r="BT711" s="21"/>
      <c r="CI711" s="72"/>
      <c r="CJ711" s="72"/>
      <c r="CK711" s="72"/>
      <c r="CL711" s="72"/>
      <c r="CM711" s="72"/>
    </row>
    <row r="712" spans="1:91" s="18" customFormat="1" ht="12.75">
      <c r="B712" s="21"/>
      <c r="AR712" s="21"/>
      <c r="BF712" s="21"/>
      <c r="BT712" s="21"/>
      <c r="CI712" s="72"/>
      <c r="CJ712" s="72"/>
      <c r="CK712" s="72"/>
      <c r="CL712" s="72"/>
      <c r="CM712" s="72"/>
    </row>
    <row r="713" spans="1:91" s="18" customFormat="1" ht="12.75">
      <c r="B713" s="21"/>
      <c r="AR713" s="21"/>
      <c r="BF713" s="21"/>
      <c r="BT713" s="21"/>
      <c r="CI713" s="72"/>
      <c r="CJ713" s="72"/>
      <c r="CK713" s="72"/>
      <c r="CL713" s="72"/>
      <c r="CM713" s="72"/>
    </row>
    <row r="714" spans="1:91" s="18" customFormat="1" ht="12.75">
      <c r="B714" s="21"/>
      <c r="AR714" s="21"/>
      <c r="BF714" s="21"/>
      <c r="BT714" s="21"/>
      <c r="CI714" s="72"/>
      <c r="CJ714" s="72"/>
      <c r="CK714" s="72"/>
      <c r="CL714" s="72"/>
      <c r="CM714" s="72"/>
    </row>
    <row r="715" spans="1:91" s="18" customFormat="1" ht="12.75">
      <c r="B715" s="21"/>
      <c r="AR715" s="21"/>
      <c r="BF715" s="21"/>
      <c r="BT715" s="21"/>
      <c r="CI715" s="72"/>
      <c r="CJ715" s="72"/>
      <c r="CK715" s="72"/>
      <c r="CL715" s="72"/>
      <c r="CM715" s="72"/>
    </row>
    <row r="716" spans="1:91" s="18" customFormat="1" ht="12.75">
      <c r="B716" s="21"/>
      <c r="AR716" s="21"/>
      <c r="BF716" s="21"/>
      <c r="BT716" s="21"/>
      <c r="CI716" s="72"/>
      <c r="CJ716" s="72"/>
      <c r="CK716" s="72"/>
      <c r="CL716" s="72"/>
      <c r="CM716" s="72"/>
    </row>
    <row r="717" spans="1:91" s="18" customFormat="1" ht="12.75">
      <c r="B717" s="21"/>
      <c r="AR717" s="21"/>
      <c r="BF717" s="21"/>
      <c r="BT717" s="21"/>
      <c r="CI717" s="72"/>
      <c r="CJ717" s="72"/>
      <c r="CK717" s="72"/>
      <c r="CL717" s="72"/>
      <c r="CM717" s="72"/>
    </row>
    <row r="718" spans="1:91" s="18" customFormat="1" ht="12.75">
      <c r="B718" s="21"/>
      <c r="AR718" s="21"/>
      <c r="BF718" s="21"/>
      <c r="BT718" s="21"/>
      <c r="CI718" s="72"/>
      <c r="CJ718" s="72"/>
      <c r="CK718" s="72"/>
      <c r="CL718" s="72"/>
      <c r="CM718" s="72"/>
    </row>
    <row r="719" spans="1:91" s="18" customFormat="1" ht="12.75">
      <c r="B719" s="21"/>
      <c r="AR719" s="21"/>
      <c r="BF719" s="21"/>
      <c r="BT719" s="21"/>
      <c r="CI719" s="72"/>
      <c r="CJ719" s="72"/>
      <c r="CK719" s="72"/>
      <c r="CL719" s="72"/>
      <c r="CM719" s="72"/>
    </row>
    <row r="720" spans="1:91">
      <c r="A720" s="18"/>
      <c r="B720" s="21"/>
      <c r="C720" s="18"/>
      <c r="D720" s="18"/>
      <c r="E720" s="18"/>
      <c r="F720" s="18"/>
      <c r="G720" s="18"/>
      <c r="H720" s="18"/>
      <c r="I720" s="18"/>
      <c r="J720" s="18"/>
      <c r="K720" s="18"/>
      <c r="L720" s="18"/>
      <c r="M720" s="18"/>
      <c r="O720" s="18"/>
      <c r="P720" s="18"/>
      <c r="Q720" s="18"/>
      <c r="R720" s="18"/>
      <c r="S720" s="18"/>
      <c r="T720" s="18"/>
      <c r="U720" s="18"/>
      <c r="V720" s="18"/>
      <c r="W720" s="18"/>
      <c r="X720" s="18"/>
      <c r="Y720" s="18"/>
      <c r="Z720" s="18"/>
      <c r="AA720" s="18"/>
      <c r="AC720" s="18"/>
      <c r="AD720" s="18"/>
      <c r="AE720" s="18"/>
      <c r="AF720" s="18"/>
      <c r="AG720" s="18"/>
      <c r="AH720" s="18"/>
      <c r="AI720" s="18"/>
      <c r="AJ720" s="18"/>
      <c r="AK720" s="18"/>
      <c r="AL720" s="18"/>
      <c r="AM720" s="18"/>
      <c r="AN720" s="18"/>
      <c r="AO720" s="18"/>
      <c r="AQ720" s="18"/>
      <c r="AR720" s="21"/>
      <c r="AS720" s="18"/>
      <c r="AT720" s="18"/>
      <c r="AU720" s="18"/>
      <c r="AV720" s="18"/>
      <c r="AW720" s="18"/>
      <c r="AX720" s="18"/>
      <c r="AY720" s="18"/>
      <c r="AZ720" s="18"/>
      <c r="BA720" s="18"/>
      <c r="BB720" s="18"/>
      <c r="BC720" s="18"/>
      <c r="BE720" s="18"/>
      <c r="BF720" s="21"/>
      <c r="BG720" s="18"/>
      <c r="BH720" s="18"/>
      <c r="BI720" s="18"/>
      <c r="BJ720" s="18"/>
      <c r="BK720" s="18"/>
      <c r="BL720" s="18"/>
      <c r="BM720" s="18"/>
      <c r="BN720" s="18"/>
      <c r="BO720" s="18"/>
      <c r="BP720" s="18"/>
      <c r="BQ720" s="18"/>
      <c r="BS720" s="18"/>
      <c r="BT720" s="21"/>
      <c r="BU720" s="18"/>
      <c r="BV720" s="18"/>
      <c r="BW720" s="18"/>
      <c r="BX720" s="18"/>
      <c r="BY720" s="18"/>
      <c r="BZ720" s="18"/>
      <c r="CA720" s="18"/>
      <c r="CB720" s="18"/>
      <c r="CC720" s="18"/>
      <c r="CD720" s="18"/>
      <c r="CE720" s="18"/>
    </row>
  </sheetData>
  <mergeCells count="6">
    <mergeCell ref="CM1:CM5"/>
    <mergeCell ref="CL1:CL5"/>
    <mergeCell ref="CG1:CH4"/>
    <mergeCell ref="CI1:CI5"/>
    <mergeCell ref="CJ1:CJ5"/>
    <mergeCell ref="CK1:CK5"/>
  </mergeCells>
  <phoneticPr fontId="0" type="noConversion"/>
  <conditionalFormatting sqref="CE413:CE474">
    <cfRule type="cellIs" dxfId="1021" priority="1" operator="greaterThan">
      <formula>30</formula>
    </cfRule>
  </conditionalFormatting>
  <printOptions horizontalCentered="1"/>
  <pageMargins left="0.59055118110236227" right="0.59055118110236227" top="1.3779527559055118" bottom="0.39370078740157483" header="0.59055118110236227" footer="0"/>
  <pageSetup paperSize="9" scale="10" orientation="portrait" horizontalDpi="300" verticalDpi="300" r:id="rId2"/>
  <headerFooter alignWithMargins="0">
    <oddHeader>&amp;C&amp;14Cumplimiento del Servicio de Trenes
Línea Mitre</oddHeader>
  </headerFooter>
  <ignoredErrors>
    <ignoredError sqref="W139:Z329 H6:H130 J6:L130 AK139:AN329 AY139:BB329 AJ134:AN138 AZ138:BA138 BB134:BB138 AY134:AY138 CA134:CD329 W134:AD134 H131:L133 W135:AG138" calculatedColumn="1"/>
    <ignoredError sqref="BH324" evalError="1"/>
  </ignoredErrors>
  <legacyDrawing r:id="rId3"/>
  <tableParts count="6">
    <tablePart r:id="rId4"/>
    <tablePart r:id="rId5"/>
    <tablePart r:id="rId6"/>
    <tablePart r:id="rId7"/>
    <tablePart r:id="rId8"/>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CB720"/>
  <sheetViews>
    <sheetView showGridLines="0" zoomScale="80" zoomScaleNormal="80" workbookViewId="0">
      <pane ySplit="5" topLeftCell="A370" activePane="bottomLeft" state="frozen"/>
      <selection activeCell="G390" sqref="G390"/>
      <selection pane="bottomLeft" activeCell="C389" sqref="C389"/>
    </sheetView>
  </sheetViews>
  <sheetFormatPr baseColWidth="10" defaultColWidth="11.5546875" defaultRowHeight="15"/>
  <cols>
    <col min="1"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54" width="8.77734375" style="46" customWidth="1"/>
    <col min="55" max="55" width="25.77734375" style="46" customWidth="1"/>
    <col min="56" max="68" width="8.77734375" style="46" customWidth="1"/>
    <col min="69" max="69" width="25.77734375" style="46" customWidth="1"/>
    <col min="70" max="82" width="8.77734375" style="46" customWidth="1"/>
    <col min="83" max="83" width="25.77734375" style="46" customWidth="1"/>
    <col min="84" max="84" width="8.77734375" style="46" customWidth="1"/>
    <col min="85" max="16384" width="11.5546875" style="46"/>
  </cols>
  <sheetData>
    <row r="1" spans="1:55" s="36" customFormat="1" ht="30">
      <c r="A1" s="113" t="s">
        <v>7</v>
      </c>
      <c r="B1" s="48"/>
      <c r="L1" s="37"/>
      <c r="M1" s="37"/>
      <c r="N1" s="48"/>
      <c r="O1" s="113" t="s">
        <v>7</v>
      </c>
      <c r="P1" s="48"/>
      <c r="Z1" s="37"/>
      <c r="AA1" s="37"/>
      <c r="AB1" s="48"/>
      <c r="AC1" s="113" t="s">
        <v>7</v>
      </c>
      <c r="AD1" s="48"/>
      <c r="AN1" s="37"/>
      <c r="AO1" s="37"/>
      <c r="AP1" s="48"/>
      <c r="AQ1" s="113" t="s">
        <v>7</v>
      </c>
      <c r="AR1" s="48"/>
    </row>
    <row r="2" spans="1:55" s="36" customFormat="1" ht="29.25">
      <c r="A2" s="115" t="s">
        <v>6</v>
      </c>
      <c r="B2" s="48"/>
      <c r="L2" s="37"/>
      <c r="M2" s="37"/>
      <c r="N2" s="48"/>
      <c r="O2" s="115" t="s">
        <v>6</v>
      </c>
      <c r="P2" s="48"/>
      <c r="Z2" s="37"/>
      <c r="AA2" s="37"/>
      <c r="AB2" s="48"/>
      <c r="AC2" s="115" t="s">
        <v>6</v>
      </c>
      <c r="AD2" s="48"/>
      <c r="AN2" s="37"/>
      <c r="AO2" s="37"/>
      <c r="AP2" s="48"/>
      <c r="AQ2" s="115" t="s">
        <v>6</v>
      </c>
      <c r="AR2" s="48"/>
    </row>
    <row r="3" spans="1:55" s="4" customFormat="1" ht="29.25">
      <c r="A3" s="114" t="s">
        <v>35</v>
      </c>
      <c r="B3" s="5"/>
      <c r="C3" s="8"/>
      <c r="D3" s="8"/>
      <c r="E3" s="8"/>
      <c r="F3" s="8"/>
      <c r="G3" s="8"/>
      <c r="H3" s="8"/>
      <c r="I3" s="8"/>
      <c r="J3" s="8"/>
      <c r="K3" s="8"/>
      <c r="L3" s="8"/>
      <c r="M3" s="8"/>
      <c r="N3" s="7"/>
      <c r="O3" s="114" t="s">
        <v>11</v>
      </c>
      <c r="P3" s="5"/>
      <c r="Q3" s="8"/>
      <c r="R3" s="8"/>
      <c r="S3" s="8"/>
      <c r="T3" s="8"/>
      <c r="U3" s="8"/>
      <c r="V3" s="8"/>
      <c r="W3" s="8"/>
      <c r="X3" s="8"/>
      <c r="Y3" s="8"/>
      <c r="Z3" s="8"/>
      <c r="AA3" s="8"/>
      <c r="AB3" s="7"/>
      <c r="AC3" s="114" t="s">
        <v>12</v>
      </c>
      <c r="AD3" s="5"/>
      <c r="AE3" s="8"/>
      <c r="AF3" s="8"/>
      <c r="AG3" s="8"/>
      <c r="AH3" s="8"/>
      <c r="AI3" s="8"/>
      <c r="AJ3" s="8"/>
      <c r="AK3" s="8"/>
      <c r="AL3" s="8"/>
      <c r="AM3" s="8"/>
      <c r="AN3" s="8"/>
      <c r="AO3" s="8"/>
      <c r="AP3" s="7"/>
      <c r="AQ3" s="114" t="s">
        <v>13</v>
      </c>
      <c r="AR3" s="5"/>
      <c r="AS3" s="8"/>
      <c r="AT3" s="8"/>
      <c r="AU3" s="8"/>
      <c r="AV3" s="8"/>
      <c r="AW3" s="8"/>
      <c r="AX3" s="8"/>
      <c r="AY3" s="8"/>
      <c r="AZ3" s="8"/>
      <c r="BA3" s="8"/>
    </row>
    <row r="4" spans="1:55" s="1" customFormat="1" ht="12.75">
      <c r="B4" s="49"/>
      <c r="C4" s="39"/>
      <c r="D4" s="39"/>
      <c r="E4" s="39"/>
      <c r="F4" s="39"/>
      <c r="G4" s="39"/>
      <c r="H4" s="39"/>
      <c r="I4" s="39"/>
      <c r="J4" s="39"/>
      <c r="K4" s="39"/>
      <c r="L4" s="39"/>
      <c r="M4" s="39"/>
      <c r="N4" s="50"/>
      <c r="O4" s="51"/>
      <c r="P4" s="49"/>
      <c r="Q4" s="39"/>
      <c r="R4" s="39"/>
      <c r="S4" s="39"/>
      <c r="T4" s="39"/>
      <c r="U4" s="39"/>
      <c r="V4" s="39"/>
      <c r="W4" s="39"/>
      <c r="X4" s="39"/>
      <c r="Y4" s="39"/>
      <c r="Z4" s="39"/>
      <c r="AA4" s="39"/>
      <c r="AB4" s="50"/>
      <c r="AC4" s="51"/>
      <c r="AD4" s="49"/>
      <c r="AE4" s="39"/>
      <c r="AF4" s="39"/>
      <c r="AG4" s="39"/>
      <c r="AH4" s="39"/>
      <c r="AI4" s="39"/>
      <c r="AJ4" s="39"/>
      <c r="AK4" s="39"/>
      <c r="AL4" s="39"/>
      <c r="AM4" s="39"/>
      <c r="AN4" s="39"/>
      <c r="AO4" s="39"/>
      <c r="AP4" s="50"/>
      <c r="AQ4" s="51"/>
      <c r="AR4" s="49"/>
      <c r="AS4" s="39"/>
      <c r="AT4" s="39"/>
      <c r="AU4" s="39"/>
      <c r="AV4" s="39"/>
      <c r="AW4" s="39"/>
      <c r="AX4" s="39"/>
      <c r="AY4" s="39"/>
      <c r="AZ4" s="39"/>
      <c r="BA4" s="39"/>
      <c r="BB4" s="39"/>
    </row>
    <row r="5" spans="1:55" s="65" customFormat="1" ht="45" customHeight="1">
      <c r="A5" s="12" t="s">
        <v>32</v>
      </c>
      <c r="B5" s="12" t="s">
        <v>31</v>
      </c>
      <c r="C5" s="12" t="s">
        <v>8</v>
      </c>
      <c r="D5" s="12" t="s">
        <v>10</v>
      </c>
      <c r="E5" s="12" t="s">
        <v>9</v>
      </c>
      <c r="F5" s="12" t="s">
        <v>99</v>
      </c>
      <c r="G5" s="12" t="s">
        <v>98</v>
      </c>
      <c r="H5" s="12" t="s">
        <v>52</v>
      </c>
      <c r="I5" s="12" t="s">
        <v>53</v>
      </c>
      <c r="J5" s="12" t="s">
        <v>27</v>
      </c>
      <c r="K5" s="12" t="s">
        <v>54</v>
      </c>
      <c r="L5" s="12" t="s">
        <v>55</v>
      </c>
      <c r="M5" s="12" t="s">
        <v>34</v>
      </c>
      <c r="N5" s="13"/>
      <c r="O5" s="12" t="s">
        <v>32</v>
      </c>
      <c r="P5" s="12" t="s">
        <v>31</v>
      </c>
      <c r="Q5" s="12" t="s">
        <v>8</v>
      </c>
      <c r="R5" s="12" t="s">
        <v>10</v>
      </c>
      <c r="S5" s="12" t="s">
        <v>9</v>
      </c>
      <c r="T5" s="12" t="s">
        <v>99</v>
      </c>
      <c r="U5" s="12" t="s">
        <v>98</v>
      </c>
      <c r="V5" s="12" t="s">
        <v>52</v>
      </c>
      <c r="W5" s="12" t="s">
        <v>53</v>
      </c>
      <c r="X5" s="12" t="s">
        <v>27</v>
      </c>
      <c r="Y5" s="12" t="s">
        <v>54</v>
      </c>
      <c r="Z5" s="12" t="s">
        <v>55</v>
      </c>
      <c r="AA5" s="12" t="s">
        <v>34</v>
      </c>
      <c r="AB5" s="14"/>
      <c r="AC5" s="12" t="s">
        <v>32</v>
      </c>
      <c r="AD5" s="12" t="s">
        <v>31</v>
      </c>
      <c r="AE5" s="12" t="s">
        <v>8</v>
      </c>
      <c r="AF5" s="12" t="s">
        <v>10</v>
      </c>
      <c r="AG5" s="12" t="s">
        <v>9</v>
      </c>
      <c r="AH5" s="12" t="s">
        <v>99</v>
      </c>
      <c r="AI5" s="12" t="s">
        <v>98</v>
      </c>
      <c r="AJ5" s="12" t="s">
        <v>52</v>
      </c>
      <c r="AK5" s="12" t="s">
        <v>53</v>
      </c>
      <c r="AL5" s="12" t="s">
        <v>27</v>
      </c>
      <c r="AM5" s="12" t="s">
        <v>54</v>
      </c>
      <c r="AN5" s="12" t="s">
        <v>55</v>
      </c>
      <c r="AO5" s="12" t="s">
        <v>34</v>
      </c>
      <c r="AP5" s="14"/>
      <c r="AQ5" s="12" t="s">
        <v>32</v>
      </c>
      <c r="AR5" s="12" t="s">
        <v>31</v>
      </c>
      <c r="AS5" s="12" t="s">
        <v>8</v>
      </c>
      <c r="AT5" s="12" t="s">
        <v>10</v>
      </c>
      <c r="AU5" s="12" t="s">
        <v>9</v>
      </c>
      <c r="AV5" s="12" t="s">
        <v>99</v>
      </c>
      <c r="AW5" s="12" t="s">
        <v>98</v>
      </c>
      <c r="AX5" s="12" t="s">
        <v>52</v>
      </c>
      <c r="AY5" s="12" t="s">
        <v>53</v>
      </c>
      <c r="AZ5" s="12" t="s">
        <v>27</v>
      </c>
      <c r="BA5" s="12" t="s">
        <v>54</v>
      </c>
      <c r="BB5" s="12" t="s">
        <v>55</v>
      </c>
      <c r="BC5" s="12" t="s">
        <v>34</v>
      </c>
    </row>
    <row r="6" spans="1:55" s="18" customFormat="1" ht="15" customHeight="1">
      <c r="A6" s="94">
        <v>1993</v>
      </c>
      <c r="B6" s="95" t="s">
        <v>36</v>
      </c>
      <c r="C6" s="15">
        <f>K6/H6</f>
        <v>0.75028405504355511</v>
      </c>
      <c r="D6" s="15">
        <f>K6/J6</f>
        <v>0.85547718439614218</v>
      </c>
      <c r="E6" s="15">
        <f>J6/H6</f>
        <v>0.87703572781214489</v>
      </c>
      <c r="F6" s="16">
        <f>+Tabla2[[#This Row],[Trenes Programados por Día Hábil]]+Tabla9[[#This Row],[Trenes Programados por Día Hábil]]+Tabla10[[#This Row],[Trenes Programados por Día Hábil]]</f>
        <v>0</v>
      </c>
      <c r="G6" s="33">
        <f>+(Tabla2[[#This Row],[Coches por Tren Día Hábil]]*Tabla2[[#This Row],[Trenes Corridos]]+Tabla9[[#This Row],[Coches por Tren Día Hábil]]*Tabla9[[#This Row],[Trenes Corridos]]+Tabla10[[#This Row],[Coches por Tren Día Hábil]]*Tabla10[[#This Row],[Trenes Corridos]])/SARM[[#This Row],[Trenes Corridos]]</f>
        <v>0</v>
      </c>
      <c r="H6" s="16">
        <v>7921</v>
      </c>
      <c r="I6" s="16">
        <f t="shared" ref="I6:I69" si="0">H6-J6</f>
        <v>974</v>
      </c>
      <c r="J6" s="16">
        <v>6947</v>
      </c>
      <c r="K6" s="16">
        <v>5943</v>
      </c>
      <c r="L6" s="16">
        <f t="shared" ref="L6:L69" si="1">J6-K6</f>
        <v>1004</v>
      </c>
      <c r="M6" s="16"/>
      <c r="N6" s="17"/>
      <c r="O6" s="94">
        <v>1993</v>
      </c>
      <c r="P6" s="95" t="s">
        <v>36</v>
      </c>
      <c r="Q6" s="41"/>
      <c r="R6" s="41"/>
      <c r="S6" s="41"/>
      <c r="T6" s="16"/>
      <c r="U6" s="16"/>
      <c r="V6" s="16"/>
      <c r="W6" s="16"/>
      <c r="X6" s="69">
        <f>(SUM(X$134:X$149)/16)/(SUM($J$134:$J$149)/16)*SARM[[#This Row],[Trenes Corridos]]</f>
        <v>5510.3831643987778</v>
      </c>
      <c r="Y6" s="16"/>
      <c r="Z6" s="16"/>
      <c r="AA6" s="16"/>
      <c r="AB6" s="17"/>
      <c r="AC6" s="94">
        <v>1993</v>
      </c>
      <c r="AD6" s="95" t="s">
        <v>36</v>
      </c>
      <c r="AE6" s="41"/>
      <c r="AF6" s="41"/>
      <c r="AG6" s="41"/>
      <c r="AH6" s="16"/>
      <c r="AI6" s="16"/>
      <c r="AJ6" s="16"/>
      <c r="AK6" s="16"/>
      <c r="AL6" s="69">
        <f>(SUM(AL$134:AL$149)/16)/(SUM($J$134:$J$149)/16)*SARM[[#This Row],[Trenes Corridos]]</f>
        <v>638.70536656484308</v>
      </c>
      <c r="AM6" s="16"/>
      <c r="AN6" s="16"/>
      <c r="AO6" s="16"/>
      <c r="AP6" s="17"/>
      <c r="AQ6" s="94">
        <v>1993</v>
      </c>
      <c r="AR6" s="95" t="s">
        <v>36</v>
      </c>
      <c r="AS6" s="41"/>
      <c r="AT6" s="41"/>
      <c r="AU6" s="41"/>
      <c r="AV6" s="16"/>
      <c r="AW6" s="16"/>
      <c r="AX6" s="16"/>
      <c r="AY6" s="16"/>
      <c r="AZ6" s="69">
        <f>(SUM(AZ$134:AZ$149)/16)/(SUM($J$134:$J$149)/16)*SARM[[#This Row],[Trenes Corridos]]</f>
        <v>797.91146903637878</v>
      </c>
      <c r="BA6" s="16"/>
      <c r="BB6" s="16"/>
    </row>
    <row r="7" spans="1:55" s="18" customFormat="1" ht="15" customHeight="1">
      <c r="A7" s="96">
        <v>1993</v>
      </c>
      <c r="B7" s="97" t="s">
        <v>37</v>
      </c>
      <c r="C7" s="15">
        <f>K7/H7</f>
        <v>0.74830316742081449</v>
      </c>
      <c r="D7" s="15">
        <f>K7/J7</f>
        <v>0.84</v>
      </c>
      <c r="E7" s="15">
        <f>J7/H7</f>
        <v>0.89083710407239824</v>
      </c>
      <c r="F7" s="16">
        <f>+Tabla2[[#This Row],[Trenes Programados por Día Hábil]]+Tabla9[[#This Row],[Trenes Programados por Día Hábil]]+Tabla10[[#This Row],[Trenes Programados por Día Hábil]]</f>
        <v>0</v>
      </c>
      <c r="G7" s="33">
        <f>+(Tabla2[[#This Row],[Coches por Tren Día Hábil]]*Tabla2[[#This Row],[Trenes Corridos]]+Tabla9[[#This Row],[Coches por Tren Día Hábil]]*Tabla9[[#This Row],[Trenes Corridos]]+Tabla10[[#This Row],[Coches por Tren Día Hábil]]*Tabla10[[#This Row],[Trenes Corridos]])/SARM[[#This Row],[Trenes Corridos]]</f>
        <v>0</v>
      </c>
      <c r="H7" s="16">
        <v>7072</v>
      </c>
      <c r="I7" s="16">
        <f t="shared" si="0"/>
        <v>772</v>
      </c>
      <c r="J7" s="16">
        <v>6300</v>
      </c>
      <c r="K7" s="16">
        <v>5292</v>
      </c>
      <c r="L7" s="16">
        <f t="shared" si="1"/>
        <v>1008</v>
      </c>
      <c r="M7" s="16"/>
      <c r="N7" s="17"/>
      <c r="O7" s="96">
        <v>1993</v>
      </c>
      <c r="P7" s="97" t="s">
        <v>37</v>
      </c>
      <c r="Q7" s="41"/>
      <c r="R7" s="41"/>
      <c r="S7" s="41"/>
      <c r="T7" s="16"/>
      <c r="U7" s="16"/>
      <c r="V7" s="16"/>
      <c r="W7" s="16"/>
      <c r="X7" s="69">
        <f>(SUM(X$134:X$149)/16)/(SUM($J$134:$J$149)/16)*SARM[[#This Row],[Trenes Corridos]]</f>
        <v>4997.1806442654815</v>
      </c>
      <c r="Y7" s="16"/>
      <c r="Z7" s="16"/>
      <c r="AA7" s="16"/>
      <c r="AB7" s="17"/>
      <c r="AC7" s="96">
        <v>1993</v>
      </c>
      <c r="AD7" s="97" t="s">
        <v>37</v>
      </c>
      <c r="AE7" s="41"/>
      <c r="AF7" s="41"/>
      <c r="AG7" s="41"/>
      <c r="AH7" s="16"/>
      <c r="AI7" s="16"/>
      <c r="AJ7" s="16"/>
      <c r="AK7" s="16"/>
      <c r="AL7" s="69">
        <f>(SUM(AL$134:AL$149)/16)/(SUM($J$134:$J$149)/16)*SARM[[#This Row],[Trenes Corridos]]</f>
        <v>579.22035545681752</v>
      </c>
      <c r="AM7" s="16"/>
      <c r="AN7" s="16"/>
      <c r="AO7" s="16"/>
      <c r="AP7" s="17"/>
      <c r="AQ7" s="96">
        <v>1993</v>
      </c>
      <c r="AR7" s="97" t="s">
        <v>37</v>
      </c>
      <c r="AS7" s="41"/>
      <c r="AT7" s="41"/>
      <c r="AU7" s="41"/>
      <c r="AV7" s="16"/>
      <c r="AW7" s="16"/>
      <c r="AX7" s="16"/>
      <c r="AY7" s="16"/>
      <c r="AZ7" s="69">
        <f>(SUM(AZ$134:AZ$149)/16)/(SUM($J$134:$J$149)/16)*SARM[[#This Row],[Trenes Corridos]]</f>
        <v>723.59900027770061</v>
      </c>
      <c r="BA7" s="16"/>
      <c r="BB7" s="16"/>
    </row>
    <row r="8" spans="1:55" s="18" customFormat="1" ht="15" customHeight="1">
      <c r="A8" s="94">
        <v>1993</v>
      </c>
      <c r="B8" s="95" t="s">
        <v>38</v>
      </c>
      <c r="C8" s="15">
        <f>K8/H8</f>
        <v>0.69900142653352348</v>
      </c>
      <c r="D8" s="15">
        <f>K8/J8</f>
        <v>0.77923955472025441</v>
      </c>
      <c r="E8" s="15">
        <f>J8/H8</f>
        <v>0.89703021657372584</v>
      </c>
      <c r="F8" s="16">
        <f>+Tabla2[[#This Row],[Trenes Programados por Día Hábil]]+Tabla9[[#This Row],[Trenes Programados por Día Hábil]]+Tabla10[[#This Row],[Trenes Programados por Día Hábil]]</f>
        <v>0</v>
      </c>
      <c r="G8" s="33">
        <f>+(Tabla2[[#This Row],[Coches por Tren Día Hábil]]*Tabla2[[#This Row],[Trenes Corridos]]+Tabla9[[#This Row],[Coches por Tren Día Hábil]]*Tabla9[[#This Row],[Trenes Corridos]]+Tabla10[[#This Row],[Coches por Tren Día Hábil]]*Tabla10[[#This Row],[Trenes Corridos]])/SARM[[#This Row],[Trenes Corridos]]</f>
        <v>0</v>
      </c>
      <c r="H8" s="16">
        <v>7711</v>
      </c>
      <c r="I8" s="16">
        <f t="shared" si="0"/>
        <v>794</v>
      </c>
      <c r="J8" s="16">
        <v>6917</v>
      </c>
      <c r="K8" s="16">
        <v>5390</v>
      </c>
      <c r="L8" s="16">
        <f t="shared" si="1"/>
        <v>1527</v>
      </c>
      <c r="M8" s="16"/>
      <c r="N8" s="17"/>
      <c r="O8" s="94">
        <v>1993</v>
      </c>
      <c r="P8" s="95" t="s">
        <v>38</v>
      </c>
      <c r="Q8" s="41"/>
      <c r="R8" s="41"/>
      <c r="S8" s="41"/>
      <c r="T8" s="16"/>
      <c r="U8" s="16"/>
      <c r="V8" s="16"/>
      <c r="W8" s="16"/>
      <c r="X8" s="69">
        <f>(SUM(X$134:X$149)/16)/(SUM($J$134:$J$149)/16)*SARM[[#This Row],[Trenes Corridos]]</f>
        <v>5486.5870660927521</v>
      </c>
      <c r="Y8" s="16"/>
      <c r="Z8" s="16"/>
      <c r="AA8" s="16"/>
      <c r="AB8" s="17"/>
      <c r="AC8" s="94">
        <v>1993</v>
      </c>
      <c r="AD8" s="95" t="s">
        <v>38</v>
      </c>
      <c r="AE8" s="41"/>
      <c r="AF8" s="41"/>
      <c r="AG8" s="41"/>
      <c r="AH8" s="16"/>
      <c r="AI8" s="16"/>
      <c r="AJ8" s="16"/>
      <c r="AK8" s="16"/>
      <c r="AL8" s="69">
        <f>(SUM(AL$134:AL$149)/16)/(SUM($J$134:$J$149)/16)*SARM[[#This Row],[Trenes Corridos]]</f>
        <v>635.94717439600106</v>
      </c>
      <c r="AM8" s="16"/>
      <c r="AN8" s="16"/>
      <c r="AO8" s="16"/>
      <c r="AP8" s="17"/>
      <c r="AQ8" s="94">
        <v>1993</v>
      </c>
      <c r="AR8" s="95" t="s">
        <v>38</v>
      </c>
      <c r="AS8" s="41"/>
      <c r="AT8" s="41"/>
      <c r="AU8" s="41"/>
      <c r="AV8" s="16"/>
      <c r="AW8" s="16"/>
      <c r="AX8" s="16"/>
      <c r="AY8" s="16"/>
      <c r="AZ8" s="69">
        <f>(SUM(AZ$134:AZ$149)/16)/(SUM($J$134:$J$149)/16)*SARM[[#This Row],[Trenes Corridos]]</f>
        <v>794.4657595112468</v>
      </c>
      <c r="BA8" s="16"/>
      <c r="BB8" s="16"/>
    </row>
    <row r="9" spans="1:55" s="18" customFormat="1" ht="15" customHeight="1">
      <c r="A9" s="96">
        <v>1993</v>
      </c>
      <c r="B9" s="97" t="s">
        <v>39</v>
      </c>
      <c r="C9" s="15">
        <f>K9/H9</f>
        <v>0.69958960328317377</v>
      </c>
      <c r="D9" s="15">
        <f>K9/J9</f>
        <v>0.77673147023086275</v>
      </c>
      <c r="E9" s="15">
        <f>J9/H9</f>
        <v>0.90068399452804382</v>
      </c>
      <c r="F9" s="16">
        <f>+Tabla2[[#This Row],[Trenes Programados por Día Hábil]]+Tabla9[[#This Row],[Trenes Programados por Día Hábil]]+Tabla10[[#This Row],[Trenes Programados por Día Hábil]]</f>
        <v>0</v>
      </c>
      <c r="G9" s="33">
        <f>+(Tabla2[[#This Row],[Coches por Tren Día Hábil]]*Tabla2[[#This Row],[Trenes Corridos]]+Tabla9[[#This Row],[Coches por Tren Día Hábil]]*Tabla9[[#This Row],[Trenes Corridos]]+Tabla10[[#This Row],[Coches por Tren Día Hábil]]*Tabla10[[#This Row],[Trenes Corridos]])/SARM[[#This Row],[Trenes Corridos]]</f>
        <v>0</v>
      </c>
      <c r="H9" s="16">
        <v>7310</v>
      </c>
      <c r="I9" s="16">
        <f t="shared" si="0"/>
        <v>726</v>
      </c>
      <c r="J9" s="16">
        <v>6584</v>
      </c>
      <c r="K9" s="16">
        <v>5114</v>
      </c>
      <c r="L9" s="16">
        <f t="shared" si="1"/>
        <v>1470</v>
      </c>
      <c r="M9" s="16"/>
      <c r="N9" s="17"/>
      <c r="O9" s="96">
        <v>1993</v>
      </c>
      <c r="P9" s="97" t="s">
        <v>39</v>
      </c>
      <c r="Q9" s="41"/>
      <c r="R9" s="41"/>
      <c r="S9" s="41"/>
      <c r="T9" s="16"/>
      <c r="U9" s="16"/>
      <c r="V9" s="16"/>
      <c r="W9" s="16"/>
      <c r="X9" s="69">
        <f>(SUM(X$134:X$149)/16)/(SUM($J$134:$J$149)/16)*SARM[[#This Row],[Trenes Corridos]]</f>
        <v>5222.4503748958623</v>
      </c>
      <c r="Y9" s="16"/>
      <c r="Z9" s="16"/>
      <c r="AA9" s="16"/>
      <c r="AB9" s="17"/>
      <c r="AC9" s="96">
        <v>1993</v>
      </c>
      <c r="AD9" s="97" t="s">
        <v>39</v>
      </c>
      <c r="AE9" s="41"/>
      <c r="AF9" s="41"/>
      <c r="AG9" s="41"/>
      <c r="AH9" s="16"/>
      <c r="AI9" s="16"/>
      <c r="AJ9" s="16"/>
      <c r="AK9" s="16"/>
      <c r="AL9" s="69">
        <f>(SUM(AL$134:AL$149)/16)/(SUM($J$134:$J$149)/16)*SARM[[#This Row],[Trenes Corridos]]</f>
        <v>605.33124132185503</v>
      </c>
      <c r="AM9" s="16"/>
      <c r="AN9" s="16"/>
      <c r="AO9" s="16"/>
      <c r="AP9" s="17"/>
      <c r="AQ9" s="96">
        <v>1993</v>
      </c>
      <c r="AR9" s="97" t="s">
        <v>39</v>
      </c>
      <c r="AS9" s="41"/>
      <c r="AT9" s="41"/>
      <c r="AU9" s="41"/>
      <c r="AV9" s="16"/>
      <c r="AW9" s="16"/>
      <c r="AX9" s="16"/>
      <c r="AY9" s="16"/>
      <c r="AZ9" s="69">
        <f>(SUM(AZ$134:AZ$149)/16)/(SUM($J$134:$J$149)/16)*SARM[[#This Row],[Trenes Corridos]]</f>
        <v>756.21838378228267</v>
      </c>
      <c r="BA9" s="16"/>
      <c r="BB9" s="16"/>
    </row>
    <row r="10" spans="1:55" s="18" customFormat="1" ht="15" customHeight="1">
      <c r="A10" s="94">
        <v>1993</v>
      </c>
      <c r="B10" s="95" t="s">
        <v>40</v>
      </c>
      <c r="C10" s="15">
        <f t="shared" ref="C10:C73" si="2">K10/H10</f>
        <v>0.74184300341296927</v>
      </c>
      <c r="D10" s="15">
        <f t="shared" ref="D10:D73" si="3">K10/J10</f>
        <v>0.79958799293702176</v>
      </c>
      <c r="E10" s="15">
        <f t="shared" ref="E10:E73" si="4">J10/H10</f>
        <v>0.92778156996587036</v>
      </c>
      <c r="F10" s="16">
        <f>+Tabla2[[#This Row],[Trenes Programados por Día Hábil]]+Tabla9[[#This Row],[Trenes Programados por Día Hábil]]+Tabla10[[#This Row],[Trenes Programados por Día Hábil]]</f>
        <v>0</v>
      </c>
      <c r="G10" s="33">
        <f>+(Tabla2[[#This Row],[Coches por Tren Día Hábil]]*Tabla2[[#This Row],[Trenes Corridos]]+Tabla9[[#This Row],[Coches por Tren Día Hábil]]*Tabla9[[#This Row],[Trenes Corridos]]+Tabla10[[#This Row],[Coches por Tren Día Hábil]]*Tabla10[[#This Row],[Trenes Corridos]])/SARM[[#This Row],[Trenes Corridos]]</f>
        <v>0</v>
      </c>
      <c r="H10" s="16">
        <v>7325</v>
      </c>
      <c r="I10" s="16">
        <f t="shared" si="0"/>
        <v>529</v>
      </c>
      <c r="J10" s="16">
        <v>6796</v>
      </c>
      <c r="K10" s="16">
        <v>5434</v>
      </c>
      <c r="L10" s="16">
        <f t="shared" si="1"/>
        <v>1362</v>
      </c>
      <c r="M10" s="16"/>
      <c r="N10" s="17"/>
      <c r="O10" s="94">
        <v>1993</v>
      </c>
      <c r="P10" s="95" t="s">
        <v>40</v>
      </c>
      <c r="Q10" s="41"/>
      <c r="R10" s="41"/>
      <c r="S10" s="41"/>
      <c r="T10" s="16"/>
      <c r="U10" s="16"/>
      <c r="V10" s="16"/>
      <c r="W10" s="16"/>
      <c r="X10" s="69">
        <f>(SUM(X$134:X$149)/16)/(SUM($J$134:$J$149)/16)*SARM[[#This Row],[Trenes Corridos]]</f>
        <v>5390.60946959178</v>
      </c>
      <c r="Y10" s="16"/>
      <c r="Z10" s="16"/>
      <c r="AA10" s="16"/>
      <c r="AB10" s="17"/>
      <c r="AC10" s="94">
        <v>1993</v>
      </c>
      <c r="AD10" s="95" t="s">
        <v>40</v>
      </c>
      <c r="AE10" s="41"/>
      <c r="AF10" s="41"/>
      <c r="AG10" s="41"/>
      <c r="AH10" s="16"/>
      <c r="AI10" s="16"/>
      <c r="AJ10" s="16"/>
      <c r="AK10" s="16"/>
      <c r="AL10" s="69">
        <f>(SUM(AL$134:AL$149)/16)/(SUM($J$134:$J$149)/16)*SARM[[#This Row],[Trenes Corridos]]</f>
        <v>624.82246598167171</v>
      </c>
      <c r="AM10" s="16"/>
      <c r="AN10" s="16"/>
      <c r="AO10" s="16"/>
      <c r="AP10" s="17"/>
      <c r="AQ10" s="94">
        <v>1993</v>
      </c>
      <c r="AR10" s="95" t="s">
        <v>40</v>
      </c>
      <c r="AS10" s="41"/>
      <c r="AT10" s="41"/>
      <c r="AU10" s="41"/>
      <c r="AV10" s="16"/>
      <c r="AW10" s="16"/>
      <c r="AX10" s="16"/>
      <c r="AY10" s="16"/>
      <c r="AZ10" s="69">
        <f>(SUM(AZ$134:AZ$149)/16)/(SUM($J$134:$J$149)/16)*SARM[[#This Row],[Trenes Corridos]]</f>
        <v>780.56806442654818</v>
      </c>
      <c r="BA10" s="16"/>
      <c r="BB10" s="16"/>
    </row>
    <row r="11" spans="1:55" s="18" customFormat="1" ht="15" customHeight="1">
      <c r="A11" s="96">
        <v>1993</v>
      </c>
      <c r="B11" s="97" t="s">
        <v>41</v>
      </c>
      <c r="C11" s="15">
        <f t="shared" si="2"/>
        <v>0.71604431678292979</v>
      </c>
      <c r="D11" s="15">
        <f t="shared" si="3"/>
        <v>0.79619771863117872</v>
      </c>
      <c r="E11" s="15">
        <f t="shared" si="4"/>
        <v>0.89932977704828343</v>
      </c>
      <c r="F11" s="16">
        <f>+Tabla2[[#This Row],[Trenes Programados por Día Hábil]]+Tabla9[[#This Row],[Trenes Programados por Día Hábil]]+Tabla10[[#This Row],[Trenes Programados por Día Hábil]]</f>
        <v>0</v>
      </c>
      <c r="G11" s="33">
        <f>+(Tabla2[[#This Row],[Coches por Tren Día Hábil]]*Tabla2[[#This Row],[Trenes Corridos]]+Tabla9[[#This Row],[Coches por Tren Día Hábil]]*Tabla9[[#This Row],[Trenes Corridos]]+Tabla10[[#This Row],[Coches por Tren Día Hábil]]*Tabla10[[#This Row],[Trenes Corridos]])/SARM[[#This Row],[Trenes Corridos]]</f>
        <v>0</v>
      </c>
      <c r="H11" s="16">
        <v>7311</v>
      </c>
      <c r="I11" s="16">
        <f t="shared" si="0"/>
        <v>736</v>
      </c>
      <c r="J11" s="16">
        <v>6575</v>
      </c>
      <c r="K11" s="16">
        <v>5235</v>
      </c>
      <c r="L11" s="16">
        <f t="shared" si="1"/>
        <v>1340</v>
      </c>
      <c r="M11" s="16"/>
      <c r="N11" s="17"/>
      <c r="O11" s="96">
        <v>1993</v>
      </c>
      <c r="P11" s="97" t="s">
        <v>41</v>
      </c>
      <c r="Q11" s="41"/>
      <c r="R11" s="41"/>
      <c r="S11" s="41"/>
      <c r="T11" s="16"/>
      <c r="U11" s="16"/>
      <c r="V11" s="16"/>
      <c r="W11" s="16"/>
      <c r="X11" s="69">
        <f>(SUM(X$134:X$149)/16)/(SUM($J$134:$J$149)/16)*SARM[[#This Row],[Trenes Corridos]]</f>
        <v>5215.3115454040544</v>
      </c>
      <c r="Y11" s="16"/>
      <c r="Z11" s="16"/>
      <c r="AA11" s="16"/>
      <c r="AB11" s="17"/>
      <c r="AC11" s="96">
        <v>1993</v>
      </c>
      <c r="AD11" s="97" t="s">
        <v>41</v>
      </c>
      <c r="AE11" s="41"/>
      <c r="AF11" s="41"/>
      <c r="AG11" s="41"/>
      <c r="AH11" s="16"/>
      <c r="AI11" s="16"/>
      <c r="AJ11" s="16"/>
      <c r="AK11" s="16"/>
      <c r="AL11" s="69">
        <f>(SUM(AL$134:AL$149)/16)/(SUM($J$134:$J$149)/16)*SARM[[#This Row],[Trenes Corridos]]</f>
        <v>604.50378367120243</v>
      </c>
      <c r="AM11" s="16"/>
      <c r="AN11" s="16"/>
      <c r="AO11" s="16"/>
      <c r="AP11" s="17"/>
      <c r="AQ11" s="96">
        <v>1993</v>
      </c>
      <c r="AR11" s="97" t="s">
        <v>41</v>
      </c>
      <c r="AS11" s="41"/>
      <c r="AT11" s="41"/>
      <c r="AU11" s="41"/>
      <c r="AV11" s="16"/>
      <c r="AW11" s="16"/>
      <c r="AX11" s="16"/>
      <c r="AY11" s="16"/>
      <c r="AZ11" s="69">
        <f>(SUM(AZ$134:AZ$149)/16)/(SUM($J$134:$J$149)/16)*SARM[[#This Row],[Trenes Corridos]]</f>
        <v>755.18467092474305</v>
      </c>
      <c r="BA11" s="16"/>
      <c r="BB11" s="16"/>
    </row>
    <row r="12" spans="1:55" s="18" customFormat="1" ht="15" customHeight="1">
      <c r="A12" s="94">
        <v>1993</v>
      </c>
      <c r="B12" s="95" t="s">
        <v>42</v>
      </c>
      <c r="C12" s="15">
        <f t="shared" si="2"/>
        <v>0.68574456809750928</v>
      </c>
      <c r="D12" s="15">
        <f t="shared" si="3"/>
        <v>0.77196122296793435</v>
      </c>
      <c r="E12" s="15">
        <f t="shared" si="4"/>
        <v>0.88831478537360886</v>
      </c>
      <c r="F12" s="16">
        <f>+Tabla2[[#This Row],[Trenes Programados por Día Hábil]]+Tabla9[[#This Row],[Trenes Programados por Día Hábil]]+Tabla10[[#This Row],[Trenes Programados por Día Hábil]]</f>
        <v>0</v>
      </c>
      <c r="G12" s="33">
        <f>+(Tabla2[[#This Row],[Coches por Tren Día Hábil]]*Tabla2[[#This Row],[Trenes Corridos]]+Tabla9[[#This Row],[Coches por Tren Día Hábil]]*Tabla9[[#This Row],[Trenes Corridos]]+Tabla10[[#This Row],[Coches por Tren Día Hábil]]*Tabla10[[#This Row],[Trenes Corridos]])/SARM[[#This Row],[Trenes Corridos]]</f>
        <v>0</v>
      </c>
      <c r="H12" s="16">
        <v>7548</v>
      </c>
      <c r="I12" s="16">
        <f t="shared" si="0"/>
        <v>843</v>
      </c>
      <c r="J12" s="16">
        <v>6705</v>
      </c>
      <c r="K12" s="16">
        <v>5176</v>
      </c>
      <c r="L12" s="16">
        <f t="shared" si="1"/>
        <v>1529</v>
      </c>
      <c r="M12" s="16"/>
      <c r="N12" s="17"/>
      <c r="O12" s="94">
        <v>1993</v>
      </c>
      <c r="P12" s="95" t="s">
        <v>42</v>
      </c>
      <c r="Q12" s="41"/>
      <c r="R12" s="41"/>
      <c r="S12" s="41"/>
      <c r="T12" s="16"/>
      <c r="U12" s="16"/>
      <c r="V12" s="16"/>
      <c r="W12" s="16"/>
      <c r="X12" s="69">
        <f>(SUM(X$134:X$149)/16)/(SUM($J$134:$J$149)/16)*SARM[[#This Row],[Trenes Corridos]]</f>
        <v>5318.4279713968344</v>
      </c>
      <c r="Y12" s="16"/>
      <c r="Z12" s="16"/>
      <c r="AA12" s="16"/>
      <c r="AB12" s="17"/>
      <c r="AC12" s="94">
        <v>1993</v>
      </c>
      <c r="AD12" s="95" t="s">
        <v>42</v>
      </c>
      <c r="AE12" s="41"/>
      <c r="AF12" s="41"/>
      <c r="AG12" s="41"/>
      <c r="AH12" s="16"/>
      <c r="AI12" s="16"/>
      <c r="AJ12" s="16"/>
      <c r="AK12" s="16"/>
      <c r="AL12" s="69">
        <f>(SUM(AL$134:AL$149)/16)/(SUM($J$134:$J$149)/16)*SARM[[#This Row],[Trenes Corridos]]</f>
        <v>616.45594973618438</v>
      </c>
      <c r="AM12" s="16"/>
      <c r="AN12" s="16"/>
      <c r="AO12" s="16"/>
      <c r="AP12" s="17"/>
      <c r="AQ12" s="94">
        <v>1993</v>
      </c>
      <c r="AR12" s="95" t="s">
        <v>42</v>
      </c>
      <c r="AS12" s="41"/>
      <c r="AT12" s="41"/>
      <c r="AU12" s="41"/>
      <c r="AV12" s="16"/>
      <c r="AW12" s="16"/>
      <c r="AX12" s="16"/>
      <c r="AY12" s="16"/>
      <c r="AZ12" s="69">
        <f>(SUM(AZ$134:AZ$149)/16)/(SUM($J$134:$J$149)/16)*SARM[[#This Row],[Trenes Corridos]]</f>
        <v>770.11607886698141</v>
      </c>
      <c r="BA12" s="16"/>
      <c r="BB12" s="16"/>
    </row>
    <row r="13" spans="1:55" s="18" customFormat="1" ht="15" customHeight="1">
      <c r="A13" s="96">
        <v>1993</v>
      </c>
      <c r="B13" s="97" t="s">
        <v>43</v>
      </c>
      <c r="C13" s="15">
        <f t="shared" si="2"/>
        <v>0.71974778642339687</v>
      </c>
      <c r="D13" s="15">
        <f t="shared" si="3"/>
        <v>0.79540400296515934</v>
      </c>
      <c r="E13" s="15">
        <f t="shared" si="4"/>
        <v>0.90488328414274211</v>
      </c>
      <c r="F13" s="16">
        <f>+Tabla2[[#This Row],[Trenes Programados por Día Hábil]]+Tabla9[[#This Row],[Trenes Programados por Día Hábil]]+Tabla10[[#This Row],[Trenes Programados por Día Hábil]]</f>
        <v>0</v>
      </c>
      <c r="G13" s="33">
        <f>+(Tabla2[[#This Row],[Coches por Tren Día Hábil]]*Tabla2[[#This Row],[Trenes Corridos]]+Tabla9[[#This Row],[Coches por Tren Día Hábil]]*Tabla9[[#This Row],[Trenes Corridos]]+Tabla10[[#This Row],[Coches por Tren Día Hábil]]*Tabla10[[#This Row],[Trenes Corridos]])/SARM[[#This Row],[Trenes Corridos]]</f>
        <v>0</v>
      </c>
      <c r="H13" s="16">
        <v>7454</v>
      </c>
      <c r="I13" s="16">
        <f t="shared" si="0"/>
        <v>709</v>
      </c>
      <c r="J13" s="16">
        <v>6745</v>
      </c>
      <c r="K13" s="16">
        <v>5365</v>
      </c>
      <c r="L13" s="16">
        <f t="shared" si="1"/>
        <v>1380</v>
      </c>
      <c r="M13" s="16"/>
      <c r="N13" s="17"/>
      <c r="O13" s="96">
        <v>1993</v>
      </c>
      <c r="P13" s="97" t="s">
        <v>43</v>
      </c>
      <c r="Q13" s="41"/>
      <c r="R13" s="41"/>
      <c r="S13" s="41"/>
      <c r="T13" s="16"/>
      <c r="U13" s="16"/>
      <c r="V13" s="16"/>
      <c r="W13" s="16"/>
      <c r="X13" s="69">
        <f>(SUM(X$134:X$149)/16)/(SUM($J$134:$J$149)/16)*SARM[[#This Row],[Trenes Corridos]]</f>
        <v>5350.1561024715356</v>
      </c>
      <c r="Y13" s="16"/>
      <c r="Z13" s="16"/>
      <c r="AA13" s="16"/>
      <c r="AB13" s="17"/>
      <c r="AC13" s="96">
        <v>1993</v>
      </c>
      <c r="AD13" s="97" t="s">
        <v>43</v>
      </c>
      <c r="AE13" s="41"/>
      <c r="AF13" s="41"/>
      <c r="AG13" s="41"/>
      <c r="AH13" s="16"/>
      <c r="AI13" s="16"/>
      <c r="AJ13" s="16"/>
      <c r="AK13" s="16"/>
      <c r="AL13" s="69">
        <f>(SUM(AL$134:AL$149)/16)/(SUM($J$134:$J$149)/16)*SARM[[#This Row],[Trenes Corridos]]</f>
        <v>620.13353929464029</v>
      </c>
      <c r="AM13" s="16"/>
      <c r="AN13" s="16"/>
      <c r="AO13" s="16"/>
      <c r="AP13" s="17"/>
      <c r="AQ13" s="96">
        <v>1993</v>
      </c>
      <c r="AR13" s="97" t="s">
        <v>43</v>
      </c>
      <c r="AS13" s="41"/>
      <c r="AT13" s="41"/>
      <c r="AU13" s="41"/>
      <c r="AV13" s="16"/>
      <c r="AW13" s="16"/>
      <c r="AX13" s="16"/>
      <c r="AY13" s="16"/>
      <c r="AZ13" s="69">
        <f>(SUM(AZ$134:AZ$149)/16)/(SUM($J$134:$J$149)/16)*SARM[[#This Row],[Trenes Corridos]]</f>
        <v>774.71035823382385</v>
      </c>
      <c r="BA13" s="16"/>
      <c r="BB13" s="16"/>
    </row>
    <row r="14" spans="1:55" s="18" customFormat="1" ht="15" customHeight="1">
      <c r="A14" s="94">
        <v>1993</v>
      </c>
      <c r="B14" s="95" t="s">
        <v>44</v>
      </c>
      <c r="C14" s="15">
        <f t="shared" si="2"/>
        <v>0.78824952944339877</v>
      </c>
      <c r="D14" s="15">
        <f t="shared" si="3"/>
        <v>0.8561623831775701</v>
      </c>
      <c r="E14" s="15">
        <f t="shared" si="4"/>
        <v>0.92067760150578115</v>
      </c>
      <c r="F14" s="16">
        <f>+Tabla2[[#This Row],[Trenes Programados por Día Hábil]]+Tabla9[[#This Row],[Trenes Programados por Día Hábil]]+Tabla10[[#This Row],[Trenes Programados por Día Hábil]]</f>
        <v>0</v>
      </c>
      <c r="G14" s="33">
        <f>+(Tabla2[[#This Row],[Coches por Tren Día Hábil]]*Tabla2[[#This Row],[Trenes Corridos]]+Tabla9[[#This Row],[Coches por Tren Día Hábil]]*Tabla9[[#This Row],[Trenes Corridos]]+Tabla10[[#This Row],[Coches por Tren Día Hábil]]*Tabla10[[#This Row],[Trenes Corridos]])/SARM[[#This Row],[Trenes Corridos]]</f>
        <v>0</v>
      </c>
      <c r="H14" s="16">
        <v>7438</v>
      </c>
      <c r="I14" s="16">
        <f t="shared" si="0"/>
        <v>590</v>
      </c>
      <c r="J14" s="16">
        <v>6848</v>
      </c>
      <c r="K14" s="16">
        <v>5863</v>
      </c>
      <c r="L14" s="16">
        <f t="shared" si="1"/>
        <v>985</v>
      </c>
      <c r="M14" s="16"/>
      <c r="N14" s="17"/>
      <c r="O14" s="94">
        <v>1993</v>
      </c>
      <c r="P14" s="95" t="s">
        <v>44</v>
      </c>
      <c r="Q14" s="41"/>
      <c r="R14" s="41"/>
      <c r="S14" s="41"/>
      <c r="T14" s="16"/>
      <c r="U14" s="16"/>
      <c r="V14" s="16"/>
      <c r="W14" s="16"/>
      <c r="X14" s="69">
        <f>(SUM(X$134:X$149)/16)/(SUM($J$134:$J$149)/16)*SARM[[#This Row],[Trenes Corridos]]</f>
        <v>5431.856039988892</v>
      </c>
      <c r="Y14" s="16"/>
      <c r="Z14" s="16"/>
      <c r="AA14" s="16"/>
      <c r="AB14" s="17"/>
      <c r="AC14" s="94">
        <v>1993</v>
      </c>
      <c r="AD14" s="95" t="s">
        <v>44</v>
      </c>
      <c r="AE14" s="41"/>
      <c r="AF14" s="41"/>
      <c r="AG14" s="41"/>
      <c r="AH14" s="16"/>
      <c r="AI14" s="16"/>
      <c r="AJ14" s="16"/>
      <c r="AK14" s="16"/>
      <c r="AL14" s="69">
        <f>(SUM(AL$134:AL$149)/16)/(SUM($J$134:$J$149)/16)*SARM[[#This Row],[Trenes Corridos]]</f>
        <v>629.60333240766454</v>
      </c>
      <c r="AM14" s="16"/>
      <c r="AN14" s="16"/>
      <c r="AO14" s="16"/>
      <c r="AP14" s="17"/>
      <c r="AQ14" s="94">
        <v>1993</v>
      </c>
      <c r="AR14" s="95" t="s">
        <v>44</v>
      </c>
      <c r="AS14" s="41"/>
      <c r="AT14" s="41"/>
      <c r="AU14" s="41"/>
      <c r="AV14" s="16"/>
      <c r="AW14" s="16"/>
      <c r="AX14" s="16"/>
      <c r="AY14" s="16"/>
      <c r="AZ14" s="69">
        <f>(SUM(AZ$134:AZ$149)/16)/(SUM($J$134:$J$149)/16)*SARM[[#This Row],[Trenes Corridos]]</f>
        <v>786.54062760344345</v>
      </c>
      <c r="BA14" s="16"/>
      <c r="BB14" s="16"/>
    </row>
    <row r="15" spans="1:55" s="18" customFormat="1" ht="15" customHeight="1">
      <c r="A15" s="96">
        <v>1993</v>
      </c>
      <c r="B15" s="97" t="s">
        <v>45</v>
      </c>
      <c r="C15" s="15">
        <f t="shared" si="2"/>
        <v>0.81461507347984363</v>
      </c>
      <c r="D15" s="15">
        <f t="shared" si="3"/>
        <v>0.85909284800227503</v>
      </c>
      <c r="E15" s="15">
        <f t="shared" si="4"/>
        <v>0.94822704597546181</v>
      </c>
      <c r="F15" s="16">
        <f>+Tabla2[[#This Row],[Trenes Programados por Día Hábil]]+Tabla9[[#This Row],[Trenes Programados por Día Hábil]]+Tabla10[[#This Row],[Trenes Programados por Día Hábil]]</f>
        <v>0</v>
      </c>
      <c r="G15" s="33">
        <f>+(Tabla2[[#This Row],[Coches por Tren Día Hábil]]*Tabla2[[#This Row],[Trenes Corridos]]+Tabla9[[#This Row],[Coches por Tren Día Hábil]]*Tabla9[[#This Row],[Trenes Corridos]]+Tabla10[[#This Row],[Coches por Tren Día Hábil]]*Tabla10[[#This Row],[Trenes Corridos]])/SARM[[#This Row],[Trenes Corridos]]</f>
        <v>0</v>
      </c>
      <c r="H15" s="16">
        <v>7417</v>
      </c>
      <c r="I15" s="16">
        <f t="shared" si="0"/>
        <v>384</v>
      </c>
      <c r="J15" s="16">
        <v>7033</v>
      </c>
      <c r="K15" s="16">
        <v>6042</v>
      </c>
      <c r="L15" s="16">
        <f t="shared" si="1"/>
        <v>991</v>
      </c>
      <c r="M15" s="16"/>
      <c r="N15" s="17"/>
      <c r="O15" s="96">
        <v>1993</v>
      </c>
      <c r="P15" s="97" t="s">
        <v>45</v>
      </c>
      <c r="Q15" s="41"/>
      <c r="R15" s="41"/>
      <c r="S15" s="41"/>
      <c r="T15" s="16"/>
      <c r="U15" s="16"/>
      <c r="V15" s="16"/>
      <c r="W15" s="16"/>
      <c r="X15" s="69">
        <f>(SUM(X$134:X$149)/16)/(SUM($J$134:$J$149)/16)*SARM[[#This Row],[Trenes Corridos]]</f>
        <v>5578.5986462093861</v>
      </c>
      <c r="Y15" s="16"/>
      <c r="Z15" s="16"/>
      <c r="AA15" s="16"/>
      <c r="AB15" s="17"/>
      <c r="AC15" s="96">
        <v>1993</v>
      </c>
      <c r="AD15" s="97" t="s">
        <v>45</v>
      </c>
      <c r="AE15" s="41"/>
      <c r="AF15" s="41"/>
      <c r="AG15" s="41"/>
      <c r="AH15" s="16"/>
      <c r="AI15" s="16"/>
      <c r="AJ15" s="16"/>
      <c r="AK15" s="16"/>
      <c r="AL15" s="69">
        <f>(SUM(AL$134:AL$149)/16)/(SUM($J$134:$J$149)/16)*SARM[[#This Row],[Trenes Corridos]]</f>
        <v>646.61218411552341</v>
      </c>
      <c r="AM15" s="16"/>
      <c r="AN15" s="16"/>
      <c r="AO15" s="16"/>
      <c r="AP15" s="17"/>
      <c r="AQ15" s="96">
        <v>1993</v>
      </c>
      <c r="AR15" s="97" t="s">
        <v>45</v>
      </c>
      <c r="AS15" s="41"/>
      <c r="AT15" s="41"/>
      <c r="AU15" s="41"/>
      <c r="AV15" s="16"/>
      <c r="AW15" s="16"/>
      <c r="AX15" s="16"/>
      <c r="AY15" s="16"/>
      <c r="AZ15" s="69">
        <f>(SUM(AZ$134:AZ$149)/16)/(SUM($J$134:$J$149)/16)*SARM[[#This Row],[Trenes Corridos]]</f>
        <v>807.78916967509019</v>
      </c>
      <c r="BA15" s="16"/>
      <c r="BB15" s="16"/>
    </row>
    <row r="16" spans="1:55" s="18" customFormat="1" ht="15" customHeight="1">
      <c r="A16" s="94">
        <v>1993</v>
      </c>
      <c r="B16" s="95" t="s">
        <v>46</v>
      </c>
      <c r="C16" s="15">
        <f t="shared" si="2"/>
        <v>0.76741996233521659</v>
      </c>
      <c r="D16" s="15">
        <f t="shared" si="3"/>
        <v>0.84959046909903202</v>
      </c>
      <c r="E16" s="15">
        <f t="shared" si="4"/>
        <v>0.90328221684153887</v>
      </c>
      <c r="F16" s="16">
        <f>+Tabla2[[#This Row],[Trenes Programados por Día Hábil]]+Tabla9[[#This Row],[Trenes Programados por Día Hábil]]+Tabla10[[#This Row],[Trenes Programados por Día Hábil]]</f>
        <v>0</v>
      </c>
      <c r="G16" s="33">
        <f>+(Tabla2[[#This Row],[Coches por Tren Día Hábil]]*Tabla2[[#This Row],[Trenes Corridos]]+Tabla9[[#This Row],[Coches por Tren Día Hábil]]*Tabla9[[#This Row],[Trenes Corridos]]+Tabla10[[#This Row],[Coches por Tren Día Hábil]]*Tabla10[[#This Row],[Trenes Corridos]])/SARM[[#This Row],[Trenes Corridos]]</f>
        <v>0</v>
      </c>
      <c r="H16" s="16">
        <v>7434</v>
      </c>
      <c r="I16" s="16">
        <f t="shared" si="0"/>
        <v>719</v>
      </c>
      <c r="J16" s="16">
        <v>6715</v>
      </c>
      <c r="K16" s="16">
        <v>5705</v>
      </c>
      <c r="L16" s="16">
        <f t="shared" si="1"/>
        <v>1010</v>
      </c>
      <c r="M16" s="16"/>
      <c r="N16" s="17"/>
      <c r="O16" s="94">
        <v>1993</v>
      </c>
      <c r="P16" s="95" t="s">
        <v>46</v>
      </c>
      <c r="Q16" s="41"/>
      <c r="R16" s="41"/>
      <c r="S16" s="41"/>
      <c r="T16" s="16"/>
      <c r="U16" s="16"/>
      <c r="V16" s="16"/>
      <c r="W16" s="16"/>
      <c r="X16" s="69">
        <f>(SUM(X$134:X$149)/16)/(SUM($J$134:$J$149)/16)*SARM[[#This Row],[Trenes Corridos]]</f>
        <v>5326.3600041655091</v>
      </c>
      <c r="Y16" s="16"/>
      <c r="Z16" s="16"/>
      <c r="AA16" s="16"/>
      <c r="AB16" s="17"/>
      <c r="AC16" s="94">
        <v>1993</v>
      </c>
      <c r="AD16" s="95" t="s">
        <v>46</v>
      </c>
      <c r="AE16" s="41"/>
      <c r="AF16" s="41"/>
      <c r="AG16" s="41"/>
      <c r="AH16" s="16"/>
      <c r="AI16" s="16"/>
      <c r="AJ16" s="16"/>
      <c r="AK16" s="16"/>
      <c r="AL16" s="69">
        <f>(SUM(AL$134:AL$149)/16)/(SUM($J$134:$J$149)/16)*SARM[[#This Row],[Trenes Corridos]]</f>
        <v>617.37534712579838</v>
      </c>
      <c r="AM16" s="16"/>
      <c r="AN16" s="16"/>
      <c r="AO16" s="16"/>
      <c r="AP16" s="17"/>
      <c r="AQ16" s="94">
        <v>1993</v>
      </c>
      <c r="AR16" s="95" t="s">
        <v>46</v>
      </c>
      <c r="AS16" s="41"/>
      <c r="AT16" s="41"/>
      <c r="AU16" s="41"/>
      <c r="AV16" s="16"/>
      <c r="AW16" s="16"/>
      <c r="AX16" s="16"/>
      <c r="AY16" s="16"/>
      <c r="AZ16" s="69">
        <f>(SUM(AZ$134:AZ$149)/16)/(SUM($J$134:$J$149)/16)*SARM[[#This Row],[Trenes Corridos]]</f>
        <v>771.26464870869199</v>
      </c>
      <c r="BA16" s="16"/>
      <c r="BB16" s="16"/>
    </row>
    <row r="17" spans="1:54" s="18" customFormat="1" ht="15" customHeight="1">
      <c r="A17" s="96">
        <v>1993</v>
      </c>
      <c r="B17" s="97" t="s">
        <v>47</v>
      </c>
      <c r="C17" s="15">
        <f t="shared" si="2"/>
        <v>0.65417981072555209</v>
      </c>
      <c r="D17" s="15">
        <f t="shared" si="3"/>
        <v>0.80326016785022591</v>
      </c>
      <c r="E17" s="15">
        <f t="shared" si="4"/>
        <v>0.8144058885383807</v>
      </c>
      <c r="F17" s="16">
        <f>+Tabla2[[#This Row],[Trenes Programados por Día Hábil]]+Tabla9[[#This Row],[Trenes Programados por Día Hábil]]+Tabla10[[#This Row],[Trenes Programados por Día Hábil]]</f>
        <v>0</v>
      </c>
      <c r="G17" s="33">
        <f>+(Tabla2[[#This Row],[Coches por Tren Día Hábil]]*Tabla2[[#This Row],[Trenes Corridos]]+Tabla9[[#This Row],[Coches por Tren Día Hábil]]*Tabla9[[#This Row],[Trenes Corridos]]+Tabla10[[#This Row],[Coches por Tren Día Hábil]]*Tabla10[[#This Row],[Trenes Corridos]])/SARM[[#This Row],[Trenes Corridos]]</f>
        <v>0</v>
      </c>
      <c r="H17" s="16">
        <v>7608</v>
      </c>
      <c r="I17" s="16">
        <f t="shared" si="0"/>
        <v>1412</v>
      </c>
      <c r="J17" s="16">
        <v>6196</v>
      </c>
      <c r="K17" s="16">
        <v>4977</v>
      </c>
      <c r="L17" s="16">
        <f t="shared" si="1"/>
        <v>1219</v>
      </c>
      <c r="M17" s="16"/>
      <c r="N17" s="17"/>
      <c r="O17" s="96">
        <v>1993</v>
      </c>
      <c r="P17" s="97" t="s">
        <v>47</v>
      </c>
      <c r="Q17" s="41"/>
      <c r="R17" s="41"/>
      <c r="S17" s="41"/>
      <c r="T17" s="16"/>
      <c r="U17" s="16"/>
      <c r="V17" s="16"/>
      <c r="W17" s="16"/>
      <c r="X17" s="69">
        <f>(SUM(X$134:X$149)/16)/(SUM($J$134:$J$149)/16)*SARM[[#This Row],[Trenes Corridos]]</f>
        <v>4914.6875034712575</v>
      </c>
      <c r="Y17" s="16"/>
      <c r="Z17" s="16"/>
      <c r="AA17" s="16"/>
      <c r="AB17" s="17"/>
      <c r="AC17" s="96">
        <v>1993</v>
      </c>
      <c r="AD17" s="97" t="s">
        <v>47</v>
      </c>
      <c r="AE17" s="41"/>
      <c r="AF17" s="41"/>
      <c r="AG17" s="41"/>
      <c r="AH17" s="16"/>
      <c r="AI17" s="16"/>
      <c r="AJ17" s="16"/>
      <c r="AK17" s="16"/>
      <c r="AL17" s="69">
        <f>(SUM(AL$134:AL$149)/16)/(SUM($J$134:$J$149)/16)*SARM[[#This Row],[Trenes Corridos]]</f>
        <v>569.65862260483198</v>
      </c>
      <c r="AM17" s="16"/>
      <c r="AN17" s="16"/>
      <c r="AO17" s="16"/>
      <c r="AP17" s="17"/>
      <c r="AQ17" s="96">
        <v>1993</v>
      </c>
      <c r="AR17" s="97" t="s">
        <v>47</v>
      </c>
      <c r="AS17" s="41"/>
      <c r="AT17" s="41"/>
      <c r="AU17" s="41"/>
      <c r="AV17" s="16"/>
      <c r="AW17" s="16"/>
      <c r="AX17" s="16"/>
      <c r="AY17" s="16"/>
      <c r="AZ17" s="69">
        <f>(SUM(AZ$134:AZ$149)/16)/(SUM($J$134:$J$149)/16)*SARM[[#This Row],[Trenes Corridos]]</f>
        <v>711.65387392391006</v>
      </c>
      <c r="BA17" s="16"/>
      <c r="BB17" s="16"/>
    </row>
    <row r="18" spans="1:54" s="18" customFormat="1" ht="15" customHeight="1">
      <c r="A18" s="94">
        <v>1994</v>
      </c>
      <c r="B18" s="95" t="s">
        <v>36</v>
      </c>
      <c r="C18" s="15">
        <f t="shared" si="2"/>
        <v>0.73781715666532421</v>
      </c>
      <c r="D18" s="15">
        <f t="shared" si="3"/>
        <v>0.85301878007139531</v>
      </c>
      <c r="E18" s="15">
        <f t="shared" si="4"/>
        <v>0.8649483152100953</v>
      </c>
      <c r="F18" s="16">
        <f>+Tabla2[[#This Row],[Trenes Programados por Día Hábil]]+Tabla9[[#This Row],[Trenes Programados por Día Hábil]]+Tabla10[[#This Row],[Trenes Programados por Día Hábil]]</f>
        <v>0</v>
      </c>
      <c r="G18" s="33">
        <f>+(Tabla2[[#This Row],[Coches por Tren Día Hábil]]*Tabla2[[#This Row],[Trenes Corridos]]+Tabla9[[#This Row],[Coches por Tren Día Hábil]]*Tabla9[[#This Row],[Trenes Corridos]]+Tabla10[[#This Row],[Coches por Tren Día Hábil]]*Tabla10[[#This Row],[Trenes Corridos]])/SARM[[#This Row],[Trenes Corridos]]</f>
        <v>0</v>
      </c>
      <c r="H18" s="16">
        <v>7449</v>
      </c>
      <c r="I18" s="16">
        <f t="shared" si="0"/>
        <v>1006</v>
      </c>
      <c r="J18" s="16">
        <v>6443</v>
      </c>
      <c r="K18" s="16">
        <v>5496</v>
      </c>
      <c r="L18" s="16">
        <f t="shared" si="1"/>
        <v>947</v>
      </c>
      <c r="M18" s="16"/>
      <c r="N18" s="17"/>
      <c r="O18" s="94">
        <v>1994</v>
      </c>
      <c r="P18" s="95" t="s">
        <v>36</v>
      </c>
      <c r="Q18" s="41"/>
      <c r="R18" s="41"/>
      <c r="S18" s="41"/>
      <c r="T18" s="16"/>
      <c r="U18" s="16"/>
      <c r="V18" s="16"/>
      <c r="W18" s="16"/>
      <c r="X18" s="69">
        <f>(SUM(X$134:X$149)/16)/(SUM($J$134:$J$149)/16)*SARM[[#This Row],[Trenes Corridos]]</f>
        <v>5110.6087128575391</v>
      </c>
      <c r="Y18" s="16"/>
      <c r="Z18" s="16"/>
      <c r="AA18" s="16"/>
      <c r="AB18" s="17"/>
      <c r="AC18" s="94">
        <v>1994</v>
      </c>
      <c r="AD18" s="95" t="s">
        <v>36</v>
      </c>
      <c r="AE18" s="41"/>
      <c r="AF18" s="41"/>
      <c r="AG18" s="41"/>
      <c r="AH18" s="16"/>
      <c r="AI18" s="16"/>
      <c r="AJ18" s="16"/>
      <c r="AK18" s="16"/>
      <c r="AL18" s="69">
        <f>(SUM(AL$134:AL$149)/16)/(SUM($J$134:$J$149)/16)*SARM[[#This Row],[Trenes Corridos]]</f>
        <v>592.36773812829767</v>
      </c>
      <c r="AM18" s="16"/>
      <c r="AN18" s="16"/>
      <c r="AO18" s="16"/>
      <c r="AP18" s="17"/>
      <c r="AQ18" s="94">
        <v>1994</v>
      </c>
      <c r="AR18" s="95" t="s">
        <v>36</v>
      </c>
      <c r="AS18" s="41"/>
      <c r="AT18" s="41"/>
      <c r="AU18" s="41"/>
      <c r="AV18" s="16"/>
      <c r="AW18" s="16"/>
      <c r="AX18" s="16"/>
      <c r="AY18" s="16"/>
      <c r="AZ18" s="69">
        <f>(SUM(AZ$134:AZ$149)/16)/(SUM($J$134:$J$149)/16)*SARM[[#This Row],[Trenes Corridos]]</f>
        <v>740.02354901416265</v>
      </c>
      <c r="BA18" s="16"/>
      <c r="BB18" s="16"/>
    </row>
    <row r="19" spans="1:54" s="18" customFormat="1" ht="15" customHeight="1">
      <c r="A19" s="96">
        <v>1994</v>
      </c>
      <c r="B19" s="97" t="s">
        <v>37</v>
      </c>
      <c r="C19" s="15">
        <f t="shared" si="2"/>
        <v>0.75377248984329659</v>
      </c>
      <c r="D19" s="15">
        <f t="shared" si="3"/>
        <v>0.83885031487162931</v>
      </c>
      <c r="E19" s="15">
        <f t="shared" si="4"/>
        <v>0.8985780615206036</v>
      </c>
      <c r="F19" s="16">
        <f>+Tabla2[[#This Row],[Trenes Programados por Día Hábil]]+Tabla9[[#This Row],[Trenes Programados por Día Hábil]]+Tabla10[[#This Row],[Trenes Programados por Día Hábil]]</f>
        <v>0</v>
      </c>
      <c r="G19" s="33">
        <f>+(Tabla2[[#This Row],[Coches por Tren Día Hábil]]*Tabla2[[#This Row],[Trenes Corridos]]+Tabla9[[#This Row],[Coches por Tren Día Hábil]]*Tabla9[[#This Row],[Trenes Corridos]]+Tabla10[[#This Row],[Coches por Tren Día Hábil]]*Tabla10[[#This Row],[Trenes Corridos]])/SARM[[#This Row],[Trenes Corridos]]</f>
        <v>0</v>
      </c>
      <c r="H19" s="16">
        <v>6892</v>
      </c>
      <c r="I19" s="16">
        <f t="shared" si="0"/>
        <v>699</v>
      </c>
      <c r="J19" s="16">
        <v>6193</v>
      </c>
      <c r="K19" s="16">
        <v>5195</v>
      </c>
      <c r="L19" s="16">
        <f t="shared" si="1"/>
        <v>998</v>
      </c>
      <c r="M19" s="16"/>
      <c r="N19" s="17"/>
      <c r="O19" s="96">
        <v>1994</v>
      </c>
      <c r="P19" s="97" t="s">
        <v>37</v>
      </c>
      <c r="Q19" s="41"/>
      <c r="R19" s="41"/>
      <c r="S19" s="41"/>
      <c r="T19" s="16"/>
      <c r="U19" s="16"/>
      <c r="V19" s="16"/>
      <c r="W19" s="16"/>
      <c r="X19" s="69">
        <f>(SUM(X$134:X$149)/16)/(SUM($J$134:$J$149)/16)*SARM[[#This Row],[Trenes Corridos]]</f>
        <v>4912.3078936406555</v>
      </c>
      <c r="Y19" s="16"/>
      <c r="Z19" s="16"/>
      <c r="AA19" s="16"/>
      <c r="AB19" s="17"/>
      <c r="AC19" s="96">
        <v>1994</v>
      </c>
      <c r="AD19" s="97" t="s">
        <v>37</v>
      </c>
      <c r="AE19" s="41"/>
      <c r="AF19" s="41"/>
      <c r="AG19" s="41"/>
      <c r="AH19" s="16"/>
      <c r="AI19" s="16"/>
      <c r="AJ19" s="16"/>
      <c r="AK19" s="16"/>
      <c r="AL19" s="69">
        <f>(SUM(AL$134:AL$149)/16)/(SUM($J$134:$J$149)/16)*SARM[[#This Row],[Trenes Corridos]]</f>
        <v>569.38280338794777</v>
      </c>
      <c r="AM19" s="16"/>
      <c r="AN19" s="16"/>
      <c r="AO19" s="16"/>
      <c r="AP19" s="17"/>
      <c r="AQ19" s="96">
        <v>1994</v>
      </c>
      <c r="AR19" s="97" t="s">
        <v>37</v>
      </c>
      <c r="AS19" s="41"/>
      <c r="AT19" s="41"/>
      <c r="AU19" s="41"/>
      <c r="AV19" s="16"/>
      <c r="AW19" s="16"/>
      <c r="AX19" s="16"/>
      <c r="AY19" s="16"/>
      <c r="AZ19" s="69">
        <f>(SUM(AZ$134:AZ$149)/16)/(SUM($J$134:$J$149)/16)*SARM[[#This Row],[Trenes Corridos]]</f>
        <v>711.30930297139685</v>
      </c>
      <c r="BA19" s="16"/>
      <c r="BB19" s="16"/>
    </row>
    <row r="20" spans="1:54" s="18" customFormat="1" ht="15" customHeight="1">
      <c r="A20" s="94">
        <v>1994</v>
      </c>
      <c r="B20" s="95" t="s">
        <v>38</v>
      </c>
      <c r="C20" s="15">
        <f t="shared" si="2"/>
        <v>0.52214573321210545</v>
      </c>
      <c r="D20" s="15">
        <f t="shared" si="3"/>
        <v>0.62792877225866917</v>
      </c>
      <c r="E20" s="15">
        <f t="shared" si="4"/>
        <v>0.83153656319002467</v>
      </c>
      <c r="F20" s="16">
        <f>+Tabla2[[#This Row],[Trenes Programados por Día Hábil]]+Tabla9[[#This Row],[Trenes Programados por Día Hábil]]+Tabla10[[#This Row],[Trenes Programados por Día Hábil]]</f>
        <v>0</v>
      </c>
      <c r="G20" s="33">
        <f>+(Tabla2[[#This Row],[Coches por Tren Día Hábil]]*Tabla2[[#This Row],[Trenes Corridos]]+Tabla9[[#This Row],[Coches por Tren Día Hábil]]*Tabla9[[#This Row],[Trenes Corridos]]+Tabla10[[#This Row],[Coches por Tren Día Hábil]]*Tabla10[[#This Row],[Trenes Corridos]])/SARM[[#This Row],[Trenes Corridos]]</f>
        <v>0</v>
      </c>
      <c r="H20" s="16">
        <v>7699</v>
      </c>
      <c r="I20" s="16">
        <f t="shared" si="0"/>
        <v>1297</v>
      </c>
      <c r="J20" s="16">
        <v>6402</v>
      </c>
      <c r="K20" s="16">
        <v>4020</v>
      </c>
      <c r="L20" s="16">
        <f t="shared" si="1"/>
        <v>2382</v>
      </c>
      <c r="M20" s="16"/>
      <c r="N20" s="17"/>
      <c r="O20" s="94">
        <v>1994</v>
      </c>
      <c r="P20" s="95" t="s">
        <v>38</v>
      </c>
      <c r="Q20" s="41"/>
      <c r="R20" s="41"/>
      <c r="S20" s="41"/>
      <c r="T20" s="16"/>
      <c r="U20" s="16"/>
      <c r="V20" s="16"/>
      <c r="W20" s="16"/>
      <c r="X20" s="69">
        <f>(SUM(X$134:X$149)/16)/(SUM($J$134:$J$149)/16)*SARM[[#This Row],[Trenes Corridos]]</f>
        <v>5078.0873785059703</v>
      </c>
      <c r="Y20" s="16"/>
      <c r="Z20" s="16"/>
      <c r="AA20" s="16"/>
      <c r="AB20" s="17"/>
      <c r="AC20" s="94">
        <v>1994</v>
      </c>
      <c r="AD20" s="95" t="s">
        <v>38</v>
      </c>
      <c r="AE20" s="41"/>
      <c r="AF20" s="41"/>
      <c r="AG20" s="41"/>
      <c r="AH20" s="16"/>
      <c r="AI20" s="16"/>
      <c r="AJ20" s="16"/>
      <c r="AK20" s="16"/>
      <c r="AL20" s="69">
        <f>(SUM(AL$134:AL$149)/16)/(SUM($J$134:$J$149)/16)*SARM[[#This Row],[Trenes Corridos]]</f>
        <v>588.59820883088025</v>
      </c>
      <c r="AM20" s="16"/>
      <c r="AN20" s="16"/>
      <c r="AO20" s="16"/>
      <c r="AP20" s="17"/>
      <c r="AQ20" s="94">
        <v>1994</v>
      </c>
      <c r="AR20" s="95" t="s">
        <v>38</v>
      </c>
      <c r="AS20" s="41"/>
      <c r="AT20" s="41"/>
      <c r="AU20" s="41"/>
      <c r="AV20" s="16"/>
      <c r="AW20" s="16"/>
      <c r="AX20" s="16"/>
      <c r="AY20" s="16"/>
      <c r="AZ20" s="69">
        <f>(SUM(AZ$134:AZ$149)/16)/(SUM($J$134:$J$149)/16)*SARM[[#This Row],[Trenes Corridos]]</f>
        <v>735.31441266314914</v>
      </c>
      <c r="BA20" s="16"/>
      <c r="BB20" s="16"/>
    </row>
    <row r="21" spans="1:54" s="18" customFormat="1" ht="15" customHeight="1">
      <c r="A21" s="96">
        <v>1994</v>
      </c>
      <c r="B21" s="97" t="s">
        <v>39</v>
      </c>
      <c r="C21" s="15">
        <f t="shared" si="2"/>
        <v>0.49174690508940855</v>
      </c>
      <c r="D21" s="15">
        <f t="shared" si="3"/>
        <v>0.62951223807008272</v>
      </c>
      <c r="E21" s="15">
        <f t="shared" si="4"/>
        <v>0.78115543328748283</v>
      </c>
      <c r="F21" s="16">
        <f>+Tabla2[[#This Row],[Trenes Programados por Día Hábil]]+Tabla9[[#This Row],[Trenes Programados por Día Hábil]]+Tabla10[[#This Row],[Trenes Programados por Día Hábil]]</f>
        <v>0</v>
      </c>
      <c r="G21" s="33">
        <f>+(Tabla2[[#This Row],[Coches por Tren Día Hábil]]*Tabla2[[#This Row],[Trenes Corridos]]+Tabla9[[#This Row],[Coches por Tren Día Hábil]]*Tabla9[[#This Row],[Trenes Corridos]]+Tabla10[[#This Row],[Coches por Tren Día Hábil]]*Tabla10[[#This Row],[Trenes Corridos]])/SARM[[#This Row],[Trenes Corridos]]</f>
        <v>0</v>
      </c>
      <c r="H21" s="16">
        <v>7270</v>
      </c>
      <c r="I21" s="16">
        <f t="shared" si="0"/>
        <v>1591</v>
      </c>
      <c r="J21" s="16">
        <v>5679</v>
      </c>
      <c r="K21" s="16">
        <v>3575</v>
      </c>
      <c r="L21" s="16">
        <f t="shared" si="1"/>
        <v>2104</v>
      </c>
      <c r="M21" s="16"/>
      <c r="N21" s="17"/>
      <c r="O21" s="96">
        <v>1994</v>
      </c>
      <c r="P21" s="97" t="s">
        <v>39</v>
      </c>
      <c r="Q21" s="41"/>
      <c r="R21" s="41"/>
      <c r="S21" s="41"/>
      <c r="T21" s="16"/>
      <c r="U21" s="16"/>
      <c r="V21" s="16"/>
      <c r="W21" s="16"/>
      <c r="X21" s="69">
        <f>(SUM(X$134:X$149)/16)/(SUM($J$134:$J$149)/16)*SARM[[#This Row],[Trenes Corridos]]</f>
        <v>4504.6014093307413</v>
      </c>
      <c r="Y21" s="16"/>
      <c r="Z21" s="16"/>
      <c r="AA21" s="16"/>
      <c r="AB21" s="17"/>
      <c r="AC21" s="96">
        <v>1994</v>
      </c>
      <c r="AD21" s="97" t="s">
        <v>39</v>
      </c>
      <c r="AE21" s="41"/>
      <c r="AF21" s="41"/>
      <c r="AG21" s="41"/>
      <c r="AH21" s="16"/>
      <c r="AI21" s="16"/>
      <c r="AJ21" s="16"/>
      <c r="AK21" s="16"/>
      <c r="AL21" s="69">
        <f>(SUM(AL$134:AL$149)/16)/(SUM($J$134:$J$149)/16)*SARM[[#This Row],[Trenes Corridos]]</f>
        <v>522.12577756178837</v>
      </c>
      <c r="AM21" s="16"/>
      <c r="AN21" s="16"/>
      <c r="AO21" s="16"/>
      <c r="AP21" s="17"/>
      <c r="AQ21" s="96">
        <v>1994</v>
      </c>
      <c r="AR21" s="97" t="s">
        <v>39</v>
      </c>
      <c r="AS21" s="41"/>
      <c r="AT21" s="41"/>
      <c r="AU21" s="41"/>
      <c r="AV21" s="16"/>
      <c r="AW21" s="16"/>
      <c r="AX21" s="16"/>
      <c r="AY21" s="16"/>
      <c r="AZ21" s="69">
        <f>(SUM(AZ$134:AZ$149)/16)/(SUM($J$134:$J$149)/16)*SARM[[#This Row],[Trenes Corridos]]</f>
        <v>652.27281310747014</v>
      </c>
      <c r="BA21" s="16"/>
      <c r="BB21" s="16"/>
    </row>
    <row r="22" spans="1:54" s="18" customFormat="1" ht="15" customHeight="1">
      <c r="A22" s="94">
        <v>1994</v>
      </c>
      <c r="B22" s="95" t="s">
        <v>40</v>
      </c>
      <c r="C22" s="15">
        <f t="shared" si="2"/>
        <v>0.47414372061786436</v>
      </c>
      <c r="D22" s="15">
        <f t="shared" si="3"/>
        <v>0.6089356563739865</v>
      </c>
      <c r="E22" s="15">
        <f t="shared" si="4"/>
        <v>0.77864338482202822</v>
      </c>
      <c r="F22" s="16">
        <f>+Tabla2[[#This Row],[Trenes Programados por Día Hábil]]+Tabla9[[#This Row],[Trenes Programados por Día Hábil]]+Tabla10[[#This Row],[Trenes Programados por Día Hábil]]</f>
        <v>0</v>
      </c>
      <c r="G22" s="33">
        <f>+(Tabla2[[#This Row],[Coches por Tren Día Hábil]]*Tabla2[[#This Row],[Trenes Corridos]]+Tabla9[[#This Row],[Coches por Tren Día Hábil]]*Tabla9[[#This Row],[Trenes Corridos]]+Tabla10[[#This Row],[Coches por Tren Día Hábil]]*Tabla10[[#This Row],[Trenes Corridos]])/SARM[[#This Row],[Trenes Corridos]]</f>
        <v>0</v>
      </c>
      <c r="H22" s="16">
        <v>7445</v>
      </c>
      <c r="I22" s="16">
        <f t="shared" si="0"/>
        <v>1648</v>
      </c>
      <c r="J22" s="16">
        <v>5797</v>
      </c>
      <c r="K22" s="16">
        <v>3530</v>
      </c>
      <c r="L22" s="16">
        <f t="shared" si="1"/>
        <v>2267</v>
      </c>
      <c r="M22" s="16"/>
      <c r="N22" s="17"/>
      <c r="O22" s="94">
        <v>1994</v>
      </c>
      <c r="P22" s="95" t="s">
        <v>40</v>
      </c>
      <c r="Q22" s="41"/>
      <c r="R22" s="41"/>
      <c r="S22" s="41"/>
      <c r="T22" s="16"/>
      <c r="U22" s="16"/>
      <c r="V22" s="16"/>
      <c r="W22" s="16"/>
      <c r="X22" s="69">
        <f>(SUM(X$134:X$149)/16)/(SUM($J$134:$J$149)/16)*SARM[[#This Row],[Trenes Corridos]]</f>
        <v>4598.1993960011105</v>
      </c>
      <c r="Y22" s="16"/>
      <c r="Z22" s="16"/>
      <c r="AA22" s="16"/>
      <c r="AB22" s="17"/>
      <c r="AC22" s="94">
        <v>1994</v>
      </c>
      <c r="AD22" s="95" t="s">
        <v>40</v>
      </c>
      <c r="AE22" s="41"/>
      <c r="AF22" s="41"/>
      <c r="AG22" s="41"/>
      <c r="AH22" s="16"/>
      <c r="AI22" s="16"/>
      <c r="AJ22" s="16"/>
      <c r="AK22" s="16"/>
      <c r="AL22" s="69">
        <f>(SUM(AL$134:AL$149)/16)/(SUM($J$134:$J$149)/16)*SARM[[#This Row],[Trenes Corridos]]</f>
        <v>532.97466675923351</v>
      </c>
      <c r="AM22" s="16"/>
      <c r="AN22" s="16"/>
      <c r="AO22" s="16"/>
      <c r="AP22" s="17"/>
      <c r="AQ22" s="94">
        <v>1994</v>
      </c>
      <c r="AR22" s="95" t="s">
        <v>40</v>
      </c>
      <c r="AS22" s="41"/>
      <c r="AT22" s="41"/>
      <c r="AU22" s="41"/>
      <c r="AV22" s="16"/>
      <c r="AW22" s="16"/>
      <c r="AX22" s="16"/>
      <c r="AY22" s="16"/>
      <c r="AZ22" s="69">
        <f>(SUM(AZ$134:AZ$149)/16)/(SUM($J$134:$J$149)/16)*SARM[[#This Row],[Trenes Corridos]]</f>
        <v>665.82593723965567</v>
      </c>
      <c r="BA22" s="16"/>
      <c r="BB22" s="16"/>
    </row>
    <row r="23" spans="1:54" s="18" customFormat="1" ht="15" customHeight="1">
      <c r="A23" s="96">
        <v>1994</v>
      </c>
      <c r="B23" s="97" t="s">
        <v>41</v>
      </c>
      <c r="C23" s="15">
        <f t="shared" si="2"/>
        <v>0.66945373467112601</v>
      </c>
      <c r="D23" s="15">
        <f t="shared" si="3"/>
        <v>0.78075735413619374</v>
      </c>
      <c r="E23" s="15">
        <f t="shared" si="4"/>
        <v>0.85744147157190631</v>
      </c>
      <c r="F23" s="16">
        <f>+Tabla2[[#This Row],[Trenes Programados por Día Hábil]]+Tabla9[[#This Row],[Trenes Programados por Día Hábil]]+Tabla10[[#This Row],[Trenes Programados por Día Hábil]]</f>
        <v>0</v>
      </c>
      <c r="G23" s="33">
        <f>+(Tabla2[[#This Row],[Coches por Tren Día Hábil]]*Tabla2[[#This Row],[Trenes Corridos]]+Tabla9[[#This Row],[Coches por Tren Día Hábil]]*Tabla9[[#This Row],[Trenes Corridos]]+Tabla10[[#This Row],[Coches por Tren Día Hábil]]*Tabla10[[#This Row],[Trenes Corridos]])/SARM[[#This Row],[Trenes Corridos]]</f>
        <v>0</v>
      </c>
      <c r="H23" s="16">
        <v>7176</v>
      </c>
      <c r="I23" s="16">
        <f t="shared" si="0"/>
        <v>1023</v>
      </c>
      <c r="J23" s="16">
        <v>6153</v>
      </c>
      <c r="K23" s="16">
        <v>4804</v>
      </c>
      <c r="L23" s="16">
        <f t="shared" si="1"/>
        <v>1349</v>
      </c>
      <c r="M23" s="16"/>
      <c r="N23" s="17"/>
      <c r="O23" s="96">
        <v>1994</v>
      </c>
      <c r="P23" s="97" t="s">
        <v>41</v>
      </c>
      <c r="Q23" s="41"/>
      <c r="R23" s="41"/>
      <c r="S23" s="41"/>
      <c r="T23" s="16"/>
      <c r="U23" s="16"/>
      <c r="V23" s="16"/>
      <c r="W23" s="16"/>
      <c r="X23" s="69">
        <f>(SUM(X$134:X$149)/16)/(SUM($J$134:$J$149)/16)*SARM[[#This Row],[Trenes Corridos]]</f>
        <v>4880.5797625659534</v>
      </c>
      <c r="Y23" s="16"/>
      <c r="Z23" s="16"/>
      <c r="AA23" s="16"/>
      <c r="AB23" s="17"/>
      <c r="AC23" s="96">
        <v>1994</v>
      </c>
      <c r="AD23" s="97" t="s">
        <v>41</v>
      </c>
      <c r="AE23" s="41"/>
      <c r="AF23" s="41"/>
      <c r="AG23" s="41"/>
      <c r="AH23" s="16"/>
      <c r="AI23" s="16"/>
      <c r="AJ23" s="16"/>
      <c r="AK23" s="16"/>
      <c r="AL23" s="69">
        <f>(SUM(AL$134:AL$149)/16)/(SUM($J$134:$J$149)/16)*SARM[[#This Row],[Trenes Corridos]]</f>
        <v>565.70521382949175</v>
      </c>
      <c r="AM23" s="16"/>
      <c r="AN23" s="16"/>
      <c r="AO23" s="16"/>
      <c r="AP23" s="17"/>
      <c r="AQ23" s="96">
        <v>1994</v>
      </c>
      <c r="AR23" s="97" t="s">
        <v>41</v>
      </c>
      <c r="AS23" s="41"/>
      <c r="AT23" s="41"/>
      <c r="AU23" s="41"/>
      <c r="AV23" s="16"/>
      <c r="AW23" s="16"/>
      <c r="AX23" s="16"/>
      <c r="AY23" s="16"/>
      <c r="AZ23" s="69">
        <f>(SUM(AZ$134:AZ$149)/16)/(SUM($J$134:$J$149)/16)*SARM[[#This Row],[Trenes Corridos]]</f>
        <v>706.71502360455429</v>
      </c>
      <c r="BA23" s="16"/>
      <c r="BB23" s="16"/>
    </row>
    <row r="24" spans="1:54" s="18" customFormat="1" ht="15" customHeight="1">
      <c r="A24" s="94">
        <v>1994</v>
      </c>
      <c r="B24" s="95" t="s">
        <v>42</v>
      </c>
      <c r="C24" s="15">
        <f t="shared" si="2"/>
        <v>0.70785762256548024</v>
      </c>
      <c r="D24" s="15">
        <f t="shared" si="3"/>
        <v>0.81629491945477073</v>
      </c>
      <c r="E24" s="15">
        <f t="shared" si="4"/>
        <v>0.86715916722632636</v>
      </c>
      <c r="F24" s="16">
        <f>+Tabla2[[#This Row],[Trenes Programados por Día Hábil]]+Tabla9[[#This Row],[Trenes Programados por Día Hábil]]+Tabla10[[#This Row],[Trenes Programados por Día Hábil]]</f>
        <v>0</v>
      </c>
      <c r="G24" s="33">
        <f>+(Tabla2[[#This Row],[Coches por Tren Día Hábil]]*Tabla2[[#This Row],[Trenes Corridos]]+Tabla9[[#This Row],[Coches por Tren Día Hábil]]*Tabla9[[#This Row],[Trenes Corridos]]+Tabla10[[#This Row],[Coches por Tren Día Hábil]]*Tabla10[[#This Row],[Trenes Corridos]])/SARM[[#This Row],[Trenes Corridos]]</f>
        <v>0</v>
      </c>
      <c r="H24" s="16">
        <v>7445</v>
      </c>
      <c r="I24" s="16">
        <f t="shared" si="0"/>
        <v>989</v>
      </c>
      <c r="J24" s="16">
        <v>6456</v>
      </c>
      <c r="K24" s="16">
        <v>5270</v>
      </c>
      <c r="L24" s="16">
        <f t="shared" si="1"/>
        <v>1186</v>
      </c>
      <c r="M24" s="16"/>
      <c r="N24" s="17"/>
      <c r="O24" s="94">
        <v>1994</v>
      </c>
      <c r="P24" s="95" t="s">
        <v>42</v>
      </c>
      <c r="Q24" s="41"/>
      <c r="R24" s="41"/>
      <c r="S24" s="41"/>
      <c r="T24" s="16"/>
      <c r="U24" s="16"/>
      <c r="V24" s="16"/>
      <c r="W24" s="16"/>
      <c r="X24" s="69">
        <f>(SUM(X$134:X$149)/16)/(SUM($J$134:$J$149)/16)*SARM[[#This Row],[Trenes Corridos]]</f>
        <v>5120.9203554568176</v>
      </c>
      <c r="Y24" s="16"/>
      <c r="Z24" s="16"/>
      <c r="AA24" s="16"/>
      <c r="AB24" s="17"/>
      <c r="AC24" s="94">
        <v>1994</v>
      </c>
      <c r="AD24" s="95" t="s">
        <v>42</v>
      </c>
      <c r="AE24" s="41"/>
      <c r="AF24" s="41"/>
      <c r="AG24" s="41"/>
      <c r="AH24" s="16"/>
      <c r="AI24" s="16"/>
      <c r="AJ24" s="16"/>
      <c r="AK24" s="16"/>
      <c r="AL24" s="69">
        <f>(SUM(AL$134:AL$149)/16)/(SUM($J$134:$J$149)/16)*SARM[[#This Row],[Trenes Corridos]]</f>
        <v>593.56295473479588</v>
      </c>
      <c r="AM24" s="16"/>
      <c r="AN24" s="16"/>
      <c r="AO24" s="16"/>
      <c r="AP24" s="17"/>
      <c r="AQ24" s="94">
        <v>1994</v>
      </c>
      <c r="AR24" s="95" t="s">
        <v>42</v>
      </c>
      <c r="AS24" s="41"/>
      <c r="AT24" s="41"/>
      <c r="AU24" s="41"/>
      <c r="AV24" s="16"/>
      <c r="AW24" s="16"/>
      <c r="AX24" s="16"/>
      <c r="AY24" s="16"/>
      <c r="AZ24" s="69">
        <f>(SUM(AZ$134:AZ$149)/16)/(SUM($J$134:$J$149)/16)*SARM[[#This Row],[Trenes Corridos]]</f>
        <v>741.51668980838656</v>
      </c>
      <c r="BA24" s="16"/>
      <c r="BB24" s="16"/>
    </row>
    <row r="25" spans="1:54" s="18" customFormat="1" ht="15" customHeight="1">
      <c r="A25" s="96">
        <v>1994</v>
      </c>
      <c r="B25" s="97" t="s">
        <v>43</v>
      </c>
      <c r="C25" s="15">
        <f t="shared" si="2"/>
        <v>0.69572107765451663</v>
      </c>
      <c r="D25" s="15">
        <f t="shared" si="3"/>
        <v>0.79794001817631022</v>
      </c>
      <c r="E25" s="15">
        <f t="shared" si="4"/>
        <v>0.87189646064447968</v>
      </c>
      <c r="F25" s="16">
        <f>+Tabla2[[#This Row],[Trenes Programados por Día Hábil]]+Tabla9[[#This Row],[Trenes Programados por Día Hábil]]+Tabla10[[#This Row],[Trenes Programados por Día Hábil]]</f>
        <v>0</v>
      </c>
      <c r="G25" s="33">
        <f>+(Tabla2[[#This Row],[Coches por Tren Día Hábil]]*Tabla2[[#This Row],[Trenes Corridos]]+Tabla9[[#This Row],[Coches por Tren Día Hábil]]*Tabla9[[#This Row],[Trenes Corridos]]+Tabla10[[#This Row],[Coches por Tren Día Hábil]]*Tabla10[[#This Row],[Trenes Corridos]])/SARM[[#This Row],[Trenes Corridos]]</f>
        <v>0</v>
      </c>
      <c r="H25" s="16">
        <v>7572</v>
      </c>
      <c r="I25" s="16">
        <f t="shared" si="0"/>
        <v>970</v>
      </c>
      <c r="J25" s="16">
        <v>6602</v>
      </c>
      <c r="K25" s="16">
        <v>5268</v>
      </c>
      <c r="L25" s="16">
        <f t="shared" si="1"/>
        <v>1334</v>
      </c>
      <c r="M25" s="16"/>
      <c r="N25" s="17"/>
      <c r="O25" s="96">
        <v>1994</v>
      </c>
      <c r="P25" s="97" t="s">
        <v>43</v>
      </c>
      <c r="Q25" s="41"/>
      <c r="R25" s="41"/>
      <c r="S25" s="41"/>
      <c r="T25" s="16"/>
      <c r="U25" s="16"/>
      <c r="V25" s="16"/>
      <c r="W25" s="16"/>
      <c r="X25" s="69">
        <f>(SUM(X$134:X$149)/16)/(SUM($J$134:$J$149)/16)*SARM[[#This Row],[Trenes Corridos]]</f>
        <v>5236.7280338794781</v>
      </c>
      <c r="Y25" s="16"/>
      <c r="Z25" s="16"/>
      <c r="AA25" s="16"/>
      <c r="AB25" s="17"/>
      <c r="AC25" s="96">
        <v>1994</v>
      </c>
      <c r="AD25" s="97" t="s">
        <v>43</v>
      </c>
      <c r="AE25" s="41"/>
      <c r="AF25" s="41"/>
      <c r="AG25" s="41"/>
      <c r="AH25" s="16"/>
      <c r="AI25" s="16"/>
      <c r="AJ25" s="16"/>
      <c r="AK25" s="16"/>
      <c r="AL25" s="69">
        <f>(SUM(AL$134:AL$149)/16)/(SUM($J$134:$J$149)/16)*SARM[[#This Row],[Trenes Corridos]]</f>
        <v>606.98615662316024</v>
      </c>
      <c r="AM25" s="16"/>
      <c r="AN25" s="16"/>
      <c r="AO25" s="16"/>
      <c r="AP25" s="17"/>
      <c r="AQ25" s="96">
        <v>1994</v>
      </c>
      <c r="AR25" s="97" t="s">
        <v>43</v>
      </c>
      <c r="AS25" s="41"/>
      <c r="AT25" s="41"/>
      <c r="AU25" s="41"/>
      <c r="AV25" s="16"/>
      <c r="AW25" s="16"/>
      <c r="AX25" s="16"/>
      <c r="AY25" s="16"/>
      <c r="AZ25" s="69">
        <f>(SUM(AZ$134:AZ$149)/16)/(SUM($J$134:$J$149)/16)*SARM[[#This Row],[Trenes Corridos]]</f>
        <v>758.28580949736181</v>
      </c>
      <c r="BA25" s="16"/>
      <c r="BB25" s="16"/>
    </row>
    <row r="26" spans="1:54" s="18" customFormat="1" ht="15" customHeight="1">
      <c r="A26" s="94">
        <v>1994</v>
      </c>
      <c r="B26" s="95" t="s">
        <v>44</v>
      </c>
      <c r="C26" s="15">
        <f t="shared" si="2"/>
        <v>0.73135935397039031</v>
      </c>
      <c r="D26" s="15">
        <f t="shared" si="3"/>
        <v>0.84707716289945445</v>
      </c>
      <c r="E26" s="15">
        <f t="shared" si="4"/>
        <v>0.86339165545087482</v>
      </c>
      <c r="F26" s="16">
        <f>+Tabla2[[#This Row],[Trenes Programados por Día Hábil]]+Tabla9[[#This Row],[Trenes Programados por Día Hábil]]+Tabla10[[#This Row],[Trenes Programados por Día Hábil]]</f>
        <v>0</v>
      </c>
      <c r="G26" s="33">
        <f>+(Tabla2[[#This Row],[Coches por Tren Día Hábil]]*Tabla2[[#This Row],[Trenes Corridos]]+Tabla9[[#This Row],[Coches por Tren Día Hábil]]*Tabla9[[#This Row],[Trenes Corridos]]+Tabla10[[#This Row],[Coches por Tren Día Hábil]]*Tabla10[[#This Row],[Trenes Corridos]])/SARM[[#This Row],[Trenes Corridos]]</f>
        <v>0</v>
      </c>
      <c r="H26" s="16">
        <v>7430</v>
      </c>
      <c r="I26" s="16">
        <f t="shared" si="0"/>
        <v>1015</v>
      </c>
      <c r="J26" s="16">
        <v>6415</v>
      </c>
      <c r="K26" s="16">
        <v>5434</v>
      </c>
      <c r="L26" s="16">
        <f t="shared" si="1"/>
        <v>981</v>
      </c>
      <c r="M26" s="16"/>
      <c r="N26" s="17"/>
      <c r="O26" s="94">
        <v>1994</v>
      </c>
      <c r="P26" s="95" t="s">
        <v>44</v>
      </c>
      <c r="Q26" s="41"/>
      <c r="R26" s="41"/>
      <c r="S26" s="41"/>
      <c r="T26" s="16"/>
      <c r="U26" s="16"/>
      <c r="V26" s="16"/>
      <c r="W26" s="16"/>
      <c r="X26" s="69">
        <f>(SUM(X$134:X$149)/16)/(SUM($J$134:$J$149)/16)*SARM[[#This Row],[Trenes Corridos]]</f>
        <v>5088.3990211052487</v>
      </c>
      <c r="Y26" s="16"/>
      <c r="Z26" s="16"/>
      <c r="AA26" s="16"/>
      <c r="AB26" s="17"/>
      <c r="AC26" s="94">
        <v>1994</v>
      </c>
      <c r="AD26" s="95" t="s">
        <v>44</v>
      </c>
      <c r="AE26" s="41"/>
      <c r="AF26" s="41"/>
      <c r="AG26" s="41"/>
      <c r="AH26" s="16"/>
      <c r="AI26" s="16"/>
      <c r="AJ26" s="16"/>
      <c r="AK26" s="16"/>
      <c r="AL26" s="69">
        <f>(SUM(AL$134:AL$149)/16)/(SUM($J$134:$J$149)/16)*SARM[[#This Row],[Trenes Corridos]]</f>
        <v>589.79342543737846</v>
      </c>
      <c r="AM26" s="16"/>
      <c r="AN26" s="16"/>
      <c r="AO26" s="16"/>
      <c r="AP26" s="17"/>
      <c r="AQ26" s="94">
        <v>1994</v>
      </c>
      <c r="AR26" s="95" t="s">
        <v>44</v>
      </c>
      <c r="AS26" s="41"/>
      <c r="AT26" s="41"/>
      <c r="AU26" s="41"/>
      <c r="AV26" s="16"/>
      <c r="AW26" s="16"/>
      <c r="AX26" s="16"/>
      <c r="AY26" s="16"/>
      <c r="AZ26" s="69">
        <f>(SUM(AZ$134:AZ$149)/16)/(SUM($J$134:$J$149)/16)*SARM[[#This Row],[Trenes Corridos]]</f>
        <v>736.80755345737293</v>
      </c>
      <c r="BA26" s="16"/>
      <c r="BB26" s="16"/>
    </row>
    <row r="27" spans="1:54" s="18" customFormat="1" ht="15" customHeight="1">
      <c r="A27" s="96">
        <v>1994</v>
      </c>
      <c r="B27" s="97" t="s">
        <v>45</v>
      </c>
      <c r="C27" s="15">
        <f t="shared" si="2"/>
        <v>0.71073934160820296</v>
      </c>
      <c r="D27" s="15">
        <f t="shared" si="3"/>
        <v>0.83938814531548755</v>
      </c>
      <c r="E27" s="15">
        <f t="shared" si="4"/>
        <v>0.84673502428494329</v>
      </c>
      <c r="F27" s="16">
        <f>+Tabla2[[#This Row],[Trenes Programados por Día Hábil]]+Tabla9[[#This Row],[Trenes Programados por Día Hábil]]+Tabla10[[#This Row],[Trenes Programados por Día Hábil]]</f>
        <v>0</v>
      </c>
      <c r="G27" s="33">
        <f>+(Tabla2[[#This Row],[Coches por Tren Día Hábil]]*Tabla2[[#This Row],[Trenes Corridos]]+Tabla9[[#This Row],[Coches por Tren Día Hábil]]*Tabla9[[#This Row],[Trenes Corridos]]+Tabla10[[#This Row],[Coches por Tren Día Hábil]]*Tabla10[[#This Row],[Trenes Corridos]])/SARM[[#This Row],[Trenes Corridos]]</f>
        <v>0</v>
      </c>
      <c r="H27" s="16">
        <v>7412</v>
      </c>
      <c r="I27" s="16">
        <f t="shared" si="0"/>
        <v>1136</v>
      </c>
      <c r="J27" s="16">
        <v>6276</v>
      </c>
      <c r="K27" s="16">
        <v>5268</v>
      </c>
      <c r="L27" s="16">
        <f t="shared" si="1"/>
        <v>1008</v>
      </c>
      <c r="M27" s="16"/>
      <c r="N27" s="17"/>
      <c r="O27" s="96">
        <v>1994</v>
      </c>
      <c r="P27" s="97" t="s">
        <v>45</v>
      </c>
      <c r="Q27" s="41"/>
      <c r="R27" s="41"/>
      <c r="S27" s="41"/>
      <c r="T27" s="16"/>
      <c r="U27" s="16"/>
      <c r="V27" s="16"/>
      <c r="W27" s="16"/>
      <c r="X27" s="69">
        <f>(SUM(X$134:X$149)/16)/(SUM($J$134:$J$149)/16)*SARM[[#This Row],[Trenes Corridos]]</f>
        <v>4978.1437656206608</v>
      </c>
      <c r="Y27" s="16"/>
      <c r="Z27" s="16"/>
      <c r="AA27" s="16"/>
      <c r="AB27" s="17"/>
      <c r="AC27" s="96">
        <v>1994</v>
      </c>
      <c r="AD27" s="97" t="s">
        <v>45</v>
      </c>
      <c r="AE27" s="41"/>
      <c r="AF27" s="41"/>
      <c r="AG27" s="41"/>
      <c r="AH27" s="16"/>
      <c r="AI27" s="16"/>
      <c r="AJ27" s="16"/>
      <c r="AK27" s="16"/>
      <c r="AL27" s="69">
        <f>(SUM(AL$134:AL$149)/16)/(SUM($J$134:$J$149)/16)*SARM[[#This Row],[Trenes Corridos]]</f>
        <v>577.0138017217439</v>
      </c>
      <c r="AM27" s="16"/>
      <c r="AN27" s="16"/>
      <c r="AO27" s="16"/>
      <c r="AP27" s="17"/>
      <c r="AQ27" s="96">
        <v>1994</v>
      </c>
      <c r="AR27" s="97" t="s">
        <v>45</v>
      </c>
      <c r="AS27" s="41"/>
      <c r="AT27" s="41"/>
      <c r="AU27" s="41"/>
      <c r="AV27" s="16"/>
      <c r="AW27" s="16"/>
      <c r="AX27" s="16"/>
      <c r="AY27" s="16"/>
      <c r="AZ27" s="69">
        <f>(SUM(AZ$134:AZ$149)/16)/(SUM($J$134:$J$149)/16)*SARM[[#This Row],[Trenes Corridos]]</f>
        <v>720.84243265759505</v>
      </c>
      <c r="BA27" s="16"/>
      <c r="BB27" s="16"/>
    </row>
    <row r="28" spans="1:54" s="18" customFormat="1" ht="15" customHeight="1">
      <c r="A28" s="94">
        <v>1994</v>
      </c>
      <c r="B28" s="95" t="s">
        <v>46</v>
      </c>
      <c r="C28" s="15">
        <f t="shared" si="2"/>
        <v>0.70201884253028268</v>
      </c>
      <c r="D28" s="15">
        <f t="shared" si="3"/>
        <v>0.81614770771397283</v>
      </c>
      <c r="E28" s="15">
        <f t="shared" si="4"/>
        <v>0.86016150740242259</v>
      </c>
      <c r="F28" s="16">
        <f>+Tabla2[[#This Row],[Trenes Programados por Día Hábil]]+Tabla9[[#This Row],[Trenes Programados por Día Hábil]]+Tabla10[[#This Row],[Trenes Programados por Día Hábil]]</f>
        <v>0</v>
      </c>
      <c r="G28" s="33">
        <f>+(Tabla2[[#This Row],[Coches por Tren Día Hábil]]*Tabla2[[#This Row],[Trenes Corridos]]+Tabla9[[#This Row],[Coches por Tren Día Hábil]]*Tabla9[[#This Row],[Trenes Corridos]]+Tabla10[[#This Row],[Coches por Tren Día Hábil]]*Tabla10[[#This Row],[Trenes Corridos]])/SARM[[#This Row],[Trenes Corridos]]</f>
        <v>0</v>
      </c>
      <c r="H28" s="16">
        <v>7430</v>
      </c>
      <c r="I28" s="16">
        <f t="shared" si="0"/>
        <v>1039</v>
      </c>
      <c r="J28" s="16">
        <v>6391</v>
      </c>
      <c r="K28" s="16">
        <v>5216</v>
      </c>
      <c r="L28" s="16">
        <f t="shared" si="1"/>
        <v>1175</v>
      </c>
      <c r="M28" s="16"/>
      <c r="N28" s="17"/>
      <c r="O28" s="94">
        <v>1994</v>
      </c>
      <c r="P28" s="95" t="s">
        <v>46</v>
      </c>
      <c r="Q28" s="41"/>
      <c r="R28" s="41"/>
      <c r="S28" s="41"/>
      <c r="T28" s="16"/>
      <c r="U28" s="16"/>
      <c r="V28" s="16"/>
      <c r="W28" s="16"/>
      <c r="X28" s="69">
        <f>(SUM(X$134:X$149)/16)/(SUM($J$134:$J$149)/16)*SARM[[#This Row],[Trenes Corridos]]</f>
        <v>5069.3621424604271</v>
      </c>
      <c r="Y28" s="16"/>
      <c r="Z28" s="16"/>
      <c r="AA28" s="16"/>
      <c r="AB28" s="17"/>
      <c r="AC28" s="94">
        <v>1994</v>
      </c>
      <c r="AD28" s="95" t="s">
        <v>46</v>
      </c>
      <c r="AE28" s="41"/>
      <c r="AF28" s="41"/>
      <c r="AG28" s="41"/>
      <c r="AH28" s="16"/>
      <c r="AI28" s="16"/>
      <c r="AJ28" s="16"/>
      <c r="AK28" s="16"/>
      <c r="AL28" s="69">
        <f>(SUM(AL$134:AL$149)/16)/(SUM($J$134:$J$149)/16)*SARM[[#This Row],[Trenes Corridos]]</f>
        <v>587.58687170230485</v>
      </c>
      <c r="AM28" s="16"/>
      <c r="AN28" s="16"/>
      <c r="AO28" s="16"/>
      <c r="AP28" s="17"/>
      <c r="AQ28" s="94">
        <v>1994</v>
      </c>
      <c r="AR28" s="95" t="s">
        <v>46</v>
      </c>
      <c r="AS28" s="41"/>
      <c r="AT28" s="41"/>
      <c r="AU28" s="41"/>
      <c r="AV28" s="16"/>
      <c r="AW28" s="16"/>
      <c r="AX28" s="16"/>
      <c r="AY28" s="16"/>
      <c r="AZ28" s="69">
        <f>(SUM(AZ$134:AZ$149)/16)/(SUM($J$134:$J$149)/16)*SARM[[#This Row],[Trenes Corridos]]</f>
        <v>734.05098583726738</v>
      </c>
      <c r="BA28" s="16"/>
      <c r="BB28" s="16"/>
    </row>
    <row r="29" spans="1:54" s="18" customFormat="1" ht="15" customHeight="1">
      <c r="A29" s="96">
        <v>1994</v>
      </c>
      <c r="B29" s="97" t="s">
        <v>47</v>
      </c>
      <c r="C29" s="15">
        <f t="shared" si="2"/>
        <v>0.60793008999608711</v>
      </c>
      <c r="D29" s="15">
        <f t="shared" si="3"/>
        <v>0.75579698394681372</v>
      </c>
      <c r="E29" s="15">
        <f t="shared" si="4"/>
        <v>0.80435633233337678</v>
      </c>
      <c r="F29" s="16">
        <f>+Tabla2[[#This Row],[Trenes Programados por Día Hábil]]+Tabla9[[#This Row],[Trenes Programados por Día Hábil]]+Tabla10[[#This Row],[Trenes Programados por Día Hábil]]</f>
        <v>0</v>
      </c>
      <c r="G29" s="33">
        <f>+(Tabla2[[#This Row],[Coches por Tren Día Hábil]]*Tabla2[[#This Row],[Trenes Corridos]]+Tabla9[[#This Row],[Coches por Tren Día Hábil]]*Tabla9[[#This Row],[Trenes Corridos]]+Tabla10[[#This Row],[Coches por Tren Día Hábil]]*Tabla10[[#This Row],[Trenes Corridos]])/SARM[[#This Row],[Trenes Corridos]]</f>
        <v>0</v>
      </c>
      <c r="H29" s="16">
        <v>7667</v>
      </c>
      <c r="I29" s="16">
        <f t="shared" si="0"/>
        <v>1500</v>
      </c>
      <c r="J29" s="16">
        <v>6167</v>
      </c>
      <c r="K29" s="16">
        <v>4661</v>
      </c>
      <c r="L29" s="16">
        <f t="shared" si="1"/>
        <v>1506</v>
      </c>
      <c r="M29" s="16"/>
      <c r="N29" s="17"/>
      <c r="O29" s="96">
        <v>1994</v>
      </c>
      <c r="P29" s="97" t="s">
        <v>47</v>
      </c>
      <c r="Q29" s="41"/>
      <c r="R29" s="41"/>
      <c r="S29" s="41"/>
      <c r="T29" s="16"/>
      <c r="U29" s="16"/>
      <c r="V29" s="16"/>
      <c r="W29" s="16"/>
      <c r="X29" s="69">
        <f>(SUM(X$134:X$149)/16)/(SUM($J$134:$J$149)/16)*SARM[[#This Row],[Trenes Corridos]]</f>
        <v>4891.6846084420995</v>
      </c>
      <c r="Y29" s="16"/>
      <c r="Z29" s="16"/>
      <c r="AA29" s="16"/>
      <c r="AB29" s="17"/>
      <c r="AC29" s="96">
        <v>1994</v>
      </c>
      <c r="AD29" s="97" t="s">
        <v>47</v>
      </c>
      <c r="AE29" s="41"/>
      <c r="AF29" s="41"/>
      <c r="AG29" s="41"/>
      <c r="AH29" s="16"/>
      <c r="AI29" s="16"/>
      <c r="AJ29" s="16"/>
      <c r="AK29" s="16"/>
      <c r="AL29" s="69">
        <f>(SUM(AL$134:AL$149)/16)/(SUM($J$134:$J$149)/16)*SARM[[#This Row],[Trenes Corridos]]</f>
        <v>566.99237017495136</v>
      </c>
      <c r="AM29" s="16"/>
      <c r="AN29" s="16"/>
      <c r="AO29" s="16"/>
      <c r="AP29" s="17"/>
      <c r="AQ29" s="96">
        <v>1994</v>
      </c>
      <c r="AR29" s="97" t="s">
        <v>47</v>
      </c>
      <c r="AS29" s="41"/>
      <c r="AT29" s="41"/>
      <c r="AU29" s="41"/>
      <c r="AV29" s="16"/>
      <c r="AW29" s="16"/>
      <c r="AX29" s="16"/>
      <c r="AY29" s="16"/>
      <c r="AZ29" s="69">
        <f>(SUM(AZ$134:AZ$149)/16)/(SUM($J$134:$J$149)/16)*SARM[[#This Row],[Trenes Corridos]]</f>
        <v>708.32302138294915</v>
      </c>
      <c r="BA29" s="16"/>
      <c r="BB29" s="16"/>
    </row>
    <row r="30" spans="1:54" s="18" customFormat="1" ht="15" customHeight="1">
      <c r="A30" s="94">
        <v>1995</v>
      </c>
      <c r="B30" s="95" t="s">
        <v>36</v>
      </c>
      <c r="C30" s="15">
        <f t="shared" si="2"/>
        <v>0.67326994189117806</v>
      </c>
      <c r="D30" s="15">
        <f t="shared" si="3"/>
        <v>0.79222999222999224</v>
      </c>
      <c r="E30" s="15">
        <f t="shared" si="4"/>
        <v>0.84984152139461178</v>
      </c>
      <c r="F30" s="16">
        <f>+Tabla2[[#This Row],[Trenes Programados por Día Hábil]]+Tabla9[[#This Row],[Trenes Programados por Día Hábil]]+Tabla10[[#This Row],[Trenes Programados por Día Hábil]]</f>
        <v>0</v>
      </c>
      <c r="G30" s="33">
        <f>+(Tabla2[[#This Row],[Coches por Tren Día Hábil]]*Tabla2[[#This Row],[Trenes Corridos]]+Tabla9[[#This Row],[Coches por Tren Día Hábil]]*Tabla9[[#This Row],[Trenes Corridos]]+Tabla10[[#This Row],[Coches por Tren Día Hábil]]*Tabla10[[#This Row],[Trenes Corridos]])/SARM[[#This Row],[Trenes Corridos]]</f>
        <v>0</v>
      </c>
      <c r="H30" s="16">
        <v>7572</v>
      </c>
      <c r="I30" s="16">
        <f t="shared" si="0"/>
        <v>1137</v>
      </c>
      <c r="J30" s="16">
        <v>6435</v>
      </c>
      <c r="K30" s="16">
        <v>5098</v>
      </c>
      <c r="L30" s="16">
        <f t="shared" si="1"/>
        <v>1337</v>
      </c>
      <c r="M30" s="16"/>
      <c r="N30" s="17"/>
      <c r="O30" s="94">
        <v>1995</v>
      </c>
      <c r="P30" s="95" t="s">
        <v>36</v>
      </c>
      <c r="Q30" s="41"/>
      <c r="R30" s="41"/>
      <c r="S30" s="41"/>
      <c r="T30" s="16"/>
      <c r="U30" s="16"/>
      <c r="V30" s="16"/>
      <c r="W30" s="16"/>
      <c r="X30" s="69">
        <f>(SUM(X$134:X$149)/16)/(SUM($J$134:$J$149)/16)*SARM[[#This Row],[Trenes Corridos]]</f>
        <v>5104.2630866425989</v>
      </c>
      <c r="Y30" s="16"/>
      <c r="Z30" s="16"/>
      <c r="AA30" s="16"/>
      <c r="AB30" s="17"/>
      <c r="AC30" s="94">
        <v>1995</v>
      </c>
      <c r="AD30" s="95" t="s">
        <v>36</v>
      </c>
      <c r="AE30" s="41"/>
      <c r="AF30" s="41"/>
      <c r="AG30" s="41"/>
      <c r="AH30" s="16"/>
      <c r="AI30" s="16"/>
      <c r="AJ30" s="16"/>
      <c r="AK30" s="16"/>
      <c r="AL30" s="69">
        <f>(SUM(AL$134:AL$149)/16)/(SUM($J$134:$J$149)/16)*SARM[[#This Row],[Trenes Corridos]]</f>
        <v>591.63222021660647</v>
      </c>
      <c r="AM30" s="16"/>
      <c r="AN30" s="16"/>
      <c r="AO30" s="16"/>
      <c r="AP30" s="17"/>
      <c r="AQ30" s="94">
        <v>1995</v>
      </c>
      <c r="AR30" s="95" t="s">
        <v>36</v>
      </c>
      <c r="AS30" s="41"/>
      <c r="AT30" s="41"/>
      <c r="AU30" s="41"/>
      <c r="AV30" s="16"/>
      <c r="AW30" s="16"/>
      <c r="AX30" s="16"/>
      <c r="AY30" s="16"/>
      <c r="AZ30" s="69">
        <f>(SUM(AZ$134:AZ$149)/16)/(SUM($J$134:$J$149)/16)*SARM[[#This Row],[Trenes Corridos]]</f>
        <v>739.10469314079421</v>
      </c>
      <c r="BA30" s="16"/>
      <c r="BB30" s="16"/>
    </row>
    <row r="31" spans="1:54" s="18" customFormat="1" ht="15" customHeight="1">
      <c r="A31" s="96">
        <v>1995</v>
      </c>
      <c r="B31" s="97" t="s">
        <v>37</v>
      </c>
      <c r="C31" s="15">
        <f t="shared" si="2"/>
        <v>0.73708647707486941</v>
      </c>
      <c r="D31" s="15">
        <f t="shared" si="3"/>
        <v>0.84008599305440712</v>
      </c>
      <c r="E31" s="15">
        <f t="shared" si="4"/>
        <v>0.87739408009286124</v>
      </c>
      <c r="F31" s="16">
        <f>+Tabla2[[#This Row],[Trenes Programados por Día Hábil]]+Tabla9[[#This Row],[Trenes Programados por Día Hábil]]+Tabla10[[#This Row],[Trenes Programados por Día Hábil]]</f>
        <v>0</v>
      </c>
      <c r="G31" s="33">
        <f>+(Tabla2[[#This Row],[Coches por Tren Día Hábil]]*Tabla2[[#This Row],[Trenes Corridos]]+Tabla9[[#This Row],[Coches por Tren Día Hábil]]*Tabla9[[#This Row],[Trenes Corridos]]+Tabla10[[#This Row],[Coches por Tren Día Hábil]]*Tabla10[[#This Row],[Trenes Corridos]])/SARM[[#This Row],[Trenes Corridos]]</f>
        <v>0</v>
      </c>
      <c r="H31" s="16">
        <v>6892</v>
      </c>
      <c r="I31" s="16">
        <f t="shared" si="0"/>
        <v>845</v>
      </c>
      <c r="J31" s="16">
        <v>6047</v>
      </c>
      <c r="K31" s="16">
        <v>5080</v>
      </c>
      <c r="L31" s="16">
        <f t="shared" si="1"/>
        <v>967</v>
      </c>
      <c r="M31" s="16"/>
      <c r="N31" s="17"/>
      <c r="O31" s="96">
        <v>1995</v>
      </c>
      <c r="P31" s="97" t="s">
        <v>37</v>
      </c>
      <c r="Q31" s="41"/>
      <c r="R31" s="41"/>
      <c r="S31" s="41"/>
      <c r="T31" s="16"/>
      <c r="U31" s="16"/>
      <c r="V31" s="16"/>
      <c r="W31" s="16"/>
      <c r="X31" s="69">
        <f>(SUM(X$134:X$149)/16)/(SUM($J$134:$J$149)/16)*SARM[[#This Row],[Trenes Corridos]]</f>
        <v>4796.500215217995</v>
      </c>
      <c r="Y31" s="16"/>
      <c r="Z31" s="16"/>
      <c r="AA31" s="16"/>
      <c r="AB31" s="17"/>
      <c r="AC31" s="96">
        <v>1995</v>
      </c>
      <c r="AD31" s="97" t="s">
        <v>37</v>
      </c>
      <c r="AE31" s="41"/>
      <c r="AF31" s="41"/>
      <c r="AG31" s="41"/>
      <c r="AH31" s="16"/>
      <c r="AI31" s="16"/>
      <c r="AJ31" s="16"/>
      <c r="AK31" s="16"/>
      <c r="AL31" s="69">
        <f>(SUM(AL$134:AL$149)/16)/(SUM($J$134:$J$149)/16)*SARM[[#This Row],[Trenes Corridos]]</f>
        <v>555.95960149958341</v>
      </c>
      <c r="AM31" s="16"/>
      <c r="AN31" s="16"/>
      <c r="AO31" s="16"/>
      <c r="AP31" s="17"/>
      <c r="AQ31" s="96">
        <v>1995</v>
      </c>
      <c r="AR31" s="97" t="s">
        <v>37</v>
      </c>
      <c r="AS31" s="41"/>
      <c r="AT31" s="41"/>
      <c r="AU31" s="41"/>
      <c r="AV31" s="16"/>
      <c r="AW31" s="16"/>
      <c r="AX31" s="16"/>
      <c r="AY31" s="16"/>
      <c r="AZ31" s="69">
        <f>(SUM(AZ$134:AZ$149)/16)/(SUM($J$134:$J$149)/16)*SARM[[#This Row],[Trenes Corridos]]</f>
        <v>694.54018328242148</v>
      </c>
      <c r="BA31" s="16"/>
      <c r="BB31" s="16"/>
    </row>
    <row r="32" spans="1:54" s="18" customFormat="1" ht="15" customHeight="1">
      <c r="A32" s="94">
        <v>1995</v>
      </c>
      <c r="B32" s="95" t="s">
        <v>38</v>
      </c>
      <c r="C32" s="15">
        <f t="shared" si="2"/>
        <v>0.68385504610988435</v>
      </c>
      <c r="D32" s="15">
        <f t="shared" si="3"/>
        <v>0.7899474868717179</v>
      </c>
      <c r="E32" s="15">
        <f t="shared" si="4"/>
        <v>0.86569684374594102</v>
      </c>
      <c r="F32" s="16">
        <f>+Tabla2[[#This Row],[Trenes Programados por Día Hábil]]+Tabla9[[#This Row],[Trenes Programados por Día Hábil]]+Tabla10[[#This Row],[Trenes Programados por Día Hábil]]</f>
        <v>0</v>
      </c>
      <c r="G32" s="33">
        <f>+(Tabla2[[#This Row],[Coches por Tren Día Hábil]]*Tabla2[[#This Row],[Trenes Corridos]]+Tabla9[[#This Row],[Coches por Tren Día Hábil]]*Tabla9[[#This Row],[Trenes Corridos]]+Tabla10[[#This Row],[Coches por Tren Día Hábil]]*Tabla10[[#This Row],[Trenes Corridos]])/SARM[[#This Row],[Trenes Corridos]]</f>
        <v>0</v>
      </c>
      <c r="H32" s="16">
        <v>7699</v>
      </c>
      <c r="I32" s="16">
        <f t="shared" si="0"/>
        <v>1034</v>
      </c>
      <c r="J32" s="16">
        <v>6665</v>
      </c>
      <c r="K32" s="16">
        <v>5265</v>
      </c>
      <c r="L32" s="16">
        <f t="shared" si="1"/>
        <v>1400</v>
      </c>
      <c r="M32" s="16"/>
      <c r="N32" s="17"/>
      <c r="O32" s="94">
        <v>1995</v>
      </c>
      <c r="P32" s="95" t="s">
        <v>38</v>
      </c>
      <c r="Q32" s="41"/>
      <c r="R32" s="41"/>
      <c r="S32" s="41"/>
      <c r="T32" s="16"/>
      <c r="U32" s="16"/>
      <c r="V32" s="16"/>
      <c r="W32" s="16"/>
      <c r="X32" s="69">
        <f>(SUM(X$134:X$149)/16)/(SUM($J$134:$J$149)/16)*SARM[[#This Row],[Trenes Corridos]]</f>
        <v>5286.6998403221323</v>
      </c>
      <c r="Y32" s="16"/>
      <c r="Z32" s="16"/>
      <c r="AA32" s="16"/>
      <c r="AB32" s="17"/>
      <c r="AC32" s="94">
        <v>1995</v>
      </c>
      <c r="AD32" s="95" t="s">
        <v>38</v>
      </c>
      <c r="AE32" s="41"/>
      <c r="AF32" s="41"/>
      <c r="AG32" s="41"/>
      <c r="AH32" s="16"/>
      <c r="AI32" s="16"/>
      <c r="AJ32" s="16"/>
      <c r="AK32" s="16"/>
      <c r="AL32" s="69">
        <f>(SUM(AL$134:AL$149)/16)/(SUM($J$134:$J$149)/16)*SARM[[#This Row],[Trenes Corridos]]</f>
        <v>612.77836017772836</v>
      </c>
      <c r="AM32" s="16"/>
      <c r="AN32" s="16"/>
      <c r="AO32" s="16"/>
      <c r="AP32" s="17"/>
      <c r="AQ32" s="94">
        <v>1995</v>
      </c>
      <c r="AR32" s="95" t="s">
        <v>38</v>
      </c>
      <c r="AS32" s="41"/>
      <c r="AT32" s="41"/>
      <c r="AU32" s="41"/>
      <c r="AV32" s="16"/>
      <c r="AW32" s="16"/>
      <c r="AX32" s="16"/>
      <c r="AY32" s="16"/>
      <c r="AZ32" s="69">
        <f>(SUM(AZ$134:AZ$149)/16)/(SUM($J$134:$J$149)/16)*SARM[[#This Row],[Trenes Corridos]]</f>
        <v>765.52179950013885</v>
      </c>
      <c r="BA32" s="16"/>
      <c r="BB32" s="16"/>
    </row>
    <row r="33" spans="1:54" s="18" customFormat="1" ht="15" customHeight="1">
      <c r="A33" s="96">
        <v>1995</v>
      </c>
      <c r="B33" s="97" t="s">
        <v>39</v>
      </c>
      <c r="C33" s="15">
        <f t="shared" si="2"/>
        <v>0.6535069298614028</v>
      </c>
      <c r="D33" s="15">
        <f t="shared" si="3"/>
        <v>0.78506559031281531</v>
      </c>
      <c r="E33" s="15">
        <f t="shared" si="4"/>
        <v>0.83242335153296931</v>
      </c>
      <c r="F33" s="16">
        <f>+Tabla2[[#This Row],[Trenes Programados por Día Hábil]]+Tabla9[[#This Row],[Trenes Programados por Día Hábil]]+Tabla10[[#This Row],[Trenes Programados por Día Hábil]]</f>
        <v>0</v>
      </c>
      <c r="G33" s="33">
        <f>+(Tabla2[[#This Row],[Coches por Tren Día Hábil]]*Tabla2[[#This Row],[Trenes Corridos]]+Tabla9[[#This Row],[Coches por Tren Día Hábil]]*Tabla9[[#This Row],[Trenes Corridos]]+Tabla10[[#This Row],[Coches por Tren Día Hábil]]*Tabla10[[#This Row],[Trenes Corridos]])/SARM[[#This Row],[Trenes Corridos]]</f>
        <v>0</v>
      </c>
      <c r="H33" s="16">
        <v>7143</v>
      </c>
      <c r="I33" s="16">
        <f t="shared" si="0"/>
        <v>1197</v>
      </c>
      <c r="J33" s="16">
        <v>5946</v>
      </c>
      <c r="K33" s="16">
        <v>4668</v>
      </c>
      <c r="L33" s="16">
        <f t="shared" si="1"/>
        <v>1278</v>
      </c>
      <c r="M33" s="16"/>
      <c r="N33" s="17"/>
      <c r="O33" s="96">
        <v>1995</v>
      </c>
      <c r="P33" s="97" t="s">
        <v>39</v>
      </c>
      <c r="Q33" s="41"/>
      <c r="R33" s="41"/>
      <c r="S33" s="41"/>
      <c r="T33" s="16"/>
      <c r="U33" s="16"/>
      <c r="V33" s="16"/>
      <c r="W33" s="16"/>
      <c r="X33" s="69">
        <f>(SUM(X$134:X$149)/16)/(SUM($J$134:$J$149)/16)*SARM[[#This Row],[Trenes Corridos]]</f>
        <v>4716.3866842543739</v>
      </c>
      <c r="Y33" s="16"/>
      <c r="Z33" s="16"/>
      <c r="AA33" s="16"/>
      <c r="AB33" s="17"/>
      <c r="AC33" s="96">
        <v>1995</v>
      </c>
      <c r="AD33" s="97" t="s">
        <v>39</v>
      </c>
      <c r="AE33" s="41"/>
      <c r="AF33" s="41"/>
      <c r="AG33" s="41"/>
      <c r="AH33" s="16"/>
      <c r="AI33" s="16"/>
      <c r="AJ33" s="16"/>
      <c r="AK33" s="16"/>
      <c r="AL33" s="69">
        <f>(SUM(AL$134:AL$149)/16)/(SUM($J$134:$J$149)/16)*SARM[[#This Row],[Trenes Corridos]]</f>
        <v>546.67368786448208</v>
      </c>
      <c r="AM33" s="16"/>
      <c r="AN33" s="16"/>
      <c r="AO33" s="16"/>
      <c r="AP33" s="17"/>
      <c r="AQ33" s="96">
        <v>1995</v>
      </c>
      <c r="AR33" s="97" t="s">
        <v>39</v>
      </c>
      <c r="AS33" s="41"/>
      <c r="AT33" s="41"/>
      <c r="AU33" s="41"/>
      <c r="AV33" s="16"/>
      <c r="AW33" s="16"/>
      <c r="AX33" s="16"/>
      <c r="AY33" s="16"/>
      <c r="AZ33" s="69">
        <f>(SUM(AZ$134:AZ$149)/16)/(SUM($J$134:$J$149)/16)*SARM[[#This Row],[Trenes Corridos]]</f>
        <v>682.93962788114413</v>
      </c>
      <c r="BA33" s="16"/>
      <c r="BB33" s="16"/>
    </row>
    <row r="34" spans="1:54" s="18" customFormat="1" ht="15" customHeight="1">
      <c r="A34" s="94">
        <v>1995</v>
      </c>
      <c r="B34" s="95" t="s">
        <v>40</v>
      </c>
      <c r="C34" s="15">
        <f t="shared" si="2"/>
        <v>0.67334334835586718</v>
      </c>
      <c r="D34" s="15">
        <f t="shared" si="3"/>
        <v>0.78254122211445198</v>
      </c>
      <c r="E34" s="15">
        <f t="shared" si="4"/>
        <v>0.86045735269571022</v>
      </c>
      <c r="F34" s="16">
        <f>+Tabla2[[#This Row],[Trenes Programados por Día Hábil]]+Tabla9[[#This Row],[Trenes Programados por Día Hábil]]+Tabla10[[#This Row],[Trenes Programados por Día Hábil]]</f>
        <v>0</v>
      </c>
      <c r="G34" s="33">
        <f>+(Tabla2[[#This Row],[Coches por Tren Día Hábil]]*Tabla2[[#This Row],[Trenes Corridos]]+Tabla9[[#This Row],[Coches por Tren Día Hábil]]*Tabla9[[#This Row],[Trenes Corridos]]+Tabla10[[#This Row],[Coches por Tren Día Hábil]]*Tabla10[[#This Row],[Trenes Corridos]])/SARM[[#This Row],[Trenes Corridos]]</f>
        <v>0</v>
      </c>
      <c r="H34" s="16">
        <f>4651+880+460</f>
        <v>5991</v>
      </c>
      <c r="I34" s="16">
        <f t="shared" si="0"/>
        <v>836</v>
      </c>
      <c r="J34" s="16">
        <f>4405+540+210</f>
        <v>5155</v>
      </c>
      <c r="K34" s="16">
        <f>3563+337+134</f>
        <v>4034</v>
      </c>
      <c r="L34" s="16">
        <f t="shared" si="1"/>
        <v>1121</v>
      </c>
      <c r="M34" s="16"/>
      <c r="N34" s="17"/>
      <c r="O34" s="94">
        <v>1995</v>
      </c>
      <c r="P34" s="95" t="s">
        <v>40</v>
      </c>
      <c r="Q34" s="41"/>
      <c r="R34" s="41"/>
      <c r="S34" s="41"/>
      <c r="T34" s="16"/>
      <c r="U34" s="16"/>
      <c r="V34" s="16"/>
      <c r="W34" s="16"/>
      <c r="X34" s="69">
        <f>(SUM(X$134:X$149)/16)/(SUM($J$134:$J$149)/16)*SARM[[#This Row],[Trenes Corridos]]</f>
        <v>4088.962892252152</v>
      </c>
      <c r="Y34" s="16"/>
      <c r="Z34" s="16"/>
      <c r="AA34" s="16"/>
      <c r="AB34" s="17"/>
      <c r="AC34" s="94">
        <v>1995</v>
      </c>
      <c r="AD34" s="95" t="s">
        <v>40</v>
      </c>
      <c r="AE34" s="41"/>
      <c r="AF34" s="41"/>
      <c r="AG34" s="41"/>
      <c r="AH34" s="16"/>
      <c r="AI34" s="16"/>
      <c r="AJ34" s="16"/>
      <c r="AK34" s="16"/>
      <c r="AL34" s="69">
        <f>(SUM(AL$134:AL$149)/16)/(SUM($J$134:$J$149)/16)*SARM[[#This Row],[Trenes Corridos]]</f>
        <v>473.94935434601496</v>
      </c>
      <c r="AM34" s="16"/>
      <c r="AN34" s="16"/>
      <c r="AO34" s="16"/>
      <c r="AP34" s="17"/>
      <c r="AQ34" s="94">
        <v>1995</v>
      </c>
      <c r="AR34" s="95" t="s">
        <v>40</v>
      </c>
      <c r="AS34" s="41"/>
      <c r="AT34" s="41"/>
      <c r="AU34" s="41"/>
      <c r="AV34" s="16"/>
      <c r="AW34" s="16"/>
      <c r="AX34" s="16"/>
      <c r="AY34" s="16"/>
      <c r="AZ34" s="69">
        <f>(SUM(AZ$134:AZ$149)/16)/(SUM($J$134:$J$149)/16)*SARM[[#This Row],[Trenes Corridos]]</f>
        <v>592.08775340183286</v>
      </c>
      <c r="BA34" s="16"/>
      <c r="BB34" s="16"/>
    </row>
    <row r="35" spans="1:54" s="18" customFormat="1" ht="15" customHeight="1">
      <c r="A35" s="96">
        <v>1995</v>
      </c>
      <c r="B35" s="97" t="s">
        <v>41</v>
      </c>
      <c r="C35" s="15">
        <f t="shared" si="2"/>
        <v>0.79657447704618844</v>
      </c>
      <c r="D35" s="15">
        <f t="shared" si="3"/>
        <v>0.81569867740080504</v>
      </c>
      <c r="E35" s="15">
        <f t="shared" si="4"/>
        <v>0.97655482240628944</v>
      </c>
      <c r="F35" s="16">
        <f>+Tabla2[[#This Row],[Trenes Programados por Día Hábil]]+Tabla9[[#This Row],[Trenes Programados por Día Hábil]]+Tabla10[[#This Row],[Trenes Programados por Día Hábil]]</f>
        <v>0</v>
      </c>
      <c r="G35" s="33">
        <f>+(Tabla2[[#This Row],[Coches por Tren Día Hábil]]*Tabla2[[#This Row],[Trenes Corridos]]+Tabla9[[#This Row],[Coches por Tren Día Hábil]]*Tabla9[[#This Row],[Trenes Corridos]]+Tabla10[[#This Row],[Coches por Tren Día Hábil]]*Tabla10[[#This Row],[Trenes Corridos]])/SARM[[#This Row],[Trenes Corridos]]</f>
        <v>0</v>
      </c>
      <c r="H35" s="16">
        <v>7123</v>
      </c>
      <c r="I35" s="16">
        <f t="shared" si="0"/>
        <v>167</v>
      </c>
      <c r="J35" s="16">
        <v>6956</v>
      </c>
      <c r="K35" s="16">
        <v>5674</v>
      </c>
      <c r="L35" s="16">
        <f t="shared" si="1"/>
        <v>1282</v>
      </c>
      <c r="M35" s="16"/>
      <c r="N35" s="17"/>
      <c r="O35" s="96">
        <v>1995</v>
      </c>
      <c r="P35" s="97" t="s">
        <v>41</v>
      </c>
      <c r="Q35" s="41"/>
      <c r="R35" s="41"/>
      <c r="S35" s="41"/>
      <c r="T35" s="16"/>
      <c r="U35" s="16"/>
      <c r="V35" s="16"/>
      <c r="W35" s="16"/>
      <c r="X35" s="69">
        <f>(SUM(X$134:X$149)/16)/(SUM($J$134:$J$149)/16)*SARM[[#This Row],[Trenes Corridos]]</f>
        <v>5517.5219938905857</v>
      </c>
      <c r="Y35" s="16"/>
      <c r="Z35" s="16"/>
      <c r="AA35" s="16"/>
      <c r="AB35" s="17"/>
      <c r="AC35" s="96">
        <v>1995</v>
      </c>
      <c r="AD35" s="97" t="s">
        <v>41</v>
      </c>
      <c r="AE35" s="41"/>
      <c r="AF35" s="41"/>
      <c r="AG35" s="41"/>
      <c r="AH35" s="16"/>
      <c r="AI35" s="16"/>
      <c r="AJ35" s="16"/>
      <c r="AK35" s="16"/>
      <c r="AL35" s="69">
        <f>(SUM(AL$134:AL$149)/16)/(SUM($J$134:$J$149)/16)*SARM[[#This Row],[Trenes Corridos]]</f>
        <v>639.53282421549568</v>
      </c>
      <c r="AM35" s="16"/>
      <c r="AN35" s="16"/>
      <c r="AO35" s="16"/>
      <c r="AP35" s="17"/>
      <c r="AQ35" s="96">
        <v>1995</v>
      </c>
      <c r="AR35" s="97" t="s">
        <v>41</v>
      </c>
      <c r="AS35" s="41"/>
      <c r="AT35" s="41"/>
      <c r="AU35" s="41"/>
      <c r="AV35" s="16"/>
      <c r="AW35" s="16"/>
      <c r="AX35" s="16"/>
      <c r="AY35" s="16"/>
      <c r="AZ35" s="69">
        <f>(SUM(AZ$134:AZ$149)/16)/(SUM($J$134:$J$149)/16)*SARM[[#This Row],[Trenes Corridos]]</f>
        <v>798.94518189391829</v>
      </c>
      <c r="BA35" s="16"/>
      <c r="BB35" s="16"/>
    </row>
    <row r="36" spans="1:54" s="18" customFormat="1" ht="15" customHeight="1">
      <c r="A36" s="94">
        <v>1995</v>
      </c>
      <c r="B36" s="95" t="s">
        <v>42</v>
      </c>
      <c r="C36" s="15">
        <f t="shared" si="2"/>
        <v>0.8263852242744063</v>
      </c>
      <c r="D36" s="15">
        <f t="shared" si="3"/>
        <v>0.84523006341924167</v>
      </c>
      <c r="E36" s="15">
        <f t="shared" si="4"/>
        <v>0.97770448548812661</v>
      </c>
      <c r="F36" s="16">
        <f>+Tabla2[[#This Row],[Trenes Programados por Día Hábil]]+Tabla9[[#This Row],[Trenes Programados por Día Hábil]]+Tabla10[[#This Row],[Trenes Programados por Día Hábil]]</f>
        <v>0</v>
      </c>
      <c r="G36" s="33">
        <f>+(Tabla2[[#This Row],[Coches por Tren Día Hábil]]*Tabla2[[#This Row],[Trenes Corridos]]+Tabla9[[#This Row],[Coches por Tren Día Hábil]]*Tabla9[[#This Row],[Trenes Corridos]]+Tabla10[[#This Row],[Coches por Tren Día Hábil]]*Tabla10[[#This Row],[Trenes Corridos]])/SARM[[#This Row],[Trenes Corridos]]</f>
        <v>0</v>
      </c>
      <c r="H36" s="16">
        <v>7580</v>
      </c>
      <c r="I36" s="16">
        <f t="shared" si="0"/>
        <v>169</v>
      </c>
      <c r="J36" s="16">
        <v>7411</v>
      </c>
      <c r="K36" s="16">
        <v>6264</v>
      </c>
      <c r="L36" s="16">
        <f t="shared" si="1"/>
        <v>1147</v>
      </c>
      <c r="M36" s="16"/>
      <c r="N36" s="17"/>
      <c r="O36" s="94">
        <v>1995</v>
      </c>
      <c r="P36" s="95" t="s">
        <v>42</v>
      </c>
      <c r="Q36" s="41"/>
      <c r="R36" s="41"/>
      <c r="S36" s="41"/>
      <c r="T36" s="16"/>
      <c r="U36" s="16"/>
      <c r="V36" s="16"/>
      <c r="W36" s="16"/>
      <c r="X36" s="69">
        <f>(SUM(X$134:X$149)/16)/(SUM($J$134:$J$149)/16)*SARM[[#This Row],[Trenes Corridos]]</f>
        <v>5878.4294848653153</v>
      </c>
      <c r="Y36" s="16"/>
      <c r="Z36" s="16"/>
      <c r="AA36" s="16"/>
      <c r="AB36" s="17"/>
      <c r="AC36" s="94">
        <v>1995</v>
      </c>
      <c r="AD36" s="95" t="s">
        <v>42</v>
      </c>
      <c r="AE36" s="41"/>
      <c r="AF36" s="41"/>
      <c r="AG36" s="41"/>
      <c r="AH36" s="16"/>
      <c r="AI36" s="16"/>
      <c r="AJ36" s="16"/>
      <c r="AK36" s="16"/>
      <c r="AL36" s="69">
        <f>(SUM(AL$134:AL$149)/16)/(SUM($J$134:$J$149)/16)*SARM[[#This Row],[Trenes Corridos]]</f>
        <v>681.36540544293246</v>
      </c>
      <c r="AM36" s="16"/>
      <c r="AN36" s="16"/>
      <c r="AO36" s="16"/>
      <c r="AP36" s="17"/>
      <c r="AQ36" s="94">
        <v>1995</v>
      </c>
      <c r="AR36" s="95" t="s">
        <v>42</v>
      </c>
      <c r="AS36" s="41"/>
      <c r="AT36" s="41"/>
      <c r="AU36" s="41"/>
      <c r="AV36" s="16"/>
      <c r="AW36" s="16"/>
      <c r="AX36" s="16"/>
      <c r="AY36" s="16"/>
      <c r="AZ36" s="69">
        <f>(SUM(AZ$134:AZ$149)/16)/(SUM($J$134:$J$149)/16)*SARM[[#This Row],[Trenes Corridos]]</f>
        <v>851.20510969175223</v>
      </c>
      <c r="BA36" s="16"/>
      <c r="BB36" s="16"/>
    </row>
    <row r="37" spans="1:54" s="18" customFormat="1" ht="15" customHeight="1">
      <c r="A37" s="96">
        <v>1995</v>
      </c>
      <c r="B37" s="97" t="s">
        <v>43</v>
      </c>
      <c r="C37" s="15">
        <f t="shared" si="2"/>
        <v>0.91318327974276525</v>
      </c>
      <c r="D37" s="15">
        <f t="shared" si="3"/>
        <v>0.92508143322475567</v>
      </c>
      <c r="E37" s="15">
        <f t="shared" si="4"/>
        <v>0.98713826366559487</v>
      </c>
      <c r="F37" s="16">
        <f>+Tabla2[[#This Row],[Trenes Programados por Día Hábil]]+Tabla9[[#This Row],[Trenes Programados por Día Hábil]]+Tabla10[[#This Row],[Trenes Programados por Día Hábil]]</f>
        <v>0</v>
      </c>
      <c r="G37" s="33">
        <f>+(Tabla2[[#This Row],[Coches por Tren Día Hábil]]*Tabla2[[#This Row],[Trenes Corridos]]+Tabla9[[#This Row],[Coches por Tren Día Hábil]]*Tabla9[[#This Row],[Trenes Corridos]]+Tabla10[[#This Row],[Coches por Tren Día Hábil]]*Tabla10[[#This Row],[Trenes Corridos]])/SARM[[#This Row],[Trenes Corridos]]</f>
        <v>0</v>
      </c>
      <c r="H37" s="16">
        <v>7464</v>
      </c>
      <c r="I37" s="16">
        <f t="shared" si="0"/>
        <v>96</v>
      </c>
      <c r="J37" s="16">
        <v>7368</v>
      </c>
      <c r="K37" s="16">
        <v>6816</v>
      </c>
      <c r="L37" s="16">
        <f t="shared" si="1"/>
        <v>552</v>
      </c>
      <c r="M37" s="16"/>
      <c r="N37" s="17"/>
      <c r="O37" s="96">
        <v>1995</v>
      </c>
      <c r="P37" s="97" t="s">
        <v>43</v>
      </c>
      <c r="Q37" s="41"/>
      <c r="R37" s="41"/>
      <c r="S37" s="41"/>
      <c r="T37" s="16"/>
      <c r="U37" s="16"/>
      <c r="V37" s="16"/>
      <c r="W37" s="16"/>
      <c r="X37" s="69">
        <f>(SUM(X$134:X$149)/16)/(SUM($J$134:$J$149)/16)*SARM[[#This Row],[Trenes Corridos]]</f>
        <v>5844.3217439600112</v>
      </c>
      <c r="Y37" s="16"/>
      <c r="Z37" s="16"/>
      <c r="AA37" s="16"/>
      <c r="AB37" s="17"/>
      <c r="AC37" s="96">
        <v>1995</v>
      </c>
      <c r="AD37" s="97" t="s">
        <v>43</v>
      </c>
      <c r="AE37" s="41"/>
      <c r="AF37" s="41"/>
      <c r="AG37" s="41"/>
      <c r="AH37" s="16"/>
      <c r="AI37" s="16"/>
      <c r="AJ37" s="16"/>
      <c r="AK37" s="16"/>
      <c r="AL37" s="69">
        <f>(SUM(AL$134:AL$149)/16)/(SUM($J$134:$J$149)/16)*SARM[[#This Row],[Trenes Corridos]]</f>
        <v>677.41199666759235</v>
      </c>
      <c r="AM37" s="16"/>
      <c r="AN37" s="16"/>
      <c r="AO37" s="16"/>
      <c r="AP37" s="17"/>
      <c r="AQ37" s="96">
        <v>1995</v>
      </c>
      <c r="AR37" s="97" t="s">
        <v>43</v>
      </c>
      <c r="AS37" s="41"/>
      <c r="AT37" s="41"/>
      <c r="AU37" s="41"/>
      <c r="AV37" s="16"/>
      <c r="AW37" s="16"/>
      <c r="AX37" s="16"/>
      <c r="AY37" s="16"/>
      <c r="AZ37" s="69">
        <f>(SUM(AZ$134:AZ$149)/16)/(SUM($J$134:$J$149)/16)*SARM[[#This Row],[Trenes Corridos]]</f>
        <v>846.26625937239658</v>
      </c>
      <c r="BA37" s="16"/>
      <c r="BB37" s="16"/>
    </row>
    <row r="38" spans="1:54" s="18" customFormat="1" ht="15" customHeight="1">
      <c r="A38" s="94">
        <v>1995</v>
      </c>
      <c r="B38" s="95" t="s">
        <v>44</v>
      </c>
      <c r="C38" s="15">
        <f t="shared" si="2"/>
        <v>0.92343642611683852</v>
      </c>
      <c r="D38" s="15">
        <f t="shared" si="3"/>
        <v>0.94793283476788481</v>
      </c>
      <c r="E38" s="15">
        <f t="shared" si="4"/>
        <v>0.97415807560137457</v>
      </c>
      <c r="F38" s="16">
        <f>+Tabla2[[#This Row],[Trenes Programados por Día Hábil]]+Tabla9[[#This Row],[Trenes Programados por Día Hábil]]+Tabla10[[#This Row],[Trenes Programados por Día Hábil]]</f>
        <v>0</v>
      </c>
      <c r="G38" s="33">
        <f>+(Tabla2[[#This Row],[Coches por Tren Día Hábil]]*Tabla2[[#This Row],[Trenes Corridos]]+Tabla9[[#This Row],[Coches por Tren Día Hábil]]*Tabla9[[#This Row],[Trenes Corridos]]+Tabla10[[#This Row],[Coches por Tren Día Hábil]]*Tabla10[[#This Row],[Trenes Corridos]])/SARM[[#This Row],[Trenes Corridos]]</f>
        <v>0</v>
      </c>
      <c r="H38" s="16">
        <f>5767+616+892</f>
        <v>7275</v>
      </c>
      <c r="I38" s="16">
        <f t="shared" si="0"/>
        <v>188</v>
      </c>
      <c r="J38" s="16">
        <f>5612+604+871</f>
        <v>7087</v>
      </c>
      <c r="K38" s="16">
        <f>5324+558+836</f>
        <v>6718</v>
      </c>
      <c r="L38" s="16">
        <f t="shared" si="1"/>
        <v>369</v>
      </c>
      <c r="M38" s="16"/>
      <c r="N38" s="17"/>
      <c r="O38" s="94">
        <v>1995</v>
      </c>
      <c r="P38" s="95" t="s">
        <v>44</v>
      </c>
      <c r="Q38" s="41"/>
      <c r="R38" s="41"/>
      <c r="S38" s="41"/>
      <c r="T38" s="16"/>
      <c r="U38" s="16"/>
      <c r="V38" s="16"/>
      <c r="W38" s="16"/>
      <c r="X38" s="69">
        <f>(SUM(X$134:X$149)/16)/(SUM($J$134:$J$149)/16)*SARM[[#This Row],[Trenes Corridos]]</f>
        <v>5621.4316231602334</v>
      </c>
      <c r="Y38" s="16"/>
      <c r="Z38" s="16"/>
      <c r="AA38" s="16"/>
      <c r="AB38" s="17"/>
      <c r="AC38" s="94">
        <v>1995</v>
      </c>
      <c r="AD38" s="95" t="s">
        <v>44</v>
      </c>
      <c r="AE38" s="41"/>
      <c r="AF38" s="41"/>
      <c r="AG38" s="41"/>
      <c r="AH38" s="16"/>
      <c r="AI38" s="16"/>
      <c r="AJ38" s="16"/>
      <c r="AK38" s="16"/>
      <c r="AL38" s="69">
        <f>(SUM(AL$134:AL$149)/16)/(SUM($J$134:$J$149)/16)*SARM[[#This Row],[Trenes Corridos]]</f>
        <v>651.57693001943903</v>
      </c>
      <c r="AM38" s="16"/>
      <c r="AN38" s="16"/>
      <c r="AO38" s="16"/>
      <c r="AP38" s="17"/>
      <c r="AQ38" s="94">
        <v>1995</v>
      </c>
      <c r="AR38" s="95" t="s">
        <v>44</v>
      </c>
      <c r="AS38" s="41"/>
      <c r="AT38" s="41"/>
      <c r="AU38" s="41"/>
      <c r="AV38" s="16"/>
      <c r="AW38" s="16"/>
      <c r="AX38" s="16"/>
      <c r="AY38" s="16"/>
      <c r="AZ38" s="69">
        <f>(SUM(AZ$134:AZ$149)/16)/(SUM($J$134:$J$149)/16)*SARM[[#This Row],[Trenes Corridos]]</f>
        <v>813.99144682032761</v>
      </c>
      <c r="BA38" s="16"/>
      <c r="BB38" s="16"/>
    </row>
    <row r="39" spans="1:54" s="18" customFormat="1" ht="15" customHeight="1">
      <c r="A39" s="96">
        <v>1995</v>
      </c>
      <c r="B39" s="97" t="s">
        <v>45</v>
      </c>
      <c r="C39" s="15">
        <f t="shared" si="2"/>
        <v>0.95369739888329019</v>
      </c>
      <c r="D39" s="15">
        <f t="shared" si="3"/>
        <v>0.95760973608642141</v>
      </c>
      <c r="E39" s="15">
        <f t="shared" si="4"/>
        <v>0.99591447637205499</v>
      </c>
      <c r="F39" s="16">
        <f>+Tabla2[[#This Row],[Trenes Programados por Día Hábil]]+Tabla9[[#This Row],[Trenes Programados por Día Hábil]]+Tabla10[[#This Row],[Trenes Programados por Día Hábil]]</f>
        <v>0</v>
      </c>
      <c r="G39" s="33">
        <f>+(Tabla2[[#This Row],[Coches por Tren Día Hábil]]*Tabla2[[#This Row],[Trenes Corridos]]+Tabla9[[#This Row],[Coches por Tren Día Hábil]]*Tabla9[[#This Row],[Trenes Corridos]]+Tabla10[[#This Row],[Coches por Tren Día Hábil]]*Tabla10[[#This Row],[Trenes Corridos]])/SARM[[#This Row],[Trenes Corridos]]</f>
        <v>0</v>
      </c>
      <c r="H39" s="16">
        <v>7343</v>
      </c>
      <c r="I39" s="16">
        <f t="shared" si="0"/>
        <v>30</v>
      </c>
      <c r="J39" s="16">
        <v>7313</v>
      </c>
      <c r="K39" s="16">
        <v>7003</v>
      </c>
      <c r="L39" s="16">
        <f t="shared" si="1"/>
        <v>310</v>
      </c>
      <c r="M39" s="16"/>
      <c r="N39" s="17"/>
      <c r="O39" s="96">
        <v>1995</v>
      </c>
      <c r="P39" s="97" t="s">
        <v>45</v>
      </c>
      <c r="Q39" s="41"/>
      <c r="R39" s="41"/>
      <c r="S39" s="41"/>
      <c r="T39" s="16"/>
      <c r="U39" s="16"/>
      <c r="V39" s="16"/>
      <c r="W39" s="16"/>
      <c r="X39" s="69">
        <f>(SUM(X$134:X$149)/16)/(SUM($J$134:$J$149)/16)*SARM[[#This Row],[Trenes Corridos]]</f>
        <v>5800.6955637322963</v>
      </c>
      <c r="Y39" s="16"/>
      <c r="Z39" s="16"/>
      <c r="AA39" s="16"/>
      <c r="AB39" s="17"/>
      <c r="AC39" s="96">
        <v>1995</v>
      </c>
      <c r="AD39" s="97" t="s">
        <v>45</v>
      </c>
      <c r="AE39" s="41"/>
      <c r="AF39" s="41"/>
      <c r="AG39" s="41"/>
      <c r="AH39" s="16"/>
      <c r="AI39" s="16"/>
      <c r="AJ39" s="16"/>
      <c r="AK39" s="16"/>
      <c r="AL39" s="69">
        <f>(SUM(AL$134:AL$149)/16)/(SUM($J$134:$J$149)/16)*SARM[[#This Row],[Trenes Corridos]]</f>
        <v>672.35531102471532</v>
      </c>
      <c r="AM39" s="16"/>
      <c r="AN39" s="16"/>
      <c r="AO39" s="16"/>
      <c r="AP39" s="17"/>
      <c r="AQ39" s="96">
        <v>1995</v>
      </c>
      <c r="AR39" s="97" t="s">
        <v>45</v>
      </c>
      <c r="AS39" s="41"/>
      <c r="AT39" s="41"/>
      <c r="AU39" s="41"/>
      <c r="AV39" s="16"/>
      <c r="AW39" s="16"/>
      <c r="AX39" s="16"/>
      <c r="AY39" s="16"/>
      <c r="AZ39" s="69">
        <f>(SUM(AZ$134:AZ$149)/16)/(SUM($J$134:$J$149)/16)*SARM[[#This Row],[Trenes Corridos]]</f>
        <v>839.94912524298798</v>
      </c>
      <c r="BA39" s="16"/>
      <c r="BB39" s="16"/>
    </row>
    <row r="40" spans="1:54" s="18" customFormat="1" ht="15" customHeight="1">
      <c r="A40" s="94">
        <v>1995</v>
      </c>
      <c r="B40" s="95" t="s">
        <v>46</v>
      </c>
      <c r="C40" s="15">
        <f t="shared" si="2"/>
        <v>0.96493150684931506</v>
      </c>
      <c r="D40" s="15">
        <f t="shared" si="3"/>
        <v>0.96864686468646866</v>
      </c>
      <c r="E40" s="15">
        <f t="shared" si="4"/>
        <v>0.99616438356164383</v>
      </c>
      <c r="F40" s="16">
        <f>+Tabla2[[#This Row],[Trenes Programados por Día Hábil]]+Tabla9[[#This Row],[Trenes Programados por Día Hábil]]+Tabla10[[#This Row],[Trenes Programados por Día Hábil]]</f>
        <v>0</v>
      </c>
      <c r="G40" s="33">
        <f>+(Tabla2[[#This Row],[Coches por Tren Día Hábil]]*Tabla2[[#This Row],[Trenes Corridos]]+Tabla9[[#This Row],[Coches por Tren Día Hábil]]*Tabla9[[#This Row],[Trenes Corridos]]+Tabla10[[#This Row],[Coches por Tren Día Hábil]]*Tabla10[[#This Row],[Trenes Corridos]])/SARM[[#This Row],[Trenes Corridos]]</f>
        <v>0</v>
      </c>
      <c r="H40" s="16">
        <v>7300</v>
      </c>
      <c r="I40" s="16">
        <f t="shared" si="0"/>
        <v>28</v>
      </c>
      <c r="J40" s="16">
        <v>7272</v>
      </c>
      <c r="K40" s="16">
        <v>7044</v>
      </c>
      <c r="L40" s="16">
        <f t="shared" si="1"/>
        <v>228</v>
      </c>
      <c r="M40" s="16"/>
      <c r="N40" s="17"/>
      <c r="O40" s="94">
        <v>1995</v>
      </c>
      <c r="P40" s="95" t="s">
        <v>46</v>
      </c>
      <c r="Q40" s="41"/>
      <c r="R40" s="41"/>
      <c r="S40" s="41"/>
      <c r="T40" s="16"/>
      <c r="U40" s="16"/>
      <c r="V40" s="16"/>
      <c r="W40" s="16"/>
      <c r="X40" s="69">
        <f>(SUM(X$134:X$149)/16)/(SUM($J$134:$J$149)/16)*SARM[[#This Row],[Trenes Corridos]]</f>
        <v>5768.1742293807274</v>
      </c>
      <c r="Y40" s="16"/>
      <c r="Z40" s="16"/>
      <c r="AA40" s="16"/>
      <c r="AB40" s="17"/>
      <c r="AC40" s="94">
        <v>1995</v>
      </c>
      <c r="AD40" s="95" t="s">
        <v>46</v>
      </c>
      <c r="AE40" s="41"/>
      <c r="AF40" s="41"/>
      <c r="AG40" s="41"/>
      <c r="AH40" s="16"/>
      <c r="AI40" s="16"/>
      <c r="AJ40" s="16"/>
      <c r="AK40" s="16"/>
      <c r="AL40" s="69">
        <f>(SUM(AL$134:AL$149)/16)/(SUM($J$134:$J$149)/16)*SARM[[#This Row],[Trenes Corridos]]</f>
        <v>668.5857817272979</v>
      </c>
      <c r="AM40" s="16"/>
      <c r="AN40" s="16"/>
      <c r="AO40" s="16"/>
      <c r="AP40" s="17"/>
      <c r="AQ40" s="94">
        <v>1995</v>
      </c>
      <c r="AR40" s="95" t="s">
        <v>46</v>
      </c>
      <c r="AS40" s="41"/>
      <c r="AT40" s="41"/>
      <c r="AU40" s="41"/>
      <c r="AV40" s="16"/>
      <c r="AW40" s="16"/>
      <c r="AX40" s="16"/>
      <c r="AY40" s="16"/>
      <c r="AZ40" s="69">
        <f>(SUM(AZ$134:AZ$149)/16)/(SUM($J$134:$J$149)/16)*SARM[[#This Row],[Trenes Corridos]]</f>
        <v>835.23998889197446</v>
      </c>
      <c r="BA40" s="16"/>
      <c r="BB40" s="16"/>
    </row>
    <row r="41" spans="1:54" s="18" customFormat="1" ht="15" customHeight="1">
      <c r="A41" s="96">
        <v>1995</v>
      </c>
      <c r="B41" s="97" t="s">
        <v>47</v>
      </c>
      <c r="C41" s="15">
        <f t="shared" si="2"/>
        <v>0.94907778668805132</v>
      </c>
      <c r="D41" s="15">
        <f t="shared" si="3"/>
        <v>0.95533431992466034</v>
      </c>
      <c r="E41" s="15">
        <f t="shared" si="4"/>
        <v>0.99345094894413255</v>
      </c>
      <c r="F41" s="16">
        <f>+Tabla2[[#This Row],[Trenes Programados por Día Hábil]]+Tabla9[[#This Row],[Trenes Programados por Día Hábil]]+Tabla10[[#This Row],[Trenes Programados por Día Hábil]]</f>
        <v>0</v>
      </c>
      <c r="G41" s="33">
        <f>+(Tabla2[[#This Row],[Coches por Tren Día Hábil]]*Tabla2[[#This Row],[Trenes Corridos]]+Tabla9[[#This Row],[Coches por Tren Día Hábil]]*Tabla9[[#This Row],[Trenes Corridos]]+Tabla10[[#This Row],[Coches por Tren Día Hábil]]*Tabla10[[#This Row],[Trenes Corridos]])/SARM[[#This Row],[Trenes Corridos]]</f>
        <v>0</v>
      </c>
      <c r="H41" s="16">
        <v>7482</v>
      </c>
      <c r="I41" s="16">
        <f t="shared" si="0"/>
        <v>49</v>
      </c>
      <c r="J41" s="16">
        <v>7433</v>
      </c>
      <c r="K41" s="16">
        <v>7101</v>
      </c>
      <c r="L41" s="16">
        <f t="shared" si="1"/>
        <v>332</v>
      </c>
      <c r="M41" s="16"/>
      <c r="N41" s="17"/>
      <c r="O41" s="96">
        <v>1995</v>
      </c>
      <c r="P41" s="97" t="s">
        <v>47</v>
      </c>
      <c r="Q41" s="41"/>
      <c r="R41" s="41"/>
      <c r="S41" s="41"/>
      <c r="T41" s="16"/>
      <c r="U41" s="16"/>
      <c r="V41" s="16"/>
      <c r="W41" s="16"/>
      <c r="X41" s="69">
        <f>(SUM(X$134:X$149)/16)/(SUM($J$134:$J$149)/16)*SARM[[#This Row],[Trenes Corridos]]</f>
        <v>5895.8799569564007</v>
      </c>
      <c r="Y41" s="16"/>
      <c r="Z41" s="16"/>
      <c r="AA41" s="16"/>
      <c r="AB41" s="17"/>
      <c r="AC41" s="96">
        <v>1995</v>
      </c>
      <c r="AD41" s="97" t="s">
        <v>47</v>
      </c>
      <c r="AE41" s="41"/>
      <c r="AF41" s="41"/>
      <c r="AG41" s="41"/>
      <c r="AH41" s="16"/>
      <c r="AI41" s="16"/>
      <c r="AJ41" s="16"/>
      <c r="AK41" s="16"/>
      <c r="AL41" s="69">
        <f>(SUM(AL$134:AL$149)/16)/(SUM($J$134:$J$149)/16)*SARM[[#This Row],[Trenes Corridos]]</f>
        <v>683.38807970008327</v>
      </c>
      <c r="AM41" s="16"/>
      <c r="AN41" s="16"/>
      <c r="AO41" s="16"/>
      <c r="AP41" s="17"/>
      <c r="AQ41" s="96">
        <v>1995</v>
      </c>
      <c r="AR41" s="97" t="s">
        <v>47</v>
      </c>
      <c r="AS41" s="41"/>
      <c r="AT41" s="41"/>
      <c r="AU41" s="41"/>
      <c r="AV41" s="16"/>
      <c r="AW41" s="16"/>
      <c r="AX41" s="16"/>
      <c r="AY41" s="16"/>
      <c r="AZ41" s="69">
        <f>(SUM(AZ$134:AZ$149)/16)/(SUM($J$134:$J$149)/16)*SARM[[#This Row],[Trenes Corridos]]</f>
        <v>853.73196334351564</v>
      </c>
      <c r="BA41" s="16"/>
      <c r="BB41" s="16"/>
    </row>
    <row r="42" spans="1:54" s="18" customFormat="1" ht="15" customHeight="1">
      <c r="A42" s="94">
        <v>1996</v>
      </c>
      <c r="B42" s="95" t="s">
        <v>36</v>
      </c>
      <c r="C42" s="15">
        <f t="shared" si="2"/>
        <v>0.97290703646635845</v>
      </c>
      <c r="D42" s="15">
        <f t="shared" si="3"/>
        <v>0.97856128115717422</v>
      </c>
      <c r="E42" s="15">
        <f t="shared" si="4"/>
        <v>0.99422187981510013</v>
      </c>
      <c r="F42" s="16">
        <f>+Tabla2[[#This Row],[Trenes Programados por Día Hábil]]+Tabla9[[#This Row],[Trenes Programados por Día Hábil]]+Tabla10[[#This Row],[Trenes Programados por Día Hábil]]</f>
        <v>0</v>
      </c>
      <c r="G42" s="33">
        <f>+(Tabla2[[#This Row],[Coches por Tren Día Hábil]]*Tabla2[[#This Row],[Trenes Corridos]]+Tabla9[[#This Row],[Coches por Tren Día Hábil]]*Tabla9[[#This Row],[Trenes Corridos]]+Tabla10[[#This Row],[Coches por Tren Día Hábil]]*Tabla10[[#This Row],[Trenes Corridos]])/SARM[[#This Row],[Trenes Corridos]]</f>
        <v>0</v>
      </c>
      <c r="H42" s="16">
        <f>6102+1686</f>
        <v>7788</v>
      </c>
      <c r="I42" s="16">
        <f t="shared" si="0"/>
        <v>45</v>
      </c>
      <c r="J42" s="16">
        <f>6074+1669</f>
        <v>7743</v>
      </c>
      <c r="K42" s="16">
        <f>5962+1615</f>
        <v>7577</v>
      </c>
      <c r="L42" s="16">
        <f t="shared" si="1"/>
        <v>166</v>
      </c>
      <c r="M42" s="16"/>
      <c r="N42" s="17"/>
      <c r="O42" s="94">
        <v>1996</v>
      </c>
      <c r="P42" s="95" t="s">
        <v>36</v>
      </c>
      <c r="Q42" s="41"/>
      <c r="R42" s="41"/>
      <c r="S42" s="41"/>
      <c r="T42" s="16"/>
      <c r="U42" s="16"/>
      <c r="V42" s="16"/>
      <c r="W42" s="16"/>
      <c r="X42" s="69">
        <f>(SUM(X$134:X$149)/16)/(SUM($J$134:$J$149)/16)*SARM[[#This Row],[Trenes Corridos]]</f>
        <v>6141.7729727853375</v>
      </c>
      <c r="Y42" s="16"/>
      <c r="Z42" s="16"/>
      <c r="AA42" s="16"/>
      <c r="AB42" s="17"/>
      <c r="AC42" s="94">
        <v>1996</v>
      </c>
      <c r="AD42" s="95" t="s">
        <v>36</v>
      </c>
      <c r="AE42" s="41"/>
      <c r="AF42" s="41"/>
      <c r="AG42" s="41"/>
      <c r="AH42" s="16"/>
      <c r="AI42" s="16"/>
      <c r="AJ42" s="16"/>
      <c r="AK42" s="16"/>
      <c r="AL42" s="69">
        <f>(SUM(AL$134:AL$149)/16)/(SUM($J$134:$J$149)/16)*SARM[[#This Row],[Trenes Corridos]]</f>
        <v>711.8893987781172</v>
      </c>
      <c r="AM42" s="16"/>
      <c r="AN42" s="16"/>
      <c r="AO42" s="16"/>
      <c r="AP42" s="17"/>
      <c r="AQ42" s="94">
        <v>1996</v>
      </c>
      <c r="AR42" s="95" t="s">
        <v>36</v>
      </c>
      <c r="AS42" s="41"/>
      <c r="AT42" s="41"/>
      <c r="AU42" s="41"/>
      <c r="AV42" s="16"/>
      <c r="AW42" s="16"/>
      <c r="AX42" s="16"/>
      <c r="AY42" s="16"/>
      <c r="AZ42" s="69">
        <f>(SUM(AZ$134:AZ$149)/16)/(SUM($J$134:$J$149)/16)*SARM[[#This Row],[Trenes Corridos]]</f>
        <v>889.3376284365454</v>
      </c>
      <c r="BA42" s="16"/>
      <c r="BB42" s="16"/>
    </row>
    <row r="43" spans="1:54" s="18" customFormat="1" ht="15" customHeight="1">
      <c r="A43" s="96">
        <v>1996</v>
      </c>
      <c r="B43" s="97" t="s">
        <v>37</v>
      </c>
      <c r="C43" s="15">
        <f t="shared" si="2"/>
        <v>0.96062992125984248</v>
      </c>
      <c r="D43" s="15">
        <f t="shared" si="3"/>
        <v>0.9671951886276654</v>
      </c>
      <c r="E43" s="15">
        <f t="shared" si="4"/>
        <v>0.99321205538962798</v>
      </c>
      <c r="F43" s="16">
        <f>+Tabla2[[#This Row],[Trenes Programados por Día Hábil]]+Tabla9[[#This Row],[Trenes Programados por Día Hábil]]+Tabla10[[#This Row],[Trenes Programados por Día Hábil]]</f>
        <v>0</v>
      </c>
      <c r="G43" s="33">
        <f>+(Tabla2[[#This Row],[Coches por Tren Día Hábil]]*Tabla2[[#This Row],[Trenes Corridos]]+Tabla9[[#This Row],[Coches por Tren Día Hábil]]*Tabla9[[#This Row],[Trenes Corridos]]+Tabla10[[#This Row],[Coches por Tren Día Hábil]]*Tabla10[[#This Row],[Trenes Corridos]])/SARM[[#This Row],[Trenes Corridos]]</f>
        <v>0</v>
      </c>
      <c r="H43" s="16">
        <v>7366</v>
      </c>
      <c r="I43" s="16">
        <f t="shared" si="0"/>
        <v>50</v>
      </c>
      <c r="J43" s="16">
        <v>7316</v>
      </c>
      <c r="K43" s="16">
        <v>7076</v>
      </c>
      <c r="L43" s="16">
        <f t="shared" si="1"/>
        <v>240</v>
      </c>
      <c r="M43" s="16"/>
      <c r="N43" s="17"/>
      <c r="O43" s="96">
        <v>1996</v>
      </c>
      <c r="P43" s="97" t="s">
        <v>37</v>
      </c>
      <c r="Q43" s="41"/>
      <c r="R43" s="41"/>
      <c r="S43" s="41"/>
      <c r="T43" s="16"/>
      <c r="U43" s="16"/>
      <c r="V43" s="16"/>
      <c r="W43" s="16"/>
      <c r="X43" s="69">
        <f>(SUM(X$134:X$149)/16)/(SUM($J$134:$J$149)/16)*SARM[[#This Row],[Trenes Corridos]]</f>
        <v>5803.0751735628992</v>
      </c>
      <c r="Y43" s="16"/>
      <c r="Z43" s="16"/>
      <c r="AA43" s="16"/>
      <c r="AB43" s="17"/>
      <c r="AC43" s="96">
        <v>1996</v>
      </c>
      <c r="AD43" s="97" t="s">
        <v>37</v>
      </c>
      <c r="AE43" s="41"/>
      <c r="AF43" s="41"/>
      <c r="AG43" s="41"/>
      <c r="AH43" s="16"/>
      <c r="AI43" s="16"/>
      <c r="AJ43" s="16"/>
      <c r="AK43" s="16"/>
      <c r="AL43" s="69">
        <f>(SUM(AL$134:AL$149)/16)/(SUM($J$134:$J$149)/16)*SARM[[#This Row],[Trenes Corridos]]</f>
        <v>672.63113024159952</v>
      </c>
      <c r="AM43" s="16"/>
      <c r="AN43" s="16"/>
      <c r="AO43" s="16"/>
      <c r="AP43" s="17"/>
      <c r="AQ43" s="96">
        <v>1996</v>
      </c>
      <c r="AR43" s="97" t="s">
        <v>37</v>
      </c>
      <c r="AS43" s="41"/>
      <c r="AT43" s="41"/>
      <c r="AU43" s="41"/>
      <c r="AV43" s="16"/>
      <c r="AW43" s="16"/>
      <c r="AX43" s="16"/>
      <c r="AY43" s="16"/>
      <c r="AZ43" s="69">
        <f>(SUM(AZ$134:AZ$149)/16)/(SUM($J$134:$J$149)/16)*SARM[[#This Row],[Trenes Corridos]]</f>
        <v>840.29369619550118</v>
      </c>
      <c r="BA43" s="16"/>
      <c r="BB43" s="16"/>
    </row>
    <row r="44" spans="1:54" s="18" customFormat="1" ht="15" customHeight="1">
      <c r="A44" s="94">
        <v>1996</v>
      </c>
      <c r="B44" s="95" t="s">
        <v>38</v>
      </c>
      <c r="C44" s="15">
        <f t="shared" si="2"/>
        <v>0.96463603510583373</v>
      </c>
      <c r="D44" s="15">
        <f t="shared" si="3"/>
        <v>0.96926468681104916</v>
      </c>
      <c r="E44" s="15">
        <f t="shared" si="4"/>
        <v>0.99522457408363452</v>
      </c>
      <c r="F44" s="16">
        <f>+Tabla2[[#This Row],[Trenes Programados por Día Hábil]]+Tabla9[[#This Row],[Trenes Programados por Día Hábil]]+Tabla10[[#This Row],[Trenes Programados por Día Hábil]]</f>
        <v>0</v>
      </c>
      <c r="G44" s="33">
        <f>+(Tabla2[[#This Row],[Coches por Tren Día Hábil]]*Tabla2[[#This Row],[Trenes Corridos]]+Tabla9[[#This Row],[Coches por Tren Día Hábil]]*Tabla9[[#This Row],[Trenes Corridos]]+Tabla10[[#This Row],[Coches por Tren Día Hábil]]*Tabla10[[#This Row],[Trenes Corridos]])/SARM[[#This Row],[Trenes Corridos]]</f>
        <v>0</v>
      </c>
      <c r="H44" s="16">
        <v>7748</v>
      </c>
      <c r="I44" s="16">
        <f t="shared" si="0"/>
        <v>37</v>
      </c>
      <c r="J44" s="16">
        <v>7711</v>
      </c>
      <c r="K44" s="16">
        <v>7474</v>
      </c>
      <c r="L44" s="16">
        <f t="shared" si="1"/>
        <v>237</v>
      </c>
      <c r="M44" s="16"/>
      <c r="N44" s="17"/>
      <c r="O44" s="94">
        <v>1996</v>
      </c>
      <c r="P44" s="95" t="s">
        <v>38</v>
      </c>
      <c r="Q44" s="41"/>
      <c r="R44" s="41"/>
      <c r="S44" s="41"/>
      <c r="T44" s="16"/>
      <c r="U44" s="16"/>
      <c r="V44" s="16"/>
      <c r="W44" s="16"/>
      <c r="X44" s="69">
        <f>(SUM(X$134:X$149)/16)/(SUM($J$134:$J$149)/16)*SARM[[#This Row],[Trenes Corridos]]</f>
        <v>6116.3904679255756</v>
      </c>
      <c r="Y44" s="16"/>
      <c r="Z44" s="16"/>
      <c r="AA44" s="16"/>
      <c r="AB44" s="17"/>
      <c r="AC44" s="94">
        <v>1996</v>
      </c>
      <c r="AD44" s="95" t="s">
        <v>38</v>
      </c>
      <c r="AE44" s="41"/>
      <c r="AF44" s="41"/>
      <c r="AG44" s="41"/>
      <c r="AH44" s="16"/>
      <c r="AI44" s="16"/>
      <c r="AJ44" s="16"/>
      <c r="AK44" s="16"/>
      <c r="AL44" s="69">
        <f>(SUM(AL$134:AL$149)/16)/(SUM($J$134:$J$149)/16)*SARM[[#This Row],[Trenes Corridos]]</f>
        <v>708.94732713135238</v>
      </c>
      <c r="AM44" s="16"/>
      <c r="AN44" s="16"/>
      <c r="AO44" s="16"/>
      <c r="AP44" s="17"/>
      <c r="AQ44" s="94">
        <v>1996</v>
      </c>
      <c r="AR44" s="95" t="s">
        <v>38</v>
      </c>
      <c r="AS44" s="41"/>
      <c r="AT44" s="41"/>
      <c r="AU44" s="41"/>
      <c r="AV44" s="16"/>
      <c r="AW44" s="16"/>
      <c r="AX44" s="16"/>
      <c r="AY44" s="16"/>
      <c r="AZ44" s="69">
        <f>(SUM(AZ$134:AZ$149)/16)/(SUM($J$134:$J$149)/16)*SARM[[#This Row],[Trenes Corridos]]</f>
        <v>885.66220494307129</v>
      </c>
      <c r="BA44" s="16"/>
      <c r="BB44" s="16"/>
    </row>
    <row r="45" spans="1:54" s="18" customFormat="1" ht="15" customHeight="1">
      <c r="A45" s="96">
        <v>1996</v>
      </c>
      <c r="B45" s="97" t="s">
        <v>39</v>
      </c>
      <c r="C45" s="15">
        <f t="shared" si="2"/>
        <v>0.97017707362534944</v>
      </c>
      <c r="D45" s="15">
        <f t="shared" si="3"/>
        <v>0.97328703085347934</v>
      </c>
      <c r="E45" s="15">
        <f t="shared" si="4"/>
        <v>0.99680468645985887</v>
      </c>
      <c r="F45" s="16">
        <f>+Tabla2[[#This Row],[Trenes Programados por Día Hábil]]+Tabla9[[#This Row],[Trenes Programados por Día Hábil]]+Tabla10[[#This Row],[Trenes Programados por Día Hábil]]</f>
        <v>0</v>
      </c>
      <c r="G45" s="33">
        <f>+(Tabla2[[#This Row],[Coches por Tren Día Hábil]]*Tabla2[[#This Row],[Trenes Corridos]]+Tabla9[[#This Row],[Coches por Tren Día Hábil]]*Tabla9[[#This Row],[Trenes Corridos]]+Tabla10[[#This Row],[Coches por Tren Día Hábil]]*Tabla10[[#This Row],[Trenes Corridos]])/SARM[[#This Row],[Trenes Corridos]]</f>
        <v>0</v>
      </c>
      <c r="H45" s="16">
        <v>7511</v>
      </c>
      <c r="I45" s="16">
        <f t="shared" si="0"/>
        <v>24</v>
      </c>
      <c r="J45" s="16">
        <v>7487</v>
      </c>
      <c r="K45" s="16">
        <v>7287</v>
      </c>
      <c r="L45" s="16">
        <f t="shared" si="1"/>
        <v>200</v>
      </c>
      <c r="M45" s="16"/>
      <c r="N45" s="17"/>
      <c r="O45" s="96">
        <v>1996</v>
      </c>
      <c r="P45" s="97" t="s">
        <v>39</v>
      </c>
      <c r="Q45" s="41"/>
      <c r="R45" s="41"/>
      <c r="S45" s="41"/>
      <c r="T45" s="16"/>
      <c r="U45" s="16"/>
      <c r="V45" s="16"/>
      <c r="W45" s="16"/>
      <c r="X45" s="69">
        <f>(SUM(X$134:X$149)/16)/(SUM($J$134:$J$149)/16)*SARM[[#This Row],[Trenes Corridos]]</f>
        <v>5938.712933907248</v>
      </c>
      <c r="Y45" s="16"/>
      <c r="Z45" s="16"/>
      <c r="AA45" s="16"/>
      <c r="AB45" s="17"/>
      <c r="AC45" s="96">
        <v>1996</v>
      </c>
      <c r="AD45" s="97" t="s">
        <v>39</v>
      </c>
      <c r="AE45" s="41"/>
      <c r="AF45" s="41"/>
      <c r="AG45" s="41"/>
      <c r="AH45" s="16"/>
      <c r="AI45" s="16"/>
      <c r="AJ45" s="16"/>
      <c r="AK45" s="16"/>
      <c r="AL45" s="69">
        <f>(SUM(AL$134:AL$149)/16)/(SUM($J$134:$J$149)/16)*SARM[[#This Row],[Trenes Corridos]]</f>
        <v>688.35282560399889</v>
      </c>
      <c r="AM45" s="16"/>
      <c r="AN45" s="16"/>
      <c r="AO45" s="16"/>
      <c r="AP45" s="17"/>
      <c r="AQ45" s="96">
        <v>1996</v>
      </c>
      <c r="AR45" s="97" t="s">
        <v>39</v>
      </c>
      <c r="AS45" s="41"/>
      <c r="AT45" s="41"/>
      <c r="AU45" s="41"/>
      <c r="AV45" s="16"/>
      <c r="AW45" s="16"/>
      <c r="AX45" s="16"/>
      <c r="AY45" s="16"/>
      <c r="AZ45" s="69">
        <f>(SUM(AZ$134:AZ$149)/16)/(SUM($J$134:$J$149)/16)*SARM[[#This Row],[Trenes Corridos]]</f>
        <v>859.93424048875306</v>
      </c>
      <c r="BA45" s="16"/>
      <c r="BB45" s="16"/>
    </row>
    <row r="46" spans="1:54" s="18" customFormat="1" ht="15" customHeight="1">
      <c r="A46" s="94">
        <v>1996</v>
      </c>
      <c r="B46" s="95" t="s">
        <v>40</v>
      </c>
      <c r="C46" s="15">
        <f t="shared" si="2"/>
        <v>0.9367285955567104</v>
      </c>
      <c r="D46" s="15">
        <f t="shared" si="3"/>
        <v>0.94186806009144353</v>
      </c>
      <c r="E46" s="15">
        <f t="shared" si="4"/>
        <v>0.99454332856957262</v>
      </c>
      <c r="F46" s="16">
        <f>+Tabla2[[#This Row],[Trenes Programados por Día Hábil]]+Tabla9[[#This Row],[Trenes Programados por Día Hábil]]+Tabla10[[#This Row],[Trenes Programados por Día Hábil]]</f>
        <v>0</v>
      </c>
      <c r="G46" s="33">
        <f>+(Tabla2[[#This Row],[Coches por Tren Día Hábil]]*Tabla2[[#This Row],[Trenes Corridos]]+Tabla9[[#This Row],[Coches por Tren Día Hábil]]*Tabla9[[#This Row],[Trenes Corridos]]+Tabla10[[#This Row],[Coches por Tren Día Hábil]]*Tabla10[[#This Row],[Trenes Corridos]])/SARM[[#This Row],[Trenes Corridos]]</f>
        <v>0</v>
      </c>
      <c r="H46" s="16">
        <v>7697</v>
      </c>
      <c r="I46" s="16">
        <f t="shared" si="0"/>
        <v>42</v>
      </c>
      <c r="J46" s="16">
        <v>7655</v>
      </c>
      <c r="K46" s="16">
        <v>7210</v>
      </c>
      <c r="L46" s="16">
        <f t="shared" si="1"/>
        <v>445</v>
      </c>
      <c r="M46" s="16"/>
      <c r="N46" s="17"/>
      <c r="O46" s="94">
        <v>1996</v>
      </c>
      <c r="P46" s="95" t="s">
        <v>40</v>
      </c>
      <c r="Q46" s="41"/>
      <c r="R46" s="41"/>
      <c r="S46" s="41"/>
      <c r="T46" s="16"/>
      <c r="U46" s="16"/>
      <c r="V46" s="16"/>
      <c r="W46" s="16"/>
      <c r="X46" s="69">
        <f>(SUM(X$134:X$149)/16)/(SUM($J$134:$J$149)/16)*SARM[[#This Row],[Trenes Corridos]]</f>
        <v>6071.971084420994</v>
      </c>
      <c r="Y46" s="16"/>
      <c r="Z46" s="16"/>
      <c r="AA46" s="16"/>
      <c r="AB46" s="17"/>
      <c r="AC46" s="94">
        <v>1996</v>
      </c>
      <c r="AD46" s="95" t="s">
        <v>40</v>
      </c>
      <c r="AE46" s="41"/>
      <c r="AF46" s="41"/>
      <c r="AG46" s="41"/>
      <c r="AH46" s="16"/>
      <c r="AI46" s="16"/>
      <c r="AJ46" s="16"/>
      <c r="AK46" s="16"/>
      <c r="AL46" s="69">
        <f>(SUM(AL$134:AL$149)/16)/(SUM($J$134:$J$149)/16)*SARM[[#This Row],[Trenes Corridos]]</f>
        <v>703.79870174951395</v>
      </c>
      <c r="AM46" s="16"/>
      <c r="AN46" s="16"/>
      <c r="AO46" s="16"/>
      <c r="AP46" s="17"/>
      <c r="AQ46" s="94">
        <v>1996</v>
      </c>
      <c r="AR46" s="95" t="s">
        <v>40</v>
      </c>
      <c r="AS46" s="41"/>
      <c r="AT46" s="41"/>
      <c r="AU46" s="41"/>
      <c r="AV46" s="16"/>
      <c r="AW46" s="16"/>
      <c r="AX46" s="16"/>
      <c r="AY46" s="16"/>
      <c r="AZ46" s="69">
        <f>(SUM(AZ$134:AZ$149)/16)/(SUM($J$134:$J$149)/16)*SARM[[#This Row],[Trenes Corridos]]</f>
        <v>879.23021382949173</v>
      </c>
      <c r="BA46" s="16"/>
      <c r="BB46" s="16"/>
    </row>
    <row r="47" spans="1:54" s="18" customFormat="1" ht="15" customHeight="1">
      <c r="A47" s="96">
        <v>1996</v>
      </c>
      <c r="B47" s="97" t="s">
        <v>41</v>
      </c>
      <c r="C47" s="15">
        <f t="shared" si="2"/>
        <v>0.9494882360760335</v>
      </c>
      <c r="D47" s="15">
        <f t="shared" si="3"/>
        <v>0.96020970560559216</v>
      </c>
      <c r="E47" s="15">
        <f t="shared" si="4"/>
        <v>0.98883424165891265</v>
      </c>
      <c r="F47" s="16">
        <f>+Tabla2[[#This Row],[Trenes Programados por Día Hábil]]+Tabla9[[#This Row],[Trenes Programados por Día Hábil]]+Tabla10[[#This Row],[Trenes Programados por Día Hábil]]</f>
        <v>0</v>
      </c>
      <c r="G47" s="33">
        <f>+(Tabla2[[#This Row],[Coches por Tren Día Hábil]]*Tabla2[[#This Row],[Trenes Corridos]]+Tabla9[[#This Row],[Coches por Tren Día Hábil]]*Tabla9[[#This Row],[Trenes Corridos]]+Tabla10[[#This Row],[Coches por Tren Día Hábil]]*Tabla10[[#This Row],[Trenes Corridos]])/SARM[[#This Row],[Trenes Corridos]]</f>
        <v>0</v>
      </c>
      <c r="H47" s="16">
        <v>7523</v>
      </c>
      <c r="I47" s="16">
        <f t="shared" si="0"/>
        <v>84</v>
      </c>
      <c r="J47" s="16">
        <v>7439</v>
      </c>
      <c r="K47" s="16">
        <v>7143</v>
      </c>
      <c r="L47" s="16">
        <f t="shared" si="1"/>
        <v>296</v>
      </c>
      <c r="M47" s="16"/>
      <c r="N47" s="17"/>
      <c r="O47" s="96">
        <v>1996</v>
      </c>
      <c r="P47" s="97" t="s">
        <v>41</v>
      </c>
      <c r="Q47" s="41"/>
      <c r="R47" s="41"/>
      <c r="S47" s="41"/>
      <c r="T47" s="16"/>
      <c r="U47" s="16"/>
      <c r="V47" s="16"/>
      <c r="W47" s="16"/>
      <c r="X47" s="69">
        <f>(SUM(X$134:X$149)/16)/(SUM($J$134:$J$149)/16)*SARM[[#This Row],[Trenes Corridos]]</f>
        <v>5900.6391766176057</v>
      </c>
      <c r="Y47" s="16"/>
      <c r="Z47" s="16"/>
      <c r="AA47" s="16"/>
      <c r="AB47" s="17"/>
      <c r="AC47" s="96">
        <v>1996</v>
      </c>
      <c r="AD47" s="97" t="s">
        <v>41</v>
      </c>
      <c r="AE47" s="41"/>
      <c r="AF47" s="41"/>
      <c r="AG47" s="41"/>
      <c r="AH47" s="16"/>
      <c r="AI47" s="16"/>
      <c r="AJ47" s="16"/>
      <c r="AK47" s="16"/>
      <c r="AL47" s="69">
        <f>(SUM(AL$134:AL$149)/16)/(SUM($J$134:$J$149)/16)*SARM[[#This Row],[Trenes Corridos]]</f>
        <v>683.93971813385167</v>
      </c>
      <c r="AM47" s="16"/>
      <c r="AN47" s="16"/>
      <c r="AO47" s="16"/>
      <c r="AP47" s="17"/>
      <c r="AQ47" s="96">
        <v>1996</v>
      </c>
      <c r="AR47" s="97" t="s">
        <v>41</v>
      </c>
      <c r="AS47" s="41"/>
      <c r="AT47" s="41"/>
      <c r="AU47" s="41"/>
      <c r="AV47" s="16"/>
      <c r="AW47" s="16"/>
      <c r="AX47" s="16"/>
      <c r="AY47" s="16"/>
      <c r="AZ47" s="69">
        <f>(SUM(AZ$134:AZ$149)/16)/(SUM($J$134:$J$149)/16)*SARM[[#This Row],[Trenes Corridos]]</f>
        <v>854.42110524854206</v>
      </c>
      <c r="BA47" s="16"/>
      <c r="BB47" s="16"/>
    </row>
    <row r="48" spans="1:54" s="18" customFormat="1" ht="15" customHeight="1">
      <c r="A48" s="94">
        <v>1996</v>
      </c>
      <c r="B48" s="95" t="s">
        <v>42</v>
      </c>
      <c r="C48" s="15">
        <f t="shared" si="2"/>
        <v>0.94228356336260977</v>
      </c>
      <c r="D48" s="15">
        <f t="shared" si="3"/>
        <v>0.95172811059907836</v>
      </c>
      <c r="E48" s="15">
        <f t="shared" si="4"/>
        <v>0.99007642294969778</v>
      </c>
      <c r="F48" s="16">
        <f>+Tabla2[[#This Row],[Trenes Programados por Día Hábil]]+Tabla9[[#This Row],[Trenes Programados por Día Hábil]]+Tabla10[[#This Row],[Trenes Programados por Día Hábil]]</f>
        <v>0</v>
      </c>
      <c r="G48" s="33">
        <f>+(Tabla2[[#This Row],[Coches por Tren Día Hábil]]*Tabla2[[#This Row],[Trenes Corridos]]+Tabla9[[#This Row],[Coches por Tren Día Hábil]]*Tabla9[[#This Row],[Trenes Corridos]]+Tabla10[[#This Row],[Coches por Tren Día Hábil]]*Tabla10[[#This Row],[Trenes Corridos]])/SARM[[#This Row],[Trenes Corridos]]</f>
        <v>0</v>
      </c>
      <c r="H48" s="16">
        <v>8767</v>
      </c>
      <c r="I48" s="16">
        <f t="shared" si="0"/>
        <v>87</v>
      </c>
      <c r="J48" s="16">
        <v>8680</v>
      </c>
      <c r="K48" s="16">
        <v>8261</v>
      </c>
      <c r="L48" s="16">
        <f t="shared" si="1"/>
        <v>419</v>
      </c>
      <c r="M48" s="16"/>
      <c r="N48" s="17"/>
      <c r="O48" s="94">
        <v>1996</v>
      </c>
      <c r="P48" s="95" t="s">
        <v>42</v>
      </c>
      <c r="Q48" s="41"/>
      <c r="R48" s="41"/>
      <c r="S48" s="41"/>
      <c r="T48" s="16"/>
      <c r="U48" s="16"/>
      <c r="V48" s="16"/>
      <c r="W48" s="16"/>
      <c r="X48" s="69">
        <f>(SUM(X$134:X$149)/16)/(SUM($J$134:$J$149)/16)*SARM[[#This Row],[Trenes Corridos]]</f>
        <v>6885.0044432102195</v>
      </c>
      <c r="Y48" s="16"/>
      <c r="Z48" s="16"/>
      <c r="AA48" s="16"/>
      <c r="AB48" s="17"/>
      <c r="AC48" s="94">
        <v>1996</v>
      </c>
      <c r="AD48" s="95" t="s">
        <v>42</v>
      </c>
      <c r="AE48" s="41"/>
      <c r="AF48" s="41"/>
      <c r="AG48" s="41"/>
      <c r="AH48" s="16"/>
      <c r="AI48" s="16"/>
      <c r="AJ48" s="16"/>
      <c r="AK48" s="16"/>
      <c r="AL48" s="69">
        <f>(SUM(AL$134:AL$149)/16)/(SUM($J$134:$J$149)/16)*SARM[[#This Row],[Trenes Corridos]]</f>
        <v>798.03693418494856</v>
      </c>
      <c r="AM48" s="16"/>
      <c r="AN48" s="16"/>
      <c r="AO48" s="16"/>
      <c r="AP48" s="17"/>
      <c r="AQ48" s="94">
        <v>1996</v>
      </c>
      <c r="AR48" s="95" t="s">
        <v>42</v>
      </c>
      <c r="AS48" s="41"/>
      <c r="AT48" s="41"/>
      <c r="AU48" s="41"/>
      <c r="AV48" s="16"/>
      <c r="AW48" s="16"/>
      <c r="AX48" s="16"/>
      <c r="AY48" s="16"/>
      <c r="AZ48" s="69">
        <f>(SUM(AZ$134:AZ$149)/16)/(SUM($J$134:$J$149)/16)*SARM[[#This Row],[Trenes Corridos]]</f>
        <v>996.95862260483193</v>
      </c>
      <c r="BA48" s="16"/>
      <c r="BB48" s="16"/>
    </row>
    <row r="49" spans="1:54" s="18" customFormat="1" ht="15" customHeight="1">
      <c r="A49" s="96">
        <v>1996</v>
      </c>
      <c r="B49" s="97" t="s">
        <v>43</v>
      </c>
      <c r="C49" s="15">
        <f t="shared" si="2"/>
        <v>0.93432017543859647</v>
      </c>
      <c r="D49" s="15">
        <f t="shared" si="3"/>
        <v>0.96631889317305508</v>
      </c>
      <c r="E49" s="15">
        <f t="shared" si="4"/>
        <v>0.96688596491228074</v>
      </c>
      <c r="F49" s="16">
        <f>+Tabla2[[#This Row],[Trenes Programados por Día Hábil]]+Tabla9[[#This Row],[Trenes Programados por Día Hábil]]+Tabla10[[#This Row],[Trenes Programados por Día Hábil]]</f>
        <v>0</v>
      </c>
      <c r="G49" s="33">
        <f>+(Tabla2[[#This Row],[Coches por Tren Día Hábil]]*Tabla2[[#This Row],[Trenes Corridos]]+Tabla9[[#This Row],[Coches por Tren Día Hábil]]*Tabla9[[#This Row],[Trenes Corridos]]+Tabla10[[#This Row],[Coches por Tren Día Hábil]]*Tabla10[[#This Row],[Trenes Corridos]])/SARM[[#This Row],[Trenes Corridos]]</f>
        <v>0</v>
      </c>
      <c r="H49" s="16">
        <v>9120</v>
      </c>
      <c r="I49" s="16">
        <f t="shared" si="0"/>
        <v>302</v>
      </c>
      <c r="J49" s="16">
        <v>8818</v>
      </c>
      <c r="K49" s="16">
        <v>8521</v>
      </c>
      <c r="L49" s="16">
        <f t="shared" si="1"/>
        <v>297</v>
      </c>
      <c r="M49" s="16"/>
      <c r="N49" s="17"/>
      <c r="O49" s="96">
        <v>1996</v>
      </c>
      <c r="P49" s="97" t="s">
        <v>43</v>
      </c>
      <c r="Q49" s="41"/>
      <c r="R49" s="41"/>
      <c r="S49" s="41"/>
      <c r="T49" s="16"/>
      <c r="U49" s="16"/>
      <c r="V49" s="16"/>
      <c r="W49" s="16"/>
      <c r="X49" s="69">
        <f>(SUM(X$134:X$149)/16)/(SUM($J$134:$J$149)/16)*SARM[[#This Row],[Trenes Corridos]]</f>
        <v>6994.4664954179389</v>
      </c>
      <c r="Y49" s="16"/>
      <c r="Z49" s="16"/>
      <c r="AA49" s="16"/>
      <c r="AB49" s="17"/>
      <c r="AC49" s="96">
        <v>1996</v>
      </c>
      <c r="AD49" s="97" t="s">
        <v>43</v>
      </c>
      <c r="AE49" s="41"/>
      <c r="AF49" s="41"/>
      <c r="AG49" s="41"/>
      <c r="AH49" s="16"/>
      <c r="AI49" s="16"/>
      <c r="AJ49" s="16"/>
      <c r="AK49" s="16"/>
      <c r="AL49" s="69">
        <f>(SUM(AL$134:AL$149)/16)/(SUM($J$134:$J$149)/16)*SARM[[#This Row],[Trenes Corridos]]</f>
        <v>810.72461816162172</v>
      </c>
      <c r="AM49" s="16"/>
      <c r="AN49" s="16"/>
      <c r="AO49" s="16"/>
      <c r="AP49" s="17"/>
      <c r="AQ49" s="96">
        <v>1996</v>
      </c>
      <c r="AR49" s="97" t="s">
        <v>43</v>
      </c>
      <c r="AS49" s="41"/>
      <c r="AT49" s="41"/>
      <c r="AU49" s="41"/>
      <c r="AV49" s="16"/>
      <c r="AW49" s="16"/>
      <c r="AX49" s="16"/>
      <c r="AY49" s="16"/>
      <c r="AZ49" s="69">
        <f>(SUM(AZ$134:AZ$149)/16)/(SUM($J$134:$J$149)/16)*SARM[[#This Row],[Trenes Corridos]]</f>
        <v>1012.8088864204387</v>
      </c>
      <c r="BA49" s="16"/>
      <c r="BB49" s="16"/>
    </row>
    <row r="50" spans="1:54" s="18" customFormat="1" ht="15" customHeight="1">
      <c r="A50" s="94">
        <v>1996</v>
      </c>
      <c r="B50" s="95" t="s">
        <v>44</v>
      </c>
      <c r="C50" s="15">
        <f t="shared" si="2"/>
        <v>0.94790960451977402</v>
      </c>
      <c r="D50" s="15">
        <f t="shared" si="3"/>
        <v>0.96926632004621605</v>
      </c>
      <c r="E50" s="15">
        <f t="shared" si="4"/>
        <v>0.97796610169491527</v>
      </c>
      <c r="F50" s="16">
        <f>+Tabla2[[#This Row],[Trenes Programados por Día Hábil]]+Tabla9[[#This Row],[Trenes Programados por Día Hábil]]+Tabla10[[#This Row],[Trenes Programados por Día Hábil]]</f>
        <v>0</v>
      </c>
      <c r="G50" s="33">
        <f>+(Tabla2[[#This Row],[Coches por Tren Día Hábil]]*Tabla2[[#This Row],[Trenes Corridos]]+Tabla9[[#This Row],[Coches por Tren Día Hábil]]*Tabla9[[#This Row],[Trenes Corridos]]+Tabla10[[#This Row],[Coches por Tren Día Hábil]]*Tabla10[[#This Row],[Trenes Corridos]])/SARM[[#This Row],[Trenes Corridos]]</f>
        <v>0</v>
      </c>
      <c r="H50" s="16">
        <v>8850</v>
      </c>
      <c r="I50" s="16">
        <f t="shared" si="0"/>
        <v>195</v>
      </c>
      <c r="J50" s="16">
        <v>8655</v>
      </c>
      <c r="K50" s="16">
        <v>8389</v>
      </c>
      <c r="L50" s="16">
        <f t="shared" si="1"/>
        <v>266</v>
      </c>
      <c r="M50" s="16"/>
      <c r="N50" s="17"/>
      <c r="O50" s="94">
        <v>1996</v>
      </c>
      <c r="P50" s="95" t="s">
        <v>44</v>
      </c>
      <c r="Q50" s="41"/>
      <c r="R50" s="41"/>
      <c r="S50" s="41"/>
      <c r="T50" s="16"/>
      <c r="U50" s="16"/>
      <c r="V50" s="16"/>
      <c r="W50" s="16"/>
      <c r="X50" s="69">
        <f>(SUM(X$134:X$149)/16)/(SUM($J$134:$J$149)/16)*SARM[[#This Row],[Trenes Corridos]]</f>
        <v>6865.1743612885311</v>
      </c>
      <c r="Y50" s="16"/>
      <c r="Z50" s="16"/>
      <c r="AA50" s="16"/>
      <c r="AB50" s="17"/>
      <c r="AC50" s="94">
        <v>1996</v>
      </c>
      <c r="AD50" s="95" t="s">
        <v>44</v>
      </c>
      <c r="AE50" s="41"/>
      <c r="AF50" s="41"/>
      <c r="AG50" s="41"/>
      <c r="AH50" s="16"/>
      <c r="AI50" s="16"/>
      <c r="AJ50" s="16"/>
      <c r="AK50" s="16"/>
      <c r="AL50" s="69">
        <f>(SUM(AL$134:AL$149)/16)/(SUM($J$134:$J$149)/16)*SARM[[#This Row],[Trenes Corridos]]</f>
        <v>795.73844071091355</v>
      </c>
      <c r="AM50" s="16"/>
      <c r="AN50" s="16"/>
      <c r="AO50" s="16"/>
      <c r="AP50" s="17"/>
      <c r="AQ50" s="94">
        <v>1996</v>
      </c>
      <c r="AR50" s="95" t="s">
        <v>44</v>
      </c>
      <c r="AS50" s="41"/>
      <c r="AT50" s="41"/>
      <c r="AU50" s="41"/>
      <c r="AV50" s="16"/>
      <c r="AW50" s="16"/>
      <c r="AX50" s="16"/>
      <c r="AY50" s="16"/>
      <c r="AZ50" s="69">
        <f>(SUM(AZ$134:AZ$149)/16)/(SUM($J$134:$J$149)/16)*SARM[[#This Row],[Trenes Corridos]]</f>
        <v>994.08719800055542</v>
      </c>
      <c r="BA50" s="16"/>
      <c r="BB50" s="16"/>
    </row>
    <row r="51" spans="1:54" s="18" customFormat="1" ht="15" customHeight="1">
      <c r="A51" s="96">
        <v>1996</v>
      </c>
      <c r="B51" s="97" t="s">
        <v>45</v>
      </c>
      <c r="C51" s="15">
        <f t="shared" si="2"/>
        <v>0.93051948051948052</v>
      </c>
      <c r="D51" s="15">
        <f t="shared" si="3"/>
        <v>0.96911632100991885</v>
      </c>
      <c r="E51" s="15">
        <f t="shared" si="4"/>
        <v>0.96017316017316012</v>
      </c>
      <c r="F51" s="16">
        <f>+Tabla2[[#This Row],[Trenes Programados por Día Hábil]]+Tabla9[[#This Row],[Trenes Programados por Día Hábil]]+Tabla10[[#This Row],[Trenes Programados por Día Hábil]]</f>
        <v>0</v>
      </c>
      <c r="G51" s="33">
        <f>+(Tabla2[[#This Row],[Coches por Tren Día Hábil]]*Tabla2[[#This Row],[Trenes Corridos]]+Tabla9[[#This Row],[Coches por Tren Día Hábil]]*Tabla9[[#This Row],[Trenes Corridos]]+Tabla10[[#This Row],[Coches por Tren Día Hábil]]*Tabla10[[#This Row],[Trenes Corridos]])/SARM[[#This Row],[Trenes Corridos]]</f>
        <v>0</v>
      </c>
      <c r="H51" s="16">
        <v>9240</v>
      </c>
      <c r="I51" s="16">
        <f t="shared" si="0"/>
        <v>368</v>
      </c>
      <c r="J51" s="16">
        <v>8872</v>
      </c>
      <c r="K51" s="16">
        <v>8598</v>
      </c>
      <c r="L51" s="16">
        <f t="shared" si="1"/>
        <v>274</v>
      </c>
      <c r="M51" s="16"/>
      <c r="N51" s="17"/>
      <c r="O51" s="96">
        <v>1996</v>
      </c>
      <c r="P51" s="97" t="s">
        <v>45</v>
      </c>
      <c r="Q51" s="41"/>
      <c r="R51" s="41"/>
      <c r="S51" s="41"/>
      <c r="T51" s="16"/>
      <c r="U51" s="16"/>
      <c r="V51" s="16"/>
      <c r="W51" s="16"/>
      <c r="X51" s="69">
        <f>(SUM(X$134:X$149)/16)/(SUM($J$134:$J$149)/16)*SARM[[#This Row],[Trenes Corridos]]</f>
        <v>7037.2994723687862</v>
      </c>
      <c r="Y51" s="16"/>
      <c r="Z51" s="16"/>
      <c r="AA51" s="16"/>
      <c r="AB51" s="17"/>
      <c r="AC51" s="96">
        <v>1996</v>
      </c>
      <c r="AD51" s="97" t="s">
        <v>45</v>
      </c>
      <c r="AE51" s="41"/>
      <c r="AF51" s="41"/>
      <c r="AG51" s="41"/>
      <c r="AH51" s="16"/>
      <c r="AI51" s="16"/>
      <c r="AJ51" s="16"/>
      <c r="AK51" s="16"/>
      <c r="AL51" s="69">
        <f>(SUM(AL$134:AL$149)/16)/(SUM($J$134:$J$149)/16)*SARM[[#This Row],[Trenes Corridos]]</f>
        <v>815.68936406553735</v>
      </c>
      <c r="AM51" s="16"/>
      <c r="AN51" s="16"/>
      <c r="AO51" s="16"/>
      <c r="AP51" s="17"/>
      <c r="AQ51" s="96">
        <v>1996</v>
      </c>
      <c r="AR51" s="97" t="s">
        <v>45</v>
      </c>
      <c r="AS51" s="41"/>
      <c r="AT51" s="41"/>
      <c r="AU51" s="41"/>
      <c r="AV51" s="16"/>
      <c r="AW51" s="16"/>
      <c r="AX51" s="16"/>
      <c r="AY51" s="16"/>
      <c r="AZ51" s="69">
        <f>(SUM(AZ$134:AZ$149)/16)/(SUM($J$134:$J$149)/16)*SARM[[#This Row],[Trenes Corridos]]</f>
        <v>1019.0111635656762</v>
      </c>
      <c r="BA51" s="16"/>
      <c r="BB51" s="16"/>
    </row>
    <row r="52" spans="1:54" s="18" customFormat="1" ht="15" customHeight="1">
      <c r="A52" s="94">
        <v>1996</v>
      </c>
      <c r="B52" s="95" t="s">
        <v>46</v>
      </c>
      <c r="C52" s="15">
        <f t="shared" si="2"/>
        <v>0.96235660986746852</v>
      </c>
      <c r="D52" s="15">
        <f t="shared" si="3"/>
        <v>0.96731221314228144</v>
      </c>
      <c r="E52" s="15">
        <f t="shared" si="4"/>
        <v>0.99487693507072061</v>
      </c>
      <c r="F52" s="16">
        <f>+Tabla2[[#This Row],[Trenes Programados por Día Hábil]]+Tabla9[[#This Row],[Trenes Programados por Día Hábil]]+Tabla10[[#This Row],[Trenes Programados por Día Hábil]]</f>
        <v>0</v>
      </c>
      <c r="G52" s="33">
        <f>+(Tabla2[[#This Row],[Coches por Tren Día Hábil]]*Tabla2[[#This Row],[Trenes Corridos]]+Tabla9[[#This Row],[Coches por Tren Día Hábil]]*Tabla9[[#This Row],[Trenes Corridos]]+Tabla10[[#This Row],[Coches por Tren Día Hábil]]*Tabla10[[#This Row],[Trenes Corridos]])/SARM[[#This Row],[Trenes Corridos]]</f>
        <v>0</v>
      </c>
      <c r="H52" s="16">
        <v>8979</v>
      </c>
      <c r="I52" s="16">
        <f t="shared" si="0"/>
        <v>46</v>
      </c>
      <c r="J52" s="16">
        <v>8933</v>
      </c>
      <c r="K52" s="16">
        <v>8641</v>
      </c>
      <c r="L52" s="16">
        <f t="shared" si="1"/>
        <v>292</v>
      </c>
      <c r="M52" s="16"/>
      <c r="N52" s="17"/>
      <c r="O52" s="94">
        <v>1996</v>
      </c>
      <c r="P52" s="95" t="s">
        <v>46</v>
      </c>
      <c r="Q52" s="41"/>
      <c r="R52" s="41"/>
      <c r="S52" s="41"/>
      <c r="T52" s="16"/>
      <c r="U52" s="16"/>
      <c r="V52" s="16"/>
      <c r="W52" s="16"/>
      <c r="X52" s="69">
        <f>(SUM(X$134:X$149)/16)/(SUM($J$134:$J$149)/16)*SARM[[#This Row],[Trenes Corridos]]</f>
        <v>7085.684872257706</v>
      </c>
      <c r="Y52" s="16"/>
      <c r="Z52" s="16"/>
      <c r="AA52" s="16"/>
      <c r="AB52" s="17"/>
      <c r="AC52" s="94">
        <v>1996</v>
      </c>
      <c r="AD52" s="95" t="s">
        <v>46</v>
      </c>
      <c r="AE52" s="41"/>
      <c r="AF52" s="41"/>
      <c r="AG52" s="41"/>
      <c r="AH52" s="16"/>
      <c r="AI52" s="16"/>
      <c r="AJ52" s="16"/>
      <c r="AK52" s="16"/>
      <c r="AL52" s="69">
        <f>(SUM(AL$134:AL$149)/16)/(SUM($J$134:$J$149)/16)*SARM[[#This Row],[Trenes Corridos]]</f>
        <v>821.29768814218266</v>
      </c>
      <c r="AM52" s="16"/>
      <c r="AN52" s="16"/>
      <c r="AO52" s="16"/>
      <c r="AP52" s="17"/>
      <c r="AQ52" s="94">
        <v>1996</v>
      </c>
      <c r="AR52" s="95" t="s">
        <v>46</v>
      </c>
      <c r="AS52" s="41"/>
      <c r="AT52" s="41"/>
      <c r="AU52" s="41"/>
      <c r="AV52" s="16"/>
      <c r="AW52" s="16"/>
      <c r="AX52" s="16"/>
      <c r="AY52" s="16"/>
      <c r="AZ52" s="69">
        <f>(SUM(AZ$134:AZ$149)/16)/(SUM($J$134:$J$149)/16)*SARM[[#This Row],[Trenes Corridos]]</f>
        <v>1026.0174396001109</v>
      </c>
      <c r="BA52" s="16"/>
      <c r="BB52" s="16"/>
    </row>
    <row r="53" spans="1:54" s="18" customFormat="1" ht="15" customHeight="1">
      <c r="A53" s="96">
        <v>1996</v>
      </c>
      <c r="B53" s="97" t="s">
        <v>47</v>
      </c>
      <c r="C53" s="15">
        <f t="shared" si="2"/>
        <v>0.90083962163885645</v>
      </c>
      <c r="D53" s="15">
        <f t="shared" si="3"/>
        <v>0.9648264086511098</v>
      </c>
      <c r="E53" s="15">
        <f t="shared" si="4"/>
        <v>0.93368051865235413</v>
      </c>
      <c r="F53" s="16">
        <f>+Tabla2[[#This Row],[Trenes Programados por Día Hábil]]+Tabla9[[#This Row],[Trenes Programados por Día Hábil]]+Tabla10[[#This Row],[Trenes Programados por Día Hábil]]</f>
        <v>0</v>
      </c>
      <c r="G53" s="33">
        <f>+(Tabla2[[#This Row],[Coches por Tren Día Hábil]]*Tabla2[[#This Row],[Trenes Corridos]]+Tabla9[[#This Row],[Coches por Tren Día Hábil]]*Tabla9[[#This Row],[Trenes Corridos]]+Tabla10[[#This Row],[Coches por Tren Día Hábil]]*Tabla10[[#This Row],[Trenes Corridos]])/SARM[[#This Row],[Trenes Corridos]]</f>
        <v>0</v>
      </c>
      <c r="H53" s="16">
        <v>9409</v>
      </c>
      <c r="I53" s="16">
        <f t="shared" si="0"/>
        <v>624</v>
      </c>
      <c r="J53" s="16">
        <v>8785</v>
      </c>
      <c r="K53" s="16">
        <v>8476</v>
      </c>
      <c r="L53" s="16">
        <f t="shared" si="1"/>
        <v>309</v>
      </c>
      <c r="M53" s="16"/>
      <c r="N53" s="17"/>
      <c r="O53" s="96">
        <v>1996</v>
      </c>
      <c r="P53" s="97" t="s">
        <v>47</v>
      </c>
      <c r="Q53" s="41"/>
      <c r="R53" s="41"/>
      <c r="S53" s="41"/>
      <c r="T53" s="16"/>
      <c r="U53" s="16"/>
      <c r="V53" s="16"/>
      <c r="W53" s="16"/>
      <c r="X53" s="69">
        <f>(SUM(X$134:X$149)/16)/(SUM($J$134:$J$149)/16)*SARM[[#This Row],[Trenes Corridos]]</f>
        <v>6968.2907872813103</v>
      </c>
      <c r="Y53" s="16"/>
      <c r="Z53" s="16"/>
      <c r="AA53" s="16"/>
      <c r="AB53" s="17"/>
      <c r="AC53" s="96">
        <v>1996</v>
      </c>
      <c r="AD53" s="97" t="s">
        <v>47</v>
      </c>
      <c r="AE53" s="41"/>
      <c r="AF53" s="41"/>
      <c r="AG53" s="41"/>
      <c r="AH53" s="16"/>
      <c r="AI53" s="16"/>
      <c r="AJ53" s="16"/>
      <c r="AK53" s="16"/>
      <c r="AL53" s="69">
        <f>(SUM(AL$134:AL$149)/16)/(SUM($J$134:$J$149)/16)*SARM[[#This Row],[Trenes Corridos]]</f>
        <v>807.6906067758955</v>
      </c>
      <c r="AM53" s="16"/>
      <c r="AN53" s="16"/>
      <c r="AO53" s="16"/>
      <c r="AP53" s="17"/>
      <c r="AQ53" s="96">
        <v>1996</v>
      </c>
      <c r="AR53" s="97" t="s">
        <v>47</v>
      </c>
      <c r="AS53" s="41"/>
      <c r="AT53" s="41"/>
      <c r="AU53" s="41"/>
      <c r="AV53" s="16"/>
      <c r="AW53" s="16"/>
      <c r="AX53" s="16"/>
      <c r="AY53" s="16"/>
      <c r="AZ53" s="69">
        <f>(SUM(AZ$134:AZ$149)/16)/(SUM($J$134:$J$149)/16)*SARM[[#This Row],[Trenes Corridos]]</f>
        <v>1009.0186059427937</v>
      </c>
      <c r="BA53" s="16"/>
      <c r="BB53" s="16"/>
    </row>
    <row r="54" spans="1:54" s="18" customFormat="1" ht="15" customHeight="1">
      <c r="A54" s="94">
        <v>1997</v>
      </c>
      <c r="B54" s="95" t="s">
        <v>36</v>
      </c>
      <c r="C54" s="15">
        <f t="shared" si="2"/>
        <v>0.96184403094292281</v>
      </c>
      <c r="D54" s="15">
        <f t="shared" si="3"/>
        <v>0.97138935810810811</v>
      </c>
      <c r="E54" s="15">
        <f t="shared" si="4"/>
        <v>0.99017353125653351</v>
      </c>
      <c r="F54" s="16">
        <f>+Tabla2[[#This Row],[Trenes Programados por Día Hábil]]+Tabla9[[#This Row],[Trenes Programados por Día Hábil]]+Tabla10[[#This Row],[Trenes Programados por Día Hábil]]</f>
        <v>0</v>
      </c>
      <c r="G54" s="33">
        <f>+(Tabla2[[#This Row],[Coches por Tren Día Hábil]]*Tabla2[[#This Row],[Trenes Corridos]]+Tabla9[[#This Row],[Coches por Tren Día Hábil]]*Tabla9[[#This Row],[Trenes Corridos]]+Tabla10[[#This Row],[Coches por Tren Día Hábil]]*Tabla10[[#This Row],[Trenes Corridos]])/SARM[[#This Row],[Trenes Corridos]]</f>
        <v>0</v>
      </c>
      <c r="H54" s="16">
        <v>9566</v>
      </c>
      <c r="I54" s="16">
        <f t="shared" si="0"/>
        <v>94</v>
      </c>
      <c r="J54" s="16">
        <v>9472</v>
      </c>
      <c r="K54" s="16">
        <v>9201</v>
      </c>
      <c r="L54" s="16">
        <f t="shared" si="1"/>
        <v>271</v>
      </c>
      <c r="M54" s="16"/>
      <c r="N54" s="17"/>
      <c r="O54" s="94">
        <v>1997</v>
      </c>
      <c r="P54" s="95" t="s">
        <v>36</v>
      </c>
      <c r="Q54" s="41"/>
      <c r="R54" s="41"/>
      <c r="S54" s="41"/>
      <c r="T54" s="16"/>
      <c r="U54" s="16"/>
      <c r="V54" s="16"/>
      <c r="W54" s="16"/>
      <c r="X54" s="69">
        <f>(SUM(X$134:X$149)/16)/(SUM($J$134:$J$149)/16)*SARM[[#This Row],[Trenes Corridos]]</f>
        <v>7513.2214384893086</v>
      </c>
      <c r="Y54" s="16"/>
      <c r="Z54" s="16"/>
      <c r="AA54" s="16"/>
      <c r="AB54" s="17"/>
      <c r="AC54" s="94">
        <v>1997</v>
      </c>
      <c r="AD54" s="95" t="s">
        <v>36</v>
      </c>
      <c r="AE54" s="41"/>
      <c r="AF54" s="41"/>
      <c r="AG54" s="41"/>
      <c r="AH54" s="16"/>
      <c r="AI54" s="16"/>
      <c r="AJ54" s="16"/>
      <c r="AK54" s="16"/>
      <c r="AL54" s="69">
        <f>(SUM(AL$134:AL$149)/16)/(SUM($J$134:$J$149)/16)*SARM[[#This Row],[Trenes Corridos]]</f>
        <v>870.85320744237708</v>
      </c>
      <c r="AM54" s="16"/>
      <c r="AN54" s="16"/>
      <c r="AO54" s="16"/>
      <c r="AP54" s="17"/>
      <c r="AQ54" s="94">
        <v>1997</v>
      </c>
      <c r="AR54" s="95" t="s">
        <v>36</v>
      </c>
      <c r="AS54" s="41"/>
      <c r="AT54" s="41"/>
      <c r="AU54" s="41"/>
      <c r="AV54" s="16"/>
      <c r="AW54" s="16"/>
      <c r="AX54" s="16"/>
      <c r="AY54" s="16"/>
      <c r="AZ54" s="69">
        <f>(SUM(AZ$134:AZ$149)/16)/(SUM($J$134:$J$149)/16)*SARM[[#This Row],[Trenes Corridos]]</f>
        <v>1087.9253540683144</v>
      </c>
      <c r="BA54" s="16"/>
      <c r="BB54" s="16"/>
    </row>
    <row r="55" spans="1:54" s="18" customFormat="1" ht="15" customHeight="1">
      <c r="A55" s="96">
        <v>1997</v>
      </c>
      <c r="B55" s="97" t="s">
        <v>37</v>
      </c>
      <c r="C55" s="15">
        <f t="shared" si="2"/>
        <v>0.9658620689655173</v>
      </c>
      <c r="D55" s="15">
        <f t="shared" si="3"/>
        <v>0.97144508670520235</v>
      </c>
      <c r="E55" s="15">
        <f t="shared" si="4"/>
        <v>0.99425287356321834</v>
      </c>
      <c r="F55" s="16">
        <f>+Tabla2[[#This Row],[Trenes Programados por Día Hábil]]+Tabla9[[#This Row],[Trenes Programados por Día Hábil]]+Tabla10[[#This Row],[Trenes Programados por Día Hábil]]</f>
        <v>0</v>
      </c>
      <c r="G55" s="33">
        <f>+(Tabla2[[#This Row],[Coches por Tren Día Hábil]]*Tabla2[[#This Row],[Trenes Corridos]]+Tabla9[[#This Row],[Coches por Tren Día Hábil]]*Tabla9[[#This Row],[Trenes Corridos]]+Tabla10[[#This Row],[Coches por Tren Día Hábil]]*Tabla10[[#This Row],[Trenes Corridos]])/SARM[[#This Row],[Trenes Corridos]]</f>
        <v>0</v>
      </c>
      <c r="H55" s="16">
        <v>8700</v>
      </c>
      <c r="I55" s="16">
        <f t="shared" si="0"/>
        <v>50</v>
      </c>
      <c r="J55" s="16">
        <v>8650</v>
      </c>
      <c r="K55" s="16">
        <v>8403</v>
      </c>
      <c r="L55" s="16">
        <f t="shared" si="1"/>
        <v>247</v>
      </c>
      <c r="M55" s="16"/>
      <c r="N55" s="17"/>
      <c r="O55" s="96">
        <v>1997</v>
      </c>
      <c r="P55" s="97" t="s">
        <v>37</v>
      </c>
      <c r="Q55" s="41"/>
      <c r="R55" s="41"/>
      <c r="S55" s="41"/>
      <c r="T55" s="16"/>
      <c r="U55" s="16"/>
      <c r="V55" s="16"/>
      <c r="W55" s="16"/>
      <c r="X55" s="69">
        <f>(SUM(X$134:X$149)/16)/(SUM($J$134:$J$149)/16)*SARM[[#This Row],[Trenes Corridos]]</f>
        <v>6861.2083449041929</v>
      </c>
      <c r="Y55" s="16"/>
      <c r="Z55" s="16"/>
      <c r="AA55" s="16"/>
      <c r="AB55" s="17"/>
      <c r="AC55" s="96">
        <v>1997</v>
      </c>
      <c r="AD55" s="97" t="s">
        <v>37</v>
      </c>
      <c r="AE55" s="41"/>
      <c r="AF55" s="41"/>
      <c r="AG55" s="41"/>
      <c r="AH55" s="16"/>
      <c r="AI55" s="16"/>
      <c r="AJ55" s="16"/>
      <c r="AK55" s="16"/>
      <c r="AL55" s="69">
        <f>(SUM(AL$134:AL$149)/16)/(SUM($J$134:$J$149)/16)*SARM[[#This Row],[Trenes Corridos]]</f>
        <v>795.27874201610655</v>
      </c>
      <c r="AM55" s="16"/>
      <c r="AN55" s="16"/>
      <c r="AO55" s="16"/>
      <c r="AP55" s="17"/>
      <c r="AQ55" s="96">
        <v>1997</v>
      </c>
      <c r="AR55" s="97" t="s">
        <v>37</v>
      </c>
      <c r="AS55" s="41"/>
      <c r="AT55" s="41"/>
      <c r="AU55" s="41"/>
      <c r="AV55" s="16"/>
      <c r="AW55" s="16"/>
      <c r="AX55" s="16"/>
      <c r="AY55" s="16"/>
      <c r="AZ55" s="69">
        <f>(SUM(AZ$134:AZ$149)/16)/(SUM($J$134:$J$149)/16)*SARM[[#This Row],[Trenes Corridos]]</f>
        <v>993.51291307970007</v>
      </c>
      <c r="BA55" s="16"/>
      <c r="BB55" s="16"/>
    </row>
    <row r="56" spans="1:54" s="18" customFormat="1" ht="15" customHeight="1">
      <c r="A56" s="94">
        <v>1997</v>
      </c>
      <c r="B56" s="95" t="s">
        <v>38</v>
      </c>
      <c r="C56" s="15">
        <f t="shared" si="2"/>
        <v>0.91989304812834227</v>
      </c>
      <c r="D56" s="15">
        <f t="shared" si="3"/>
        <v>0.92883369330453569</v>
      </c>
      <c r="E56" s="15">
        <f t="shared" si="4"/>
        <v>0.99037433155080212</v>
      </c>
      <c r="F56" s="16">
        <f>+Tabla2[[#This Row],[Trenes Programados por Día Hábil]]+Tabla9[[#This Row],[Trenes Programados por Día Hábil]]+Tabla10[[#This Row],[Trenes Programados por Día Hábil]]</f>
        <v>0</v>
      </c>
      <c r="G56" s="33">
        <f>+(Tabla2[[#This Row],[Coches por Tren Día Hábil]]*Tabla2[[#This Row],[Trenes Corridos]]+Tabla9[[#This Row],[Coches por Tren Día Hábil]]*Tabla9[[#This Row],[Trenes Corridos]]+Tabla10[[#This Row],[Coches por Tren Día Hábil]]*Tabla10[[#This Row],[Trenes Corridos]])/SARM[[#This Row],[Trenes Corridos]]</f>
        <v>0</v>
      </c>
      <c r="H56" s="16">
        <v>9350</v>
      </c>
      <c r="I56" s="16">
        <f t="shared" si="0"/>
        <v>90</v>
      </c>
      <c r="J56" s="16">
        <v>9260</v>
      </c>
      <c r="K56" s="16">
        <v>8601</v>
      </c>
      <c r="L56" s="16">
        <f t="shared" si="1"/>
        <v>659</v>
      </c>
      <c r="M56" s="16"/>
      <c r="N56" s="17"/>
      <c r="O56" s="94">
        <v>1997</v>
      </c>
      <c r="P56" s="95" t="s">
        <v>38</v>
      </c>
      <c r="Q56" s="41"/>
      <c r="R56" s="41"/>
      <c r="S56" s="41"/>
      <c r="T56" s="16"/>
      <c r="U56" s="16"/>
      <c r="V56" s="16"/>
      <c r="W56" s="16"/>
      <c r="X56" s="69">
        <f>(SUM(X$134:X$149)/16)/(SUM($J$134:$J$149)/16)*SARM[[#This Row],[Trenes Corridos]]</f>
        <v>7345.0623437933909</v>
      </c>
      <c r="Y56" s="16"/>
      <c r="Z56" s="16"/>
      <c r="AA56" s="16"/>
      <c r="AB56" s="17"/>
      <c r="AC56" s="94">
        <v>1997</v>
      </c>
      <c r="AD56" s="95" t="s">
        <v>38</v>
      </c>
      <c r="AE56" s="41"/>
      <c r="AF56" s="41"/>
      <c r="AG56" s="41"/>
      <c r="AH56" s="16"/>
      <c r="AI56" s="16"/>
      <c r="AJ56" s="16"/>
      <c r="AK56" s="16"/>
      <c r="AL56" s="69">
        <f>(SUM(AL$134:AL$149)/16)/(SUM($J$134:$J$149)/16)*SARM[[#This Row],[Trenes Corridos]]</f>
        <v>851.3619827825604</v>
      </c>
      <c r="AM56" s="16"/>
      <c r="AN56" s="16"/>
      <c r="AO56" s="16"/>
      <c r="AP56" s="17"/>
      <c r="AQ56" s="94">
        <v>1997</v>
      </c>
      <c r="AR56" s="95" t="s">
        <v>38</v>
      </c>
      <c r="AS56" s="41"/>
      <c r="AT56" s="41"/>
      <c r="AU56" s="41"/>
      <c r="AV56" s="16"/>
      <c r="AW56" s="16"/>
      <c r="AX56" s="16"/>
      <c r="AY56" s="16"/>
      <c r="AZ56" s="69">
        <f>(SUM(AZ$134:AZ$149)/16)/(SUM($J$134:$J$149)/16)*SARM[[#This Row],[Trenes Corridos]]</f>
        <v>1063.5756734240488</v>
      </c>
      <c r="BA56" s="16"/>
      <c r="BB56" s="16"/>
    </row>
    <row r="57" spans="1:54" s="18" customFormat="1" ht="15" customHeight="1">
      <c r="A57" s="96">
        <v>1997</v>
      </c>
      <c r="B57" s="97" t="s">
        <v>39</v>
      </c>
      <c r="C57" s="15">
        <f t="shared" si="2"/>
        <v>0.94804779176445486</v>
      </c>
      <c r="D57" s="15">
        <f t="shared" si="3"/>
        <v>0.95241667559747079</v>
      </c>
      <c r="E57" s="15">
        <f t="shared" si="4"/>
        <v>0.99541284403669728</v>
      </c>
      <c r="F57" s="16">
        <f>+Tabla2[[#This Row],[Trenes Programados por Día Hábil]]+Tabla9[[#This Row],[Trenes Programados por Día Hábil]]+Tabla10[[#This Row],[Trenes Programados por Día Hábil]]</f>
        <v>0</v>
      </c>
      <c r="G57" s="33">
        <f>+(Tabla2[[#This Row],[Coches por Tren Día Hábil]]*Tabla2[[#This Row],[Trenes Corridos]]+Tabla9[[#This Row],[Coches por Tren Día Hábil]]*Tabla9[[#This Row],[Trenes Corridos]]+Tabla10[[#This Row],[Coches por Tren Día Hábil]]*Tabla10[[#This Row],[Trenes Corridos]])/SARM[[#This Row],[Trenes Corridos]]</f>
        <v>0</v>
      </c>
      <c r="H57" s="16">
        <v>9374</v>
      </c>
      <c r="I57" s="16">
        <f t="shared" si="0"/>
        <v>43</v>
      </c>
      <c r="J57" s="16">
        <v>9331</v>
      </c>
      <c r="K57" s="16">
        <v>8887</v>
      </c>
      <c r="L57" s="16">
        <f t="shared" si="1"/>
        <v>444</v>
      </c>
      <c r="M57" s="16"/>
      <c r="N57" s="17"/>
      <c r="O57" s="96">
        <v>1997</v>
      </c>
      <c r="P57" s="97" t="s">
        <v>39</v>
      </c>
      <c r="Q57" s="41"/>
      <c r="R57" s="41"/>
      <c r="S57" s="41"/>
      <c r="T57" s="16"/>
      <c r="U57" s="16"/>
      <c r="V57" s="16"/>
      <c r="W57" s="16"/>
      <c r="X57" s="69">
        <f>(SUM(X$134:X$149)/16)/(SUM($J$134:$J$149)/16)*SARM[[#This Row],[Trenes Corridos]]</f>
        <v>7401.3797764509854</v>
      </c>
      <c r="Y57" s="16"/>
      <c r="Z57" s="16"/>
      <c r="AA57" s="16"/>
      <c r="AB57" s="17"/>
      <c r="AC57" s="96">
        <v>1997</v>
      </c>
      <c r="AD57" s="97" t="s">
        <v>39</v>
      </c>
      <c r="AE57" s="41"/>
      <c r="AF57" s="41"/>
      <c r="AG57" s="41"/>
      <c r="AH57" s="16"/>
      <c r="AI57" s="16"/>
      <c r="AJ57" s="16"/>
      <c r="AK57" s="16"/>
      <c r="AL57" s="69">
        <f>(SUM(AL$134:AL$149)/16)/(SUM($J$134:$J$149)/16)*SARM[[#This Row],[Trenes Corridos]]</f>
        <v>857.88970424881973</v>
      </c>
      <c r="AM57" s="16"/>
      <c r="AN57" s="16"/>
      <c r="AO57" s="16"/>
      <c r="AP57" s="17"/>
      <c r="AQ57" s="96">
        <v>1997</v>
      </c>
      <c r="AR57" s="97" t="s">
        <v>39</v>
      </c>
      <c r="AS57" s="41"/>
      <c r="AT57" s="41"/>
      <c r="AU57" s="41"/>
      <c r="AV57" s="16"/>
      <c r="AW57" s="16"/>
      <c r="AX57" s="16"/>
      <c r="AY57" s="16"/>
      <c r="AZ57" s="69">
        <f>(SUM(AZ$134:AZ$149)/16)/(SUM($J$134:$J$149)/16)*SARM[[#This Row],[Trenes Corridos]]</f>
        <v>1071.7305193001944</v>
      </c>
      <c r="BA57" s="16"/>
      <c r="BB57" s="16"/>
    </row>
    <row r="58" spans="1:54" s="18" customFormat="1" ht="15" customHeight="1">
      <c r="A58" s="94">
        <v>1997</v>
      </c>
      <c r="B58" s="95" t="s">
        <v>40</v>
      </c>
      <c r="C58" s="15">
        <f t="shared" si="2"/>
        <v>0.92782745923198318</v>
      </c>
      <c r="D58" s="15">
        <f t="shared" si="3"/>
        <v>0.93849100776843675</v>
      </c>
      <c r="E58" s="15">
        <f t="shared" si="4"/>
        <v>0.98863755917937923</v>
      </c>
      <c r="F58" s="16">
        <f>+Tabla2[[#This Row],[Trenes Programados por Día Hábil]]+Tabla9[[#This Row],[Trenes Programados por Día Hábil]]+Tabla10[[#This Row],[Trenes Programados por Día Hábil]]</f>
        <v>0</v>
      </c>
      <c r="G58" s="33">
        <f>+(Tabla2[[#This Row],[Coches por Tren Día Hábil]]*Tabla2[[#This Row],[Trenes Corridos]]+Tabla9[[#This Row],[Coches por Tren Día Hábil]]*Tabla9[[#This Row],[Trenes Corridos]]+Tabla10[[#This Row],[Coches por Tren Día Hábil]]*Tabla10[[#This Row],[Trenes Corridos]])/SARM[[#This Row],[Trenes Corridos]]</f>
        <v>0</v>
      </c>
      <c r="H58" s="16">
        <v>9505</v>
      </c>
      <c r="I58" s="16">
        <f t="shared" si="0"/>
        <v>108</v>
      </c>
      <c r="J58" s="16">
        <v>9397</v>
      </c>
      <c r="K58" s="16">
        <v>8819</v>
      </c>
      <c r="L58" s="16">
        <f t="shared" si="1"/>
        <v>578</v>
      </c>
      <c r="M58" s="16"/>
      <c r="N58" s="17"/>
      <c r="O58" s="94">
        <v>1997</v>
      </c>
      <c r="P58" s="95" t="s">
        <v>40</v>
      </c>
      <c r="Q58" s="41"/>
      <c r="R58" s="41"/>
      <c r="S58" s="41"/>
      <c r="T58" s="16"/>
      <c r="U58" s="16"/>
      <c r="V58" s="16"/>
      <c r="W58" s="16"/>
      <c r="X58" s="69">
        <f>(SUM(X$134:X$149)/16)/(SUM($J$134:$J$149)/16)*SARM[[#This Row],[Trenes Corridos]]</f>
        <v>7453.7311927242426</v>
      </c>
      <c r="Y58" s="16"/>
      <c r="Z58" s="16"/>
      <c r="AA58" s="16"/>
      <c r="AB58" s="17"/>
      <c r="AC58" s="94">
        <v>1997</v>
      </c>
      <c r="AD58" s="95" t="s">
        <v>40</v>
      </c>
      <c r="AE58" s="41"/>
      <c r="AF58" s="41"/>
      <c r="AG58" s="41"/>
      <c r="AH58" s="16"/>
      <c r="AI58" s="16"/>
      <c r="AJ58" s="16"/>
      <c r="AK58" s="16"/>
      <c r="AL58" s="69">
        <f>(SUM(AL$134:AL$149)/16)/(SUM($J$134:$J$149)/16)*SARM[[#This Row],[Trenes Corridos]]</f>
        <v>863.95772702027205</v>
      </c>
      <c r="AM58" s="16"/>
      <c r="AN58" s="16"/>
      <c r="AO58" s="16"/>
      <c r="AP58" s="17"/>
      <c r="AQ58" s="94">
        <v>1997</v>
      </c>
      <c r="AR58" s="95" t="s">
        <v>40</v>
      </c>
      <c r="AS58" s="41"/>
      <c r="AT58" s="41"/>
      <c r="AU58" s="41"/>
      <c r="AV58" s="16"/>
      <c r="AW58" s="16"/>
      <c r="AX58" s="16"/>
      <c r="AY58" s="16"/>
      <c r="AZ58" s="69">
        <f>(SUM(AZ$134:AZ$149)/16)/(SUM($J$134:$J$149)/16)*SARM[[#This Row],[Trenes Corridos]]</f>
        <v>1079.3110802554845</v>
      </c>
      <c r="BA58" s="16"/>
      <c r="BB58" s="16"/>
    </row>
    <row r="59" spans="1:54" s="18" customFormat="1" ht="15" customHeight="1">
      <c r="A59" s="96">
        <v>1997</v>
      </c>
      <c r="B59" s="97" t="s">
        <v>41</v>
      </c>
      <c r="C59" s="15">
        <f t="shared" si="2"/>
        <v>0.95737254072350331</v>
      </c>
      <c r="D59" s="15">
        <f t="shared" si="3"/>
        <v>0.96042020373514436</v>
      </c>
      <c r="E59" s="15">
        <f t="shared" si="4"/>
        <v>0.99682674000423099</v>
      </c>
      <c r="F59" s="16">
        <f>+Tabla2[[#This Row],[Trenes Programados por Día Hábil]]+Tabla9[[#This Row],[Trenes Programados por Día Hábil]]+Tabla10[[#This Row],[Trenes Programados por Día Hábil]]</f>
        <v>0</v>
      </c>
      <c r="G59" s="33">
        <f>+(Tabla2[[#This Row],[Coches por Tren Día Hábil]]*Tabla2[[#This Row],[Trenes Corridos]]+Tabla9[[#This Row],[Coches por Tren Día Hábil]]*Tabla9[[#This Row],[Trenes Corridos]]+Tabla10[[#This Row],[Coches por Tren Día Hábil]]*Tabla10[[#This Row],[Trenes Corridos]])/SARM[[#This Row],[Trenes Corridos]]</f>
        <v>0</v>
      </c>
      <c r="H59" s="16">
        <v>9454</v>
      </c>
      <c r="I59" s="16">
        <f t="shared" si="0"/>
        <v>30</v>
      </c>
      <c r="J59" s="16">
        <v>9424</v>
      </c>
      <c r="K59" s="16">
        <v>9051</v>
      </c>
      <c r="L59" s="16">
        <f t="shared" si="1"/>
        <v>373</v>
      </c>
      <c r="M59" s="16"/>
      <c r="N59" s="17"/>
      <c r="O59" s="96">
        <v>1997</v>
      </c>
      <c r="P59" s="97" t="s">
        <v>41</v>
      </c>
      <c r="Q59" s="41"/>
      <c r="R59" s="41"/>
      <c r="S59" s="41"/>
      <c r="T59" s="16"/>
      <c r="U59" s="16"/>
      <c r="V59" s="16"/>
      <c r="W59" s="16"/>
      <c r="X59" s="69">
        <f>(SUM(X$134:X$149)/16)/(SUM($J$134:$J$149)/16)*SARM[[#This Row],[Trenes Corridos]]</f>
        <v>7475.1476811996663</v>
      </c>
      <c r="Y59" s="16"/>
      <c r="Z59" s="16"/>
      <c r="AA59" s="16"/>
      <c r="AB59" s="17"/>
      <c r="AC59" s="96">
        <v>1997</v>
      </c>
      <c r="AD59" s="97" t="s">
        <v>41</v>
      </c>
      <c r="AE59" s="41"/>
      <c r="AF59" s="41"/>
      <c r="AG59" s="41"/>
      <c r="AH59" s="16"/>
      <c r="AI59" s="16"/>
      <c r="AJ59" s="16"/>
      <c r="AK59" s="16"/>
      <c r="AL59" s="69">
        <f>(SUM(AL$134:AL$149)/16)/(SUM($J$134:$J$149)/16)*SARM[[#This Row],[Trenes Corridos]]</f>
        <v>866.44009997222986</v>
      </c>
      <c r="AM59" s="16"/>
      <c r="AN59" s="16"/>
      <c r="AO59" s="16"/>
      <c r="AP59" s="17"/>
      <c r="AQ59" s="96">
        <v>1997</v>
      </c>
      <c r="AR59" s="97" t="s">
        <v>41</v>
      </c>
      <c r="AS59" s="41"/>
      <c r="AT59" s="41"/>
      <c r="AU59" s="41"/>
      <c r="AV59" s="16"/>
      <c r="AW59" s="16"/>
      <c r="AX59" s="16"/>
      <c r="AY59" s="16"/>
      <c r="AZ59" s="69">
        <f>(SUM(AZ$134:AZ$149)/16)/(SUM($J$134:$J$149)/16)*SARM[[#This Row],[Trenes Corridos]]</f>
        <v>1082.4122188281033</v>
      </c>
      <c r="BA59" s="16"/>
      <c r="BB59" s="16"/>
    </row>
    <row r="60" spans="1:54" s="18" customFormat="1" ht="15" customHeight="1">
      <c r="A60" s="94">
        <v>1997</v>
      </c>
      <c r="B60" s="95" t="s">
        <v>42</v>
      </c>
      <c r="C60" s="15">
        <f t="shared" si="2"/>
        <v>0.95023205292781676</v>
      </c>
      <c r="D60" s="15">
        <f t="shared" si="3"/>
        <v>0.95456799920642799</v>
      </c>
      <c r="E60" s="15">
        <f t="shared" si="4"/>
        <v>0.99545768737039597</v>
      </c>
      <c r="F60" s="16">
        <f>+Tabla2[[#This Row],[Trenes Programados por Día Hábil]]+Tabla9[[#This Row],[Trenes Programados por Día Hábil]]+Tabla10[[#This Row],[Trenes Programados por Día Hábil]]</f>
        <v>0</v>
      </c>
      <c r="G60" s="33">
        <f>+(Tabla2[[#This Row],[Coches por Tren Día Hábil]]*Tabla2[[#This Row],[Trenes Corridos]]+Tabla9[[#This Row],[Coches por Tren Día Hábil]]*Tabla9[[#This Row],[Trenes Corridos]]+Tabla10[[#This Row],[Coches por Tren Día Hábil]]*Tabla10[[#This Row],[Trenes Corridos]])/SARM[[#This Row],[Trenes Corridos]]</f>
        <v>0</v>
      </c>
      <c r="H60" s="16">
        <v>10127</v>
      </c>
      <c r="I60" s="16">
        <f t="shared" si="0"/>
        <v>46</v>
      </c>
      <c r="J60" s="16">
        <v>10081</v>
      </c>
      <c r="K60" s="16">
        <v>9623</v>
      </c>
      <c r="L60" s="16">
        <f t="shared" si="1"/>
        <v>458</v>
      </c>
      <c r="M60" s="16"/>
      <c r="N60" s="17"/>
      <c r="O60" s="94">
        <v>1997</v>
      </c>
      <c r="P60" s="95" t="s">
        <v>42</v>
      </c>
      <c r="Q60" s="41"/>
      <c r="R60" s="41"/>
      <c r="S60" s="41"/>
      <c r="T60" s="16"/>
      <c r="U60" s="16"/>
      <c r="V60" s="16"/>
      <c r="W60" s="16"/>
      <c r="X60" s="69">
        <f>(SUM(X$134:X$149)/16)/(SUM($J$134:$J$149)/16)*SARM[[#This Row],[Trenes Corridos]]</f>
        <v>7996.2822341016381</v>
      </c>
      <c r="Y60" s="16"/>
      <c r="Z60" s="16"/>
      <c r="AA60" s="16"/>
      <c r="AB60" s="17"/>
      <c r="AC60" s="94">
        <v>1997</v>
      </c>
      <c r="AD60" s="95" t="s">
        <v>42</v>
      </c>
      <c r="AE60" s="41"/>
      <c r="AF60" s="41"/>
      <c r="AG60" s="41"/>
      <c r="AH60" s="16"/>
      <c r="AI60" s="16"/>
      <c r="AJ60" s="16"/>
      <c r="AK60" s="16"/>
      <c r="AL60" s="69">
        <f>(SUM(AL$134:AL$149)/16)/(SUM($J$134:$J$149)/16)*SARM[[#This Row],[Trenes Corridos]]</f>
        <v>926.84450846986942</v>
      </c>
      <c r="AM60" s="16"/>
      <c r="AN60" s="16"/>
      <c r="AO60" s="16"/>
      <c r="AP60" s="17"/>
      <c r="AQ60" s="94">
        <v>1997</v>
      </c>
      <c r="AR60" s="95" t="s">
        <v>42</v>
      </c>
      <c r="AS60" s="41"/>
      <c r="AT60" s="41"/>
      <c r="AU60" s="41"/>
      <c r="AV60" s="16"/>
      <c r="AW60" s="16"/>
      <c r="AX60" s="16"/>
      <c r="AY60" s="16"/>
      <c r="AZ60" s="69">
        <f>(SUM(AZ$134:AZ$149)/16)/(SUM($J$134:$J$149)/16)*SARM[[#This Row],[Trenes Corridos]]</f>
        <v>1157.873257428492</v>
      </c>
      <c r="BA60" s="16"/>
      <c r="BB60" s="16"/>
    </row>
    <row r="61" spans="1:54" s="18" customFormat="1" ht="15" customHeight="1">
      <c r="A61" s="96">
        <v>1997</v>
      </c>
      <c r="B61" s="97" t="s">
        <v>43</v>
      </c>
      <c r="C61" s="15">
        <f t="shared" si="2"/>
        <v>0.95090909090909093</v>
      </c>
      <c r="D61" s="15">
        <f t="shared" si="3"/>
        <v>0.96802056555269922</v>
      </c>
      <c r="E61" s="15">
        <f t="shared" si="4"/>
        <v>0.98232323232323238</v>
      </c>
      <c r="F61" s="16">
        <f>+Tabla2[[#This Row],[Trenes Programados por Día Hábil]]+Tabla9[[#This Row],[Trenes Programados por Día Hábil]]+Tabla10[[#This Row],[Trenes Programados por Día Hábil]]</f>
        <v>0</v>
      </c>
      <c r="G61" s="33">
        <f>+(Tabla2[[#This Row],[Coches por Tren Día Hábil]]*Tabla2[[#This Row],[Trenes Corridos]]+Tabla9[[#This Row],[Coches por Tren Día Hábil]]*Tabla9[[#This Row],[Trenes Corridos]]+Tabla10[[#This Row],[Coches por Tren Día Hábil]]*Tabla10[[#This Row],[Trenes Corridos]])/SARM[[#This Row],[Trenes Corridos]]</f>
        <v>0</v>
      </c>
      <c r="H61" s="16">
        <v>9900</v>
      </c>
      <c r="I61" s="16">
        <f t="shared" si="0"/>
        <v>175</v>
      </c>
      <c r="J61" s="16">
        <v>9725</v>
      </c>
      <c r="K61" s="16">
        <v>9414</v>
      </c>
      <c r="L61" s="16">
        <f t="shared" si="1"/>
        <v>311</v>
      </c>
      <c r="M61" s="16"/>
      <c r="N61" s="17"/>
      <c r="O61" s="96">
        <v>1997</v>
      </c>
      <c r="P61" s="97" t="s">
        <v>43</v>
      </c>
      <c r="Q61" s="41"/>
      <c r="R61" s="41"/>
      <c r="S61" s="41"/>
      <c r="T61" s="16"/>
      <c r="U61" s="16"/>
      <c r="V61" s="16"/>
      <c r="W61" s="16"/>
      <c r="X61" s="69">
        <f>(SUM(X$134:X$149)/16)/(SUM($J$134:$J$149)/16)*SARM[[#This Row],[Trenes Corridos]]</f>
        <v>7713.9018675367952</v>
      </c>
      <c r="Y61" s="16"/>
      <c r="Z61" s="16"/>
      <c r="AA61" s="16"/>
      <c r="AB61" s="17"/>
      <c r="AC61" s="96">
        <v>1997</v>
      </c>
      <c r="AD61" s="97" t="s">
        <v>43</v>
      </c>
      <c r="AE61" s="41"/>
      <c r="AF61" s="41"/>
      <c r="AG61" s="41"/>
      <c r="AH61" s="16"/>
      <c r="AI61" s="16"/>
      <c r="AJ61" s="16"/>
      <c r="AK61" s="16"/>
      <c r="AL61" s="69">
        <f>(SUM(AL$134:AL$149)/16)/(SUM($J$134:$J$149)/16)*SARM[[#This Row],[Trenes Corridos]]</f>
        <v>894.11396139961118</v>
      </c>
      <c r="AM61" s="16"/>
      <c r="AN61" s="16"/>
      <c r="AO61" s="16"/>
      <c r="AP61" s="17"/>
      <c r="AQ61" s="96">
        <v>1997</v>
      </c>
      <c r="AR61" s="97" t="s">
        <v>43</v>
      </c>
      <c r="AS61" s="41"/>
      <c r="AT61" s="41"/>
      <c r="AU61" s="41"/>
      <c r="AV61" s="16"/>
      <c r="AW61" s="16"/>
      <c r="AX61" s="16"/>
      <c r="AY61" s="16"/>
      <c r="AZ61" s="69">
        <f>(SUM(AZ$134:AZ$149)/16)/(SUM($J$134:$J$149)/16)*SARM[[#This Row],[Trenes Corridos]]</f>
        <v>1116.9841710635933</v>
      </c>
      <c r="BA61" s="16"/>
      <c r="BB61" s="16"/>
    </row>
    <row r="62" spans="1:54" s="18" customFormat="1" ht="15" customHeight="1">
      <c r="A62" s="94">
        <v>1997</v>
      </c>
      <c r="B62" s="95" t="s">
        <v>44</v>
      </c>
      <c r="C62" s="15">
        <f t="shared" si="2"/>
        <v>0.95716589397298935</v>
      </c>
      <c r="D62" s="15">
        <f t="shared" si="3"/>
        <v>0.96172151898734182</v>
      </c>
      <c r="E62" s="15">
        <f t="shared" si="4"/>
        <v>0.99526305180407171</v>
      </c>
      <c r="F62" s="16">
        <f>+Tabla2[[#This Row],[Trenes Programados por Día Hábil]]+Tabla9[[#This Row],[Trenes Programados por Día Hábil]]+Tabla10[[#This Row],[Trenes Programados por Día Hábil]]</f>
        <v>0</v>
      </c>
      <c r="G62" s="33">
        <f>+(Tabla2[[#This Row],[Coches por Tren Día Hábil]]*Tabla2[[#This Row],[Trenes Corridos]]+Tabla9[[#This Row],[Coches por Tren Día Hábil]]*Tabla9[[#This Row],[Trenes Corridos]]+Tabla10[[#This Row],[Coches por Tren Día Hábil]]*Tabla10[[#This Row],[Trenes Corridos]])/SARM[[#This Row],[Trenes Corridos]]</f>
        <v>0</v>
      </c>
      <c r="H62" s="16">
        <v>9922</v>
      </c>
      <c r="I62" s="16">
        <f t="shared" si="0"/>
        <v>47</v>
      </c>
      <c r="J62" s="16">
        <v>9875</v>
      </c>
      <c r="K62" s="16">
        <v>9497</v>
      </c>
      <c r="L62" s="16">
        <f t="shared" si="1"/>
        <v>378</v>
      </c>
      <c r="M62" s="16"/>
      <c r="N62" s="17"/>
      <c r="O62" s="94">
        <v>1997</v>
      </c>
      <c r="P62" s="95" t="s">
        <v>44</v>
      </c>
      <c r="Q62" s="41"/>
      <c r="R62" s="41"/>
      <c r="S62" s="41"/>
      <c r="T62" s="16"/>
      <c r="U62" s="16"/>
      <c r="V62" s="16"/>
      <c r="W62" s="16"/>
      <c r="X62" s="69">
        <f>(SUM(X$134:X$149)/16)/(SUM($J$134:$J$149)/16)*SARM[[#This Row],[Trenes Corridos]]</f>
        <v>7832.8823590669253</v>
      </c>
      <c r="Y62" s="16"/>
      <c r="Z62" s="16"/>
      <c r="AA62" s="16"/>
      <c r="AB62" s="17"/>
      <c r="AC62" s="94">
        <v>1997</v>
      </c>
      <c r="AD62" s="95" t="s">
        <v>44</v>
      </c>
      <c r="AE62" s="41"/>
      <c r="AF62" s="41"/>
      <c r="AG62" s="41"/>
      <c r="AH62" s="16"/>
      <c r="AI62" s="16"/>
      <c r="AJ62" s="16"/>
      <c r="AK62" s="16"/>
      <c r="AL62" s="69">
        <f>(SUM(AL$134:AL$149)/16)/(SUM($J$134:$J$149)/16)*SARM[[#This Row],[Trenes Corridos]]</f>
        <v>907.90492224382115</v>
      </c>
      <c r="AM62" s="16"/>
      <c r="AN62" s="16"/>
      <c r="AO62" s="16"/>
      <c r="AP62" s="17"/>
      <c r="AQ62" s="94">
        <v>1997</v>
      </c>
      <c r="AR62" s="95" t="s">
        <v>44</v>
      </c>
      <c r="AS62" s="41"/>
      <c r="AT62" s="41"/>
      <c r="AU62" s="41"/>
      <c r="AV62" s="16"/>
      <c r="AW62" s="16"/>
      <c r="AX62" s="16"/>
      <c r="AY62" s="16"/>
      <c r="AZ62" s="69">
        <f>(SUM(AZ$134:AZ$149)/16)/(SUM($J$134:$J$149)/16)*SARM[[#This Row],[Trenes Corridos]]</f>
        <v>1134.2127186892531</v>
      </c>
      <c r="BA62" s="16"/>
      <c r="BB62" s="16"/>
    </row>
    <row r="63" spans="1:54" s="18" customFormat="1" ht="15" customHeight="1">
      <c r="A63" s="96">
        <v>1997</v>
      </c>
      <c r="B63" s="97" t="s">
        <v>45</v>
      </c>
      <c r="C63" s="15">
        <f t="shared" si="2"/>
        <v>0.95108431391617232</v>
      </c>
      <c r="D63" s="15">
        <f t="shared" si="3"/>
        <v>0.95901157089625422</v>
      </c>
      <c r="E63" s="15">
        <f t="shared" si="4"/>
        <v>0.99173392978702712</v>
      </c>
      <c r="F63" s="16">
        <f>+Tabla2[[#This Row],[Trenes Programados por Día Hábil]]+Tabla9[[#This Row],[Trenes Programados por Día Hábil]]+Tabla10[[#This Row],[Trenes Programados por Día Hábil]]</f>
        <v>0</v>
      </c>
      <c r="G63" s="33">
        <f>+(Tabla2[[#This Row],[Coches por Tren Día Hábil]]*Tabla2[[#This Row],[Trenes Corridos]]+Tabla9[[#This Row],[Coches por Tren Día Hábil]]*Tabla9[[#This Row],[Trenes Corridos]]+Tabla10[[#This Row],[Coches por Tren Día Hábil]]*Tabla10[[#This Row],[Trenes Corridos]])/SARM[[#This Row],[Trenes Corridos]]</f>
        <v>0</v>
      </c>
      <c r="H63" s="16">
        <v>10283</v>
      </c>
      <c r="I63" s="16">
        <f t="shared" si="0"/>
        <v>85</v>
      </c>
      <c r="J63" s="16">
        <v>10198</v>
      </c>
      <c r="K63" s="16">
        <v>9780</v>
      </c>
      <c r="L63" s="16">
        <f t="shared" si="1"/>
        <v>418</v>
      </c>
      <c r="M63" s="16"/>
      <c r="N63" s="17"/>
      <c r="O63" s="96">
        <v>1997</v>
      </c>
      <c r="P63" s="97" t="s">
        <v>45</v>
      </c>
      <c r="Q63" s="41"/>
      <c r="R63" s="41"/>
      <c r="S63" s="41"/>
      <c r="T63" s="16"/>
      <c r="U63" s="16"/>
      <c r="V63" s="16"/>
      <c r="W63" s="16"/>
      <c r="X63" s="69">
        <f>(SUM(X$134:X$149)/16)/(SUM($J$134:$J$149)/16)*SARM[[#This Row],[Trenes Corridos]]</f>
        <v>8089.0870174951397</v>
      </c>
      <c r="Y63" s="16"/>
      <c r="Z63" s="16"/>
      <c r="AA63" s="16"/>
      <c r="AB63" s="17"/>
      <c r="AC63" s="96">
        <v>1997</v>
      </c>
      <c r="AD63" s="97" t="s">
        <v>45</v>
      </c>
      <c r="AE63" s="41"/>
      <c r="AF63" s="41"/>
      <c r="AG63" s="41"/>
      <c r="AH63" s="16"/>
      <c r="AI63" s="16"/>
      <c r="AJ63" s="16"/>
      <c r="AK63" s="16"/>
      <c r="AL63" s="69">
        <f>(SUM(AL$134:AL$149)/16)/(SUM($J$134:$J$149)/16)*SARM[[#This Row],[Trenes Corridos]]</f>
        <v>937.60145792835317</v>
      </c>
      <c r="AM63" s="16"/>
      <c r="AN63" s="16"/>
      <c r="AO63" s="16"/>
      <c r="AP63" s="17"/>
      <c r="AQ63" s="96">
        <v>1997</v>
      </c>
      <c r="AR63" s="97" t="s">
        <v>45</v>
      </c>
      <c r="AS63" s="41"/>
      <c r="AT63" s="41"/>
      <c r="AU63" s="41"/>
      <c r="AV63" s="16"/>
      <c r="AW63" s="16"/>
      <c r="AX63" s="16"/>
      <c r="AY63" s="16"/>
      <c r="AZ63" s="69">
        <f>(SUM(AZ$134:AZ$149)/16)/(SUM($J$134:$J$149)/16)*SARM[[#This Row],[Trenes Corridos]]</f>
        <v>1171.3115245765064</v>
      </c>
      <c r="BA63" s="16"/>
      <c r="BB63" s="16"/>
    </row>
    <row r="64" spans="1:54" s="18" customFormat="1" ht="15" customHeight="1">
      <c r="A64" s="94">
        <v>1997</v>
      </c>
      <c r="B64" s="95" t="s">
        <v>46</v>
      </c>
      <c r="C64" s="15">
        <f t="shared" si="2"/>
        <v>0.96369262506446618</v>
      </c>
      <c r="D64" s="15">
        <f t="shared" si="3"/>
        <v>0.96898983613358225</v>
      </c>
      <c r="E64" s="15">
        <f t="shared" si="4"/>
        <v>0.99453326456936564</v>
      </c>
      <c r="F64" s="16">
        <f>+Tabla2[[#This Row],[Trenes Programados por Día Hábil]]+Tabla9[[#This Row],[Trenes Programados por Día Hábil]]+Tabla10[[#This Row],[Trenes Programados por Día Hábil]]</f>
        <v>0</v>
      </c>
      <c r="G64" s="33">
        <f>+(Tabla2[[#This Row],[Coches por Tren Día Hábil]]*Tabla2[[#This Row],[Trenes Corridos]]+Tabla9[[#This Row],[Coches por Tren Día Hábil]]*Tabla9[[#This Row],[Trenes Corridos]]+Tabla10[[#This Row],[Coches por Tren Día Hábil]]*Tabla10[[#This Row],[Trenes Corridos]])/SARM[[#This Row],[Trenes Corridos]]</f>
        <v>0</v>
      </c>
      <c r="H64" s="16">
        <v>9695</v>
      </c>
      <c r="I64" s="16">
        <f t="shared" si="0"/>
        <v>53</v>
      </c>
      <c r="J64" s="16">
        <v>9642</v>
      </c>
      <c r="K64" s="16">
        <v>9343</v>
      </c>
      <c r="L64" s="16">
        <f t="shared" si="1"/>
        <v>299</v>
      </c>
      <c r="M64" s="16"/>
      <c r="N64" s="17"/>
      <c r="O64" s="94">
        <v>1997</v>
      </c>
      <c r="P64" s="95" t="s">
        <v>46</v>
      </c>
      <c r="Q64" s="41"/>
      <c r="R64" s="41"/>
      <c r="S64" s="41"/>
      <c r="T64" s="16"/>
      <c r="U64" s="16"/>
      <c r="V64" s="16"/>
      <c r="W64" s="16"/>
      <c r="X64" s="69">
        <f>(SUM(X$134:X$149)/16)/(SUM($J$134:$J$149)/16)*SARM[[#This Row],[Trenes Corridos]]</f>
        <v>7648.0659955567899</v>
      </c>
      <c r="Y64" s="16"/>
      <c r="Z64" s="16"/>
      <c r="AA64" s="16"/>
      <c r="AB64" s="17"/>
      <c r="AC64" s="94">
        <v>1997</v>
      </c>
      <c r="AD64" s="95" t="s">
        <v>46</v>
      </c>
      <c r="AE64" s="41"/>
      <c r="AF64" s="41"/>
      <c r="AG64" s="41"/>
      <c r="AH64" s="16"/>
      <c r="AI64" s="16"/>
      <c r="AJ64" s="16"/>
      <c r="AK64" s="16"/>
      <c r="AL64" s="69">
        <f>(SUM(AL$134:AL$149)/16)/(SUM($J$134:$J$149)/16)*SARM[[#This Row],[Trenes Corridos]]</f>
        <v>886.48296306581494</v>
      </c>
      <c r="AM64" s="16"/>
      <c r="AN64" s="16"/>
      <c r="AO64" s="16"/>
      <c r="AP64" s="17"/>
      <c r="AQ64" s="94">
        <v>1997</v>
      </c>
      <c r="AR64" s="95" t="s">
        <v>46</v>
      </c>
      <c r="AS64" s="41"/>
      <c r="AT64" s="41"/>
      <c r="AU64" s="41"/>
      <c r="AV64" s="16"/>
      <c r="AW64" s="16"/>
      <c r="AX64" s="16"/>
      <c r="AY64" s="16"/>
      <c r="AZ64" s="69">
        <f>(SUM(AZ$134:AZ$149)/16)/(SUM($J$134:$J$149)/16)*SARM[[#This Row],[Trenes Corridos]]</f>
        <v>1107.4510413773951</v>
      </c>
      <c r="BA64" s="16"/>
      <c r="BB64" s="16"/>
    </row>
    <row r="65" spans="1:54" s="18" customFormat="1" ht="15" customHeight="1">
      <c r="A65" s="96">
        <v>1997</v>
      </c>
      <c r="B65" s="97" t="s">
        <v>47</v>
      </c>
      <c r="C65" s="15">
        <f t="shared" si="2"/>
        <v>0.94012636646274195</v>
      </c>
      <c r="D65" s="15">
        <f t="shared" si="3"/>
        <v>0.94840145690004052</v>
      </c>
      <c r="E65" s="15">
        <f t="shared" si="4"/>
        <v>0.99127469662019863</v>
      </c>
      <c r="F65" s="16">
        <f>+Tabla2[[#This Row],[Trenes Programados por Día Hábil]]+Tabla9[[#This Row],[Trenes Programados por Día Hábil]]+Tabla10[[#This Row],[Trenes Programados por Día Hábil]]</f>
        <v>0</v>
      </c>
      <c r="G65" s="33">
        <f>+(Tabla2[[#This Row],[Coches por Tren Día Hábil]]*Tabla2[[#This Row],[Trenes Corridos]]+Tabla9[[#This Row],[Coches por Tren Día Hábil]]*Tabla9[[#This Row],[Trenes Corridos]]+Tabla10[[#This Row],[Coches por Tren Día Hábil]]*Tabla10[[#This Row],[Trenes Corridos]])/SARM[[#This Row],[Trenes Corridos]]</f>
        <v>0</v>
      </c>
      <c r="H65" s="16">
        <v>9971</v>
      </c>
      <c r="I65" s="16">
        <f t="shared" si="0"/>
        <v>87</v>
      </c>
      <c r="J65" s="16">
        <v>9884</v>
      </c>
      <c r="K65" s="16">
        <v>9374</v>
      </c>
      <c r="L65" s="16">
        <f t="shared" si="1"/>
        <v>510</v>
      </c>
      <c r="M65" s="16"/>
      <c r="N65" s="17"/>
      <c r="O65" s="96">
        <v>1997</v>
      </c>
      <c r="P65" s="97" t="s">
        <v>47</v>
      </c>
      <c r="Q65" s="41"/>
      <c r="R65" s="41"/>
      <c r="S65" s="41"/>
      <c r="T65" s="16"/>
      <c r="U65" s="16"/>
      <c r="V65" s="16"/>
      <c r="W65" s="16"/>
      <c r="X65" s="69">
        <f>(SUM(X$134:X$149)/16)/(SUM($J$134:$J$149)/16)*SARM[[#This Row],[Trenes Corridos]]</f>
        <v>7840.0211885587332</v>
      </c>
      <c r="Y65" s="16"/>
      <c r="Z65" s="16"/>
      <c r="AA65" s="16"/>
      <c r="AB65" s="17"/>
      <c r="AC65" s="96">
        <v>1997</v>
      </c>
      <c r="AD65" s="97" t="s">
        <v>47</v>
      </c>
      <c r="AE65" s="41"/>
      <c r="AF65" s="41"/>
      <c r="AG65" s="41"/>
      <c r="AH65" s="16"/>
      <c r="AI65" s="16"/>
      <c r="AJ65" s="16"/>
      <c r="AK65" s="16"/>
      <c r="AL65" s="69">
        <f>(SUM(AL$134:AL$149)/16)/(SUM($J$134:$J$149)/16)*SARM[[#This Row],[Trenes Corridos]]</f>
        <v>908.73237989447375</v>
      </c>
      <c r="AM65" s="16"/>
      <c r="AN65" s="16"/>
      <c r="AO65" s="16"/>
      <c r="AP65" s="17"/>
      <c r="AQ65" s="96">
        <v>1997</v>
      </c>
      <c r="AR65" s="97" t="s">
        <v>47</v>
      </c>
      <c r="AS65" s="41"/>
      <c r="AT65" s="41"/>
      <c r="AU65" s="41"/>
      <c r="AV65" s="16"/>
      <c r="AW65" s="16"/>
      <c r="AX65" s="16"/>
      <c r="AY65" s="16"/>
      <c r="AZ65" s="69">
        <f>(SUM(AZ$134:AZ$149)/16)/(SUM($J$134:$J$149)/16)*SARM[[#This Row],[Trenes Corridos]]</f>
        <v>1135.2464315467926</v>
      </c>
      <c r="BA65" s="16"/>
      <c r="BB65" s="16"/>
    </row>
    <row r="66" spans="1:54" s="18" customFormat="1" ht="15" customHeight="1">
      <c r="A66" s="94">
        <v>1998</v>
      </c>
      <c r="B66" s="95" t="s">
        <v>36</v>
      </c>
      <c r="C66" s="15">
        <f t="shared" si="2"/>
        <v>0.94779236276849643</v>
      </c>
      <c r="D66" s="15">
        <f t="shared" si="3"/>
        <v>0.95520144317498501</v>
      </c>
      <c r="E66" s="15">
        <f t="shared" si="4"/>
        <v>0.99224343675417659</v>
      </c>
      <c r="F66" s="16">
        <f>+Tabla2[[#This Row],[Trenes Programados por Día Hábil]]+Tabla9[[#This Row],[Trenes Programados por Día Hábil]]+Tabla10[[#This Row],[Trenes Programados por Día Hábil]]</f>
        <v>0</v>
      </c>
      <c r="G66" s="33">
        <f>+(Tabla2[[#This Row],[Coches por Tren Día Hábil]]*Tabla2[[#This Row],[Trenes Corridos]]+Tabla9[[#This Row],[Coches por Tren Día Hábil]]*Tabla9[[#This Row],[Trenes Corridos]]+Tabla10[[#This Row],[Coches por Tren Día Hábil]]*Tabla10[[#This Row],[Trenes Corridos]])/SARM[[#This Row],[Trenes Corridos]]</f>
        <v>0</v>
      </c>
      <c r="H66" s="16">
        <v>10056</v>
      </c>
      <c r="I66" s="16">
        <f t="shared" si="0"/>
        <v>78</v>
      </c>
      <c r="J66" s="16">
        <v>9978</v>
      </c>
      <c r="K66" s="16">
        <v>9531</v>
      </c>
      <c r="L66" s="16">
        <f t="shared" si="1"/>
        <v>447</v>
      </c>
      <c r="M66" s="16"/>
      <c r="N66" s="17"/>
      <c r="O66" s="94">
        <v>1998</v>
      </c>
      <c r="P66" s="95" t="s">
        <v>36</v>
      </c>
      <c r="Q66" s="41"/>
      <c r="R66" s="41"/>
      <c r="S66" s="41"/>
      <c r="T66" s="16"/>
      <c r="U66" s="16"/>
      <c r="V66" s="16"/>
      <c r="W66" s="16"/>
      <c r="X66" s="69">
        <f>(SUM(X$134:X$149)/16)/(SUM($J$134:$J$149)/16)*SARM[[#This Row],[Trenes Corridos]]</f>
        <v>7914.5822965842817</v>
      </c>
      <c r="Y66" s="16"/>
      <c r="Z66" s="16"/>
      <c r="AA66" s="16"/>
      <c r="AB66" s="17"/>
      <c r="AC66" s="94">
        <v>1998</v>
      </c>
      <c r="AD66" s="95" t="s">
        <v>36</v>
      </c>
      <c r="AE66" s="41"/>
      <c r="AF66" s="41"/>
      <c r="AG66" s="41"/>
      <c r="AH66" s="16"/>
      <c r="AI66" s="16"/>
      <c r="AJ66" s="16"/>
      <c r="AK66" s="16"/>
      <c r="AL66" s="69">
        <f>(SUM(AL$134:AL$149)/16)/(SUM($J$134:$J$149)/16)*SARM[[#This Row],[Trenes Corridos]]</f>
        <v>917.37471535684529</v>
      </c>
      <c r="AM66" s="16"/>
      <c r="AN66" s="16"/>
      <c r="AO66" s="16"/>
      <c r="AP66" s="17"/>
      <c r="AQ66" s="94">
        <v>1998</v>
      </c>
      <c r="AR66" s="95" t="s">
        <v>36</v>
      </c>
      <c r="AS66" s="41"/>
      <c r="AT66" s="41"/>
      <c r="AU66" s="41"/>
      <c r="AV66" s="16"/>
      <c r="AW66" s="16"/>
      <c r="AX66" s="16"/>
      <c r="AY66" s="16"/>
      <c r="AZ66" s="69">
        <f>(SUM(AZ$134:AZ$149)/16)/(SUM($J$134:$J$149)/16)*SARM[[#This Row],[Trenes Corridos]]</f>
        <v>1146.0429880588724</v>
      </c>
      <c r="BA66" s="16"/>
      <c r="BB66" s="16"/>
    </row>
    <row r="67" spans="1:54" s="18" customFormat="1" ht="15" customHeight="1">
      <c r="A67" s="96">
        <v>1998</v>
      </c>
      <c r="B67" s="97" t="s">
        <v>37</v>
      </c>
      <c r="C67" s="15">
        <f t="shared" si="2"/>
        <v>0.96347826086956523</v>
      </c>
      <c r="D67" s="15">
        <f t="shared" si="3"/>
        <v>0.97171672878754656</v>
      </c>
      <c r="E67" s="15">
        <f t="shared" si="4"/>
        <v>0.99152173913043473</v>
      </c>
      <c r="F67" s="16">
        <f>+Tabla2[[#This Row],[Trenes Programados por Día Hábil]]+Tabla9[[#This Row],[Trenes Programados por Día Hábil]]+Tabla10[[#This Row],[Trenes Programados por Día Hábil]]</f>
        <v>0</v>
      </c>
      <c r="G67" s="33">
        <f>+(Tabla2[[#This Row],[Coches por Tren Día Hábil]]*Tabla2[[#This Row],[Trenes Corridos]]+Tabla9[[#This Row],[Coches por Tren Día Hábil]]*Tabla9[[#This Row],[Trenes Corridos]]+Tabla10[[#This Row],[Coches por Tren Día Hábil]]*Tabla10[[#This Row],[Trenes Corridos]])/SARM[[#This Row],[Trenes Corridos]]</f>
        <v>0</v>
      </c>
      <c r="H67" s="16">
        <v>9200</v>
      </c>
      <c r="I67" s="16">
        <f t="shared" si="0"/>
        <v>78</v>
      </c>
      <c r="J67" s="16">
        <v>9122</v>
      </c>
      <c r="K67" s="16">
        <v>8864</v>
      </c>
      <c r="L67" s="16">
        <f t="shared" si="1"/>
        <v>258</v>
      </c>
      <c r="M67" s="16"/>
      <c r="N67" s="17"/>
      <c r="O67" s="96">
        <v>1998</v>
      </c>
      <c r="P67" s="97" t="s">
        <v>37</v>
      </c>
      <c r="Q67" s="41"/>
      <c r="R67" s="41"/>
      <c r="S67" s="41"/>
      <c r="T67" s="16"/>
      <c r="U67" s="16"/>
      <c r="V67" s="16"/>
      <c r="W67" s="16"/>
      <c r="X67" s="69">
        <f>(SUM(X$134:X$149)/16)/(SUM($J$134:$J$149)/16)*SARM[[#This Row],[Trenes Corridos]]</f>
        <v>7235.6002915856707</v>
      </c>
      <c r="Y67" s="16"/>
      <c r="Z67" s="16"/>
      <c r="AA67" s="16"/>
      <c r="AB67" s="17"/>
      <c r="AC67" s="96">
        <v>1998</v>
      </c>
      <c r="AD67" s="97" t="s">
        <v>37</v>
      </c>
      <c r="AE67" s="41"/>
      <c r="AF67" s="41"/>
      <c r="AG67" s="41"/>
      <c r="AH67" s="16"/>
      <c r="AI67" s="16"/>
      <c r="AJ67" s="16"/>
      <c r="AK67" s="16"/>
      <c r="AL67" s="69">
        <f>(SUM(AL$134:AL$149)/16)/(SUM($J$134:$J$149)/16)*SARM[[#This Row],[Trenes Corridos]]</f>
        <v>838.67429880588725</v>
      </c>
      <c r="AM67" s="16"/>
      <c r="AN67" s="16"/>
      <c r="AO67" s="16"/>
      <c r="AP67" s="17"/>
      <c r="AQ67" s="96">
        <v>1998</v>
      </c>
      <c r="AR67" s="97" t="s">
        <v>37</v>
      </c>
      <c r="AS67" s="41"/>
      <c r="AT67" s="41"/>
      <c r="AU67" s="41"/>
      <c r="AV67" s="16"/>
      <c r="AW67" s="16"/>
      <c r="AX67" s="16"/>
      <c r="AY67" s="16"/>
      <c r="AZ67" s="69">
        <f>(SUM(AZ$134:AZ$149)/16)/(SUM($J$134:$J$149)/16)*SARM[[#This Row],[Trenes Corridos]]</f>
        <v>1047.7254096084421</v>
      </c>
      <c r="BA67" s="16"/>
      <c r="BB67" s="16"/>
    </row>
    <row r="68" spans="1:54" s="18" customFormat="1" ht="15" customHeight="1">
      <c r="A68" s="94">
        <v>1998</v>
      </c>
      <c r="B68" s="95" t="s">
        <v>38</v>
      </c>
      <c r="C68" s="15">
        <f t="shared" si="2"/>
        <v>0.94855337217339786</v>
      </c>
      <c r="D68" s="15">
        <f t="shared" si="3"/>
        <v>0.95563072025467566</v>
      </c>
      <c r="E68" s="15">
        <f t="shared" si="4"/>
        <v>0.99259405549521085</v>
      </c>
      <c r="F68" s="16">
        <f>+Tabla2[[#This Row],[Trenes Programados por Día Hábil]]+Tabla9[[#This Row],[Trenes Programados por Día Hábil]]+Tabla10[[#This Row],[Trenes Programados por Día Hábil]]</f>
        <v>0</v>
      </c>
      <c r="G68" s="33">
        <f>+(Tabla2[[#This Row],[Coches por Tren Día Hábil]]*Tabla2[[#This Row],[Trenes Corridos]]+Tabla9[[#This Row],[Coches por Tren Día Hábil]]*Tabla9[[#This Row],[Trenes Corridos]]+Tabla10[[#This Row],[Coches por Tren Día Hábil]]*Tabla10[[#This Row],[Trenes Corridos]])/SARM[[#This Row],[Trenes Corridos]]</f>
        <v>0</v>
      </c>
      <c r="H68" s="16">
        <v>10127</v>
      </c>
      <c r="I68" s="16">
        <f t="shared" si="0"/>
        <v>75</v>
      </c>
      <c r="J68" s="16">
        <v>10052</v>
      </c>
      <c r="K68" s="16">
        <v>9606</v>
      </c>
      <c r="L68" s="16">
        <f t="shared" si="1"/>
        <v>446</v>
      </c>
      <c r="M68" s="16"/>
      <c r="N68" s="17"/>
      <c r="O68" s="94">
        <v>1998</v>
      </c>
      <c r="P68" s="95" t="s">
        <v>38</v>
      </c>
      <c r="Q68" s="41"/>
      <c r="R68" s="41"/>
      <c r="S68" s="41"/>
      <c r="T68" s="16"/>
      <c r="U68" s="16"/>
      <c r="V68" s="16"/>
      <c r="W68" s="16"/>
      <c r="X68" s="69">
        <f>(SUM(X$134:X$149)/16)/(SUM($J$134:$J$149)/16)*SARM[[#This Row],[Trenes Corridos]]</f>
        <v>7973.2793390724801</v>
      </c>
      <c r="Y68" s="16"/>
      <c r="Z68" s="16"/>
      <c r="AA68" s="16"/>
      <c r="AB68" s="17"/>
      <c r="AC68" s="94">
        <v>1998</v>
      </c>
      <c r="AD68" s="95" t="s">
        <v>38</v>
      </c>
      <c r="AE68" s="41"/>
      <c r="AF68" s="41"/>
      <c r="AG68" s="41"/>
      <c r="AH68" s="16"/>
      <c r="AI68" s="16"/>
      <c r="AJ68" s="16"/>
      <c r="AK68" s="16"/>
      <c r="AL68" s="69">
        <f>(SUM(AL$134:AL$149)/16)/(SUM($J$134:$J$149)/16)*SARM[[#This Row],[Trenes Corridos]]</f>
        <v>924.17825603998881</v>
      </c>
      <c r="AM68" s="16"/>
      <c r="AN68" s="16"/>
      <c r="AO68" s="16"/>
      <c r="AP68" s="17"/>
      <c r="AQ68" s="94">
        <v>1998</v>
      </c>
      <c r="AR68" s="95" t="s">
        <v>38</v>
      </c>
      <c r="AS68" s="41"/>
      <c r="AT68" s="41"/>
      <c r="AU68" s="41"/>
      <c r="AV68" s="16"/>
      <c r="AW68" s="16"/>
      <c r="AX68" s="16"/>
      <c r="AY68" s="16"/>
      <c r="AZ68" s="69">
        <f>(SUM(AZ$134:AZ$149)/16)/(SUM($J$134:$J$149)/16)*SARM[[#This Row],[Trenes Corridos]]</f>
        <v>1154.5424048875311</v>
      </c>
      <c r="BA68" s="16"/>
      <c r="BB68" s="16"/>
    </row>
    <row r="69" spans="1:54" s="18" customFormat="1" ht="15" customHeight="1">
      <c r="A69" s="96">
        <v>1998</v>
      </c>
      <c r="B69" s="97" t="s">
        <v>39</v>
      </c>
      <c r="C69" s="15">
        <f t="shared" si="2"/>
        <v>0.92187180012287528</v>
      </c>
      <c r="D69" s="15">
        <f t="shared" si="3"/>
        <v>0.9323736536868269</v>
      </c>
      <c r="E69" s="15">
        <f t="shared" si="4"/>
        <v>0.98873643252099119</v>
      </c>
      <c r="F69" s="16">
        <f>+Tabla2[[#This Row],[Trenes Programados por Día Hábil]]+Tabla9[[#This Row],[Trenes Programados por Día Hábil]]+Tabla10[[#This Row],[Trenes Programados por Día Hábil]]</f>
        <v>0</v>
      </c>
      <c r="G69" s="33">
        <f>+(Tabla2[[#This Row],[Coches por Tren Día Hábil]]*Tabla2[[#This Row],[Trenes Corridos]]+Tabla9[[#This Row],[Coches por Tren Día Hábil]]*Tabla9[[#This Row],[Trenes Corridos]]+Tabla10[[#This Row],[Coches por Tren Día Hábil]]*Tabla10[[#This Row],[Trenes Corridos]])/SARM[[#This Row],[Trenes Corridos]]</f>
        <v>0</v>
      </c>
      <c r="H69" s="16">
        <v>9766</v>
      </c>
      <c r="I69" s="16">
        <f t="shared" si="0"/>
        <v>110</v>
      </c>
      <c r="J69" s="16">
        <v>9656</v>
      </c>
      <c r="K69" s="16">
        <v>9003</v>
      </c>
      <c r="L69" s="16">
        <f t="shared" si="1"/>
        <v>653</v>
      </c>
      <c r="M69" s="16"/>
      <c r="N69" s="17"/>
      <c r="O69" s="96">
        <v>1998</v>
      </c>
      <c r="P69" s="97" t="s">
        <v>39</v>
      </c>
      <c r="Q69" s="41"/>
      <c r="R69" s="41"/>
      <c r="S69" s="41"/>
      <c r="T69" s="16"/>
      <c r="U69" s="16"/>
      <c r="V69" s="16"/>
      <c r="W69" s="16"/>
      <c r="X69" s="69">
        <f>(SUM(X$134:X$149)/16)/(SUM($J$134:$J$149)/16)*SARM[[#This Row],[Trenes Corridos]]</f>
        <v>7659.170841432935</v>
      </c>
      <c r="Y69" s="16"/>
      <c r="Z69" s="16"/>
      <c r="AA69" s="16"/>
      <c r="AB69" s="17"/>
      <c r="AC69" s="96">
        <v>1998</v>
      </c>
      <c r="AD69" s="97" t="s">
        <v>39</v>
      </c>
      <c r="AE69" s="41"/>
      <c r="AF69" s="41"/>
      <c r="AG69" s="41"/>
      <c r="AH69" s="16"/>
      <c r="AI69" s="16"/>
      <c r="AJ69" s="16"/>
      <c r="AK69" s="16"/>
      <c r="AL69" s="69">
        <f>(SUM(AL$134:AL$149)/16)/(SUM($J$134:$J$149)/16)*SARM[[#This Row],[Trenes Corridos]]</f>
        <v>887.77011941127455</v>
      </c>
      <c r="AM69" s="16"/>
      <c r="AN69" s="16"/>
      <c r="AO69" s="16"/>
      <c r="AP69" s="17"/>
      <c r="AQ69" s="96">
        <v>1998</v>
      </c>
      <c r="AR69" s="97" t="s">
        <v>39</v>
      </c>
      <c r="AS69" s="41"/>
      <c r="AT69" s="41"/>
      <c r="AU69" s="41"/>
      <c r="AV69" s="16"/>
      <c r="AW69" s="16"/>
      <c r="AX69" s="16"/>
      <c r="AY69" s="16"/>
      <c r="AZ69" s="69">
        <f>(SUM(AZ$134:AZ$149)/16)/(SUM($J$134:$J$149)/16)*SARM[[#This Row],[Trenes Corridos]]</f>
        <v>1109.0590391557901</v>
      </c>
      <c r="BA69" s="16"/>
      <c r="BB69" s="16"/>
    </row>
    <row r="70" spans="1:54" s="18" customFormat="1" ht="15" customHeight="1">
      <c r="A70" s="94">
        <v>1998</v>
      </c>
      <c r="B70" s="95" t="s">
        <v>40</v>
      </c>
      <c r="C70" s="15">
        <f t="shared" si="2"/>
        <v>0.97075123152709364</v>
      </c>
      <c r="D70" s="15">
        <f t="shared" si="3"/>
        <v>0.97435105067985162</v>
      </c>
      <c r="E70" s="15">
        <f t="shared" si="4"/>
        <v>0.99630541871921185</v>
      </c>
      <c r="F70" s="16">
        <f>+Tabla2[[#This Row],[Trenes Programados por Día Hábil]]+Tabla9[[#This Row],[Trenes Programados por Día Hábil]]+Tabla10[[#This Row],[Trenes Programados por Día Hábil]]</f>
        <v>0</v>
      </c>
      <c r="G70" s="33">
        <f>+(Tabla2[[#This Row],[Coches por Tren Día Hábil]]*Tabla2[[#This Row],[Trenes Corridos]]+Tabla9[[#This Row],[Coches por Tren Día Hábil]]*Tabla9[[#This Row],[Trenes Corridos]]+Tabla10[[#This Row],[Coches por Tren Día Hábil]]*Tabla10[[#This Row],[Trenes Corridos]])/SARM[[#This Row],[Trenes Corridos]]</f>
        <v>0</v>
      </c>
      <c r="H70" s="16">
        <v>9744</v>
      </c>
      <c r="I70" s="16">
        <f t="shared" ref="I70:I130" si="5">H70-J70</f>
        <v>36</v>
      </c>
      <c r="J70" s="16">
        <v>9708</v>
      </c>
      <c r="K70" s="16">
        <v>9459</v>
      </c>
      <c r="L70" s="16">
        <f t="shared" ref="L70:L130" si="6">J70-K70</f>
        <v>249</v>
      </c>
      <c r="M70" s="16"/>
      <c r="N70" s="17"/>
      <c r="O70" s="94">
        <v>1998</v>
      </c>
      <c r="P70" s="95" t="s">
        <v>40</v>
      </c>
      <c r="Q70" s="41"/>
      <c r="R70" s="41"/>
      <c r="S70" s="41"/>
      <c r="T70" s="16"/>
      <c r="U70" s="16"/>
      <c r="V70" s="16"/>
      <c r="W70" s="16"/>
      <c r="X70" s="69">
        <f>(SUM(X$134:X$149)/16)/(SUM($J$134:$J$149)/16)*SARM[[#This Row],[Trenes Corridos]]</f>
        <v>7700.4174118300471</v>
      </c>
      <c r="Y70" s="16"/>
      <c r="Z70" s="16"/>
      <c r="AA70" s="16"/>
      <c r="AB70" s="17"/>
      <c r="AC70" s="94">
        <v>1998</v>
      </c>
      <c r="AD70" s="95" t="s">
        <v>40</v>
      </c>
      <c r="AE70" s="41"/>
      <c r="AF70" s="41"/>
      <c r="AG70" s="41"/>
      <c r="AH70" s="16"/>
      <c r="AI70" s="16"/>
      <c r="AJ70" s="16"/>
      <c r="AK70" s="16"/>
      <c r="AL70" s="69">
        <f>(SUM(AL$134:AL$149)/16)/(SUM($J$134:$J$149)/16)*SARM[[#This Row],[Trenes Corridos]]</f>
        <v>892.55098583726738</v>
      </c>
      <c r="AM70" s="16"/>
      <c r="AN70" s="16"/>
      <c r="AO70" s="16"/>
      <c r="AP70" s="17"/>
      <c r="AQ70" s="94">
        <v>1998</v>
      </c>
      <c r="AR70" s="95" t="s">
        <v>40</v>
      </c>
      <c r="AS70" s="41"/>
      <c r="AT70" s="41"/>
      <c r="AU70" s="41"/>
      <c r="AV70" s="16"/>
      <c r="AW70" s="16"/>
      <c r="AX70" s="16"/>
      <c r="AY70" s="16"/>
      <c r="AZ70" s="69">
        <f>(SUM(AZ$134:AZ$149)/16)/(SUM($J$134:$J$149)/16)*SARM[[#This Row],[Trenes Corridos]]</f>
        <v>1115.0316023326852</v>
      </c>
      <c r="BA70" s="16"/>
      <c r="BB70" s="16"/>
    </row>
    <row r="71" spans="1:54" s="18" customFormat="1" ht="15" customHeight="1">
      <c r="A71" s="96">
        <v>1998</v>
      </c>
      <c r="B71" s="97" t="s">
        <v>41</v>
      </c>
      <c r="C71" s="15">
        <f t="shared" si="2"/>
        <v>0.96930280957336112</v>
      </c>
      <c r="D71" s="15">
        <f t="shared" si="3"/>
        <v>0.97315085666527368</v>
      </c>
      <c r="E71" s="15">
        <f t="shared" si="4"/>
        <v>0.99604578563995838</v>
      </c>
      <c r="F71" s="16">
        <f>+Tabla2[[#This Row],[Trenes Programados por Día Hábil]]+Tabla9[[#This Row],[Trenes Programados por Día Hábil]]+Tabla10[[#This Row],[Trenes Programados por Día Hábil]]</f>
        <v>0</v>
      </c>
      <c r="G71" s="33">
        <f>+(Tabla2[[#This Row],[Coches por Tren Día Hábil]]*Tabla2[[#This Row],[Trenes Corridos]]+Tabla9[[#This Row],[Coches por Tren Día Hábil]]*Tabla9[[#This Row],[Trenes Corridos]]+Tabla10[[#This Row],[Coches por Tren Día Hábil]]*Tabla10[[#This Row],[Trenes Corridos]])/SARM[[#This Row],[Trenes Corridos]]</f>
        <v>0</v>
      </c>
      <c r="H71" s="16">
        <v>9610</v>
      </c>
      <c r="I71" s="16">
        <f t="shared" si="5"/>
        <v>38</v>
      </c>
      <c r="J71" s="16">
        <v>9572</v>
      </c>
      <c r="K71" s="16">
        <v>9315</v>
      </c>
      <c r="L71" s="16">
        <f t="shared" si="6"/>
        <v>257</v>
      </c>
      <c r="M71" s="16"/>
      <c r="N71" s="17"/>
      <c r="O71" s="96">
        <v>1998</v>
      </c>
      <c r="P71" s="97" t="s">
        <v>41</v>
      </c>
      <c r="Q71" s="41"/>
      <c r="R71" s="41"/>
      <c r="S71" s="41"/>
      <c r="T71" s="16"/>
      <c r="U71" s="16"/>
      <c r="V71" s="16"/>
      <c r="W71" s="16"/>
      <c r="X71" s="69">
        <f>(SUM(X$134:X$149)/16)/(SUM($J$134:$J$149)/16)*SARM[[#This Row],[Trenes Corridos]]</f>
        <v>7592.5417661760621</v>
      </c>
      <c r="Y71" s="16"/>
      <c r="Z71" s="16"/>
      <c r="AA71" s="16"/>
      <c r="AB71" s="17"/>
      <c r="AC71" s="96">
        <v>1998</v>
      </c>
      <c r="AD71" s="97" t="s">
        <v>41</v>
      </c>
      <c r="AE71" s="41"/>
      <c r="AF71" s="41"/>
      <c r="AG71" s="41"/>
      <c r="AH71" s="16"/>
      <c r="AI71" s="16"/>
      <c r="AJ71" s="16"/>
      <c r="AK71" s="16"/>
      <c r="AL71" s="69">
        <f>(SUM(AL$134:AL$149)/16)/(SUM($J$134:$J$149)/16)*SARM[[#This Row],[Trenes Corridos]]</f>
        <v>880.04718133851702</v>
      </c>
      <c r="AM71" s="16"/>
      <c r="AN71" s="16"/>
      <c r="AO71" s="16"/>
      <c r="AP71" s="17"/>
      <c r="AQ71" s="96">
        <v>1998</v>
      </c>
      <c r="AR71" s="97" t="s">
        <v>41</v>
      </c>
      <c r="AS71" s="41"/>
      <c r="AT71" s="41"/>
      <c r="AU71" s="41"/>
      <c r="AV71" s="16"/>
      <c r="AW71" s="16"/>
      <c r="AX71" s="16"/>
      <c r="AY71" s="16"/>
      <c r="AZ71" s="69">
        <f>(SUM(AZ$134:AZ$149)/16)/(SUM($J$134:$J$149)/16)*SARM[[#This Row],[Trenes Corridos]]</f>
        <v>1099.4110524854207</v>
      </c>
      <c r="BA71" s="16"/>
      <c r="BB71" s="16"/>
    </row>
    <row r="72" spans="1:54" s="18" customFormat="1" ht="15" customHeight="1">
      <c r="A72" s="94">
        <v>1998</v>
      </c>
      <c r="B72" s="95" t="s">
        <v>42</v>
      </c>
      <c r="C72" s="15">
        <f t="shared" si="2"/>
        <v>0.94963957736743354</v>
      </c>
      <c r="D72" s="15">
        <f t="shared" si="3"/>
        <v>0.9593017456359102</v>
      </c>
      <c r="E72" s="15">
        <f t="shared" si="4"/>
        <v>0.98992791547348669</v>
      </c>
      <c r="F72" s="16">
        <f>+Tabla2[[#This Row],[Trenes Programados por Día Hábil]]+Tabla9[[#This Row],[Trenes Programados por Día Hábil]]+Tabla10[[#This Row],[Trenes Programados por Día Hábil]]</f>
        <v>0</v>
      </c>
      <c r="G72" s="33">
        <f>+(Tabla2[[#This Row],[Coches por Tren Día Hábil]]*Tabla2[[#This Row],[Trenes Corridos]]+Tabla9[[#This Row],[Coches por Tren Día Hábil]]*Tabla9[[#This Row],[Trenes Corridos]]+Tabla10[[#This Row],[Coches por Tren Día Hábil]]*Tabla10[[#This Row],[Trenes Corridos]])/SARM[[#This Row],[Trenes Corridos]]</f>
        <v>0</v>
      </c>
      <c r="H72" s="16">
        <v>10127</v>
      </c>
      <c r="I72" s="16">
        <f t="shared" si="5"/>
        <v>102</v>
      </c>
      <c r="J72" s="16">
        <v>10025</v>
      </c>
      <c r="K72" s="16">
        <v>9617</v>
      </c>
      <c r="L72" s="16">
        <f t="shared" si="6"/>
        <v>408</v>
      </c>
      <c r="M72" s="16"/>
      <c r="N72" s="17"/>
      <c r="O72" s="94">
        <v>1998</v>
      </c>
      <c r="P72" s="95" t="s">
        <v>42</v>
      </c>
      <c r="Q72" s="41"/>
      <c r="R72" s="41"/>
      <c r="S72" s="41"/>
      <c r="T72" s="16"/>
      <c r="U72" s="16"/>
      <c r="V72" s="16"/>
      <c r="W72" s="16"/>
      <c r="X72" s="69">
        <f>(SUM(X$134:X$149)/16)/(SUM($J$134:$J$149)/16)*SARM[[#This Row],[Trenes Corridos]]</f>
        <v>7951.8628505970564</v>
      </c>
      <c r="Y72" s="16"/>
      <c r="Z72" s="16"/>
      <c r="AA72" s="16"/>
      <c r="AB72" s="17"/>
      <c r="AC72" s="94">
        <v>1998</v>
      </c>
      <c r="AD72" s="95" t="s">
        <v>42</v>
      </c>
      <c r="AE72" s="41"/>
      <c r="AF72" s="41"/>
      <c r="AG72" s="41"/>
      <c r="AH72" s="16"/>
      <c r="AI72" s="16"/>
      <c r="AJ72" s="16"/>
      <c r="AK72" s="16"/>
      <c r="AL72" s="69">
        <f>(SUM(AL$134:AL$149)/16)/(SUM($J$134:$J$149)/16)*SARM[[#This Row],[Trenes Corridos]]</f>
        <v>921.695883088031</v>
      </c>
      <c r="AM72" s="16"/>
      <c r="AN72" s="16"/>
      <c r="AO72" s="16"/>
      <c r="AP72" s="17"/>
      <c r="AQ72" s="94">
        <v>1998</v>
      </c>
      <c r="AR72" s="95" t="s">
        <v>42</v>
      </c>
      <c r="AS72" s="41"/>
      <c r="AT72" s="41"/>
      <c r="AU72" s="41"/>
      <c r="AV72" s="16"/>
      <c r="AW72" s="16"/>
      <c r="AX72" s="16"/>
      <c r="AY72" s="16"/>
      <c r="AZ72" s="69">
        <f>(SUM(AZ$134:AZ$149)/16)/(SUM($J$134:$J$149)/16)*SARM[[#This Row],[Trenes Corridos]]</f>
        <v>1151.4412663149126</v>
      </c>
      <c r="BA72" s="16"/>
      <c r="BB72" s="16"/>
    </row>
    <row r="73" spans="1:54" s="18" customFormat="1" ht="15" customHeight="1">
      <c r="A73" s="96">
        <v>1998</v>
      </c>
      <c r="B73" s="97" t="s">
        <v>43</v>
      </c>
      <c r="C73" s="15">
        <f t="shared" si="2"/>
        <v>0.97282828282828282</v>
      </c>
      <c r="D73" s="15">
        <f t="shared" si="3"/>
        <v>0.97667579353006795</v>
      </c>
      <c r="E73" s="15">
        <f t="shared" si="4"/>
        <v>0.99606060606060609</v>
      </c>
      <c r="F73" s="16">
        <f>+Tabla2[[#This Row],[Trenes Programados por Día Hábil]]+Tabla9[[#This Row],[Trenes Programados por Día Hábil]]+Tabla10[[#This Row],[Trenes Programados por Día Hábil]]</f>
        <v>0</v>
      </c>
      <c r="G73" s="33">
        <f>+(Tabla2[[#This Row],[Coches por Tren Día Hábil]]*Tabla2[[#This Row],[Trenes Corridos]]+Tabla9[[#This Row],[Coches por Tren Día Hábil]]*Tabla9[[#This Row],[Trenes Corridos]]+Tabla10[[#This Row],[Coches por Tren Día Hábil]]*Tabla10[[#This Row],[Trenes Corridos]])/SARM[[#This Row],[Trenes Corridos]]</f>
        <v>0</v>
      </c>
      <c r="H73" s="16">
        <v>9900</v>
      </c>
      <c r="I73" s="16">
        <f t="shared" si="5"/>
        <v>39</v>
      </c>
      <c r="J73" s="16">
        <v>9861</v>
      </c>
      <c r="K73" s="16">
        <v>9631</v>
      </c>
      <c r="L73" s="16">
        <f t="shared" si="6"/>
        <v>230</v>
      </c>
      <c r="M73" s="16"/>
      <c r="N73" s="17"/>
      <c r="O73" s="96">
        <v>1998</v>
      </c>
      <c r="P73" s="97" t="s">
        <v>43</v>
      </c>
      <c r="Q73" s="41"/>
      <c r="R73" s="41"/>
      <c r="S73" s="41"/>
      <c r="T73" s="16"/>
      <c r="U73" s="16"/>
      <c r="V73" s="16"/>
      <c r="W73" s="16"/>
      <c r="X73" s="69">
        <f>(SUM(X$134:X$149)/16)/(SUM($J$134:$J$149)/16)*SARM[[#This Row],[Trenes Corridos]]</f>
        <v>7821.7775131907802</v>
      </c>
      <c r="Y73" s="16"/>
      <c r="Z73" s="16"/>
      <c r="AA73" s="16"/>
      <c r="AB73" s="17"/>
      <c r="AC73" s="96">
        <v>1998</v>
      </c>
      <c r="AD73" s="97" t="s">
        <v>43</v>
      </c>
      <c r="AE73" s="41"/>
      <c r="AF73" s="41"/>
      <c r="AG73" s="41"/>
      <c r="AH73" s="16"/>
      <c r="AI73" s="16"/>
      <c r="AJ73" s="16"/>
      <c r="AK73" s="16"/>
      <c r="AL73" s="69">
        <f>(SUM(AL$134:AL$149)/16)/(SUM($J$134:$J$149)/16)*SARM[[#This Row],[Trenes Corridos]]</f>
        <v>906.61776589836154</v>
      </c>
      <c r="AM73" s="16"/>
      <c r="AN73" s="16"/>
      <c r="AO73" s="16"/>
      <c r="AP73" s="17"/>
      <c r="AQ73" s="96">
        <v>1998</v>
      </c>
      <c r="AR73" s="97" t="s">
        <v>43</v>
      </c>
      <c r="AS73" s="41"/>
      <c r="AT73" s="41"/>
      <c r="AU73" s="41"/>
      <c r="AV73" s="16"/>
      <c r="AW73" s="16"/>
      <c r="AX73" s="16"/>
      <c r="AY73" s="16"/>
      <c r="AZ73" s="69">
        <f>(SUM(AZ$134:AZ$149)/16)/(SUM($J$134:$J$149)/16)*SARM[[#This Row],[Trenes Corridos]]</f>
        <v>1132.6047209108581</v>
      </c>
      <c r="BA73" s="16"/>
      <c r="BB73" s="16"/>
    </row>
    <row r="74" spans="1:54" s="18" customFormat="1" ht="15" customHeight="1">
      <c r="A74" s="94">
        <v>1998</v>
      </c>
      <c r="B74" s="95" t="s">
        <v>44</v>
      </c>
      <c r="C74" s="15">
        <f t="shared" ref="C74:C137" si="7">K74/H74</f>
        <v>0.95837532755492849</v>
      </c>
      <c r="D74" s="15">
        <f t="shared" ref="D74:D137" si="8">K74/J74</f>
        <v>0.97298680036836183</v>
      </c>
      <c r="E74" s="15">
        <f t="shared" ref="E74:E137" si="9">J74/H74</f>
        <v>0.98498286635758925</v>
      </c>
      <c r="F74" s="16">
        <f>+Tabla2[[#This Row],[Trenes Programados por Día Hábil]]+Tabla9[[#This Row],[Trenes Programados por Día Hábil]]+Tabla10[[#This Row],[Trenes Programados por Día Hábil]]</f>
        <v>0</v>
      </c>
      <c r="G74" s="33">
        <f>+(Tabla2[[#This Row],[Coches por Tren Día Hábil]]*Tabla2[[#This Row],[Trenes Corridos]]+Tabla9[[#This Row],[Coches por Tren Día Hábil]]*Tabla9[[#This Row],[Trenes Corridos]]+Tabla10[[#This Row],[Coches por Tren Día Hábil]]*Tabla10[[#This Row],[Trenes Corridos]])/SARM[[#This Row],[Trenes Corridos]]</f>
        <v>0</v>
      </c>
      <c r="H74" s="16">
        <v>9922</v>
      </c>
      <c r="I74" s="16">
        <f t="shared" si="5"/>
        <v>149</v>
      </c>
      <c r="J74" s="16">
        <v>9773</v>
      </c>
      <c r="K74" s="16">
        <v>9509</v>
      </c>
      <c r="L74" s="16">
        <f t="shared" si="6"/>
        <v>264</v>
      </c>
      <c r="M74" s="16"/>
      <c r="N74" s="17"/>
      <c r="O74" s="94">
        <v>1998</v>
      </c>
      <c r="P74" s="95" t="s">
        <v>44</v>
      </c>
      <c r="Q74" s="41"/>
      <c r="R74" s="41"/>
      <c r="S74" s="41"/>
      <c r="T74" s="16"/>
      <c r="U74" s="16"/>
      <c r="V74" s="16"/>
      <c r="W74" s="16"/>
      <c r="X74" s="69">
        <f>(SUM(X$134:X$149)/16)/(SUM($J$134:$J$149)/16)*SARM[[#This Row],[Trenes Corridos]]</f>
        <v>7751.9756248264366</v>
      </c>
      <c r="Y74" s="16"/>
      <c r="Z74" s="16"/>
      <c r="AA74" s="16"/>
      <c r="AB74" s="17"/>
      <c r="AC74" s="94">
        <v>1998</v>
      </c>
      <c r="AD74" s="95" t="s">
        <v>44</v>
      </c>
      <c r="AE74" s="41"/>
      <c r="AF74" s="41"/>
      <c r="AG74" s="41"/>
      <c r="AH74" s="16"/>
      <c r="AI74" s="16"/>
      <c r="AJ74" s="16"/>
      <c r="AK74" s="16"/>
      <c r="AL74" s="69">
        <f>(SUM(AL$134:AL$149)/16)/(SUM($J$134:$J$149)/16)*SARM[[#This Row],[Trenes Corridos]]</f>
        <v>898.5270688697583</v>
      </c>
      <c r="AM74" s="16"/>
      <c r="AN74" s="16"/>
      <c r="AO74" s="16"/>
      <c r="AP74" s="17"/>
      <c r="AQ74" s="94">
        <v>1998</v>
      </c>
      <c r="AR74" s="95" t="s">
        <v>44</v>
      </c>
      <c r="AS74" s="41"/>
      <c r="AT74" s="41"/>
      <c r="AU74" s="41"/>
      <c r="AV74" s="16"/>
      <c r="AW74" s="16"/>
      <c r="AX74" s="16"/>
      <c r="AY74" s="16"/>
      <c r="AZ74" s="69">
        <f>(SUM(AZ$134:AZ$149)/16)/(SUM($J$134:$J$149)/16)*SARM[[#This Row],[Trenes Corridos]]</f>
        <v>1122.4973063038044</v>
      </c>
      <c r="BA74" s="16"/>
      <c r="BB74" s="16"/>
    </row>
    <row r="75" spans="1:54" s="18" customFormat="1" ht="15" customHeight="1">
      <c r="A75" s="96">
        <v>1998</v>
      </c>
      <c r="B75" s="97" t="s">
        <v>45</v>
      </c>
      <c r="C75" s="15">
        <f t="shared" si="7"/>
        <v>0.95535003977724742</v>
      </c>
      <c r="D75" s="15">
        <f t="shared" si="8"/>
        <v>0.9699141847551741</v>
      </c>
      <c r="E75" s="15">
        <f t="shared" si="9"/>
        <v>0.98498408910103419</v>
      </c>
      <c r="F75" s="16">
        <f>+Tabla2[[#This Row],[Trenes Programados por Día Hábil]]+Tabla9[[#This Row],[Trenes Programados por Día Hábil]]+Tabla10[[#This Row],[Trenes Programados por Día Hábil]]</f>
        <v>0</v>
      </c>
      <c r="G75" s="33">
        <f>+(Tabla2[[#This Row],[Coches por Tren Día Hábil]]*Tabla2[[#This Row],[Trenes Corridos]]+Tabla9[[#This Row],[Coches por Tren Día Hábil]]*Tabla9[[#This Row],[Trenes Corridos]]+Tabla10[[#This Row],[Coches por Tren Día Hábil]]*Tabla10[[#This Row],[Trenes Corridos]])/SARM[[#This Row],[Trenes Corridos]]</f>
        <v>0</v>
      </c>
      <c r="H75" s="16">
        <v>10056</v>
      </c>
      <c r="I75" s="16">
        <f t="shared" si="5"/>
        <v>151</v>
      </c>
      <c r="J75" s="16">
        <v>9905</v>
      </c>
      <c r="K75" s="16">
        <v>9607</v>
      </c>
      <c r="L75" s="16">
        <f t="shared" si="6"/>
        <v>298</v>
      </c>
      <c r="M75" s="16"/>
      <c r="N75" s="17"/>
      <c r="O75" s="96">
        <v>1998</v>
      </c>
      <c r="P75" s="97" t="s">
        <v>45</v>
      </c>
      <c r="Q75" s="41"/>
      <c r="R75" s="41"/>
      <c r="S75" s="41"/>
      <c r="T75" s="16"/>
      <c r="U75" s="16"/>
      <c r="V75" s="16"/>
      <c r="W75" s="16"/>
      <c r="X75" s="69">
        <f>(SUM(X$134:X$149)/16)/(SUM($J$134:$J$149)/16)*SARM[[#This Row],[Trenes Corridos]]</f>
        <v>7856.6784573729519</v>
      </c>
      <c r="Y75" s="16"/>
      <c r="Z75" s="16"/>
      <c r="AA75" s="16"/>
      <c r="AB75" s="17"/>
      <c r="AC75" s="96">
        <v>1998</v>
      </c>
      <c r="AD75" s="97" t="s">
        <v>45</v>
      </c>
      <c r="AE75" s="41"/>
      <c r="AF75" s="41"/>
      <c r="AG75" s="41"/>
      <c r="AH75" s="16"/>
      <c r="AI75" s="16"/>
      <c r="AJ75" s="16"/>
      <c r="AK75" s="16"/>
      <c r="AL75" s="69">
        <f>(SUM(AL$134:AL$149)/16)/(SUM($J$134:$J$149)/16)*SARM[[#This Row],[Trenes Corridos]]</f>
        <v>910.66311441266305</v>
      </c>
      <c r="AM75" s="16"/>
      <c r="AN75" s="16"/>
      <c r="AO75" s="16"/>
      <c r="AP75" s="17"/>
      <c r="AQ75" s="96">
        <v>1998</v>
      </c>
      <c r="AR75" s="97" t="s">
        <v>45</v>
      </c>
      <c r="AS75" s="41"/>
      <c r="AT75" s="41"/>
      <c r="AU75" s="41"/>
      <c r="AV75" s="16"/>
      <c r="AW75" s="16"/>
      <c r="AX75" s="16"/>
      <c r="AY75" s="16"/>
      <c r="AZ75" s="69">
        <f>(SUM(AZ$134:AZ$149)/16)/(SUM($J$134:$J$149)/16)*SARM[[#This Row],[Trenes Corridos]]</f>
        <v>1137.6584282143849</v>
      </c>
      <c r="BA75" s="16"/>
      <c r="BB75" s="16"/>
    </row>
    <row r="76" spans="1:54" s="18" customFormat="1" ht="15" customHeight="1">
      <c r="A76" s="94">
        <v>1998</v>
      </c>
      <c r="B76" s="95" t="s">
        <v>46</v>
      </c>
      <c r="C76" s="15">
        <f t="shared" si="7"/>
        <v>0.96047511775547822</v>
      </c>
      <c r="D76" s="15">
        <f t="shared" si="8"/>
        <v>0.96760883020425004</v>
      </c>
      <c r="E76" s="15">
        <f t="shared" si="9"/>
        <v>0.99262748310464877</v>
      </c>
      <c r="F76" s="16">
        <f>+Tabla2[[#This Row],[Trenes Programados por Día Hábil]]+Tabla9[[#This Row],[Trenes Programados por Día Hábil]]+Tabla10[[#This Row],[Trenes Programados por Día Hábil]]</f>
        <v>0</v>
      </c>
      <c r="G76" s="33">
        <f>+(Tabla2[[#This Row],[Coches por Tren Día Hábil]]*Tabla2[[#This Row],[Trenes Corridos]]+Tabla9[[#This Row],[Coches por Tren Día Hábil]]*Tabla9[[#This Row],[Trenes Corridos]]+Tabla10[[#This Row],[Coches por Tren Día Hábil]]*Tabla10[[#This Row],[Trenes Corridos]])/SARM[[#This Row],[Trenes Corridos]]</f>
        <v>0</v>
      </c>
      <c r="H76" s="16">
        <v>9766</v>
      </c>
      <c r="I76" s="16">
        <f t="shared" si="5"/>
        <v>72</v>
      </c>
      <c r="J76" s="16">
        <v>9694</v>
      </c>
      <c r="K76" s="16">
        <v>9380</v>
      </c>
      <c r="L76" s="16">
        <f t="shared" si="6"/>
        <v>314</v>
      </c>
      <c r="M76" s="16"/>
      <c r="N76" s="17"/>
      <c r="O76" s="94">
        <v>1998</v>
      </c>
      <c r="P76" s="95" t="s">
        <v>46</v>
      </c>
      <c r="Q76" s="41"/>
      <c r="R76" s="41"/>
      <c r="S76" s="41"/>
      <c r="T76" s="16"/>
      <c r="U76" s="16"/>
      <c r="V76" s="16"/>
      <c r="W76" s="16"/>
      <c r="X76" s="69">
        <f>(SUM(X$134:X$149)/16)/(SUM($J$134:$J$149)/16)*SARM[[#This Row],[Trenes Corridos]]</f>
        <v>7689.3125659539019</v>
      </c>
      <c r="Y76" s="16"/>
      <c r="Z76" s="16"/>
      <c r="AA76" s="16"/>
      <c r="AB76" s="17"/>
      <c r="AC76" s="94">
        <v>1998</v>
      </c>
      <c r="AD76" s="95" t="s">
        <v>46</v>
      </c>
      <c r="AE76" s="41"/>
      <c r="AF76" s="41"/>
      <c r="AG76" s="41"/>
      <c r="AH76" s="16"/>
      <c r="AI76" s="16"/>
      <c r="AJ76" s="16"/>
      <c r="AK76" s="16"/>
      <c r="AL76" s="69">
        <f>(SUM(AL$134:AL$149)/16)/(SUM($J$134:$J$149)/16)*SARM[[#This Row],[Trenes Corridos]]</f>
        <v>891.26382949180777</v>
      </c>
      <c r="AM76" s="16"/>
      <c r="AN76" s="16"/>
      <c r="AO76" s="16"/>
      <c r="AP76" s="17"/>
      <c r="AQ76" s="94">
        <v>1998</v>
      </c>
      <c r="AR76" s="95" t="s">
        <v>46</v>
      </c>
      <c r="AS76" s="41"/>
      <c r="AT76" s="41"/>
      <c r="AU76" s="41"/>
      <c r="AV76" s="16"/>
      <c r="AW76" s="16"/>
      <c r="AX76" s="16"/>
      <c r="AY76" s="16"/>
      <c r="AZ76" s="69">
        <f>(SUM(AZ$134:AZ$149)/16)/(SUM($J$134:$J$149)/16)*SARM[[#This Row],[Trenes Corridos]]</f>
        <v>1113.4236045542905</v>
      </c>
      <c r="BA76" s="16"/>
      <c r="BB76" s="16"/>
    </row>
    <row r="77" spans="1:54" s="18" customFormat="1" ht="15" customHeight="1">
      <c r="A77" s="96">
        <v>1998</v>
      </c>
      <c r="B77" s="97" t="s">
        <v>47</v>
      </c>
      <c r="C77" s="15">
        <f t="shared" si="7"/>
        <v>0.91846354427840737</v>
      </c>
      <c r="D77" s="15">
        <f t="shared" si="8"/>
        <v>0.96187375275706333</v>
      </c>
      <c r="E77" s="15">
        <f t="shared" si="9"/>
        <v>0.95486912044930294</v>
      </c>
      <c r="F77" s="16">
        <f>+Tabla2[[#This Row],[Trenes Programados por Día Hábil]]+Tabla9[[#This Row],[Trenes Programados por Día Hábil]]+Tabla10[[#This Row],[Trenes Programados por Día Hábil]]</f>
        <v>0</v>
      </c>
      <c r="G77" s="33">
        <f>+(Tabla2[[#This Row],[Coches por Tren Día Hábil]]*Tabla2[[#This Row],[Trenes Corridos]]+Tabla9[[#This Row],[Coches por Tren Día Hábil]]*Tabla9[[#This Row],[Trenes Corridos]]+Tabla10[[#This Row],[Coches por Tren Día Hábil]]*Tabla10[[#This Row],[Trenes Corridos]])/SARM[[#This Row],[Trenes Corridos]]</f>
        <v>0</v>
      </c>
      <c r="H77" s="16">
        <v>9971</v>
      </c>
      <c r="I77" s="16">
        <f t="shared" si="5"/>
        <v>450</v>
      </c>
      <c r="J77" s="16">
        <v>9521</v>
      </c>
      <c r="K77" s="16">
        <v>9158</v>
      </c>
      <c r="L77" s="16">
        <f t="shared" si="6"/>
        <v>363</v>
      </c>
      <c r="M77" s="16"/>
      <c r="N77" s="17"/>
      <c r="O77" s="96">
        <v>1998</v>
      </c>
      <c r="P77" s="97" t="s">
        <v>47</v>
      </c>
      <c r="Q77" s="41"/>
      <c r="R77" s="41"/>
      <c r="S77" s="41"/>
      <c r="T77" s="16"/>
      <c r="U77" s="16"/>
      <c r="V77" s="16"/>
      <c r="W77" s="16"/>
      <c r="X77" s="69">
        <f>(SUM(X$134:X$149)/16)/(SUM($J$134:$J$149)/16)*SARM[[#This Row],[Trenes Corridos]]</f>
        <v>7552.0883990558177</v>
      </c>
      <c r="Y77" s="16"/>
      <c r="Z77" s="16"/>
      <c r="AA77" s="16"/>
      <c r="AB77" s="17"/>
      <c r="AC77" s="96">
        <v>1998</v>
      </c>
      <c r="AD77" s="97" t="s">
        <v>47</v>
      </c>
      <c r="AE77" s="41"/>
      <c r="AF77" s="41"/>
      <c r="AG77" s="41"/>
      <c r="AH77" s="16"/>
      <c r="AI77" s="16"/>
      <c r="AJ77" s="16"/>
      <c r="AK77" s="16"/>
      <c r="AL77" s="69">
        <f>(SUM(AL$134:AL$149)/16)/(SUM($J$134:$J$149)/16)*SARM[[#This Row],[Trenes Corridos]]</f>
        <v>875.35825465148559</v>
      </c>
      <c r="AM77" s="16"/>
      <c r="AN77" s="16"/>
      <c r="AO77" s="16"/>
      <c r="AP77" s="17"/>
      <c r="AQ77" s="96">
        <v>1998</v>
      </c>
      <c r="AR77" s="97" t="s">
        <v>47</v>
      </c>
      <c r="AS77" s="41"/>
      <c r="AT77" s="41"/>
      <c r="AU77" s="41"/>
      <c r="AV77" s="16"/>
      <c r="AW77" s="16"/>
      <c r="AX77" s="16"/>
      <c r="AY77" s="16"/>
      <c r="AZ77" s="69">
        <f>(SUM(AZ$134:AZ$149)/16)/(SUM($J$134:$J$149)/16)*SARM[[#This Row],[Trenes Corridos]]</f>
        <v>1093.5533462926965</v>
      </c>
      <c r="BA77" s="16"/>
      <c r="BB77" s="16"/>
    </row>
    <row r="78" spans="1:54" s="18" customFormat="1" ht="15" customHeight="1">
      <c r="A78" s="94">
        <v>1999</v>
      </c>
      <c r="B78" s="95" t="s">
        <v>36</v>
      </c>
      <c r="C78" s="15">
        <f t="shared" si="7"/>
        <v>0.97636363636363632</v>
      </c>
      <c r="D78" s="15">
        <f t="shared" si="8"/>
        <v>0.9830163734363877</v>
      </c>
      <c r="E78" s="15">
        <f t="shared" si="9"/>
        <v>0.99323232323232324</v>
      </c>
      <c r="F78" s="16">
        <f>+Tabla2[[#This Row],[Trenes Programados por Día Hábil]]+Tabla9[[#This Row],[Trenes Programados por Día Hábil]]+Tabla10[[#This Row],[Trenes Programados por Día Hábil]]</f>
        <v>0</v>
      </c>
      <c r="G78" s="33">
        <f>+(Tabla2[[#This Row],[Coches por Tren Día Hábil]]*Tabla2[[#This Row],[Trenes Corridos]]+Tabla9[[#This Row],[Coches por Tren Día Hábil]]*Tabla9[[#This Row],[Trenes Corridos]]+Tabla10[[#This Row],[Coches por Tren Día Hábil]]*Tabla10[[#This Row],[Trenes Corridos]])/SARM[[#This Row],[Trenes Corridos]]</f>
        <v>0</v>
      </c>
      <c r="H78" s="16">
        <v>9900</v>
      </c>
      <c r="I78" s="16">
        <f t="shared" si="5"/>
        <v>67</v>
      </c>
      <c r="J78" s="16">
        <v>9833</v>
      </c>
      <c r="K78" s="16">
        <v>9666</v>
      </c>
      <c r="L78" s="16">
        <f t="shared" si="6"/>
        <v>167</v>
      </c>
      <c r="M78" s="16"/>
      <c r="N78" s="17"/>
      <c r="O78" s="94">
        <v>1999</v>
      </c>
      <c r="P78" s="95" t="s">
        <v>36</v>
      </c>
      <c r="Q78" s="41"/>
      <c r="R78" s="41"/>
      <c r="S78" s="41"/>
      <c r="T78" s="16"/>
      <c r="U78" s="16"/>
      <c r="V78" s="16"/>
      <c r="W78" s="16"/>
      <c r="X78" s="69">
        <f>(SUM(X$134:X$149)/16)/(SUM($J$134:$J$149)/16)*SARM[[#This Row],[Trenes Corridos]]</f>
        <v>7799.5678214384889</v>
      </c>
      <c r="Y78" s="16"/>
      <c r="Z78" s="16"/>
      <c r="AA78" s="16"/>
      <c r="AB78" s="17"/>
      <c r="AC78" s="94">
        <v>1999</v>
      </c>
      <c r="AD78" s="95" t="s">
        <v>36</v>
      </c>
      <c r="AE78" s="41"/>
      <c r="AF78" s="41"/>
      <c r="AG78" s="41"/>
      <c r="AH78" s="16"/>
      <c r="AI78" s="16"/>
      <c r="AJ78" s="16"/>
      <c r="AK78" s="16"/>
      <c r="AL78" s="69">
        <f>(SUM(AL$134:AL$149)/16)/(SUM($J$134:$J$149)/16)*SARM[[#This Row],[Trenes Corridos]]</f>
        <v>904.04345320744233</v>
      </c>
      <c r="AM78" s="16"/>
      <c r="AN78" s="16"/>
      <c r="AO78" s="16"/>
      <c r="AP78" s="17"/>
      <c r="AQ78" s="94">
        <v>1999</v>
      </c>
      <c r="AR78" s="95" t="s">
        <v>36</v>
      </c>
      <c r="AS78" s="41"/>
      <c r="AT78" s="41"/>
      <c r="AU78" s="41"/>
      <c r="AV78" s="16"/>
      <c r="AW78" s="16"/>
      <c r="AX78" s="16"/>
      <c r="AY78" s="16"/>
      <c r="AZ78" s="69">
        <f>(SUM(AZ$134:AZ$149)/16)/(SUM($J$134:$J$149)/16)*SARM[[#This Row],[Trenes Corridos]]</f>
        <v>1129.3887253540684</v>
      </c>
      <c r="BA78" s="16"/>
      <c r="BB78" s="16"/>
    </row>
    <row r="79" spans="1:54" s="18" customFormat="1" ht="15" customHeight="1">
      <c r="A79" s="96">
        <v>1999</v>
      </c>
      <c r="B79" s="97" t="s">
        <v>37</v>
      </c>
      <c r="C79" s="15">
        <f t="shared" si="7"/>
        <v>0.96652173913043482</v>
      </c>
      <c r="D79" s="15">
        <f t="shared" si="8"/>
        <v>0.97137863229189425</v>
      </c>
      <c r="E79" s="15">
        <f t="shared" si="9"/>
        <v>0.995</v>
      </c>
      <c r="F79" s="16">
        <f>+Tabla2[[#This Row],[Trenes Programados por Día Hábil]]+Tabla9[[#This Row],[Trenes Programados por Día Hábil]]+Tabla10[[#This Row],[Trenes Programados por Día Hábil]]</f>
        <v>0</v>
      </c>
      <c r="G79" s="33">
        <f>+(Tabla2[[#This Row],[Coches por Tren Día Hábil]]*Tabla2[[#This Row],[Trenes Corridos]]+Tabla9[[#This Row],[Coches por Tren Día Hábil]]*Tabla9[[#This Row],[Trenes Corridos]]+Tabla10[[#This Row],[Coches por Tren Día Hábil]]*Tabla10[[#This Row],[Trenes Corridos]])/SARM[[#This Row],[Trenes Corridos]]</f>
        <v>0</v>
      </c>
      <c r="H79" s="16">
        <v>9200</v>
      </c>
      <c r="I79" s="16">
        <f t="shared" si="5"/>
        <v>46</v>
      </c>
      <c r="J79" s="16">
        <v>9154</v>
      </c>
      <c r="K79" s="16">
        <v>8892</v>
      </c>
      <c r="L79" s="16">
        <f t="shared" si="6"/>
        <v>262</v>
      </c>
      <c r="M79" s="16"/>
      <c r="N79" s="17"/>
      <c r="O79" s="96">
        <v>1999</v>
      </c>
      <c r="P79" s="97" t="s">
        <v>37</v>
      </c>
      <c r="Q79" s="41"/>
      <c r="R79" s="41"/>
      <c r="S79" s="41"/>
      <c r="T79" s="16"/>
      <c r="U79" s="16"/>
      <c r="V79" s="16"/>
      <c r="W79" s="16"/>
      <c r="X79" s="69">
        <f>(SUM(X$134:X$149)/16)/(SUM($J$134:$J$149)/16)*SARM[[#This Row],[Trenes Corridos]]</f>
        <v>7260.9827964454316</v>
      </c>
      <c r="Y79" s="16"/>
      <c r="Z79" s="16"/>
      <c r="AA79" s="16"/>
      <c r="AB79" s="17"/>
      <c r="AC79" s="96">
        <v>1999</v>
      </c>
      <c r="AD79" s="97" t="s">
        <v>37</v>
      </c>
      <c r="AE79" s="41"/>
      <c r="AF79" s="41"/>
      <c r="AG79" s="41"/>
      <c r="AH79" s="16"/>
      <c r="AI79" s="16"/>
      <c r="AJ79" s="16"/>
      <c r="AK79" s="16"/>
      <c r="AL79" s="69">
        <f>(SUM(AL$134:AL$149)/16)/(SUM($J$134:$J$149)/16)*SARM[[#This Row],[Trenes Corridos]]</f>
        <v>841.61637045265195</v>
      </c>
      <c r="AM79" s="16"/>
      <c r="AN79" s="16"/>
      <c r="AO79" s="16"/>
      <c r="AP79" s="17"/>
      <c r="AQ79" s="96">
        <v>1999</v>
      </c>
      <c r="AR79" s="97" t="s">
        <v>37</v>
      </c>
      <c r="AS79" s="41"/>
      <c r="AT79" s="41"/>
      <c r="AU79" s="41"/>
      <c r="AV79" s="16"/>
      <c r="AW79" s="16"/>
      <c r="AX79" s="16"/>
      <c r="AY79" s="16"/>
      <c r="AZ79" s="69">
        <f>(SUM(AZ$134:AZ$149)/16)/(SUM($J$134:$J$149)/16)*SARM[[#This Row],[Trenes Corridos]]</f>
        <v>1051.4008331019161</v>
      </c>
      <c r="BA79" s="16"/>
      <c r="BB79" s="16"/>
    </row>
    <row r="80" spans="1:54" s="18" customFormat="1" ht="15" customHeight="1">
      <c r="A80" s="94">
        <v>1999</v>
      </c>
      <c r="B80" s="95" t="s">
        <v>38</v>
      </c>
      <c r="C80" s="15">
        <f t="shared" si="7"/>
        <v>0.955849460274239</v>
      </c>
      <c r="D80" s="15">
        <f t="shared" si="8"/>
        <v>0.9674212598425197</v>
      </c>
      <c r="E80" s="15">
        <f t="shared" si="9"/>
        <v>0.98803851016240396</v>
      </c>
      <c r="F80" s="16">
        <f>+Tabla2[[#This Row],[Trenes Programados por Día Hábil]]+Tabla9[[#This Row],[Trenes Programados por Día Hábil]]+Tabla10[[#This Row],[Trenes Programados por Día Hábil]]</f>
        <v>0</v>
      </c>
      <c r="G80" s="33">
        <f>+(Tabla2[[#This Row],[Coches por Tren Día Hábil]]*Tabla2[[#This Row],[Trenes Corridos]]+Tabla9[[#This Row],[Coches por Tren Día Hábil]]*Tabla9[[#This Row],[Trenes Corridos]]+Tabla10[[#This Row],[Coches por Tren Día Hábil]]*Tabla10[[#This Row],[Trenes Corridos]])/SARM[[#This Row],[Trenes Corridos]]</f>
        <v>0</v>
      </c>
      <c r="H80" s="16">
        <v>10283</v>
      </c>
      <c r="I80" s="16">
        <f t="shared" si="5"/>
        <v>123</v>
      </c>
      <c r="J80" s="16">
        <v>10160</v>
      </c>
      <c r="K80" s="16">
        <v>9829</v>
      </c>
      <c r="L80" s="16">
        <f t="shared" si="6"/>
        <v>331</v>
      </c>
      <c r="M80" s="16"/>
      <c r="N80" s="17"/>
      <c r="O80" s="94">
        <v>1999</v>
      </c>
      <c r="P80" s="95" t="s">
        <v>38</v>
      </c>
      <c r="Q80" s="41"/>
      <c r="R80" s="41"/>
      <c r="S80" s="41"/>
      <c r="T80" s="16"/>
      <c r="U80" s="16"/>
      <c r="V80" s="16"/>
      <c r="W80" s="16"/>
      <c r="X80" s="69">
        <f>(SUM(X$134:X$149)/16)/(SUM($J$134:$J$149)/16)*SARM[[#This Row],[Trenes Corridos]]</f>
        <v>8058.9452929741738</v>
      </c>
      <c r="Y80" s="16"/>
      <c r="Z80" s="16"/>
      <c r="AA80" s="16"/>
      <c r="AB80" s="17"/>
      <c r="AC80" s="94">
        <v>1999</v>
      </c>
      <c r="AD80" s="95" t="s">
        <v>38</v>
      </c>
      <c r="AE80" s="41"/>
      <c r="AF80" s="41"/>
      <c r="AG80" s="41"/>
      <c r="AH80" s="16"/>
      <c r="AI80" s="16"/>
      <c r="AJ80" s="16"/>
      <c r="AK80" s="16"/>
      <c r="AL80" s="69">
        <f>(SUM(AL$134:AL$149)/16)/(SUM($J$134:$J$149)/16)*SARM[[#This Row],[Trenes Corridos]]</f>
        <v>934.10774784781995</v>
      </c>
      <c r="AM80" s="16"/>
      <c r="AN80" s="16"/>
      <c r="AO80" s="16"/>
      <c r="AP80" s="17"/>
      <c r="AQ80" s="94">
        <v>1999</v>
      </c>
      <c r="AR80" s="95" t="s">
        <v>38</v>
      </c>
      <c r="AS80" s="41"/>
      <c r="AT80" s="41"/>
      <c r="AU80" s="41"/>
      <c r="AV80" s="16"/>
      <c r="AW80" s="16"/>
      <c r="AX80" s="16"/>
      <c r="AY80" s="16"/>
      <c r="AZ80" s="69">
        <f>(SUM(AZ$134:AZ$149)/16)/(SUM($J$134:$J$149)/16)*SARM[[#This Row],[Trenes Corridos]]</f>
        <v>1166.946959178006</v>
      </c>
      <c r="BA80" s="16"/>
      <c r="BB80" s="16"/>
    </row>
    <row r="81" spans="1:54" s="18" customFormat="1" ht="15" customHeight="1">
      <c r="A81" s="96">
        <v>1999</v>
      </c>
      <c r="B81" s="97" t="s">
        <v>39</v>
      </c>
      <c r="C81" s="15">
        <f t="shared" si="7"/>
        <v>0.95368746776689017</v>
      </c>
      <c r="D81" s="15">
        <f t="shared" si="8"/>
        <v>0.96826892868363179</v>
      </c>
      <c r="E81" s="15">
        <f t="shared" si="9"/>
        <v>0.98494069107787519</v>
      </c>
      <c r="F81" s="16">
        <f>+Tabla2[[#This Row],[Trenes Programados por Día Hábil]]+Tabla9[[#This Row],[Trenes Programados por Día Hábil]]+Tabla10[[#This Row],[Trenes Programados por Día Hábil]]</f>
        <v>0</v>
      </c>
      <c r="G81" s="33">
        <f>+(Tabla2[[#This Row],[Coches por Tren Día Hábil]]*Tabla2[[#This Row],[Trenes Corridos]]+Tabla9[[#This Row],[Coches por Tren Día Hábil]]*Tabla9[[#This Row],[Trenes Corridos]]+Tabla10[[#This Row],[Coches por Tren Día Hábil]]*Tabla10[[#This Row],[Trenes Corridos]])/SARM[[#This Row],[Trenes Corridos]]</f>
        <v>0</v>
      </c>
      <c r="H81" s="16">
        <v>9695</v>
      </c>
      <c r="I81" s="16">
        <f t="shared" si="5"/>
        <v>146</v>
      </c>
      <c r="J81" s="16">
        <v>9549</v>
      </c>
      <c r="K81" s="16">
        <v>9246</v>
      </c>
      <c r="L81" s="16">
        <f t="shared" si="6"/>
        <v>303</v>
      </c>
      <c r="M81" s="16"/>
      <c r="N81" s="17"/>
      <c r="O81" s="96">
        <v>1999</v>
      </c>
      <c r="P81" s="97" t="s">
        <v>39</v>
      </c>
      <c r="Q81" s="41"/>
      <c r="R81" s="41"/>
      <c r="S81" s="41"/>
      <c r="T81" s="16"/>
      <c r="U81" s="16"/>
      <c r="V81" s="16"/>
      <c r="W81" s="16"/>
      <c r="X81" s="69">
        <f>(SUM(X$134:X$149)/16)/(SUM($J$134:$J$149)/16)*SARM[[#This Row],[Trenes Corridos]]</f>
        <v>7574.298090808109</v>
      </c>
      <c r="Y81" s="16"/>
      <c r="Z81" s="16"/>
      <c r="AA81" s="16"/>
      <c r="AB81" s="17"/>
      <c r="AC81" s="96">
        <v>1999</v>
      </c>
      <c r="AD81" s="97" t="s">
        <v>39</v>
      </c>
      <c r="AE81" s="41"/>
      <c r="AF81" s="41"/>
      <c r="AG81" s="41"/>
      <c r="AH81" s="16"/>
      <c r="AI81" s="16"/>
      <c r="AJ81" s="16"/>
      <c r="AK81" s="16"/>
      <c r="AL81" s="69">
        <f>(SUM(AL$134:AL$149)/16)/(SUM($J$134:$J$149)/16)*SARM[[#This Row],[Trenes Corridos]]</f>
        <v>877.93256734240481</v>
      </c>
      <c r="AM81" s="16"/>
      <c r="AN81" s="16"/>
      <c r="AO81" s="16"/>
      <c r="AP81" s="17"/>
      <c r="AQ81" s="96">
        <v>1999</v>
      </c>
      <c r="AR81" s="97" t="s">
        <v>39</v>
      </c>
      <c r="AS81" s="41"/>
      <c r="AT81" s="41"/>
      <c r="AU81" s="41"/>
      <c r="AV81" s="16"/>
      <c r="AW81" s="16"/>
      <c r="AX81" s="16"/>
      <c r="AY81" s="16"/>
      <c r="AZ81" s="69">
        <f>(SUM(AZ$134:AZ$149)/16)/(SUM($J$134:$J$149)/16)*SARM[[#This Row],[Trenes Corridos]]</f>
        <v>1096.7693418494862</v>
      </c>
      <c r="BA81" s="16"/>
      <c r="BB81" s="16"/>
    </row>
    <row r="82" spans="1:54" s="18" customFormat="1" ht="15" customHeight="1">
      <c r="A82" s="94">
        <v>1999</v>
      </c>
      <c r="B82" s="95" t="s">
        <v>40</v>
      </c>
      <c r="C82" s="15">
        <f t="shared" si="7"/>
        <v>0.95445746306673462</v>
      </c>
      <c r="D82" s="15">
        <f t="shared" si="8"/>
        <v>0.96190573980901528</v>
      </c>
      <c r="E82" s="15">
        <f t="shared" si="9"/>
        <v>0.9922567498726439</v>
      </c>
      <c r="F82" s="16">
        <f>+Tabla2[[#This Row],[Trenes Programados por Día Hábil]]+Tabla9[[#This Row],[Trenes Programados por Día Hábil]]+Tabla10[[#This Row],[Trenes Programados por Día Hábil]]</f>
        <v>0</v>
      </c>
      <c r="G82" s="33">
        <f>+(Tabla2[[#This Row],[Coches por Tren Día Hábil]]*Tabla2[[#This Row],[Trenes Corridos]]+Tabla9[[#This Row],[Coches por Tren Día Hábil]]*Tabla9[[#This Row],[Trenes Corridos]]+Tabla10[[#This Row],[Coches por Tren Día Hábil]]*Tabla10[[#This Row],[Trenes Corridos]])/SARM[[#This Row],[Trenes Corridos]]</f>
        <v>0</v>
      </c>
      <c r="H82" s="16">
        <v>9815</v>
      </c>
      <c r="I82" s="16">
        <f t="shared" si="5"/>
        <v>76</v>
      </c>
      <c r="J82" s="16">
        <v>9739</v>
      </c>
      <c r="K82" s="16">
        <v>9368</v>
      </c>
      <c r="L82" s="16">
        <f t="shared" si="6"/>
        <v>371</v>
      </c>
      <c r="M82" s="16"/>
      <c r="N82" s="17"/>
      <c r="O82" s="94">
        <v>1999</v>
      </c>
      <c r="P82" s="95" t="s">
        <v>40</v>
      </c>
      <c r="Q82" s="41"/>
      <c r="R82" s="41"/>
      <c r="S82" s="41"/>
      <c r="T82" s="16"/>
      <c r="U82" s="16"/>
      <c r="V82" s="16"/>
      <c r="W82" s="16"/>
      <c r="X82" s="69">
        <f>(SUM(X$134:X$149)/16)/(SUM($J$134:$J$149)/16)*SARM[[#This Row],[Trenes Corridos]]</f>
        <v>7725.0067134129404</v>
      </c>
      <c r="Y82" s="16"/>
      <c r="Z82" s="16"/>
      <c r="AA82" s="16"/>
      <c r="AB82" s="17"/>
      <c r="AC82" s="94">
        <v>1999</v>
      </c>
      <c r="AD82" s="95" t="s">
        <v>40</v>
      </c>
      <c r="AE82" s="41"/>
      <c r="AF82" s="41"/>
      <c r="AG82" s="41"/>
      <c r="AH82" s="16"/>
      <c r="AI82" s="16"/>
      <c r="AJ82" s="16"/>
      <c r="AK82" s="16"/>
      <c r="AL82" s="69">
        <f>(SUM(AL$134:AL$149)/16)/(SUM($J$134:$J$149)/16)*SARM[[#This Row],[Trenes Corridos]]</f>
        <v>895.40111774507079</v>
      </c>
      <c r="AM82" s="16"/>
      <c r="AN82" s="16"/>
      <c r="AO82" s="16"/>
      <c r="AP82" s="17"/>
      <c r="AQ82" s="94">
        <v>1999</v>
      </c>
      <c r="AR82" s="95" t="s">
        <v>40</v>
      </c>
      <c r="AS82" s="41"/>
      <c r="AT82" s="41"/>
      <c r="AU82" s="41"/>
      <c r="AV82" s="16"/>
      <c r="AW82" s="16"/>
      <c r="AX82" s="16"/>
      <c r="AY82" s="16"/>
      <c r="AZ82" s="69">
        <f>(SUM(AZ$134:AZ$149)/16)/(SUM($J$134:$J$149)/16)*SARM[[#This Row],[Trenes Corridos]]</f>
        <v>1118.5921688419883</v>
      </c>
      <c r="BA82" s="16"/>
      <c r="BB82" s="16"/>
    </row>
    <row r="83" spans="1:54" s="18" customFormat="1" ht="15" customHeight="1">
      <c r="A83" s="96">
        <v>1999</v>
      </c>
      <c r="B83" s="97" t="s">
        <v>41</v>
      </c>
      <c r="C83" s="15">
        <f t="shared" si="7"/>
        <v>0.96638917793964618</v>
      </c>
      <c r="D83" s="15">
        <f t="shared" si="8"/>
        <v>0.97614042463737649</v>
      </c>
      <c r="E83" s="15">
        <f t="shared" si="9"/>
        <v>0.9900104058272633</v>
      </c>
      <c r="F83" s="16">
        <f>+Tabla2[[#This Row],[Trenes Programados por Día Hábil]]+Tabla9[[#This Row],[Trenes Programados por Día Hábil]]+Tabla10[[#This Row],[Trenes Programados por Día Hábil]]</f>
        <v>0</v>
      </c>
      <c r="G83" s="33">
        <f>+(Tabla2[[#This Row],[Coches por Tren Día Hábil]]*Tabla2[[#This Row],[Trenes Corridos]]+Tabla9[[#This Row],[Coches por Tren Día Hábil]]*Tabla9[[#This Row],[Trenes Corridos]]+Tabla10[[#This Row],[Coches por Tren Día Hábil]]*Tabla10[[#This Row],[Trenes Corridos]])/SARM[[#This Row],[Trenes Corridos]]</f>
        <v>0</v>
      </c>
      <c r="H83" s="16">
        <v>9610</v>
      </c>
      <c r="I83" s="16">
        <f t="shared" si="5"/>
        <v>96</v>
      </c>
      <c r="J83" s="16">
        <v>9514</v>
      </c>
      <c r="K83" s="16">
        <v>9287</v>
      </c>
      <c r="L83" s="16">
        <f t="shared" si="6"/>
        <v>227</v>
      </c>
      <c r="M83" s="16"/>
      <c r="N83" s="17"/>
      <c r="O83" s="96">
        <v>1999</v>
      </c>
      <c r="P83" s="97" t="s">
        <v>41</v>
      </c>
      <c r="Q83" s="41"/>
      <c r="R83" s="41"/>
      <c r="S83" s="41"/>
      <c r="T83" s="16"/>
      <c r="U83" s="16"/>
      <c r="V83" s="16"/>
      <c r="W83" s="16"/>
      <c r="X83" s="69">
        <f>(SUM(X$134:X$149)/16)/(SUM($J$134:$J$149)/16)*SARM[[#This Row],[Trenes Corridos]]</f>
        <v>7546.5359761177451</v>
      </c>
      <c r="Y83" s="16"/>
      <c r="Z83" s="16"/>
      <c r="AA83" s="16"/>
      <c r="AB83" s="17"/>
      <c r="AC83" s="96">
        <v>1999</v>
      </c>
      <c r="AD83" s="97" t="s">
        <v>41</v>
      </c>
      <c r="AE83" s="41"/>
      <c r="AF83" s="41"/>
      <c r="AG83" s="41"/>
      <c r="AH83" s="16"/>
      <c r="AI83" s="16"/>
      <c r="AJ83" s="16"/>
      <c r="AK83" s="16"/>
      <c r="AL83" s="69">
        <f>(SUM(AL$134:AL$149)/16)/(SUM($J$134:$J$149)/16)*SARM[[#This Row],[Trenes Corridos]]</f>
        <v>874.71467647875591</v>
      </c>
      <c r="AM83" s="16"/>
      <c r="AN83" s="16"/>
      <c r="AO83" s="16"/>
      <c r="AP83" s="17"/>
      <c r="AQ83" s="96">
        <v>1999</v>
      </c>
      <c r="AR83" s="97" t="s">
        <v>41</v>
      </c>
      <c r="AS83" s="41"/>
      <c r="AT83" s="41"/>
      <c r="AU83" s="41"/>
      <c r="AV83" s="16"/>
      <c r="AW83" s="16"/>
      <c r="AX83" s="16"/>
      <c r="AY83" s="16"/>
      <c r="AZ83" s="69">
        <f>(SUM(AZ$134:AZ$149)/16)/(SUM($J$134:$J$149)/16)*SARM[[#This Row],[Trenes Corridos]]</f>
        <v>1092.7493474034991</v>
      </c>
      <c r="BA83" s="16"/>
      <c r="BB83" s="16"/>
    </row>
    <row r="84" spans="1:54" s="18" customFormat="1" ht="15" customHeight="1">
      <c r="A84" s="94">
        <v>1999</v>
      </c>
      <c r="B84" s="95" t="s">
        <v>42</v>
      </c>
      <c r="C84" s="15">
        <f t="shared" si="7"/>
        <v>0.9590294351630867</v>
      </c>
      <c r="D84" s="15">
        <f t="shared" si="8"/>
        <v>0.96343656343656348</v>
      </c>
      <c r="E84" s="15">
        <f t="shared" si="9"/>
        <v>0.99542561654733497</v>
      </c>
      <c r="F84" s="16">
        <f>+Tabla2[[#This Row],[Trenes Programados por Día Hábil]]+Tabla9[[#This Row],[Trenes Programados por Día Hábil]]+Tabla10[[#This Row],[Trenes Programados por Día Hábil]]</f>
        <v>0</v>
      </c>
      <c r="G84" s="33">
        <f>+(Tabla2[[#This Row],[Coches por Tren Día Hábil]]*Tabla2[[#This Row],[Trenes Corridos]]+Tabla9[[#This Row],[Coches por Tren Día Hábil]]*Tabla9[[#This Row],[Trenes Corridos]]+Tabla10[[#This Row],[Coches por Tren Día Hábil]]*Tabla10[[#This Row],[Trenes Corridos]])/SARM[[#This Row],[Trenes Corridos]]</f>
        <v>0</v>
      </c>
      <c r="H84" s="16">
        <v>10056</v>
      </c>
      <c r="I84" s="16">
        <f t="shared" si="5"/>
        <v>46</v>
      </c>
      <c r="J84" s="16">
        <v>10010</v>
      </c>
      <c r="K84" s="16">
        <v>9644</v>
      </c>
      <c r="L84" s="16">
        <f t="shared" si="6"/>
        <v>366</v>
      </c>
      <c r="M84" s="16"/>
      <c r="N84" s="17"/>
      <c r="O84" s="94">
        <v>1999</v>
      </c>
      <c r="P84" s="95" t="s">
        <v>42</v>
      </c>
      <c r="Q84" s="41"/>
      <c r="R84" s="41"/>
      <c r="S84" s="41"/>
      <c r="T84" s="16"/>
      <c r="U84" s="16"/>
      <c r="V84" s="16"/>
      <c r="W84" s="16"/>
      <c r="X84" s="69">
        <f>(SUM(X$134:X$149)/16)/(SUM($J$134:$J$149)/16)*SARM[[#This Row],[Trenes Corridos]]</f>
        <v>7939.9648014440436</v>
      </c>
      <c r="Y84" s="16"/>
      <c r="Z84" s="16"/>
      <c r="AA84" s="16"/>
      <c r="AB84" s="17"/>
      <c r="AC84" s="94">
        <v>1999</v>
      </c>
      <c r="AD84" s="95" t="s">
        <v>42</v>
      </c>
      <c r="AE84" s="41"/>
      <c r="AF84" s="41"/>
      <c r="AG84" s="41"/>
      <c r="AH84" s="16"/>
      <c r="AI84" s="16"/>
      <c r="AJ84" s="16"/>
      <c r="AK84" s="16"/>
      <c r="AL84" s="69">
        <f>(SUM(AL$134:AL$149)/16)/(SUM($J$134:$J$149)/16)*SARM[[#This Row],[Trenes Corridos]]</f>
        <v>920.3167870036101</v>
      </c>
      <c r="AM84" s="16"/>
      <c r="AN84" s="16"/>
      <c r="AO84" s="16"/>
      <c r="AP84" s="17"/>
      <c r="AQ84" s="94">
        <v>1999</v>
      </c>
      <c r="AR84" s="95" t="s">
        <v>42</v>
      </c>
      <c r="AS84" s="41"/>
      <c r="AT84" s="41"/>
      <c r="AU84" s="41"/>
      <c r="AV84" s="16"/>
      <c r="AW84" s="16"/>
      <c r="AX84" s="16"/>
      <c r="AY84" s="16"/>
      <c r="AZ84" s="69">
        <f>(SUM(AZ$134:AZ$149)/16)/(SUM($J$134:$J$149)/16)*SARM[[#This Row],[Trenes Corridos]]</f>
        <v>1149.7184115523464</v>
      </c>
      <c r="BA84" s="16"/>
      <c r="BB84" s="16"/>
    </row>
    <row r="85" spans="1:54" s="18" customFormat="1" ht="15" customHeight="1">
      <c r="A85" s="96">
        <v>1999</v>
      </c>
      <c r="B85" s="97" t="s">
        <v>43</v>
      </c>
      <c r="C85" s="15">
        <f t="shared" si="7"/>
        <v>0.94012636646274195</v>
      </c>
      <c r="D85" s="15">
        <f t="shared" si="8"/>
        <v>0.94878542510121455</v>
      </c>
      <c r="E85" s="15">
        <f t="shared" si="9"/>
        <v>0.99087353324641458</v>
      </c>
      <c r="F85" s="16">
        <f>+Tabla2[[#This Row],[Trenes Programados por Día Hábil]]+Tabla9[[#This Row],[Trenes Programados por Día Hábil]]+Tabla10[[#This Row],[Trenes Programados por Día Hábil]]</f>
        <v>0</v>
      </c>
      <c r="G85" s="33">
        <f>+(Tabla2[[#This Row],[Coches por Tren Día Hábil]]*Tabla2[[#This Row],[Trenes Corridos]]+Tabla9[[#This Row],[Coches por Tren Día Hábil]]*Tabla9[[#This Row],[Trenes Corridos]]+Tabla10[[#This Row],[Coches por Tren Día Hábil]]*Tabla10[[#This Row],[Trenes Corridos]])/SARM[[#This Row],[Trenes Corridos]]</f>
        <v>0</v>
      </c>
      <c r="H85" s="16">
        <v>9971</v>
      </c>
      <c r="I85" s="16">
        <f t="shared" si="5"/>
        <v>91</v>
      </c>
      <c r="J85" s="16">
        <v>9880</v>
      </c>
      <c r="K85" s="16">
        <v>9374</v>
      </c>
      <c r="L85" s="16">
        <f t="shared" si="6"/>
        <v>506</v>
      </c>
      <c r="M85" s="16"/>
      <c r="N85" s="17"/>
      <c r="O85" s="96">
        <v>1999</v>
      </c>
      <c r="P85" s="97" t="s">
        <v>43</v>
      </c>
      <c r="Q85" s="41"/>
      <c r="R85" s="41"/>
      <c r="S85" s="41"/>
      <c r="T85" s="16"/>
      <c r="U85" s="16"/>
      <c r="V85" s="16"/>
      <c r="W85" s="16"/>
      <c r="X85" s="69">
        <f>(SUM(X$134:X$149)/16)/(SUM($J$134:$J$149)/16)*SARM[[#This Row],[Trenes Corridos]]</f>
        <v>7836.8483754512636</v>
      </c>
      <c r="Y85" s="16"/>
      <c r="Z85" s="16"/>
      <c r="AA85" s="16"/>
      <c r="AB85" s="17"/>
      <c r="AC85" s="96">
        <v>1999</v>
      </c>
      <c r="AD85" s="97" t="s">
        <v>43</v>
      </c>
      <c r="AE85" s="41"/>
      <c r="AF85" s="41"/>
      <c r="AG85" s="41"/>
      <c r="AH85" s="16"/>
      <c r="AI85" s="16"/>
      <c r="AJ85" s="16"/>
      <c r="AK85" s="16"/>
      <c r="AL85" s="69">
        <f>(SUM(AL$134:AL$149)/16)/(SUM($J$134:$J$149)/16)*SARM[[#This Row],[Trenes Corridos]]</f>
        <v>908.36462093862815</v>
      </c>
      <c r="AM85" s="16"/>
      <c r="AN85" s="16"/>
      <c r="AO85" s="16"/>
      <c r="AP85" s="17"/>
      <c r="AQ85" s="96">
        <v>1999</v>
      </c>
      <c r="AR85" s="97" t="s">
        <v>43</v>
      </c>
      <c r="AS85" s="41"/>
      <c r="AT85" s="41"/>
      <c r="AU85" s="41"/>
      <c r="AV85" s="16"/>
      <c r="AW85" s="16"/>
      <c r="AX85" s="16"/>
      <c r="AY85" s="16"/>
      <c r="AZ85" s="69">
        <f>(SUM(AZ$134:AZ$149)/16)/(SUM($J$134:$J$149)/16)*SARM[[#This Row],[Trenes Corridos]]</f>
        <v>1134.7870036101083</v>
      </c>
      <c r="BA85" s="16"/>
      <c r="BB85" s="16"/>
    </row>
    <row r="86" spans="1:54" s="18" customFormat="1" ht="15" customHeight="1">
      <c r="A86" s="94">
        <v>1999</v>
      </c>
      <c r="B86" s="95" t="s">
        <v>44</v>
      </c>
      <c r="C86" s="15">
        <f t="shared" si="7"/>
        <v>0.93549687562991335</v>
      </c>
      <c r="D86" s="15">
        <f t="shared" si="8"/>
        <v>0.95053763440860217</v>
      </c>
      <c r="E86" s="15">
        <f t="shared" si="9"/>
        <v>0.98417657730296315</v>
      </c>
      <c r="F86" s="16">
        <f>+Tabla2[[#This Row],[Trenes Programados por Día Hábil]]+Tabla9[[#This Row],[Trenes Programados por Día Hábil]]+Tabla10[[#This Row],[Trenes Programados por Día Hábil]]</f>
        <v>0</v>
      </c>
      <c r="G86" s="33">
        <f>+(Tabla2[[#This Row],[Coches por Tren Día Hábil]]*Tabla2[[#This Row],[Trenes Corridos]]+Tabla9[[#This Row],[Coches por Tren Día Hábil]]*Tabla9[[#This Row],[Trenes Corridos]]+Tabla10[[#This Row],[Coches por Tren Día Hábil]]*Tabla10[[#This Row],[Trenes Corridos]])/SARM[[#This Row],[Trenes Corridos]]</f>
        <v>0</v>
      </c>
      <c r="H86" s="16">
        <v>9922</v>
      </c>
      <c r="I86" s="16">
        <f t="shared" si="5"/>
        <v>157</v>
      </c>
      <c r="J86" s="16">
        <v>9765</v>
      </c>
      <c r="K86" s="16">
        <v>9282</v>
      </c>
      <c r="L86" s="16">
        <f t="shared" si="6"/>
        <v>483</v>
      </c>
      <c r="M86" s="16"/>
      <c r="N86" s="17"/>
      <c r="O86" s="94">
        <v>1999</v>
      </c>
      <c r="P86" s="95" t="s">
        <v>44</v>
      </c>
      <c r="Q86" s="41"/>
      <c r="R86" s="41"/>
      <c r="S86" s="41"/>
      <c r="T86" s="16"/>
      <c r="U86" s="16"/>
      <c r="V86" s="16"/>
      <c r="W86" s="16"/>
      <c r="X86" s="69">
        <f>(SUM(X$134:X$149)/16)/(SUM($J$134:$J$149)/16)*SARM[[#This Row],[Trenes Corridos]]</f>
        <v>7745.6299986114964</v>
      </c>
      <c r="Y86" s="16"/>
      <c r="Z86" s="16"/>
      <c r="AA86" s="16"/>
      <c r="AB86" s="17"/>
      <c r="AC86" s="94">
        <v>1999</v>
      </c>
      <c r="AD86" s="95" t="s">
        <v>44</v>
      </c>
      <c r="AE86" s="41"/>
      <c r="AF86" s="41"/>
      <c r="AG86" s="41"/>
      <c r="AH86" s="16"/>
      <c r="AI86" s="16"/>
      <c r="AJ86" s="16"/>
      <c r="AK86" s="16"/>
      <c r="AL86" s="69">
        <f>(SUM(AL$134:AL$149)/16)/(SUM($J$134:$J$149)/16)*SARM[[#This Row],[Trenes Corridos]]</f>
        <v>897.79155095806721</v>
      </c>
      <c r="AM86" s="16"/>
      <c r="AN86" s="16"/>
      <c r="AO86" s="16"/>
      <c r="AP86" s="17"/>
      <c r="AQ86" s="94">
        <v>1999</v>
      </c>
      <c r="AR86" s="95" t="s">
        <v>44</v>
      </c>
      <c r="AS86" s="41"/>
      <c r="AT86" s="41"/>
      <c r="AU86" s="41"/>
      <c r="AV86" s="16"/>
      <c r="AW86" s="16"/>
      <c r="AX86" s="16"/>
      <c r="AY86" s="16"/>
      <c r="AZ86" s="69">
        <f>(SUM(AZ$134:AZ$149)/16)/(SUM($J$134:$J$149)/16)*SARM[[#This Row],[Trenes Corridos]]</f>
        <v>1121.5784504304359</v>
      </c>
      <c r="BA86" s="16"/>
      <c r="BB86" s="16"/>
    </row>
    <row r="87" spans="1:54" s="18" customFormat="1" ht="15" customHeight="1">
      <c r="A87" s="96">
        <v>1999</v>
      </c>
      <c r="B87" s="97" t="s">
        <v>45</v>
      </c>
      <c r="C87" s="15">
        <f t="shared" si="7"/>
        <v>0.93979797979797974</v>
      </c>
      <c r="D87" s="15">
        <f t="shared" si="8"/>
        <v>0.94428092966609156</v>
      </c>
      <c r="E87" s="15">
        <f t="shared" si="9"/>
        <v>0.99525252525252528</v>
      </c>
      <c r="F87" s="16">
        <f>+Tabla2[[#This Row],[Trenes Programados por Día Hábil]]+Tabla9[[#This Row],[Trenes Programados por Día Hábil]]+Tabla10[[#This Row],[Trenes Programados por Día Hábil]]</f>
        <v>0</v>
      </c>
      <c r="G87" s="33">
        <f>+(Tabla2[[#This Row],[Coches por Tren Día Hábil]]*Tabla2[[#This Row],[Trenes Corridos]]+Tabla9[[#This Row],[Coches por Tren Día Hábil]]*Tabla9[[#This Row],[Trenes Corridos]]+Tabla10[[#This Row],[Coches por Tren Día Hábil]]*Tabla10[[#This Row],[Trenes Corridos]])/SARM[[#This Row],[Trenes Corridos]]</f>
        <v>0</v>
      </c>
      <c r="H87" s="16">
        <v>9900</v>
      </c>
      <c r="I87" s="16">
        <f t="shared" si="5"/>
        <v>47</v>
      </c>
      <c r="J87" s="16">
        <v>9853</v>
      </c>
      <c r="K87" s="16">
        <v>9304</v>
      </c>
      <c r="L87" s="16">
        <f t="shared" si="6"/>
        <v>549</v>
      </c>
      <c r="M87" s="16"/>
      <c r="N87" s="17"/>
      <c r="O87" s="96">
        <v>1999</v>
      </c>
      <c r="P87" s="97" t="s">
        <v>45</v>
      </c>
      <c r="Q87" s="41"/>
      <c r="R87" s="41"/>
      <c r="S87" s="41"/>
      <c r="T87" s="16"/>
      <c r="U87" s="16"/>
      <c r="V87" s="16"/>
      <c r="W87" s="16"/>
      <c r="X87" s="69">
        <f>(SUM(X$134:X$149)/16)/(SUM($J$134:$J$149)/16)*SARM[[#This Row],[Trenes Corridos]]</f>
        <v>7815.4318869758399</v>
      </c>
      <c r="Y87" s="16"/>
      <c r="Z87" s="16"/>
      <c r="AA87" s="16"/>
      <c r="AB87" s="17"/>
      <c r="AC87" s="96">
        <v>1999</v>
      </c>
      <c r="AD87" s="97" t="s">
        <v>45</v>
      </c>
      <c r="AE87" s="41"/>
      <c r="AF87" s="41"/>
      <c r="AG87" s="41"/>
      <c r="AH87" s="16"/>
      <c r="AI87" s="16"/>
      <c r="AJ87" s="16"/>
      <c r="AK87" s="16"/>
      <c r="AL87" s="69">
        <f>(SUM(AL$134:AL$149)/16)/(SUM($J$134:$J$149)/16)*SARM[[#This Row],[Trenes Corridos]]</f>
        <v>905.88224798667034</v>
      </c>
      <c r="AM87" s="16"/>
      <c r="AN87" s="16"/>
      <c r="AO87" s="16"/>
      <c r="AP87" s="17"/>
      <c r="AQ87" s="96">
        <v>1999</v>
      </c>
      <c r="AR87" s="97" t="s">
        <v>45</v>
      </c>
      <c r="AS87" s="41"/>
      <c r="AT87" s="41"/>
      <c r="AU87" s="41"/>
      <c r="AV87" s="16"/>
      <c r="AW87" s="16"/>
      <c r="AX87" s="16"/>
      <c r="AY87" s="16"/>
      <c r="AZ87" s="69">
        <f>(SUM(AZ$134:AZ$149)/16)/(SUM($J$134:$J$149)/16)*SARM[[#This Row],[Trenes Corridos]]</f>
        <v>1131.6858650374895</v>
      </c>
      <c r="BA87" s="16"/>
      <c r="BB87" s="16"/>
    </row>
    <row r="88" spans="1:54" s="18" customFormat="1" ht="15" customHeight="1">
      <c r="A88" s="94">
        <v>1999</v>
      </c>
      <c r="B88" s="95" t="s">
        <v>46</v>
      </c>
      <c r="C88" s="15">
        <f t="shared" si="7"/>
        <v>0.91604515218705906</v>
      </c>
      <c r="D88" s="15">
        <f t="shared" si="8"/>
        <v>0.92792240939254722</v>
      </c>
      <c r="E88" s="15">
        <f t="shared" si="9"/>
        <v>0.98720016125781096</v>
      </c>
      <c r="F88" s="16">
        <f>+Tabla2[[#This Row],[Trenes Programados por Día Hábil]]+Tabla9[[#This Row],[Trenes Programados por Día Hábil]]+Tabla10[[#This Row],[Trenes Programados por Día Hábil]]</f>
        <v>0</v>
      </c>
      <c r="G88" s="33">
        <f>+(Tabla2[[#This Row],[Coches por Tren Día Hábil]]*Tabla2[[#This Row],[Trenes Corridos]]+Tabla9[[#This Row],[Coches por Tren Día Hábil]]*Tabla9[[#This Row],[Trenes Corridos]]+Tabla10[[#This Row],[Coches por Tren Día Hábil]]*Tabla10[[#This Row],[Trenes Corridos]])/SARM[[#This Row],[Trenes Corridos]]</f>
        <v>0</v>
      </c>
      <c r="H88" s="16">
        <v>9922</v>
      </c>
      <c r="I88" s="16">
        <f t="shared" si="5"/>
        <v>127</v>
      </c>
      <c r="J88" s="16">
        <v>9795</v>
      </c>
      <c r="K88" s="16">
        <v>9089</v>
      </c>
      <c r="L88" s="16">
        <f t="shared" si="6"/>
        <v>706</v>
      </c>
      <c r="M88" s="16"/>
      <c r="N88" s="17"/>
      <c r="O88" s="94">
        <v>1999</v>
      </c>
      <c r="P88" s="95" t="s">
        <v>46</v>
      </c>
      <c r="Q88" s="41"/>
      <c r="R88" s="41"/>
      <c r="S88" s="41"/>
      <c r="T88" s="16"/>
      <c r="U88" s="16"/>
      <c r="V88" s="16"/>
      <c r="W88" s="16"/>
      <c r="X88" s="69">
        <f>(SUM(X$134:X$149)/16)/(SUM($J$134:$J$149)/16)*SARM[[#This Row],[Trenes Corridos]]</f>
        <v>7769.426096917523</v>
      </c>
      <c r="Y88" s="16"/>
      <c r="Z88" s="16"/>
      <c r="AA88" s="16"/>
      <c r="AB88" s="17"/>
      <c r="AC88" s="94">
        <v>1999</v>
      </c>
      <c r="AD88" s="95" t="s">
        <v>46</v>
      </c>
      <c r="AE88" s="41"/>
      <c r="AF88" s="41"/>
      <c r="AG88" s="41"/>
      <c r="AH88" s="16"/>
      <c r="AI88" s="16"/>
      <c r="AJ88" s="16"/>
      <c r="AK88" s="16"/>
      <c r="AL88" s="69">
        <f>(SUM(AL$134:AL$149)/16)/(SUM($J$134:$J$149)/16)*SARM[[#This Row],[Trenes Corridos]]</f>
        <v>900.54974312690911</v>
      </c>
      <c r="AM88" s="16"/>
      <c r="AN88" s="16"/>
      <c r="AO88" s="16"/>
      <c r="AP88" s="17"/>
      <c r="AQ88" s="94">
        <v>1999</v>
      </c>
      <c r="AR88" s="95" t="s">
        <v>46</v>
      </c>
      <c r="AS88" s="41"/>
      <c r="AT88" s="41"/>
      <c r="AU88" s="41"/>
      <c r="AV88" s="16"/>
      <c r="AW88" s="16"/>
      <c r="AX88" s="16"/>
      <c r="AY88" s="16"/>
      <c r="AZ88" s="69">
        <f>(SUM(AZ$134:AZ$149)/16)/(SUM($J$134:$J$149)/16)*SARM[[#This Row],[Trenes Corridos]]</f>
        <v>1125.0241599555679</v>
      </c>
      <c r="BA88" s="16"/>
      <c r="BB88" s="16"/>
    </row>
    <row r="89" spans="1:54" s="18" customFormat="1" ht="15" customHeight="1">
      <c r="A89" s="96">
        <v>1999</v>
      </c>
      <c r="B89" s="97" t="s">
        <v>47</v>
      </c>
      <c r="C89" s="15">
        <f t="shared" si="7"/>
        <v>0.93079067914758018</v>
      </c>
      <c r="D89" s="15">
        <f t="shared" si="8"/>
        <v>0.9508646998982706</v>
      </c>
      <c r="E89" s="15">
        <f t="shared" si="9"/>
        <v>0.97888866759609638</v>
      </c>
      <c r="F89" s="16">
        <f>+Tabla2[[#This Row],[Trenes Programados por Día Hábil]]+Tabla9[[#This Row],[Trenes Programados por Día Hábil]]+Tabla10[[#This Row],[Trenes Programados por Día Hábil]]</f>
        <v>0</v>
      </c>
      <c r="G89" s="33">
        <f>+(Tabla2[[#This Row],[Coches por Tren Día Hábil]]*Tabla2[[#This Row],[Trenes Corridos]]+Tabla9[[#This Row],[Coches por Tren Día Hábil]]*Tabla9[[#This Row],[Trenes Corridos]]+Tabla10[[#This Row],[Coches por Tren Día Hábil]]*Tabla10[[#This Row],[Trenes Corridos]])/SARM[[#This Row],[Trenes Corridos]]</f>
        <v>0</v>
      </c>
      <c r="H89" s="16">
        <v>10042</v>
      </c>
      <c r="I89" s="16">
        <f t="shared" si="5"/>
        <v>212</v>
      </c>
      <c r="J89" s="16">
        <v>9830</v>
      </c>
      <c r="K89" s="16">
        <v>9347</v>
      </c>
      <c r="L89" s="16">
        <f t="shared" si="6"/>
        <v>483</v>
      </c>
      <c r="M89" s="16"/>
      <c r="N89" s="17"/>
      <c r="O89" s="96">
        <v>1999</v>
      </c>
      <c r="P89" s="97" t="s">
        <v>47</v>
      </c>
      <c r="Q89" s="41"/>
      <c r="R89" s="41"/>
      <c r="S89" s="41"/>
      <c r="T89" s="16"/>
      <c r="U89" s="16"/>
      <c r="V89" s="16"/>
      <c r="W89" s="16"/>
      <c r="X89" s="69">
        <f>(SUM(X$134:X$149)/16)/(SUM($J$134:$J$149)/16)*SARM[[#This Row],[Trenes Corridos]]</f>
        <v>7797.1882116078868</v>
      </c>
      <c r="Y89" s="16"/>
      <c r="Z89" s="16"/>
      <c r="AA89" s="16"/>
      <c r="AB89" s="17"/>
      <c r="AC89" s="96">
        <v>1999</v>
      </c>
      <c r="AD89" s="97" t="s">
        <v>47</v>
      </c>
      <c r="AE89" s="41"/>
      <c r="AF89" s="41"/>
      <c r="AG89" s="41"/>
      <c r="AH89" s="16"/>
      <c r="AI89" s="16"/>
      <c r="AJ89" s="16"/>
      <c r="AK89" s="16"/>
      <c r="AL89" s="69">
        <f>(SUM(AL$134:AL$149)/16)/(SUM($J$134:$J$149)/16)*SARM[[#This Row],[Trenes Corridos]]</f>
        <v>903.76763399055812</v>
      </c>
      <c r="AM89" s="16"/>
      <c r="AN89" s="16"/>
      <c r="AO89" s="16"/>
      <c r="AP89" s="17"/>
      <c r="AQ89" s="96">
        <v>1999</v>
      </c>
      <c r="AR89" s="97" t="s">
        <v>47</v>
      </c>
      <c r="AS89" s="41"/>
      <c r="AT89" s="41"/>
      <c r="AU89" s="41"/>
      <c r="AV89" s="16"/>
      <c r="AW89" s="16"/>
      <c r="AX89" s="16"/>
      <c r="AY89" s="16"/>
      <c r="AZ89" s="69">
        <f>(SUM(AZ$134:AZ$149)/16)/(SUM($J$134:$J$149)/16)*SARM[[#This Row],[Trenes Corridos]]</f>
        <v>1129.044154401555</v>
      </c>
      <c r="BA89" s="16"/>
      <c r="BB89" s="16"/>
    </row>
    <row r="90" spans="1:54" s="18" customFormat="1" ht="15" customHeight="1">
      <c r="A90" s="94">
        <v>2000</v>
      </c>
      <c r="B90" s="95" t="s">
        <v>36</v>
      </c>
      <c r="C90" s="15">
        <f t="shared" si="7"/>
        <v>0.94965399659011129</v>
      </c>
      <c r="D90" s="15">
        <f t="shared" si="8"/>
        <v>0.96406027285685192</v>
      </c>
      <c r="E90" s="15">
        <f t="shared" si="9"/>
        <v>0.98505666432654704</v>
      </c>
      <c r="F90" s="16">
        <f>+Tabla2[[#This Row],[Trenes Programados por Día Hábil]]+Tabla9[[#This Row],[Trenes Programados por Día Hábil]]+Tabla10[[#This Row],[Trenes Programados por Día Hábil]]</f>
        <v>0</v>
      </c>
      <c r="G90" s="33">
        <f>+(Tabla2[[#This Row],[Coches por Tren Día Hábil]]*Tabla2[[#This Row],[Trenes Corridos]]+Tabla9[[#This Row],[Coches por Tren Día Hábil]]*Tabla9[[#This Row],[Trenes Corridos]]+Tabla10[[#This Row],[Coches por Tren Día Hábil]]*Tabla10[[#This Row],[Trenes Corridos]])/SARM[[#This Row],[Trenes Corridos]]</f>
        <v>0</v>
      </c>
      <c r="H90" s="16">
        <v>9971</v>
      </c>
      <c r="I90" s="16">
        <f t="shared" si="5"/>
        <v>149</v>
      </c>
      <c r="J90" s="16">
        <v>9822</v>
      </c>
      <c r="K90" s="16">
        <v>9469</v>
      </c>
      <c r="L90" s="16">
        <f t="shared" si="6"/>
        <v>353</v>
      </c>
      <c r="M90" s="16"/>
      <c r="N90" s="17"/>
      <c r="O90" s="94">
        <v>2000</v>
      </c>
      <c r="P90" s="95" t="s">
        <v>36</v>
      </c>
      <c r="Q90" s="41"/>
      <c r="R90" s="41"/>
      <c r="S90" s="41"/>
      <c r="T90" s="16"/>
      <c r="U90" s="16"/>
      <c r="V90" s="16"/>
      <c r="W90" s="16"/>
      <c r="X90" s="69">
        <f>(SUM(X$134:X$149)/16)/(SUM($J$134:$J$149)/16)*SARM[[#This Row],[Trenes Corridos]]</f>
        <v>7790.8425853929466</v>
      </c>
      <c r="Y90" s="16"/>
      <c r="Z90" s="16"/>
      <c r="AA90" s="16"/>
      <c r="AB90" s="17"/>
      <c r="AC90" s="94">
        <v>2000</v>
      </c>
      <c r="AD90" s="95" t="s">
        <v>36</v>
      </c>
      <c r="AE90" s="41"/>
      <c r="AF90" s="41"/>
      <c r="AG90" s="41"/>
      <c r="AH90" s="16"/>
      <c r="AI90" s="16"/>
      <c r="AJ90" s="16"/>
      <c r="AK90" s="16"/>
      <c r="AL90" s="69">
        <f>(SUM(AL$134:AL$149)/16)/(SUM($J$134:$J$149)/16)*SARM[[#This Row],[Trenes Corridos]]</f>
        <v>903.03211607886692</v>
      </c>
      <c r="AM90" s="16"/>
      <c r="AN90" s="16"/>
      <c r="AO90" s="16"/>
      <c r="AP90" s="17"/>
      <c r="AQ90" s="94">
        <v>2000</v>
      </c>
      <c r="AR90" s="95" t="s">
        <v>36</v>
      </c>
      <c r="AS90" s="41"/>
      <c r="AT90" s="41"/>
      <c r="AU90" s="41"/>
      <c r="AV90" s="16"/>
      <c r="AW90" s="16"/>
      <c r="AX90" s="16"/>
      <c r="AY90" s="16"/>
      <c r="AZ90" s="69">
        <f>(SUM(AZ$134:AZ$149)/16)/(SUM($J$134:$J$149)/16)*SARM[[#This Row],[Trenes Corridos]]</f>
        <v>1128.1252985281865</v>
      </c>
      <c r="BA90" s="16"/>
      <c r="BB90" s="16"/>
    </row>
    <row r="91" spans="1:54" s="18" customFormat="1" ht="15" customHeight="1">
      <c r="A91" s="96">
        <v>2000</v>
      </c>
      <c r="B91" s="97" t="s">
        <v>37</v>
      </c>
      <c r="C91" s="15">
        <f t="shared" si="7"/>
        <v>0.94456646794268384</v>
      </c>
      <c r="D91" s="15">
        <f t="shared" si="8"/>
        <v>0.9581962864721485</v>
      </c>
      <c r="E91" s="15">
        <f t="shared" si="9"/>
        <v>0.98577554649095278</v>
      </c>
      <c r="F91" s="16">
        <f>+Tabla2[[#This Row],[Trenes Programados por Día Hábil]]+Tabla9[[#This Row],[Trenes Programados por Día Hábil]]+Tabla10[[#This Row],[Trenes Programados por Día Hábil]]</f>
        <v>0</v>
      </c>
      <c r="G91" s="33">
        <f>+(Tabla2[[#This Row],[Coches por Tren Día Hábil]]*Tabla2[[#This Row],[Trenes Corridos]]+Tabla9[[#This Row],[Coches por Tren Día Hábil]]*Tabla9[[#This Row],[Trenes Corridos]]+Tabla10[[#This Row],[Coches por Tren Día Hábil]]*Tabla10[[#This Row],[Trenes Corridos]])/SARM[[#This Row],[Trenes Corridos]]</f>
        <v>0</v>
      </c>
      <c r="H91" s="16">
        <v>9561</v>
      </c>
      <c r="I91" s="16">
        <f t="shared" si="5"/>
        <v>136</v>
      </c>
      <c r="J91" s="16">
        <v>9425</v>
      </c>
      <c r="K91" s="16">
        <v>9031</v>
      </c>
      <c r="L91" s="16">
        <f t="shared" si="6"/>
        <v>394</v>
      </c>
      <c r="M91" s="16"/>
      <c r="N91" s="17"/>
      <c r="O91" s="96">
        <v>2000</v>
      </c>
      <c r="P91" s="97" t="s">
        <v>37</v>
      </c>
      <c r="Q91" s="41"/>
      <c r="R91" s="41"/>
      <c r="S91" s="41"/>
      <c r="T91" s="16"/>
      <c r="U91" s="16"/>
      <c r="V91" s="16"/>
      <c r="W91" s="16"/>
      <c r="X91" s="69">
        <f>(SUM(X$134:X$149)/16)/(SUM($J$134:$J$149)/16)*SARM[[#This Row],[Trenes Corridos]]</f>
        <v>7475.9408844765339</v>
      </c>
      <c r="Y91" s="16"/>
      <c r="Z91" s="16"/>
      <c r="AA91" s="16"/>
      <c r="AB91" s="17"/>
      <c r="AC91" s="96">
        <v>2000</v>
      </c>
      <c r="AD91" s="97" t="s">
        <v>37</v>
      </c>
      <c r="AE91" s="41"/>
      <c r="AF91" s="41"/>
      <c r="AG91" s="41"/>
      <c r="AH91" s="16"/>
      <c r="AI91" s="16"/>
      <c r="AJ91" s="16"/>
      <c r="AK91" s="16"/>
      <c r="AL91" s="69">
        <f>(SUM(AL$134:AL$149)/16)/(SUM($J$134:$J$149)/16)*SARM[[#This Row],[Trenes Corridos]]</f>
        <v>866.53203971119126</v>
      </c>
      <c r="AM91" s="16"/>
      <c r="AN91" s="16"/>
      <c r="AO91" s="16"/>
      <c r="AP91" s="17"/>
      <c r="AQ91" s="96">
        <v>2000</v>
      </c>
      <c r="AR91" s="97" t="s">
        <v>37</v>
      </c>
      <c r="AS91" s="41"/>
      <c r="AT91" s="41"/>
      <c r="AU91" s="41"/>
      <c r="AV91" s="16"/>
      <c r="AW91" s="16"/>
      <c r="AX91" s="16"/>
      <c r="AY91" s="16"/>
      <c r="AZ91" s="69">
        <f>(SUM(AZ$134:AZ$149)/16)/(SUM($J$134:$J$149)/16)*SARM[[#This Row],[Trenes Corridos]]</f>
        <v>1082.5270758122742</v>
      </c>
      <c r="BA91" s="16"/>
      <c r="BB91" s="16"/>
    </row>
    <row r="92" spans="1:54" s="18" customFormat="1" ht="15" customHeight="1">
      <c r="A92" s="94">
        <v>2000</v>
      </c>
      <c r="B92" s="95" t="s">
        <v>38</v>
      </c>
      <c r="C92" s="15">
        <f t="shared" si="7"/>
        <v>0.96888067684527857</v>
      </c>
      <c r="D92" s="15">
        <f t="shared" si="8"/>
        <v>0.97304424260181654</v>
      </c>
      <c r="E92" s="15">
        <f t="shared" si="9"/>
        <v>0.9957210930662258</v>
      </c>
      <c r="F92" s="16">
        <f>+Tabla2[[#This Row],[Trenes Programados por Día Hábil]]+Tabla9[[#This Row],[Trenes Programados por Día Hábil]]+Tabla10[[#This Row],[Trenes Programados por Día Hábil]]</f>
        <v>0</v>
      </c>
      <c r="G92" s="33">
        <f>+(Tabla2[[#This Row],[Coches por Tren Día Hábil]]*Tabla2[[#This Row],[Trenes Corridos]]+Tabla9[[#This Row],[Coches por Tren Día Hábil]]*Tabla9[[#This Row],[Trenes Corridos]]+Tabla10[[#This Row],[Coches por Tren Día Hábil]]*Tabla10[[#This Row],[Trenes Corridos]])/SARM[[#This Row],[Trenes Corridos]]</f>
        <v>0</v>
      </c>
      <c r="H92" s="16">
        <v>10283</v>
      </c>
      <c r="I92" s="16">
        <f t="shared" si="5"/>
        <v>44</v>
      </c>
      <c r="J92" s="16">
        <v>10239</v>
      </c>
      <c r="K92" s="16">
        <v>9963</v>
      </c>
      <c r="L92" s="16">
        <f t="shared" si="6"/>
        <v>276</v>
      </c>
      <c r="M92" s="16"/>
      <c r="N92" s="17"/>
      <c r="O92" s="94">
        <v>2000</v>
      </c>
      <c r="P92" s="95" t="s">
        <v>38</v>
      </c>
      <c r="Q92" s="41"/>
      <c r="R92" s="41"/>
      <c r="S92" s="41"/>
      <c r="T92" s="16"/>
      <c r="U92" s="16"/>
      <c r="V92" s="16"/>
      <c r="W92" s="16"/>
      <c r="X92" s="69">
        <f>(SUM(X$134:X$149)/16)/(SUM($J$134:$J$149)/16)*SARM[[#This Row],[Trenes Corridos]]</f>
        <v>8121.6083518467094</v>
      </c>
      <c r="Y92" s="16"/>
      <c r="Z92" s="16"/>
      <c r="AA92" s="16"/>
      <c r="AB92" s="17"/>
      <c r="AC92" s="94">
        <v>2000</v>
      </c>
      <c r="AD92" s="95" t="s">
        <v>38</v>
      </c>
      <c r="AE92" s="41"/>
      <c r="AF92" s="41"/>
      <c r="AG92" s="41"/>
      <c r="AH92" s="16"/>
      <c r="AI92" s="16"/>
      <c r="AJ92" s="16"/>
      <c r="AK92" s="16"/>
      <c r="AL92" s="69">
        <f>(SUM(AL$134:AL$149)/16)/(SUM($J$134:$J$149)/16)*SARM[[#This Row],[Trenes Corridos]]</f>
        <v>941.37098722577059</v>
      </c>
      <c r="AM92" s="16"/>
      <c r="AN92" s="16"/>
      <c r="AO92" s="16"/>
      <c r="AP92" s="17"/>
      <c r="AQ92" s="94">
        <v>2000</v>
      </c>
      <c r="AR92" s="95" t="s">
        <v>38</v>
      </c>
      <c r="AS92" s="41"/>
      <c r="AT92" s="41"/>
      <c r="AU92" s="41"/>
      <c r="AV92" s="16"/>
      <c r="AW92" s="16"/>
      <c r="AX92" s="16"/>
      <c r="AY92" s="16"/>
      <c r="AZ92" s="69">
        <f>(SUM(AZ$134:AZ$149)/16)/(SUM($J$134:$J$149)/16)*SARM[[#This Row],[Trenes Corridos]]</f>
        <v>1176.0206609275201</v>
      </c>
      <c r="BA92" s="16"/>
      <c r="BB92" s="16"/>
    </row>
    <row r="93" spans="1:54" s="18" customFormat="1" ht="15" customHeight="1">
      <c r="A93" s="96">
        <v>2000</v>
      </c>
      <c r="B93" s="97" t="s">
        <v>39</v>
      </c>
      <c r="C93" s="15">
        <f t="shared" si="7"/>
        <v>0.94705944019289234</v>
      </c>
      <c r="D93" s="15">
        <f t="shared" si="8"/>
        <v>0.9588197834854596</v>
      </c>
      <c r="E93" s="15">
        <f t="shared" si="9"/>
        <v>0.98773456337142262</v>
      </c>
      <c r="F93" s="16">
        <f>+Tabla2[[#This Row],[Trenes Programados por Día Hábil]]+Tabla9[[#This Row],[Trenes Programados por Día Hábil]]+Tabla10[[#This Row],[Trenes Programados por Día Hábil]]</f>
        <v>0</v>
      </c>
      <c r="G93" s="33">
        <f>+(Tabla2[[#This Row],[Coches por Tren Día Hábil]]*Tabla2[[#This Row],[Trenes Corridos]]+Tabla9[[#This Row],[Coches por Tren Día Hábil]]*Tabla9[[#This Row],[Trenes Corridos]]+Tabla10[[#This Row],[Coches por Tren Día Hábil]]*Tabla10[[#This Row],[Trenes Corridos]])/SARM[[#This Row],[Trenes Corridos]]</f>
        <v>0</v>
      </c>
      <c r="H93" s="16">
        <v>9539</v>
      </c>
      <c r="I93" s="16">
        <f t="shared" si="5"/>
        <v>117</v>
      </c>
      <c r="J93" s="16">
        <v>9422</v>
      </c>
      <c r="K93" s="16">
        <v>9034</v>
      </c>
      <c r="L93" s="16">
        <f t="shared" si="6"/>
        <v>388</v>
      </c>
      <c r="M93" s="16"/>
      <c r="N93" s="17"/>
      <c r="O93" s="96">
        <v>2000</v>
      </c>
      <c r="P93" s="97" t="s">
        <v>39</v>
      </c>
      <c r="Q93" s="41"/>
      <c r="R93" s="41"/>
      <c r="S93" s="41"/>
      <c r="T93" s="16"/>
      <c r="U93" s="16"/>
      <c r="V93" s="16"/>
      <c r="W93" s="16"/>
      <c r="X93" s="69">
        <f>(SUM(X$134:X$149)/16)/(SUM($J$134:$J$149)/16)*SARM[[#This Row],[Trenes Corridos]]</f>
        <v>7473.5612746459319</v>
      </c>
      <c r="Y93" s="16"/>
      <c r="Z93" s="16"/>
      <c r="AA93" s="16"/>
      <c r="AB93" s="17"/>
      <c r="AC93" s="96">
        <v>2000</v>
      </c>
      <c r="AD93" s="97" t="s">
        <v>39</v>
      </c>
      <c r="AE93" s="41"/>
      <c r="AF93" s="41"/>
      <c r="AG93" s="41"/>
      <c r="AH93" s="16"/>
      <c r="AI93" s="16"/>
      <c r="AJ93" s="16"/>
      <c r="AK93" s="16"/>
      <c r="AL93" s="69">
        <f>(SUM(AL$134:AL$149)/16)/(SUM($J$134:$J$149)/16)*SARM[[#This Row],[Trenes Corridos]]</f>
        <v>866.25622049430706</v>
      </c>
      <c r="AM93" s="16"/>
      <c r="AN93" s="16"/>
      <c r="AO93" s="16"/>
      <c r="AP93" s="17"/>
      <c r="AQ93" s="96">
        <v>2000</v>
      </c>
      <c r="AR93" s="97" t="s">
        <v>39</v>
      </c>
      <c r="AS93" s="41"/>
      <c r="AT93" s="41"/>
      <c r="AU93" s="41"/>
      <c r="AV93" s="16"/>
      <c r="AW93" s="16"/>
      <c r="AX93" s="16"/>
      <c r="AY93" s="16"/>
      <c r="AZ93" s="69">
        <f>(SUM(AZ$134:AZ$149)/16)/(SUM($J$134:$J$149)/16)*SARM[[#This Row],[Trenes Corridos]]</f>
        <v>1082.1825048597611</v>
      </c>
      <c r="BA93" s="16"/>
      <c r="BB93" s="16"/>
    </row>
    <row r="94" spans="1:54" s="18" customFormat="1" ht="15" customHeight="1">
      <c r="A94" s="94">
        <v>2000</v>
      </c>
      <c r="B94" s="95" t="s">
        <v>40</v>
      </c>
      <c r="C94" s="15">
        <f t="shared" si="7"/>
        <v>0.89509577775549087</v>
      </c>
      <c r="D94" s="15">
        <f t="shared" si="8"/>
        <v>0.91830435229961926</v>
      </c>
      <c r="E94" s="15">
        <f t="shared" si="9"/>
        <v>0.97472670745160972</v>
      </c>
      <c r="F94" s="16">
        <f>+Tabla2[[#This Row],[Trenes Programados por Día Hábil]]+Tabla9[[#This Row],[Trenes Programados por Día Hábil]]+Tabla10[[#This Row],[Trenes Programados por Día Hábil]]</f>
        <v>0</v>
      </c>
      <c r="G94" s="33">
        <f>+(Tabla2[[#This Row],[Coches por Tren Día Hábil]]*Tabla2[[#This Row],[Trenes Corridos]]+Tabla9[[#This Row],[Coches por Tren Día Hábil]]*Tabla9[[#This Row],[Trenes Corridos]]+Tabla10[[#This Row],[Coches por Tren Día Hábil]]*Tabla10[[#This Row],[Trenes Corridos]])/SARM[[#This Row],[Trenes Corridos]]</f>
        <v>0</v>
      </c>
      <c r="H94" s="16">
        <v>9971</v>
      </c>
      <c r="I94" s="16">
        <f t="shared" si="5"/>
        <v>252</v>
      </c>
      <c r="J94" s="16">
        <v>9719</v>
      </c>
      <c r="K94" s="16">
        <v>8925</v>
      </c>
      <c r="L94" s="16">
        <f t="shared" si="6"/>
        <v>794</v>
      </c>
      <c r="M94" s="16"/>
      <c r="N94" s="17"/>
      <c r="O94" s="94">
        <v>2000</v>
      </c>
      <c r="P94" s="95" t="s">
        <v>40</v>
      </c>
      <c r="Q94" s="41"/>
      <c r="R94" s="41"/>
      <c r="S94" s="41"/>
      <c r="T94" s="16"/>
      <c r="U94" s="16"/>
      <c r="V94" s="16"/>
      <c r="W94" s="16"/>
      <c r="X94" s="69">
        <f>(SUM(X$134:X$149)/16)/(SUM($J$134:$J$149)/16)*SARM[[#This Row],[Trenes Corridos]]</f>
        <v>7709.1426478755902</v>
      </c>
      <c r="Y94" s="16"/>
      <c r="Z94" s="16"/>
      <c r="AA94" s="16"/>
      <c r="AB94" s="17"/>
      <c r="AC94" s="94">
        <v>2000</v>
      </c>
      <c r="AD94" s="95" t="s">
        <v>40</v>
      </c>
      <c r="AE94" s="41"/>
      <c r="AF94" s="41"/>
      <c r="AG94" s="41"/>
      <c r="AH94" s="16"/>
      <c r="AI94" s="16"/>
      <c r="AJ94" s="16"/>
      <c r="AK94" s="16"/>
      <c r="AL94" s="69">
        <f>(SUM(AL$134:AL$149)/16)/(SUM($J$134:$J$149)/16)*SARM[[#This Row],[Trenes Corridos]]</f>
        <v>893.56232296584278</v>
      </c>
      <c r="AM94" s="16"/>
      <c r="AN94" s="16"/>
      <c r="AO94" s="16"/>
      <c r="AP94" s="17"/>
      <c r="AQ94" s="94">
        <v>2000</v>
      </c>
      <c r="AR94" s="95" t="s">
        <v>40</v>
      </c>
      <c r="AS94" s="41"/>
      <c r="AT94" s="41"/>
      <c r="AU94" s="41"/>
      <c r="AV94" s="16"/>
      <c r="AW94" s="16"/>
      <c r="AX94" s="16"/>
      <c r="AY94" s="16"/>
      <c r="AZ94" s="69">
        <f>(SUM(AZ$134:AZ$149)/16)/(SUM($J$134:$J$149)/16)*SARM[[#This Row],[Trenes Corridos]]</f>
        <v>1116.2950291585671</v>
      </c>
      <c r="BA94" s="16"/>
      <c r="BB94" s="16"/>
    </row>
    <row r="95" spans="1:54" s="18" customFormat="1" ht="15" customHeight="1">
      <c r="A95" s="96">
        <v>2000</v>
      </c>
      <c r="B95" s="97" t="s">
        <v>41</v>
      </c>
      <c r="C95" s="15">
        <f t="shared" si="7"/>
        <v>0.86540646627414519</v>
      </c>
      <c r="D95" s="15">
        <f t="shared" si="8"/>
        <v>0.91005865739734959</v>
      </c>
      <c r="E95" s="15">
        <f t="shared" si="9"/>
        <v>0.95093482078297698</v>
      </c>
      <c r="F95" s="16">
        <f>+Tabla2[[#This Row],[Trenes Programados por Día Hábil]]+Tabla9[[#This Row],[Trenes Programados por Día Hábil]]+Tabla10[[#This Row],[Trenes Programados por Día Hábil]]</f>
        <v>0</v>
      </c>
      <c r="G95" s="33">
        <f>+(Tabla2[[#This Row],[Coches por Tren Día Hábil]]*Tabla2[[#This Row],[Trenes Corridos]]+Tabla9[[#This Row],[Coches por Tren Día Hábil]]*Tabla9[[#This Row],[Trenes Corridos]]+Tabla10[[#This Row],[Coches por Tren Día Hábil]]*Tabla10[[#This Row],[Trenes Corridos]])/SARM[[#This Row],[Trenes Corridos]]</f>
        <v>0</v>
      </c>
      <c r="H95" s="16">
        <v>9681</v>
      </c>
      <c r="I95" s="16">
        <f t="shared" si="5"/>
        <v>475</v>
      </c>
      <c r="J95" s="16">
        <v>9206</v>
      </c>
      <c r="K95" s="16">
        <v>8378</v>
      </c>
      <c r="L95" s="16">
        <f t="shared" si="6"/>
        <v>828</v>
      </c>
      <c r="M95" s="16"/>
      <c r="N95" s="17"/>
      <c r="O95" s="96">
        <v>2000</v>
      </c>
      <c r="P95" s="97" t="s">
        <v>41</v>
      </c>
      <c r="Q95" s="41"/>
      <c r="R95" s="41"/>
      <c r="S95" s="41"/>
      <c r="T95" s="16"/>
      <c r="U95" s="16"/>
      <c r="V95" s="16"/>
      <c r="W95" s="16"/>
      <c r="X95" s="69">
        <f>(SUM(X$134:X$149)/16)/(SUM($J$134:$J$149)/16)*SARM[[#This Row],[Trenes Corridos]]</f>
        <v>7302.2293668425436</v>
      </c>
      <c r="Y95" s="16"/>
      <c r="Z95" s="16"/>
      <c r="AA95" s="16"/>
      <c r="AB95" s="17"/>
      <c r="AC95" s="96">
        <v>2000</v>
      </c>
      <c r="AD95" s="97" t="s">
        <v>41</v>
      </c>
      <c r="AE95" s="41"/>
      <c r="AF95" s="41"/>
      <c r="AG95" s="41"/>
      <c r="AH95" s="16"/>
      <c r="AI95" s="16"/>
      <c r="AJ95" s="16"/>
      <c r="AK95" s="16"/>
      <c r="AL95" s="69">
        <f>(SUM(AL$134:AL$149)/16)/(SUM($J$134:$J$149)/16)*SARM[[#This Row],[Trenes Corridos]]</f>
        <v>846.39723687864478</v>
      </c>
      <c r="AM95" s="16"/>
      <c r="AN95" s="16"/>
      <c r="AO95" s="16"/>
      <c r="AP95" s="17"/>
      <c r="AQ95" s="96">
        <v>2000</v>
      </c>
      <c r="AR95" s="97" t="s">
        <v>41</v>
      </c>
      <c r="AS95" s="41"/>
      <c r="AT95" s="41"/>
      <c r="AU95" s="41"/>
      <c r="AV95" s="16"/>
      <c r="AW95" s="16"/>
      <c r="AX95" s="16"/>
      <c r="AY95" s="16"/>
      <c r="AZ95" s="69">
        <f>(SUM(AZ$134:AZ$149)/16)/(SUM($J$134:$J$149)/16)*SARM[[#This Row],[Trenes Corridos]]</f>
        <v>1057.3733962788115</v>
      </c>
      <c r="BA95" s="16"/>
      <c r="BB95" s="16"/>
    </row>
    <row r="96" spans="1:54" s="18" customFormat="1" ht="15" customHeight="1">
      <c r="A96" s="94">
        <v>2000</v>
      </c>
      <c r="B96" s="95" t="s">
        <v>42</v>
      </c>
      <c r="C96" s="15">
        <f t="shared" si="7"/>
        <v>0.93416865552903738</v>
      </c>
      <c r="D96" s="15">
        <f t="shared" si="8"/>
        <v>0.9466895092210017</v>
      </c>
      <c r="E96" s="15">
        <f t="shared" si="9"/>
        <v>0.9867740652346858</v>
      </c>
      <c r="F96" s="16">
        <f>+Tabla2[[#This Row],[Trenes Programados por Día Hábil]]+Tabla9[[#This Row],[Trenes Programados por Día Hábil]]+Tabla10[[#This Row],[Trenes Programados por Día Hábil]]</f>
        <v>0</v>
      </c>
      <c r="G96" s="33">
        <f>+(Tabla2[[#This Row],[Coches por Tren Día Hábil]]*Tabla2[[#This Row],[Trenes Corridos]]+Tabla9[[#This Row],[Coches por Tren Día Hábil]]*Tabla9[[#This Row],[Trenes Corridos]]+Tabla10[[#This Row],[Coches por Tren Día Hábil]]*Tabla10[[#This Row],[Trenes Corridos]])/SARM[[#This Row],[Trenes Corridos]]</f>
        <v>0</v>
      </c>
      <c r="H96" s="16">
        <v>10056</v>
      </c>
      <c r="I96" s="16">
        <f t="shared" si="5"/>
        <v>133</v>
      </c>
      <c r="J96" s="16">
        <v>9923</v>
      </c>
      <c r="K96" s="16">
        <v>9394</v>
      </c>
      <c r="L96" s="16">
        <f t="shared" si="6"/>
        <v>529</v>
      </c>
      <c r="M96" s="16"/>
      <c r="N96" s="17"/>
      <c r="O96" s="94">
        <v>2000</v>
      </c>
      <c r="P96" s="95" t="s">
        <v>42</v>
      </c>
      <c r="Q96" s="41"/>
      <c r="R96" s="41"/>
      <c r="S96" s="41"/>
      <c r="T96" s="16"/>
      <c r="U96" s="16"/>
      <c r="V96" s="16"/>
      <c r="W96" s="16"/>
      <c r="X96" s="69">
        <f>(SUM(X$134:X$149)/16)/(SUM($J$134:$J$149)/16)*SARM[[#This Row],[Trenes Corridos]]</f>
        <v>7870.9561163565677</v>
      </c>
      <c r="Y96" s="16"/>
      <c r="Z96" s="16"/>
      <c r="AA96" s="16"/>
      <c r="AB96" s="17"/>
      <c r="AC96" s="94">
        <v>2000</v>
      </c>
      <c r="AD96" s="95" t="s">
        <v>42</v>
      </c>
      <c r="AE96" s="41"/>
      <c r="AF96" s="41"/>
      <c r="AG96" s="41"/>
      <c r="AH96" s="16"/>
      <c r="AI96" s="16"/>
      <c r="AJ96" s="16"/>
      <c r="AK96" s="16"/>
      <c r="AL96" s="69">
        <f>(SUM(AL$134:AL$149)/16)/(SUM($J$134:$J$149)/16)*SARM[[#This Row],[Trenes Corridos]]</f>
        <v>912.31802971396826</v>
      </c>
      <c r="AM96" s="16"/>
      <c r="AN96" s="16"/>
      <c r="AO96" s="16"/>
      <c r="AP96" s="17"/>
      <c r="AQ96" s="94">
        <v>2000</v>
      </c>
      <c r="AR96" s="95" t="s">
        <v>42</v>
      </c>
      <c r="AS96" s="41"/>
      <c r="AT96" s="41"/>
      <c r="AU96" s="41"/>
      <c r="AV96" s="16"/>
      <c r="AW96" s="16"/>
      <c r="AX96" s="16"/>
      <c r="AY96" s="16"/>
      <c r="AZ96" s="69">
        <f>(SUM(AZ$134:AZ$149)/16)/(SUM($J$134:$J$149)/16)*SARM[[#This Row],[Trenes Corridos]]</f>
        <v>1139.7258539294639</v>
      </c>
      <c r="BA96" s="16"/>
      <c r="BB96" s="16"/>
    </row>
    <row r="97" spans="1:54" s="18" customFormat="1" ht="15" customHeight="1">
      <c r="A97" s="96">
        <v>2000</v>
      </c>
      <c r="B97" s="97" t="s">
        <v>43</v>
      </c>
      <c r="C97" s="15">
        <f t="shared" si="7"/>
        <v>0.95131825812185244</v>
      </c>
      <c r="D97" s="15">
        <f t="shared" si="8"/>
        <v>0.95784450188904358</v>
      </c>
      <c r="E97" s="15">
        <f t="shared" si="9"/>
        <v>0.99318653105559396</v>
      </c>
      <c r="F97" s="16">
        <f>+Tabla2[[#This Row],[Trenes Programados por Día Hábil]]+Tabla9[[#This Row],[Trenes Programados por Día Hábil]]+Tabla10[[#This Row],[Trenes Programados por Día Hábil]]</f>
        <v>0</v>
      </c>
      <c r="G97" s="33">
        <f>+(Tabla2[[#This Row],[Coches por Tren Día Hábil]]*Tabla2[[#This Row],[Trenes Corridos]]+Tabla9[[#This Row],[Coches por Tren Día Hábil]]*Tabla9[[#This Row],[Trenes Corridos]]+Tabla10[[#This Row],[Coches por Tren Día Hábil]]*Tabla10[[#This Row],[Trenes Corridos]])/SARM[[#This Row],[Trenes Corridos]]</f>
        <v>0</v>
      </c>
      <c r="H97" s="16">
        <v>10127</v>
      </c>
      <c r="I97" s="16">
        <f t="shared" si="5"/>
        <v>69</v>
      </c>
      <c r="J97" s="16">
        <v>10058</v>
      </c>
      <c r="K97" s="16">
        <v>9634</v>
      </c>
      <c r="L97" s="16">
        <f t="shared" si="6"/>
        <v>424</v>
      </c>
      <c r="M97" s="16"/>
      <c r="N97" s="17"/>
      <c r="O97" s="96">
        <v>2000</v>
      </c>
      <c r="P97" s="97" t="s">
        <v>43</v>
      </c>
      <c r="Q97" s="41"/>
      <c r="R97" s="41"/>
      <c r="S97" s="41"/>
      <c r="T97" s="16"/>
      <c r="U97" s="16"/>
      <c r="V97" s="16"/>
      <c r="W97" s="16"/>
      <c r="X97" s="69">
        <f>(SUM(X$134:X$149)/16)/(SUM($J$134:$J$149)/16)*SARM[[#This Row],[Trenes Corridos]]</f>
        <v>7978.038558733685</v>
      </c>
      <c r="Y97" s="16"/>
      <c r="Z97" s="16"/>
      <c r="AA97" s="16"/>
      <c r="AB97" s="17"/>
      <c r="AC97" s="96">
        <v>2000</v>
      </c>
      <c r="AD97" s="97" t="s">
        <v>43</v>
      </c>
      <c r="AE97" s="41"/>
      <c r="AF97" s="41"/>
      <c r="AG97" s="41"/>
      <c r="AH97" s="16"/>
      <c r="AI97" s="16"/>
      <c r="AJ97" s="16"/>
      <c r="AK97" s="16"/>
      <c r="AL97" s="69">
        <f>(SUM(AL$134:AL$149)/16)/(SUM($J$134:$J$149)/16)*SARM[[#This Row],[Trenes Corridos]]</f>
        <v>924.72989447375721</v>
      </c>
      <c r="AM97" s="16"/>
      <c r="AN97" s="16"/>
      <c r="AO97" s="16"/>
      <c r="AP97" s="17"/>
      <c r="AQ97" s="96">
        <v>2000</v>
      </c>
      <c r="AR97" s="97" t="s">
        <v>43</v>
      </c>
      <c r="AS97" s="41"/>
      <c r="AT97" s="41"/>
      <c r="AU97" s="41"/>
      <c r="AV97" s="16"/>
      <c r="AW97" s="16"/>
      <c r="AX97" s="16"/>
      <c r="AY97" s="16"/>
      <c r="AZ97" s="69">
        <f>(SUM(AZ$134:AZ$149)/16)/(SUM($J$134:$J$149)/16)*SARM[[#This Row],[Trenes Corridos]]</f>
        <v>1155.2315467925575</v>
      </c>
      <c r="BA97" s="16"/>
      <c r="BB97" s="16"/>
    </row>
    <row r="98" spans="1:54" s="18" customFormat="1" ht="15" customHeight="1">
      <c r="A98" s="94">
        <v>2000</v>
      </c>
      <c r="B98" s="95" t="s">
        <v>44</v>
      </c>
      <c r="C98" s="15">
        <f t="shared" si="7"/>
        <v>0.95137549487361694</v>
      </c>
      <c r="D98" s="15">
        <f t="shared" si="8"/>
        <v>0.96439596624819923</v>
      </c>
      <c r="E98" s="15">
        <f t="shared" si="9"/>
        <v>0.98649883260582683</v>
      </c>
      <c r="F98" s="16">
        <f>+Tabla2[[#This Row],[Trenes Programados por Día Hábil]]+Tabla9[[#This Row],[Trenes Programados por Día Hábil]]+Tabla10[[#This Row],[Trenes Programados por Día Hábil]]</f>
        <v>0</v>
      </c>
      <c r="G98" s="33">
        <f>+(Tabla2[[#This Row],[Coches por Tren Día Hábil]]*Tabla2[[#This Row],[Trenes Corridos]]+Tabla9[[#This Row],[Coches por Tren Día Hábil]]*Tabla9[[#This Row],[Trenes Corridos]]+Tabla10[[#This Row],[Coches por Tren Día Hábil]]*Tabla10[[#This Row],[Trenes Corridos]])/SARM[[#This Row],[Trenes Corridos]]</f>
        <v>0</v>
      </c>
      <c r="H98" s="16">
        <v>9851</v>
      </c>
      <c r="I98" s="16">
        <f t="shared" si="5"/>
        <v>133</v>
      </c>
      <c r="J98" s="16">
        <v>9718</v>
      </c>
      <c r="K98" s="16">
        <v>9372</v>
      </c>
      <c r="L98" s="16">
        <f t="shared" si="6"/>
        <v>346</v>
      </c>
      <c r="M98" s="16"/>
      <c r="N98" s="17"/>
      <c r="O98" s="94">
        <v>2000</v>
      </c>
      <c r="P98" s="95" t="s">
        <v>44</v>
      </c>
      <c r="Q98" s="41"/>
      <c r="R98" s="41"/>
      <c r="S98" s="41"/>
      <c r="T98" s="16"/>
      <c r="U98" s="16"/>
      <c r="V98" s="16"/>
      <c r="W98" s="16"/>
      <c r="X98" s="69">
        <f>(SUM(X$134:X$149)/16)/(SUM($J$134:$J$149)/16)*SARM[[#This Row],[Trenes Corridos]]</f>
        <v>7708.3494445987226</v>
      </c>
      <c r="Y98" s="16"/>
      <c r="Z98" s="16"/>
      <c r="AA98" s="16"/>
      <c r="AB98" s="17"/>
      <c r="AC98" s="94">
        <v>2000</v>
      </c>
      <c r="AD98" s="95" t="s">
        <v>44</v>
      </c>
      <c r="AE98" s="41"/>
      <c r="AF98" s="41"/>
      <c r="AG98" s="41"/>
      <c r="AH98" s="16"/>
      <c r="AI98" s="16"/>
      <c r="AJ98" s="16"/>
      <c r="AK98" s="16"/>
      <c r="AL98" s="69">
        <f>(SUM(AL$134:AL$149)/16)/(SUM($J$134:$J$149)/16)*SARM[[#This Row],[Trenes Corridos]]</f>
        <v>893.47038322688138</v>
      </c>
      <c r="AM98" s="16"/>
      <c r="AN98" s="16"/>
      <c r="AO98" s="16"/>
      <c r="AP98" s="17"/>
      <c r="AQ98" s="94">
        <v>2000</v>
      </c>
      <c r="AR98" s="95" t="s">
        <v>44</v>
      </c>
      <c r="AS98" s="41"/>
      <c r="AT98" s="41"/>
      <c r="AU98" s="41"/>
      <c r="AV98" s="16"/>
      <c r="AW98" s="16"/>
      <c r="AX98" s="16"/>
      <c r="AY98" s="16"/>
      <c r="AZ98" s="69">
        <f>(SUM(AZ$134:AZ$149)/16)/(SUM($J$134:$J$149)/16)*SARM[[#This Row],[Trenes Corridos]]</f>
        <v>1116.1801721743959</v>
      </c>
      <c r="BA98" s="16"/>
      <c r="BB98" s="16"/>
    </row>
    <row r="99" spans="1:54" s="18" customFormat="1" ht="15" customHeight="1">
      <c r="A99" s="96">
        <v>2000</v>
      </c>
      <c r="B99" s="97" t="s">
        <v>45</v>
      </c>
      <c r="C99" s="15">
        <f t="shared" si="7"/>
        <v>0.96931100190552599</v>
      </c>
      <c r="D99" s="15">
        <f t="shared" si="8"/>
        <v>0.97350926672038673</v>
      </c>
      <c r="E99" s="15">
        <f t="shared" si="9"/>
        <v>0.9956874937318223</v>
      </c>
      <c r="F99" s="16">
        <f>+Tabla2[[#This Row],[Trenes Programados por Día Hábil]]+Tabla9[[#This Row],[Trenes Programados por Día Hábil]]+Tabla10[[#This Row],[Trenes Programados por Día Hábil]]</f>
        <v>0</v>
      </c>
      <c r="G99" s="33">
        <f>+(Tabla2[[#This Row],[Coches por Tren Día Hábil]]*Tabla2[[#This Row],[Trenes Corridos]]+Tabla9[[#This Row],[Coches por Tren Día Hábil]]*Tabla9[[#This Row],[Trenes Corridos]]+Tabla10[[#This Row],[Coches por Tren Día Hábil]]*Tabla10[[#This Row],[Trenes Corridos]])/SARM[[#This Row],[Trenes Corridos]]</f>
        <v>0</v>
      </c>
      <c r="H99" s="16">
        <v>9971</v>
      </c>
      <c r="I99" s="16">
        <f t="shared" si="5"/>
        <v>43</v>
      </c>
      <c r="J99" s="16">
        <v>9928</v>
      </c>
      <c r="K99" s="16">
        <v>9665</v>
      </c>
      <c r="L99" s="16">
        <f t="shared" si="6"/>
        <v>263</v>
      </c>
      <c r="M99" s="16"/>
      <c r="N99" s="17"/>
      <c r="O99" s="96">
        <v>2000</v>
      </c>
      <c r="P99" s="97" t="s">
        <v>45</v>
      </c>
      <c r="Q99" s="41"/>
      <c r="R99" s="41"/>
      <c r="S99" s="41"/>
      <c r="T99" s="16"/>
      <c r="U99" s="16"/>
      <c r="V99" s="16"/>
      <c r="W99" s="16"/>
      <c r="X99" s="69">
        <f>(SUM(X$134:X$149)/16)/(SUM($J$134:$J$149)/16)*SARM[[#This Row],[Trenes Corridos]]</f>
        <v>7874.922132740905</v>
      </c>
      <c r="Y99" s="16"/>
      <c r="Z99" s="16"/>
      <c r="AA99" s="16"/>
      <c r="AB99" s="17"/>
      <c r="AC99" s="96">
        <v>2000</v>
      </c>
      <c r="AD99" s="97" t="s">
        <v>45</v>
      </c>
      <c r="AE99" s="41"/>
      <c r="AF99" s="41"/>
      <c r="AG99" s="41"/>
      <c r="AH99" s="16"/>
      <c r="AI99" s="16"/>
      <c r="AJ99" s="16"/>
      <c r="AK99" s="16"/>
      <c r="AL99" s="69">
        <f>(SUM(AL$134:AL$149)/16)/(SUM($J$134:$J$149)/16)*SARM[[#This Row],[Trenes Corridos]]</f>
        <v>912.77772840877526</v>
      </c>
      <c r="AM99" s="16"/>
      <c r="AN99" s="16"/>
      <c r="AO99" s="16"/>
      <c r="AP99" s="17"/>
      <c r="AQ99" s="96">
        <v>2000</v>
      </c>
      <c r="AR99" s="97" t="s">
        <v>45</v>
      </c>
      <c r="AS99" s="41"/>
      <c r="AT99" s="41"/>
      <c r="AU99" s="41"/>
      <c r="AV99" s="16"/>
      <c r="AW99" s="16"/>
      <c r="AX99" s="16"/>
      <c r="AY99" s="16"/>
      <c r="AZ99" s="69">
        <f>(SUM(AZ$134:AZ$149)/16)/(SUM($J$134:$J$149)/16)*SARM[[#This Row],[Trenes Corridos]]</f>
        <v>1140.3001388503194</v>
      </c>
      <c r="BA99" s="16"/>
      <c r="BB99" s="16"/>
    </row>
    <row r="100" spans="1:54" s="18" customFormat="1" ht="15" customHeight="1">
      <c r="A100" s="94">
        <v>2000</v>
      </c>
      <c r="B100" s="95" t="s">
        <v>46</v>
      </c>
      <c r="C100" s="15">
        <f t="shared" si="7"/>
        <v>0.93438822817980249</v>
      </c>
      <c r="D100" s="15">
        <f t="shared" si="8"/>
        <v>0.97867623772828038</v>
      </c>
      <c r="E100" s="15">
        <f t="shared" si="9"/>
        <v>0.95474702680911105</v>
      </c>
      <c r="F100" s="16">
        <f>+Tabla2[[#This Row],[Trenes Programados por Día Hábil]]+Tabla9[[#This Row],[Trenes Programados por Día Hábil]]+Tabla10[[#This Row],[Trenes Programados por Día Hábil]]</f>
        <v>0</v>
      </c>
      <c r="G100" s="33">
        <f>+(Tabla2[[#This Row],[Coches por Tren Día Hábil]]*Tabla2[[#This Row],[Trenes Corridos]]+Tabla9[[#This Row],[Coches por Tren Día Hábil]]*Tabla9[[#This Row],[Trenes Corridos]]+Tabla10[[#This Row],[Coches por Tren Día Hábil]]*Tabla10[[#This Row],[Trenes Corridos]])/SARM[[#This Row],[Trenes Corridos]]</f>
        <v>0</v>
      </c>
      <c r="H100" s="16">
        <v>9922</v>
      </c>
      <c r="I100" s="16">
        <f t="shared" si="5"/>
        <v>449</v>
      </c>
      <c r="J100" s="16">
        <v>9473</v>
      </c>
      <c r="K100" s="16">
        <v>9271</v>
      </c>
      <c r="L100" s="16">
        <f t="shared" si="6"/>
        <v>202</v>
      </c>
      <c r="M100" s="16"/>
      <c r="N100" s="17"/>
      <c r="O100" s="94">
        <v>2000</v>
      </c>
      <c r="P100" s="95" t="s">
        <v>46</v>
      </c>
      <c r="Q100" s="41"/>
      <c r="R100" s="41"/>
      <c r="S100" s="41"/>
      <c r="T100" s="16"/>
      <c r="U100" s="16"/>
      <c r="V100" s="16"/>
      <c r="W100" s="16"/>
      <c r="X100" s="69">
        <f>(SUM(X$134:X$149)/16)/(SUM($J$134:$J$149)/16)*SARM[[#This Row],[Trenes Corridos]]</f>
        <v>7514.0146417661763</v>
      </c>
      <c r="Y100" s="16"/>
      <c r="Z100" s="16"/>
      <c r="AA100" s="16"/>
      <c r="AB100" s="17"/>
      <c r="AC100" s="94">
        <v>2000</v>
      </c>
      <c r="AD100" s="95" t="s">
        <v>46</v>
      </c>
      <c r="AE100" s="41"/>
      <c r="AF100" s="41"/>
      <c r="AG100" s="41"/>
      <c r="AH100" s="16"/>
      <c r="AI100" s="16"/>
      <c r="AJ100" s="16"/>
      <c r="AK100" s="16"/>
      <c r="AL100" s="69">
        <f>(SUM(AL$134:AL$149)/16)/(SUM($J$134:$J$149)/16)*SARM[[#This Row],[Trenes Corridos]]</f>
        <v>870.94514718133848</v>
      </c>
      <c r="AM100" s="16"/>
      <c r="AN100" s="16"/>
      <c r="AO100" s="16"/>
      <c r="AP100" s="17"/>
      <c r="AQ100" s="94">
        <v>2000</v>
      </c>
      <c r="AR100" s="95" t="s">
        <v>46</v>
      </c>
      <c r="AS100" s="41"/>
      <c r="AT100" s="41"/>
      <c r="AU100" s="41"/>
      <c r="AV100" s="16"/>
      <c r="AW100" s="16"/>
      <c r="AX100" s="16"/>
      <c r="AY100" s="16"/>
      <c r="AZ100" s="69">
        <f>(SUM(AZ$134:AZ$149)/16)/(SUM($J$134:$J$149)/16)*SARM[[#This Row],[Trenes Corridos]]</f>
        <v>1088.0402110524853</v>
      </c>
      <c r="BA100" s="16"/>
      <c r="BB100" s="16"/>
    </row>
    <row r="101" spans="1:54" s="18" customFormat="1" ht="15" customHeight="1">
      <c r="A101" s="96">
        <v>2000</v>
      </c>
      <c r="B101" s="97" t="s">
        <v>47</v>
      </c>
      <c r="C101" s="15">
        <f t="shared" si="7"/>
        <v>0.92405582922824303</v>
      </c>
      <c r="D101" s="15">
        <f t="shared" si="8"/>
        <v>0.95099281791296997</v>
      </c>
      <c r="E101" s="15">
        <f t="shared" si="9"/>
        <v>0.97167487684729059</v>
      </c>
      <c r="F101" s="16">
        <f>+Tabla2[[#This Row],[Trenes Programados por Día Hábil]]+Tabla9[[#This Row],[Trenes Programados por Día Hábil]]+Tabla10[[#This Row],[Trenes Programados por Día Hábil]]</f>
        <v>0</v>
      </c>
      <c r="G101" s="33">
        <f>+(Tabla2[[#This Row],[Coches por Tren Día Hábil]]*Tabla2[[#This Row],[Trenes Corridos]]+Tabla9[[#This Row],[Coches por Tren Día Hábil]]*Tabla9[[#This Row],[Trenes Corridos]]+Tabla10[[#This Row],[Coches por Tren Día Hábil]]*Tabla10[[#This Row],[Trenes Corridos]])/SARM[[#This Row],[Trenes Corridos]]</f>
        <v>0</v>
      </c>
      <c r="H101" s="16">
        <v>9744</v>
      </c>
      <c r="I101" s="16">
        <f t="shared" si="5"/>
        <v>276</v>
      </c>
      <c r="J101" s="16">
        <v>9468</v>
      </c>
      <c r="K101" s="16">
        <v>9004</v>
      </c>
      <c r="L101" s="16">
        <f t="shared" si="6"/>
        <v>464</v>
      </c>
      <c r="M101" s="16"/>
      <c r="N101" s="17"/>
      <c r="O101" s="96">
        <v>2000</v>
      </c>
      <c r="P101" s="97" t="s">
        <v>47</v>
      </c>
      <c r="Q101" s="41"/>
      <c r="R101" s="41"/>
      <c r="S101" s="41"/>
      <c r="T101" s="16"/>
      <c r="U101" s="16"/>
      <c r="V101" s="16"/>
      <c r="W101" s="16"/>
      <c r="X101" s="69">
        <f>(SUM(X$134:X$149)/16)/(SUM($J$134:$J$149)/16)*SARM[[#This Row],[Trenes Corridos]]</f>
        <v>7510.0486253818381</v>
      </c>
      <c r="Y101" s="16"/>
      <c r="Z101" s="16"/>
      <c r="AA101" s="16"/>
      <c r="AB101" s="17"/>
      <c r="AC101" s="96">
        <v>2000</v>
      </c>
      <c r="AD101" s="97" t="s">
        <v>47</v>
      </c>
      <c r="AE101" s="41"/>
      <c r="AF101" s="41"/>
      <c r="AG101" s="41"/>
      <c r="AH101" s="16"/>
      <c r="AI101" s="16"/>
      <c r="AJ101" s="16"/>
      <c r="AK101" s="16"/>
      <c r="AL101" s="69">
        <f>(SUM(AL$134:AL$149)/16)/(SUM($J$134:$J$149)/16)*SARM[[#This Row],[Trenes Corridos]]</f>
        <v>870.48544848653148</v>
      </c>
      <c r="AM101" s="16"/>
      <c r="AN101" s="16"/>
      <c r="AO101" s="16"/>
      <c r="AP101" s="17"/>
      <c r="AQ101" s="96">
        <v>2000</v>
      </c>
      <c r="AR101" s="97" t="s">
        <v>47</v>
      </c>
      <c r="AS101" s="41"/>
      <c r="AT101" s="41"/>
      <c r="AU101" s="41"/>
      <c r="AV101" s="16"/>
      <c r="AW101" s="16"/>
      <c r="AX101" s="16"/>
      <c r="AY101" s="16"/>
      <c r="AZ101" s="69">
        <f>(SUM(AZ$134:AZ$149)/16)/(SUM($J$134:$J$149)/16)*SARM[[#This Row],[Trenes Corridos]]</f>
        <v>1087.4659261316301</v>
      </c>
      <c r="BA101" s="16"/>
      <c r="BB101" s="16"/>
    </row>
    <row r="102" spans="1:54" s="18" customFormat="1" ht="15" customHeight="1">
      <c r="A102" s="94">
        <v>2001</v>
      </c>
      <c r="B102" s="95" t="s">
        <v>36</v>
      </c>
      <c r="C102" s="15">
        <f t="shared" si="7"/>
        <v>0.9431942103697829</v>
      </c>
      <c r="D102" s="15">
        <f t="shared" si="8"/>
        <v>0.96149570490146541</v>
      </c>
      <c r="E102" s="15">
        <f t="shared" si="9"/>
        <v>0.98096559928620997</v>
      </c>
      <c r="F102" s="16">
        <f>+Tabla2[[#This Row],[Trenes Programados por Día Hábil]]+Tabla9[[#This Row],[Trenes Programados por Día Hábil]]+Tabla10[[#This Row],[Trenes Programados por Día Hábil]]</f>
        <v>0</v>
      </c>
      <c r="G102" s="33">
        <f>+(Tabla2[[#This Row],[Coches por Tren Día Hábil]]*Tabla2[[#This Row],[Trenes Corridos]]+Tabla9[[#This Row],[Coches por Tren Día Hábil]]*Tabla9[[#This Row],[Trenes Corridos]]+Tabla10[[#This Row],[Coches por Tren Día Hábil]]*Tabla10[[#This Row],[Trenes Corridos]])/SARM[[#This Row],[Trenes Corridos]]</f>
        <v>0</v>
      </c>
      <c r="H102" s="16">
        <v>10087</v>
      </c>
      <c r="I102" s="16">
        <f t="shared" si="5"/>
        <v>192</v>
      </c>
      <c r="J102" s="16">
        <v>9895</v>
      </c>
      <c r="K102" s="16">
        <v>9514</v>
      </c>
      <c r="L102" s="16">
        <f t="shared" si="6"/>
        <v>381</v>
      </c>
      <c r="M102" s="16"/>
      <c r="N102" s="17"/>
      <c r="O102" s="94">
        <v>2001</v>
      </c>
      <c r="P102" s="95" t="s">
        <v>36</v>
      </c>
      <c r="Q102" s="41"/>
      <c r="R102" s="41"/>
      <c r="S102" s="41"/>
      <c r="T102" s="16"/>
      <c r="U102" s="16"/>
      <c r="V102" s="16"/>
      <c r="W102" s="16"/>
      <c r="X102" s="69">
        <f>(SUM(X$134:X$149)/16)/(SUM($J$134:$J$149)/16)*SARM[[#This Row],[Trenes Corridos]]</f>
        <v>7848.7464246042764</v>
      </c>
      <c r="Y102" s="16"/>
      <c r="Z102" s="16"/>
      <c r="AA102" s="16"/>
      <c r="AB102" s="17"/>
      <c r="AC102" s="94">
        <v>2001</v>
      </c>
      <c r="AD102" s="95" t="s">
        <v>36</v>
      </c>
      <c r="AE102" s="41"/>
      <c r="AF102" s="41"/>
      <c r="AG102" s="41"/>
      <c r="AH102" s="16"/>
      <c r="AI102" s="16"/>
      <c r="AJ102" s="16"/>
      <c r="AK102" s="16"/>
      <c r="AL102" s="69">
        <f>(SUM(AL$134:AL$149)/16)/(SUM($J$134:$J$149)/16)*SARM[[#This Row],[Trenes Corridos]]</f>
        <v>909.74371702304904</v>
      </c>
      <c r="AM102" s="16"/>
      <c r="AN102" s="16"/>
      <c r="AO102" s="16"/>
      <c r="AP102" s="17"/>
      <c r="AQ102" s="94">
        <v>2001</v>
      </c>
      <c r="AR102" s="95" t="s">
        <v>36</v>
      </c>
      <c r="AS102" s="41"/>
      <c r="AT102" s="41"/>
      <c r="AU102" s="41"/>
      <c r="AV102" s="16"/>
      <c r="AW102" s="16"/>
      <c r="AX102" s="16"/>
      <c r="AY102" s="16"/>
      <c r="AZ102" s="69">
        <f>(SUM(AZ$134:AZ$149)/16)/(SUM($J$134:$J$149)/16)*SARM[[#This Row],[Trenes Corridos]]</f>
        <v>1136.5098583726742</v>
      </c>
      <c r="BA102" s="16"/>
      <c r="BB102" s="16"/>
    </row>
    <row r="103" spans="1:54" s="18" customFormat="1" ht="15" customHeight="1">
      <c r="A103" s="96">
        <v>2001</v>
      </c>
      <c r="B103" s="97" t="s">
        <v>37</v>
      </c>
      <c r="C103" s="15">
        <f t="shared" si="7"/>
        <v>0.95642605633802813</v>
      </c>
      <c r="D103" s="15">
        <f t="shared" si="8"/>
        <v>0.96976458774963736</v>
      </c>
      <c r="E103" s="15">
        <f t="shared" si="9"/>
        <v>0.98624559859154926</v>
      </c>
      <c r="F103" s="16">
        <f>+Tabla2[[#This Row],[Trenes Programados por Día Hábil]]+Tabla9[[#This Row],[Trenes Programados por Día Hábil]]+Tabla10[[#This Row],[Trenes Programados por Día Hábil]]</f>
        <v>0</v>
      </c>
      <c r="G103" s="33">
        <f>+(Tabla2[[#This Row],[Coches por Tren Día Hábil]]*Tabla2[[#This Row],[Trenes Corridos]]+Tabla9[[#This Row],[Coches por Tren Día Hábil]]*Tabla9[[#This Row],[Trenes Corridos]]+Tabla10[[#This Row],[Coches por Tren Día Hábil]]*Tabla10[[#This Row],[Trenes Corridos]])/SARM[[#This Row],[Trenes Corridos]]</f>
        <v>0</v>
      </c>
      <c r="H103" s="16">
        <v>9088</v>
      </c>
      <c r="I103" s="16">
        <f t="shared" si="5"/>
        <v>125</v>
      </c>
      <c r="J103" s="16">
        <v>8963</v>
      </c>
      <c r="K103" s="16">
        <v>8692</v>
      </c>
      <c r="L103" s="16">
        <f t="shared" si="6"/>
        <v>271</v>
      </c>
      <c r="M103" s="16"/>
      <c r="N103" s="17"/>
      <c r="O103" s="96">
        <v>2001</v>
      </c>
      <c r="P103" s="97" t="s">
        <v>37</v>
      </c>
      <c r="Q103" s="41"/>
      <c r="R103" s="41"/>
      <c r="S103" s="41"/>
      <c r="T103" s="16"/>
      <c r="U103" s="16"/>
      <c r="V103" s="16"/>
      <c r="W103" s="16"/>
      <c r="X103" s="69">
        <f>(SUM(X$134:X$149)/16)/(SUM($J$134:$J$149)/16)*SARM[[#This Row],[Trenes Corridos]]</f>
        <v>7109.4809705637317</v>
      </c>
      <c r="Y103" s="16"/>
      <c r="Z103" s="16"/>
      <c r="AA103" s="16"/>
      <c r="AB103" s="17"/>
      <c r="AC103" s="96">
        <v>2001</v>
      </c>
      <c r="AD103" s="97" t="s">
        <v>37</v>
      </c>
      <c r="AE103" s="41"/>
      <c r="AF103" s="41"/>
      <c r="AG103" s="41"/>
      <c r="AH103" s="16"/>
      <c r="AI103" s="16"/>
      <c r="AJ103" s="16"/>
      <c r="AK103" s="16"/>
      <c r="AL103" s="69">
        <f>(SUM(AL$134:AL$149)/16)/(SUM($J$134:$J$149)/16)*SARM[[#This Row],[Trenes Corridos]]</f>
        <v>824.05588031102468</v>
      </c>
      <c r="AM103" s="16"/>
      <c r="AN103" s="16"/>
      <c r="AO103" s="16"/>
      <c r="AP103" s="17"/>
      <c r="AQ103" s="96">
        <v>2001</v>
      </c>
      <c r="AR103" s="97" t="s">
        <v>37</v>
      </c>
      <c r="AS103" s="41"/>
      <c r="AT103" s="41"/>
      <c r="AU103" s="41"/>
      <c r="AV103" s="16"/>
      <c r="AW103" s="16"/>
      <c r="AX103" s="16"/>
      <c r="AY103" s="16"/>
      <c r="AZ103" s="69">
        <f>(SUM(AZ$134:AZ$149)/16)/(SUM($J$134:$J$149)/16)*SARM[[#This Row],[Trenes Corridos]]</f>
        <v>1029.463149125243</v>
      </c>
      <c r="BA103" s="16"/>
      <c r="BB103" s="16"/>
    </row>
    <row r="104" spans="1:54" s="18" customFormat="1" ht="15" customHeight="1">
      <c r="A104" s="94">
        <v>2001</v>
      </c>
      <c r="B104" s="95" t="s">
        <v>38</v>
      </c>
      <c r="C104" s="15">
        <f t="shared" si="7"/>
        <v>0.92763679619349726</v>
      </c>
      <c r="D104" s="15">
        <f t="shared" si="8"/>
        <v>0.94687847819488014</v>
      </c>
      <c r="E104" s="15">
        <f t="shared" si="9"/>
        <v>0.97967882632831083</v>
      </c>
      <c r="F104" s="16">
        <f>+Tabla2[[#This Row],[Trenes Programados por Día Hábil]]+Tabla9[[#This Row],[Trenes Programados por Día Hábil]]+Tabla10[[#This Row],[Trenes Programados por Día Hábil]]</f>
        <v>0</v>
      </c>
      <c r="G104" s="33">
        <f>+(Tabla2[[#This Row],[Coches por Tren Día Hábil]]*Tabla2[[#This Row],[Trenes Corridos]]+Tabla9[[#This Row],[Coches por Tren Día Hábil]]*Tabla9[[#This Row],[Trenes Corridos]]+Tabla10[[#This Row],[Coches por Tren Día Hábil]]*Tabla10[[#This Row],[Trenes Corridos]])/SARM[[#This Row],[Trenes Corridos]]</f>
        <v>0</v>
      </c>
      <c r="H104" s="16">
        <v>10088</v>
      </c>
      <c r="I104" s="16">
        <f t="shared" si="5"/>
        <v>205</v>
      </c>
      <c r="J104" s="16">
        <v>9883</v>
      </c>
      <c r="K104" s="16">
        <v>9358</v>
      </c>
      <c r="L104" s="16">
        <f t="shared" si="6"/>
        <v>525</v>
      </c>
      <c r="M104" s="16"/>
      <c r="N104" s="17"/>
      <c r="O104" s="94">
        <v>2001</v>
      </c>
      <c r="P104" s="95" t="s">
        <v>38</v>
      </c>
      <c r="Q104" s="41"/>
      <c r="R104" s="41"/>
      <c r="S104" s="41"/>
      <c r="T104" s="16"/>
      <c r="U104" s="16"/>
      <c r="V104" s="16"/>
      <c r="W104" s="16"/>
      <c r="X104" s="69">
        <f>(SUM(X$134:X$149)/16)/(SUM($J$134:$J$149)/16)*SARM[[#This Row],[Trenes Corridos]]</f>
        <v>7839.2279852818656</v>
      </c>
      <c r="Y104" s="16"/>
      <c r="Z104" s="16"/>
      <c r="AA104" s="16"/>
      <c r="AB104" s="17"/>
      <c r="AC104" s="94">
        <v>2001</v>
      </c>
      <c r="AD104" s="95" t="s">
        <v>38</v>
      </c>
      <c r="AE104" s="41"/>
      <c r="AF104" s="41"/>
      <c r="AG104" s="41"/>
      <c r="AH104" s="16"/>
      <c r="AI104" s="16"/>
      <c r="AJ104" s="16"/>
      <c r="AK104" s="16"/>
      <c r="AL104" s="69">
        <f>(SUM(AL$134:AL$149)/16)/(SUM($J$134:$J$149)/16)*SARM[[#This Row],[Trenes Corridos]]</f>
        <v>908.64044015551235</v>
      </c>
      <c r="AM104" s="16"/>
      <c r="AN104" s="16"/>
      <c r="AO104" s="16"/>
      <c r="AP104" s="17"/>
      <c r="AQ104" s="94">
        <v>2001</v>
      </c>
      <c r="AR104" s="95" t="s">
        <v>38</v>
      </c>
      <c r="AS104" s="41"/>
      <c r="AT104" s="41"/>
      <c r="AU104" s="41"/>
      <c r="AV104" s="16"/>
      <c r="AW104" s="16"/>
      <c r="AX104" s="16"/>
      <c r="AY104" s="16"/>
      <c r="AZ104" s="69">
        <f>(SUM(AZ$134:AZ$149)/16)/(SUM($J$134:$J$149)/16)*SARM[[#This Row],[Trenes Corridos]]</f>
        <v>1135.1315745626214</v>
      </c>
      <c r="BA104" s="16"/>
      <c r="BB104" s="16"/>
    </row>
    <row r="105" spans="1:54" s="18" customFormat="1" ht="15" customHeight="1">
      <c r="A105" s="96">
        <v>2001</v>
      </c>
      <c r="B105" s="97" t="s">
        <v>39</v>
      </c>
      <c r="C105" s="15">
        <f t="shared" si="7"/>
        <v>0.92335096620965129</v>
      </c>
      <c r="D105" s="15">
        <f t="shared" si="8"/>
        <v>0.96731508708437008</v>
      </c>
      <c r="E105" s="15">
        <f t="shared" si="9"/>
        <v>0.95455036165389184</v>
      </c>
      <c r="F105" s="16">
        <f>+Tabla2[[#This Row],[Trenes Programados por Día Hábil]]+Tabla9[[#This Row],[Trenes Programados por Día Hábil]]+Tabla10[[#This Row],[Trenes Programados por Día Hábil]]</f>
        <v>0</v>
      </c>
      <c r="G105" s="33">
        <f>+(Tabla2[[#This Row],[Coches por Tren Día Hábil]]*Tabla2[[#This Row],[Trenes Corridos]]+Tabla9[[#This Row],[Coches por Tren Día Hábil]]*Tabla9[[#This Row],[Trenes Corridos]]+Tabla10[[#This Row],[Coches por Tren Día Hábil]]*Tabla10[[#This Row],[Trenes Corridos]])/SARM[[#This Row],[Trenes Corridos]]</f>
        <v>0</v>
      </c>
      <c r="H105" s="16">
        <v>9263</v>
      </c>
      <c r="I105" s="16">
        <f t="shared" si="5"/>
        <v>421</v>
      </c>
      <c r="J105" s="16">
        <v>8842</v>
      </c>
      <c r="K105" s="16">
        <v>8553</v>
      </c>
      <c r="L105" s="16">
        <f t="shared" si="6"/>
        <v>289</v>
      </c>
      <c r="M105" s="16"/>
      <c r="N105" s="17"/>
      <c r="O105" s="96">
        <v>2001</v>
      </c>
      <c r="P105" s="97" t="s">
        <v>39</v>
      </c>
      <c r="Q105" s="41"/>
      <c r="R105" s="41"/>
      <c r="S105" s="41"/>
      <c r="T105" s="16"/>
      <c r="U105" s="16"/>
      <c r="V105" s="16"/>
      <c r="W105" s="16"/>
      <c r="X105" s="69">
        <f>(SUM(X$134:X$149)/16)/(SUM($J$134:$J$149)/16)*SARM[[#This Row],[Trenes Corridos]]</f>
        <v>7013.5033740627605</v>
      </c>
      <c r="Y105" s="16"/>
      <c r="Z105" s="16"/>
      <c r="AA105" s="16"/>
      <c r="AB105" s="17"/>
      <c r="AC105" s="96">
        <v>2001</v>
      </c>
      <c r="AD105" s="97" t="s">
        <v>39</v>
      </c>
      <c r="AE105" s="41"/>
      <c r="AF105" s="41"/>
      <c r="AG105" s="41"/>
      <c r="AH105" s="16"/>
      <c r="AI105" s="16"/>
      <c r="AJ105" s="16"/>
      <c r="AK105" s="16"/>
      <c r="AL105" s="69">
        <f>(SUM(AL$134:AL$149)/16)/(SUM($J$134:$J$149)/16)*SARM[[#This Row],[Trenes Corridos]]</f>
        <v>812.93117189669533</v>
      </c>
      <c r="AM105" s="16"/>
      <c r="AN105" s="16"/>
      <c r="AO105" s="16"/>
      <c r="AP105" s="17"/>
      <c r="AQ105" s="96">
        <v>2001</v>
      </c>
      <c r="AR105" s="97" t="s">
        <v>39</v>
      </c>
      <c r="AS105" s="41"/>
      <c r="AT105" s="41"/>
      <c r="AU105" s="41"/>
      <c r="AV105" s="16"/>
      <c r="AW105" s="16"/>
      <c r="AX105" s="16"/>
      <c r="AY105" s="16"/>
      <c r="AZ105" s="69">
        <f>(SUM(AZ$134:AZ$149)/16)/(SUM($J$134:$J$149)/16)*SARM[[#This Row],[Trenes Corridos]]</f>
        <v>1015.5654540405443</v>
      </c>
      <c r="BA105" s="16"/>
      <c r="BB105" s="16"/>
    </row>
    <row r="106" spans="1:54" s="18" customFormat="1" ht="15" customHeight="1">
      <c r="A106" s="94">
        <v>2001</v>
      </c>
      <c r="B106" s="95" t="s">
        <v>40</v>
      </c>
      <c r="C106" s="15">
        <f t="shared" si="7"/>
        <v>0.92789682136691376</v>
      </c>
      <c r="D106" s="15">
        <f t="shared" si="8"/>
        <v>0.94733022291342661</v>
      </c>
      <c r="E106" s="15">
        <f t="shared" si="9"/>
        <v>0.97948613791002337</v>
      </c>
      <c r="F106" s="16">
        <f>+Tabla2[[#This Row],[Trenes Programados por Día Hábil]]+Tabla9[[#This Row],[Trenes Programados por Día Hábil]]+Tabla10[[#This Row],[Trenes Programados por Día Hábil]]</f>
        <v>0</v>
      </c>
      <c r="G106" s="33">
        <f>+(Tabla2[[#This Row],[Coches por Tren Día Hábil]]*Tabla2[[#This Row],[Trenes Corridos]]+Tabla9[[#This Row],[Coches por Tren Día Hábil]]*Tabla9[[#This Row],[Trenes Corridos]]+Tabla10[[#This Row],[Coches por Tren Día Hábil]]*Tabla10[[#This Row],[Trenes Corridos]])/SARM[[#This Row],[Trenes Corridos]]</f>
        <v>0</v>
      </c>
      <c r="H106" s="16">
        <v>9847</v>
      </c>
      <c r="I106" s="16">
        <f t="shared" si="5"/>
        <v>202</v>
      </c>
      <c r="J106" s="16">
        <v>9645</v>
      </c>
      <c r="K106" s="16">
        <v>9137</v>
      </c>
      <c r="L106" s="16">
        <f t="shared" si="6"/>
        <v>508</v>
      </c>
      <c r="M106" s="16"/>
      <c r="N106" s="17"/>
      <c r="O106" s="94">
        <v>2001</v>
      </c>
      <c r="P106" s="95" t="s">
        <v>40</v>
      </c>
      <c r="Q106" s="41"/>
      <c r="R106" s="41"/>
      <c r="S106" s="41"/>
      <c r="T106" s="16"/>
      <c r="U106" s="16"/>
      <c r="V106" s="16"/>
      <c r="W106" s="16"/>
      <c r="X106" s="69">
        <f>(SUM(X$134:X$149)/16)/(SUM($J$134:$J$149)/16)*SARM[[#This Row],[Trenes Corridos]]</f>
        <v>7650.4456053873919</v>
      </c>
      <c r="Y106" s="16"/>
      <c r="Z106" s="16"/>
      <c r="AA106" s="16"/>
      <c r="AB106" s="17"/>
      <c r="AC106" s="94">
        <v>2001</v>
      </c>
      <c r="AD106" s="95" t="s">
        <v>40</v>
      </c>
      <c r="AE106" s="41"/>
      <c r="AF106" s="41"/>
      <c r="AG106" s="41"/>
      <c r="AH106" s="16"/>
      <c r="AI106" s="16"/>
      <c r="AJ106" s="16"/>
      <c r="AK106" s="16"/>
      <c r="AL106" s="69">
        <f>(SUM(AL$134:AL$149)/16)/(SUM($J$134:$J$149)/16)*SARM[[#This Row],[Trenes Corridos]]</f>
        <v>886.75878228269914</v>
      </c>
      <c r="AM106" s="16"/>
      <c r="AN106" s="16"/>
      <c r="AO106" s="16"/>
      <c r="AP106" s="17"/>
      <c r="AQ106" s="94">
        <v>2001</v>
      </c>
      <c r="AR106" s="95" t="s">
        <v>40</v>
      </c>
      <c r="AS106" s="41"/>
      <c r="AT106" s="41"/>
      <c r="AU106" s="41"/>
      <c r="AV106" s="16"/>
      <c r="AW106" s="16"/>
      <c r="AX106" s="16"/>
      <c r="AY106" s="16"/>
      <c r="AZ106" s="69">
        <f>(SUM(AZ$134:AZ$149)/16)/(SUM($J$134:$J$149)/16)*SARM[[#This Row],[Trenes Corridos]]</f>
        <v>1107.7956123299084</v>
      </c>
      <c r="BA106" s="16"/>
      <c r="BB106" s="16"/>
    </row>
    <row r="107" spans="1:54" s="18" customFormat="1" ht="15" customHeight="1">
      <c r="A107" s="96">
        <v>2001</v>
      </c>
      <c r="B107" s="97" t="s">
        <v>41</v>
      </c>
      <c r="C107" s="15">
        <f t="shared" si="7"/>
        <v>0.93890339425587466</v>
      </c>
      <c r="D107" s="15">
        <f t="shared" si="8"/>
        <v>0.9637650085763293</v>
      </c>
      <c r="E107" s="15">
        <f t="shared" si="9"/>
        <v>0.97420365535248044</v>
      </c>
      <c r="F107" s="16">
        <f>+Tabla2[[#This Row],[Trenes Programados por Día Hábil]]+Tabla9[[#This Row],[Trenes Programados por Día Hábil]]+Tabla10[[#This Row],[Trenes Programados por Día Hábil]]</f>
        <v>0</v>
      </c>
      <c r="G107" s="33">
        <f>+(Tabla2[[#This Row],[Coches por Tren Día Hábil]]*Tabla2[[#This Row],[Trenes Corridos]]+Tabla9[[#This Row],[Coches por Tren Día Hábil]]*Tabla9[[#This Row],[Trenes Corridos]]+Tabla10[[#This Row],[Coches por Tren Día Hábil]]*Tabla10[[#This Row],[Trenes Corridos]])/SARM[[#This Row],[Trenes Corridos]]</f>
        <v>0</v>
      </c>
      <c r="H107" s="16">
        <v>9575</v>
      </c>
      <c r="I107" s="16">
        <f t="shared" si="5"/>
        <v>247</v>
      </c>
      <c r="J107" s="16">
        <v>9328</v>
      </c>
      <c r="K107" s="16">
        <v>8990</v>
      </c>
      <c r="L107" s="16">
        <f t="shared" si="6"/>
        <v>338</v>
      </c>
      <c r="M107" s="16"/>
      <c r="N107" s="17"/>
      <c r="O107" s="96">
        <v>2001</v>
      </c>
      <c r="P107" s="97" t="s">
        <v>41</v>
      </c>
      <c r="Q107" s="41"/>
      <c r="R107" s="41"/>
      <c r="S107" s="41"/>
      <c r="T107" s="16"/>
      <c r="U107" s="16"/>
      <c r="V107" s="16"/>
      <c r="W107" s="16"/>
      <c r="X107" s="69">
        <f>(SUM(X$134:X$149)/16)/(SUM($J$134:$J$149)/16)*SARM[[#This Row],[Trenes Corridos]]</f>
        <v>7399.0001666203834</v>
      </c>
      <c r="Y107" s="16"/>
      <c r="Z107" s="16"/>
      <c r="AA107" s="16"/>
      <c r="AB107" s="17"/>
      <c r="AC107" s="96">
        <v>2001</v>
      </c>
      <c r="AD107" s="97" t="s">
        <v>41</v>
      </c>
      <c r="AE107" s="41"/>
      <c r="AF107" s="41"/>
      <c r="AG107" s="41"/>
      <c r="AH107" s="16"/>
      <c r="AI107" s="16"/>
      <c r="AJ107" s="16"/>
      <c r="AK107" s="16"/>
      <c r="AL107" s="69">
        <f>(SUM(AL$134:AL$149)/16)/(SUM($J$134:$J$149)/16)*SARM[[#This Row],[Trenes Corridos]]</f>
        <v>857.61388503193552</v>
      </c>
      <c r="AM107" s="16"/>
      <c r="AN107" s="16"/>
      <c r="AO107" s="16"/>
      <c r="AP107" s="17"/>
      <c r="AQ107" s="96">
        <v>2001</v>
      </c>
      <c r="AR107" s="97" t="s">
        <v>41</v>
      </c>
      <c r="AS107" s="41"/>
      <c r="AT107" s="41"/>
      <c r="AU107" s="41"/>
      <c r="AV107" s="16"/>
      <c r="AW107" s="16"/>
      <c r="AX107" s="16"/>
      <c r="AY107" s="16"/>
      <c r="AZ107" s="69">
        <f>(SUM(AZ$134:AZ$149)/16)/(SUM($J$134:$J$149)/16)*SARM[[#This Row],[Trenes Corridos]]</f>
        <v>1071.3859483476811</v>
      </c>
      <c r="BA107" s="16"/>
      <c r="BB107" s="16"/>
    </row>
    <row r="108" spans="1:54" s="18" customFormat="1" ht="15" customHeight="1">
      <c r="A108" s="94">
        <v>2001</v>
      </c>
      <c r="B108" s="95" t="s">
        <v>42</v>
      </c>
      <c r="C108" s="15">
        <f t="shared" si="7"/>
        <v>0.92292068650350356</v>
      </c>
      <c r="D108" s="15">
        <f t="shared" si="8"/>
        <v>0.97021458311092135</v>
      </c>
      <c r="E108" s="15">
        <f t="shared" si="9"/>
        <v>0.95125418909312476</v>
      </c>
      <c r="F108" s="16">
        <f>+Tabla2[[#This Row],[Trenes Programados por Día Hábil]]+Tabla9[[#This Row],[Trenes Programados por Día Hábil]]+Tabla10[[#This Row],[Trenes Programados por Día Hábil]]</f>
        <v>0</v>
      </c>
      <c r="G108" s="33">
        <f>+(Tabla2[[#This Row],[Coches por Tren Día Hábil]]*Tabla2[[#This Row],[Trenes Corridos]]+Tabla9[[#This Row],[Coches por Tren Día Hábil]]*Tabla9[[#This Row],[Trenes Corridos]]+Tabla10[[#This Row],[Coches por Tren Día Hábil]]*Tabla10[[#This Row],[Trenes Corridos]])/SARM[[#This Row],[Trenes Corridos]]</f>
        <v>0</v>
      </c>
      <c r="H108" s="16">
        <v>9847</v>
      </c>
      <c r="I108" s="16">
        <f t="shared" si="5"/>
        <v>480</v>
      </c>
      <c r="J108" s="16">
        <v>9367</v>
      </c>
      <c r="K108" s="16">
        <v>9088</v>
      </c>
      <c r="L108" s="16">
        <f t="shared" si="6"/>
        <v>279</v>
      </c>
      <c r="M108" s="16"/>
      <c r="N108" s="17"/>
      <c r="O108" s="94">
        <v>2001</v>
      </c>
      <c r="P108" s="95" t="s">
        <v>42</v>
      </c>
      <c r="Q108" s="41"/>
      <c r="R108" s="41"/>
      <c r="S108" s="41"/>
      <c r="T108" s="16"/>
      <c r="U108" s="16"/>
      <c r="V108" s="16"/>
      <c r="W108" s="16"/>
      <c r="X108" s="69">
        <f>(SUM(X$134:X$149)/16)/(SUM($J$134:$J$149)/16)*SARM[[#This Row],[Trenes Corridos]]</f>
        <v>7429.935094418217</v>
      </c>
      <c r="Y108" s="16"/>
      <c r="Z108" s="16"/>
      <c r="AA108" s="16"/>
      <c r="AB108" s="17"/>
      <c r="AC108" s="94">
        <v>2001</v>
      </c>
      <c r="AD108" s="95" t="s">
        <v>42</v>
      </c>
      <c r="AE108" s="41"/>
      <c r="AF108" s="41"/>
      <c r="AG108" s="41"/>
      <c r="AH108" s="16"/>
      <c r="AI108" s="16"/>
      <c r="AJ108" s="16"/>
      <c r="AK108" s="16"/>
      <c r="AL108" s="69">
        <f>(SUM(AL$134:AL$149)/16)/(SUM($J$134:$J$149)/16)*SARM[[#This Row],[Trenes Corridos]]</f>
        <v>861.19953485143014</v>
      </c>
      <c r="AM108" s="16"/>
      <c r="AN108" s="16"/>
      <c r="AO108" s="16"/>
      <c r="AP108" s="17"/>
      <c r="AQ108" s="94">
        <v>2001</v>
      </c>
      <c r="AR108" s="95" t="s">
        <v>42</v>
      </c>
      <c r="AS108" s="41"/>
      <c r="AT108" s="41"/>
      <c r="AU108" s="41"/>
      <c r="AV108" s="16"/>
      <c r="AW108" s="16"/>
      <c r="AX108" s="16"/>
      <c r="AY108" s="16"/>
      <c r="AZ108" s="69">
        <f>(SUM(AZ$134:AZ$149)/16)/(SUM($J$134:$J$149)/16)*SARM[[#This Row],[Trenes Corridos]]</f>
        <v>1075.8653707303527</v>
      </c>
      <c r="BA108" s="16"/>
      <c r="BB108" s="16"/>
    </row>
    <row r="109" spans="1:54" s="18" customFormat="1" ht="15" customHeight="1">
      <c r="A109" s="96">
        <v>2001</v>
      </c>
      <c r="B109" s="97" t="s">
        <v>43</v>
      </c>
      <c r="C109" s="15">
        <f t="shared" si="7"/>
        <v>0.95831250624812558</v>
      </c>
      <c r="D109" s="15">
        <f t="shared" si="8"/>
        <v>0.97024291497975712</v>
      </c>
      <c r="E109" s="15">
        <f t="shared" si="9"/>
        <v>0.98770368889333204</v>
      </c>
      <c r="F109" s="16">
        <f>+Tabla2[[#This Row],[Trenes Programados por Día Hábil]]+Tabla9[[#This Row],[Trenes Programados por Día Hábil]]+Tabla10[[#This Row],[Trenes Programados por Día Hábil]]</f>
        <v>0</v>
      </c>
      <c r="G109" s="33">
        <f>+(Tabla2[[#This Row],[Coches por Tren Día Hábil]]*Tabla2[[#This Row],[Trenes Corridos]]+Tabla9[[#This Row],[Coches por Tren Día Hábil]]*Tabla9[[#This Row],[Trenes Corridos]]+Tabla10[[#This Row],[Coches por Tren Día Hábil]]*Tabla10[[#This Row],[Trenes Corridos]])/SARM[[#This Row],[Trenes Corridos]]</f>
        <v>0</v>
      </c>
      <c r="H109" s="16">
        <v>10003</v>
      </c>
      <c r="I109" s="16">
        <f t="shared" si="5"/>
        <v>123</v>
      </c>
      <c r="J109" s="16">
        <v>9880</v>
      </c>
      <c r="K109" s="16">
        <v>9586</v>
      </c>
      <c r="L109" s="16">
        <f t="shared" si="6"/>
        <v>294</v>
      </c>
      <c r="M109" s="16"/>
      <c r="N109" s="17"/>
      <c r="O109" s="96">
        <v>2001</v>
      </c>
      <c r="P109" s="97" t="s">
        <v>43</v>
      </c>
      <c r="Q109" s="41"/>
      <c r="R109" s="41"/>
      <c r="S109" s="41"/>
      <c r="T109" s="16"/>
      <c r="U109" s="16"/>
      <c r="V109" s="16"/>
      <c r="W109" s="16"/>
      <c r="X109" s="69">
        <f>(SUM(X$134:X$149)/16)/(SUM($J$134:$J$149)/16)*SARM[[#This Row],[Trenes Corridos]]</f>
        <v>7836.8483754512636</v>
      </c>
      <c r="Y109" s="16"/>
      <c r="Z109" s="16"/>
      <c r="AA109" s="16"/>
      <c r="AB109" s="17"/>
      <c r="AC109" s="96">
        <v>2001</v>
      </c>
      <c r="AD109" s="97" t="s">
        <v>43</v>
      </c>
      <c r="AE109" s="41"/>
      <c r="AF109" s="41"/>
      <c r="AG109" s="41"/>
      <c r="AH109" s="16"/>
      <c r="AI109" s="16"/>
      <c r="AJ109" s="16"/>
      <c r="AK109" s="16"/>
      <c r="AL109" s="69">
        <f>(SUM(AL$134:AL$149)/16)/(SUM($J$134:$J$149)/16)*SARM[[#This Row],[Trenes Corridos]]</f>
        <v>908.36462093862815</v>
      </c>
      <c r="AM109" s="16"/>
      <c r="AN109" s="16"/>
      <c r="AO109" s="16"/>
      <c r="AP109" s="17"/>
      <c r="AQ109" s="96">
        <v>2001</v>
      </c>
      <c r="AR109" s="97" t="s">
        <v>43</v>
      </c>
      <c r="AS109" s="41"/>
      <c r="AT109" s="41"/>
      <c r="AU109" s="41"/>
      <c r="AV109" s="16"/>
      <c r="AW109" s="16"/>
      <c r="AX109" s="16"/>
      <c r="AY109" s="16"/>
      <c r="AZ109" s="69">
        <f>(SUM(AZ$134:AZ$149)/16)/(SUM($J$134:$J$149)/16)*SARM[[#This Row],[Trenes Corridos]]</f>
        <v>1134.7870036101083</v>
      </c>
      <c r="BA109" s="16"/>
      <c r="BB109" s="16"/>
    </row>
    <row r="110" spans="1:54" s="18" customFormat="1" ht="15" customHeight="1">
      <c r="A110" s="94">
        <v>2001</v>
      </c>
      <c r="B110" s="95" t="s">
        <v>44</v>
      </c>
      <c r="C110" s="15">
        <f t="shared" si="7"/>
        <v>0.97242819843342032</v>
      </c>
      <c r="D110" s="15">
        <f t="shared" si="8"/>
        <v>0.98134485666104554</v>
      </c>
      <c r="E110" s="15">
        <f t="shared" si="9"/>
        <v>0.99091383812010447</v>
      </c>
      <c r="F110" s="16">
        <f>+Tabla2[[#This Row],[Trenes Programados por Día Hábil]]+Tabla9[[#This Row],[Trenes Programados por Día Hábil]]+Tabla10[[#This Row],[Trenes Programados por Día Hábil]]</f>
        <v>0</v>
      </c>
      <c r="G110" s="33">
        <f>+(Tabla2[[#This Row],[Coches por Tren Día Hábil]]*Tabla2[[#This Row],[Trenes Corridos]]+Tabla9[[#This Row],[Coches por Tren Día Hábil]]*Tabla9[[#This Row],[Trenes Corridos]]+Tabla10[[#This Row],[Coches por Tren Día Hábil]]*Tabla10[[#This Row],[Trenes Corridos]])/SARM[[#This Row],[Trenes Corridos]]</f>
        <v>0</v>
      </c>
      <c r="H110" s="16">
        <v>9575</v>
      </c>
      <c r="I110" s="16">
        <f t="shared" si="5"/>
        <v>87</v>
      </c>
      <c r="J110" s="16">
        <v>9488</v>
      </c>
      <c r="K110" s="16">
        <v>9311</v>
      </c>
      <c r="L110" s="16">
        <f t="shared" si="6"/>
        <v>177</v>
      </c>
      <c r="M110" s="16"/>
      <c r="N110" s="17"/>
      <c r="O110" s="94">
        <v>2001</v>
      </c>
      <c r="P110" s="95" t="s">
        <v>44</v>
      </c>
      <c r="Q110" s="41"/>
      <c r="R110" s="41"/>
      <c r="S110" s="41"/>
      <c r="T110" s="16"/>
      <c r="U110" s="16"/>
      <c r="V110" s="16"/>
      <c r="W110" s="16"/>
      <c r="X110" s="69">
        <f>(SUM(X$134:X$149)/16)/(SUM($J$134:$J$149)/16)*SARM[[#This Row],[Trenes Corridos]]</f>
        <v>7525.9126909191891</v>
      </c>
      <c r="Y110" s="16"/>
      <c r="Z110" s="16"/>
      <c r="AA110" s="16"/>
      <c r="AB110" s="17"/>
      <c r="AC110" s="94">
        <v>2001</v>
      </c>
      <c r="AD110" s="95" t="s">
        <v>44</v>
      </c>
      <c r="AE110" s="41"/>
      <c r="AF110" s="41"/>
      <c r="AG110" s="41"/>
      <c r="AH110" s="16"/>
      <c r="AI110" s="16"/>
      <c r="AJ110" s="16"/>
      <c r="AK110" s="16"/>
      <c r="AL110" s="69">
        <f>(SUM(AL$134:AL$149)/16)/(SUM($J$134:$J$149)/16)*SARM[[#This Row],[Trenes Corridos]]</f>
        <v>872.32424326575949</v>
      </c>
      <c r="AM110" s="16"/>
      <c r="AN110" s="16"/>
      <c r="AO110" s="16"/>
      <c r="AP110" s="17"/>
      <c r="AQ110" s="94">
        <v>2001</v>
      </c>
      <c r="AR110" s="95" t="s">
        <v>44</v>
      </c>
      <c r="AS110" s="41"/>
      <c r="AT110" s="41"/>
      <c r="AU110" s="41"/>
      <c r="AV110" s="16"/>
      <c r="AW110" s="16"/>
      <c r="AX110" s="16"/>
      <c r="AY110" s="16"/>
      <c r="AZ110" s="69">
        <f>(SUM(AZ$134:AZ$149)/16)/(SUM($J$134:$J$149)/16)*SARM[[#This Row],[Trenes Corridos]]</f>
        <v>1089.7630658150513</v>
      </c>
      <c r="BA110" s="16"/>
      <c r="BB110" s="16"/>
    </row>
    <row r="111" spans="1:54" s="18" customFormat="1" ht="15" customHeight="1">
      <c r="A111" s="96">
        <v>2001</v>
      </c>
      <c r="B111" s="97" t="s">
        <v>45</v>
      </c>
      <c r="C111" s="15">
        <f t="shared" si="7"/>
        <v>0.94941517544736576</v>
      </c>
      <c r="D111" s="15">
        <f t="shared" si="8"/>
        <v>0.9598746715180918</v>
      </c>
      <c r="E111" s="15">
        <f t="shared" si="9"/>
        <v>0.98910326901929424</v>
      </c>
      <c r="F111" s="16">
        <f>+Tabla2[[#This Row],[Trenes Programados por Día Hábil]]+Tabla9[[#This Row],[Trenes Programados por Día Hábil]]+Tabla10[[#This Row],[Trenes Programados por Día Hábil]]</f>
        <v>0</v>
      </c>
      <c r="G111" s="33">
        <f>+(Tabla2[[#This Row],[Coches por Tren Día Hábil]]*Tabla2[[#This Row],[Trenes Corridos]]+Tabla9[[#This Row],[Coches por Tren Día Hábil]]*Tabla9[[#This Row],[Trenes Corridos]]+Tabla10[[#This Row],[Coches por Tren Día Hábil]]*Tabla10[[#This Row],[Trenes Corridos]])/SARM[[#This Row],[Trenes Corridos]]</f>
        <v>0</v>
      </c>
      <c r="H111" s="16">
        <v>10003</v>
      </c>
      <c r="I111" s="16">
        <f t="shared" si="5"/>
        <v>109</v>
      </c>
      <c r="J111" s="16">
        <v>9894</v>
      </c>
      <c r="K111" s="16">
        <v>9497</v>
      </c>
      <c r="L111" s="16">
        <f t="shared" si="6"/>
        <v>397</v>
      </c>
      <c r="M111" s="16"/>
      <c r="N111" s="17"/>
      <c r="O111" s="96">
        <v>2001</v>
      </c>
      <c r="P111" s="97" t="s">
        <v>45</v>
      </c>
      <c r="Q111" s="41"/>
      <c r="R111" s="41"/>
      <c r="S111" s="41"/>
      <c r="T111" s="16"/>
      <c r="U111" s="16"/>
      <c r="V111" s="16"/>
      <c r="W111" s="16"/>
      <c r="X111" s="69">
        <f>(SUM(X$134:X$149)/16)/(SUM($J$134:$J$149)/16)*SARM[[#This Row],[Trenes Corridos]]</f>
        <v>7847.9532213274088</v>
      </c>
      <c r="Y111" s="16"/>
      <c r="Z111" s="16"/>
      <c r="AA111" s="16"/>
      <c r="AB111" s="17"/>
      <c r="AC111" s="96">
        <v>2001</v>
      </c>
      <c r="AD111" s="97" t="s">
        <v>45</v>
      </c>
      <c r="AE111" s="41"/>
      <c r="AF111" s="41"/>
      <c r="AG111" s="41"/>
      <c r="AH111" s="16"/>
      <c r="AI111" s="16"/>
      <c r="AJ111" s="16"/>
      <c r="AK111" s="16"/>
      <c r="AL111" s="69">
        <f>(SUM(AL$134:AL$149)/16)/(SUM($J$134:$J$149)/16)*SARM[[#This Row],[Trenes Corridos]]</f>
        <v>909.65177728408764</v>
      </c>
      <c r="AM111" s="16"/>
      <c r="AN111" s="16"/>
      <c r="AO111" s="16"/>
      <c r="AP111" s="17"/>
      <c r="AQ111" s="96">
        <v>2001</v>
      </c>
      <c r="AR111" s="97" t="s">
        <v>45</v>
      </c>
      <c r="AS111" s="41"/>
      <c r="AT111" s="41"/>
      <c r="AU111" s="41"/>
      <c r="AV111" s="16"/>
      <c r="AW111" s="16"/>
      <c r="AX111" s="16"/>
      <c r="AY111" s="16"/>
      <c r="AZ111" s="69">
        <f>(SUM(AZ$134:AZ$149)/16)/(SUM($J$134:$J$149)/16)*SARM[[#This Row],[Trenes Corridos]]</f>
        <v>1136.3950013885033</v>
      </c>
      <c r="BA111" s="16"/>
      <c r="BB111" s="16"/>
    </row>
    <row r="112" spans="1:54" s="18" customFormat="1" ht="15" customHeight="1">
      <c r="A112" s="94">
        <v>2001</v>
      </c>
      <c r="B112" s="95" t="s">
        <v>46</v>
      </c>
      <c r="C112" s="15">
        <f t="shared" si="7"/>
        <v>0.86250900483688386</v>
      </c>
      <c r="D112" s="15">
        <f t="shared" si="8"/>
        <v>0.90674023585415986</v>
      </c>
      <c r="E112" s="15">
        <f t="shared" si="9"/>
        <v>0.95121951219512191</v>
      </c>
      <c r="F112" s="16">
        <f>+Tabla2[[#This Row],[Trenes Programados por Día Hábil]]+Tabla9[[#This Row],[Trenes Programados por Día Hábil]]+Tabla10[[#This Row],[Trenes Programados por Día Hábil]]</f>
        <v>0</v>
      </c>
      <c r="G112" s="33">
        <f>+(Tabla2[[#This Row],[Coches por Tren Día Hábil]]*Tabla2[[#This Row],[Trenes Corridos]]+Tabla9[[#This Row],[Coches por Tren Día Hábil]]*Tabla9[[#This Row],[Trenes Corridos]]+Tabla10[[#This Row],[Coches por Tren Día Hábil]]*Tabla10[[#This Row],[Trenes Corridos]])/SARM[[#This Row],[Trenes Corridos]]</f>
        <v>0</v>
      </c>
      <c r="H112" s="16">
        <v>9717</v>
      </c>
      <c r="I112" s="16">
        <f t="shared" si="5"/>
        <v>474</v>
      </c>
      <c r="J112" s="16">
        <v>9243</v>
      </c>
      <c r="K112" s="16">
        <v>8381</v>
      </c>
      <c r="L112" s="16">
        <f t="shared" si="6"/>
        <v>862</v>
      </c>
      <c r="M112" s="16"/>
      <c r="N112" s="17"/>
      <c r="O112" s="94">
        <v>2001</v>
      </c>
      <c r="P112" s="95" t="s">
        <v>46</v>
      </c>
      <c r="Q112" s="41"/>
      <c r="R112" s="41"/>
      <c r="S112" s="41"/>
      <c r="T112" s="16"/>
      <c r="U112" s="16"/>
      <c r="V112" s="16"/>
      <c r="W112" s="16"/>
      <c r="X112" s="69">
        <f>(SUM(X$134:X$149)/16)/(SUM($J$134:$J$149)/16)*SARM[[#This Row],[Trenes Corridos]]</f>
        <v>7331.5778880866428</v>
      </c>
      <c r="Y112" s="16"/>
      <c r="Z112" s="16"/>
      <c r="AA112" s="16"/>
      <c r="AB112" s="17"/>
      <c r="AC112" s="94">
        <v>2001</v>
      </c>
      <c r="AD112" s="95" t="s">
        <v>46</v>
      </c>
      <c r="AE112" s="41"/>
      <c r="AF112" s="41"/>
      <c r="AG112" s="41"/>
      <c r="AH112" s="16"/>
      <c r="AI112" s="16"/>
      <c r="AJ112" s="16"/>
      <c r="AK112" s="16"/>
      <c r="AL112" s="69">
        <f>(SUM(AL$134:AL$149)/16)/(SUM($J$134:$J$149)/16)*SARM[[#This Row],[Trenes Corridos]]</f>
        <v>849.79900722021659</v>
      </c>
      <c r="AM112" s="16"/>
      <c r="AN112" s="16"/>
      <c r="AO112" s="16"/>
      <c r="AP112" s="17"/>
      <c r="AQ112" s="94">
        <v>2001</v>
      </c>
      <c r="AR112" s="95" t="s">
        <v>46</v>
      </c>
      <c r="AS112" s="41"/>
      <c r="AT112" s="41"/>
      <c r="AU112" s="41"/>
      <c r="AV112" s="16"/>
      <c r="AW112" s="16"/>
      <c r="AX112" s="16"/>
      <c r="AY112" s="16"/>
      <c r="AZ112" s="69">
        <f>(SUM(AZ$134:AZ$149)/16)/(SUM($J$134:$J$149)/16)*SARM[[#This Row],[Trenes Corridos]]</f>
        <v>1061.6231046931407</v>
      </c>
      <c r="BA112" s="16"/>
      <c r="BB112" s="16"/>
    </row>
    <row r="113" spans="1:54" s="18" customFormat="1" ht="15" customHeight="1">
      <c r="A113" s="96">
        <v>2001</v>
      </c>
      <c r="B113" s="97" t="s">
        <v>47</v>
      </c>
      <c r="C113" s="15">
        <f t="shared" si="7"/>
        <v>0.81250644928283977</v>
      </c>
      <c r="D113" s="15">
        <f t="shared" si="8"/>
        <v>0.96530587225695719</v>
      </c>
      <c r="E113" s="15">
        <f t="shared" si="9"/>
        <v>0.84170880198121967</v>
      </c>
      <c r="F113" s="16">
        <f>+Tabla2[[#This Row],[Trenes Programados por Día Hábil]]+Tabla9[[#This Row],[Trenes Programados por Día Hábil]]+Tabla10[[#This Row],[Trenes Programados por Día Hábil]]</f>
        <v>0</v>
      </c>
      <c r="G113" s="33">
        <f>+(Tabla2[[#This Row],[Coches por Tren Día Hábil]]*Tabla2[[#This Row],[Trenes Corridos]]+Tabla9[[#This Row],[Coches por Tren Día Hábil]]*Tabla9[[#This Row],[Trenes Corridos]]+Tabla10[[#This Row],[Coches por Tren Día Hábil]]*Tabla10[[#This Row],[Trenes Corridos]])/SARM[[#This Row],[Trenes Corridos]]</f>
        <v>0</v>
      </c>
      <c r="H113" s="16">
        <v>9691</v>
      </c>
      <c r="I113" s="16">
        <f t="shared" si="5"/>
        <v>1534</v>
      </c>
      <c r="J113" s="16">
        <v>8157</v>
      </c>
      <c r="K113" s="16">
        <v>7874</v>
      </c>
      <c r="L113" s="16">
        <f t="shared" si="6"/>
        <v>283</v>
      </c>
      <c r="M113" s="16"/>
      <c r="N113" s="17"/>
      <c r="O113" s="96">
        <v>2001</v>
      </c>
      <c r="P113" s="97" t="s">
        <v>47</v>
      </c>
      <c r="Q113" s="41"/>
      <c r="R113" s="41"/>
      <c r="S113" s="41"/>
      <c r="T113" s="16"/>
      <c r="U113" s="16"/>
      <c r="V113" s="16"/>
      <c r="W113" s="16"/>
      <c r="X113" s="69">
        <f>(SUM(X$134:X$149)/16)/(SUM($J$134:$J$149)/16)*SARM[[#This Row],[Trenes Corridos]]</f>
        <v>6470.1591294084974</v>
      </c>
      <c r="Y113" s="16"/>
      <c r="Z113" s="16"/>
      <c r="AA113" s="16"/>
      <c r="AB113" s="17"/>
      <c r="AC113" s="96">
        <v>2001</v>
      </c>
      <c r="AD113" s="97" t="s">
        <v>47</v>
      </c>
      <c r="AE113" s="41"/>
      <c r="AF113" s="41"/>
      <c r="AG113" s="41"/>
      <c r="AH113" s="16"/>
      <c r="AI113" s="16"/>
      <c r="AJ113" s="16"/>
      <c r="AK113" s="16"/>
      <c r="AL113" s="69">
        <f>(SUM(AL$134:AL$149)/16)/(SUM($J$134:$J$149)/16)*SARM[[#This Row],[Trenes Corridos]]</f>
        <v>749.95245070813655</v>
      </c>
      <c r="AM113" s="16"/>
      <c r="AN113" s="16"/>
      <c r="AO113" s="16"/>
      <c r="AP113" s="17"/>
      <c r="AQ113" s="96">
        <v>2001</v>
      </c>
      <c r="AR113" s="97" t="s">
        <v>47</v>
      </c>
      <c r="AS113" s="41"/>
      <c r="AT113" s="41"/>
      <c r="AU113" s="41"/>
      <c r="AV113" s="16"/>
      <c r="AW113" s="16"/>
      <c r="AX113" s="16"/>
      <c r="AY113" s="16"/>
      <c r="AZ113" s="69">
        <f>(SUM(AZ$134:AZ$149)/16)/(SUM($J$134:$J$149)/16)*SARM[[#This Row],[Trenes Corridos]]</f>
        <v>936.88841988336571</v>
      </c>
      <c r="BA113" s="16"/>
      <c r="BB113" s="16"/>
    </row>
    <row r="114" spans="1:54" s="18" customFormat="1" ht="15" customHeight="1">
      <c r="A114" s="94">
        <v>2002</v>
      </c>
      <c r="B114" s="95" t="s">
        <v>36</v>
      </c>
      <c r="C114" s="15">
        <f t="shared" si="7"/>
        <v>0.89723083075077481</v>
      </c>
      <c r="D114" s="15">
        <f t="shared" si="8"/>
        <v>0.97427268779852372</v>
      </c>
      <c r="E114" s="15">
        <f t="shared" si="9"/>
        <v>0.92092372288313507</v>
      </c>
      <c r="F114" s="16">
        <f>+Tabla2[[#This Row],[Trenes Programados por Día Hábil]]+Tabla9[[#This Row],[Trenes Programados por Día Hábil]]+Tabla10[[#This Row],[Trenes Programados por Día Hábil]]</f>
        <v>0</v>
      </c>
      <c r="G114" s="33">
        <f>+(Tabla2[[#This Row],[Coches por Tren Día Hábil]]*Tabla2[[#This Row],[Trenes Corridos]]+Tabla9[[#This Row],[Coches por Tren Día Hábil]]*Tabla9[[#This Row],[Trenes Corridos]]+Tabla10[[#This Row],[Coches por Tren Día Hábil]]*Tabla10[[#This Row],[Trenes Corridos]])/SARM[[#This Row],[Trenes Corridos]]</f>
        <v>0</v>
      </c>
      <c r="H114" s="16">
        <v>10003</v>
      </c>
      <c r="I114" s="16">
        <f t="shared" si="5"/>
        <v>791</v>
      </c>
      <c r="J114" s="16">
        <v>9212</v>
      </c>
      <c r="K114" s="16">
        <v>8975</v>
      </c>
      <c r="L114" s="16">
        <f t="shared" si="6"/>
        <v>237</v>
      </c>
      <c r="M114" s="16"/>
      <c r="N114" s="17"/>
      <c r="O114" s="94">
        <v>2002</v>
      </c>
      <c r="P114" s="95" t="s">
        <v>36</v>
      </c>
      <c r="Q114" s="41"/>
      <c r="R114" s="41"/>
      <c r="S114" s="41"/>
      <c r="T114" s="16"/>
      <c r="U114" s="16"/>
      <c r="V114" s="16"/>
      <c r="W114" s="16"/>
      <c r="X114" s="69">
        <f>(SUM(X$134:X$149)/16)/(SUM($J$134:$J$149)/16)*SARM[[#This Row],[Trenes Corridos]]</f>
        <v>7306.9885865037486</v>
      </c>
      <c r="Y114" s="16"/>
      <c r="Z114" s="16"/>
      <c r="AA114" s="16"/>
      <c r="AB114" s="17"/>
      <c r="AC114" s="94">
        <v>2002</v>
      </c>
      <c r="AD114" s="95" t="s">
        <v>36</v>
      </c>
      <c r="AE114" s="41"/>
      <c r="AF114" s="41"/>
      <c r="AG114" s="41"/>
      <c r="AH114" s="16"/>
      <c r="AI114" s="16"/>
      <c r="AJ114" s="16"/>
      <c r="AK114" s="16"/>
      <c r="AL114" s="69">
        <f>(SUM(AL$134:AL$149)/16)/(SUM($J$134:$J$149)/16)*SARM[[#This Row],[Trenes Corridos]]</f>
        <v>846.94887531241318</v>
      </c>
      <c r="AM114" s="16"/>
      <c r="AN114" s="16"/>
      <c r="AO114" s="16"/>
      <c r="AP114" s="17"/>
      <c r="AQ114" s="94">
        <v>2002</v>
      </c>
      <c r="AR114" s="95" t="s">
        <v>36</v>
      </c>
      <c r="AS114" s="41"/>
      <c r="AT114" s="41"/>
      <c r="AU114" s="41"/>
      <c r="AV114" s="16"/>
      <c r="AW114" s="16"/>
      <c r="AX114" s="16"/>
      <c r="AY114" s="16"/>
      <c r="AZ114" s="69">
        <f>(SUM(AZ$134:AZ$149)/16)/(SUM($J$134:$J$149)/16)*SARM[[#This Row],[Trenes Corridos]]</f>
        <v>1058.0625381838379</v>
      </c>
      <c r="BA114" s="16"/>
      <c r="BB114" s="16"/>
    </row>
    <row r="115" spans="1:54" s="18" customFormat="1" ht="15" customHeight="1">
      <c r="A115" s="96">
        <v>2002</v>
      </c>
      <c r="B115" s="97" t="s">
        <v>37</v>
      </c>
      <c r="C115" s="15">
        <f t="shared" si="7"/>
        <v>0.855743838028169</v>
      </c>
      <c r="D115" s="15">
        <f t="shared" si="8"/>
        <v>0.94992060583852445</v>
      </c>
      <c r="E115" s="15">
        <f t="shared" si="9"/>
        <v>0.90085827464788737</v>
      </c>
      <c r="F115" s="16">
        <f>+Tabla2[[#This Row],[Trenes Programados por Día Hábil]]+Tabla9[[#This Row],[Trenes Programados por Día Hábil]]+Tabla10[[#This Row],[Trenes Programados por Día Hábil]]</f>
        <v>0</v>
      </c>
      <c r="G115" s="33">
        <f>+(Tabla2[[#This Row],[Coches por Tren Día Hábil]]*Tabla2[[#This Row],[Trenes Corridos]]+Tabla9[[#This Row],[Coches por Tren Día Hábil]]*Tabla9[[#This Row],[Trenes Corridos]]+Tabla10[[#This Row],[Coches por Tren Día Hábil]]*Tabla10[[#This Row],[Trenes Corridos]])/SARM[[#This Row],[Trenes Corridos]]</f>
        <v>0</v>
      </c>
      <c r="H115" s="16">
        <v>9088</v>
      </c>
      <c r="I115" s="16">
        <f t="shared" si="5"/>
        <v>901</v>
      </c>
      <c r="J115" s="16">
        <v>8187</v>
      </c>
      <c r="K115" s="16">
        <v>7777</v>
      </c>
      <c r="L115" s="16">
        <f t="shared" si="6"/>
        <v>410</v>
      </c>
      <c r="M115" s="16"/>
      <c r="N115" s="17"/>
      <c r="O115" s="96">
        <v>2002</v>
      </c>
      <c r="P115" s="97" t="s">
        <v>37</v>
      </c>
      <c r="Q115" s="41"/>
      <c r="R115" s="41"/>
      <c r="S115" s="41"/>
      <c r="T115" s="16"/>
      <c r="U115" s="16"/>
      <c r="V115" s="16"/>
      <c r="W115" s="16"/>
      <c r="X115" s="69">
        <f>(SUM(X$134:X$149)/16)/(SUM($J$134:$J$149)/16)*SARM[[#This Row],[Trenes Corridos]]</f>
        <v>6493.955227714524</v>
      </c>
      <c r="Y115" s="16"/>
      <c r="Z115" s="16"/>
      <c r="AA115" s="16"/>
      <c r="AB115" s="17"/>
      <c r="AC115" s="96">
        <v>2002</v>
      </c>
      <c r="AD115" s="97" t="s">
        <v>37</v>
      </c>
      <c r="AE115" s="41"/>
      <c r="AF115" s="41"/>
      <c r="AG115" s="41"/>
      <c r="AH115" s="16"/>
      <c r="AI115" s="16"/>
      <c r="AJ115" s="16"/>
      <c r="AK115" s="16"/>
      <c r="AL115" s="69">
        <f>(SUM(AL$134:AL$149)/16)/(SUM($J$134:$J$149)/16)*SARM[[#This Row],[Trenes Corridos]]</f>
        <v>752.71064287697857</v>
      </c>
      <c r="AM115" s="16"/>
      <c r="AN115" s="16"/>
      <c r="AO115" s="16"/>
      <c r="AP115" s="17"/>
      <c r="AQ115" s="96">
        <v>2002</v>
      </c>
      <c r="AR115" s="97" t="s">
        <v>37</v>
      </c>
      <c r="AS115" s="41"/>
      <c r="AT115" s="41"/>
      <c r="AU115" s="41"/>
      <c r="AV115" s="16"/>
      <c r="AW115" s="16"/>
      <c r="AX115" s="16"/>
      <c r="AY115" s="16"/>
      <c r="AZ115" s="69">
        <f>(SUM(AZ$134:AZ$149)/16)/(SUM($J$134:$J$149)/16)*SARM[[#This Row],[Trenes Corridos]]</f>
        <v>940.33412940849757</v>
      </c>
      <c r="BA115" s="16"/>
      <c r="BB115" s="16"/>
    </row>
    <row r="116" spans="1:54" s="18" customFormat="1" ht="15" customHeight="1">
      <c r="A116" s="94">
        <v>2002</v>
      </c>
      <c r="B116" s="95" t="s">
        <v>38</v>
      </c>
      <c r="C116" s="15">
        <f t="shared" si="7"/>
        <v>0.85780525502318394</v>
      </c>
      <c r="D116" s="15">
        <f t="shared" si="8"/>
        <v>0.95722662987236973</v>
      </c>
      <c r="E116" s="15">
        <f t="shared" si="9"/>
        <v>0.89613601236476048</v>
      </c>
      <c r="F116" s="16">
        <f>+Tabla2[[#This Row],[Trenes Programados por Día Hábil]]+Tabla9[[#This Row],[Trenes Programados por Día Hábil]]+Tabla10[[#This Row],[Trenes Programados por Día Hábil]]</f>
        <v>0</v>
      </c>
      <c r="G116" s="33">
        <f>+(Tabla2[[#This Row],[Coches por Tren Día Hábil]]*Tabla2[[#This Row],[Trenes Corridos]]+Tabla9[[#This Row],[Coches por Tren Día Hábil]]*Tabla9[[#This Row],[Trenes Corridos]]+Tabla10[[#This Row],[Coches por Tren Día Hábil]]*Tabla10[[#This Row],[Trenes Corridos]])/SARM[[#This Row],[Trenes Corridos]]</f>
        <v>0</v>
      </c>
      <c r="H116" s="16">
        <v>9705</v>
      </c>
      <c r="I116" s="16">
        <f t="shared" si="5"/>
        <v>1008</v>
      </c>
      <c r="J116" s="16">
        <v>8697</v>
      </c>
      <c r="K116" s="16">
        <v>8325</v>
      </c>
      <c r="L116" s="16">
        <f t="shared" si="6"/>
        <v>372</v>
      </c>
      <c r="M116" s="16"/>
      <c r="N116" s="17"/>
      <c r="O116" s="94">
        <v>2002</v>
      </c>
      <c r="P116" s="95" t="s">
        <v>38</v>
      </c>
      <c r="Q116" s="41"/>
      <c r="R116" s="41"/>
      <c r="S116" s="41"/>
      <c r="T116" s="16"/>
      <c r="U116" s="16"/>
      <c r="V116" s="16"/>
      <c r="W116" s="16"/>
      <c r="X116" s="69">
        <f>(SUM(X$134:X$149)/16)/(SUM($J$134:$J$149)/16)*SARM[[#This Row],[Trenes Corridos]]</f>
        <v>6898.4888989169676</v>
      </c>
      <c r="Y116" s="16"/>
      <c r="Z116" s="16"/>
      <c r="AA116" s="16"/>
      <c r="AB116" s="17"/>
      <c r="AC116" s="94">
        <v>2002</v>
      </c>
      <c r="AD116" s="95" t="s">
        <v>38</v>
      </c>
      <c r="AE116" s="41"/>
      <c r="AF116" s="41"/>
      <c r="AG116" s="41"/>
      <c r="AH116" s="16"/>
      <c r="AI116" s="16"/>
      <c r="AJ116" s="16"/>
      <c r="AK116" s="16"/>
      <c r="AL116" s="69">
        <f>(SUM(AL$134:AL$149)/16)/(SUM($J$134:$J$149)/16)*SARM[[#This Row],[Trenes Corridos]]</f>
        <v>799.59990974729237</v>
      </c>
      <c r="AM116" s="16"/>
      <c r="AN116" s="16"/>
      <c r="AO116" s="16"/>
      <c r="AP116" s="17"/>
      <c r="AQ116" s="94">
        <v>2002</v>
      </c>
      <c r="AR116" s="95" t="s">
        <v>38</v>
      </c>
      <c r="AS116" s="41"/>
      <c r="AT116" s="41"/>
      <c r="AU116" s="41"/>
      <c r="AV116" s="16"/>
      <c r="AW116" s="16"/>
      <c r="AX116" s="16"/>
      <c r="AY116" s="16"/>
      <c r="AZ116" s="69">
        <f>(SUM(AZ$134:AZ$149)/16)/(SUM($J$134:$J$149)/16)*SARM[[#This Row],[Trenes Corridos]]</f>
        <v>998.91119133574</v>
      </c>
      <c r="BA116" s="16"/>
      <c r="BB116" s="16"/>
    </row>
    <row r="117" spans="1:54" s="18" customFormat="1" ht="15" customHeight="1">
      <c r="A117" s="96">
        <v>2002</v>
      </c>
      <c r="B117" s="97" t="s">
        <v>39</v>
      </c>
      <c r="C117" s="15">
        <f t="shared" si="7"/>
        <v>0.81691893012647732</v>
      </c>
      <c r="D117" s="15">
        <f t="shared" si="8"/>
        <v>0.94473084762018944</v>
      </c>
      <c r="E117" s="15">
        <f t="shared" si="9"/>
        <v>0.86471076093717603</v>
      </c>
      <c r="F117" s="16">
        <f>+Tabla2[[#This Row],[Trenes Programados por Día Hábil]]+Tabla9[[#This Row],[Trenes Programados por Día Hábil]]+Tabla10[[#This Row],[Trenes Programados por Día Hábil]]</f>
        <v>0</v>
      </c>
      <c r="G117" s="33">
        <f>+(Tabla2[[#This Row],[Coches por Tren Día Hábil]]*Tabla2[[#This Row],[Trenes Corridos]]+Tabla9[[#This Row],[Coches por Tren Día Hábil]]*Tabla9[[#This Row],[Trenes Corridos]]+Tabla10[[#This Row],[Coches por Tren Día Hábil]]*Tabla10[[#This Row],[Trenes Corridos]])/SARM[[#This Row],[Trenes Corridos]]</f>
        <v>0</v>
      </c>
      <c r="H117" s="16">
        <v>9646</v>
      </c>
      <c r="I117" s="16">
        <f t="shared" si="5"/>
        <v>1305</v>
      </c>
      <c r="J117" s="16">
        <v>8341</v>
      </c>
      <c r="K117" s="16">
        <v>7880</v>
      </c>
      <c r="L117" s="16">
        <f t="shared" si="6"/>
        <v>461</v>
      </c>
      <c r="M117" s="16"/>
      <c r="N117" s="17"/>
      <c r="O117" s="96">
        <v>2002</v>
      </c>
      <c r="P117" s="97" t="s">
        <v>39</v>
      </c>
      <c r="Q117" s="41"/>
      <c r="R117" s="41"/>
      <c r="S117" s="41"/>
      <c r="T117" s="16"/>
      <c r="U117" s="16"/>
      <c r="V117" s="16"/>
      <c r="W117" s="16"/>
      <c r="X117" s="69">
        <f>(SUM(X$134:X$149)/16)/(SUM($J$134:$J$149)/16)*SARM[[#This Row],[Trenes Corridos]]</f>
        <v>6616.1085323521247</v>
      </c>
      <c r="Y117" s="16"/>
      <c r="Z117" s="16"/>
      <c r="AA117" s="16"/>
      <c r="AB117" s="17"/>
      <c r="AC117" s="96">
        <v>2002</v>
      </c>
      <c r="AD117" s="97" t="s">
        <v>39</v>
      </c>
      <c r="AE117" s="41"/>
      <c r="AF117" s="41"/>
      <c r="AG117" s="41"/>
      <c r="AH117" s="16"/>
      <c r="AI117" s="16"/>
      <c r="AJ117" s="16"/>
      <c r="AK117" s="16"/>
      <c r="AL117" s="69">
        <f>(SUM(AL$134:AL$149)/16)/(SUM($J$134:$J$149)/16)*SARM[[#This Row],[Trenes Corridos]]</f>
        <v>766.86936267703413</v>
      </c>
      <c r="AM117" s="16"/>
      <c r="AN117" s="16"/>
      <c r="AO117" s="16"/>
      <c r="AP117" s="17"/>
      <c r="AQ117" s="96">
        <v>2002</v>
      </c>
      <c r="AR117" s="97" t="s">
        <v>39</v>
      </c>
      <c r="AS117" s="41"/>
      <c r="AT117" s="41"/>
      <c r="AU117" s="41"/>
      <c r="AV117" s="16"/>
      <c r="AW117" s="16"/>
      <c r="AX117" s="16"/>
      <c r="AY117" s="16"/>
      <c r="AZ117" s="69">
        <f>(SUM(AZ$134:AZ$149)/16)/(SUM($J$134:$J$149)/16)*SARM[[#This Row],[Trenes Corridos]]</f>
        <v>958.02210497084138</v>
      </c>
      <c r="BA117" s="16"/>
      <c r="BB117" s="16"/>
    </row>
    <row r="118" spans="1:54" s="18" customFormat="1" ht="15" customHeight="1">
      <c r="A118" s="94">
        <v>2002</v>
      </c>
      <c r="B118" s="95" t="s">
        <v>40</v>
      </c>
      <c r="C118" s="15">
        <f t="shared" si="7"/>
        <v>0.85964912280701755</v>
      </c>
      <c r="D118" s="15">
        <f t="shared" si="8"/>
        <v>0.95401141322591476</v>
      </c>
      <c r="E118" s="15">
        <f t="shared" si="9"/>
        <v>0.90108892921960071</v>
      </c>
      <c r="F118" s="16">
        <f>+Tabla2[[#This Row],[Trenes Programados por Día Hábil]]+Tabla9[[#This Row],[Trenes Programados por Día Hábil]]+Tabla10[[#This Row],[Trenes Programados por Día Hábil]]</f>
        <v>0</v>
      </c>
      <c r="G118" s="33">
        <f>+(Tabla2[[#This Row],[Coches por Tren Día Hábil]]*Tabla2[[#This Row],[Trenes Corridos]]+Tabla9[[#This Row],[Coches por Tren Día Hábil]]*Tabla9[[#This Row],[Trenes Corridos]]+Tabla10[[#This Row],[Coches por Tren Día Hábil]]*Tabla10[[#This Row],[Trenes Corridos]])/SARM[[#This Row],[Trenes Corridos]]</f>
        <v>0</v>
      </c>
      <c r="H118" s="16">
        <v>9918</v>
      </c>
      <c r="I118" s="16">
        <f t="shared" si="5"/>
        <v>981</v>
      </c>
      <c r="J118" s="16">
        <v>8937</v>
      </c>
      <c r="K118" s="16">
        <v>8526</v>
      </c>
      <c r="L118" s="16">
        <f t="shared" si="6"/>
        <v>411</v>
      </c>
      <c r="M118" s="16"/>
      <c r="N118" s="17"/>
      <c r="O118" s="94">
        <v>2002</v>
      </c>
      <c r="P118" s="95" t="s">
        <v>40</v>
      </c>
      <c r="Q118" s="41"/>
      <c r="R118" s="41"/>
      <c r="S118" s="41"/>
      <c r="T118" s="16"/>
      <c r="U118" s="16"/>
      <c r="V118" s="16"/>
      <c r="W118" s="16"/>
      <c r="X118" s="69">
        <f>(SUM(X$134:X$149)/16)/(SUM($J$134:$J$149)/16)*SARM[[#This Row],[Trenes Corridos]]</f>
        <v>7088.8576853651766</v>
      </c>
      <c r="Y118" s="16"/>
      <c r="Z118" s="16"/>
      <c r="AA118" s="16"/>
      <c r="AB118" s="17"/>
      <c r="AC118" s="94">
        <v>2002</v>
      </c>
      <c r="AD118" s="95" t="s">
        <v>40</v>
      </c>
      <c r="AE118" s="41"/>
      <c r="AF118" s="41"/>
      <c r="AG118" s="41"/>
      <c r="AH118" s="16"/>
      <c r="AI118" s="16"/>
      <c r="AJ118" s="16"/>
      <c r="AK118" s="16"/>
      <c r="AL118" s="69">
        <f>(SUM(AL$134:AL$149)/16)/(SUM($J$134:$J$149)/16)*SARM[[#This Row],[Trenes Corridos]]</f>
        <v>821.66544709802827</v>
      </c>
      <c r="AM118" s="16"/>
      <c r="AN118" s="16"/>
      <c r="AO118" s="16"/>
      <c r="AP118" s="17"/>
      <c r="AQ118" s="94">
        <v>2002</v>
      </c>
      <c r="AR118" s="95" t="s">
        <v>40</v>
      </c>
      <c r="AS118" s="41"/>
      <c r="AT118" s="41"/>
      <c r="AU118" s="41"/>
      <c r="AV118" s="16"/>
      <c r="AW118" s="16"/>
      <c r="AX118" s="16"/>
      <c r="AY118" s="16"/>
      <c r="AZ118" s="69">
        <f>(SUM(AZ$134:AZ$149)/16)/(SUM($J$134:$J$149)/16)*SARM[[#This Row],[Trenes Corridos]]</f>
        <v>1026.4768675367952</v>
      </c>
      <c r="BA118" s="16"/>
      <c r="BB118" s="16"/>
    </row>
    <row r="119" spans="1:54" s="18" customFormat="1" ht="15" customHeight="1">
      <c r="A119" s="96">
        <v>2002</v>
      </c>
      <c r="B119" s="97" t="s">
        <v>41</v>
      </c>
      <c r="C119" s="15">
        <f t="shared" si="7"/>
        <v>0.85184791843670349</v>
      </c>
      <c r="D119" s="15">
        <f t="shared" si="8"/>
        <v>0.95046806493660385</v>
      </c>
      <c r="E119" s="15">
        <f t="shared" si="9"/>
        <v>0.89624044180118945</v>
      </c>
      <c r="F119" s="16">
        <f>+Tabla2[[#This Row],[Trenes Programados por Día Hábil]]+Tabla9[[#This Row],[Trenes Programados por Día Hábil]]+Tabla10[[#This Row],[Trenes Programados por Día Hábil]]</f>
        <v>0</v>
      </c>
      <c r="G119" s="33">
        <f>+(Tabla2[[#This Row],[Coches por Tren Día Hábil]]*Tabla2[[#This Row],[Trenes Corridos]]+Tabla9[[#This Row],[Coches por Tren Día Hábil]]*Tabla9[[#This Row],[Trenes Corridos]]+Tabla10[[#This Row],[Coches por Tren Día Hábil]]*Tabla10[[#This Row],[Trenes Corridos]])/SARM[[#This Row],[Trenes Corridos]]</f>
        <v>0</v>
      </c>
      <c r="H119" s="16">
        <v>9416</v>
      </c>
      <c r="I119" s="16">
        <f t="shared" si="5"/>
        <v>977</v>
      </c>
      <c r="J119" s="16">
        <v>8439</v>
      </c>
      <c r="K119" s="16">
        <v>8021</v>
      </c>
      <c r="L119" s="16">
        <f t="shared" si="6"/>
        <v>418</v>
      </c>
      <c r="M119" s="16"/>
      <c r="N119" s="17"/>
      <c r="O119" s="96">
        <v>2002</v>
      </c>
      <c r="P119" s="97" t="s">
        <v>41</v>
      </c>
      <c r="Q119" s="41"/>
      <c r="R119" s="41"/>
      <c r="S119" s="41"/>
      <c r="T119" s="16"/>
      <c r="U119" s="16"/>
      <c r="V119" s="16"/>
      <c r="W119" s="16"/>
      <c r="X119" s="69">
        <f>(SUM(X$134:X$149)/16)/(SUM($J$134:$J$149)/16)*SARM[[#This Row],[Trenes Corridos]]</f>
        <v>6693.8424534851429</v>
      </c>
      <c r="Y119" s="16"/>
      <c r="Z119" s="16"/>
      <c r="AA119" s="16"/>
      <c r="AB119" s="17"/>
      <c r="AC119" s="96">
        <v>2002</v>
      </c>
      <c r="AD119" s="97" t="s">
        <v>41</v>
      </c>
      <c r="AE119" s="41"/>
      <c r="AF119" s="41"/>
      <c r="AG119" s="41"/>
      <c r="AH119" s="16"/>
      <c r="AI119" s="16"/>
      <c r="AJ119" s="16"/>
      <c r="AK119" s="16"/>
      <c r="AL119" s="69">
        <f>(SUM(AL$134:AL$149)/16)/(SUM($J$134:$J$149)/16)*SARM[[#This Row],[Trenes Corridos]]</f>
        <v>775.87945709525127</v>
      </c>
      <c r="AM119" s="16"/>
      <c r="AN119" s="16"/>
      <c r="AO119" s="16"/>
      <c r="AP119" s="17"/>
      <c r="AQ119" s="96">
        <v>2002</v>
      </c>
      <c r="AR119" s="97" t="s">
        <v>41</v>
      </c>
      <c r="AS119" s="41"/>
      <c r="AT119" s="41"/>
      <c r="AU119" s="41"/>
      <c r="AV119" s="16"/>
      <c r="AW119" s="16"/>
      <c r="AX119" s="16"/>
      <c r="AY119" s="16"/>
      <c r="AZ119" s="69">
        <f>(SUM(AZ$134:AZ$149)/16)/(SUM($J$134:$J$149)/16)*SARM[[#This Row],[Trenes Corridos]]</f>
        <v>969.27808941960564</v>
      </c>
      <c r="BA119" s="16"/>
      <c r="BB119" s="16"/>
    </row>
    <row r="120" spans="1:54" s="18" customFormat="1" ht="15" customHeight="1">
      <c r="A120" s="94">
        <v>2002</v>
      </c>
      <c r="B120" s="95" t="s">
        <v>42</v>
      </c>
      <c r="C120" s="15">
        <f t="shared" si="7"/>
        <v>0.83069199724382325</v>
      </c>
      <c r="D120" s="15">
        <f t="shared" si="8"/>
        <v>0.93207422133863482</v>
      </c>
      <c r="E120" s="15">
        <f t="shared" si="9"/>
        <v>0.89122945171768875</v>
      </c>
      <c r="F120" s="16">
        <f>+Tabla2[[#This Row],[Trenes Programados por Día Hábil]]+Tabla9[[#This Row],[Trenes Programados por Día Hábil]]+Tabla10[[#This Row],[Trenes Programados por Día Hábil]]</f>
        <v>0</v>
      </c>
      <c r="G120" s="33">
        <f>+(Tabla2[[#This Row],[Coches por Tren Día Hábil]]*Tabla2[[#This Row],[Trenes Corridos]]+Tabla9[[#This Row],[Coches por Tren Día Hábil]]*Tabla9[[#This Row],[Trenes Corridos]]+Tabla10[[#This Row],[Coches por Tren Día Hábil]]*Tabla10[[#This Row],[Trenes Corridos]])/SARM[[#This Row],[Trenes Corridos]]</f>
        <v>0</v>
      </c>
      <c r="H120" s="16">
        <v>10159</v>
      </c>
      <c r="I120" s="16">
        <f t="shared" si="5"/>
        <v>1105</v>
      </c>
      <c r="J120" s="16">
        <v>9054</v>
      </c>
      <c r="K120" s="16">
        <v>8439</v>
      </c>
      <c r="L120" s="16">
        <f t="shared" si="6"/>
        <v>615</v>
      </c>
      <c r="M120" s="16"/>
      <c r="N120" s="17"/>
      <c r="O120" s="94">
        <v>2002</v>
      </c>
      <c r="P120" s="95" t="s">
        <v>42</v>
      </c>
      <c r="Q120" s="41"/>
      <c r="R120" s="41"/>
      <c r="S120" s="41"/>
      <c r="T120" s="16"/>
      <c r="U120" s="16"/>
      <c r="V120" s="16"/>
      <c r="W120" s="16"/>
      <c r="X120" s="69">
        <f>(SUM(X$134:X$149)/16)/(SUM($J$134:$J$149)/16)*SARM[[#This Row],[Trenes Corridos]]</f>
        <v>7181.6624687586782</v>
      </c>
      <c r="Y120" s="16"/>
      <c r="Z120" s="16"/>
      <c r="AA120" s="16"/>
      <c r="AB120" s="17"/>
      <c r="AC120" s="94">
        <v>2002</v>
      </c>
      <c r="AD120" s="95" t="s">
        <v>42</v>
      </c>
      <c r="AE120" s="41"/>
      <c r="AF120" s="41"/>
      <c r="AG120" s="41"/>
      <c r="AH120" s="16"/>
      <c r="AI120" s="16"/>
      <c r="AJ120" s="16"/>
      <c r="AK120" s="16"/>
      <c r="AL120" s="69">
        <f>(SUM(AL$134:AL$149)/16)/(SUM($J$134:$J$149)/16)*SARM[[#This Row],[Trenes Corridos]]</f>
        <v>832.42239655651201</v>
      </c>
      <c r="AM120" s="16"/>
      <c r="AN120" s="16"/>
      <c r="AO120" s="16"/>
      <c r="AP120" s="17"/>
      <c r="AQ120" s="94">
        <v>2002</v>
      </c>
      <c r="AR120" s="95" t="s">
        <v>42</v>
      </c>
      <c r="AS120" s="41"/>
      <c r="AT120" s="41"/>
      <c r="AU120" s="41"/>
      <c r="AV120" s="16"/>
      <c r="AW120" s="16"/>
      <c r="AX120" s="16"/>
      <c r="AY120" s="16"/>
      <c r="AZ120" s="69">
        <f>(SUM(AZ$134:AZ$149)/16)/(SUM($J$134:$J$149)/16)*SARM[[#This Row],[Trenes Corridos]]</f>
        <v>1039.9151346848098</v>
      </c>
      <c r="BA120" s="16"/>
      <c r="BB120" s="16"/>
    </row>
    <row r="121" spans="1:54" s="18" customFormat="1" ht="15" customHeight="1">
      <c r="A121" s="96">
        <v>2002</v>
      </c>
      <c r="B121" s="97" t="s">
        <v>43</v>
      </c>
      <c r="C121" s="15">
        <f t="shared" si="7"/>
        <v>0.82178815948449457</v>
      </c>
      <c r="D121" s="15">
        <f t="shared" si="8"/>
        <v>0.91338406445837061</v>
      </c>
      <c r="E121" s="15">
        <f t="shared" si="9"/>
        <v>0.89971808296415623</v>
      </c>
      <c r="F121" s="16">
        <f>+Tabla2[[#This Row],[Trenes Programados por Día Hábil]]+Tabla9[[#This Row],[Trenes Programados por Día Hábil]]+Tabla10[[#This Row],[Trenes Programados por Día Hábil]]</f>
        <v>0</v>
      </c>
      <c r="G121" s="33">
        <f>+(Tabla2[[#This Row],[Coches por Tren Día Hábil]]*Tabla2[[#This Row],[Trenes Corridos]]+Tabla9[[#This Row],[Coches por Tren Día Hábil]]*Tabla9[[#This Row],[Trenes Corridos]]+Tabla10[[#This Row],[Coches por Tren Día Hábil]]*Tabla10[[#This Row],[Trenes Corridos]])/SARM[[#This Row],[Trenes Corridos]]</f>
        <v>0</v>
      </c>
      <c r="H121" s="16">
        <v>9932</v>
      </c>
      <c r="I121" s="16">
        <f t="shared" si="5"/>
        <v>996</v>
      </c>
      <c r="J121" s="16">
        <v>8936</v>
      </c>
      <c r="K121" s="16">
        <v>8162</v>
      </c>
      <c r="L121" s="16">
        <f t="shared" si="6"/>
        <v>774</v>
      </c>
      <c r="M121" s="16"/>
      <c r="N121" s="17"/>
      <c r="O121" s="96">
        <v>2002</v>
      </c>
      <c r="P121" s="97" t="s">
        <v>43</v>
      </c>
      <c r="Q121" s="41"/>
      <c r="R121" s="41"/>
      <c r="S121" s="41"/>
      <c r="T121" s="16"/>
      <c r="U121" s="16"/>
      <c r="V121" s="16"/>
      <c r="W121" s="16"/>
      <c r="X121" s="69">
        <f>(SUM(X$134:X$149)/16)/(SUM($J$134:$J$149)/16)*SARM[[#This Row],[Trenes Corridos]]</f>
        <v>7088.064482088309</v>
      </c>
      <c r="Y121" s="16"/>
      <c r="Z121" s="16"/>
      <c r="AA121" s="16"/>
      <c r="AB121" s="17"/>
      <c r="AC121" s="96">
        <v>2002</v>
      </c>
      <c r="AD121" s="97" t="s">
        <v>43</v>
      </c>
      <c r="AE121" s="41"/>
      <c r="AF121" s="41"/>
      <c r="AG121" s="41"/>
      <c r="AH121" s="16"/>
      <c r="AI121" s="16"/>
      <c r="AJ121" s="16"/>
      <c r="AK121" s="16"/>
      <c r="AL121" s="69">
        <f>(SUM(AL$134:AL$149)/16)/(SUM($J$134:$J$149)/16)*SARM[[#This Row],[Trenes Corridos]]</f>
        <v>821.57350735906687</v>
      </c>
      <c r="AM121" s="16"/>
      <c r="AN121" s="16"/>
      <c r="AO121" s="16"/>
      <c r="AP121" s="17"/>
      <c r="AQ121" s="96">
        <v>2002</v>
      </c>
      <c r="AR121" s="97" t="s">
        <v>43</v>
      </c>
      <c r="AS121" s="41"/>
      <c r="AT121" s="41"/>
      <c r="AU121" s="41"/>
      <c r="AV121" s="16"/>
      <c r="AW121" s="16"/>
      <c r="AX121" s="16"/>
      <c r="AY121" s="16"/>
      <c r="AZ121" s="69">
        <f>(SUM(AZ$134:AZ$149)/16)/(SUM($J$134:$J$149)/16)*SARM[[#This Row],[Trenes Corridos]]</f>
        <v>1026.3620105526243</v>
      </c>
      <c r="BA121" s="16"/>
      <c r="BB121" s="16"/>
    </row>
    <row r="122" spans="1:54" s="18" customFormat="1" ht="15" customHeight="1">
      <c r="A122" s="94">
        <v>2002</v>
      </c>
      <c r="B122" s="95" t="s">
        <v>44</v>
      </c>
      <c r="C122" s="15">
        <f t="shared" si="7"/>
        <v>0.90840289371174177</v>
      </c>
      <c r="D122" s="15">
        <f t="shared" si="8"/>
        <v>0.96023529411764708</v>
      </c>
      <c r="E122" s="15">
        <f t="shared" si="9"/>
        <v>0.9460211463550362</v>
      </c>
      <c r="F122" s="16">
        <f>+Tabla2[[#This Row],[Trenes Programados por Día Hábil]]+Tabla9[[#This Row],[Trenes Programados por Día Hábil]]+Tabla10[[#This Row],[Trenes Programados por Día Hábil]]</f>
        <v>0</v>
      </c>
      <c r="G122" s="33">
        <f>+(Tabla2[[#This Row],[Coches por Tren Día Hábil]]*Tabla2[[#This Row],[Trenes Corridos]]+Tabla9[[#This Row],[Coches por Tren Día Hábil]]*Tabla9[[#This Row],[Trenes Corridos]]+Tabla10[[#This Row],[Coches por Tren Día Hábil]]*Tabla10[[#This Row],[Trenes Corridos]])/SARM[[#This Row],[Trenes Corridos]]</f>
        <v>0</v>
      </c>
      <c r="H122" s="16">
        <f>6939+870+1176</f>
        <v>8985</v>
      </c>
      <c r="I122" s="16">
        <f t="shared" si="5"/>
        <v>485</v>
      </c>
      <c r="J122" s="16">
        <v>8500</v>
      </c>
      <c r="K122" s="16">
        <v>8162</v>
      </c>
      <c r="L122" s="16">
        <f t="shared" si="6"/>
        <v>338</v>
      </c>
      <c r="M122" s="16"/>
      <c r="N122" s="52"/>
      <c r="O122" s="94">
        <v>2002</v>
      </c>
      <c r="P122" s="95" t="s">
        <v>44</v>
      </c>
      <c r="Q122" s="41"/>
      <c r="R122" s="41"/>
      <c r="S122" s="41"/>
      <c r="T122" s="16"/>
      <c r="U122" s="16"/>
      <c r="V122" s="16"/>
      <c r="W122" s="16"/>
      <c r="X122" s="69">
        <f>(SUM(X$134:X$149)/16)/(SUM($J$134:$J$149)/16)*SARM[[#This Row],[Trenes Corridos]]</f>
        <v>6742.2278533740628</v>
      </c>
      <c r="Y122" s="16"/>
      <c r="Z122" s="16"/>
      <c r="AA122" s="16"/>
      <c r="AB122" s="17"/>
      <c r="AC122" s="94">
        <v>2002</v>
      </c>
      <c r="AD122" s="95" t="s">
        <v>44</v>
      </c>
      <c r="AE122" s="41"/>
      <c r="AF122" s="41"/>
      <c r="AG122" s="41"/>
      <c r="AH122" s="16"/>
      <c r="AI122" s="16"/>
      <c r="AJ122" s="16"/>
      <c r="AK122" s="16"/>
      <c r="AL122" s="69">
        <f>(SUM(AL$134:AL$149)/16)/(SUM($J$134:$J$149)/16)*SARM[[#This Row],[Trenes Corridos]]</f>
        <v>781.4877811718967</v>
      </c>
      <c r="AM122" s="16"/>
      <c r="AN122" s="16"/>
      <c r="AO122" s="16"/>
      <c r="AP122" s="17"/>
      <c r="AQ122" s="94">
        <v>2002</v>
      </c>
      <c r="AR122" s="95" t="s">
        <v>44</v>
      </c>
      <c r="AS122" s="41"/>
      <c r="AT122" s="41"/>
      <c r="AU122" s="41"/>
      <c r="AV122" s="16"/>
      <c r="AW122" s="16"/>
      <c r="AX122" s="16"/>
      <c r="AY122" s="16"/>
      <c r="AZ122" s="69">
        <f>(SUM(AZ$134:AZ$149)/16)/(SUM($J$134:$J$149)/16)*SARM[[#This Row],[Trenes Corridos]]</f>
        <v>976.28436545404054</v>
      </c>
      <c r="BA122" s="16"/>
      <c r="BB122" s="16"/>
    </row>
    <row r="123" spans="1:54" s="18" customFormat="1" ht="15" customHeight="1">
      <c r="A123" s="96">
        <v>2002</v>
      </c>
      <c r="B123" s="97" t="s">
        <v>45</v>
      </c>
      <c r="C123" s="15">
        <f t="shared" si="7"/>
        <v>0.90029479890503261</v>
      </c>
      <c r="D123" s="15">
        <f t="shared" si="8"/>
        <v>0.94257054673721341</v>
      </c>
      <c r="E123" s="15">
        <f t="shared" si="9"/>
        <v>0.95514845230574863</v>
      </c>
      <c r="F123" s="16">
        <f>+Tabla2[[#This Row],[Trenes Programados por Día Hábil]]+Tabla9[[#This Row],[Trenes Programados por Día Hábil]]+Tabla10[[#This Row],[Trenes Programados por Día Hábil]]</f>
        <v>0</v>
      </c>
      <c r="G123" s="33">
        <f>+(Tabla2[[#This Row],[Coches por Tren Día Hábil]]*Tabla2[[#This Row],[Trenes Corridos]]+Tabla9[[#This Row],[Coches por Tren Día Hábil]]*Tabla9[[#This Row],[Trenes Corridos]]+Tabla10[[#This Row],[Coches por Tren Día Hábil]]*Tabla10[[#This Row],[Trenes Corridos]])/SARM[[#This Row],[Trenes Corridos]]</f>
        <v>0</v>
      </c>
      <c r="H123" s="16">
        <f>1005+928+7565</f>
        <v>9498</v>
      </c>
      <c r="I123" s="16">
        <f t="shared" si="5"/>
        <v>426</v>
      </c>
      <c r="J123" s="16">
        <f>964+912+7196</f>
        <v>9072</v>
      </c>
      <c r="K123" s="16">
        <f>918+799+6834</f>
        <v>8551</v>
      </c>
      <c r="L123" s="16">
        <f t="shared" si="6"/>
        <v>521</v>
      </c>
      <c r="M123" s="16"/>
      <c r="N123" s="17"/>
      <c r="O123" s="96">
        <v>2002</v>
      </c>
      <c r="P123" s="97" t="s">
        <v>45</v>
      </c>
      <c r="Q123" s="41"/>
      <c r="R123" s="41"/>
      <c r="S123" s="41"/>
      <c r="T123" s="16"/>
      <c r="U123" s="16"/>
      <c r="V123" s="16"/>
      <c r="W123" s="16"/>
      <c r="X123" s="69">
        <f>(SUM(X$134:X$149)/16)/(SUM($J$134:$J$149)/16)*SARM[[#This Row],[Trenes Corridos]]</f>
        <v>7195.940127742294</v>
      </c>
      <c r="Y123" s="16"/>
      <c r="Z123" s="16"/>
      <c r="AA123" s="16"/>
      <c r="AB123" s="17"/>
      <c r="AC123" s="96">
        <v>2002</v>
      </c>
      <c r="AD123" s="97" t="s">
        <v>45</v>
      </c>
      <c r="AE123" s="41"/>
      <c r="AF123" s="41"/>
      <c r="AG123" s="41"/>
      <c r="AH123" s="16"/>
      <c r="AI123" s="16"/>
      <c r="AJ123" s="16"/>
      <c r="AK123" s="16"/>
      <c r="AL123" s="69">
        <f>(SUM(AL$134:AL$149)/16)/(SUM($J$134:$J$149)/16)*SARM[[#This Row],[Trenes Corridos]]</f>
        <v>834.07731185781722</v>
      </c>
      <c r="AM123" s="16"/>
      <c r="AN123" s="16"/>
      <c r="AO123" s="16"/>
      <c r="AP123" s="17"/>
      <c r="AQ123" s="96">
        <v>2002</v>
      </c>
      <c r="AR123" s="97" t="s">
        <v>45</v>
      </c>
      <c r="AS123" s="41"/>
      <c r="AT123" s="41"/>
      <c r="AU123" s="41"/>
      <c r="AV123" s="16"/>
      <c r="AW123" s="16"/>
      <c r="AX123" s="16"/>
      <c r="AY123" s="16"/>
      <c r="AZ123" s="69">
        <f>(SUM(AZ$134:AZ$149)/16)/(SUM($J$134:$J$149)/16)*SARM[[#This Row],[Trenes Corridos]]</f>
        <v>1041.9825603998888</v>
      </c>
      <c r="BA123" s="16"/>
      <c r="BB123" s="16"/>
    </row>
    <row r="124" spans="1:54" s="18" customFormat="1" ht="15" customHeight="1">
      <c r="A124" s="94">
        <v>2002</v>
      </c>
      <c r="B124" s="95" t="s">
        <v>46</v>
      </c>
      <c r="C124" s="15">
        <f t="shared" si="7"/>
        <v>0.90854893138357706</v>
      </c>
      <c r="D124" s="15">
        <f t="shared" si="8"/>
        <v>0.93853125726237507</v>
      </c>
      <c r="E124" s="15">
        <f t="shared" si="9"/>
        <v>0.96805399325084363</v>
      </c>
      <c r="F124" s="16">
        <f>+Tabla2[[#This Row],[Trenes Programados por Día Hábil]]+Tabla9[[#This Row],[Trenes Programados por Día Hábil]]+Tabla10[[#This Row],[Trenes Programados por Día Hábil]]</f>
        <v>0</v>
      </c>
      <c r="G124" s="33">
        <f>+(Tabla2[[#This Row],[Coches por Tren Día Hábil]]*Tabla2[[#This Row],[Trenes Corridos]]+Tabla9[[#This Row],[Coches por Tren Día Hábil]]*Tabla9[[#This Row],[Trenes Corridos]]+Tabla10[[#This Row],[Coches por Tren Día Hábil]]*Tabla10[[#This Row],[Trenes Corridos]])/SARM[[#This Row],[Trenes Corridos]]</f>
        <v>0</v>
      </c>
      <c r="H124" s="16">
        <f>946+880+7064</f>
        <v>8890</v>
      </c>
      <c r="I124" s="16">
        <f t="shared" si="5"/>
        <v>284</v>
      </c>
      <c r="J124" s="16">
        <f>923+864+6819</f>
        <v>8606</v>
      </c>
      <c r="K124" s="16">
        <f>850+769+6458</f>
        <v>8077</v>
      </c>
      <c r="L124" s="16">
        <f t="shared" si="6"/>
        <v>529</v>
      </c>
      <c r="M124" s="16"/>
      <c r="N124" s="17"/>
      <c r="O124" s="94">
        <v>2002</v>
      </c>
      <c r="P124" s="95" t="s">
        <v>46</v>
      </c>
      <c r="Q124" s="41"/>
      <c r="R124" s="41"/>
      <c r="S124" s="41"/>
      <c r="T124" s="16"/>
      <c r="U124" s="16"/>
      <c r="V124" s="16"/>
      <c r="W124" s="16"/>
      <c r="X124" s="69">
        <f>(SUM(X$134:X$149)/16)/(SUM($J$134:$J$149)/16)*SARM[[#This Row],[Trenes Corridos]]</f>
        <v>6826.3074007220212</v>
      </c>
      <c r="Y124" s="16"/>
      <c r="Z124" s="16"/>
      <c r="AA124" s="16"/>
      <c r="AB124" s="17"/>
      <c r="AC124" s="94">
        <v>2002</v>
      </c>
      <c r="AD124" s="95" t="s">
        <v>46</v>
      </c>
      <c r="AE124" s="41"/>
      <c r="AF124" s="41"/>
      <c r="AG124" s="41"/>
      <c r="AH124" s="16"/>
      <c r="AI124" s="16"/>
      <c r="AJ124" s="16"/>
      <c r="AK124" s="16"/>
      <c r="AL124" s="69">
        <f>(SUM(AL$134:AL$149)/16)/(SUM($J$134:$J$149)/16)*SARM[[#This Row],[Trenes Corridos]]</f>
        <v>791.23339350180504</v>
      </c>
      <c r="AM124" s="16"/>
      <c r="AN124" s="16"/>
      <c r="AO124" s="16"/>
      <c r="AP124" s="17"/>
      <c r="AQ124" s="94">
        <v>2002</v>
      </c>
      <c r="AR124" s="95" t="s">
        <v>46</v>
      </c>
      <c r="AS124" s="41"/>
      <c r="AT124" s="41"/>
      <c r="AU124" s="41"/>
      <c r="AV124" s="16"/>
      <c r="AW124" s="16"/>
      <c r="AX124" s="16"/>
      <c r="AY124" s="16"/>
      <c r="AZ124" s="69">
        <f>(SUM(AZ$134:AZ$149)/16)/(SUM($J$134:$J$149)/16)*SARM[[#This Row],[Trenes Corridos]]</f>
        <v>988.45920577617323</v>
      </c>
      <c r="BA124" s="16"/>
      <c r="BB124" s="16"/>
    </row>
    <row r="125" spans="1:54" s="18" customFormat="1" ht="15" customHeight="1">
      <c r="A125" s="96">
        <v>2002</v>
      </c>
      <c r="B125" s="97" t="s">
        <v>47</v>
      </c>
      <c r="C125" s="15">
        <f t="shared" si="7"/>
        <v>0.92435014441235286</v>
      </c>
      <c r="D125" s="15">
        <f t="shared" si="8"/>
        <v>0.94460211147689865</v>
      </c>
      <c r="E125" s="15">
        <f t="shared" si="9"/>
        <v>0.97856031992890469</v>
      </c>
      <c r="F125" s="16">
        <f>+Tabla2[[#This Row],[Trenes Programados por Día Hábil]]+Tabla9[[#This Row],[Trenes Programados por Día Hábil]]+Tabla10[[#This Row],[Trenes Programados por Día Hábil]]</f>
        <v>0</v>
      </c>
      <c r="G125" s="33">
        <f>+(Tabla2[[#This Row],[Coches por Tren Día Hábil]]*Tabla2[[#This Row],[Trenes Corridos]]+Tabla9[[#This Row],[Coches por Tren Día Hábil]]*Tabla9[[#This Row],[Trenes Corridos]]+Tabla10[[#This Row],[Coches por Tren Día Hábil]]*Tabla10[[#This Row],[Trenes Corridos]])/SARM[[#This Row],[Trenes Corridos]]</f>
        <v>0</v>
      </c>
      <c r="H125" s="16">
        <f>950+914+7138</f>
        <v>9002</v>
      </c>
      <c r="I125" s="16">
        <f t="shared" si="5"/>
        <v>193</v>
      </c>
      <c r="J125" s="16">
        <f>884+888+7037</f>
        <v>8809</v>
      </c>
      <c r="K125" s="16">
        <f>700+822+6799</f>
        <v>8321</v>
      </c>
      <c r="L125" s="16">
        <f t="shared" si="6"/>
        <v>488</v>
      </c>
      <c r="M125" s="16"/>
      <c r="N125" s="17"/>
      <c r="O125" s="96">
        <v>2002</v>
      </c>
      <c r="P125" s="97" t="s">
        <v>47</v>
      </c>
      <c r="Q125" s="41"/>
      <c r="R125" s="41"/>
      <c r="S125" s="41"/>
      <c r="T125" s="16"/>
      <c r="U125" s="16"/>
      <c r="V125" s="16"/>
      <c r="W125" s="16"/>
      <c r="X125" s="69">
        <f>(SUM(X$134:X$149)/16)/(SUM($J$134:$J$149)/16)*SARM[[#This Row],[Trenes Corridos]]</f>
        <v>6987.3276659261319</v>
      </c>
      <c r="Y125" s="16"/>
      <c r="Z125" s="16"/>
      <c r="AA125" s="16"/>
      <c r="AB125" s="17"/>
      <c r="AC125" s="96">
        <v>2002</v>
      </c>
      <c r="AD125" s="97" t="s">
        <v>47</v>
      </c>
      <c r="AE125" s="41"/>
      <c r="AF125" s="41"/>
      <c r="AG125" s="41"/>
      <c r="AH125" s="16"/>
      <c r="AI125" s="16"/>
      <c r="AJ125" s="16"/>
      <c r="AK125" s="16"/>
      <c r="AL125" s="69">
        <f>(SUM(AL$134:AL$149)/16)/(SUM($J$134:$J$149)/16)*SARM[[#This Row],[Trenes Corridos]]</f>
        <v>809.89716051096912</v>
      </c>
      <c r="AM125" s="16"/>
      <c r="AN125" s="16"/>
      <c r="AO125" s="16"/>
      <c r="AP125" s="17"/>
      <c r="AQ125" s="96">
        <v>2002</v>
      </c>
      <c r="AR125" s="97" t="s">
        <v>47</v>
      </c>
      <c r="AS125" s="41"/>
      <c r="AT125" s="41"/>
      <c r="AU125" s="41"/>
      <c r="AV125" s="16"/>
      <c r="AW125" s="16"/>
      <c r="AX125" s="16"/>
      <c r="AY125" s="16"/>
      <c r="AZ125" s="69">
        <f>(SUM(AZ$134:AZ$149)/16)/(SUM($J$134:$J$149)/16)*SARM[[#This Row],[Trenes Corridos]]</f>
        <v>1011.7751735628991</v>
      </c>
      <c r="BA125" s="16"/>
      <c r="BB125" s="16"/>
    </row>
    <row r="126" spans="1:54" s="18" customFormat="1" ht="15" customHeight="1">
      <c r="A126" s="94">
        <v>2003</v>
      </c>
      <c r="B126" s="95" t="s">
        <v>36</v>
      </c>
      <c r="C126" s="15">
        <f t="shared" si="7"/>
        <v>0.89006781885801789</v>
      </c>
      <c r="D126" s="15">
        <f t="shared" si="8"/>
        <v>0.91571010578437995</v>
      </c>
      <c r="E126" s="15">
        <f t="shared" si="9"/>
        <v>0.97199737475388315</v>
      </c>
      <c r="F126" s="16">
        <f>+Tabla2[[#This Row],[Trenes Programados por Día Hábil]]+Tabla9[[#This Row],[Trenes Programados por Día Hábil]]+Tabla10[[#This Row],[Trenes Programados por Día Hábil]]</f>
        <v>0</v>
      </c>
      <c r="G126" s="33">
        <f>+(Tabla2[[#This Row],[Coches por Tren Día Hábil]]*Tabla2[[#This Row],[Trenes Corridos]]+Tabla9[[#This Row],[Coches por Tren Día Hábil]]*Tabla9[[#This Row],[Trenes Corridos]]+Tabla10[[#This Row],[Coches por Tren Día Hábil]]*Tabla10[[#This Row],[Trenes Corridos]])/SARM[[#This Row],[Trenes Corridos]]</f>
        <v>0</v>
      </c>
      <c r="H126" s="16">
        <f>966+914+7262</f>
        <v>9142</v>
      </c>
      <c r="I126" s="16">
        <f t="shared" si="5"/>
        <v>256</v>
      </c>
      <c r="J126" s="16">
        <f>954+885+7047</f>
        <v>8886</v>
      </c>
      <c r="K126" s="16">
        <f>867+813+6457</f>
        <v>8137</v>
      </c>
      <c r="L126" s="16">
        <f t="shared" si="6"/>
        <v>749</v>
      </c>
      <c r="M126" s="16"/>
      <c r="N126" s="17"/>
      <c r="O126" s="94">
        <v>2003</v>
      </c>
      <c r="P126" s="95" t="s">
        <v>36</v>
      </c>
      <c r="Q126" s="41"/>
      <c r="R126" s="41"/>
      <c r="S126" s="41"/>
      <c r="T126" s="16"/>
      <c r="U126" s="16"/>
      <c r="V126" s="16"/>
      <c r="W126" s="16"/>
      <c r="X126" s="69">
        <f>(SUM(X$134:X$149)/16)/(SUM($J$134:$J$149)/16)*SARM[[#This Row],[Trenes Corridos]]</f>
        <v>7048.4043182449323</v>
      </c>
      <c r="Y126" s="16"/>
      <c r="Z126" s="16"/>
      <c r="AA126" s="16"/>
      <c r="AB126" s="17"/>
      <c r="AC126" s="94">
        <v>2003</v>
      </c>
      <c r="AD126" s="95" t="s">
        <v>36</v>
      </c>
      <c r="AE126" s="41"/>
      <c r="AF126" s="41"/>
      <c r="AG126" s="41"/>
      <c r="AH126" s="16"/>
      <c r="AI126" s="16"/>
      <c r="AJ126" s="16"/>
      <c r="AK126" s="16"/>
      <c r="AL126" s="69">
        <f>(SUM(AL$134:AL$149)/16)/(SUM($J$134:$J$149)/16)*SARM[[#This Row],[Trenes Corridos]]</f>
        <v>816.97652041099684</v>
      </c>
      <c r="AM126" s="16"/>
      <c r="AN126" s="16"/>
      <c r="AO126" s="16"/>
      <c r="AP126" s="17"/>
      <c r="AQ126" s="94">
        <v>2003</v>
      </c>
      <c r="AR126" s="95" t="s">
        <v>36</v>
      </c>
      <c r="AS126" s="41"/>
      <c r="AT126" s="41"/>
      <c r="AU126" s="41"/>
      <c r="AV126" s="16"/>
      <c r="AW126" s="16"/>
      <c r="AX126" s="16"/>
      <c r="AY126" s="16"/>
      <c r="AZ126" s="69">
        <f>(SUM(AZ$134:AZ$149)/16)/(SUM($J$134:$J$149)/16)*SARM[[#This Row],[Trenes Corridos]]</f>
        <v>1020.619161344071</v>
      </c>
      <c r="BA126" s="16"/>
      <c r="BB126" s="16"/>
    </row>
    <row r="127" spans="1:54" s="18" customFormat="1" ht="15" customHeight="1">
      <c r="A127" s="96">
        <v>2003</v>
      </c>
      <c r="B127" s="97" t="s">
        <v>37</v>
      </c>
      <c r="C127" s="15">
        <f t="shared" si="7"/>
        <v>0.85236030828516374</v>
      </c>
      <c r="D127" s="15">
        <f t="shared" si="8"/>
        <v>0.88199376947040498</v>
      </c>
      <c r="E127" s="15">
        <f t="shared" si="9"/>
        <v>0.96640173410404628</v>
      </c>
      <c r="F127" s="16">
        <f>+Tabla2[[#This Row],[Trenes Programados por Día Hábil]]+Tabla9[[#This Row],[Trenes Programados por Día Hábil]]+Tabla10[[#This Row],[Trenes Programados por Día Hábil]]</f>
        <v>0</v>
      </c>
      <c r="G127" s="33">
        <f>+(Tabla2[[#This Row],[Coches por Tren Día Hábil]]*Tabla2[[#This Row],[Trenes Corridos]]+Tabla9[[#This Row],[Coches por Tren Día Hábil]]*Tabla9[[#This Row],[Trenes Corridos]]+Tabla10[[#This Row],[Coches por Tren Día Hábil]]*Tabla10[[#This Row],[Trenes Corridos]])/SARM[[#This Row],[Trenes Corridos]]</f>
        <v>0</v>
      </c>
      <c r="H127" s="16">
        <f>880+824+6600</f>
        <v>8304</v>
      </c>
      <c r="I127" s="16">
        <f t="shared" si="5"/>
        <v>279</v>
      </c>
      <c r="J127" s="16">
        <f>834+812+6379</f>
        <v>8025</v>
      </c>
      <c r="K127" s="16">
        <f>641+738+5699</f>
        <v>7078</v>
      </c>
      <c r="L127" s="16">
        <f t="shared" si="6"/>
        <v>947</v>
      </c>
      <c r="M127" s="16"/>
      <c r="N127" s="17"/>
      <c r="O127" s="96">
        <v>2003</v>
      </c>
      <c r="P127" s="97" t="s">
        <v>37</v>
      </c>
      <c r="Q127" s="41"/>
      <c r="R127" s="41"/>
      <c r="S127" s="41"/>
      <c r="T127" s="16"/>
      <c r="U127" s="16"/>
      <c r="V127" s="16"/>
      <c r="W127" s="16"/>
      <c r="X127" s="69">
        <f>(SUM(X$134:X$149)/16)/(SUM($J$134:$J$149)/16)*SARM[[#This Row],[Trenes Corridos]]</f>
        <v>6365.456296861983</v>
      </c>
      <c r="Y127" s="16"/>
      <c r="Z127" s="16"/>
      <c r="AA127" s="16"/>
      <c r="AB127" s="17"/>
      <c r="AC127" s="96">
        <v>2003</v>
      </c>
      <c r="AD127" s="97" t="s">
        <v>37</v>
      </c>
      <c r="AE127" s="41"/>
      <c r="AF127" s="41"/>
      <c r="AG127" s="41"/>
      <c r="AH127" s="16"/>
      <c r="AI127" s="16"/>
      <c r="AJ127" s="16"/>
      <c r="AK127" s="16"/>
      <c r="AL127" s="69">
        <f>(SUM(AL$134:AL$149)/16)/(SUM($J$134:$J$149)/16)*SARM[[#This Row],[Trenes Corridos]]</f>
        <v>737.8164051652318</v>
      </c>
      <c r="AM127" s="16"/>
      <c r="AN127" s="16"/>
      <c r="AO127" s="16"/>
      <c r="AP127" s="17"/>
      <c r="AQ127" s="96">
        <v>2003</v>
      </c>
      <c r="AR127" s="97" t="s">
        <v>37</v>
      </c>
      <c r="AS127" s="41"/>
      <c r="AT127" s="41"/>
      <c r="AU127" s="41"/>
      <c r="AV127" s="16"/>
      <c r="AW127" s="16"/>
      <c r="AX127" s="16"/>
      <c r="AY127" s="16"/>
      <c r="AZ127" s="69">
        <f>(SUM(AZ$134:AZ$149)/16)/(SUM($J$134:$J$149)/16)*SARM[[#This Row],[Trenes Corridos]]</f>
        <v>921.72729797278532</v>
      </c>
      <c r="BA127" s="16"/>
      <c r="BB127" s="16"/>
    </row>
    <row r="128" spans="1:54" s="18" customFormat="1" ht="15" customHeight="1">
      <c r="A128" s="94">
        <v>2003</v>
      </c>
      <c r="B128" s="95" t="s">
        <v>38</v>
      </c>
      <c r="C128" s="15">
        <f t="shared" si="7"/>
        <v>0.84075649059982094</v>
      </c>
      <c r="D128" s="15">
        <f t="shared" si="8"/>
        <v>0.89911440880804216</v>
      </c>
      <c r="E128" s="15">
        <f t="shared" si="9"/>
        <v>0.93509400179051028</v>
      </c>
      <c r="F128" s="16">
        <f>+Tabla2[[#This Row],[Trenes Programados por Día Hábil]]+Tabla9[[#This Row],[Trenes Programados por Día Hábil]]+Tabla10[[#This Row],[Trenes Programados por Día Hábil]]</f>
        <v>0</v>
      </c>
      <c r="G128" s="33">
        <f>+(Tabla2[[#This Row],[Coches por Tren Día Hábil]]*Tabla2[[#This Row],[Trenes Corridos]]+Tabla9[[#This Row],[Coches por Tren Día Hábil]]*Tabla9[[#This Row],[Trenes Corridos]]+Tabla10[[#This Row],[Coches por Tren Día Hábil]]*Tabla10[[#This Row],[Trenes Corridos]])/SARM[[#This Row],[Trenes Corridos]]</f>
        <v>0</v>
      </c>
      <c r="H128" s="16">
        <f>948+910+7078</f>
        <v>8936</v>
      </c>
      <c r="I128" s="16">
        <f t="shared" si="5"/>
        <v>580</v>
      </c>
      <c r="J128" s="16">
        <f>889+848+6619</f>
        <v>8356</v>
      </c>
      <c r="K128" s="16">
        <f>658+716+6139</f>
        <v>7513</v>
      </c>
      <c r="L128" s="16">
        <f t="shared" si="6"/>
        <v>843</v>
      </c>
      <c r="M128" s="16"/>
      <c r="N128" s="17"/>
      <c r="O128" s="94">
        <v>2003</v>
      </c>
      <c r="P128" s="95" t="s">
        <v>38</v>
      </c>
      <c r="Q128" s="41"/>
      <c r="R128" s="41"/>
      <c r="S128" s="41"/>
      <c r="T128" s="16"/>
      <c r="U128" s="16"/>
      <c r="V128" s="16"/>
      <c r="W128" s="16"/>
      <c r="X128" s="69">
        <f>(SUM(X$134:X$149)/16)/(SUM($J$134:$J$149)/16)*SARM[[#This Row],[Trenes Corridos]]</f>
        <v>6628.0065815051375</v>
      </c>
      <c r="Y128" s="16"/>
      <c r="Z128" s="16"/>
      <c r="AA128" s="16"/>
      <c r="AB128" s="17"/>
      <c r="AC128" s="94">
        <v>2003</v>
      </c>
      <c r="AD128" s="95" t="s">
        <v>38</v>
      </c>
      <c r="AE128" s="41"/>
      <c r="AF128" s="41"/>
      <c r="AG128" s="41"/>
      <c r="AH128" s="16"/>
      <c r="AI128" s="16"/>
      <c r="AJ128" s="16"/>
      <c r="AK128" s="16"/>
      <c r="AL128" s="69">
        <f>(SUM(AL$134:AL$149)/16)/(SUM($J$134:$J$149)/16)*SARM[[#This Row],[Trenes Corridos]]</f>
        <v>768.24845876145514</v>
      </c>
      <c r="AM128" s="16"/>
      <c r="AN128" s="16"/>
      <c r="AO128" s="16"/>
      <c r="AP128" s="17"/>
      <c r="AQ128" s="94">
        <v>2003</v>
      </c>
      <c r="AR128" s="95" t="s">
        <v>38</v>
      </c>
      <c r="AS128" s="41"/>
      <c r="AT128" s="41"/>
      <c r="AU128" s="41"/>
      <c r="AV128" s="16"/>
      <c r="AW128" s="16"/>
      <c r="AX128" s="16"/>
      <c r="AY128" s="16"/>
      <c r="AZ128" s="69">
        <f>(SUM(AZ$134:AZ$149)/16)/(SUM($J$134:$J$149)/16)*SARM[[#This Row],[Trenes Corridos]]</f>
        <v>959.74495973340731</v>
      </c>
      <c r="BA128" s="16"/>
      <c r="BB128" s="16"/>
    </row>
    <row r="129" spans="1:54" s="18" customFormat="1" ht="15" customHeight="1">
      <c r="A129" s="96">
        <v>2003</v>
      </c>
      <c r="B129" s="97" t="s">
        <v>39</v>
      </c>
      <c r="C129" s="15">
        <f t="shared" si="7"/>
        <v>0.84281813216821411</v>
      </c>
      <c r="D129" s="15">
        <f t="shared" si="8"/>
        <v>0.89741800418702022</v>
      </c>
      <c r="E129" s="15">
        <f t="shared" si="9"/>
        <v>0.93915892954669578</v>
      </c>
      <c r="F129" s="16">
        <f>+Tabla2[[#This Row],[Trenes Programados por Día Hábil]]+Tabla9[[#This Row],[Trenes Programados por Día Hábil]]+Tabla10[[#This Row],[Trenes Programados por Día Hábil]]</f>
        <v>0</v>
      </c>
      <c r="G129" s="33">
        <f>+(Tabla2[[#This Row],[Coches por Tren Día Hábil]]*Tabla2[[#This Row],[Trenes Corridos]]+Tabla9[[#This Row],[Coches por Tren Día Hábil]]*Tabla9[[#This Row],[Trenes Corridos]]+Tabla10[[#This Row],[Coches por Tren Día Hábil]]*Tabla10[[#This Row],[Trenes Corridos]])/SARM[[#This Row],[Trenes Corridos]]</f>
        <v>0</v>
      </c>
      <c r="H129" s="16">
        <v>9155</v>
      </c>
      <c r="I129" s="16">
        <f t="shared" si="5"/>
        <v>557</v>
      </c>
      <c r="J129" s="16">
        <v>8598</v>
      </c>
      <c r="K129" s="16">
        <v>7716</v>
      </c>
      <c r="L129" s="16">
        <f t="shared" si="6"/>
        <v>882</v>
      </c>
      <c r="M129" s="16"/>
      <c r="N129" s="17"/>
      <c r="O129" s="96">
        <v>2003</v>
      </c>
      <c r="P129" s="97" t="s">
        <v>39</v>
      </c>
      <c r="Q129" s="41"/>
      <c r="R129" s="41"/>
      <c r="S129" s="41"/>
      <c r="T129" s="16"/>
      <c r="U129" s="16"/>
      <c r="V129" s="16"/>
      <c r="W129" s="16"/>
      <c r="X129" s="69">
        <f>(SUM(X$134:X$149)/16)/(SUM($J$134:$J$149)/16)*SARM[[#This Row],[Trenes Corridos]]</f>
        <v>6819.9617745070809</v>
      </c>
      <c r="Y129" s="16"/>
      <c r="Z129" s="16"/>
      <c r="AA129" s="16"/>
      <c r="AB129" s="17"/>
      <c r="AC129" s="96">
        <v>2003</v>
      </c>
      <c r="AD129" s="97" t="s">
        <v>39</v>
      </c>
      <c r="AE129" s="41"/>
      <c r="AF129" s="41"/>
      <c r="AG129" s="41"/>
      <c r="AH129" s="16"/>
      <c r="AI129" s="16"/>
      <c r="AJ129" s="16"/>
      <c r="AK129" s="16"/>
      <c r="AL129" s="69">
        <f>(SUM(AL$134:AL$149)/16)/(SUM($J$134:$J$149)/16)*SARM[[#This Row],[Trenes Corridos]]</f>
        <v>790.49787559011384</v>
      </c>
      <c r="AM129" s="16"/>
      <c r="AN129" s="16"/>
      <c r="AO129" s="16"/>
      <c r="AP129" s="17"/>
      <c r="AQ129" s="96">
        <v>2003</v>
      </c>
      <c r="AR129" s="97" t="s">
        <v>39</v>
      </c>
      <c r="AS129" s="41"/>
      <c r="AT129" s="41"/>
      <c r="AU129" s="41"/>
      <c r="AV129" s="16"/>
      <c r="AW129" s="16"/>
      <c r="AX129" s="16"/>
      <c r="AY129" s="16"/>
      <c r="AZ129" s="69">
        <f>(SUM(AZ$134:AZ$149)/16)/(SUM($J$134:$J$149)/16)*SARM[[#This Row],[Trenes Corridos]]</f>
        <v>987.54034990280479</v>
      </c>
      <c r="BA129" s="16"/>
      <c r="BB129" s="16"/>
    </row>
    <row r="130" spans="1:54" s="18" customFormat="1" ht="15" customHeight="1">
      <c r="A130" s="94">
        <v>2003</v>
      </c>
      <c r="B130" s="95" t="s">
        <v>40</v>
      </c>
      <c r="C130" s="15">
        <f t="shared" si="7"/>
        <v>0.86307141352433114</v>
      </c>
      <c r="D130" s="15">
        <f t="shared" si="8"/>
        <v>0.92243611392547564</v>
      </c>
      <c r="E130" s="15">
        <f t="shared" si="9"/>
        <v>0.9356435643564357</v>
      </c>
      <c r="F130" s="16">
        <f>+Tabla2[[#This Row],[Trenes Programados por Día Hábil]]+Tabla9[[#This Row],[Trenes Programados por Día Hábil]]+Tabla10[[#This Row],[Trenes Programados por Día Hábil]]</f>
        <v>0</v>
      </c>
      <c r="G130" s="33">
        <f>+(Tabla2[[#This Row],[Coches por Tren Día Hábil]]*Tabla2[[#This Row],[Trenes Corridos]]+Tabla9[[#This Row],[Coches por Tren Día Hábil]]*Tabla9[[#This Row],[Trenes Corridos]]+Tabla10[[#This Row],[Coches por Tren Día Hábil]]*Tabla10[[#This Row],[Trenes Corridos]])/SARM[[#This Row],[Trenes Corridos]]</f>
        <v>0</v>
      </c>
      <c r="H130" s="16">
        <v>9494</v>
      </c>
      <c r="I130" s="16">
        <f t="shared" si="5"/>
        <v>611</v>
      </c>
      <c r="J130" s="16">
        <v>8883</v>
      </c>
      <c r="K130" s="16">
        <v>8194</v>
      </c>
      <c r="L130" s="16">
        <f t="shared" si="6"/>
        <v>689</v>
      </c>
      <c r="M130" s="16"/>
      <c r="N130" s="17"/>
      <c r="O130" s="94">
        <v>2003</v>
      </c>
      <c r="P130" s="95" t="s">
        <v>40</v>
      </c>
      <c r="Q130" s="41"/>
      <c r="R130" s="41"/>
      <c r="S130" s="41"/>
      <c r="T130" s="16"/>
      <c r="U130" s="16"/>
      <c r="V130" s="16"/>
      <c r="W130" s="16"/>
      <c r="X130" s="69">
        <f>(SUM(X$134:X$149)/16)/(SUM($J$134:$J$149)/16)*SARM[[#This Row],[Trenes Corridos]]</f>
        <v>7046.0247084143293</v>
      </c>
      <c r="Y130" s="16"/>
      <c r="Z130" s="16"/>
      <c r="AA130" s="16"/>
      <c r="AB130" s="17"/>
      <c r="AC130" s="94">
        <v>2003</v>
      </c>
      <c r="AD130" s="95" t="s">
        <v>40</v>
      </c>
      <c r="AE130" s="41"/>
      <c r="AF130" s="41"/>
      <c r="AG130" s="41"/>
      <c r="AH130" s="16"/>
      <c r="AI130" s="16"/>
      <c r="AJ130" s="16"/>
      <c r="AK130" s="16"/>
      <c r="AL130" s="69">
        <f>(SUM(AL$134:AL$149)/16)/(SUM($J$134:$J$149)/16)*SARM[[#This Row],[Trenes Corridos]]</f>
        <v>816.70070119411275</v>
      </c>
      <c r="AM130" s="16"/>
      <c r="AN130" s="16"/>
      <c r="AO130" s="16"/>
      <c r="AP130" s="17"/>
      <c r="AQ130" s="94">
        <v>2003</v>
      </c>
      <c r="AR130" s="95" t="s">
        <v>40</v>
      </c>
      <c r="AS130" s="41"/>
      <c r="AT130" s="41"/>
      <c r="AU130" s="41"/>
      <c r="AV130" s="16"/>
      <c r="AW130" s="16"/>
      <c r="AX130" s="16"/>
      <c r="AY130" s="16"/>
      <c r="AZ130" s="69">
        <f>(SUM(AZ$134:AZ$149)/16)/(SUM($J$134:$J$149)/16)*SARM[[#This Row],[Trenes Corridos]]</f>
        <v>1020.2745903915578</v>
      </c>
      <c r="BA130" s="16"/>
      <c r="BB130" s="16"/>
    </row>
    <row r="131" spans="1:54" s="18" customFormat="1" ht="15" customHeight="1">
      <c r="A131" s="96">
        <v>2003</v>
      </c>
      <c r="B131" s="97" t="s">
        <v>41</v>
      </c>
      <c r="C131" s="15">
        <f t="shared" si="7"/>
        <v>0.84656084656084651</v>
      </c>
      <c r="D131" s="15">
        <f t="shared" si="8"/>
        <v>0.90480678605089537</v>
      </c>
      <c r="E131" s="15">
        <f t="shared" si="9"/>
        <v>0.93562610229276899</v>
      </c>
      <c r="F131" s="16">
        <f>+Tabla2[[#This Row],[Trenes Programados por Día Hábil]]+Tabla9[[#This Row],[Trenes Programados por Día Hábil]]+Tabla10[[#This Row],[Trenes Programados por Día Hábil]]</f>
        <v>0</v>
      </c>
      <c r="G131" s="33">
        <f>+(Tabla2[[#This Row],[Coches por Tren Día Hábil]]*Tabla2[[#This Row],[Trenes Corridos]]+Tabla9[[#This Row],[Coches por Tren Día Hábil]]*Tabla9[[#This Row],[Trenes Corridos]]+Tabla10[[#This Row],[Coches por Tren Día Hábil]]*Tabla10[[#This Row],[Trenes Corridos]])/SARM[[#This Row],[Trenes Corridos]]</f>
        <v>0</v>
      </c>
      <c r="H131" s="16">
        <v>9072</v>
      </c>
      <c r="I131" s="16">
        <v>584</v>
      </c>
      <c r="J131" s="16">
        <v>8488</v>
      </c>
      <c r="K131" s="16">
        <v>7680</v>
      </c>
      <c r="L131" s="16">
        <v>808</v>
      </c>
      <c r="M131" s="16"/>
      <c r="N131" s="17"/>
      <c r="O131" s="96">
        <v>2003</v>
      </c>
      <c r="P131" s="97" t="s">
        <v>41</v>
      </c>
      <c r="Q131" s="15"/>
      <c r="R131" s="15"/>
      <c r="S131" s="15"/>
      <c r="T131" s="16"/>
      <c r="U131" s="16"/>
      <c r="V131" s="16"/>
      <c r="W131" s="16"/>
      <c r="X131" s="69">
        <f>(SUM(X$134:X$149)/16)/(SUM($J$134:$J$149)/16)*SARM[[#This Row],[Trenes Corridos]]</f>
        <v>6732.7094140516519</v>
      </c>
      <c r="Y131" s="16"/>
      <c r="Z131" s="16"/>
      <c r="AA131" s="16"/>
      <c r="AB131" s="17"/>
      <c r="AC131" s="96">
        <v>2003</v>
      </c>
      <c r="AD131" s="97" t="s">
        <v>41</v>
      </c>
      <c r="AE131" s="15"/>
      <c r="AF131" s="15"/>
      <c r="AG131" s="15"/>
      <c r="AH131" s="16"/>
      <c r="AI131" s="16"/>
      <c r="AJ131" s="16"/>
      <c r="AK131" s="16"/>
      <c r="AL131" s="69">
        <f>(SUM(AL$134:AL$149)/16)/(SUM($J$134:$J$149)/16)*SARM[[#This Row],[Trenes Corridos]]</f>
        <v>780.38450430435989</v>
      </c>
      <c r="AM131" s="16"/>
      <c r="AN131" s="16"/>
      <c r="AO131" s="16"/>
      <c r="AP131" s="17"/>
      <c r="AQ131" s="96">
        <v>2003</v>
      </c>
      <c r="AR131" s="97" t="s">
        <v>41</v>
      </c>
      <c r="AS131" s="15"/>
      <c r="AT131" s="15"/>
      <c r="AU131" s="15"/>
      <c r="AV131" s="16"/>
      <c r="AW131" s="16"/>
      <c r="AX131" s="16"/>
      <c r="AY131" s="16"/>
      <c r="AZ131" s="69">
        <f>(SUM(AZ$134:AZ$149)/16)/(SUM($J$134:$J$149)/16)*SARM[[#This Row],[Trenes Corridos]]</f>
        <v>974.9060816439877</v>
      </c>
      <c r="BA131" s="16"/>
      <c r="BB131" s="16"/>
    </row>
    <row r="132" spans="1:54" s="18" customFormat="1" ht="15" customHeight="1">
      <c r="A132" s="94">
        <v>2003</v>
      </c>
      <c r="B132" s="95" t="s">
        <v>42</v>
      </c>
      <c r="C132" s="15">
        <f t="shared" si="7"/>
        <v>0.74973832949549923</v>
      </c>
      <c r="D132" s="15">
        <f t="shared" si="8"/>
        <v>0.82818822985316221</v>
      </c>
      <c r="E132" s="15">
        <f t="shared" si="9"/>
        <v>0.90527527737073477</v>
      </c>
      <c r="F132" s="16">
        <f>+Tabla2[[#This Row],[Trenes Programados por Día Hábil]]+Tabla9[[#This Row],[Trenes Programados por Día Hábil]]+Tabla10[[#This Row],[Trenes Programados por Día Hábil]]</f>
        <v>0</v>
      </c>
      <c r="G132" s="33">
        <f>+(Tabla2[[#This Row],[Coches por Tren Día Hábil]]*Tabla2[[#This Row],[Trenes Corridos]]+Tabla9[[#This Row],[Coches por Tren Día Hábil]]*Tabla9[[#This Row],[Trenes Corridos]]+Tabla10[[#This Row],[Coches por Tren Día Hábil]]*Tabla10[[#This Row],[Trenes Corridos]])/SARM[[#This Row],[Trenes Corridos]]</f>
        <v>0</v>
      </c>
      <c r="H132" s="16">
        <v>9554</v>
      </c>
      <c r="I132" s="16">
        <v>905</v>
      </c>
      <c r="J132" s="16">
        <v>8649</v>
      </c>
      <c r="K132" s="16">
        <v>7163</v>
      </c>
      <c r="L132" s="16">
        <v>1486</v>
      </c>
      <c r="M132" s="16"/>
      <c r="N132" s="17"/>
      <c r="O132" s="94">
        <v>2003</v>
      </c>
      <c r="P132" s="95" t="s">
        <v>42</v>
      </c>
      <c r="Q132" s="15"/>
      <c r="R132" s="15"/>
      <c r="S132" s="15"/>
      <c r="T132" s="16"/>
      <c r="U132" s="16"/>
      <c r="V132" s="16"/>
      <c r="W132" s="16"/>
      <c r="X132" s="69">
        <f>(SUM(X$134:X$149)/16)/(SUM($J$134:$J$149)/16)*SARM[[#This Row],[Trenes Corridos]]</f>
        <v>6860.4151416273253</v>
      </c>
      <c r="Y132" s="16"/>
      <c r="Z132" s="16"/>
      <c r="AA132" s="16"/>
      <c r="AB132" s="17"/>
      <c r="AC132" s="94">
        <v>2003</v>
      </c>
      <c r="AD132" s="95" t="s">
        <v>42</v>
      </c>
      <c r="AE132" s="15"/>
      <c r="AF132" s="15"/>
      <c r="AG132" s="15"/>
      <c r="AH132" s="16"/>
      <c r="AI132" s="16"/>
      <c r="AJ132" s="16"/>
      <c r="AK132" s="16"/>
      <c r="AL132" s="69">
        <f>(SUM(AL$134:AL$149)/16)/(SUM($J$134:$J$149)/16)*SARM[[#This Row],[Trenes Corridos]]</f>
        <v>795.18680227714515</v>
      </c>
      <c r="AM132" s="16"/>
      <c r="AN132" s="16"/>
      <c r="AO132" s="16"/>
      <c r="AP132" s="17"/>
      <c r="AQ132" s="94">
        <v>2003</v>
      </c>
      <c r="AR132" s="95" t="s">
        <v>42</v>
      </c>
      <c r="AS132" s="15"/>
      <c r="AT132" s="15"/>
      <c r="AU132" s="15"/>
      <c r="AV132" s="16"/>
      <c r="AW132" s="16"/>
      <c r="AX132" s="16"/>
      <c r="AY132" s="16"/>
      <c r="AZ132" s="69">
        <f>(SUM(AZ$134:AZ$149)/16)/(SUM($J$134:$J$149)/16)*SARM[[#This Row],[Trenes Corridos]]</f>
        <v>993.398056095529</v>
      </c>
      <c r="BA132" s="16"/>
      <c r="BB132" s="16"/>
    </row>
    <row r="133" spans="1:54" s="18" customFormat="1" ht="15" customHeight="1">
      <c r="A133" s="96">
        <v>2003</v>
      </c>
      <c r="B133" s="97" t="s">
        <v>43</v>
      </c>
      <c r="C133" s="15">
        <f t="shared" si="7"/>
        <v>0.70858731686450649</v>
      </c>
      <c r="D133" s="15">
        <f t="shared" si="8"/>
        <v>0.78256761544821074</v>
      </c>
      <c r="E133" s="15">
        <f t="shared" si="9"/>
        <v>0.90546465618650407</v>
      </c>
      <c r="F133" s="16">
        <f>+Tabla2[[#This Row],[Trenes Programados por Día Hábil]]+Tabla9[[#This Row],[Trenes Programados por Día Hábil]]+Tabla10[[#This Row],[Trenes Programados por Día Hábil]]</f>
        <v>0</v>
      </c>
      <c r="G133" s="33">
        <f>+(Tabla2[[#This Row],[Coches por Tren Día Hábil]]*Tabla2[[#This Row],[Trenes Corridos]]+Tabla9[[#This Row],[Coches por Tren Día Hábil]]*Tabla9[[#This Row],[Trenes Corridos]]+Tabla10[[#This Row],[Coches por Tren Día Hábil]]*Tabla10[[#This Row],[Trenes Corridos]])/SARM[[#This Row],[Trenes Corridos]]</f>
        <v>0</v>
      </c>
      <c r="H133" s="16">
        <v>9351</v>
      </c>
      <c r="I133" s="16">
        <v>884</v>
      </c>
      <c r="J133" s="16">
        <v>8467</v>
      </c>
      <c r="K133" s="16">
        <v>6626</v>
      </c>
      <c r="L133" s="16">
        <v>1841</v>
      </c>
      <c r="M133" s="16"/>
      <c r="N133" s="17"/>
      <c r="O133" s="96">
        <v>2003</v>
      </c>
      <c r="P133" s="97" t="s">
        <v>43</v>
      </c>
      <c r="Q133" s="15"/>
      <c r="R133" s="15"/>
      <c r="S133" s="15"/>
      <c r="T133" s="16"/>
      <c r="U133" s="16"/>
      <c r="V133" s="16"/>
      <c r="W133" s="16"/>
      <c r="X133" s="69">
        <f>(SUM(X$134:X$149)/16)/(SUM($J$134:$J$149)/16)*SARM[[#This Row],[Trenes Corridos]]</f>
        <v>6716.0521452374342</v>
      </c>
      <c r="Y133" s="16"/>
      <c r="Z133" s="16"/>
      <c r="AA133" s="16"/>
      <c r="AB133" s="17"/>
      <c r="AC133" s="96">
        <v>2003</v>
      </c>
      <c r="AD133" s="97" t="s">
        <v>43</v>
      </c>
      <c r="AE133" s="15"/>
      <c r="AF133" s="15"/>
      <c r="AG133" s="15"/>
      <c r="AH133" s="16"/>
      <c r="AI133" s="16"/>
      <c r="AJ133" s="16"/>
      <c r="AK133" s="16"/>
      <c r="AL133" s="69">
        <f>(SUM(AL$134:AL$149)/16)/(SUM($J$134:$J$149)/16)*SARM[[#This Row],[Trenes Corridos]]</f>
        <v>778.45376978617048</v>
      </c>
      <c r="AM133" s="16"/>
      <c r="AN133" s="16"/>
      <c r="AO133" s="16"/>
      <c r="AP133" s="17"/>
      <c r="AQ133" s="96">
        <v>2003</v>
      </c>
      <c r="AR133" s="97" t="s">
        <v>43</v>
      </c>
      <c r="AS133" s="15"/>
      <c r="AT133" s="15"/>
      <c r="AU133" s="15"/>
      <c r="AV133" s="16"/>
      <c r="AW133" s="16"/>
      <c r="AX133" s="16"/>
      <c r="AY133" s="16"/>
      <c r="AZ133" s="69">
        <f>(SUM(AZ$134:AZ$149)/16)/(SUM($J$134:$J$149)/16)*SARM[[#This Row],[Trenes Corridos]]</f>
        <v>972.49408497639536</v>
      </c>
      <c r="BA133" s="16"/>
      <c r="BB133" s="16"/>
    </row>
    <row r="134" spans="1:54" s="18" customFormat="1" ht="15" customHeight="1">
      <c r="A134" s="94">
        <v>2003</v>
      </c>
      <c r="B134" s="95" t="s">
        <v>44</v>
      </c>
      <c r="C134" s="15">
        <f t="shared" si="7"/>
        <v>0.84985552344965543</v>
      </c>
      <c r="D134" s="15">
        <f t="shared" si="8"/>
        <v>0.87125441494815992</v>
      </c>
      <c r="E134" s="15">
        <f t="shared" si="9"/>
        <v>0.97543898644143145</v>
      </c>
      <c r="F134" s="16">
        <f>+Tabla2[[#This Row],[Trenes Programados por Día Hábil]]+Tabla9[[#This Row],[Trenes Programados por Día Hábil]]+Tabla10[[#This Row],[Trenes Programados por Día Hábil]]</f>
        <v>0</v>
      </c>
      <c r="G134" s="33">
        <f>+(Tabla2[[#This Row],[Coches por Tren Día Hábil]]*Tabla2[[#This Row],[Trenes Corridos]]+Tabla9[[#This Row],[Coches por Tren Día Hábil]]*Tabla9[[#This Row],[Trenes Corridos]]+Tabla10[[#This Row],[Coches por Tren Día Hábil]]*Tabla10[[#This Row],[Trenes Corridos]])/SARM[[#This Row],[Trenes Corridos]]</f>
        <v>0</v>
      </c>
      <c r="H134" s="16">
        <f t="shared" ref="H134:H139" si="10">+V134+AJ134+AX134</f>
        <v>8998</v>
      </c>
      <c r="I134" s="16">
        <f t="shared" ref="I134:I139" si="11">H134-J134</f>
        <v>221</v>
      </c>
      <c r="J134" s="16">
        <f t="shared" ref="J134:J139" si="12">+X134+AL134+AZ134</f>
        <v>8777</v>
      </c>
      <c r="K134" s="16">
        <f t="shared" ref="K134:K139" si="13">+Y134+AM134+BA134</f>
        <v>7647</v>
      </c>
      <c r="L134" s="16">
        <f t="shared" ref="L134:L139" si="14">J134-K134</f>
        <v>1130</v>
      </c>
      <c r="M134" s="16"/>
      <c r="N134" s="17"/>
      <c r="O134" s="94">
        <v>2003</v>
      </c>
      <c r="P134" s="95" t="s">
        <v>44</v>
      </c>
      <c r="Q134" s="15">
        <f>Y134/V134</f>
        <v>0.84133407758861289</v>
      </c>
      <c r="R134" s="15">
        <f>Y134/X134</f>
        <v>0.8606709493219129</v>
      </c>
      <c r="S134" s="15">
        <f>X134/V134</f>
        <v>0.97753279374825564</v>
      </c>
      <c r="T134" s="16"/>
      <c r="U134" s="16"/>
      <c r="V134" s="16">
        <v>7166</v>
      </c>
      <c r="W134" s="16">
        <f>V134-X134</f>
        <v>161</v>
      </c>
      <c r="X134" s="16">
        <v>7005</v>
      </c>
      <c r="Y134" s="16">
        <v>6029</v>
      </c>
      <c r="Z134" s="16">
        <f>X134-Y134</f>
        <v>976</v>
      </c>
      <c r="AA134" s="16"/>
      <c r="AB134" s="17"/>
      <c r="AC134" s="94">
        <v>2003</v>
      </c>
      <c r="AD134" s="95" t="s">
        <v>44</v>
      </c>
      <c r="AE134" s="15">
        <f>AM134/AJ134</f>
        <v>0.8631221719457014</v>
      </c>
      <c r="AF134" s="15">
        <f>AM134/AL134</f>
        <v>0.89344262295081966</v>
      </c>
      <c r="AG134" s="15">
        <f>AL134/AJ134</f>
        <v>0.9660633484162896</v>
      </c>
      <c r="AH134" s="16"/>
      <c r="AI134" s="16"/>
      <c r="AJ134" s="16">
        <v>884</v>
      </c>
      <c r="AK134" s="16">
        <f>AJ134-AL134</f>
        <v>30</v>
      </c>
      <c r="AL134" s="16">
        <v>854</v>
      </c>
      <c r="AM134" s="16">
        <v>763</v>
      </c>
      <c r="AN134" s="16">
        <f>AL134-AM134</f>
        <v>91</v>
      </c>
      <c r="AO134" s="16"/>
      <c r="AP134" s="17"/>
      <c r="AQ134" s="94">
        <v>2003</v>
      </c>
      <c r="AR134" s="95" t="s">
        <v>44</v>
      </c>
      <c r="AS134" s="15">
        <f>BA134/AX134</f>
        <v>0.90189873417721522</v>
      </c>
      <c r="AT134" s="15">
        <f>BA134/AZ134</f>
        <v>0.93137254901960786</v>
      </c>
      <c r="AU134" s="15">
        <f>AZ134/AX134</f>
        <v>0.96835443037974689</v>
      </c>
      <c r="AV134" s="16"/>
      <c r="AW134" s="16"/>
      <c r="AX134" s="16">
        <v>948</v>
      </c>
      <c r="AY134" s="16">
        <f>AX134-AZ134</f>
        <v>30</v>
      </c>
      <c r="AZ134" s="16">
        <v>918</v>
      </c>
      <c r="BA134" s="16">
        <v>855</v>
      </c>
      <c r="BB134" s="16">
        <f>AZ134-BA134</f>
        <v>63</v>
      </c>
    </row>
    <row r="135" spans="1:54" s="18" customFormat="1" ht="15" customHeight="1">
      <c r="A135" s="96">
        <v>2003</v>
      </c>
      <c r="B135" s="97" t="s">
        <v>45</v>
      </c>
      <c r="C135" s="15">
        <f t="shared" si="7"/>
        <v>0.84476377095580235</v>
      </c>
      <c r="D135" s="15">
        <f t="shared" si="8"/>
        <v>0.87753024991518713</v>
      </c>
      <c r="E135" s="15">
        <f t="shared" si="9"/>
        <v>0.96266057043326803</v>
      </c>
      <c r="F135" s="16">
        <f>+Tabla2[[#This Row],[Trenes Programados por Día Hábil]]+Tabla9[[#This Row],[Trenes Programados por Día Hábil]]+Tabla10[[#This Row],[Trenes Programados por Día Hábil]]</f>
        <v>0</v>
      </c>
      <c r="G135" s="33">
        <f>+(Tabla2[[#This Row],[Coches por Tren Día Hábil]]*Tabla2[[#This Row],[Trenes Corridos]]+Tabla9[[#This Row],[Coches por Tren Día Hábil]]*Tabla9[[#This Row],[Trenes Corridos]]+Tabla10[[#This Row],[Coches por Tren Día Hábil]]*Tabla10[[#This Row],[Trenes Corridos]])/SARM[[#This Row],[Trenes Corridos]]</f>
        <v>0</v>
      </c>
      <c r="H135" s="16">
        <f t="shared" si="10"/>
        <v>9186</v>
      </c>
      <c r="I135" s="16">
        <f t="shared" si="11"/>
        <v>343</v>
      </c>
      <c r="J135" s="16">
        <f t="shared" si="12"/>
        <v>8843</v>
      </c>
      <c r="K135" s="16">
        <f t="shared" si="13"/>
        <v>7760</v>
      </c>
      <c r="L135" s="16">
        <f t="shared" si="14"/>
        <v>1083</v>
      </c>
      <c r="M135" s="16"/>
      <c r="N135" s="17"/>
      <c r="O135" s="96">
        <v>2003</v>
      </c>
      <c r="P135" s="97" t="s">
        <v>45</v>
      </c>
      <c r="Q135" s="15">
        <f>Y135/V135</f>
        <v>0.84998631261976454</v>
      </c>
      <c r="R135" s="15">
        <f>Y135/X135</f>
        <v>0.87835926449787838</v>
      </c>
      <c r="S135" s="15">
        <f>X135/V135</f>
        <v>0.96769778264440187</v>
      </c>
      <c r="T135" s="16"/>
      <c r="U135" s="16"/>
      <c r="V135" s="16">
        <v>7306</v>
      </c>
      <c r="W135" s="16">
        <f>V135-X135</f>
        <v>236</v>
      </c>
      <c r="X135" s="16">
        <v>7070</v>
      </c>
      <c r="Y135" s="16">
        <v>6210</v>
      </c>
      <c r="Z135" s="16">
        <f>X135-Y135</f>
        <v>860</v>
      </c>
      <c r="AA135" s="16"/>
      <c r="AB135" s="17"/>
      <c r="AC135" s="96">
        <v>2003</v>
      </c>
      <c r="AD135" s="97" t="s">
        <v>45</v>
      </c>
      <c r="AE135" s="15">
        <f>AM135/AJ135</f>
        <v>0.85010940919037203</v>
      </c>
      <c r="AF135" s="15">
        <f>AM135/AL135</f>
        <v>0.88095238095238093</v>
      </c>
      <c r="AG135" s="15">
        <f>AL135/AJ135</f>
        <v>0.96498905908096277</v>
      </c>
      <c r="AH135" s="16"/>
      <c r="AI135" s="16"/>
      <c r="AJ135" s="16">
        <v>914</v>
      </c>
      <c r="AK135" s="16">
        <f>AJ135-AL135</f>
        <v>32</v>
      </c>
      <c r="AL135" s="16">
        <v>882</v>
      </c>
      <c r="AM135" s="16">
        <v>777</v>
      </c>
      <c r="AN135" s="16">
        <f>AL135-AM135</f>
        <v>105</v>
      </c>
      <c r="AO135" s="16"/>
      <c r="AP135" s="17"/>
      <c r="AQ135" s="96">
        <v>2003</v>
      </c>
      <c r="AR135" s="97" t="s">
        <v>45</v>
      </c>
      <c r="AS135" s="15">
        <f>BA135/AX135</f>
        <v>0.80020703933747417</v>
      </c>
      <c r="AT135" s="15">
        <f>BA135/AZ135</f>
        <v>0.86756453423120095</v>
      </c>
      <c r="AU135" s="15">
        <f>AZ135/AX135</f>
        <v>0.92236024844720499</v>
      </c>
      <c r="AV135" s="16"/>
      <c r="AW135" s="16"/>
      <c r="AX135" s="16">
        <v>966</v>
      </c>
      <c r="AY135" s="16">
        <f>AX135-AZ135</f>
        <v>75</v>
      </c>
      <c r="AZ135" s="16">
        <v>891</v>
      </c>
      <c r="BA135" s="16">
        <v>773</v>
      </c>
      <c r="BB135" s="16">
        <f>AZ135-BA135</f>
        <v>118</v>
      </c>
    </row>
    <row r="136" spans="1:54" s="18" customFormat="1" ht="15" customHeight="1">
      <c r="A136" s="94">
        <v>2003</v>
      </c>
      <c r="B136" s="95" t="s">
        <v>46</v>
      </c>
      <c r="C136" s="15">
        <f t="shared" si="7"/>
        <v>0.82944855031267761</v>
      </c>
      <c r="D136" s="15">
        <f t="shared" si="8"/>
        <v>0.86546446790841147</v>
      </c>
      <c r="E136" s="15">
        <f t="shared" si="9"/>
        <v>0.9583854462762933</v>
      </c>
      <c r="F136" s="16">
        <f>+Tabla2[[#This Row],[Trenes Programados por Día Hábil]]+Tabla9[[#This Row],[Trenes Programados por Día Hábil]]+Tabla10[[#This Row],[Trenes Programados por Día Hábil]]</f>
        <v>0</v>
      </c>
      <c r="G136" s="33">
        <f>+(Tabla2[[#This Row],[Coches por Tren Día Hábil]]*Tabla2[[#This Row],[Trenes Corridos]]+Tabla9[[#This Row],[Coches por Tren Día Hábil]]*Tabla9[[#This Row],[Trenes Corridos]]+Tabla10[[#This Row],[Coches por Tren Día Hábil]]*Tabla10[[#This Row],[Trenes Corridos]])/SARM[[#This Row],[Trenes Corridos]]</f>
        <v>0</v>
      </c>
      <c r="H136" s="16">
        <f t="shared" si="10"/>
        <v>8795</v>
      </c>
      <c r="I136" s="16">
        <f t="shared" si="11"/>
        <v>366</v>
      </c>
      <c r="J136" s="16">
        <f t="shared" si="12"/>
        <v>8429</v>
      </c>
      <c r="K136" s="16">
        <f t="shared" si="13"/>
        <v>7295</v>
      </c>
      <c r="L136" s="16">
        <f t="shared" si="14"/>
        <v>1134</v>
      </c>
      <c r="M136" s="16"/>
      <c r="N136" s="17"/>
      <c r="O136" s="94">
        <v>2003</v>
      </c>
      <c r="P136" s="95" t="s">
        <v>46</v>
      </c>
      <c r="Q136" s="15">
        <f>Y136/V136</f>
        <v>0.83135289906943455</v>
      </c>
      <c r="R136" s="15">
        <f>Y136/X136</f>
        <v>0.86157270029673594</v>
      </c>
      <c r="S136" s="15">
        <f>X136/V136</f>
        <v>0.964924838940587</v>
      </c>
      <c r="T136" s="16"/>
      <c r="U136" s="16"/>
      <c r="V136" s="16">
        <v>6985</v>
      </c>
      <c r="W136" s="16">
        <f>V136-X136</f>
        <v>245</v>
      </c>
      <c r="X136" s="16">
        <v>6740</v>
      </c>
      <c r="Y136" s="16">
        <v>5807</v>
      </c>
      <c r="Z136" s="16">
        <f>X136-Y136</f>
        <v>933</v>
      </c>
      <c r="AA136" s="16"/>
      <c r="AB136" s="17"/>
      <c r="AC136" s="94">
        <v>2003</v>
      </c>
      <c r="AD136" s="95" t="s">
        <v>46</v>
      </c>
      <c r="AE136" s="15">
        <f>AM136/AJ136</f>
        <v>0.79545454545454541</v>
      </c>
      <c r="AF136" s="15">
        <f>AM136/AL136</f>
        <v>0.85889570552147243</v>
      </c>
      <c r="AG136" s="15">
        <f>AL136/AJ136</f>
        <v>0.92613636363636365</v>
      </c>
      <c r="AH136" s="16"/>
      <c r="AI136" s="16"/>
      <c r="AJ136" s="16">
        <v>880</v>
      </c>
      <c r="AK136" s="16">
        <f>AJ136-AL136</f>
        <v>65</v>
      </c>
      <c r="AL136" s="16">
        <v>815</v>
      </c>
      <c r="AM136" s="16">
        <v>700</v>
      </c>
      <c r="AN136" s="16">
        <f>AL136-AM136</f>
        <v>115</v>
      </c>
      <c r="AO136" s="16"/>
      <c r="AP136" s="17"/>
      <c r="AQ136" s="94">
        <v>2003</v>
      </c>
      <c r="AR136" s="95" t="s">
        <v>46</v>
      </c>
      <c r="AS136" s="15">
        <f>BA136/AX136</f>
        <v>0.84731182795698923</v>
      </c>
      <c r="AT136" s="15">
        <f>BA136/AZ136</f>
        <v>0.90160183066361554</v>
      </c>
      <c r="AU136" s="15">
        <f>AZ136/AX136</f>
        <v>0.93978494623655917</v>
      </c>
      <c r="AV136" s="16"/>
      <c r="AW136" s="16"/>
      <c r="AX136" s="16">
        <v>930</v>
      </c>
      <c r="AY136" s="16">
        <f>AX136-AZ136</f>
        <v>56</v>
      </c>
      <c r="AZ136" s="16">
        <v>874</v>
      </c>
      <c r="BA136" s="16">
        <v>788</v>
      </c>
      <c r="BB136" s="16">
        <f>AZ136-BA136</f>
        <v>86</v>
      </c>
    </row>
    <row r="137" spans="1:54" s="18" customFormat="1" ht="15" customHeight="1">
      <c r="A137" s="96">
        <v>2003</v>
      </c>
      <c r="B137" s="97" t="s">
        <v>47</v>
      </c>
      <c r="C137" s="15">
        <f t="shared" si="7"/>
        <v>0.83143583508345309</v>
      </c>
      <c r="D137" s="15">
        <f t="shared" si="8"/>
        <v>0.87648566767653224</v>
      </c>
      <c r="E137" s="15">
        <f t="shared" si="9"/>
        <v>0.94860174643528239</v>
      </c>
      <c r="F137" s="16">
        <f>+Tabla2[[#This Row],[Trenes Programados por Día Hábil]]+Tabla9[[#This Row],[Trenes Programados por Día Hábil]]+Tabla10[[#This Row],[Trenes Programados por Día Hábil]]</f>
        <v>0</v>
      </c>
      <c r="G137" s="33">
        <f>+(Tabla2[[#This Row],[Coches por Tren Día Hábil]]*Tabla2[[#This Row],[Trenes Corridos]]+Tabla9[[#This Row],[Coches por Tren Día Hábil]]*Tabla9[[#This Row],[Trenes Corridos]]+Tabla10[[#This Row],[Coches por Tren Día Hábil]]*Tabla10[[#This Row],[Trenes Corridos]])/SARM[[#This Row],[Trenes Corridos]]</f>
        <v>0</v>
      </c>
      <c r="H137" s="16">
        <f t="shared" si="10"/>
        <v>9047</v>
      </c>
      <c r="I137" s="16">
        <f t="shared" si="11"/>
        <v>465</v>
      </c>
      <c r="J137" s="16">
        <f t="shared" si="12"/>
        <v>8582</v>
      </c>
      <c r="K137" s="16">
        <f t="shared" si="13"/>
        <v>7522</v>
      </c>
      <c r="L137" s="16">
        <f t="shared" si="14"/>
        <v>1060</v>
      </c>
      <c r="M137" s="16"/>
      <c r="N137" s="17"/>
      <c r="O137" s="96">
        <v>2003</v>
      </c>
      <c r="P137" s="97" t="s">
        <v>47</v>
      </c>
      <c r="Q137" s="15">
        <f>Y137/V137</f>
        <v>0.82890157315884727</v>
      </c>
      <c r="R137" s="15">
        <f>Y137/X137</f>
        <v>0.87059511624506503</v>
      </c>
      <c r="S137" s="15">
        <f>X137/V137</f>
        <v>0.95210914659612977</v>
      </c>
      <c r="T137" s="16"/>
      <c r="U137" s="16"/>
      <c r="V137" s="16">
        <v>7183</v>
      </c>
      <c r="W137" s="16">
        <f>V137-X137</f>
        <v>344</v>
      </c>
      <c r="X137" s="16">
        <v>6839</v>
      </c>
      <c r="Y137" s="16">
        <v>5954</v>
      </c>
      <c r="Z137" s="16">
        <f>X137-Y137</f>
        <v>885</v>
      </c>
      <c r="AA137" s="16"/>
      <c r="AB137" s="17"/>
      <c r="AC137" s="96">
        <v>2003</v>
      </c>
      <c r="AD137" s="97" t="s">
        <v>47</v>
      </c>
      <c r="AE137" s="15">
        <f>AM137/AJ137</f>
        <v>0.84135667396061264</v>
      </c>
      <c r="AF137" s="15">
        <f>AM137/AL137</f>
        <v>0.89627039627039629</v>
      </c>
      <c r="AG137" s="15">
        <f>AL137/AJ137</f>
        <v>0.93873085339168494</v>
      </c>
      <c r="AH137" s="16"/>
      <c r="AI137" s="16"/>
      <c r="AJ137" s="16">
        <v>914</v>
      </c>
      <c r="AK137" s="16">
        <f>AJ137-AL137</f>
        <v>56</v>
      </c>
      <c r="AL137" s="16">
        <v>858</v>
      </c>
      <c r="AM137" s="16">
        <v>769</v>
      </c>
      <c r="AN137" s="16">
        <f>AL137-AM137</f>
        <v>89</v>
      </c>
      <c r="AO137" s="16"/>
      <c r="AP137" s="17"/>
      <c r="AQ137" s="96">
        <v>2003</v>
      </c>
      <c r="AR137" s="97" t="s">
        <v>47</v>
      </c>
      <c r="AS137" s="15">
        <f>BA137/AX137</f>
        <v>0.84105263157894739</v>
      </c>
      <c r="AT137" s="15">
        <f>BA137/AZ137</f>
        <v>0.9028248587570622</v>
      </c>
      <c r="AU137" s="15">
        <f>AZ137/AX137</f>
        <v>0.93157894736842106</v>
      </c>
      <c r="AV137" s="16"/>
      <c r="AW137" s="16"/>
      <c r="AX137" s="16">
        <v>950</v>
      </c>
      <c r="AY137" s="16">
        <f>AX137-AZ137</f>
        <v>65</v>
      </c>
      <c r="AZ137" s="16">
        <v>885</v>
      </c>
      <c r="BA137" s="16">
        <v>799</v>
      </c>
      <c r="BB137" s="16">
        <f>AZ137-BA137</f>
        <v>86</v>
      </c>
    </row>
    <row r="138" spans="1:54" s="18" customFormat="1" ht="15" customHeight="1">
      <c r="A138" s="94">
        <v>2004</v>
      </c>
      <c r="B138" s="95" t="s">
        <v>36</v>
      </c>
      <c r="C138" s="15">
        <f t="shared" ref="C138:C201" si="15">K138/H138</f>
        <v>0.87508028259473347</v>
      </c>
      <c r="D138" s="15">
        <f t="shared" ref="D138:D201" si="16">K138/J138</f>
        <v>0.90221829820108157</v>
      </c>
      <c r="E138" s="15">
        <f t="shared" ref="E138:E201" si="17">J138/H138</f>
        <v>0.96992078783986302</v>
      </c>
      <c r="F138" s="16">
        <f>+Tabla2[[#This Row],[Trenes Programados por Día Hábil]]+Tabla9[[#This Row],[Trenes Programados por Día Hábil]]+Tabla10[[#This Row],[Trenes Programados por Día Hábil]]</f>
        <v>0</v>
      </c>
      <c r="G138" s="33">
        <f>+(Tabla2[[#This Row],[Coches por Tren Día Hábil]]*Tabla2[[#This Row],[Trenes Corridos]]+Tabla9[[#This Row],[Coches por Tren Día Hábil]]*Tabla9[[#This Row],[Trenes Corridos]]+Tabla10[[#This Row],[Coches por Tren Día Hábil]]*Tabla10[[#This Row],[Trenes Corridos]])/SARM[[#This Row],[Trenes Corridos]]</f>
        <v>0</v>
      </c>
      <c r="H138" s="16">
        <f t="shared" si="10"/>
        <v>9342</v>
      </c>
      <c r="I138" s="16">
        <f t="shared" si="11"/>
        <v>281</v>
      </c>
      <c r="J138" s="16">
        <f t="shared" si="12"/>
        <v>9061</v>
      </c>
      <c r="K138" s="16">
        <f t="shared" si="13"/>
        <v>8175</v>
      </c>
      <c r="L138" s="16">
        <f t="shared" si="14"/>
        <v>886</v>
      </c>
      <c r="M138" s="16"/>
      <c r="N138" s="17"/>
      <c r="O138" s="94">
        <v>2004</v>
      </c>
      <c r="P138" s="95" t="s">
        <v>36</v>
      </c>
      <c r="Q138" s="15">
        <f t="shared" ref="Q138:Q197" si="18">Y138/V138</f>
        <v>0.89859271523178808</v>
      </c>
      <c r="R138" s="15">
        <f t="shared" ref="R138:R197" si="19">Y138/X138</f>
        <v>0.91952562473528165</v>
      </c>
      <c r="S138" s="15">
        <f t="shared" ref="S138:S197" si="20">X138/V138</f>
        <v>0.97723509933774833</v>
      </c>
      <c r="T138" s="16"/>
      <c r="U138" s="16"/>
      <c r="V138" s="16">
        <v>7248</v>
      </c>
      <c r="W138" s="16">
        <f t="shared" ref="W138:W149" si="21">V138-X138</f>
        <v>165</v>
      </c>
      <c r="X138" s="16">
        <v>7083</v>
      </c>
      <c r="Y138" s="16">
        <v>6513</v>
      </c>
      <c r="Z138" s="16">
        <f t="shared" ref="Z138:Z149" si="22">X138-Y138</f>
        <v>570</v>
      </c>
      <c r="AA138" s="16"/>
      <c r="AB138" s="17"/>
      <c r="AC138" s="94">
        <v>2004</v>
      </c>
      <c r="AD138" s="95" t="s">
        <v>36</v>
      </c>
      <c r="AE138" s="15">
        <f t="shared" ref="AE138:AE197" si="23">AM138/AJ138</f>
        <v>0.78131868131868132</v>
      </c>
      <c r="AF138" s="15">
        <f t="shared" ref="AF138:AF197" si="24">AM138/AL138</f>
        <v>0.83548766157461807</v>
      </c>
      <c r="AG138" s="15">
        <f t="shared" ref="AG138:AG197" si="25">AL138/AJ138</f>
        <v>0.93516483516483517</v>
      </c>
      <c r="AH138" s="16"/>
      <c r="AI138" s="16"/>
      <c r="AJ138" s="16">
        <v>910</v>
      </c>
      <c r="AK138" s="16">
        <f t="shared" ref="AK138:AK149" si="26">AJ138-AL138</f>
        <v>59</v>
      </c>
      <c r="AL138" s="16">
        <v>851</v>
      </c>
      <c r="AM138" s="16">
        <v>711</v>
      </c>
      <c r="AN138" s="16">
        <f t="shared" ref="AN138:AN149" si="27">AL138-AM138</f>
        <v>140</v>
      </c>
      <c r="AO138" s="16"/>
      <c r="AP138" s="17"/>
      <c r="AQ138" s="94">
        <v>2004</v>
      </c>
      <c r="AR138" s="95" t="s">
        <v>36</v>
      </c>
      <c r="AS138" s="15">
        <f t="shared" ref="AS138:AS197" si="28">BA138/AX138</f>
        <v>0.80320945945945943</v>
      </c>
      <c r="AT138" s="15">
        <f t="shared" ref="AT138:AT197" si="29">BA138/AZ138</f>
        <v>0.84383318544809227</v>
      </c>
      <c r="AU138" s="15">
        <f t="shared" ref="AU138:AU197" si="30">AZ138/AX138</f>
        <v>0.95185810810810811</v>
      </c>
      <c r="AV138" s="16"/>
      <c r="AW138" s="16"/>
      <c r="AX138" s="16">
        <v>1184</v>
      </c>
      <c r="AY138" s="16">
        <f t="shared" ref="AY138:AY149" si="31">AX138-AZ138</f>
        <v>57</v>
      </c>
      <c r="AZ138" s="16">
        <v>1127</v>
      </c>
      <c r="BA138" s="16">
        <v>951</v>
      </c>
      <c r="BB138" s="16">
        <f t="shared" ref="BB138:BB149" si="32">AZ138-BA138</f>
        <v>176</v>
      </c>
    </row>
    <row r="139" spans="1:54" s="18" customFormat="1" ht="15" customHeight="1">
      <c r="A139" s="96">
        <v>2004</v>
      </c>
      <c r="B139" s="97" t="s">
        <v>37</v>
      </c>
      <c r="C139" s="15">
        <f t="shared" si="15"/>
        <v>0.87054387568555758</v>
      </c>
      <c r="D139" s="15">
        <f t="shared" si="16"/>
        <v>0.89624750029408307</v>
      </c>
      <c r="E139" s="15">
        <f t="shared" si="17"/>
        <v>0.97132084095063986</v>
      </c>
      <c r="F139" s="16">
        <f>+Tabla2[[#This Row],[Trenes Programados por Día Hábil]]+Tabla9[[#This Row],[Trenes Programados por Día Hábil]]+Tabla10[[#This Row],[Trenes Programados por Día Hábil]]</f>
        <v>0</v>
      </c>
      <c r="G139" s="33">
        <f>+(Tabla2[[#This Row],[Coches por Tren Día Hábil]]*Tabla2[[#This Row],[Trenes Corridos]]+Tabla9[[#This Row],[Coches por Tren Día Hábil]]*Tabla9[[#This Row],[Trenes Corridos]]+Tabla10[[#This Row],[Coches por Tren Día Hábil]]*Tabla10[[#This Row],[Trenes Corridos]])/SARM[[#This Row],[Trenes Corridos]]</f>
        <v>0</v>
      </c>
      <c r="H139" s="16">
        <f t="shared" si="10"/>
        <v>8752</v>
      </c>
      <c r="I139" s="16">
        <f t="shared" si="11"/>
        <v>251</v>
      </c>
      <c r="J139" s="16">
        <f t="shared" si="12"/>
        <v>8501</v>
      </c>
      <c r="K139" s="16">
        <f t="shared" si="13"/>
        <v>7619</v>
      </c>
      <c r="L139" s="16">
        <f t="shared" si="14"/>
        <v>882</v>
      </c>
      <c r="M139" s="16"/>
      <c r="N139" s="17"/>
      <c r="O139" s="96">
        <v>2004</v>
      </c>
      <c r="P139" s="97" t="s">
        <v>37</v>
      </c>
      <c r="Q139" s="15">
        <f t="shared" si="18"/>
        <v>0.88584070796460179</v>
      </c>
      <c r="R139" s="15">
        <f t="shared" si="19"/>
        <v>0.90615570307785154</v>
      </c>
      <c r="S139" s="15">
        <f t="shared" si="20"/>
        <v>0.97758112094395277</v>
      </c>
      <c r="T139" s="16"/>
      <c r="U139" s="16"/>
      <c r="V139" s="16">
        <v>6780</v>
      </c>
      <c r="W139" s="16">
        <f t="shared" si="21"/>
        <v>152</v>
      </c>
      <c r="X139" s="16">
        <v>6628</v>
      </c>
      <c r="Y139" s="16">
        <v>6006</v>
      </c>
      <c r="Z139" s="16">
        <f t="shared" si="22"/>
        <v>622</v>
      </c>
      <c r="AA139" s="16"/>
      <c r="AB139" s="17"/>
      <c r="AC139" s="96">
        <v>2004</v>
      </c>
      <c r="AD139" s="97" t="s">
        <v>37</v>
      </c>
      <c r="AE139" s="15">
        <f t="shared" si="23"/>
        <v>0.80913348946135832</v>
      </c>
      <c r="AF139" s="15">
        <f t="shared" si="24"/>
        <v>0.84371184371184371</v>
      </c>
      <c r="AG139" s="15">
        <f t="shared" si="25"/>
        <v>0.95901639344262291</v>
      </c>
      <c r="AH139" s="16"/>
      <c r="AI139" s="16"/>
      <c r="AJ139" s="16">
        <v>854</v>
      </c>
      <c r="AK139" s="16">
        <f t="shared" si="26"/>
        <v>35</v>
      </c>
      <c r="AL139" s="16">
        <v>819</v>
      </c>
      <c r="AM139" s="16">
        <v>691</v>
      </c>
      <c r="AN139" s="16">
        <f t="shared" si="27"/>
        <v>128</v>
      </c>
      <c r="AO139" s="16"/>
      <c r="AP139" s="17"/>
      <c r="AQ139" s="96">
        <v>2004</v>
      </c>
      <c r="AR139" s="97" t="s">
        <v>37</v>
      </c>
      <c r="AS139" s="15">
        <f t="shared" si="28"/>
        <v>0.8246869409660107</v>
      </c>
      <c r="AT139" s="15">
        <f t="shared" si="29"/>
        <v>0.8747628083491461</v>
      </c>
      <c r="AU139" s="15">
        <f t="shared" si="30"/>
        <v>0.9427549194991055</v>
      </c>
      <c r="AV139" s="16"/>
      <c r="AW139" s="16"/>
      <c r="AX139" s="16">
        <v>1118</v>
      </c>
      <c r="AY139" s="16">
        <f t="shared" si="31"/>
        <v>64</v>
      </c>
      <c r="AZ139" s="16">
        <v>1054</v>
      </c>
      <c r="BA139" s="16">
        <v>922</v>
      </c>
      <c r="BB139" s="16">
        <f t="shared" si="32"/>
        <v>132</v>
      </c>
    </row>
    <row r="140" spans="1:54" s="18" customFormat="1" ht="15" customHeight="1">
      <c r="A140" s="94">
        <v>2004</v>
      </c>
      <c r="B140" s="95" t="s">
        <v>38</v>
      </c>
      <c r="C140" s="15">
        <f t="shared" si="15"/>
        <v>0.79007832898172325</v>
      </c>
      <c r="D140" s="15">
        <f t="shared" si="16"/>
        <v>0.82156820156385757</v>
      </c>
      <c r="E140" s="15">
        <f t="shared" si="17"/>
        <v>0.96167101827676238</v>
      </c>
      <c r="F140" s="16">
        <f>+Tabla2[[#This Row],[Trenes Programados por Día Hábil]]+Tabla9[[#This Row],[Trenes Programados por Día Hábil]]+Tabla10[[#This Row],[Trenes Programados por Día Hábil]]</f>
        <v>0</v>
      </c>
      <c r="G140" s="33">
        <f>+(Tabla2[[#This Row],[Coches por Tren Día Hábil]]*Tabla2[[#This Row],[Trenes Corridos]]+Tabla9[[#This Row],[Coches por Tren Día Hábil]]*Tabla9[[#This Row],[Trenes Corridos]]+Tabla10[[#This Row],[Coches por Tren Día Hábil]]*Tabla10[[#This Row],[Trenes Corridos]])/SARM[[#This Row],[Trenes Corridos]]</f>
        <v>0</v>
      </c>
      <c r="H140" s="16">
        <f t="shared" ref="H140:H169" si="33">+V140+AJ140+AX140</f>
        <v>9575</v>
      </c>
      <c r="I140" s="16">
        <f t="shared" ref="I140:I197" si="34">H140-J140</f>
        <v>367</v>
      </c>
      <c r="J140" s="16">
        <f t="shared" ref="J140:J203" si="35">+X140+AL140+AZ140</f>
        <v>9208</v>
      </c>
      <c r="K140" s="16">
        <f t="shared" ref="K140:K169" si="36">+Y140+AM140+BA140</f>
        <v>7565</v>
      </c>
      <c r="L140" s="16">
        <f t="shared" ref="L140:L197" si="37">J140-K140</f>
        <v>1643</v>
      </c>
      <c r="M140" s="16"/>
      <c r="N140" s="17"/>
      <c r="O140" s="94">
        <v>2004</v>
      </c>
      <c r="P140" s="95" t="s">
        <v>38</v>
      </c>
      <c r="Q140" s="15">
        <f t="shared" si="18"/>
        <v>0.79701171086283484</v>
      </c>
      <c r="R140" s="15">
        <f t="shared" si="19"/>
        <v>0.81940215887074452</v>
      </c>
      <c r="S140" s="15">
        <f t="shared" si="20"/>
        <v>0.97267465338538162</v>
      </c>
      <c r="T140" s="16"/>
      <c r="U140" s="16"/>
      <c r="V140" s="16">
        <v>7429</v>
      </c>
      <c r="W140" s="16">
        <f t="shared" si="21"/>
        <v>203</v>
      </c>
      <c r="X140" s="16">
        <v>7226</v>
      </c>
      <c r="Y140" s="16">
        <v>5921</v>
      </c>
      <c r="Z140" s="16">
        <f t="shared" si="22"/>
        <v>1305</v>
      </c>
      <c r="AA140" s="16"/>
      <c r="AB140" s="17"/>
      <c r="AC140" s="94">
        <v>2004</v>
      </c>
      <c r="AD140" s="95" t="s">
        <v>38</v>
      </c>
      <c r="AE140" s="15">
        <f t="shared" si="23"/>
        <v>0.71006564551422324</v>
      </c>
      <c r="AF140" s="15">
        <f t="shared" si="24"/>
        <v>0.78857837181044954</v>
      </c>
      <c r="AG140" s="15">
        <f t="shared" si="25"/>
        <v>0.90043763676148791</v>
      </c>
      <c r="AH140" s="16"/>
      <c r="AI140" s="16"/>
      <c r="AJ140" s="16">
        <v>914</v>
      </c>
      <c r="AK140" s="16">
        <f t="shared" si="26"/>
        <v>91</v>
      </c>
      <c r="AL140" s="16">
        <v>823</v>
      </c>
      <c r="AM140" s="16">
        <v>649</v>
      </c>
      <c r="AN140" s="16">
        <f t="shared" si="27"/>
        <v>174</v>
      </c>
      <c r="AO140" s="16"/>
      <c r="AP140" s="17"/>
      <c r="AQ140" s="94">
        <v>2004</v>
      </c>
      <c r="AR140" s="95" t="s">
        <v>38</v>
      </c>
      <c r="AS140" s="15">
        <f t="shared" si="28"/>
        <v>0.80762987012987009</v>
      </c>
      <c r="AT140" s="15">
        <f t="shared" si="29"/>
        <v>0.85849870578084553</v>
      </c>
      <c r="AU140" s="15">
        <f t="shared" si="30"/>
        <v>0.94074675324675328</v>
      </c>
      <c r="AV140" s="16"/>
      <c r="AW140" s="16"/>
      <c r="AX140" s="16">
        <v>1232</v>
      </c>
      <c r="AY140" s="16">
        <f t="shared" si="31"/>
        <v>73</v>
      </c>
      <c r="AZ140" s="16">
        <v>1159</v>
      </c>
      <c r="BA140" s="16">
        <v>995</v>
      </c>
      <c r="BB140" s="16">
        <f t="shared" si="32"/>
        <v>164</v>
      </c>
    </row>
    <row r="141" spans="1:54" s="18" customFormat="1" ht="15" customHeight="1">
      <c r="A141" s="96">
        <v>2004</v>
      </c>
      <c r="B141" s="97" t="s">
        <v>39</v>
      </c>
      <c r="C141" s="15">
        <f t="shared" si="15"/>
        <v>0.66510067114093963</v>
      </c>
      <c r="D141" s="15">
        <f t="shared" si="16"/>
        <v>0.70634354953670708</v>
      </c>
      <c r="E141" s="15">
        <f t="shared" si="17"/>
        <v>0.94161073825503361</v>
      </c>
      <c r="F141" s="16">
        <f>+Tabla2[[#This Row],[Trenes Programados por Día Hábil]]+Tabla9[[#This Row],[Trenes Programados por Día Hábil]]+Tabla10[[#This Row],[Trenes Programados por Día Hábil]]</f>
        <v>0</v>
      </c>
      <c r="G141" s="33">
        <f>+(Tabla2[[#This Row],[Coches por Tren Día Hábil]]*Tabla2[[#This Row],[Trenes Corridos]]+Tabla9[[#This Row],[Coches por Tren Día Hábil]]*Tabla9[[#This Row],[Trenes Corridos]]+Tabla10[[#This Row],[Coches por Tren Día Hábil]]*Tabla10[[#This Row],[Trenes Corridos]])/SARM[[#This Row],[Trenes Corridos]]</f>
        <v>0</v>
      </c>
      <c r="H141" s="16">
        <f t="shared" si="33"/>
        <v>8940</v>
      </c>
      <c r="I141" s="16">
        <f t="shared" si="34"/>
        <v>522</v>
      </c>
      <c r="J141" s="16">
        <f t="shared" si="35"/>
        <v>8418</v>
      </c>
      <c r="K141" s="16">
        <f t="shared" si="36"/>
        <v>5946</v>
      </c>
      <c r="L141" s="16">
        <f t="shared" si="37"/>
        <v>2472</v>
      </c>
      <c r="M141" s="16"/>
      <c r="N141" s="17"/>
      <c r="O141" s="96">
        <v>2004</v>
      </c>
      <c r="P141" s="97" t="s">
        <v>39</v>
      </c>
      <c r="Q141" s="15">
        <f t="shared" si="18"/>
        <v>0.64277456647398845</v>
      </c>
      <c r="R141" s="15">
        <f t="shared" si="19"/>
        <v>0.67970660146699269</v>
      </c>
      <c r="S141" s="15">
        <f t="shared" si="20"/>
        <v>0.94566473988439304</v>
      </c>
      <c r="T141" s="16"/>
      <c r="U141" s="16"/>
      <c r="V141" s="16">
        <v>6920</v>
      </c>
      <c r="W141" s="16">
        <f t="shared" si="21"/>
        <v>376</v>
      </c>
      <c r="X141" s="16">
        <v>6544</v>
      </c>
      <c r="Y141" s="16">
        <v>4448</v>
      </c>
      <c r="Z141" s="16">
        <f t="shared" si="22"/>
        <v>2096</v>
      </c>
      <c r="AA141" s="16"/>
      <c r="AB141" s="17"/>
      <c r="AC141" s="96">
        <v>2004</v>
      </c>
      <c r="AD141" s="97" t="s">
        <v>39</v>
      </c>
      <c r="AE141" s="15">
        <f t="shared" si="23"/>
        <v>0.77149321266968329</v>
      </c>
      <c r="AF141" s="15">
        <f t="shared" si="24"/>
        <v>0.83069427527405604</v>
      </c>
      <c r="AG141" s="15">
        <f t="shared" si="25"/>
        <v>0.92873303167420818</v>
      </c>
      <c r="AH141" s="16"/>
      <c r="AI141" s="16"/>
      <c r="AJ141" s="16">
        <v>884</v>
      </c>
      <c r="AK141" s="16">
        <f t="shared" si="26"/>
        <v>63</v>
      </c>
      <c r="AL141" s="16">
        <v>821</v>
      </c>
      <c r="AM141" s="16">
        <v>682</v>
      </c>
      <c r="AN141" s="16">
        <f t="shared" si="27"/>
        <v>139</v>
      </c>
      <c r="AO141" s="16"/>
      <c r="AP141" s="17"/>
      <c r="AQ141" s="96">
        <v>2004</v>
      </c>
      <c r="AR141" s="97" t="s">
        <v>39</v>
      </c>
      <c r="AS141" s="15">
        <f t="shared" si="28"/>
        <v>0.71830985915492962</v>
      </c>
      <c r="AT141" s="15">
        <f t="shared" si="29"/>
        <v>0.77492877492877488</v>
      </c>
      <c r="AU141" s="15">
        <f t="shared" si="30"/>
        <v>0.92693661971830987</v>
      </c>
      <c r="AV141" s="16"/>
      <c r="AW141" s="16"/>
      <c r="AX141" s="16">
        <v>1136</v>
      </c>
      <c r="AY141" s="16">
        <f t="shared" si="31"/>
        <v>83</v>
      </c>
      <c r="AZ141" s="16">
        <v>1053</v>
      </c>
      <c r="BA141" s="16">
        <v>816</v>
      </c>
      <c r="BB141" s="16">
        <f t="shared" si="32"/>
        <v>237</v>
      </c>
    </row>
    <row r="142" spans="1:54" s="18" customFormat="1" ht="15" customHeight="1">
      <c r="A142" s="94">
        <v>2004</v>
      </c>
      <c r="B142" s="95" t="s">
        <v>40</v>
      </c>
      <c r="C142" s="15">
        <f t="shared" si="15"/>
        <v>0.72699386503067487</v>
      </c>
      <c r="D142" s="15">
        <f t="shared" si="16"/>
        <v>0.76153316502180401</v>
      </c>
      <c r="E142" s="15">
        <f t="shared" si="17"/>
        <v>0.9546450482033304</v>
      </c>
      <c r="F142" s="16">
        <f>+Tabla2[[#This Row],[Trenes Programados por Día Hábil]]+Tabla9[[#This Row],[Trenes Programados por Día Hábil]]+Tabla10[[#This Row],[Trenes Programados por Día Hábil]]</f>
        <v>0</v>
      </c>
      <c r="G142" s="33">
        <f>+(Tabla2[[#This Row],[Coches por Tren Día Hábil]]*Tabla2[[#This Row],[Trenes Corridos]]+Tabla9[[#This Row],[Coches por Tren Día Hábil]]*Tabla9[[#This Row],[Trenes Corridos]]+Tabla10[[#This Row],[Coches por Tren Día Hábil]]*Tabla10[[#This Row],[Trenes Corridos]])/SARM[[#This Row],[Trenes Corridos]]</f>
        <v>0</v>
      </c>
      <c r="H142" s="16">
        <f t="shared" si="33"/>
        <v>9128</v>
      </c>
      <c r="I142" s="16">
        <f t="shared" si="34"/>
        <v>414</v>
      </c>
      <c r="J142" s="16">
        <f t="shared" si="35"/>
        <v>8714</v>
      </c>
      <c r="K142" s="16">
        <f t="shared" si="36"/>
        <v>6636</v>
      </c>
      <c r="L142" s="16">
        <f t="shared" si="37"/>
        <v>2078</v>
      </c>
      <c r="M142" s="16"/>
      <c r="N142" s="17"/>
      <c r="O142" s="94">
        <v>2004</v>
      </c>
      <c r="P142" s="95" t="s">
        <v>40</v>
      </c>
      <c r="Q142" s="15">
        <f t="shared" si="18"/>
        <v>0.72181303116147311</v>
      </c>
      <c r="R142" s="15">
        <f t="shared" si="19"/>
        <v>0.75473933649289104</v>
      </c>
      <c r="S142" s="15">
        <f t="shared" si="20"/>
        <v>0.95637393767705381</v>
      </c>
      <c r="T142" s="16"/>
      <c r="U142" s="16"/>
      <c r="V142" s="16">
        <v>7060</v>
      </c>
      <c r="W142" s="16">
        <f t="shared" si="21"/>
        <v>308</v>
      </c>
      <c r="X142" s="16">
        <v>6752</v>
      </c>
      <c r="Y142" s="16">
        <v>5096</v>
      </c>
      <c r="Z142" s="16">
        <f t="shared" si="22"/>
        <v>1656</v>
      </c>
      <c r="AA142" s="16"/>
      <c r="AB142" s="17"/>
      <c r="AC142" s="94">
        <v>2004</v>
      </c>
      <c r="AD142" s="95" t="s">
        <v>40</v>
      </c>
      <c r="AE142" s="15">
        <f t="shared" si="23"/>
        <v>0.74288840262582057</v>
      </c>
      <c r="AF142" s="15">
        <f t="shared" si="24"/>
        <v>0.79137529137529139</v>
      </c>
      <c r="AG142" s="15">
        <f t="shared" si="25"/>
        <v>0.93873085339168494</v>
      </c>
      <c r="AH142" s="16"/>
      <c r="AI142" s="16"/>
      <c r="AJ142" s="16">
        <v>914</v>
      </c>
      <c r="AK142" s="16">
        <f t="shared" si="26"/>
        <v>56</v>
      </c>
      <c r="AL142" s="16">
        <v>858</v>
      </c>
      <c r="AM142" s="16">
        <v>679</v>
      </c>
      <c r="AN142" s="16">
        <f t="shared" si="27"/>
        <v>179</v>
      </c>
      <c r="AO142" s="16"/>
      <c r="AP142" s="17"/>
      <c r="AQ142" s="94">
        <v>2004</v>
      </c>
      <c r="AR142" s="95" t="s">
        <v>40</v>
      </c>
      <c r="AS142" s="15">
        <f t="shared" si="28"/>
        <v>0.74610051993067594</v>
      </c>
      <c r="AT142" s="15">
        <f t="shared" si="29"/>
        <v>0.77989130434782605</v>
      </c>
      <c r="AU142" s="15">
        <f t="shared" si="30"/>
        <v>0.95667244367417681</v>
      </c>
      <c r="AV142" s="16"/>
      <c r="AW142" s="16"/>
      <c r="AX142" s="16">
        <v>1154</v>
      </c>
      <c r="AY142" s="16">
        <f t="shared" si="31"/>
        <v>50</v>
      </c>
      <c r="AZ142" s="16">
        <v>1104</v>
      </c>
      <c r="BA142" s="16">
        <v>861</v>
      </c>
      <c r="BB142" s="16">
        <f t="shared" si="32"/>
        <v>243</v>
      </c>
    </row>
    <row r="143" spans="1:54" s="18" customFormat="1" ht="15" customHeight="1">
      <c r="A143" s="96">
        <v>2004</v>
      </c>
      <c r="B143" s="97" t="s">
        <v>41</v>
      </c>
      <c r="C143" s="15">
        <f t="shared" si="15"/>
        <v>0.77705233864925616</v>
      </c>
      <c r="D143" s="15">
        <f t="shared" si="16"/>
        <v>0.80972563015837606</v>
      </c>
      <c r="E143" s="15">
        <f t="shared" si="17"/>
        <v>0.95964893503157445</v>
      </c>
      <c r="F143" s="16">
        <f>+Tabla2[[#This Row],[Trenes Programados por Día Hábil]]+Tabla9[[#This Row],[Trenes Programados por Día Hábil]]+Tabla10[[#This Row],[Trenes Programados por Día Hábil]]</f>
        <v>0</v>
      </c>
      <c r="G143" s="33">
        <f>+(Tabla2[[#This Row],[Coches por Tren Día Hábil]]*Tabla2[[#This Row],[Trenes Corridos]]+Tabla9[[#This Row],[Coches por Tren Día Hábil]]*Tabla9[[#This Row],[Trenes Corridos]]+Tabla10[[#This Row],[Coches por Tren Día Hábil]]*Tabla10[[#This Row],[Trenes Corridos]])/SARM[[#This Row],[Trenes Corridos]]</f>
        <v>0</v>
      </c>
      <c r="H143" s="16">
        <f t="shared" si="33"/>
        <v>9343</v>
      </c>
      <c r="I143" s="16">
        <f t="shared" si="34"/>
        <v>377</v>
      </c>
      <c r="J143" s="16">
        <f t="shared" si="35"/>
        <v>8966</v>
      </c>
      <c r="K143" s="16">
        <f t="shared" si="36"/>
        <v>7260</v>
      </c>
      <c r="L143" s="16">
        <f t="shared" si="37"/>
        <v>1706</v>
      </c>
      <c r="M143" s="16"/>
      <c r="N143" s="17"/>
      <c r="O143" s="96">
        <v>2004</v>
      </c>
      <c r="P143" s="97" t="s">
        <v>41</v>
      </c>
      <c r="Q143" s="15">
        <f t="shared" si="18"/>
        <v>0.77963546663012195</v>
      </c>
      <c r="R143" s="15">
        <f t="shared" si="19"/>
        <v>0.81178652968036524</v>
      </c>
      <c r="S143" s="15">
        <f t="shared" si="20"/>
        <v>0.96039468274633411</v>
      </c>
      <c r="T143" s="16"/>
      <c r="U143" s="16"/>
      <c r="V143" s="16">
        <v>7297</v>
      </c>
      <c r="W143" s="16">
        <f t="shared" si="21"/>
        <v>289</v>
      </c>
      <c r="X143" s="16">
        <v>7008</v>
      </c>
      <c r="Y143" s="16">
        <v>5689</v>
      </c>
      <c r="Z143" s="16">
        <f t="shared" si="22"/>
        <v>1319</v>
      </c>
      <c r="AA143" s="16"/>
      <c r="AB143" s="17"/>
      <c r="AC143" s="96">
        <v>2004</v>
      </c>
      <c r="AD143" s="97" t="s">
        <v>41</v>
      </c>
      <c r="AE143" s="15">
        <f t="shared" si="23"/>
        <v>0.76018099547511309</v>
      </c>
      <c r="AF143" s="15">
        <f t="shared" si="24"/>
        <v>0.79058823529411759</v>
      </c>
      <c r="AG143" s="15">
        <f t="shared" si="25"/>
        <v>0.96153846153846156</v>
      </c>
      <c r="AH143" s="16"/>
      <c r="AI143" s="16"/>
      <c r="AJ143" s="16">
        <v>884</v>
      </c>
      <c r="AK143" s="16">
        <f t="shared" si="26"/>
        <v>34</v>
      </c>
      <c r="AL143" s="16">
        <v>850</v>
      </c>
      <c r="AM143" s="16">
        <v>672</v>
      </c>
      <c r="AN143" s="16">
        <f t="shared" si="27"/>
        <v>178</v>
      </c>
      <c r="AO143" s="16"/>
      <c r="AP143" s="17"/>
      <c r="AQ143" s="96">
        <v>2004</v>
      </c>
      <c r="AR143" s="97" t="s">
        <v>41</v>
      </c>
      <c r="AS143" s="15">
        <f t="shared" si="28"/>
        <v>0.77366609294320132</v>
      </c>
      <c r="AT143" s="15">
        <f t="shared" si="29"/>
        <v>0.81137184115523464</v>
      </c>
      <c r="AU143" s="15">
        <f t="shared" si="30"/>
        <v>0.95352839931153188</v>
      </c>
      <c r="AV143" s="16"/>
      <c r="AW143" s="16"/>
      <c r="AX143" s="16">
        <v>1162</v>
      </c>
      <c r="AY143" s="16">
        <f t="shared" si="31"/>
        <v>54</v>
      </c>
      <c r="AZ143" s="16">
        <v>1108</v>
      </c>
      <c r="BA143" s="16">
        <v>899</v>
      </c>
      <c r="BB143" s="16">
        <f t="shared" si="32"/>
        <v>209</v>
      </c>
    </row>
    <row r="144" spans="1:54" s="18" customFormat="1" ht="15" customHeight="1">
      <c r="A144" s="94">
        <v>2004</v>
      </c>
      <c r="B144" s="95" t="s">
        <v>42</v>
      </c>
      <c r="C144" s="15">
        <f t="shared" si="15"/>
        <v>0.79514505624629961</v>
      </c>
      <c r="D144" s="15">
        <f t="shared" si="16"/>
        <v>0.8707585908796196</v>
      </c>
      <c r="E144" s="15">
        <f t="shared" si="17"/>
        <v>0.91316360765739091</v>
      </c>
      <c r="F144" s="16">
        <f>+Tabla2[[#This Row],[Trenes Programados por Día Hábil]]+Tabla9[[#This Row],[Trenes Programados por Día Hábil]]+Tabla10[[#This Row],[Trenes Programados por Día Hábil]]</f>
        <v>0</v>
      </c>
      <c r="G144" s="33">
        <f>+(Tabla2[[#This Row],[Coches por Tren Día Hábil]]*Tabla2[[#This Row],[Trenes Corridos]]+Tabla9[[#This Row],[Coches por Tren Día Hábil]]*Tabla9[[#This Row],[Trenes Corridos]]+Tabla10[[#This Row],[Coches por Tren Día Hábil]]*Tabla10[[#This Row],[Trenes Corridos]])/SARM[[#This Row],[Trenes Corridos]]</f>
        <v>0</v>
      </c>
      <c r="H144" s="16">
        <f t="shared" si="33"/>
        <v>10134</v>
      </c>
      <c r="I144" s="16">
        <f t="shared" si="34"/>
        <v>880</v>
      </c>
      <c r="J144" s="16">
        <f t="shared" si="35"/>
        <v>9254</v>
      </c>
      <c r="K144" s="16">
        <f t="shared" si="36"/>
        <v>8058</v>
      </c>
      <c r="L144" s="16">
        <f t="shared" si="37"/>
        <v>1196</v>
      </c>
      <c r="M144" s="16"/>
      <c r="N144" s="17"/>
      <c r="O144" s="94">
        <v>2004</v>
      </c>
      <c r="P144" s="95" t="s">
        <v>42</v>
      </c>
      <c r="Q144" s="15">
        <f t="shared" si="18"/>
        <v>0.81632398753894087</v>
      </c>
      <c r="R144" s="15">
        <f t="shared" si="19"/>
        <v>0.88622835497835495</v>
      </c>
      <c r="S144" s="15">
        <f t="shared" si="20"/>
        <v>0.92112149532710286</v>
      </c>
      <c r="T144" s="16"/>
      <c r="U144" s="16"/>
      <c r="V144" s="16">
        <v>8025</v>
      </c>
      <c r="W144" s="16">
        <f t="shared" si="21"/>
        <v>633</v>
      </c>
      <c r="X144" s="16">
        <v>7392</v>
      </c>
      <c r="Y144" s="16">
        <v>6551</v>
      </c>
      <c r="Z144" s="16">
        <f t="shared" si="22"/>
        <v>841</v>
      </c>
      <c r="AA144" s="16"/>
      <c r="AB144" s="17"/>
      <c r="AC144" s="94">
        <v>2004</v>
      </c>
      <c r="AD144" s="95" t="s">
        <v>42</v>
      </c>
      <c r="AE144" s="15">
        <f t="shared" si="23"/>
        <v>0.74285714285714288</v>
      </c>
      <c r="AF144" s="15">
        <f t="shared" si="24"/>
        <v>0.84818067754077797</v>
      </c>
      <c r="AG144" s="15">
        <f t="shared" si="25"/>
        <v>0.87582417582417582</v>
      </c>
      <c r="AH144" s="16"/>
      <c r="AI144" s="16"/>
      <c r="AJ144" s="16">
        <v>910</v>
      </c>
      <c r="AK144" s="16">
        <f t="shared" si="26"/>
        <v>113</v>
      </c>
      <c r="AL144" s="16">
        <v>797</v>
      </c>
      <c r="AM144" s="16">
        <v>676</v>
      </c>
      <c r="AN144" s="16">
        <f t="shared" si="27"/>
        <v>121</v>
      </c>
      <c r="AO144" s="16"/>
      <c r="AP144" s="17"/>
      <c r="AQ144" s="94">
        <v>2004</v>
      </c>
      <c r="AR144" s="95" t="s">
        <v>42</v>
      </c>
      <c r="AS144" s="15">
        <f t="shared" si="28"/>
        <v>0.69307756463719772</v>
      </c>
      <c r="AT144" s="15">
        <f t="shared" si="29"/>
        <v>0.78028169014084503</v>
      </c>
      <c r="AU144" s="15">
        <f t="shared" si="30"/>
        <v>0.88824020016680572</v>
      </c>
      <c r="AV144" s="16"/>
      <c r="AW144" s="16"/>
      <c r="AX144" s="16">
        <v>1199</v>
      </c>
      <c r="AY144" s="16">
        <f t="shared" si="31"/>
        <v>134</v>
      </c>
      <c r="AZ144" s="16">
        <v>1065</v>
      </c>
      <c r="BA144" s="16">
        <v>831</v>
      </c>
      <c r="BB144" s="16">
        <f t="shared" si="32"/>
        <v>234</v>
      </c>
    </row>
    <row r="145" spans="1:54" s="18" customFormat="1" ht="15" customHeight="1">
      <c r="A145" s="96">
        <v>2004</v>
      </c>
      <c r="B145" s="97" t="s">
        <v>43</v>
      </c>
      <c r="C145" s="15">
        <f t="shared" si="15"/>
        <v>0.78692277070063699</v>
      </c>
      <c r="D145" s="15">
        <f t="shared" si="16"/>
        <v>0.8232170744403956</v>
      </c>
      <c r="E145" s="15">
        <f t="shared" si="17"/>
        <v>0.9559116242038217</v>
      </c>
      <c r="F145" s="16">
        <f>+Tabla2[[#This Row],[Trenes Programados por Día Hábil]]+Tabla9[[#This Row],[Trenes Programados por Día Hábil]]+Tabla10[[#This Row],[Trenes Programados por Día Hábil]]</f>
        <v>0</v>
      </c>
      <c r="G145" s="33">
        <f>+(Tabla2[[#This Row],[Coches por Tren Día Hábil]]*Tabla2[[#This Row],[Trenes Corridos]]+Tabla9[[#This Row],[Coches por Tren Día Hábil]]*Tabla9[[#This Row],[Trenes Corridos]]+Tabla10[[#This Row],[Coches por Tren Día Hábil]]*Tabla10[[#This Row],[Trenes Corridos]])/SARM[[#This Row],[Trenes Corridos]]</f>
        <v>0</v>
      </c>
      <c r="H145" s="16">
        <f t="shared" si="33"/>
        <v>10048</v>
      </c>
      <c r="I145" s="16">
        <f t="shared" si="34"/>
        <v>443</v>
      </c>
      <c r="J145" s="16">
        <f t="shared" si="35"/>
        <v>9605</v>
      </c>
      <c r="K145" s="16">
        <f t="shared" si="36"/>
        <v>7907</v>
      </c>
      <c r="L145" s="16">
        <f t="shared" si="37"/>
        <v>1698</v>
      </c>
      <c r="M145" s="16"/>
      <c r="N145" s="17"/>
      <c r="O145" s="96">
        <v>2004</v>
      </c>
      <c r="P145" s="97" t="s">
        <v>43</v>
      </c>
      <c r="Q145" s="15">
        <f t="shared" si="18"/>
        <v>0.8321599195373397</v>
      </c>
      <c r="R145" s="15">
        <f t="shared" si="19"/>
        <v>0.85749449410545409</v>
      </c>
      <c r="S145" s="15">
        <f t="shared" si="20"/>
        <v>0.97045511692230324</v>
      </c>
      <c r="T145" s="16"/>
      <c r="U145" s="16"/>
      <c r="V145" s="16">
        <v>7954</v>
      </c>
      <c r="W145" s="16">
        <f t="shared" si="21"/>
        <v>235</v>
      </c>
      <c r="X145" s="16">
        <v>7719</v>
      </c>
      <c r="Y145" s="16">
        <v>6619</v>
      </c>
      <c r="Z145" s="16">
        <f t="shared" si="22"/>
        <v>1100</v>
      </c>
      <c r="AA145" s="16"/>
      <c r="AB145" s="17"/>
      <c r="AC145" s="96">
        <v>2004</v>
      </c>
      <c r="AD145" s="97" t="s">
        <v>43</v>
      </c>
      <c r="AE145" s="15">
        <f t="shared" si="23"/>
        <v>0.5481400437636762</v>
      </c>
      <c r="AF145" s="15">
        <f t="shared" si="24"/>
        <v>0.63903061224489799</v>
      </c>
      <c r="AG145" s="15">
        <f t="shared" si="25"/>
        <v>0.85776805251641142</v>
      </c>
      <c r="AH145" s="16"/>
      <c r="AI145" s="16"/>
      <c r="AJ145" s="16">
        <v>914</v>
      </c>
      <c r="AK145" s="16">
        <f t="shared" si="26"/>
        <v>130</v>
      </c>
      <c r="AL145" s="16">
        <v>784</v>
      </c>
      <c r="AM145" s="16">
        <v>501</v>
      </c>
      <c r="AN145" s="16">
        <f t="shared" si="27"/>
        <v>283</v>
      </c>
      <c r="AO145" s="16"/>
      <c r="AP145" s="17"/>
      <c r="AQ145" s="96">
        <v>2004</v>
      </c>
      <c r="AR145" s="97" t="s">
        <v>43</v>
      </c>
      <c r="AS145" s="15">
        <f t="shared" si="28"/>
        <v>0.66694915254237286</v>
      </c>
      <c r="AT145" s="15">
        <f t="shared" si="29"/>
        <v>0.71415607985480944</v>
      </c>
      <c r="AU145" s="15">
        <f t="shared" si="30"/>
        <v>0.93389830508474581</v>
      </c>
      <c r="AV145" s="16"/>
      <c r="AW145" s="16"/>
      <c r="AX145" s="16">
        <v>1180</v>
      </c>
      <c r="AY145" s="16">
        <f t="shared" si="31"/>
        <v>78</v>
      </c>
      <c r="AZ145" s="16">
        <v>1102</v>
      </c>
      <c r="BA145" s="16">
        <v>787</v>
      </c>
      <c r="BB145" s="16">
        <f t="shared" si="32"/>
        <v>315</v>
      </c>
    </row>
    <row r="146" spans="1:54" s="18" customFormat="1" ht="15" customHeight="1">
      <c r="A146" s="94">
        <v>2004</v>
      </c>
      <c r="B146" s="95" t="s">
        <v>44</v>
      </c>
      <c r="C146" s="15">
        <f t="shared" si="15"/>
        <v>0.79243027888446216</v>
      </c>
      <c r="D146" s="15">
        <f t="shared" si="16"/>
        <v>0.85732758620689653</v>
      </c>
      <c r="E146" s="15">
        <f t="shared" si="17"/>
        <v>0.92430278884462147</v>
      </c>
      <c r="F146" s="16">
        <f>+Tabla2[[#This Row],[Trenes Programados por Día Hábil]]+Tabla9[[#This Row],[Trenes Programados por Día Hábil]]+Tabla10[[#This Row],[Trenes Programados por Día Hábil]]</f>
        <v>0</v>
      </c>
      <c r="G146" s="33">
        <f>+(Tabla2[[#This Row],[Coches por Tren Día Hábil]]*Tabla2[[#This Row],[Trenes Corridos]]+Tabla9[[#This Row],[Coches por Tren Día Hábil]]*Tabla9[[#This Row],[Trenes Corridos]]+Tabla10[[#This Row],[Coches por Tren Día Hábil]]*Tabla10[[#This Row],[Trenes Corridos]])/SARM[[#This Row],[Trenes Corridos]]</f>
        <v>0</v>
      </c>
      <c r="H146" s="16">
        <f t="shared" si="33"/>
        <v>10040</v>
      </c>
      <c r="I146" s="16">
        <f t="shared" si="34"/>
        <v>760</v>
      </c>
      <c r="J146" s="16">
        <f t="shared" si="35"/>
        <v>9280</v>
      </c>
      <c r="K146" s="16">
        <f t="shared" si="36"/>
        <v>7956</v>
      </c>
      <c r="L146" s="16">
        <f t="shared" si="37"/>
        <v>1324</v>
      </c>
      <c r="M146" s="16"/>
      <c r="N146" s="17"/>
      <c r="O146" s="94">
        <v>2004</v>
      </c>
      <c r="P146" s="95" t="s">
        <v>44</v>
      </c>
      <c r="Q146" s="15">
        <f t="shared" si="18"/>
        <v>0.84513052208835338</v>
      </c>
      <c r="R146" s="15">
        <f t="shared" si="19"/>
        <v>0.89834578441835644</v>
      </c>
      <c r="S146" s="15">
        <f t="shared" si="20"/>
        <v>0.94076305220883538</v>
      </c>
      <c r="T146" s="16"/>
      <c r="U146" s="16"/>
      <c r="V146" s="16">
        <v>7968</v>
      </c>
      <c r="W146" s="16">
        <f t="shared" si="21"/>
        <v>472</v>
      </c>
      <c r="X146" s="16">
        <v>7496</v>
      </c>
      <c r="Y146" s="16">
        <v>6734</v>
      </c>
      <c r="Z146" s="16">
        <f t="shared" si="22"/>
        <v>762</v>
      </c>
      <c r="AA146" s="16"/>
      <c r="AB146" s="17"/>
      <c r="AC146" s="94">
        <v>2004</v>
      </c>
      <c r="AD146" s="95" t="s">
        <v>44</v>
      </c>
      <c r="AE146" s="15">
        <f t="shared" si="23"/>
        <v>0.58144796380090502</v>
      </c>
      <c r="AF146" s="15">
        <f t="shared" si="24"/>
        <v>0.6826029216467463</v>
      </c>
      <c r="AG146" s="15">
        <f t="shared" si="25"/>
        <v>0.85180995475113119</v>
      </c>
      <c r="AH146" s="16"/>
      <c r="AI146" s="16"/>
      <c r="AJ146" s="16">
        <v>884</v>
      </c>
      <c r="AK146" s="16">
        <f t="shared" si="26"/>
        <v>131</v>
      </c>
      <c r="AL146" s="16">
        <v>753</v>
      </c>
      <c r="AM146" s="16">
        <v>514</v>
      </c>
      <c r="AN146" s="16">
        <f t="shared" si="27"/>
        <v>239</v>
      </c>
      <c r="AO146" s="16"/>
      <c r="AP146" s="17"/>
      <c r="AQ146" s="94">
        <v>2004</v>
      </c>
      <c r="AR146" s="95" t="s">
        <v>44</v>
      </c>
      <c r="AS146" s="15">
        <f t="shared" si="28"/>
        <v>0.59595959595959591</v>
      </c>
      <c r="AT146" s="15">
        <f t="shared" si="29"/>
        <v>0.68671193016488841</v>
      </c>
      <c r="AU146" s="15">
        <f t="shared" si="30"/>
        <v>0.86784511784511786</v>
      </c>
      <c r="AV146" s="16"/>
      <c r="AW146" s="16"/>
      <c r="AX146" s="16">
        <v>1188</v>
      </c>
      <c r="AY146" s="16">
        <f t="shared" si="31"/>
        <v>157</v>
      </c>
      <c r="AZ146" s="16">
        <v>1031</v>
      </c>
      <c r="BA146" s="16">
        <v>708</v>
      </c>
      <c r="BB146" s="16">
        <f t="shared" si="32"/>
        <v>323</v>
      </c>
    </row>
    <row r="147" spans="1:54" s="18" customFormat="1" ht="15" customHeight="1">
      <c r="A147" s="96">
        <v>2004</v>
      </c>
      <c r="B147" s="97" t="s">
        <v>45</v>
      </c>
      <c r="C147" s="15">
        <f t="shared" si="15"/>
        <v>0.83013561024610749</v>
      </c>
      <c r="D147" s="15">
        <f t="shared" si="16"/>
        <v>0.86488749345892202</v>
      </c>
      <c r="E147" s="15">
        <f t="shared" si="17"/>
        <v>0.95981918633852337</v>
      </c>
      <c r="F147" s="16">
        <f>+Tabla2[[#This Row],[Trenes Programados por Día Hábil]]+Tabla9[[#This Row],[Trenes Programados por Día Hábil]]+Tabla10[[#This Row],[Trenes Programados por Día Hábil]]</f>
        <v>0</v>
      </c>
      <c r="G147" s="33">
        <f>+(Tabla2[[#This Row],[Coches por Tren Día Hábil]]*Tabla2[[#This Row],[Trenes Corridos]]+Tabla9[[#This Row],[Coches por Tren Día Hábil]]*Tabla9[[#This Row],[Trenes Corridos]]+Tabla10[[#This Row],[Coches por Tren Día Hábil]]*Tabla10[[#This Row],[Trenes Corridos]])/SARM[[#This Row],[Trenes Corridos]]</f>
        <v>0</v>
      </c>
      <c r="H147" s="16">
        <f t="shared" si="33"/>
        <v>9955</v>
      </c>
      <c r="I147" s="16">
        <f t="shared" si="34"/>
        <v>400</v>
      </c>
      <c r="J147" s="16">
        <f t="shared" si="35"/>
        <v>9555</v>
      </c>
      <c r="K147" s="16">
        <f t="shared" si="36"/>
        <v>8264</v>
      </c>
      <c r="L147" s="16">
        <f t="shared" si="37"/>
        <v>1291</v>
      </c>
      <c r="M147" s="16"/>
      <c r="N147" s="17"/>
      <c r="O147" s="96">
        <v>2004</v>
      </c>
      <c r="P147" s="97" t="s">
        <v>45</v>
      </c>
      <c r="Q147" s="15">
        <f t="shared" si="18"/>
        <v>0.85365853658536583</v>
      </c>
      <c r="R147" s="15">
        <f t="shared" si="19"/>
        <v>0.88351301603996846</v>
      </c>
      <c r="S147" s="15">
        <f t="shared" si="20"/>
        <v>0.96620934959349591</v>
      </c>
      <c r="T147" s="16"/>
      <c r="U147" s="16"/>
      <c r="V147" s="16">
        <v>7872</v>
      </c>
      <c r="W147" s="16">
        <f t="shared" si="21"/>
        <v>266</v>
      </c>
      <c r="X147" s="16">
        <v>7606</v>
      </c>
      <c r="Y147" s="16">
        <v>6720</v>
      </c>
      <c r="Z147" s="16">
        <f t="shared" si="22"/>
        <v>886</v>
      </c>
      <c r="AA147" s="16"/>
      <c r="AB147" s="17"/>
      <c r="AC147" s="96">
        <v>2004</v>
      </c>
      <c r="AD147" s="97" t="s">
        <v>45</v>
      </c>
      <c r="AE147" s="15">
        <f t="shared" si="23"/>
        <v>0.76813186813186818</v>
      </c>
      <c r="AF147" s="15">
        <f t="shared" si="24"/>
        <v>0.81373690337601867</v>
      </c>
      <c r="AG147" s="15">
        <f t="shared" si="25"/>
        <v>0.94395604395604393</v>
      </c>
      <c r="AH147" s="16"/>
      <c r="AI147" s="16"/>
      <c r="AJ147" s="16">
        <v>910</v>
      </c>
      <c r="AK147" s="16">
        <f t="shared" si="26"/>
        <v>51</v>
      </c>
      <c r="AL147" s="16">
        <v>859</v>
      </c>
      <c r="AM147" s="16">
        <v>699</v>
      </c>
      <c r="AN147" s="16">
        <f t="shared" si="27"/>
        <v>160</v>
      </c>
      <c r="AO147" s="16"/>
      <c r="AP147" s="17"/>
      <c r="AQ147" s="96">
        <v>2004</v>
      </c>
      <c r="AR147" s="97" t="s">
        <v>45</v>
      </c>
      <c r="AS147" s="15">
        <f t="shared" si="28"/>
        <v>0.72037510656436488</v>
      </c>
      <c r="AT147" s="15">
        <f t="shared" si="29"/>
        <v>0.77522935779816515</v>
      </c>
      <c r="AU147" s="15">
        <f t="shared" si="30"/>
        <v>0.9292412617220801</v>
      </c>
      <c r="AV147" s="16"/>
      <c r="AW147" s="16"/>
      <c r="AX147" s="16">
        <v>1173</v>
      </c>
      <c r="AY147" s="16">
        <f t="shared" si="31"/>
        <v>83</v>
      </c>
      <c r="AZ147" s="16">
        <v>1090</v>
      </c>
      <c r="BA147" s="16">
        <v>845</v>
      </c>
      <c r="BB147" s="16">
        <f t="shared" si="32"/>
        <v>245</v>
      </c>
    </row>
    <row r="148" spans="1:54" s="18" customFormat="1" ht="15" customHeight="1">
      <c r="A148" s="94">
        <v>2004</v>
      </c>
      <c r="B148" s="95" t="s">
        <v>46</v>
      </c>
      <c r="C148" s="15">
        <f t="shared" si="15"/>
        <v>0.71259214983064356</v>
      </c>
      <c r="D148" s="15">
        <f t="shared" si="16"/>
        <v>0.77539295392953933</v>
      </c>
      <c r="E148" s="15">
        <f t="shared" si="17"/>
        <v>0.91900777047220561</v>
      </c>
      <c r="F148" s="16">
        <f>+Tabla2[[#This Row],[Trenes Programados por Día Hábil]]+Tabla9[[#This Row],[Trenes Programados por Día Hábil]]+Tabla10[[#This Row],[Trenes Programados por Día Hábil]]</f>
        <v>0</v>
      </c>
      <c r="G148" s="33">
        <f>+(Tabla2[[#This Row],[Coches por Tren Día Hábil]]*Tabla2[[#This Row],[Trenes Corridos]]+Tabla9[[#This Row],[Coches por Tren Día Hábil]]*Tabla9[[#This Row],[Trenes Corridos]]+Tabla10[[#This Row],[Coches por Tren Día Hábil]]*Tabla10[[#This Row],[Trenes Corridos]])/SARM[[#This Row],[Trenes Corridos]]</f>
        <v>0</v>
      </c>
      <c r="H148" s="16">
        <f t="shared" si="33"/>
        <v>10038</v>
      </c>
      <c r="I148" s="16">
        <f t="shared" si="34"/>
        <v>813</v>
      </c>
      <c r="J148" s="16">
        <f t="shared" si="35"/>
        <v>9225</v>
      </c>
      <c r="K148" s="16">
        <f t="shared" si="36"/>
        <v>7153</v>
      </c>
      <c r="L148" s="16">
        <f t="shared" si="37"/>
        <v>2072</v>
      </c>
      <c r="M148" s="16"/>
      <c r="N148" s="17"/>
      <c r="O148" s="94">
        <v>2004</v>
      </c>
      <c r="P148" s="95" t="s">
        <v>46</v>
      </c>
      <c r="Q148" s="15">
        <f t="shared" si="18"/>
        <v>0.76437358774792874</v>
      </c>
      <c r="R148" s="15">
        <f t="shared" si="19"/>
        <v>0.81219154328398024</v>
      </c>
      <c r="S148" s="15">
        <f t="shared" si="20"/>
        <v>0.9411247803163445</v>
      </c>
      <c r="T148" s="16"/>
      <c r="U148" s="16"/>
      <c r="V148" s="16">
        <v>7966</v>
      </c>
      <c r="W148" s="16">
        <f t="shared" si="21"/>
        <v>469</v>
      </c>
      <c r="X148" s="16">
        <v>7497</v>
      </c>
      <c r="Y148" s="16">
        <v>6089</v>
      </c>
      <c r="Z148" s="16">
        <f t="shared" si="22"/>
        <v>1408</v>
      </c>
      <c r="AA148" s="16"/>
      <c r="AB148" s="17"/>
      <c r="AC148" s="94">
        <v>2004</v>
      </c>
      <c r="AD148" s="95" t="s">
        <v>46</v>
      </c>
      <c r="AE148" s="15">
        <f t="shared" si="23"/>
        <v>0.55882352941176472</v>
      </c>
      <c r="AF148" s="15">
        <f t="shared" si="24"/>
        <v>0.65866666666666662</v>
      </c>
      <c r="AG148" s="15">
        <f t="shared" si="25"/>
        <v>0.84841628959276016</v>
      </c>
      <c r="AH148" s="16"/>
      <c r="AI148" s="16"/>
      <c r="AJ148" s="16">
        <v>884</v>
      </c>
      <c r="AK148" s="16">
        <f t="shared" si="26"/>
        <v>134</v>
      </c>
      <c r="AL148" s="16">
        <v>750</v>
      </c>
      <c r="AM148" s="16">
        <v>494</v>
      </c>
      <c r="AN148" s="16">
        <f t="shared" si="27"/>
        <v>256</v>
      </c>
      <c r="AO148" s="16"/>
      <c r="AP148" s="17"/>
      <c r="AQ148" s="94">
        <v>2004</v>
      </c>
      <c r="AR148" s="95" t="s">
        <v>46</v>
      </c>
      <c r="AS148" s="15">
        <f t="shared" si="28"/>
        <v>0.47979797979797978</v>
      </c>
      <c r="AT148" s="15">
        <f t="shared" si="29"/>
        <v>0.58282208588957052</v>
      </c>
      <c r="AU148" s="15">
        <f t="shared" si="30"/>
        <v>0.8232323232323232</v>
      </c>
      <c r="AV148" s="16"/>
      <c r="AW148" s="16"/>
      <c r="AX148" s="16">
        <v>1188</v>
      </c>
      <c r="AY148" s="16">
        <f t="shared" si="31"/>
        <v>210</v>
      </c>
      <c r="AZ148" s="16">
        <v>978</v>
      </c>
      <c r="BA148" s="16">
        <v>570</v>
      </c>
      <c r="BB148" s="16">
        <f t="shared" si="32"/>
        <v>408</v>
      </c>
    </row>
    <row r="149" spans="1:54" s="18" customFormat="1" ht="15" customHeight="1">
      <c r="A149" s="96">
        <v>2004</v>
      </c>
      <c r="B149" s="97" t="s">
        <v>47</v>
      </c>
      <c r="C149" s="15">
        <f t="shared" si="15"/>
        <v>0.796984330343944</v>
      </c>
      <c r="D149" s="15">
        <f t="shared" si="16"/>
        <v>0.84046975680731661</v>
      </c>
      <c r="E149" s="15">
        <f t="shared" si="17"/>
        <v>0.94826056962649063</v>
      </c>
      <c r="F149" s="16">
        <f>+Tabla2[[#This Row],[Trenes Programados por Día Hábil]]+Tabla9[[#This Row],[Trenes Programados por Día Hábil]]+Tabla10[[#This Row],[Trenes Programados por Día Hábil]]</f>
        <v>0</v>
      </c>
      <c r="G149" s="33">
        <f>+(Tabla2[[#This Row],[Coches por Tren Día Hábil]]*Tabla2[[#This Row],[Trenes Corridos]]+Tabla9[[#This Row],[Coches por Tren Día Hábil]]*Tabla9[[#This Row],[Trenes Corridos]]+Tabla10[[#This Row],[Coches por Tren Día Hábil]]*Tabla10[[#This Row],[Trenes Corridos]])/SARM[[#This Row],[Trenes Corridos]]</f>
        <v>0</v>
      </c>
      <c r="H149" s="16">
        <f t="shared" si="33"/>
        <v>10147</v>
      </c>
      <c r="I149" s="16">
        <f t="shared" si="34"/>
        <v>525</v>
      </c>
      <c r="J149" s="16">
        <f t="shared" si="35"/>
        <v>9622</v>
      </c>
      <c r="K149" s="16">
        <f t="shared" si="36"/>
        <v>8087</v>
      </c>
      <c r="L149" s="16">
        <f t="shared" si="37"/>
        <v>1535</v>
      </c>
      <c r="M149" s="16"/>
      <c r="N149" s="25"/>
      <c r="O149" s="96">
        <v>2004</v>
      </c>
      <c r="P149" s="97" t="s">
        <v>47</v>
      </c>
      <c r="Q149" s="15">
        <f t="shared" si="18"/>
        <v>0.82118875901517041</v>
      </c>
      <c r="R149" s="15">
        <f t="shared" si="19"/>
        <v>0.8634937238493724</v>
      </c>
      <c r="S149" s="15">
        <f t="shared" si="20"/>
        <v>0.95100721213628447</v>
      </c>
      <c r="T149" s="16"/>
      <c r="U149" s="16"/>
      <c r="V149" s="16">
        <v>8042</v>
      </c>
      <c r="W149" s="16">
        <f t="shared" si="21"/>
        <v>394</v>
      </c>
      <c r="X149" s="16">
        <v>7648</v>
      </c>
      <c r="Y149" s="16">
        <v>6604</v>
      </c>
      <c r="Z149" s="16">
        <f t="shared" si="22"/>
        <v>1044</v>
      </c>
      <c r="AA149" s="16"/>
      <c r="AB149" s="17"/>
      <c r="AC149" s="96">
        <v>2004</v>
      </c>
      <c r="AD149" s="97" t="s">
        <v>47</v>
      </c>
      <c r="AE149" s="15">
        <f t="shared" si="23"/>
        <v>0.7570806100217865</v>
      </c>
      <c r="AF149" s="15">
        <f t="shared" si="24"/>
        <v>0.79976985040276183</v>
      </c>
      <c r="AG149" s="15">
        <f t="shared" si="25"/>
        <v>0.94662309368191722</v>
      </c>
      <c r="AH149" s="16"/>
      <c r="AI149" s="16"/>
      <c r="AJ149" s="16">
        <v>918</v>
      </c>
      <c r="AK149" s="16">
        <f t="shared" si="26"/>
        <v>49</v>
      </c>
      <c r="AL149" s="16">
        <v>869</v>
      </c>
      <c r="AM149" s="16">
        <v>695</v>
      </c>
      <c r="AN149" s="16">
        <f t="shared" si="27"/>
        <v>174</v>
      </c>
      <c r="AO149" s="16"/>
      <c r="AP149" s="17"/>
      <c r="AQ149" s="96">
        <v>2004</v>
      </c>
      <c r="AR149" s="97" t="s">
        <v>47</v>
      </c>
      <c r="AS149" s="15">
        <f t="shared" si="28"/>
        <v>0.66385846672283066</v>
      </c>
      <c r="AT149" s="15">
        <f t="shared" si="29"/>
        <v>0.71312217194570138</v>
      </c>
      <c r="AU149" s="15">
        <f t="shared" si="30"/>
        <v>0.93091828138163435</v>
      </c>
      <c r="AV149" s="16"/>
      <c r="AW149" s="16"/>
      <c r="AX149" s="16">
        <v>1187</v>
      </c>
      <c r="AY149" s="16">
        <f t="shared" si="31"/>
        <v>82</v>
      </c>
      <c r="AZ149" s="16">
        <v>1105</v>
      </c>
      <c r="BA149" s="16">
        <v>788</v>
      </c>
      <c r="BB149" s="16">
        <f t="shared" si="32"/>
        <v>317</v>
      </c>
    </row>
    <row r="150" spans="1:54" s="18" customFormat="1" ht="15" customHeight="1">
      <c r="A150" s="94">
        <v>2005</v>
      </c>
      <c r="B150" s="95" t="s">
        <v>36</v>
      </c>
      <c r="C150" s="15">
        <f t="shared" si="15"/>
        <v>0.82901554404145072</v>
      </c>
      <c r="D150" s="15">
        <f t="shared" si="16"/>
        <v>0.87625065824117954</v>
      </c>
      <c r="E150" s="15">
        <f t="shared" si="17"/>
        <v>0.94609406137903551</v>
      </c>
      <c r="F150" s="16">
        <f>+Tabla2[[#This Row],[Trenes Programados por Día Hábil]]+Tabla9[[#This Row],[Trenes Programados por Día Hábil]]+Tabla10[[#This Row],[Trenes Programados por Día Hábil]]</f>
        <v>0</v>
      </c>
      <c r="G150" s="33">
        <f>+(Tabla2[[#This Row],[Coches por Tren Día Hábil]]*Tabla2[[#This Row],[Trenes Corridos]]+Tabla9[[#This Row],[Coches por Tren Día Hábil]]*Tabla9[[#This Row],[Trenes Corridos]]+Tabla10[[#This Row],[Coches por Tren Día Hábil]]*Tabla10[[#This Row],[Trenes Corridos]])/SARM[[#This Row],[Trenes Corridos]]</f>
        <v>0</v>
      </c>
      <c r="H150" s="16">
        <f t="shared" si="33"/>
        <v>10036</v>
      </c>
      <c r="I150" s="16">
        <f t="shared" si="34"/>
        <v>541</v>
      </c>
      <c r="J150" s="16">
        <f t="shared" si="35"/>
        <v>9495</v>
      </c>
      <c r="K150" s="16">
        <f t="shared" si="36"/>
        <v>8320</v>
      </c>
      <c r="L150" s="16">
        <f t="shared" si="37"/>
        <v>1175</v>
      </c>
      <c r="M150" s="16"/>
      <c r="N150" s="17"/>
      <c r="O150" s="94">
        <v>2005</v>
      </c>
      <c r="P150" s="95" t="s">
        <v>36</v>
      </c>
      <c r="Q150" s="15">
        <f t="shared" si="18"/>
        <v>0.87987912364643661</v>
      </c>
      <c r="R150" s="15">
        <f t="shared" si="19"/>
        <v>0.91442030881968073</v>
      </c>
      <c r="S150" s="15">
        <f t="shared" si="20"/>
        <v>0.96222613951145808</v>
      </c>
      <c r="T150" s="16"/>
      <c r="U150" s="16"/>
      <c r="V150" s="16">
        <v>7942</v>
      </c>
      <c r="W150" s="16">
        <f t="shared" ref="W150:W161" si="38">V150-X150</f>
        <v>300</v>
      </c>
      <c r="X150" s="16">
        <v>7642</v>
      </c>
      <c r="Y150" s="16">
        <v>6988</v>
      </c>
      <c r="Z150" s="16">
        <f t="shared" ref="Z150:Z161" si="39">X150-Y150</f>
        <v>654</v>
      </c>
      <c r="AA150" s="16"/>
      <c r="AB150" s="17"/>
      <c r="AC150" s="94">
        <v>2005</v>
      </c>
      <c r="AD150" s="95" t="s">
        <v>36</v>
      </c>
      <c r="AE150" s="15">
        <f t="shared" si="23"/>
        <v>0.67067833698030632</v>
      </c>
      <c r="AF150" s="15">
        <f t="shared" si="24"/>
        <v>0.76243781094527363</v>
      </c>
      <c r="AG150" s="15">
        <f t="shared" si="25"/>
        <v>0.87964989059080967</v>
      </c>
      <c r="AH150" s="16"/>
      <c r="AI150" s="16"/>
      <c r="AJ150" s="16">
        <v>914</v>
      </c>
      <c r="AK150" s="16">
        <f t="shared" ref="AK150:AK161" si="40">AJ150-AL150</f>
        <v>110</v>
      </c>
      <c r="AL150" s="16">
        <v>804</v>
      </c>
      <c r="AM150" s="16">
        <v>613</v>
      </c>
      <c r="AN150" s="16">
        <f t="shared" ref="AN150:AN161" si="41">AL150-AM150</f>
        <v>191</v>
      </c>
      <c r="AO150" s="16"/>
      <c r="AP150" s="17"/>
      <c r="AQ150" s="94">
        <v>2005</v>
      </c>
      <c r="AR150" s="95" t="s">
        <v>36</v>
      </c>
      <c r="AS150" s="15">
        <f t="shared" si="28"/>
        <v>0.60932203389830508</v>
      </c>
      <c r="AT150" s="15">
        <f t="shared" si="29"/>
        <v>0.68541468064823641</v>
      </c>
      <c r="AU150" s="15">
        <f t="shared" si="30"/>
        <v>0.88898305084745766</v>
      </c>
      <c r="AV150" s="16"/>
      <c r="AW150" s="16"/>
      <c r="AX150" s="16">
        <v>1180</v>
      </c>
      <c r="AY150" s="16">
        <f t="shared" ref="AY150:AY161" si="42">AX150-AZ150</f>
        <v>131</v>
      </c>
      <c r="AZ150" s="16">
        <v>1049</v>
      </c>
      <c r="BA150" s="16">
        <v>719</v>
      </c>
      <c r="BB150" s="16">
        <f t="shared" ref="BB150:BB161" si="43">AZ150-BA150</f>
        <v>330</v>
      </c>
    </row>
    <row r="151" spans="1:54" s="18" customFormat="1" ht="15" customHeight="1">
      <c r="A151" s="96">
        <v>2005</v>
      </c>
      <c r="B151" s="97" t="s">
        <v>37</v>
      </c>
      <c r="C151" s="15">
        <f t="shared" si="15"/>
        <v>0.80437123169681313</v>
      </c>
      <c r="D151" s="15">
        <f t="shared" si="16"/>
        <v>0.85402377686328301</v>
      </c>
      <c r="E151" s="15">
        <f t="shared" si="17"/>
        <v>0.94186046511627908</v>
      </c>
      <c r="F151" s="16">
        <f>+Tabla2[[#This Row],[Trenes Programados por Día Hábil]]+Tabla9[[#This Row],[Trenes Programados por Día Hábil]]+Tabla10[[#This Row],[Trenes Programados por Día Hábil]]</f>
        <v>0</v>
      </c>
      <c r="G151" s="33">
        <f>+(Tabla2[[#This Row],[Coches por Tren Día Hábil]]*Tabla2[[#This Row],[Trenes Corridos]]+Tabla9[[#This Row],[Coches por Tren Día Hábil]]*Tabla9[[#This Row],[Trenes Corridos]]+Tabla10[[#This Row],[Coches por Tren Día Hábil]]*Tabla10[[#This Row],[Trenes Corridos]])/SARM[[#This Row],[Trenes Corridos]]</f>
        <v>0</v>
      </c>
      <c r="H151" s="16">
        <f t="shared" si="33"/>
        <v>9288</v>
      </c>
      <c r="I151" s="16">
        <f t="shared" si="34"/>
        <v>540</v>
      </c>
      <c r="J151" s="16">
        <f t="shared" si="35"/>
        <v>8748</v>
      </c>
      <c r="K151" s="16">
        <f t="shared" si="36"/>
        <v>7471</v>
      </c>
      <c r="L151" s="16">
        <f t="shared" si="37"/>
        <v>1277</v>
      </c>
      <c r="M151" s="16"/>
      <c r="N151" s="17"/>
      <c r="O151" s="96">
        <v>2005</v>
      </c>
      <c r="P151" s="97" t="s">
        <v>37</v>
      </c>
      <c r="Q151" s="15">
        <f t="shared" si="18"/>
        <v>0.84831613253666482</v>
      </c>
      <c r="R151" s="15">
        <f t="shared" si="19"/>
        <v>0.88761011651037225</v>
      </c>
      <c r="S151" s="15">
        <f t="shared" si="20"/>
        <v>0.9557305812058664</v>
      </c>
      <c r="T151" s="16"/>
      <c r="U151" s="16"/>
      <c r="V151" s="16">
        <v>7364</v>
      </c>
      <c r="W151" s="16">
        <f t="shared" si="38"/>
        <v>326</v>
      </c>
      <c r="X151" s="16">
        <v>7038</v>
      </c>
      <c r="Y151" s="16">
        <v>6247</v>
      </c>
      <c r="Z151" s="16">
        <f t="shared" si="39"/>
        <v>791</v>
      </c>
      <c r="AA151" s="16"/>
      <c r="AB151" s="17"/>
      <c r="AC151" s="96">
        <v>2005</v>
      </c>
      <c r="AD151" s="97" t="s">
        <v>37</v>
      </c>
      <c r="AE151" s="15">
        <f t="shared" si="23"/>
        <v>0.7560679611650486</v>
      </c>
      <c r="AF151" s="15">
        <f t="shared" si="24"/>
        <v>0.83066666666666666</v>
      </c>
      <c r="AG151" s="15">
        <f t="shared" si="25"/>
        <v>0.91019417475728159</v>
      </c>
      <c r="AH151" s="16"/>
      <c r="AI151" s="16"/>
      <c r="AJ151" s="16">
        <v>824</v>
      </c>
      <c r="AK151" s="16">
        <f t="shared" si="40"/>
        <v>74</v>
      </c>
      <c r="AL151" s="16">
        <v>750</v>
      </c>
      <c r="AM151" s="16">
        <v>623</v>
      </c>
      <c r="AN151" s="16">
        <f t="shared" si="41"/>
        <v>127</v>
      </c>
      <c r="AO151" s="16"/>
      <c r="AP151" s="17"/>
      <c r="AQ151" s="96">
        <v>2005</v>
      </c>
      <c r="AR151" s="97" t="s">
        <v>37</v>
      </c>
      <c r="AS151" s="15">
        <f t="shared" si="28"/>
        <v>0.54636363636363638</v>
      </c>
      <c r="AT151" s="15">
        <f t="shared" si="29"/>
        <v>0.62604166666666672</v>
      </c>
      <c r="AU151" s="15">
        <f t="shared" si="30"/>
        <v>0.87272727272727268</v>
      </c>
      <c r="AV151" s="16"/>
      <c r="AW151" s="16"/>
      <c r="AX151" s="16">
        <v>1100</v>
      </c>
      <c r="AY151" s="16">
        <f t="shared" si="42"/>
        <v>140</v>
      </c>
      <c r="AZ151" s="16">
        <v>960</v>
      </c>
      <c r="BA151" s="16">
        <v>601</v>
      </c>
      <c r="BB151" s="16">
        <f t="shared" si="43"/>
        <v>359</v>
      </c>
    </row>
    <row r="152" spans="1:54" s="18" customFormat="1" ht="15" customHeight="1">
      <c r="A152" s="94">
        <v>2005</v>
      </c>
      <c r="B152" s="95" t="s">
        <v>38</v>
      </c>
      <c r="C152" s="15">
        <f t="shared" si="15"/>
        <v>0.74708932589766164</v>
      </c>
      <c r="D152" s="15">
        <f t="shared" si="16"/>
        <v>0.79203402136707812</v>
      </c>
      <c r="E152" s="15">
        <f t="shared" si="17"/>
        <v>0.94325408472752181</v>
      </c>
      <c r="F152" s="16">
        <f>+Tabla2[[#This Row],[Trenes Programados por Día Hábil]]+Tabla9[[#This Row],[Trenes Programados por Día Hábil]]+Tabla10[[#This Row],[Trenes Programados por Día Hábil]]</f>
        <v>0</v>
      </c>
      <c r="G152" s="33">
        <f>+(Tabla2[[#This Row],[Coches por Tren Día Hábil]]*Tabla2[[#This Row],[Trenes Corridos]]+Tabla9[[#This Row],[Coches por Tren Día Hábil]]*Tabla9[[#This Row],[Trenes Corridos]]+Tabla10[[#This Row],[Coches por Tren Día Hábil]]*Tabla10[[#This Row],[Trenes Corridos]])/SARM[[#This Row],[Trenes Corridos]]</f>
        <v>0</v>
      </c>
      <c r="H152" s="16">
        <f t="shared" si="33"/>
        <v>10221</v>
      </c>
      <c r="I152" s="16">
        <f t="shared" si="34"/>
        <v>580</v>
      </c>
      <c r="J152" s="16">
        <f t="shared" si="35"/>
        <v>9641</v>
      </c>
      <c r="K152" s="16">
        <f t="shared" si="36"/>
        <v>7636</v>
      </c>
      <c r="L152" s="16">
        <f t="shared" si="37"/>
        <v>2005</v>
      </c>
      <c r="M152" s="16"/>
      <c r="N152" s="17"/>
      <c r="O152" s="94">
        <v>2005</v>
      </c>
      <c r="P152" s="95" t="s">
        <v>38</v>
      </c>
      <c r="Q152" s="15">
        <f t="shared" si="18"/>
        <v>0.8075546228860635</v>
      </c>
      <c r="R152" s="15">
        <f t="shared" si="19"/>
        <v>0.84087403598971722</v>
      </c>
      <c r="S152" s="15">
        <f t="shared" si="20"/>
        <v>0.96037526231329462</v>
      </c>
      <c r="T152" s="16"/>
      <c r="U152" s="16"/>
      <c r="V152" s="16">
        <v>8101</v>
      </c>
      <c r="W152" s="16">
        <f t="shared" si="38"/>
        <v>321</v>
      </c>
      <c r="X152" s="16">
        <v>7780</v>
      </c>
      <c r="Y152" s="16">
        <v>6542</v>
      </c>
      <c r="Z152" s="16">
        <f t="shared" si="39"/>
        <v>1238</v>
      </c>
      <c r="AA152" s="16"/>
      <c r="AB152" s="17"/>
      <c r="AC152" s="94">
        <v>2005</v>
      </c>
      <c r="AD152" s="95" t="s">
        <v>38</v>
      </c>
      <c r="AE152" s="15">
        <f t="shared" si="23"/>
        <v>0.62910284463894972</v>
      </c>
      <c r="AF152" s="15">
        <f t="shared" si="24"/>
        <v>0.72784810126582278</v>
      </c>
      <c r="AG152" s="15">
        <f t="shared" si="25"/>
        <v>0.8643326039387309</v>
      </c>
      <c r="AH152" s="16"/>
      <c r="AI152" s="16"/>
      <c r="AJ152" s="16">
        <v>914</v>
      </c>
      <c r="AK152" s="16">
        <f t="shared" si="40"/>
        <v>124</v>
      </c>
      <c r="AL152" s="16">
        <v>790</v>
      </c>
      <c r="AM152" s="16">
        <v>575</v>
      </c>
      <c r="AN152" s="16">
        <f t="shared" si="41"/>
        <v>215</v>
      </c>
      <c r="AO152" s="16"/>
      <c r="AP152" s="17"/>
      <c r="AQ152" s="94">
        <v>2005</v>
      </c>
      <c r="AR152" s="95" t="s">
        <v>38</v>
      </c>
      <c r="AS152" s="15">
        <f t="shared" si="28"/>
        <v>0.43034825870646765</v>
      </c>
      <c r="AT152" s="15">
        <f t="shared" si="29"/>
        <v>0.484593837535014</v>
      </c>
      <c r="AU152" s="15">
        <f t="shared" si="30"/>
        <v>0.88805970149253732</v>
      </c>
      <c r="AV152" s="16"/>
      <c r="AW152" s="16"/>
      <c r="AX152" s="16">
        <v>1206</v>
      </c>
      <c r="AY152" s="16">
        <f t="shared" si="42"/>
        <v>135</v>
      </c>
      <c r="AZ152" s="16">
        <v>1071</v>
      </c>
      <c r="BA152" s="16">
        <v>519</v>
      </c>
      <c r="BB152" s="16">
        <f t="shared" si="43"/>
        <v>552</v>
      </c>
    </row>
    <row r="153" spans="1:54" s="18" customFormat="1" ht="15" customHeight="1">
      <c r="A153" s="96">
        <v>2005</v>
      </c>
      <c r="B153" s="97" t="s">
        <v>39</v>
      </c>
      <c r="C153" s="15">
        <f t="shared" si="15"/>
        <v>0.72565742714996451</v>
      </c>
      <c r="D153" s="15">
        <f t="shared" si="16"/>
        <v>0.7804957955662335</v>
      </c>
      <c r="E153" s="15">
        <f t="shared" si="17"/>
        <v>0.92973905980302574</v>
      </c>
      <c r="F153" s="16">
        <f>+Tabla2[[#This Row],[Trenes Programados por Día Hábil]]+Tabla9[[#This Row],[Trenes Programados por Día Hábil]]+Tabla10[[#This Row],[Trenes Programados por Día Hábil]]</f>
        <v>0</v>
      </c>
      <c r="G153" s="33">
        <f>+(Tabla2[[#This Row],[Coches por Tren Día Hábil]]*Tabla2[[#This Row],[Trenes Corridos]]+Tabla9[[#This Row],[Coches por Tren Día Hábil]]*Tabla9[[#This Row],[Trenes Corridos]]+Tabla10[[#This Row],[Coches por Tren Día Hábil]]*Tabla10[[#This Row],[Trenes Corridos]])/SARM[[#This Row],[Trenes Corridos]]</f>
        <v>0</v>
      </c>
      <c r="H153" s="16">
        <f t="shared" si="33"/>
        <v>9849</v>
      </c>
      <c r="I153" s="16">
        <f t="shared" si="34"/>
        <v>692</v>
      </c>
      <c r="J153" s="16">
        <f t="shared" si="35"/>
        <v>9157</v>
      </c>
      <c r="K153" s="16">
        <f t="shared" si="36"/>
        <v>7147</v>
      </c>
      <c r="L153" s="16">
        <f t="shared" si="37"/>
        <v>2010</v>
      </c>
      <c r="M153" s="16"/>
      <c r="N153" s="17"/>
      <c r="O153" s="96">
        <v>2005</v>
      </c>
      <c r="P153" s="97" t="s">
        <v>39</v>
      </c>
      <c r="Q153" s="15">
        <f t="shared" si="18"/>
        <v>0.76906318082788672</v>
      </c>
      <c r="R153" s="15">
        <f t="shared" si="19"/>
        <v>0.80930546190155095</v>
      </c>
      <c r="S153" s="15">
        <f t="shared" si="20"/>
        <v>0.95027553505062157</v>
      </c>
      <c r="T153" s="16"/>
      <c r="U153" s="16"/>
      <c r="V153" s="16">
        <v>7803</v>
      </c>
      <c r="W153" s="16">
        <f t="shared" si="38"/>
        <v>388</v>
      </c>
      <c r="X153" s="16">
        <v>7415</v>
      </c>
      <c r="Y153" s="16">
        <v>6001</v>
      </c>
      <c r="Z153" s="16">
        <f t="shared" si="39"/>
        <v>1414</v>
      </c>
      <c r="AA153" s="16"/>
      <c r="AB153" s="17"/>
      <c r="AC153" s="96">
        <v>2005</v>
      </c>
      <c r="AD153" s="97" t="s">
        <v>39</v>
      </c>
      <c r="AE153" s="15">
        <f t="shared" si="23"/>
        <v>0.47963800904977377</v>
      </c>
      <c r="AF153" s="15">
        <f t="shared" si="24"/>
        <v>0.58563535911602205</v>
      </c>
      <c r="AG153" s="15">
        <f t="shared" si="25"/>
        <v>0.8190045248868778</v>
      </c>
      <c r="AH153" s="16"/>
      <c r="AI153" s="16"/>
      <c r="AJ153" s="16">
        <v>884</v>
      </c>
      <c r="AK153" s="16">
        <f t="shared" si="40"/>
        <v>160</v>
      </c>
      <c r="AL153" s="16">
        <v>724</v>
      </c>
      <c r="AM153" s="16">
        <v>424</v>
      </c>
      <c r="AN153" s="16">
        <f t="shared" si="41"/>
        <v>300</v>
      </c>
      <c r="AO153" s="16"/>
      <c r="AP153" s="17"/>
      <c r="AQ153" s="96">
        <v>2005</v>
      </c>
      <c r="AR153" s="97" t="s">
        <v>39</v>
      </c>
      <c r="AS153" s="15">
        <f t="shared" si="28"/>
        <v>0.62134251290877796</v>
      </c>
      <c r="AT153" s="15">
        <f t="shared" si="29"/>
        <v>0.70923379174852652</v>
      </c>
      <c r="AU153" s="15">
        <f t="shared" si="30"/>
        <v>0.87607573149741824</v>
      </c>
      <c r="AV153" s="16"/>
      <c r="AW153" s="16"/>
      <c r="AX153" s="16">
        <v>1162</v>
      </c>
      <c r="AY153" s="16">
        <f t="shared" si="42"/>
        <v>144</v>
      </c>
      <c r="AZ153" s="16">
        <v>1018</v>
      </c>
      <c r="BA153" s="16">
        <v>722</v>
      </c>
      <c r="BB153" s="16">
        <f t="shared" si="43"/>
        <v>296</v>
      </c>
    </row>
    <row r="154" spans="1:54" s="18" customFormat="1" ht="15" customHeight="1">
      <c r="A154" s="94">
        <v>2005</v>
      </c>
      <c r="B154" s="95" t="s">
        <v>40</v>
      </c>
      <c r="C154" s="15">
        <f t="shared" si="15"/>
        <v>0.72389398166600238</v>
      </c>
      <c r="D154" s="15">
        <f t="shared" si="16"/>
        <v>0.77320136228182201</v>
      </c>
      <c r="E154" s="15">
        <f t="shared" si="17"/>
        <v>0.93622957353527303</v>
      </c>
      <c r="F154" s="16">
        <f>+Tabla2[[#This Row],[Trenes Programados por Día Hábil]]+Tabla9[[#This Row],[Trenes Programados por Día Hábil]]+Tabla10[[#This Row],[Trenes Programados por Día Hábil]]</f>
        <v>0</v>
      </c>
      <c r="G154" s="33">
        <f>+(Tabla2[[#This Row],[Coches por Tren Día Hábil]]*Tabla2[[#This Row],[Trenes Corridos]]+Tabla9[[#This Row],[Coches por Tren Día Hábil]]*Tabla9[[#This Row],[Trenes Corridos]]+Tabla10[[#This Row],[Coches por Tren Día Hábil]]*Tabla10[[#This Row],[Trenes Corridos]])/SARM[[#This Row],[Trenes Corridos]]</f>
        <v>0</v>
      </c>
      <c r="H154" s="16">
        <f t="shared" si="33"/>
        <v>10036</v>
      </c>
      <c r="I154" s="16">
        <f t="shared" si="34"/>
        <v>640</v>
      </c>
      <c r="J154" s="16">
        <f t="shared" si="35"/>
        <v>9396</v>
      </c>
      <c r="K154" s="16">
        <f t="shared" si="36"/>
        <v>7265</v>
      </c>
      <c r="L154" s="16">
        <f t="shared" si="37"/>
        <v>2131</v>
      </c>
      <c r="M154" s="16"/>
      <c r="N154" s="17"/>
      <c r="O154" s="94">
        <v>2005</v>
      </c>
      <c r="P154" s="95" t="s">
        <v>40</v>
      </c>
      <c r="Q154" s="15">
        <f t="shared" si="18"/>
        <v>0.75472173256106778</v>
      </c>
      <c r="R154" s="15">
        <f t="shared" si="19"/>
        <v>0.79643901142705287</v>
      </c>
      <c r="S154" s="15">
        <f t="shared" si="20"/>
        <v>0.94762024678922185</v>
      </c>
      <c r="T154" s="16"/>
      <c r="U154" s="16"/>
      <c r="V154" s="16">
        <v>7942</v>
      </c>
      <c r="W154" s="16">
        <f t="shared" si="38"/>
        <v>416</v>
      </c>
      <c r="X154" s="16">
        <v>7526</v>
      </c>
      <c r="Y154" s="16">
        <v>5994</v>
      </c>
      <c r="Z154" s="16">
        <f t="shared" si="39"/>
        <v>1532</v>
      </c>
      <c r="AA154" s="16"/>
      <c r="AB154" s="17"/>
      <c r="AC154" s="94">
        <v>2005</v>
      </c>
      <c r="AD154" s="95" t="s">
        <v>40</v>
      </c>
      <c r="AE154" s="15">
        <f t="shared" si="23"/>
        <v>0.53829321663019691</v>
      </c>
      <c r="AF154" s="15">
        <f t="shared" si="24"/>
        <v>0.62278481012658227</v>
      </c>
      <c r="AG154" s="15">
        <f t="shared" si="25"/>
        <v>0.8643326039387309</v>
      </c>
      <c r="AH154" s="16"/>
      <c r="AI154" s="16"/>
      <c r="AJ154" s="16">
        <v>914</v>
      </c>
      <c r="AK154" s="16">
        <f t="shared" si="40"/>
        <v>124</v>
      </c>
      <c r="AL154" s="16">
        <v>790</v>
      </c>
      <c r="AM154" s="16">
        <v>492</v>
      </c>
      <c r="AN154" s="16">
        <f t="shared" si="41"/>
        <v>298</v>
      </c>
      <c r="AO154" s="16"/>
      <c r="AP154" s="17"/>
      <c r="AQ154" s="94">
        <v>2005</v>
      </c>
      <c r="AR154" s="95" t="s">
        <v>40</v>
      </c>
      <c r="AS154" s="15">
        <f t="shared" si="28"/>
        <v>0.6601694915254237</v>
      </c>
      <c r="AT154" s="15">
        <f t="shared" si="29"/>
        <v>0.72129629629629632</v>
      </c>
      <c r="AU154" s="15">
        <f t="shared" si="30"/>
        <v>0.9152542372881356</v>
      </c>
      <c r="AV154" s="16"/>
      <c r="AW154" s="16"/>
      <c r="AX154" s="16">
        <v>1180</v>
      </c>
      <c r="AY154" s="16">
        <f t="shared" si="42"/>
        <v>100</v>
      </c>
      <c r="AZ154" s="16">
        <v>1080</v>
      </c>
      <c r="BA154" s="16">
        <v>779</v>
      </c>
      <c r="BB154" s="16">
        <f t="shared" si="43"/>
        <v>301</v>
      </c>
    </row>
    <row r="155" spans="1:54" s="18" customFormat="1" ht="15" customHeight="1">
      <c r="A155" s="96">
        <v>2005</v>
      </c>
      <c r="B155" s="97" t="s">
        <v>41</v>
      </c>
      <c r="C155" s="15">
        <f t="shared" si="15"/>
        <v>0.72946908943254496</v>
      </c>
      <c r="D155" s="15">
        <f t="shared" si="16"/>
        <v>0.76626146299850717</v>
      </c>
      <c r="E155" s="15">
        <f t="shared" si="17"/>
        <v>0.95198457009440662</v>
      </c>
      <c r="F155" s="16">
        <f>+Tabla2[[#This Row],[Trenes Programados por Día Hábil]]+Tabla9[[#This Row],[Trenes Programados por Día Hábil]]+Tabla10[[#This Row],[Trenes Programados por Día Hábil]]</f>
        <v>0</v>
      </c>
      <c r="G155" s="33">
        <f>+(Tabla2[[#This Row],[Coches por Tren Día Hábil]]*Tabla2[[#This Row],[Trenes Corridos]]+Tabla9[[#This Row],[Coches por Tren Día Hábil]]*Tabla9[[#This Row],[Trenes Corridos]]+Tabla10[[#This Row],[Coches por Tren Día Hábil]]*Tabla10[[#This Row],[Trenes Corridos]])/SARM[[#This Row],[Trenes Corridos]]</f>
        <v>0</v>
      </c>
      <c r="H155" s="16">
        <f t="shared" si="33"/>
        <v>9851</v>
      </c>
      <c r="I155" s="16">
        <f t="shared" si="34"/>
        <v>473</v>
      </c>
      <c r="J155" s="16">
        <f t="shared" si="35"/>
        <v>9378</v>
      </c>
      <c r="K155" s="16">
        <f t="shared" si="36"/>
        <v>7186</v>
      </c>
      <c r="L155" s="16">
        <f t="shared" si="37"/>
        <v>2192</v>
      </c>
      <c r="M155" s="16"/>
      <c r="N155" s="17"/>
      <c r="O155" s="96">
        <v>2005</v>
      </c>
      <c r="P155" s="97" t="s">
        <v>41</v>
      </c>
      <c r="Q155" s="15">
        <f t="shared" si="18"/>
        <v>0.73440102498398463</v>
      </c>
      <c r="R155" s="15">
        <f t="shared" si="19"/>
        <v>0.76375749500333112</v>
      </c>
      <c r="S155" s="15">
        <f t="shared" si="20"/>
        <v>0.96156310057655348</v>
      </c>
      <c r="T155" s="16"/>
      <c r="U155" s="16"/>
      <c r="V155" s="16">
        <v>7805</v>
      </c>
      <c r="W155" s="16">
        <f t="shared" si="38"/>
        <v>300</v>
      </c>
      <c r="X155" s="16">
        <v>7505</v>
      </c>
      <c r="Y155" s="16">
        <v>5732</v>
      </c>
      <c r="Z155" s="16">
        <f t="shared" si="39"/>
        <v>1773</v>
      </c>
      <c r="AA155" s="16"/>
      <c r="AB155" s="17"/>
      <c r="AC155" s="96">
        <v>2005</v>
      </c>
      <c r="AD155" s="97" t="s">
        <v>41</v>
      </c>
      <c r="AE155" s="15">
        <f t="shared" si="23"/>
        <v>0.6029411764705882</v>
      </c>
      <c r="AF155" s="15">
        <f t="shared" si="24"/>
        <v>0.69764397905759157</v>
      </c>
      <c r="AG155" s="15">
        <f t="shared" si="25"/>
        <v>0.86425339366515841</v>
      </c>
      <c r="AH155" s="16"/>
      <c r="AI155" s="16"/>
      <c r="AJ155" s="16">
        <v>884</v>
      </c>
      <c r="AK155" s="16">
        <f t="shared" si="40"/>
        <v>120</v>
      </c>
      <c r="AL155" s="16">
        <v>764</v>
      </c>
      <c r="AM155" s="16">
        <v>533</v>
      </c>
      <c r="AN155" s="16">
        <f t="shared" si="41"/>
        <v>231</v>
      </c>
      <c r="AO155" s="16"/>
      <c r="AP155" s="17"/>
      <c r="AQ155" s="96">
        <v>2005</v>
      </c>
      <c r="AR155" s="97" t="s">
        <v>41</v>
      </c>
      <c r="AS155" s="15">
        <f t="shared" si="28"/>
        <v>0.79259896729776247</v>
      </c>
      <c r="AT155" s="15">
        <f t="shared" si="29"/>
        <v>0.83047790802524801</v>
      </c>
      <c r="AU155" s="15">
        <f t="shared" si="30"/>
        <v>0.95438898450946641</v>
      </c>
      <c r="AV155" s="16"/>
      <c r="AW155" s="16"/>
      <c r="AX155" s="16">
        <v>1162</v>
      </c>
      <c r="AY155" s="16">
        <f t="shared" si="42"/>
        <v>53</v>
      </c>
      <c r="AZ155" s="16">
        <v>1109</v>
      </c>
      <c r="BA155" s="16">
        <v>921</v>
      </c>
      <c r="BB155" s="16">
        <f t="shared" si="43"/>
        <v>188</v>
      </c>
    </row>
    <row r="156" spans="1:54" s="18" customFormat="1" ht="15" customHeight="1">
      <c r="A156" s="94">
        <v>2005</v>
      </c>
      <c r="B156" s="95" t="s">
        <v>42</v>
      </c>
      <c r="C156" s="15">
        <f t="shared" si="15"/>
        <v>0.68400079697150828</v>
      </c>
      <c r="D156" s="15">
        <f t="shared" si="16"/>
        <v>0.75342916712388897</v>
      </c>
      <c r="E156" s="15">
        <f t="shared" si="17"/>
        <v>0.90785016935644547</v>
      </c>
      <c r="F156" s="16">
        <f>+Tabla2[[#This Row],[Trenes Programados por Día Hábil]]+Tabla9[[#This Row],[Trenes Programados por Día Hábil]]+Tabla10[[#This Row],[Trenes Programados por Día Hábil]]</f>
        <v>0</v>
      </c>
      <c r="G156" s="33">
        <f>+(Tabla2[[#This Row],[Coches por Tren Día Hábil]]*Tabla2[[#This Row],[Trenes Corridos]]+Tabla9[[#This Row],[Coches por Tren Día Hábil]]*Tabla9[[#This Row],[Trenes Corridos]]+Tabla10[[#This Row],[Coches por Tren Día Hábil]]*Tabla10[[#This Row],[Trenes Corridos]])/SARM[[#This Row],[Trenes Corridos]]</f>
        <v>0</v>
      </c>
      <c r="H156" s="16">
        <f t="shared" si="33"/>
        <v>10038</v>
      </c>
      <c r="I156" s="16">
        <f t="shared" si="34"/>
        <v>925</v>
      </c>
      <c r="J156" s="16">
        <f t="shared" si="35"/>
        <v>9113</v>
      </c>
      <c r="K156" s="16">
        <f t="shared" si="36"/>
        <v>6866</v>
      </c>
      <c r="L156" s="16">
        <f t="shared" si="37"/>
        <v>2247</v>
      </c>
      <c r="M156" s="16"/>
      <c r="N156" s="17"/>
      <c r="O156" s="94">
        <v>2005</v>
      </c>
      <c r="P156" s="95" t="s">
        <v>42</v>
      </c>
      <c r="Q156" s="15">
        <f t="shared" si="18"/>
        <v>0.73048841893252769</v>
      </c>
      <c r="R156" s="15">
        <f t="shared" si="19"/>
        <v>0.77229172211871178</v>
      </c>
      <c r="S156" s="15">
        <f t="shared" si="20"/>
        <v>0.94587109768378652</v>
      </c>
      <c r="T156" s="16"/>
      <c r="U156" s="16"/>
      <c r="V156" s="16">
        <v>7944</v>
      </c>
      <c r="W156" s="16">
        <f t="shared" si="38"/>
        <v>430</v>
      </c>
      <c r="X156" s="16">
        <v>7514</v>
      </c>
      <c r="Y156" s="16">
        <v>5803</v>
      </c>
      <c r="Z156" s="16">
        <f t="shared" si="39"/>
        <v>1711</v>
      </c>
      <c r="AA156" s="16"/>
      <c r="AB156" s="17"/>
      <c r="AC156" s="94">
        <v>2005</v>
      </c>
      <c r="AD156" s="95" t="s">
        <v>42</v>
      </c>
      <c r="AE156" s="15">
        <f t="shared" si="23"/>
        <v>0.38402625820568925</v>
      </c>
      <c r="AF156" s="15">
        <f t="shared" si="24"/>
        <v>0.52</v>
      </c>
      <c r="AG156" s="15">
        <f t="shared" si="25"/>
        <v>0.73851203501094087</v>
      </c>
      <c r="AH156" s="16"/>
      <c r="AI156" s="16"/>
      <c r="AJ156" s="16">
        <v>914</v>
      </c>
      <c r="AK156" s="16">
        <f t="shared" si="40"/>
        <v>239</v>
      </c>
      <c r="AL156" s="16">
        <v>675</v>
      </c>
      <c r="AM156" s="16">
        <v>351</v>
      </c>
      <c r="AN156" s="16">
        <f t="shared" si="41"/>
        <v>324</v>
      </c>
      <c r="AO156" s="16"/>
      <c r="AP156" s="17"/>
      <c r="AQ156" s="94">
        <v>2005</v>
      </c>
      <c r="AR156" s="95" t="s">
        <v>42</v>
      </c>
      <c r="AS156" s="15">
        <f t="shared" si="28"/>
        <v>0.60338983050847461</v>
      </c>
      <c r="AT156" s="15">
        <f t="shared" si="29"/>
        <v>0.77056277056277056</v>
      </c>
      <c r="AU156" s="15">
        <f t="shared" si="30"/>
        <v>0.7830508474576271</v>
      </c>
      <c r="AV156" s="16"/>
      <c r="AW156" s="16"/>
      <c r="AX156" s="16">
        <v>1180</v>
      </c>
      <c r="AY156" s="16">
        <f t="shared" si="42"/>
        <v>256</v>
      </c>
      <c r="AZ156" s="16">
        <v>924</v>
      </c>
      <c r="BA156" s="16">
        <v>712</v>
      </c>
      <c r="BB156" s="16">
        <f t="shared" si="43"/>
        <v>212</v>
      </c>
    </row>
    <row r="157" spans="1:54" s="18" customFormat="1" ht="15" customHeight="1">
      <c r="A157" s="96">
        <v>2005</v>
      </c>
      <c r="B157" s="97" t="s">
        <v>43</v>
      </c>
      <c r="C157" s="15">
        <f t="shared" si="15"/>
        <v>0.68030139935414424</v>
      </c>
      <c r="D157" s="15">
        <f t="shared" si="16"/>
        <v>0.75368603642671295</v>
      </c>
      <c r="E157" s="15">
        <f t="shared" si="17"/>
        <v>0.90263235150210397</v>
      </c>
      <c r="F157" s="16">
        <f>+Tabla2[[#This Row],[Trenes Programados por Día Hábil]]+Tabla9[[#This Row],[Trenes Programados por Día Hábil]]+Tabla10[[#This Row],[Trenes Programados por Día Hábil]]</f>
        <v>0</v>
      </c>
      <c r="G157" s="33">
        <f>+(Tabla2[[#This Row],[Coches por Tren Día Hábil]]*Tabla2[[#This Row],[Trenes Corridos]]+Tabla9[[#This Row],[Coches por Tren Día Hábil]]*Tabla9[[#This Row],[Trenes Corridos]]+Tabla10[[#This Row],[Coches por Tren Día Hábil]]*Tabla10[[#This Row],[Trenes Corridos]])/SARM[[#This Row],[Trenes Corridos]]</f>
        <v>0</v>
      </c>
      <c r="H157" s="16">
        <f t="shared" si="33"/>
        <v>10219</v>
      </c>
      <c r="I157" s="16">
        <f t="shared" si="34"/>
        <v>995</v>
      </c>
      <c r="J157" s="16">
        <f t="shared" si="35"/>
        <v>9224</v>
      </c>
      <c r="K157" s="16">
        <f t="shared" si="36"/>
        <v>6952</v>
      </c>
      <c r="L157" s="16">
        <f t="shared" si="37"/>
        <v>2272</v>
      </c>
      <c r="M157" s="16"/>
      <c r="N157" s="17"/>
      <c r="O157" s="96">
        <v>2005</v>
      </c>
      <c r="P157" s="97" t="s">
        <v>43</v>
      </c>
      <c r="Q157" s="15">
        <f t="shared" si="18"/>
        <v>0.70119767872576866</v>
      </c>
      <c r="R157" s="15">
        <f t="shared" si="19"/>
        <v>0.76732873935954604</v>
      </c>
      <c r="S157" s="15">
        <f t="shared" si="20"/>
        <v>0.91381652055809359</v>
      </c>
      <c r="T157" s="16"/>
      <c r="U157" s="16"/>
      <c r="V157" s="16">
        <v>8099</v>
      </c>
      <c r="W157" s="16">
        <f t="shared" si="38"/>
        <v>698</v>
      </c>
      <c r="X157" s="16">
        <v>7401</v>
      </c>
      <c r="Y157" s="16">
        <v>5679</v>
      </c>
      <c r="Z157" s="16">
        <f t="shared" si="39"/>
        <v>1722</v>
      </c>
      <c r="AA157" s="16"/>
      <c r="AB157" s="17"/>
      <c r="AC157" s="96">
        <v>2005</v>
      </c>
      <c r="AD157" s="97" t="s">
        <v>43</v>
      </c>
      <c r="AE157" s="15">
        <f t="shared" si="23"/>
        <v>0.57111597374179435</v>
      </c>
      <c r="AF157" s="15">
        <f t="shared" si="24"/>
        <v>0.68593955321944811</v>
      </c>
      <c r="AG157" s="15">
        <f t="shared" si="25"/>
        <v>0.83260393873085337</v>
      </c>
      <c r="AH157" s="16"/>
      <c r="AI157" s="16"/>
      <c r="AJ157" s="16">
        <v>914</v>
      </c>
      <c r="AK157" s="16">
        <f t="shared" si="40"/>
        <v>153</v>
      </c>
      <c r="AL157" s="16">
        <v>761</v>
      </c>
      <c r="AM157" s="16">
        <v>522</v>
      </c>
      <c r="AN157" s="16">
        <f t="shared" si="41"/>
        <v>239</v>
      </c>
      <c r="AO157" s="16"/>
      <c r="AP157" s="17"/>
      <c r="AQ157" s="96">
        <v>2005</v>
      </c>
      <c r="AR157" s="97" t="s">
        <v>43</v>
      </c>
      <c r="AS157" s="15">
        <f t="shared" si="28"/>
        <v>0.62271973466003316</v>
      </c>
      <c r="AT157" s="15">
        <f t="shared" si="29"/>
        <v>0.70715630885122416</v>
      </c>
      <c r="AU157" s="15">
        <f t="shared" si="30"/>
        <v>0.88059701492537312</v>
      </c>
      <c r="AV157" s="16"/>
      <c r="AW157" s="16"/>
      <c r="AX157" s="16">
        <v>1206</v>
      </c>
      <c r="AY157" s="16">
        <f t="shared" si="42"/>
        <v>144</v>
      </c>
      <c r="AZ157" s="16">
        <v>1062</v>
      </c>
      <c r="BA157" s="16">
        <v>751</v>
      </c>
      <c r="BB157" s="16">
        <f t="shared" si="43"/>
        <v>311</v>
      </c>
    </row>
    <row r="158" spans="1:54" s="18" customFormat="1" ht="15" customHeight="1">
      <c r="A158" s="94">
        <v>2005</v>
      </c>
      <c r="B158" s="95" t="s">
        <v>44</v>
      </c>
      <c r="C158" s="15">
        <f t="shared" si="15"/>
        <v>0.689431704885344</v>
      </c>
      <c r="D158" s="15">
        <f t="shared" si="16"/>
        <v>0.73878205128205132</v>
      </c>
      <c r="E158" s="15">
        <f t="shared" si="17"/>
        <v>0.93320039880358918</v>
      </c>
      <c r="F158" s="16">
        <f>+Tabla2[[#This Row],[Trenes Programados por Día Hábil]]+Tabla9[[#This Row],[Trenes Programados por Día Hábil]]+Tabla10[[#This Row],[Trenes Programados por Día Hábil]]</f>
        <v>0</v>
      </c>
      <c r="G158" s="33">
        <f>+(Tabla2[[#This Row],[Coches por Tren Día Hábil]]*Tabla2[[#This Row],[Trenes Corridos]]+Tabla9[[#This Row],[Coches por Tren Día Hábil]]*Tabla9[[#This Row],[Trenes Corridos]]+Tabla10[[#This Row],[Coches por Tren Día Hábil]]*Tabla10[[#This Row],[Trenes Corridos]])/SARM[[#This Row],[Trenes Corridos]]</f>
        <v>0</v>
      </c>
      <c r="H158" s="16">
        <f t="shared" si="33"/>
        <v>10030</v>
      </c>
      <c r="I158" s="16">
        <f t="shared" si="34"/>
        <v>670</v>
      </c>
      <c r="J158" s="16">
        <f t="shared" si="35"/>
        <v>9360</v>
      </c>
      <c r="K158" s="16">
        <f t="shared" si="36"/>
        <v>6915</v>
      </c>
      <c r="L158" s="16">
        <f t="shared" si="37"/>
        <v>2445</v>
      </c>
      <c r="M158" s="16"/>
      <c r="N158" s="17"/>
      <c r="O158" s="94">
        <v>2005</v>
      </c>
      <c r="P158" s="95" t="s">
        <v>44</v>
      </c>
      <c r="Q158" s="15">
        <f t="shared" si="18"/>
        <v>0.69841668760995224</v>
      </c>
      <c r="R158" s="15">
        <f t="shared" si="19"/>
        <v>0.73929236499068907</v>
      </c>
      <c r="S158" s="15">
        <f t="shared" si="20"/>
        <v>0.94470972606182457</v>
      </c>
      <c r="T158" s="16"/>
      <c r="U158" s="16"/>
      <c r="V158" s="16">
        <v>7958</v>
      </c>
      <c r="W158" s="16">
        <f t="shared" si="38"/>
        <v>440</v>
      </c>
      <c r="X158" s="16">
        <v>7518</v>
      </c>
      <c r="Y158" s="16">
        <v>5558</v>
      </c>
      <c r="Z158" s="16">
        <f t="shared" si="39"/>
        <v>1960</v>
      </c>
      <c r="AA158" s="16"/>
      <c r="AB158" s="17"/>
      <c r="AC158" s="94">
        <v>2005</v>
      </c>
      <c r="AD158" s="95" t="s">
        <v>44</v>
      </c>
      <c r="AE158" s="15">
        <f t="shared" si="23"/>
        <v>0.5565610859728507</v>
      </c>
      <c r="AF158" s="15">
        <f t="shared" si="24"/>
        <v>0.64313725490196083</v>
      </c>
      <c r="AG158" s="15">
        <f t="shared" si="25"/>
        <v>0.86538461538461542</v>
      </c>
      <c r="AH158" s="16"/>
      <c r="AI158" s="16"/>
      <c r="AJ158" s="16">
        <v>884</v>
      </c>
      <c r="AK158" s="16">
        <f t="shared" si="40"/>
        <v>119</v>
      </c>
      <c r="AL158" s="16">
        <v>765</v>
      </c>
      <c r="AM158" s="16">
        <v>492</v>
      </c>
      <c r="AN158" s="16">
        <f t="shared" si="41"/>
        <v>273</v>
      </c>
      <c r="AO158" s="16"/>
      <c r="AP158" s="17"/>
      <c r="AQ158" s="94">
        <v>2005</v>
      </c>
      <c r="AR158" s="95" t="s">
        <v>44</v>
      </c>
      <c r="AS158" s="15">
        <f t="shared" si="28"/>
        <v>0.72811447811447816</v>
      </c>
      <c r="AT158" s="15">
        <f t="shared" si="29"/>
        <v>0.80315691736304551</v>
      </c>
      <c r="AU158" s="15">
        <f t="shared" si="30"/>
        <v>0.90656565656565657</v>
      </c>
      <c r="AV158" s="16"/>
      <c r="AW158" s="16"/>
      <c r="AX158" s="16">
        <v>1188</v>
      </c>
      <c r="AY158" s="16">
        <f t="shared" si="42"/>
        <v>111</v>
      </c>
      <c r="AZ158" s="16">
        <v>1077</v>
      </c>
      <c r="BA158" s="16">
        <v>865</v>
      </c>
      <c r="BB158" s="16">
        <f t="shared" si="43"/>
        <v>212</v>
      </c>
    </row>
    <row r="159" spans="1:54" s="18" customFormat="1" ht="15" customHeight="1">
      <c r="A159" s="96">
        <v>2005</v>
      </c>
      <c r="B159" s="97" t="s">
        <v>45</v>
      </c>
      <c r="C159" s="15">
        <f t="shared" si="15"/>
        <v>0.59447415329768272</v>
      </c>
      <c r="D159" s="15">
        <f t="shared" si="16"/>
        <v>0.67945670628183363</v>
      </c>
      <c r="E159" s="15">
        <f t="shared" si="17"/>
        <v>0.87492572786690437</v>
      </c>
      <c r="F159" s="16">
        <f>+Tabla2[[#This Row],[Trenes Programados por Día Hábil]]+Tabla9[[#This Row],[Trenes Programados por Día Hábil]]+Tabla10[[#This Row],[Trenes Programados por Día Hábil]]</f>
        <v>0</v>
      </c>
      <c r="G159" s="33">
        <f>+(Tabla2[[#This Row],[Coches por Tren Día Hábil]]*Tabla2[[#This Row],[Trenes Corridos]]+Tabla9[[#This Row],[Coches por Tren Día Hábil]]*Tabla9[[#This Row],[Trenes Corridos]]+Tabla10[[#This Row],[Coches por Tren Día Hábil]]*Tabla10[[#This Row],[Trenes Corridos]])/SARM[[#This Row],[Trenes Corridos]]</f>
        <v>0</v>
      </c>
      <c r="H159" s="16">
        <f t="shared" si="33"/>
        <v>10098</v>
      </c>
      <c r="I159" s="16">
        <f t="shared" si="34"/>
        <v>1263</v>
      </c>
      <c r="J159" s="16">
        <f t="shared" si="35"/>
        <v>8835</v>
      </c>
      <c r="K159" s="16">
        <f t="shared" si="36"/>
        <v>6003</v>
      </c>
      <c r="L159" s="16">
        <f t="shared" si="37"/>
        <v>2832</v>
      </c>
      <c r="M159" s="16"/>
      <c r="N159" s="17"/>
      <c r="O159" s="96">
        <v>2005</v>
      </c>
      <c r="P159" s="97" t="s">
        <v>45</v>
      </c>
      <c r="Q159" s="15">
        <f t="shared" si="18"/>
        <v>0.6041172800998128</v>
      </c>
      <c r="R159" s="15">
        <f t="shared" si="19"/>
        <v>0.67399777282850781</v>
      </c>
      <c r="S159" s="15">
        <f t="shared" si="20"/>
        <v>0.89631940112289454</v>
      </c>
      <c r="T159" s="16"/>
      <c r="U159" s="16"/>
      <c r="V159" s="16">
        <v>8015</v>
      </c>
      <c r="W159" s="16">
        <f t="shared" si="38"/>
        <v>831</v>
      </c>
      <c r="X159" s="16">
        <v>7184</v>
      </c>
      <c r="Y159" s="16">
        <v>4842</v>
      </c>
      <c r="Z159" s="16">
        <f t="shared" si="39"/>
        <v>2342</v>
      </c>
      <c r="AA159" s="16"/>
      <c r="AB159" s="17"/>
      <c r="AC159" s="96">
        <v>2005</v>
      </c>
      <c r="AD159" s="97" t="s">
        <v>45</v>
      </c>
      <c r="AE159" s="15">
        <f t="shared" si="23"/>
        <v>0.43956043956043955</v>
      </c>
      <c r="AF159" s="15">
        <f t="shared" si="24"/>
        <v>0.57636887608069165</v>
      </c>
      <c r="AG159" s="15">
        <f t="shared" si="25"/>
        <v>0.76263736263736259</v>
      </c>
      <c r="AH159" s="16"/>
      <c r="AI159" s="16"/>
      <c r="AJ159" s="16">
        <v>910</v>
      </c>
      <c r="AK159" s="16">
        <f t="shared" si="40"/>
        <v>216</v>
      </c>
      <c r="AL159" s="16">
        <v>694</v>
      </c>
      <c r="AM159" s="16">
        <v>400</v>
      </c>
      <c r="AN159" s="16">
        <f t="shared" si="41"/>
        <v>294</v>
      </c>
      <c r="AO159" s="16"/>
      <c r="AP159" s="17"/>
      <c r="AQ159" s="96">
        <v>2005</v>
      </c>
      <c r="AR159" s="97" t="s">
        <v>45</v>
      </c>
      <c r="AS159" s="15">
        <f t="shared" si="28"/>
        <v>0.64876385336743392</v>
      </c>
      <c r="AT159" s="15">
        <f t="shared" si="29"/>
        <v>0.79519331243469171</v>
      </c>
      <c r="AU159" s="15">
        <f t="shared" si="30"/>
        <v>0.81585677749360619</v>
      </c>
      <c r="AV159" s="16"/>
      <c r="AW159" s="16"/>
      <c r="AX159" s="16">
        <v>1173</v>
      </c>
      <c r="AY159" s="16">
        <f t="shared" si="42"/>
        <v>216</v>
      </c>
      <c r="AZ159" s="16">
        <v>957</v>
      </c>
      <c r="BA159" s="16">
        <v>761</v>
      </c>
      <c r="BB159" s="16">
        <f t="shared" si="43"/>
        <v>196</v>
      </c>
    </row>
    <row r="160" spans="1:54" s="18" customFormat="1" ht="15" customHeight="1">
      <c r="A160" s="94">
        <v>2005</v>
      </c>
      <c r="B160" s="95" t="s">
        <v>46</v>
      </c>
      <c r="C160" s="15">
        <f t="shared" si="15"/>
        <v>0.68973080757726823</v>
      </c>
      <c r="D160" s="15">
        <f t="shared" si="16"/>
        <v>0.76307081403044341</v>
      </c>
      <c r="E160" s="15">
        <f t="shared" si="17"/>
        <v>0.90388833499501497</v>
      </c>
      <c r="F160" s="16">
        <f>+Tabla2[[#This Row],[Trenes Programados por Día Hábil]]+Tabla9[[#This Row],[Trenes Programados por Día Hábil]]+Tabla10[[#This Row],[Trenes Programados por Día Hábil]]</f>
        <v>0</v>
      </c>
      <c r="G160" s="33">
        <f>+(Tabla2[[#This Row],[Coches por Tren Día Hábil]]*Tabla2[[#This Row],[Trenes Corridos]]+Tabla9[[#This Row],[Coches por Tren Día Hábil]]*Tabla9[[#This Row],[Trenes Corridos]]+Tabla10[[#This Row],[Coches por Tren Día Hábil]]*Tabla10[[#This Row],[Trenes Corridos]])/SARM[[#This Row],[Trenes Corridos]]</f>
        <v>0</v>
      </c>
      <c r="H160" s="16">
        <f t="shared" si="33"/>
        <v>10030</v>
      </c>
      <c r="I160" s="16">
        <f t="shared" si="34"/>
        <v>964</v>
      </c>
      <c r="J160" s="16">
        <f t="shared" si="35"/>
        <v>9066</v>
      </c>
      <c r="K160" s="16">
        <f t="shared" si="36"/>
        <v>6918</v>
      </c>
      <c r="L160" s="16">
        <f t="shared" si="37"/>
        <v>2148</v>
      </c>
      <c r="M160" s="16"/>
      <c r="N160" s="17"/>
      <c r="O160" s="94">
        <v>2005</v>
      </c>
      <c r="P160" s="95" t="s">
        <v>46</v>
      </c>
      <c r="Q160" s="15">
        <f t="shared" si="18"/>
        <v>0.70909776325709972</v>
      </c>
      <c r="R160" s="15">
        <f t="shared" si="19"/>
        <v>0.77132312739201747</v>
      </c>
      <c r="S160" s="15">
        <f t="shared" si="20"/>
        <v>0.9193264639356622</v>
      </c>
      <c r="T160" s="16"/>
      <c r="U160" s="16"/>
      <c r="V160" s="16">
        <v>7958</v>
      </c>
      <c r="W160" s="16">
        <f t="shared" si="38"/>
        <v>642</v>
      </c>
      <c r="X160" s="16">
        <v>7316</v>
      </c>
      <c r="Y160" s="16">
        <v>5643</v>
      </c>
      <c r="Z160" s="16">
        <f t="shared" si="39"/>
        <v>1673</v>
      </c>
      <c r="AA160" s="16"/>
      <c r="AB160" s="17"/>
      <c r="AC160" s="94">
        <v>2005</v>
      </c>
      <c r="AD160" s="95" t="s">
        <v>46</v>
      </c>
      <c r="AE160" s="15">
        <f t="shared" si="23"/>
        <v>0.46493212669683259</v>
      </c>
      <c r="AF160" s="15">
        <f t="shared" si="24"/>
        <v>0.58798283261802575</v>
      </c>
      <c r="AG160" s="15">
        <f t="shared" si="25"/>
        <v>0.79072398190045246</v>
      </c>
      <c r="AH160" s="16"/>
      <c r="AI160" s="16"/>
      <c r="AJ160" s="16">
        <v>884</v>
      </c>
      <c r="AK160" s="16">
        <f t="shared" si="40"/>
        <v>185</v>
      </c>
      <c r="AL160" s="16">
        <v>699</v>
      </c>
      <c r="AM160" s="16">
        <v>411</v>
      </c>
      <c r="AN160" s="16">
        <f t="shared" si="41"/>
        <v>288</v>
      </c>
      <c r="AO160" s="16"/>
      <c r="AP160" s="17"/>
      <c r="AQ160" s="94">
        <v>2005</v>
      </c>
      <c r="AR160" s="95" t="s">
        <v>46</v>
      </c>
      <c r="AS160" s="15">
        <f t="shared" si="28"/>
        <v>0.72727272727272729</v>
      </c>
      <c r="AT160" s="15">
        <f t="shared" si="29"/>
        <v>0.82207421503330158</v>
      </c>
      <c r="AU160" s="15">
        <f t="shared" si="30"/>
        <v>0.88468013468013473</v>
      </c>
      <c r="AV160" s="16"/>
      <c r="AW160" s="16"/>
      <c r="AX160" s="16">
        <v>1188</v>
      </c>
      <c r="AY160" s="16">
        <f t="shared" si="42"/>
        <v>137</v>
      </c>
      <c r="AZ160" s="16">
        <v>1051</v>
      </c>
      <c r="BA160" s="16">
        <v>864</v>
      </c>
      <c r="BB160" s="16">
        <f t="shared" si="43"/>
        <v>187</v>
      </c>
    </row>
    <row r="161" spans="1:63" s="18" customFormat="1" ht="15" customHeight="1">
      <c r="A161" s="96">
        <v>2005</v>
      </c>
      <c r="B161" s="97" t="s">
        <v>47</v>
      </c>
      <c r="C161" s="15">
        <f t="shared" si="15"/>
        <v>0.70628334321280384</v>
      </c>
      <c r="D161" s="15">
        <f t="shared" si="16"/>
        <v>0.75811240721102868</v>
      </c>
      <c r="E161" s="15">
        <f t="shared" si="17"/>
        <v>0.93163406441414742</v>
      </c>
      <c r="F161" s="16">
        <f>+Tabla2[[#This Row],[Trenes Programados por Día Hábil]]+Tabla9[[#This Row],[Trenes Programados por Día Hábil]]+Tabla10[[#This Row],[Trenes Programados por Día Hábil]]</f>
        <v>0</v>
      </c>
      <c r="G161" s="33">
        <f>+(Tabla2[[#This Row],[Coches por Tren Día Hábil]]*Tabla2[[#This Row],[Trenes Corridos]]+Tabla9[[#This Row],[Coches por Tren Día Hábil]]*Tabla9[[#This Row],[Trenes Corridos]]+Tabla10[[#This Row],[Coches por Tren Día Hábil]]*Tabla10[[#This Row],[Trenes Corridos]])/SARM[[#This Row],[Trenes Corridos]]</f>
        <v>0</v>
      </c>
      <c r="H161" s="16">
        <f t="shared" si="33"/>
        <v>10122</v>
      </c>
      <c r="I161" s="16">
        <f t="shared" si="34"/>
        <v>692</v>
      </c>
      <c r="J161" s="16">
        <f t="shared" si="35"/>
        <v>9430</v>
      </c>
      <c r="K161" s="16">
        <f t="shared" si="36"/>
        <v>7149</v>
      </c>
      <c r="L161" s="16">
        <f t="shared" si="37"/>
        <v>2281</v>
      </c>
      <c r="M161" s="16"/>
      <c r="N161" s="25"/>
      <c r="O161" s="96">
        <v>2005</v>
      </c>
      <c r="P161" s="97" t="s">
        <v>47</v>
      </c>
      <c r="Q161" s="15">
        <f t="shared" si="18"/>
        <v>0.72694371646075129</v>
      </c>
      <c r="R161" s="15">
        <f t="shared" si="19"/>
        <v>0.76483718487394958</v>
      </c>
      <c r="S161" s="15">
        <f t="shared" si="20"/>
        <v>0.95045550979658056</v>
      </c>
      <c r="T161" s="16"/>
      <c r="U161" s="16"/>
      <c r="V161" s="16">
        <v>8013</v>
      </c>
      <c r="W161" s="16">
        <f t="shared" si="38"/>
        <v>397</v>
      </c>
      <c r="X161" s="16">
        <v>7616</v>
      </c>
      <c r="Y161" s="16">
        <v>5825</v>
      </c>
      <c r="Z161" s="16">
        <f t="shared" si="39"/>
        <v>1791</v>
      </c>
      <c r="AA161" s="16"/>
      <c r="AB161" s="17"/>
      <c r="AC161" s="96">
        <v>2005</v>
      </c>
      <c r="AD161" s="97" t="s">
        <v>47</v>
      </c>
      <c r="AE161" s="15">
        <f t="shared" si="23"/>
        <v>0.56813186813186811</v>
      </c>
      <c r="AF161" s="15">
        <f t="shared" si="24"/>
        <v>0.69395973154362411</v>
      </c>
      <c r="AG161" s="15">
        <f t="shared" si="25"/>
        <v>0.81868131868131866</v>
      </c>
      <c r="AH161" s="16"/>
      <c r="AI161" s="16"/>
      <c r="AJ161" s="16">
        <v>910</v>
      </c>
      <c r="AK161" s="16">
        <f t="shared" si="40"/>
        <v>165</v>
      </c>
      <c r="AL161" s="16">
        <v>745</v>
      </c>
      <c r="AM161" s="16">
        <v>517</v>
      </c>
      <c r="AN161" s="16">
        <f t="shared" si="41"/>
        <v>228</v>
      </c>
      <c r="AO161" s="16"/>
      <c r="AP161" s="17"/>
      <c r="AQ161" s="96">
        <v>2005</v>
      </c>
      <c r="AR161" s="97" t="s">
        <v>47</v>
      </c>
      <c r="AS161" s="15">
        <f t="shared" si="28"/>
        <v>0.67306088407005837</v>
      </c>
      <c r="AT161" s="15">
        <f t="shared" si="29"/>
        <v>0.75491113189897097</v>
      </c>
      <c r="AU161" s="15">
        <f t="shared" si="30"/>
        <v>0.89157631359466227</v>
      </c>
      <c r="AV161" s="16"/>
      <c r="AW161" s="16"/>
      <c r="AX161" s="16">
        <v>1199</v>
      </c>
      <c r="AY161" s="16">
        <f t="shared" si="42"/>
        <v>130</v>
      </c>
      <c r="AZ161" s="16">
        <v>1069</v>
      </c>
      <c r="BA161" s="16">
        <v>807</v>
      </c>
      <c r="BB161" s="16">
        <f t="shared" si="43"/>
        <v>262</v>
      </c>
    </row>
    <row r="162" spans="1:63" s="18" customFormat="1" ht="15" customHeight="1">
      <c r="A162" s="94">
        <v>2006</v>
      </c>
      <c r="B162" s="95" t="s">
        <v>36</v>
      </c>
      <c r="C162" s="15">
        <f t="shared" si="15"/>
        <v>0.71631275075839118</v>
      </c>
      <c r="D162" s="15">
        <f t="shared" si="16"/>
        <v>0.78913324708926258</v>
      </c>
      <c r="E162" s="15">
        <f t="shared" si="17"/>
        <v>0.90772091202661709</v>
      </c>
      <c r="F162" s="16">
        <f>+Tabla2[[#This Row],[Trenes Programados por Día Hábil]]+Tabla9[[#This Row],[Trenes Programados por Día Hábil]]+Tabla10[[#This Row],[Trenes Programados por Día Hábil]]</f>
        <v>0</v>
      </c>
      <c r="G162" s="33">
        <f>+(Tabla2[[#This Row],[Coches por Tren Día Hábil]]*Tabla2[[#This Row],[Trenes Corridos]]+Tabla9[[#This Row],[Coches por Tren Día Hábil]]*Tabla9[[#This Row],[Trenes Corridos]]+Tabla10[[#This Row],[Coches por Tren Día Hábil]]*Tabla10[[#This Row],[Trenes Corridos]])/SARM[[#This Row],[Trenes Corridos]]</f>
        <v>0</v>
      </c>
      <c r="H162" s="16">
        <f t="shared" si="33"/>
        <v>10219</v>
      </c>
      <c r="I162" s="16">
        <f t="shared" si="34"/>
        <v>943</v>
      </c>
      <c r="J162" s="16">
        <f t="shared" si="35"/>
        <v>9276</v>
      </c>
      <c r="K162" s="16">
        <f t="shared" si="36"/>
        <v>7320</v>
      </c>
      <c r="L162" s="16">
        <f t="shared" si="37"/>
        <v>1956</v>
      </c>
      <c r="M162" s="16"/>
      <c r="N162" s="17"/>
      <c r="O162" s="94">
        <v>2006</v>
      </c>
      <c r="P162" s="95" t="s">
        <v>36</v>
      </c>
      <c r="Q162" s="15">
        <f t="shared" si="18"/>
        <v>0.75688356587232997</v>
      </c>
      <c r="R162" s="15">
        <f t="shared" si="19"/>
        <v>0.81213566507684154</v>
      </c>
      <c r="S162" s="15">
        <f t="shared" si="20"/>
        <v>0.93196690949499938</v>
      </c>
      <c r="T162" s="16"/>
      <c r="U162" s="16"/>
      <c r="V162" s="16">
        <v>8099</v>
      </c>
      <c r="W162" s="16">
        <f t="shared" ref="W162:W173" si="44">V162-X162</f>
        <v>551</v>
      </c>
      <c r="X162" s="16">
        <v>7548</v>
      </c>
      <c r="Y162" s="16">
        <v>6130</v>
      </c>
      <c r="Z162" s="16">
        <f t="shared" ref="Z162:Z173" si="45">X162-Y162</f>
        <v>1418</v>
      </c>
      <c r="AA162" s="16"/>
      <c r="AB162" s="17"/>
      <c r="AC162" s="94">
        <v>2006</v>
      </c>
      <c r="AD162" s="95" t="s">
        <v>36</v>
      </c>
      <c r="AE162" s="15">
        <f t="shared" si="23"/>
        <v>0.56564551422319476</v>
      </c>
      <c r="AF162" s="15">
        <f t="shared" si="24"/>
        <v>0.73022598870056499</v>
      </c>
      <c r="AG162" s="15">
        <f t="shared" si="25"/>
        <v>0.77461706783369799</v>
      </c>
      <c r="AH162" s="16"/>
      <c r="AI162" s="16"/>
      <c r="AJ162" s="16">
        <v>914</v>
      </c>
      <c r="AK162" s="16">
        <f t="shared" ref="AK162:AK173" si="46">AJ162-AL162</f>
        <v>206</v>
      </c>
      <c r="AL162" s="16">
        <v>708</v>
      </c>
      <c r="AM162" s="16">
        <v>517</v>
      </c>
      <c r="AN162" s="16">
        <f t="shared" ref="AN162:AN173" si="47">AL162-AM162</f>
        <v>191</v>
      </c>
      <c r="AO162" s="16"/>
      <c r="AP162" s="17"/>
      <c r="AQ162" s="94">
        <v>2006</v>
      </c>
      <c r="AR162" s="95" t="s">
        <v>36</v>
      </c>
      <c r="AS162" s="15">
        <f t="shared" si="28"/>
        <v>0.55804311774461024</v>
      </c>
      <c r="AT162" s="15">
        <f t="shared" si="29"/>
        <v>0.65980392156862744</v>
      </c>
      <c r="AU162" s="15">
        <f t="shared" si="30"/>
        <v>0.845771144278607</v>
      </c>
      <c r="AV162" s="16"/>
      <c r="AW162" s="16"/>
      <c r="AX162" s="16">
        <v>1206</v>
      </c>
      <c r="AY162" s="16">
        <f t="shared" ref="AY162:AY173" si="48">AX162-AZ162</f>
        <v>186</v>
      </c>
      <c r="AZ162" s="16">
        <v>1020</v>
      </c>
      <c r="BA162" s="16">
        <v>673</v>
      </c>
      <c r="BB162" s="16">
        <f t="shared" ref="BB162:BB173" si="49">AZ162-BA162</f>
        <v>347</v>
      </c>
    </row>
    <row r="163" spans="1:63" s="18" customFormat="1" ht="15" customHeight="1">
      <c r="A163" s="96">
        <v>2006</v>
      </c>
      <c r="B163" s="97" t="s">
        <v>37</v>
      </c>
      <c r="C163" s="15">
        <f t="shared" si="15"/>
        <v>0.73422356235192765</v>
      </c>
      <c r="D163" s="15">
        <f t="shared" si="16"/>
        <v>0.78875520592318371</v>
      </c>
      <c r="E163" s="15">
        <f t="shared" si="17"/>
        <v>0.9308636657333621</v>
      </c>
      <c r="F163" s="16">
        <f>+Tabla2[[#This Row],[Trenes Programados por Día Hábil]]+Tabla9[[#This Row],[Trenes Programados por Día Hábil]]+Tabla10[[#This Row],[Trenes Programados por Día Hábil]]</f>
        <v>0</v>
      </c>
      <c r="G163" s="33">
        <f>+(Tabla2[[#This Row],[Coches por Tren Día Hábil]]*Tabla2[[#This Row],[Trenes Corridos]]+Tabla9[[#This Row],[Coches por Tren Día Hábil]]*Tabla9[[#This Row],[Trenes Corridos]]+Tabla10[[#This Row],[Coches por Tren Día Hábil]]*Tabla10[[#This Row],[Trenes Corridos]])/SARM[[#This Row],[Trenes Corridos]]</f>
        <v>0</v>
      </c>
      <c r="H163" s="16">
        <f t="shared" si="33"/>
        <v>9286</v>
      </c>
      <c r="I163" s="16">
        <f t="shared" si="34"/>
        <v>642</v>
      </c>
      <c r="J163" s="16">
        <f t="shared" si="35"/>
        <v>8644</v>
      </c>
      <c r="K163" s="16">
        <f t="shared" si="36"/>
        <v>6818</v>
      </c>
      <c r="L163" s="16">
        <f t="shared" si="37"/>
        <v>1826</v>
      </c>
      <c r="M163" s="16"/>
      <c r="N163" s="17"/>
      <c r="O163" s="96">
        <v>2006</v>
      </c>
      <c r="P163" s="97" t="s">
        <v>37</v>
      </c>
      <c r="Q163" s="15">
        <f t="shared" si="18"/>
        <v>0.76609616951915238</v>
      </c>
      <c r="R163" s="15">
        <f t="shared" si="19"/>
        <v>0.81221198156682028</v>
      </c>
      <c r="S163" s="15">
        <f t="shared" si="20"/>
        <v>0.94322195055691394</v>
      </c>
      <c r="T163" s="16"/>
      <c r="U163" s="16"/>
      <c r="V163" s="16">
        <v>7362</v>
      </c>
      <c r="W163" s="16">
        <f t="shared" si="44"/>
        <v>418</v>
      </c>
      <c r="X163" s="16">
        <v>6944</v>
      </c>
      <c r="Y163" s="16">
        <v>5640</v>
      </c>
      <c r="Z163" s="16">
        <f t="shared" si="45"/>
        <v>1304</v>
      </c>
      <c r="AA163" s="16"/>
      <c r="AB163" s="17"/>
      <c r="AC163" s="96">
        <v>2006</v>
      </c>
      <c r="AD163" s="97" t="s">
        <v>37</v>
      </c>
      <c r="AE163" s="15">
        <f t="shared" si="23"/>
        <v>0.6310679611650486</v>
      </c>
      <c r="AF163" s="15">
        <f t="shared" si="24"/>
        <v>0.74179743223965766</v>
      </c>
      <c r="AG163" s="15">
        <f t="shared" si="25"/>
        <v>0.85072815533980584</v>
      </c>
      <c r="AH163" s="16"/>
      <c r="AI163" s="16"/>
      <c r="AJ163" s="16">
        <v>824</v>
      </c>
      <c r="AK163" s="16">
        <f t="shared" si="46"/>
        <v>123</v>
      </c>
      <c r="AL163" s="16">
        <v>701</v>
      </c>
      <c r="AM163" s="16">
        <v>520</v>
      </c>
      <c r="AN163" s="16">
        <f t="shared" si="47"/>
        <v>181</v>
      </c>
      <c r="AO163" s="16"/>
      <c r="AP163" s="17"/>
      <c r="AQ163" s="96">
        <v>2006</v>
      </c>
      <c r="AR163" s="97" t="s">
        <v>37</v>
      </c>
      <c r="AS163" s="15">
        <f t="shared" si="28"/>
        <v>0.59818181818181815</v>
      </c>
      <c r="AT163" s="15">
        <f t="shared" si="29"/>
        <v>0.65865865865865869</v>
      </c>
      <c r="AU163" s="15">
        <f t="shared" si="30"/>
        <v>0.9081818181818182</v>
      </c>
      <c r="AV163" s="16"/>
      <c r="AW163" s="16"/>
      <c r="AX163" s="16">
        <v>1100</v>
      </c>
      <c r="AY163" s="16">
        <f t="shared" si="48"/>
        <v>101</v>
      </c>
      <c r="AZ163" s="16">
        <v>999</v>
      </c>
      <c r="BA163" s="16">
        <v>658</v>
      </c>
      <c r="BB163" s="16">
        <f t="shared" si="49"/>
        <v>341</v>
      </c>
    </row>
    <row r="164" spans="1:63" s="18" customFormat="1" ht="15" customHeight="1">
      <c r="A164" s="94">
        <v>2006</v>
      </c>
      <c r="B164" s="95" t="s">
        <v>38</v>
      </c>
      <c r="C164" s="15">
        <f t="shared" si="15"/>
        <v>0.66953713670613568</v>
      </c>
      <c r="D164" s="15">
        <f t="shared" si="16"/>
        <v>0.73475085910652926</v>
      </c>
      <c r="E164" s="15">
        <f t="shared" si="17"/>
        <v>0.91124376162051079</v>
      </c>
      <c r="F164" s="16">
        <f>+Tabla2[[#This Row],[Trenes Programados por Día Hábil]]+Tabla9[[#This Row],[Trenes Programados por Día Hábil]]+Tabla10[[#This Row],[Trenes Programados por Día Hábil]]</f>
        <v>0</v>
      </c>
      <c r="G164" s="33">
        <f>+(Tabla2[[#This Row],[Coches por Tren Día Hábil]]*Tabla2[[#This Row],[Trenes Corridos]]+Tabla9[[#This Row],[Coches por Tren Día Hábil]]*Tabla9[[#This Row],[Trenes Corridos]]+Tabla10[[#This Row],[Coches por Tren Día Hábil]]*Tabla10[[#This Row],[Trenes Corridos]])/SARM[[#This Row],[Trenes Corridos]]</f>
        <v>0</v>
      </c>
      <c r="H164" s="16">
        <f t="shared" si="33"/>
        <v>10219</v>
      </c>
      <c r="I164" s="16">
        <f t="shared" si="34"/>
        <v>907</v>
      </c>
      <c r="J164" s="16">
        <f t="shared" si="35"/>
        <v>9312</v>
      </c>
      <c r="K164" s="16">
        <f t="shared" si="36"/>
        <v>6842</v>
      </c>
      <c r="L164" s="16">
        <f t="shared" si="37"/>
        <v>2470</v>
      </c>
      <c r="M164" s="16"/>
      <c r="N164" s="17"/>
      <c r="O164" s="94">
        <v>2006</v>
      </c>
      <c r="P164" s="95" t="s">
        <v>38</v>
      </c>
      <c r="Q164" s="15">
        <f t="shared" si="18"/>
        <v>0.69786393381899003</v>
      </c>
      <c r="R164" s="15">
        <f t="shared" si="19"/>
        <v>0.74801482265749075</v>
      </c>
      <c r="S164" s="15">
        <f t="shared" si="20"/>
        <v>0.93295468576367457</v>
      </c>
      <c r="T164" s="16"/>
      <c r="U164" s="16"/>
      <c r="V164" s="16">
        <v>8099</v>
      </c>
      <c r="W164" s="16">
        <f t="shared" si="44"/>
        <v>543</v>
      </c>
      <c r="X164" s="16">
        <v>7556</v>
      </c>
      <c r="Y164" s="16">
        <v>5652</v>
      </c>
      <c r="Z164" s="16">
        <f t="shared" si="45"/>
        <v>1904</v>
      </c>
      <c r="AA164" s="16"/>
      <c r="AB164" s="17"/>
      <c r="AC164" s="94">
        <v>2006</v>
      </c>
      <c r="AD164" s="95" t="s">
        <v>38</v>
      </c>
      <c r="AE164" s="15">
        <f t="shared" si="23"/>
        <v>0.50656455142231949</v>
      </c>
      <c r="AF164" s="15">
        <f t="shared" si="24"/>
        <v>0.62398921832884102</v>
      </c>
      <c r="AG164" s="15">
        <f t="shared" si="25"/>
        <v>0.81181619256017501</v>
      </c>
      <c r="AH164" s="16"/>
      <c r="AI164" s="16"/>
      <c r="AJ164" s="16">
        <v>914</v>
      </c>
      <c r="AK164" s="16">
        <f t="shared" si="46"/>
        <v>172</v>
      </c>
      <c r="AL164" s="16">
        <v>742</v>
      </c>
      <c r="AM164" s="16">
        <v>463</v>
      </c>
      <c r="AN164" s="16">
        <f t="shared" si="47"/>
        <v>279</v>
      </c>
      <c r="AO164" s="16"/>
      <c r="AP164" s="17"/>
      <c r="AQ164" s="94">
        <v>2006</v>
      </c>
      <c r="AR164" s="95" t="s">
        <v>38</v>
      </c>
      <c r="AS164" s="15">
        <f t="shared" si="28"/>
        <v>0.60281923714759533</v>
      </c>
      <c r="AT164" s="15">
        <f t="shared" si="29"/>
        <v>0.71696252465483234</v>
      </c>
      <c r="AU164" s="15">
        <f t="shared" si="30"/>
        <v>0.84079601990049746</v>
      </c>
      <c r="AV164" s="16"/>
      <c r="AW164" s="16"/>
      <c r="AX164" s="16">
        <v>1206</v>
      </c>
      <c r="AY164" s="16">
        <f t="shared" si="48"/>
        <v>192</v>
      </c>
      <c r="AZ164" s="16">
        <v>1014</v>
      </c>
      <c r="BA164" s="16">
        <v>727</v>
      </c>
      <c r="BB164" s="16">
        <f t="shared" si="49"/>
        <v>287</v>
      </c>
    </row>
    <row r="165" spans="1:63" s="18" customFormat="1" ht="15" customHeight="1">
      <c r="A165" s="96">
        <v>2006</v>
      </c>
      <c r="B165" s="97" t="s">
        <v>39</v>
      </c>
      <c r="C165" s="15">
        <f t="shared" si="15"/>
        <v>0.89647968244019638</v>
      </c>
      <c r="D165" s="15">
        <f t="shared" si="16"/>
        <v>0.92868737149659131</v>
      </c>
      <c r="E165" s="15">
        <f t="shared" si="17"/>
        <v>0.9653191267105401</v>
      </c>
      <c r="F165" s="16">
        <f>+Tabla2[[#This Row],[Trenes Programados por Día Hábil]]+Tabla9[[#This Row],[Trenes Programados por Día Hábil]]+Tabla10[[#This Row],[Trenes Programados por Día Hábil]]</f>
        <v>0</v>
      </c>
      <c r="G165" s="33">
        <f>+(Tabla2[[#This Row],[Coches por Tren Día Hábil]]*Tabla2[[#This Row],[Trenes Corridos]]+Tabla9[[#This Row],[Coches por Tren Día Hábil]]*Tabla9[[#This Row],[Trenes Corridos]]+Tabla10[[#This Row],[Coches por Tren Día Hábil]]*Tabla10[[#This Row],[Trenes Corridos]])/SARM[[#This Row],[Trenes Corridos]]</f>
        <v>0</v>
      </c>
      <c r="H165" s="16">
        <f t="shared" si="33"/>
        <v>9573</v>
      </c>
      <c r="I165" s="16">
        <f t="shared" si="34"/>
        <v>332</v>
      </c>
      <c r="J165" s="16">
        <f t="shared" si="35"/>
        <v>9241</v>
      </c>
      <c r="K165" s="16">
        <f t="shared" si="36"/>
        <v>8582</v>
      </c>
      <c r="L165" s="16">
        <f t="shared" si="37"/>
        <v>659</v>
      </c>
      <c r="M165" s="16"/>
      <c r="N165" s="17"/>
      <c r="O165" s="96">
        <v>2006</v>
      </c>
      <c r="P165" s="97" t="s">
        <v>39</v>
      </c>
      <c r="Q165" s="15">
        <f t="shared" si="18"/>
        <v>1</v>
      </c>
      <c r="R165" s="15">
        <f t="shared" si="19"/>
        <v>1</v>
      </c>
      <c r="S165" s="15">
        <f t="shared" si="20"/>
        <v>1</v>
      </c>
      <c r="T165" s="16"/>
      <c r="U165" s="16"/>
      <c r="V165" s="16">
        <v>7564</v>
      </c>
      <c r="W165" s="16">
        <f t="shared" si="44"/>
        <v>0</v>
      </c>
      <c r="X165" s="16">
        <v>7564</v>
      </c>
      <c r="Y165" s="16">
        <v>7564</v>
      </c>
      <c r="Z165" s="16">
        <f t="shared" si="45"/>
        <v>0</v>
      </c>
      <c r="AA165" s="16"/>
      <c r="AB165" s="17"/>
      <c r="AC165" s="96">
        <v>2006</v>
      </c>
      <c r="AD165" s="97" t="s">
        <v>39</v>
      </c>
      <c r="AE165" s="15">
        <f t="shared" si="23"/>
        <v>0.41363636363636364</v>
      </c>
      <c r="AF165" s="15">
        <f t="shared" si="24"/>
        <v>0.529839883551674</v>
      </c>
      <c r="AG165" s="15">
        <f t="shared" si="25"/>
        <v>0.78068181818181814</v>
      </c>
      <c r="AH165" s="16"/>
      <c r="AI165" s="16"/>
      <c r="AJ165" s="16">
        <v>880</v>
      </c>
      <c r="AK165" s="16">
        <f t="shared" si="46"/>
        <v>193</v>
      </c>
      <c r="AL165" s="16">
        <v>687</v>
      </c>
      <c r="AM165" s="16">
        <v>364</v>
      </c>
      <c r="AN165" s="16">
        <f t="shared" si="47"/>
        <v>323</v>
      </c>
      <c r="AO165" s="16"/>
      <c r="AP165" s="17"/>
      <c r="AQ165" s="96">
        <v>2006</v>
      </c>
      <c r="AR165" s="97" t="s">
        <v>39</v>
      </c>
      <c r="AS165" s="15">
        <f t="shared" si="28"/>
        <v>0.57927369353410096</v>
      </c>
      <c r="AT165" s="15">
        <f t="shared" si="29"/>
        <v>0.66060606060606064</v>
      </c>
      <c r="AU165" s="15">
        <f t="shared" si="30"/>
        <v>0.87688219663418954</v>
      </c>
      <c r="AV165" s="16"/>
      <c r="AW165" s="16"/>
      <c r="AX165" s="16">
        <v>1129</v>
      </c>
      <c r="AY165" s="16">
        <f t="shared" si="48"/>
        <v>139</v>
      </c>
      <c r="AZ165" s="16">
        <v>990</v>
      </c>
      <c r="BA165" s="16">
        <v>654</v>
      </c>
      <c r="BB165" s="16">
        <f t="shared" si="49"/>
        <v>336</v>
      </c>
    </row>
    <row r="166" spans="1:63" s="18" customFormat="1" ht="15" customHeight="1">
      <c r="A166" s="94">
        <v>2006</v>
      </c>
      <c r="B166" s="95" t="s">
        <v>40</v>
      </c>
      <c r="C166" s="15">
        <f t="shared" si="15"/>
        <v>0.66221868153754238</v>
      </c>
      <c r="D166" s="15">
        <f t="shared" si="16"/>
        <v>0.73692375886524819</v>
      </c>
      <c r="E166" s="15">
        <f t="shared" si="17"/>
        <v>0.8986257717586138</v>
      </c>
      <c r="F166" s="16">
        <f>+Tabla2[[#This Row],[Trenes Programados por Día Hábil]]+Tabla9[[#This Row],[Trenes Programados por Día Hábil]]+Tabla10[[#This Row],[Trenes Programados por Día Hábil]]</f>
        <v>0</v>
      </c>
      <c r="G166" s="33">
        <f>+(Tabla2[[#This Row],[Coches por Tren Día Hábil]]*Tabla2[[#This Row],[Trenes Corridos]]+Tabla9[[#This Row],[Coches por Tren Día Hábil]]*Tabla9[[#This Row],[Trenes Corridos]]+Tabla10[[#This Row],[Coches por Tren Día Hábil]]*Tabla10[[#This Row],[Trenes Corridos]])/SARM[[#This Row],[Trenes Corridos]]</f>
        <v>0</v>
      </c>
      <c r="H166" s="16">
        <f t="shared" si="33"/>
        <v>10042</v>
      </c>
      <c r="I166" s="16">
        <f t="shared" si="34"/>
        <v>1018</v>
      </c>
      <c r="J166" s="16">
        <f t="shared" si="35"/>
        <v>9024</v>
      </c>
      <c r="K166" s="16">
        <f t="shared" si="36"/>
        <v>6650</v>
      </c>
      <c r="L166" s="16">
        <f t="shared" si="37"/>
        <v>2374</v>
      </c>
      <c r="M166" s="16"/>
      <c r="N166" s="17"/>
      <c r="O166" s="94">
        <v>2006</v>
      </c>
      <c r="P166" s="95" t="s">
        <v>40</v>
      </c>
      <c r="Q166" s="15">
        <f t="shared" si="18"/>
        <v>0.6969048817312532</v>
      </c>
      <c r="R166" s="15">
        <f t="shared" si="19"/>
        <v>0.75370798748128998</v>
      </c>
      <c r="S166" s="15">
        <f t="shared" si="20"/>
        <v>0.92463512833417216</v>
      </c>
      <c r="T166" s="16"/>
      <c r="U166" s="16"/>
      <c r="V166" s="16">
        <v>7948</v>
      </c>
      <c r="W166" s="16">
        <f t="shared" si="44"/>
        <v>599</v>
      </c>
      <c r="X166" s="16">
        <v>7349</v>
      </c>
      <c r="Y166" s="16">
        <v>5539</v>
      </c>
      <c r="Z166" s="16">
        <f t="shared" si="45"/>
        <v>1810</v>
      </c>
      <c r="AA166" s="16"/>
      <c r="AB166" s="17"/>
      <c r="AC166" s="94">
        <v>2006</v>
      </c>
      <c r="AD166" s="95" t="s">
        <v>40</v>
      </c>
      <c r="AE166" s="15">
        <f t="shared" si="23"/>
        <v>0.44967177242888401</v>
      </c>
      <c r="AF166" s="15">
        <f t="shared" si="24"/>
        <v>0.56767955801104975</v>
      </c>
      <c r="AG166" s="15">
        <f t="shared" si="25"/>
        <v>0.79212253829321666</v>
      </c>
      <c r="AH166" s="16"/>
      <c r="AI166" s="16"/>
      <c r="AJ166" s="16">
        <v>914</v>
      </c>
      <c r="AK166" s="16">
        <f t="shared" si="46"/>
        <v>190</v>
      </c>
      <c r="AL166" s="16">
        <v>724</v>
      </c>
      <c r="AM166" s="16">
        <v>411</v>
      </c>
      <c r="AN166" s="16">
        <f t="shared" si="47"/>
        <v>313</v>
      </c>
      <c r="AO166" s="16"/>
      <c r="AP166" s="17"/>
      <c r="AQ166" s="94">
        <v>2006</v>
      </c>
      <c r="AR166" s="95" t="s">
        <v>40</v>
      </c>
      <c r="AS166" s="15">
        <f t="shared" si="28"/>
        <v>0.59322033898305082</v>
      </c>
      <c r="AT166" s="15">
        <f t="shared" si="29"/>
        <v>0.73606729758149314</v>
      </c>
      <c r="AU166" s="15">
        <f t="shared" si="30"/>
        <v>0.80593220338983051</v>
      </c>
      <c r="AV166" s="16"/>
      <c r="AW166" s="16"/>
      <c r="AX166" s="16">
        <v>1180</v>
      </c>
      <c r="AY166" s="16">
        <f t="shared" si="48"/>
        <v>229</v>
      </c>
      <c r="AZ166" s="16">
        <v>951</v>
      </c>
      <c r="BA166" s="16">
        <v>700</v>
      </c>
      <c r="BB166" s="16">
        <f t="shared" si="49"/>
        <v>251</v>
      </c>
    </row>
    <row r="167" spans="1:63" s="18" customFormat="1" ht="15" customHeight="1">
      <c r="A167" s="96">
        <v>2006</v>
      </c>
      <c r="B167" s="97" t="s">
        <v>41</v>
      </c>
      <c r="C167" s="15">
        <f t="shared" si="15"/>
        <v>0.67536025979297742</v>
      </c>
      <c r="D167" s="15">
        <f t="shared" si="16"/>
        <v>0.72605280384027926</v>
      </c>
      <c r="E167" s="15">
        <f t="shared" si="17"/>
        <v>0.93018063730464784</v>
      </c>
      <c r="F167" s="16">
        <f>+Tabla2[[#This Row],[Trenes Programados por Día Hábil]]+Tabla9[[#This Row],[Trenes Programados por Día Hábil]]+Tabla10[[#This Row],[Trenes Programados por Día Hábil]]</f>
        <v>0</v>
      </c>
      <c r="G167" s="33">
        <f>+(Tabla2[[#This Row],[Coches por Tren Día Hábil]]*Tabla2[[#This Row],[Trenes Corridos]]+Tabla9[[#This Row],[Coches por Tren Día Hábil]]*Tabla9[[#This Row],[Trenes Corridos]]+Tabla10[[#This Row],[Coches por Tren Día Hábil]]*Tabla10[[#This Row],[Trenes Corridos]])/SARM[[#This Row],[Trenes Corridos]]</f>
        <v>0</v>
      </c>
      <c r="H167" s="16">
        <f t="shared" si="33"/>
        <v>9854</v>
      </c>
      <c r="I167" s="16">
        <f t="shared" si="34"/>
        <v>688</v>
      </c>
      <c r="J167" s="16">
        <f t="shared" si="35"/>
        <v>9166</v>
      </c>
      <c r="K167" s="16">
        <f t="shared" si="36"/>
        <v>6655</v>
      </c>
      <c r="L167" s="16">
        <f t="shared" si="37"/>
        <v>2511</v>
      </c>
      <c r="M167" s="16"/>
      <c r="N167" s="17"/>
      <c r="O167" s="96">
        <v>2006</v>
      </c>
      <c r="P167" s="97" t="s">
        <v>41</v>
      </c>
      <c r="Q167" s="15">
        <f t="shared" si="18"/>
        <v>0.70414959016393441</v>
      </c>
      <c r="R167" s="15">
        <f t="shared" si="19"/>
        <v>0.75037532414357855</v>
      </c>
      <c r="S167" s="15">
        <f t="shared" si="20"/>
        <v>0.93839651639344257</v>
      </c>
      <c r="T167" s="16"/>
      <c r="U167" s="16"/>
      <c r="V167" s="16">
        <v>7808</v>
      </c>
      <c r="W167" s="16">
        <f t="shared" si="44"/>
        <v>481</v>
      </c>
      <c r="X167" s="16">
        <v>7327</v>
      </c>
      <c r="Y167" s="16">
        <v>5498</v>
      </c>
      <c r="Z167" s="16">
        <f t="shared" si="45"/>
        <v>1829</v>
      </c>
      <c r="AA167" s="16"/>
      <c r="AB167" s="17"/>
      <c r="AC167" s="96">
        <v>2006</v>
      </c>
      <c r="AD167" s="97" t="s">
        <v>41</v>
      </c>
      <c r="AE167" s="15">
        <f t="shared" si="23"/>
        <v>0.51244343891402711</v>
      </c>
      <c r="AF167" s="15">
        <f t="shared" si="24"/>
        <v>0.60399999999999998</v>
      </c>
      <c r="AG167" s="15">
        <f t="shared" si="25"/>
        <v>0.84841628959276016</v>
      </c>
      <c r="AH167" s="16"/>
      <c r="AI167" s="16"/>
      <c r="AJ167" s="16">
        <v>884</v>
      </c>
      <c r="AK167" s="16">
        <f t="shared" si="46"/>
        <v>134</v>
      </c>
      <c r="AL167" s="16">
        <v>750</v>
      </c>
      <c r="AM167" s="16">
        <v>453</v>
      </c>
      <c r="AN167" s="16">
        <f t="shared" si="47"/>
        <v>297</v>
      </c>
      <c r="AO167" s="16"/>
      <c r="AP167" s="17"/>
      <c r="AQ167" s="96">
        <v>2006</v>
      </c>
      <c r="AR167" s="97" t="s">
        <v>41</v>
      </c>
      <c r="AS167" s="15">
        <f t="shared" si="28"/>
        <v>0.60585197934595525</v>
      </c>
      <c r="AT167" s="15">
        <f t="shared" si="29"/>
        <v>0.64646464646464652</v>
      </c>
      <c r="AU167" s="15">
        <f t="shared" si="30"/>
        <v>0.93717728055077454</v>
      </c>
      <c r="AV167" s="16"/>
      <c r="AW167" s="16"/>
      <c r="AX167" s="16">
        <v>1162</v>
      </c>
      <c r="AY167" s="16">
        <f t="shared" si="48"/>
        <v>73</v>
      </c>
      <c r="AZ167" s="16">
        <v>1089</v>
      </c>
      <c r="BA167" s="16">
        <v>704</v>
      </c>
      <c r="BB167" s="16">
        <f t="shared" si="49"/>
        <v>385</v>
      </c>
    </row>
    <row r="168" spans="1:63" s="18" customFormat="1" ht="15" customHeight="1">
      <c r="A168" s="94">
        <v>2006</v>
      </c>
      <c r="B168" s="95" t="s">
        <v>42</v>
      </c>
      <c r="C168" s="15">
        <f t="shared" si="15"/>
        <v>0.67137355584082159</v>
      </c>
      <c r="D168" s="15">
        <f t="shared" si="16"/>
        <v>0.72856836690955851</v>
      </c>
      <c r="E168" s="15">
        <f t="shared" si="17"/>
        <v>0.92149698824923476</v>
      </c>
      <c r="F168" s="16">
        <f>+Tabla2[[#This Row],[Trenes Programados por Día Hábil]]+Tabla9[[#This Row],[Trenes Programados por Día Hábil]]+Tabla10[[#This Row],[Trenes Programados por Día Hábil]]</f>
        <v>0</v>
      </c>
      <c r="G168" s="33">
        <f>+(Tabla2[[#This Row],[Coches por Tren Día Hábil]]*Tabla2[[#This Row],[Trenes Corridos]]+Tabla9[[#This Row],[Coches por Tren Día Hábil]]*Tabla9[[#This Row],[Trenes Corridos]]+Tabla10[[#This Row],[Coches por Tren Día Hábil]]*Tabla10[[#This Row],[Trenes Corridos]])/SARM[[#This Row],[Trenes Corridos]]</f>
        <v>0</v>
      </c>
      <c r="H168" s="16">
        <f t="shared" si="33"/>
        <v>10127</v>
      </c>
      <c r="I168" s="16">
        <f t="shared" si="34"/>
        <v>795</v>
      </c>
      <c r="J168" s="16">
        <f t="shared" si="35"/>
        <v>9332</v>
      </c>
      <c r="K168" s="16">
        <f t="shared" si="36"/>
        <v>6799</v>
      </c>
      <c r="L168" s="16">
        <f t="shared" si="37"/>
        <v>2533</v>
      </c>
      <c r="M168" s="16"/>
      <c r="N168" s="17"/>
      <c r="O168" s="94">
        <v>2006</v>
      </c>
      <c r="P168" s="95" t="s">
        <v>42</v>
      </c>
      <c r="Q168" s="15">
        <f t="shared" si="18"/>
        <v>0.71314542279870297</v>
      </c>
      <c r="R168" s="15">
        <f t="shared" si="19"/>
        <v>0.75455265241488523</v>
      </c>
      <c r="S168" s="15">
        <f t="shared" si="20"/>
        <v>0.94512347218757797</v>
      </c>
      <c r="T168" s="16"/>
      <c r="U168" s="16"/>
      <c r="V168" s="16">
        <v>8018</v>
      </c>
      <c r="W168" s="16">
        <f t="shared" si="44"/>
        <v>440</v>
      </c>
      <c r="X168" s="16">
        <v>7578</v>
      </c>
      <c r="Y168" s="16">
        <v>5718</v>
      </c>
      <c r="Z168" s="16">
        <f t="shared" si="45"/>
        <v>1860</v>
      </c>
      <c r="AA168" s="16"/>
      <c r="AB168" s="17"/>
      <c r="AC168" s="94">
        <v>2006</v>
      </c>
      <c r="AD168" s="95" t="s">
        <v>42</v>
      </c>
      <c r="AE168" s="15">
        <f t="shared" si="23"/>
        <v>0.39780219780219778</v>
      </c>
      <c r="AF168" s="15">
        <f t="shared" si="24"/>
        <v>0.50208044382801664</v>
      </c>
      <c r="AG168" s="15">
        <f t="shared" si="25"/>
        <v>0.79230769230769227</v>
      </c>
      <c r="AH168" s="16"/>
      <c r="AI168" s="16"/>
      <c r="AJ168" s="16">
        <v>910</v>
      </c>
      <c r="AK168" s="16">
        <f t="shared" si="46"/>
        <v>189</v>
      </c>
      <c r="AL168" s="16">
        <v>721</v>
      </c>
      <c r="AM168" s="16">
        <v>362</v>
      </c>
      <c r="AN168" s="16">
        <f t="shared" si="47"/>
        <v>359</v>
      </c>
      <c r="AO168" s="16"/>
      <c r="AP168" s="17"/>
      <c r="AQ168" s="94">
        <v>2006</v>
      </c>
      <c r="AR168" s="95" t="s">
        <v>42</v>
      </c>
      <c r="AS168" s="15">
        <f t="shared" si="28"/>
        <v>0.59966638865721433</v>
      </c>
      <c r="AT168" s="15">
        <f t="shared" si="29"/>
        <v>0.6960309777347532</v>
      </c>
      <c r="AU168" s="15">
        <f t="shared" si="30"/>
        <v>0.86155129274395326</v>
      </c>
      <c r="AV168" s="16"/>
      <c r="AW168" s="16"/>
      <c r="AX168" s="16">
        <v>1199</v>
      </c>
      <c r="AY168" s="16">
        <f t="shared" si="48"/>
        <v>166</v>
      </c>
      <c r="AZ168" s="16">
        <v>1033</v>
      </c>
      <c r="BA168" s="16">
        <v>719</v>
      </c>
      <c r="BB168" s="16">
        <f t="shared" si="49"/>
        <v>314</v>
      </c>
    </row>
    <row r="169" spans="1:63" s="18" customFormat="1" ht="15" customHeight="1">
      <c r="A169" s="96">
        <v>2006</v>
      </c>
      <c r="B169" s="97" t="s">
        <v>43</v>
      </c>
      <c r="C169" s="15">
        <f t="shared" si="15"/>
        <v>0.65695286524545282</v>
      </c>
      <c r="D169" s="15">
        <f t="shared" si="16"/>
        <v>0.72004287245444798</v>
      </c>
      <c r="E169" s="15">
        <f t="shared" si="17"/>
        <v>0.91238020731468805</v>
      </c>
      <c r="F169" s="16">
        <f>+Tabla2[[#This Row],[Trenes Programados por Día Hábil]]+Tabla9[[#This Row],[Trenes Programados por Día Hábil]]+Tabla10[[#This Row],[Trenes Programados por Día Hábil]]</f>
        <v>0</v>
      </c>
      <c r="G169" s="33">
        <f>+(Tabla2[[#This Row],[Coches por Tren Día Hábil]]*Tabla2[[#This Row],[Trenes Corridos]]+Tabla9[[#This Row],[Coches por Tren Día Hábil]]*Tabla9[[#This Row],[Trenes Corridos]]+Tabla10[[#This Row],[Coches por Tren Día Hábil]]*Tabla10[[#This Row],[Trenes Corridos]])/SARM[[#This Row],[Trenes Corridos]]</f>
        <v>0</v>
      </c>
      <c r="H169" s="16">
        <f t="shared" si="33"/>
        <v>10226</v>
      </c>
      <c r="I169" s="16">
        <f t="shared" si="34"/>
        <v>896</v>
      </c>
      <c r="J169" s="16">
        <f t="shared" si="35"/>
        <v>9330</v>
      </c>
      <c r="K169" s="16">
        <f t="shared" si="36"/>
        <v>6718</v>
      </c>
      <c r="L169" s="16">
        <f t="shared" si="37"/>
        <v>2612</v>
      </c>
      <c r="M169" s="16"/>
      <c r="N169" s="17"/>
      <c r="O169" s="96">
        <v>2006</v>
      </c>
      <c r="P169" s="97" t="s">
        <v>43</v>
      </c>
      <c r="Q169" s="15">
        <f t="shared" si="18"/>
        <v>0.68825561312607941</v>
      </c>
      <c r="R169" s="15">
        <f t="shared" si="19"/>
        <v>0.74198696635190853</v>
      </c>
      <c r="S169" s="15">
        <f t="shared" si="20"/>
        <v>0.92758450530471259</v>
      </c>
      <c r="T169" s="16"/>
      <c r="U169" s="16"/>
      <c r="V169" s="16">
        <v>8106</v>
      </c>
      <c r="W169" s="16">
        <f t="shared" si="44"/>
        <v>587</v>
      </c>
      <c r="X169" s="16">
        <v>7519</v>
      </c>
      <c r="Y169" s="16">
        <v>5579</v>
      </c>
      <c r="Z169" s="16">
        <f t="shared" si="45"/>
        <v>1940</v>
      </c>
      <c r="AA169" s="16"/>
      <c r="AB169" s="17"/>
      <c r="AC169" s="96">
        <v>2006</v>
      </c>
      <c r="AD169" s="97" t="s">
        <v>43</v>
      </c>
      <c r="AE169" s="15">
        <f t="shared" si="23"/>
        <v>0.38402625820568925</v>
      </c>
      <c r="AF169" s="15">
        <f t="shared" si="24"/>
        <v>0.46551724137931033</v>
      </c>
      <c r="AG169" s="15">
        <f t="shared" si="25"/>
        <v>0.82494529540481398</v>
      </c>
      <c r="AH169" s="16"/>
      <c r="AI169" s="16"/>
      <c r="AJ169" s="16">
        <v>914</v>
      </c>
      <c r="AK169" s="16">
        <f t="shared" si="46"/>
        <v>160</v>
      </c>
      <c r="AL169" s="16">
        <v>754</v>
      </c>
      <c r="AM169" s="16">
        <v>351</v>
      </c>
      <c r="AN169" s="16">
        <f t="shared" si="47"/>
        <v>403</v>
      </c>
      <c r="AO169" s="16"/>
      <c r="AP169" s="17"/>
      <c r="AQ169" s="96">
        <v>2006</v>
      </c>
      <c r="AR169" s="97" t="s">
        <v>43</v>
      </c>
      <c r="AS169" s="15">
        <f t="shared" si="28"/>
        <v>0.65339966832504148</v>
      </c>
      <c r="AT169" s="15">
        <f t="shared" si="29"/>
        <v>0.74550614947965943</v>
      </c>
      <c r="AU169" s="15">
        <f t="shared" si="30"/>
        <v>0.87645107794361521</v>
      </c>
      <c r="AV169" s="16"/>
      <c r="AW169" s="16"/>
      <c r="AX169" s="16">
        <v>1206</v>
      </c>
      <c r="AY169" s="16">
        <f t="shared" si="48"/>
        <v>149</v>
      </c>
      <c r="AZ169" s="16">
        <v>1057</v>
      </c>
      <c r="BA169" s="16">
        <v>788</v>
      </c>
      <c r="BB169" s="16">
        <f t="shared" si="49"/>
        <v>269</v>
      </c>
    </row>
    <row r="170" spans="1:63" s="18" customFormat="1" ht="15" customHeight="1">
      <c r="A170" s="94">
        <v>2006</v>
      </c>
      <c r="B170" s="95" t="s">
        <v>44</v>
      </c>
      <c r="C170" s="15">
        <f t="shared" si="15"/>
        <v>0.69664956233021436</v>
      </c>
      <c r="D170" s="15">
        <f t="shared" si="16"/>
        <v>0.75672131147540989</v>
      </c>
      <c r="E170" s="15">
        <f t="shared" si="17"/>
        <v>0.92061575611228497</v>
      </c>
      <c r="F170" s="16">
        <f>+Tabla2[[#This Row],[Trenes Programados por Día Hábil]]+Tabla9[[#This Row],[Trenes Programados por Día Hábil]]+Tabla10[[#This Row],[Trenes Programados por Día Hábil]]</f>
        <v>0</v>
      </c>
      <c r="G170" s="33">
        <f>+(Tabla2[[#This Row],[Coches por Tren Día Hábil]]*Tabla2[[#This Row],[Trenes Corridos]]+Tabla9[[#This Row],[Coches por Tren Día Hábil]]*Tabla9[[#This Row],[Trenes Corridos]]+Tabla10[[#This Row],[Coches por Tren Día Hábil]]*Tabla10[[#This Row],[Trenes Corridos]])/SARM[[#This Row],[Trenes Corridos]]</f>
        <v>0</v>
      </c>
      <c r="H170" s="16">
        <f t="shared" ref="H170:H201" si="50">+V170+AJ170+AX170</f>
        <v>9939</v>
      </c>
      <c r="I170" s="16">
        <f t="shared" si="34"/>
        <v>789</v>
      </c>
      <c r="J170" s="16">
        <f t="shared" si="35"/>
        <v>9150</v>
      </c>
      <c r="K170" s="16">
        <f t="shared" ref="K170:K201" si="51">+Y170+AM170+BA170</f>
        <v>6924</v>
      </c>
      <c r="L170" s="16">
        <f t="shared" si="37"/>
        <v>2226</v>
      </c>
      <c r="M170" s="16"/>
      <c r="N170" s="17"/>
      <c r="O170" s="94">
        <v>2006</v>
      </c>
      <c r="P170" s="95" t="s">
        <v>44</v>
      </c>
      <c r="Q170" s="15">
        <f t="shared" si="18"/>
        <v>0.74727088093424732</v>
      </c>
      <c r="R170" s="15">
        <f t="shared" si="19"/>
        <v>0.79489603024574673</v>
      </c>
      <c r="S170" s="15">
        <f t="shared" si="20"/>
        <v>0.94008631632394013</v>
      </c>
      <c r="T170" s="16"/>
      <c r="U170" s="16"/>
      <c r="V170" s="16">
        <v>7878</v>
      </c>
      <c r="W170" s="16">
        <f t="shared" si="44"/>
        <v>472</v>
      </c>
      <c r="X170" s="16">
        <v>7406</v>
      </c>
      <c r="Y170" s="16">
        <v>5887</v>
      </c>
      <c r="Z170" s="16">
        <f t="shared" si="45"/>
        <v>1519</v>
      </c>
      <c r="AA170" s="16"/>
      <c r="AB170" s="17"/>
      <c r="AC170" s="94">
        <v>2006</v>
      </c>
      <c r="AD170" s="95" t="s">
        <v>44</v>
      </c>
      <c r="AE170" s="15">
        <f t="shared" si="23"/>
        <v>0.29659090909090907</v>
      </c>
      <c r="AF170" s="15">
        <f t="shared" si="24"/>
        <v>0.37608069164265129</v>
      </c>
      <c r="AG170" s="15">
        <f t="shared" si="25"/>
        <v>0.78863636363636369</v>
      </c>
      <c r="AH170" s="16"/>
      <c r="AI170" s="16"/>
      <c r="AJ170" s="16">
        <v>880</v>
      </c>
      <c r="AK170" s="16">
        <f t="shared" si="46"/>
        <v>186</v>
      </c>
      <c r="AL170" s="16">
        <v>694</v>
      </c>
      <c r="AM170" s="16">
        <v>261</v>
      </c>
      <c r="AN170" s="16">
        <f t="shared" si="47"/>
        <v>433</v>
      </c>
      <c r="AO170" s="16"/>
      <c r="AP170" s="17"/>
      <c r="AQ170" s="94">
        <v>2006</v>
      </c>
      <c r="AR170" s="95" t="s">
        <v>44</v>
      </c>
      <c r="AS170" s="15">
        <f t="shared" si="28"/>
        <v>0.65707027942421681</v>
      </c>
      <c r="AT170" s="15">
        <f t="shared" si="29"/>
        <v>0.73904761904761906</v>
      </c>
      <c r="AU170" s="15">
        <f t="shared" si="30"/>
        <v>0.88907705334462317</v>
      </c>
      <c r="AV170" s="16"/>
      <c r="AW170" s="16"/>
      <c r="AX170" s="16">
        <v>1181</v>
      </c>
      <c r="AY170" s="16">
        <f t="shared" si="48"/>
        <v>131</v>
      </c>
      <c r="AZ170" s="16">
        <v>1050</v>
      </c>
      <c r="BA170" s="16">
        <v>776</v>
      </c>
      <c r="BB170" s="16">
        <f t="shared" si="49"/>
        <v>274</v>
      </c>
    </row>
    <row r="171" spans="1:63" s="18" customFormat="1" ht="15" customHeight="1">
      <c r="A171" s="96">
        <v>2006</v>
      </c>
      <c r="B171" s="97" t="s">
        <v>45</v>
      </c>
      <c r="C171" s="15">
        <f t="shared" si="15"/>
        <v>0.7317267476598287</v>
      </c>
      <c r="D171" s="15">
        <f t="shared" si="16"/>
        <v>0.79053254437869824</v>
      </c>
      <c r="E171" s="15">
        <f t="shared" si="17"/>
        <v>0.9256124278032265</v>
      </c>
      <c r="F171" s="16">
        <f>+Tabla2[[#This Row],[Trenes Programados por Día Hábil]]+Tabla9[[#This Row],[Trenes Programados por Día Hábil]]+Tabla10[[#This Row],[Trenes Programados por Día Hábil]]</f>
        <v>0</v>
      </c>
      <c r="G171" s="33">
        <f>+(Tabla2[[#This Row],[Coches por Tren Día Hábil]]*Tabla2[[#This Row],[Trenes Corridos]]+Tabla9[[#This Row],[Coches por Tren Día Hábil]]*Tabla9[[#This Row],[Trenes Corridos]]+Tabla10[[#This Row],[Coches por Tren Día Hábil]]*Tabla10[[#This Row],[Trenes Corridos]])/SARM[[#This Row],[Trenes Corridos]]</f>
        <v>0</v>
      </c>
      <c r="H171" s="16">
        <f t="shared" si="50"/>
        <v>10042</v>
      </c>
      <c r="I171" s="16">
        <f t="shared" si="34"/>
        <v>747</v>
      </c>
      <c r="J171" s="16">
        <f t="shared" si="35"/>
        <v>9295</v>
      </c>
      <c r="K171" s="16">
        <f t="shared" si="51"/>
        <v>7348</v>
      </c>
      <c r="L171" s="16">
        <f t="shared" si="37"/>
        <v>1947</v>
      </c>
      <c r="M171" s="16"/>
      <c r="N171" s="17"/>
      <c r="O171" s="96">
        <v>2006</v>
      </c>
      <c r="P171" s="97" t="s">
        <v>45</v>
      </c>
      <c r="Q171" s="15">
        <f t="shared" si="18"/>
        <v>0.76534977352793154</v>
      </c>
      <c r="R171" s="15">
        <f t="shared" si="19"/>
        <v>0.81782737294971763</v>
      </c>
      <c r="S171" s="15">
        <f t="shared" si="20"/>
        <v>0.93583291394061396</v>
      </c>
      <c r="T171" s="16"/>
      <c r="U171" s="16"/>
      <c r="V171" s="16">
        <v>7948</v>
      </c>
      <c r="W171" s="16">
        <f t="shared" si="44"/>
        <v>510</v>
      </c>
      <c r="X171" s="16">
        <v>7438</v>
      </c>
      <c r="Y171" s="16">
        <v>6083</v>
      </c>
      <c r="Z171" s="16">
        <f t="shared" si="45"/>
        <v>1355</v>
      </c>
      <c r="AA171" s="16"/>
      <c r="AB171" s="17"/>
      <c r="AC171" s="96">
        <v>2006</v>
      </c>
      <c r="AD171" s="97" t="s">
        <v>45</v>
      </c>
      <c r="AE171" s="15">
        <f t="shared" si="23"/>
        <v>0.57221006564551424</v>
      </c>
      <c r="AF171" s="15">
        <f t="shared" si="24"/>
        <v>0.65538847117794485</v>
      </c>
      <c r="AG171" s="15">
        <f t="shared" si="25"/>
        <v>0.87308533916849018</v>
      </c>
      <c r="AH171" s="16"/>
      <c r="AI171" s="16"/>
      <c r="AJ171" s="16">
        <v>914</v>
      </c>
      <c r="AK171" s="16">
        <f t="shared" si="46"/>
        <v>116</v>
      </c>
      <c r="AL171" s="16">
        <v>798</v>
      </c>
      <c r="AM171" s="16">
        <v>523</v>
      </c>
      <c r="AN171" s="16">
        <f t="shared" si="47"/>
        <v>275</v>
      </c>
      <c r="AO171" s="16"/>
      <c r="AP171" s="17"/>
      <c r="AQ171" s="96">
        <v>2006</v>
      </c>
      <c r="AR171" s="97" t="s">
        <v>45</v>
      </c>
      <c r="AS171" s="15">
        <f t="shared" si="28"/>
        <v>0.62881355932203387</v>
      </c>
      <c r="AT171" s="15">
        <f t="shared" si="29"/>
        <v>0.70066100094428707</v>
      </c>
      <c r="AU171" s="15">
        <f t="shared" si="30"/>
        <v>0.89745762711864407</v>
      </c>
      <c r="AV171" s="16"/>
      <c r="AW171" s="16"/>
      <c r="AX171" s="16">
        <v>1180</v>
      </c>
      <c r="AY171" s="16">
        <f t="shared" si="48"/>
        <v>121</v>
      </c>
      <c r="AZ171" s="16">
        <v>1059</v>
      </c>
      <c r="BA171" s="16">
        <v>742</v>
      </c>
      <c r="BB171" s="16">
        <f t="shared" si="49"/>
        <v>317</v>
      </c>
    </row>
    <row r="172" spans="1:63" s="18" customFormat="1" ht="15" customHeight="1">
      <c r="A172" s="94">
        <v>2006</v>
      </c>
      <c r="B172" s="95" t="s">
        <v>46</v>
      </c>
      <c r="C172" s="15">
        <f t="shared" si="15"/>
        <v>0.73595057791948981</v>
      </c>
      <c r="D172" s="15">
        <f t="shared" si="16"/>
        <v>0.78725218503517369</v>
      </c>
      <c r="E172" s="15">
        <f t="shared" si="17"/>
        <v>0.93483459545635716</v>
      </c>
      <c r="F172" s="16">
        <f>+Tabla2[[#This Row],[Trenes Programados por Día Hábil]]+Tabla9[[#This Row],[Trenes Programados por Día Hábil]]+Tabla10[[#This Row],[Trenes Programados por Día Hábil]]</f>
        <v>0</v>
      </c>
      <c r="G172" s="33">
        <f>+(Tabla2[[#This Row],[Coches por Tren Día Hábil]]*Tabla2[[#This Row],[Trenes Corridos]]+Tabla9[[#This Row],[Coches por Tren Día Hábil]]*Tabla9[[#This Row],[Trenes Corridos]]+Tabla10[[#This Row],[Coches por Tren Día Hábil]]*Tabla10[[#This Row],[Trenes Corridos]])/SARM[[#This Row],[Trenes Corridos]]</f>
        <v>0</v>
      </c>
      <c r="H172" s="16">
        <f t="shared" si="50"/>
        <v>10036</v>
      </c>
      <c r="I172" s="16">
        <f t="shared" si="34"/>
        <v>654</v>
      </c>
      <c r="J172" s="16">
        <f t="shared" si="35"/>
        <v>9382</v>
      </c>
      <c r="K172" s="16">
        <f t="shared" si="51"/>
        <v>7386</v>
      </c>
      <c r="L172" s="16">
        <f t="shared" si="37"/>
        <v>1996</v>
      </c>
      <c r="M172" s="16"/>
      <c r="N172" s="17"/>
      <c r="O172" s="94">
        <v>2006</v>
      </c>
      <c r="P172" s="95" t="s">
        <v>46</v>
      </c>
      <c r="Q172" s="15">
        <f t="shared" si="18"/>
        <v>0.73179306880964334</v>
      </c>
      <c r="R172" s="15">
        <f t="shared" si="19"/>
        <v>0.78597437626432909</v>
      </c>
      <c r="S172" s="15">
        <f t="shared" si="20"/>
        <v>0.93106479156202915</v>
      </c>
      <c r="T172" s="16"/>
      <c r="U172" s="16"/>
      <c r="V172" s="16">
        <v>7964</v>
      </c>
      <c r="W172" s="16">
        <f t="shared" si="44"/>
        <v>549</v>
      </c>
      <c r="X172" s="16">
        <v>7415</v>
      </c>
      <c r="Y172" s="16">
        <v>5828</v>
      </c>
      <c r="Z172" s="16">
        <f t="shared" si="45"/>
        <v>1587</v>
      </c>
      <c r="AA172" s="16"/>
      <c r="AB172" s="17"/>
      <c r="AC172" s="94">
        <v>2006</v>
      </c>
      <c r="AD172" s="95" t="s">
        <v>46</v>
      </c>
      <c r="AE172" s="15">
        <f t="shared" si="23"/>
        <v>0.68891402714932126</v>
      </c>
      <c r="AF172" s="15">
        <f t="shared" si="24"/>
        <v>0.73728813559322037</v>
      </c>
      <c r="AG172" s="15">
        <f t="shared" si="25"/>
        <v>0.93438914027149322</v>
      </c>
      <c r="AH172" s="16"/>
      <c r="AI172" s="16"/>
      <c r="AJ172" s="16">
        <v>884</v>
      </c>
      <c r="AK172" s="16">
        <f t="shared" si="46"/>
        <v>58</v>
      </c>
      <c r="AL172" s="16">
        <v>826</v>
      </c>
      <c r="AM172" s="16">
        <v>609</v>
      </c>
      <c r="AN172" s="16">
        <f t="shared" si="47"/>
        <v>217</v>
      </c>
      <c r="AO172" s="16"/>
      <c r="AP172" s="17"/>
      <c r="AQ172" s="94">
        <v>2006</v>
      </c>
      <c r="AR172" s="95" t="s">
        <v>46</v>
      </c>
      <c r="AS172" s="15">
        <f t="shared" si="28"/>
        <v>0.79882154882154888</v>
      </c>
      <c r="AT172" s="15">
        <f t="shared" si="29"/>
        <v>0.83172655565293607</v>
      </c>
      <c r="AU172" s="15">
        <f t="shared" si="30"/>
        <v>0.96043771043771042</v>
      </c>
      <c r="AV172" s="16"/>
      <c r="AW172" s="16"/>
      <c r="AX172" s="16">
        <v>1188</v>
      </c>
      <c r="AY172" s="16">
        <f t="shared" si="48"/>
        <v>47</v>
      </c>
      <c r="AZ172" s="16">
        <v>1141</v>
      </c>
      <c r="BA172" s="16">
        <v>949</v>
      </c>
      <c r="BB172" s="16">
        <f t="shared" si="49"/>
        <v>192</v>
      </c>
    </row>
    <row r="173" spans="1:63" s="18" customFormat="1" ht="15" customHeight="1">
      <c r="A173" s="96">
        <v>2006</v>
      </c>
      <c r="B173" s="97" t="s">
        <v>47</v>
      </c>
      <c r="C173" s="15">
        <f t="shared" si="15"/>
        <v>0.68875460876689876</v>
      </c>
      <c r="D173" s="15">
        <f t="shared" si="16"/>
        <v>0.75022311468094605</v>
      </c>
      <c r="E173" s="15">
        <f t="shared" si="17"/>
        <v>0.91806636624334292</v>
      </c>
      <c r="F173" s="16">
        <f>+Tabla2[[#This Row],[Trenes Programados por Día Hábil]]+Tabla9[[#This Row],[Trenes Programados por Día Hábil]]+Tabla10[[#This Row],[Trenes Programados por Día Hábil]]</f>
        <v>0</v>
      </c>
      <c r="G173" s="33">
        <f>+(Tabla2[[#This Row],[Coches por Tren Día Hábil]]*Tabla2[[#This Row],[Trenes Corridos]]+Tabla9[[#This Row],[Coches por Tren Día Hábil]]*Tabla9[[#This Row],[Trenes Corridos]]+Tabla10[[#This Row],[Coches por Tren Día Hábil]]*Tabla10[[#This Row],[Trenes Corridos]])/SARM[[#This Row],[Trenes Corridos]]</f>
        <v>0</v>
      </c>
      <c r="H173" s="16">
        <f t="shared" si="50"/>
        <v>9764</v>
      </c>
      <c r="I173" s="16">
        <f t="shared" si="34"/>
        <v>800</v>
      </c>
      <c r="J173" s="16">
        <f t="shared" si="35"/>
        <v>8964</v>
      </c>
      <c r="K173" s="16">
        <f t="shared" si="51"/>
        <v>6725</v>
      </c>
      <c r="L173" s="16">
        <f t="shared" si="37"/>
        <v>2239</v>
      </c>
      <c r="M173" s="16"/>
      <c r="N173" s="25"/>
      <c r="O173" s="96">
        <v>2006</v>
      </c>
      <c r="P173" s="97" t="s">
        <v>47</v>
      </c>
      <c r="Q173" s="15">
        <f t="shared" si="18"/>
        <v>0.68937329700272476</v>
      </c>
      <c r="R173" s="15">
        <f t="shared" si="19"/>
        <v>0.75222993062438059</v>
      </c>
      <c r="S173" s="15">
        <f t="shared" si="20"/>
        <v>0.91643960036330607</v>
      </c>
      <c r="T173" s="16"/>
      <c r="U173" s="16"/>
      <c r="V173" s="16">
        <v>7707</v>
      </c>
      <c r="W173" s="16">
        <f t="shared" si="44"/>
        <v>644</v>
      </c>
      <c r="X173" s="16">
        <v>7063</v>
      </c>
      <c r="Y173" s="16">
        <v>5313</v>
      </c>
      <c r="Z173" s="16">
        <f t="shared" si="45"/>
        <v>1750</v>
      </c>
      <c r="AA173" s="16"/>
      <c r="AB173" s="17"/>
      <c r="AC173" s="96">
        <v>2006</v>
      </c>
      <c r="AD173" s="97" t="s">
        <v>47</v>
      </c>
      <c r="AE173" s="15">
        <f t="shared" si="23"/>
        <v>0.67802197802197806</v>
      </c>
      <c r="AF173" s="15">
        <f t="shared" si="24"/>
        <v>0.74697336561743344</v>
      </c>
      <c r="AG173" s="15">
        <f t="shared" si="25"/>
        <v>0.90769230769230769</v>
      </c>
      <c r="AH173" s="16"/>
      <c r="AI173" s="16"/>
      <c r="AJ173" s="16">
        <v>910</v>
      </c>
      <c r="AK173" s="16">
        <f t="shared" si="46"/>
        <v>84</v>
      </c>
      <c r="AL173" s="16">
        <v>826</v>
      </c>
      <c r="AM173" s="16">
        <v>617</v>
      </c>
      <c r="AN173" s="16">
        <f t="shared" si="47"/>
        <v>209</v>
      </c>
      <c r="AO173" s="16"/>
      <c r="AP173" s="17"/>
      <c r="AQ173" s="96">
        <v>2006</v>
      </c>
      <c r="AR173" s="97" t="s">
        <v>47</v>
      </c>
      <c r="AS173" s="15">
        <f t="shared" si="28"/>
        <v>0.69311246730601572</v>
      </c>
      <c r="AT173" s="15">
        <f t="shared" si="29"/>
        <v>0.73953488372093024</v>
      </c>
      <c r="AU173" s="15">
        <f t="shared" si="30"/>
        <v>0.93722755013077597</v>
      </c>
      <c r="AV173" s="16"/>
      <c r="AW173" s="16"/>
      <c r="AX173" s="16">
        <v>1147</v>
      </c>
      <c r="AY173" s="16">
        <f t="shared" si="48"/>
        <v>72</v>
      </c>
      <c r="AZ173" s="16">
        <v>1075</v>
      </c>
      <c r="BA173" s="16">
        <v>795</v>
      </c>
      <c r="BB173" s="16">
        <f t="shared" si="49"/>
        <v>280</v>
      </c>
    </row>
    <row r="174" spans="1:63" s="18" customFormat="1" ht="15" customHeight="1">
      <c r="A174" s="94">
        <v>2007</v>
      </c>
      <c r="B174" s="95" t="s">
        <v>36</v>
      </c>
      <c r="C174" s="15">
        <f t="shared" si="15"/>
        <v>0.73281173594132032</v>
      </c>
      <c r="D174" s="15">
        <f t="shared" si="16"/>
        <v>0.78584163607760882</v>
      </c>
      <c r="E174" s="15">
        <f t="shared" si="17"/>
        <v>0.93251833740831291</v>
      </c>
      <c r="F174" s="16">
        <f>+Tabla2[[#This Row],[Trenes Programados por Día Hábil]]+Tabla9[[#This Row],[Trenes Programados por Día Hábil]]+Tabla10[[#This Row],[Trenes Programados por Día Hábil]]</f>
        <v>0</v>
      </c>
      <c r="G174" s="33">
        <f>+(Tabla2[[#This Row],[Coches por Tren Día Hábil]]*Tabla2[[#This Row],[Trenes Corridos]]+Tabla9[[#This Row],[Coches por Tren Día Hábil]]*Tabla9[[#This Row],[Trenes Corridos]]+Tabla10[[#This Row],[Coches por Tren Día Hábil]]*Tabla10[[#This Row],[Trenes Corridos]])/SARM[[#This Row],[Trenes Corridos]]</f>
        <v>0</v>
      </c>
      <c r="H174" s="16">
        <f t="shared" si="50"/>
        <v>10225</v>
      </c>
      <c r="I174" s="16">
        <f t="shared" si="34"/>
        <v>690</v>
      </c>
      <c r="J174" s="16">
        <f t="shared" si="35"/>
        <v>9535</v>
      </c>
      <c r="K174" s="16">
        <f t="shared" si="51"/>
        <v>7493</v>
      </c>
      <c r="L174" s="16">
        <f t="shared" si="37"/>
        <v>2042</v>
      </c>
      <c r="M174" s="16"/>
      <c r="N174" s="17"/>
      <c r="O174" s="94">
        <v>2007</v>
      </c>
      <c r="P174" s="95" t="s">
        <v>36</v>
      </c>
      <c r="Q174" s="15">
        <f t="shared" si="18"/>
        <v>0.75114127082048121</v>
      </c>
      <c r="R174" s="15">
        <f t="shared" si="19"/>
        <v>0.80699893955461299</v>
      </c>
      <c r="S174" s="15">
        <f t="shared" si="20"/>
        <v>0.93078346699568171</v>
      </c>
      <c r="T174" s="16"/>
      <c r="U174" s="16"/>
      <c r="V174" s="16">
        <v>8105</v>
      </c>
      <c r="W174" s="16">
        <f t="shared" ref="W174:W185" si="52">V174-X174</f>
        <v>561</v>
      </c>
      <c r="X174" s="16">
        <v>7544</v>
      </c>
      <c r="Y174" s="16">
        <v>6088</v>
      </c>
      <c r="Z174" s="16">
        <f t="shared" ref="Z174:Z185" si="53">X174-Y174</f>
        <v>1456</v>
      </c>
      <c r="AA174" s="16"/>
      <c r="AB174" s="17"/>
      <c r="AC174" s="94">
        <v>2007</v>
      </c>
      <c r="AD174" s="95" t="s">
        <v>36</v>
      </c>
      <c r="AE174" s="15">
        <f t="shared" si="23"/>
        <v>0.73194748358862149</v>
      </c>
      <c r="AF174" s="15">
        <f t="shared" si="24"/>
        <v>0.78798586572438167</v>
      </c>
      <c r="AG174" s="15">
        <f t="shared" si="25"/>
        <v>0.92888402625820565</v>
      </c>
      <c r="AH174" s="16"/>
      <c r="AI174" s="16"/>
      <c r="AJ174" s="16">
        <v>914</v>
      </c>
      <c r="AK174" s="16">
        <f t="shared" ref="AK174:AK185" si="54">AJ174-AL174</f>
        <v>65</v>
      </c>
      <c r="AL174" s="16">
        <v>849</v>
      </c>
      <c r="AM174" s="16">
        <v>669</v>
      </c>
      <c r="AN174" s="16">
        <f t="shared" ref="AN174:AN185" si="55">AL174-AM174</f>
        <v>180</v>
      </c>
      <c r="AO174" s="16"/>
      <c r="AP174" s="17"/>
      <c r="AQ174" s="94">
        <v>2007</v>
      </c>
      <c r="AR174" s="95" t="s">
        <v>36</v>
      </c>
      <c r="AS174" s="15">
        <f t="shared" si="28"/>
        <v>0.61028192371475953</v>
      </c>
      <c r="AT174" s="15">
        <f t="shared" si="29"/>
        <v>0.64448336252189142</v>
      </c>
      <c r="AU174" s="15">
        <f t="shared" si="30"/>
        <v>0.94693200663349919</v>
      </c>
      <c r="AV174" s="16"/>
      <c r="AW174" s="16"/>
      <c r="AX174" s="16">
        <v>1206</v>
      </c>
      <c r="AY174" s="16">
        <f t="shared" ref="AY174:AY185" si="56">AX174-AZ174</f>
        <v>64</v>
      </c>
      <c r="AZ174" s="16">
        <v>1142</v>
      </c>
      <c r="BA174" s="16">
        <v>736</v>
      </c>
      <c r="BB174" s="16">
        <f t="shared" ref="BB174:BB185" si="57">AZ174-BA174</f>
        <v>406</v>
      </c>
      <c r="BD174" s="18">
        <v>8706</v>
      </c>
      <c r="BE174" s="18">
        <v>7661</v>
      </c>
      <c r="BF174" s="18">
        <v>8844</v>
      </c>
      <c r="BG174" s="18">
        <v>8622</v>
      </c>
      <c r="BH174" s="18">
        <v>7944</v>
      </c>
      <c r="BI174" s="18">
        <v>8717</v>
      </c>
      <c r="BJ174" s="18">
        <v>8353</v>
      </c>
      <c r="BK174" s="18">
        <v>7640</v>
      </c>
    </row>
    <row r="175" spans="1:63" s="18" customFormat="1" ht="15" customHeight="1">
      <c r="A175" s="96">
        <v>2007</v>
      </c>
      <c r="B175" s="97" t="s">
        <v>37</v>
      </c>
      <c r="C175" s="15">
        <f t="shared" si="15"/>
        <v>0.65615583297460178</v>
      </c>
      <c r="D175" s="15">
        <f t="shared" si="16"/>
        <v>0.7066527584608252</v>
      </c>
      <c r="E175" s="15">
        <f t="shared" si="17"/>
        <v>0.92854068015497204</v>
      </c>
      <c r="F175" s="16">
        <f>+Tabla2[[#This Row],[Trenes Programados por Día Hábil]]+Tabla9[[#This Row],[Trenes Programados por Día Hábil]]+Tabla10[[#This Row],[Trenes Programados por Día Hábil]]</f>
        <v>0</v>
      </c>
      <c r="G175" s="33">
        <f>+(Tabla2[[#This Row],[Coches por Tren Día Hábil]]*Tabla2[[#This Row],[Trenes Corridos]]+Tabla9[[#This Row],[Coches por Tren Día Hábil]]*Tabla9[[#This Row],[Trenes Corridos]]+Tabla10[[#This Row],[Coches por Tren Día Hábil]]*Tabla10[[#This Row],[Trenes Corridos]])/SARM[[#This Row],[Trenes Corridos]]</f>
        <v>0</v>
      </c>
      <c r="H175" s="16">
        <f t="shared" si="50"/>
        <v>9292</v>
      </c>
      <c r="I175" s="16">
        <f t="shared" si="34"/>
        <v>664</v>
      </c>
      <c r="J175" s="16">
        <f t="shared" si="35"/>
        <v>8628</v>
      </c>
      <c r="K175" s="16">
        <f t="shared" si="51"/>
        <v>6097</v>
      </c>
      <c r="L175" s="16">
        <f t="shared" si="37"/>
        <v>2531</v>
      </c>
      <c r="M175" s="16"/>
      <c r="N175" s="17"/>
      <c r="O175" s="96">
        <v>2007</v>
      </c>
      <c r="P175" s="97" t="s">
        <v>37</v>
      </c>
      <c r="Q175" s="15">
        <f t="shared" si="18"/>
        <v>0.66218783930510317</v>
      </c>
      <c r="R175" s="15">
        <f t="shared" si="19"/>
        <v>0.71445306779909212</v>
      </c>
      <c r="S175" s="15">
        <f t="shared" si="20"/>
        <v>0.92684581976112923</v>
      </c>
      <c r="T175" s="16"/>
      <c r="U175" s="16"/>
      <c r="V175" s="16">
        <v>7368</v>
      </c>
      <c r="W175" s="16">
        <f t="shared" si="52"/>
        <v>539</v>
      </c>
      <c r="X175" s="16">
        <v>6829</v>
      </c>
      <c r="Y175" s="16">
        <v>4879</v>
      </c>
      <c r="Z175" s="16">
        <f t="shared" si="53"/>
        <v>1950</v>
      </c>
      <c r="AA175" s="16"/>
      <c r="AB175" s="17"/>
      <c r="AC175" s="96">
        <v>2007</v>
      </c>
      <c r="AD175" s="97" t="s">
        <v>37</v>
      </c>
      <c r="AE175" s="15">
        <f t="shared" si="23"/>
        <v>0.69660194174757284</v>
      </c>
      <c r="AF175" s="15">
        <f t="shared" si="24"/>
        <v>0.76329787234042556</v>
      </c>
      <c r="AG175" s="15">
        <f t="shared" si="25"/>
        <v>0.91262135922330101</v>
      </c>
      <c r="AH175" s="16"/>
      <c r="AI175" s="16"/>
      <c r="AJ175" s="16">
        <v>824</v>
      </c>
      <c r="AK175" s="16">
        <f t="shared" si="54"/>
        <v>72</v>
      </c>
      <c r="AL175" s="16">
        <v>752</v>
      </c>
      <c r="AM175" s="16">
        <v>574</v>
      </c>
      <c r="AN175" s="16">
        <f t="shared" si="55"/>
        <v>178</v>
      </c>
      <c r="AO175" s="16"/>
      <c r="AP175" s="17"/>
      <c r="AQ175" s="96">
        <v>2007</v>
      </c>
      <c r="AR175" s="97" t="s">
        <v>37</v>
      </c>
      <c r="AS175" s="15">
        <f t="shared" si="28"/>
        <v>0.58545454545454545</v>
      </c>
      <c r="AT175" s="15">
        <f t="shared" si="29"/>
        <v>0.61509073543457493</v>
      </c>
      <c r="AU175" s="15">
        <f t="shared" si="30"/>
        <v>0.95181818181818179</v>
      </c>
      <c r="AV175" s="16"/>
      <c r="AW175" s="16"/>
      <c r="AX175" s="16">
        <v>1100</v>
      </c>
      <c r="AY175" s="16">
        <f t="shared" si="56"/>
        <v>53</v>
      </c>
      <c r="AZ175" s="16">
        <v>1047</v>
      </c>
      <c r="BA175" s="16">
        <v>644</v>
      </c>
      <c r="BB175" s="16">
        <f t="shared" si="57"/>
        <v>403</v>
      </c>
    </row>
    <row r="176" spans="1:63" s="18" customFormat="1" ht="15" customHeight="1">
      <c r="A176" s="94">
        <v>2007</v>
      </c>
      <c r="B176" s="95" t="s">
        <v>38</v>
      </c>
      <c r="C176" s="15">
        <f t="shared" si="15"/>
        <v>0.48029339853300734</v>
      </c>
      <c r="D176" s="15">
        <f t="shared" si="16"/>
        <v>0.5629943826665138</v>
      </c>
      <c r="E176" s="15">
        <f t="shared" si="17"/>
        <v>0.85310513447432768</v>
      </c>
      <c r="F176" s="16">
        <f>+Tabla2[[#This Row],[Trenes Programados por Día Hábil]]+Tabla9[[#This Row],[Trenes Programados por Día Hábil]]+Tabla10[[#This Row],[Trenes Programados por Día Hábil]]</f>
        <v>0</v>
      </c>
      <c r="G176" s="33">
        <f>+(Tabla2[[#This Row],[Coches por Tren Día Hábil]]*Tabla2[[#This Row],[Trenes Corridos]]+Tabla9[[#This Row],[Coches por Tren Día Hábil]]*Tabla9[[#This Row],[Trenes Corridos]]+Tabla10[[#This Row],[Coches por Tren Día Hábil]]*Tabla10[[#This Row],[Trenes Corridos]])/SARM[[#This Row],[Trenes Corridos]]</f>
        <v>0</v>
      </c>
      <c r="H176" s="16">
        <f t="shared" si="50"/>
        <v>10225</v>
      </c>
      <c r="I176" s="16">
        <f t="shared" si="34"/>
        <v>1502</v>
      </c>
      <c r="J176" s="16">
        <f t="shared" si="35"/>
        <v>8723</v>
      </c>
      <c r="K176" s="16">
        <f t="shared" si="51"/>
        <v>4911</v>
      </c>
      <c r="L176" s="16">
        <f t="shared" si="37"/>
        <v>3812</v>
      </c>
      <c r="M176" s="16"/>
      <c r="N176" s="17"/>
      <c r="O176" s="94">
        <v>2007</v>
      </c>
      <c r="P176" s="95" t="s">
        <v>38</v>
      </c>
      <c r="Q176" s="15">
        <f t="shared" si="18"/>
        <v>0.46896977174583593</v>
      </c>
      <c r="R176" s="15">
        <f t="shared" si="19"/>
        <v>0.55335565584510116</v>
      </c>
      <c r="S176" s="15">
        <f t="shared" si="20"/>
        <v>0.84750154225786556</v>
      </c>
      <c r="T176" s="16"/>
      <c r="U176" s="16"/>
      <c r="V176" s="16">
        <v>8105</v>
      </c>
      <c r="W176" s="16">
        <f t="shared" si="52"/>
        <v>1236</v>
      </c>
      <c r="X176" s="16">
        <v>6869</v>
      </c>
      <c r="Y176" s="16">
        <v>3801</v>
      </c>
      <c r="Z176" s="16">
        <f t="shared" si="53"/>
        <v>3068</v>
      </c>
      <c r="AA176" s="16"/>
      <c r="AB176" s="17"/>
      <c r="AC176" s="94">
        <v>2007</v>
      </c>
      <c r="AD176" s="95" t="s">
        <v>38</v>
      </c>
      <c r="AE176" s="15">
        <f t="shared" si="23"/>
        <v>0.62035010940919033</v>
      </c>
      <c r="AF176" s="15">
        <f t="shared" si="24"/>
        <v>0.69656019656019652</v>
      </c>
      <c r="AG176" s="15">
        <f t="shared" si="25"/>
        <v>0.89059080962800874</v>
      </c>
      <c r="AH176" s="16"/>
      <c r="AI176" s="16"/>
      <c r="AJ176" s="16">
        <v>914</v>
      </c>
      <c r="AK176" s="16">
        <f t="shared" si="54"/>
        <v>100</v>
      </c>
      <c r="AL176" s="16">
        <v>814</v>
      </c>
      <c r="AM176" s="16">
        <v>567</v>
      </c>
      <c r="AN176" s="16">
        <f t="shared" si="55"/>
        <v>247</v>
      </c>
      <c r="AO176" s="16"/>
      <c r="AP176" s="17"/>
      <c r="AQ176" s="94">
        <v>2007</v>
      </c>
      <c r="AR176" s="95" t="s">
        <v>38</v>
      </c>
      <c r="AS176" s="15">
        <f t="shared" si="28"/>
        <v>0.45024875621890548</v>
      </c>
      <c r="AT176" s="15">
        <f t="shared" si="29"/>
        <v>0.52211538461538465</v>
      </c>
      <c r="AU176" s="15">
        <f t="shared" si="30"/>
        <v>0.86235489220563843</v>
      </c>
      <c r="AV176" s="16"/>
      <c r="AW176" s="16"/>
      <c r="AX176" s="16">
        <v>1206</v>
      </c>
      <c r="AY176" s="16">
        <f t="shared" si="56"/>
        <v>166</v>
      </c>
      <c r="AZ176" s="16">
        <v>1040</v>
      </c>
      <c r="BA176" s="16">
        <v>543</v>
      </c>
      <c r="BB176" s="16">
        <f t="shared" si="57"/>
        <v>497</v>
      </c>
    </row>
    <row r="177" spans="1:63" s="18" customFormat="1" ht="15" customHeight="1">
      <c r="A177" s="96">
        <v>2007</v>
      </c>
      <c r="B177" s="97" t="s">
        <v>39</v>
      </c>
      <c r="C177" s="15">
        <f t="shared" si="15"/>
        <v>0.5220735433568644</v>
      </c>
      <c r="D177" s="15">
        <f t="shared" si="16"/>
        <v>0.58666824532322992</v>
      </c>
      <c r="E177" s="15">
        <f t="shared" si="17"/>
        <v>0.88989569065430407</v>
      </c>
      <c r="F177" s="16">
        <f>+Tabla2[[#This Row],[Trenes Programados por Día Hábil]]+Tabla9[[#This Row],[Trenes Programados por Día Hábil]]+Tabla10[[#This Row],[Trenes Programados por Día Hábil]]</f>
        <v>0</v>
      </c>
      <c r="G177" s="33">
        <f>+(Tabla2[[#This Row],[Coches por Tren Día Hábil]]*Tabla2[[#This Row],[Trenes Corridos]]+Tabla9[[#This Row],[Coches por Tren Día Hábil]]*Tabla9[[#This Row],[Trenes Corridos]]+Tabla10[[#This Row],[Coches por Tren Día Hábil]]*Tabla10[[#This Row],[Trenes Corridos]])/SARM[[#This Row],[Trenes Corridos]]</f>
        <v>0</v>
      </c>
      <c r="H177" s="16">
        <f t="shared" si="50"/>
        <v>9491</v>
      </c>
      <c r="I177" s="16">
        <f t="shared" si="34"/>
        <v>1045</v>
      </c>
      <c r="J177" s="16">
        <f t="shared" si="35"/>
        <v>8446</v>
      </c>
      <c r="K177" s="16">
        <f t="shared" si="51"/>
        <v>4955</v>
      </c>
      <c r="L177" s="16">
        <f t="shared" si="37"/>
        <v>3491</v>
      </c>
      <c r="M177" s="16"/>
      <c r="N177" s="17"/>
      <c r="O177" s="96">
        <v>2007</v>
      </c>
      <c r="P177" s="97" t="s">
        <v>39</v>
      </c>
      <c r="Q177" s="15">
        <f t="shared" si="18"/>
        <v>0.51754034947312255</v>
      </c>
      <c r="R177" s="15">
        <f t="shared" si="19"/>
        <v>0.58258258258258255</v>
      </c>
      <c r="S177" s="15">
        <f t="shared" si="20"/>
        <v>0.88835534213685474</v>
      </c>
      <c r="T177" s="16"/>
      <c r="U177" s="16"/>
      <c r="V177" s="16">
        <v>7497</v>
      </c>
      <c r="W177" s="16">
        <f t="shared" si="52"/>
        <v>837</v>
      </c>
      <c r="X177" s="16">
        <v>6660</v>
      </c>
      <c r="Y177" s="16">
        <v>3880</v>
      </c>
      <c r="Z177" s="16">
        <f t="shared" si="53"/>
        <v>2780</v>
      </c>
      <c r="AA177" s="16"/>
      <c r="AB177" s="17"/>
      <c r="AC177" s="96">
        <v>2007</v>
      </c>
      <c r="AD177" s="97" t="s">
        <v>39</v>
      </c>
      <c r="AE177" s="15">
        <f t="shared" si="23"/>
        <v>0.57692307692307687</v>
      </c>
      <c r="AF177" s="15">
        <f t="shared" si="24"/>
        <v>0.64231738035264485</v>
      </c>
      <c r="AG177" s="15">
        <f t="shared" si="25"/>
        <v>0.89819004524886881</v>
      </c>
      <c r="AH177" s="16"/>
      <c r="AI177" s="16"/>
      <c r="AJ177" s="16">
        <v>884</v>
      </c>
      <c r="AK177" s="16">
        <f t="shared" si="54"/>
        <v>90</v>
      </c>
      <c r="AL177" s="16">
        <v>794</v>
      </c>
      <c r="AM177" s="16">
        <v>510</v>
      </c>
      <c r="AN177" s="16">
        <f t="shared" si="55"/>
        <v>284</v>
      </c>
      <c r="AO177" s="16"/>
      <c r="AP177" s="17"/>
      <c r="AQ177" s="96">
        <v>2007</v>
      </c>
      <c r="AR177" s="97" t="s">
        <v>39</v>
      </c>
      <c r="AS177" s="15">
        <f t="shared" si="28"/>
        <v>0.50900900900900903</v>
      </c>
      <c r="AT177" s="15">
        <f t="shared" si="29"/>
        <v>0.56955645161290325</v>
      </c>
      <c r="AU177" s="15">
        <f t="shared" si="30"/>
        <v>0.89369369369369367</v>
      </c>
      <c r="AV177" s="16"/>
      <c r="AW177" s="16"/>
      <c r="AX177" s="16">
        <v>1110</v>
      </c>
      <c r="AY177" s="16">
        <f t="shared" si="56"/>
        <v>118</v>
      </c>
      <c r="AZ177" s="16">
        <v>992</v>
      </c>
      <c r="BA177" s="16">
        <v>565</v>
      </c>
      <c r="BB177" s="16">
        <f t="shared" si="57"/>
        <v>427</v>
      </c>
    </row>
    <row r="178" spans="1:63" s="18" customFormat="1" ht="15" customHeight="1">
      <c r="A178" s="94">
        <v>2007</v>
      </c>
      <c r="B178" s="95" t="s">
        <v>40</v>
      </c>
      <c r="C178" s="15">
        <f t="shared" si="15"/>
        <v>0.61128807485566394</v>
      </c>
      <c r="D178" s="15">
        <f t="shared" si="16"/>
        <v>0.65940083753892409</v>
      </c>
      <c r="E178" s="15">
        <f t="shared" si="17"/>
        <v>0.92703563607405937</v>
      </c>
      <c r="F178" s="16">
        <f>+Tabla2[[#This Row],[Trenes Programados por Día Hábil]]+Tabla9[[#This Row],[Trenes Programados por Día Hábil]]+Tabla10[[#This Row],[Trenes Programados por Día Hábil]]</f>
        <v>0</v>
      </c>
      <c r="G178" s="33">
        <f>+(Tabla2[[#This Row],[Coches por Tren Día Hábil]]*Tabla2[[#This Row],[Trenes Corridos]]+Tabla9[[#This Row],[Coches por Tren Día Hábil]]*Tabla9[[#This Row],[Trenes Corridos]]+Tabla10[[#This Row],[Coches por Tren Día Hábil]]*Tabla10[[#This Row],[Trenes Corridos]])/SARM[[#This Row],[Trenes Corridos]]</f>
        <v>0</v>
      </c>
      <c r="H178" s="16">
        <f t="shared" si="50"/>
        <v>10046</v>
      </c>
      <c r="I178" s="16">
        <f t="shared" si="34"/>
        <v>733</v>
      </c>
      <c r="J178" s="16">
        <f t="shared" si="35"/>
        <v>9313</v>
      </c>
      <c r="K178" s="16">
        <f t="shared" si="51"/>
        <v>6141</v>
      </c>
      <c r="L178" s="16">
        <f t="shared" si="37"/>
        <v>3172</v>
      </c>
      <c r="M178" s="16"/>
      <c r="N178" s="17"/>
      <c r="O178" s="94">
        <v>2007</v>
      </c>
      <c r="P178" s="95" t="s">
        <v>40</v>
      </c>
      <c r="Q178" s="15">
        <f t="shared" si="18"/>
        <v>0.62009557344064381</v>
      </c>
      <c r="R178" s="15">
        <f t="shared" si="19"/>
        <v>0.66644141100148668</v>
      </c>
      <c r="S178" s="15">
        <f t="shared" si="20"/>
        <v>0.93045774647887325</v>
      </c>
      <c r="T178" s="16"/>
      <c r="U178" s="16"/>
      <c r="V178" s="16">
        <v>7952</v>
      </c>
      <c r="W178" s="16">
        <f t="shared" si="52"/>
        <v>553</v>
      </c>
      <c r="X178" s="16">
        <v>7399</v>
      </c>
      <c r="Y178" s="16">
        <v>4931</v>
      </c>
      <c r="Z178" s="16">
        <f t="shared" si="53"/>
        <v>2468</v>
      </c>
      <c r="AA178" s="16"/>
      <c r="AB178" s="17"/>
      <c r="AC178" s="94">
        <v>2007</v>
      </c>
      <c r="AD178" s="95" t="s">
        <v>40</v>
      </c>
      <c r="AE178" s="15">
        <f t="shared" si="23"/>
        <v>0.6783369803063457</v>
      </c>
      <c r="AF178" s="15">
        <f t="shared" si="24"/>
        <v>0.73634204275534443</v>
      </c>
      <c r="AG178" s="15">
        <f t="shared" si="25"/>
        <v>0.92122538293216627</v>
      </c>
      <c r="AH178" s="16"/>
      <c r="AI178" s="16"/>
      <c r="AJ178" s="16">
        <v>914</v>
      </c>
      <c r="AK178" s="16">
        <f t="shared" si="54"/>
        <v>72</v>
      </c>
      <c r="AL178" s="16">
        <v>842</v>
      </c>
      <c r="AM178" s="16">
        <v>620</v>
      </c>
      <c r="AN178" s="16">
        <f t="shared" si="55"/>
        <v>222</v>
      </c>
      <c r="AO178" s="16"/>
      <c r="AP178" s="17"/>
      <c r="AQ178" s="94">
        <v>2007</v>
      </c>
      <c r="AR178" s="95" t="s">
        <v>40</v>
      </c>
      <c r="AS178" s="15">
        <f t="shared" si="28"/>
        <v>0.5</v>
      </c>
      <c r="AT178" s="15">
        <f t="shared" si="29"/>
        <v>0.55037313432835822</v>
      </c>
      <c r="AU178" s="15">
        <f t="shared" si="30"/>
        <v>0.90847457627118644</v>
      </c>
      <c r="AV178" s="16"/>
      <c r="AW178" s="16"/>
      <c r="AX178" s="16">
        <v>1180</v>
      </c>
      <c r="AY178" s="16">
        <f t="shared" si="56"/>
        <v>108</v>
      </c>
      <c r="AZ178" s="16">
        <v>1072</v>
      </c>
      <c r="BA178" s="16">
        <v>590</v>
      </c>
      <c r="BB178" s="16">
        <f t="shared" si="57"/>
        <v>482</v>
      </c>
      <c r="BD178" s="18">
        <v>1013</v>
      </c>
      <c r="BE178" s="18">
        <v>826</v>
      </c>
      <c r="BF178" s="18">
        <v>1008</v>
      </c>
      <c r="BG178" s="18">
        <v>970</v>
      </c>
      <c r="BH178" s="18">
        <v>793</v>
      </c>
      <c r="BI178" s="18">
        <v>990</v>
      </c>
      <c r="BJ178" s="18">
        <v>979</v>
      </c>
      <c r="BK178" s="18">
        <v>828</v>
      </c>
    </row>
    <row r="179" spans="1:63" s="18" customFormat="1" ht="15" customHeight="1">
      <c r="A179" s="96">
        <v>2007</v>
      </c>
      <c r="B179" s="97" t="s">
        <v>41</v>
      </c>
      <c r="C179" s="15">
        <f t="shared" si="15"/>
        <v>0.65183409754064192</v>
      </c>
      <c r="D179" s="15">
        <f t="shared" si="16"/>
        <v>0.69016881827209531</v>
      </c>
      <c r="E179" s="15">
        <f t="shared" si="17"/>
        <v>0.94445602334305956</v>
      </c>
      <c r="F179" s="16">
        <f>+Tabla2[[#This Row],[Trenes Programados por Día Hábil]]+Tabla9[[#This Row],[Trenes Programados por Día Hábil]]+Tabla10[[#This Row],[Trenes Programados por Día Hábil]]</f>
        <v>0</v>
      </c>
      <c r="G179" s="33">
        <f>+(Tabla2[[#This Row],[Coches por Tren Día Hábil]]*Tabla2[[#This Row],[Trenes Corridos]]+Tabla9[[#This Row],[Coches por Tren Día Hábil]]*Tabla9[[#This Row],[Trenes Corridos]]+Tabla10[[#This Row],[Coches por Tren Día Hábil]]*Tabla10[[#This Row],[Trenes Corridos]])/SARM[[#This Row],[Trenes Corridos]]</f>
        <v>0</v>
      </c>
      <c r="H179" s="16">
        <f t="shared" si="50"/>
        <v>9596</v>
      </c>
      <c r="I179" s="16">
        <f t="shared" si="34"/>
        <v>533</v>
      </c>
      <c r="J179" s="16">
        <f t="shared" si="35"/>
        <v>9063</v>
      </c>
      <c r="K179" s="16">
        <f t="shared" si="51"/>
        <v>6255</v>
      </c>
      <c r="L179" s="16">
        <f t="shared" si="37"/>
        <v>2808</v>
      </c>
      <c r="M179" s="16"/>
      <c r="N179" s="17"/>
      <c r="O179" s="96">
        <v>2007</v>
      </c>
      <c r="P179" s="97" t="s">
        <v>41</v>
      </c>
      <c r="Q179" s="15">
        <f t="shared" si="18"/>
        <v>0.67664670658682635</v>
      </c>
      <c r="R179" s="15">
        <f t="shared" si="19"/>
        <v>0.70740337506804574</v>
      </c>
      <c r="S179" s="15">
        <f t="shared" si="20"/>
        <v>0.95652173913043481</v>
      </c>
      <c r="T179" s="16"/>
      <c r="U179" s="16"/>
      <c r="V179" s="16">
        <v>7682</v>
      </c>
      <c r="W179" s="16">
        <f t="shared" si="52"/>
        <v>334</v>
      </c>
      <c r="X179" s="16">
        <v>7348</v>
      </c>
      <c r="Y179" s="16">
        <v>5198</v>
      </c>
      <c r="Z179" s="16">
        <f t="shared" si="53"/>
        <v>2150</v>
      </c>
      <c r="AA179" s="16"/>
      <c r="AB179" s="17"/>
      <c r="AC179" s="96">
        <v>2007</v>
      </c>
      <c r="AD179" s="97" t="s">
        <v>41</v>
      </c>
      <c r="AE179" s="15">
        <f t="shared" si="23"/>
        <v>0.71818181818181814</v>
      </c>
      <c r="AF179" s="15">
        <f t="shared" si="24"/>
        <v>0.75238095238095237</v>
      </c>
      <c r="AG179" s="15">
        <f t="shared" si="25"/>
        <v>0.95454545454545459</v>
      </c>
      <c r="AH179" s="16"/>
      <c r="AI179" s="16"/>
      <c r="AJ179" s="16">
        <v>880</v>
      </c>
      <c r="AK179" s="16">
        <f t="shared" si="54"/>
        <v>40</v>
      </c>
      <c r="AL179" s="16">
        <v>840</v>
      </c>
      <c r="AM179" s="16">
        <v>632</v>
      </c>
      <c r="AN179" s="16">
        <f t="shared" si="55"/>
        <v>208</v>
      </c>
      <c r="AO179" s="16"/>
      <c r="AP179" s="17"/>
      <c r="AQ179" s="96">
        <v>2007</v>
      </c>
      <c r="AR179" s="97" t="s">
        <v>41</v>
      </c>
      <c r="AS179" s="15">
        <f t="shared" si="28"/>
        <v>0.41102514506769827</v>
      </c>
      <c r="AT179" s="15">
        <f t="shared" si="29"/>
        <v>0.48571428571428571</v>
      </c>
      <c r="AU179" s="15">
        <f t="shared" si="30"/>
        <v>0.84622823984526108</v>
      </c>
      <c r="AV179" s="16"/>
      <c r="AW179" s="16"/>
      <c r="AX179" s="16">
        <v>1034</v>
      </c>
      <c r="AY179" s="16">
        <f t="shared" si="56"/>
        <v>159</v>
      </c>
      <c r="AZ179" s="16">
        <v>875</v>
      </c>
      <c r="BA179" s="16">
        <v>425</v>
      </c>
      <c r="BB179" s="16">
        <f t="shared" si="57"/>
        <v>450</v>
      </c>
      <c r="BD179" s="18">
        <v>887</v>
      </c>
      <c r="BE179" s="18">
        <v>747</v>
      </c>
      <c r="BF179" s="18">
        <v>884</v>
      </c>
      <c r="BG179" s="18">
        <v>876</v>
      </c>
      <c r="BH179" s="18">
        <v>789</v>
      </c>
      <c r="BI179" s="18">
        <v>914</v>
      </c>
      <c r="BJ179" s="18">
        <v>882</v>
      </c>
      <c r="BK179" s="18">
        <v>804</v>
      </c>
    </row>
    <row r="180" spans="1:63" s="18" customFormat="1" ht="15" customHeight="1">
      <c r="A180" s="94">
        <v>2007</v>
      </c>
      <c r="B180" s="95" t="s">
        <v>42</v>
      </c>
      <c r="C180" s="15">
        <f t="shared" si="15"/>
        <v>0.82756670123503351</v>
      </c>
      <c r="D180" s="15">
        <f t="shared" si="16"/>
        <v>0.86525381961557413</v>
      </c>
      <c r="E180" s="15">
        <f t="shared" si="17"/>
        <v>0.95644385782973507</v>
      </c>
      <c r="F180" s="16">
        <f>+Tabla2[[#This Row],[Trenes Programados por Día Hábil]]+Tabla9[[#This Row],[Trenes Programados por Día Hábil]]+Tabla10[[#This Row],[Trenes Programados por Día Hábil]]</f>
        <v>0</v>
      </c>
      <c r="G180" s="33">
        <f>+(Tabla2[[#This Row],[Coches por Tren Día Hábil]]*Tabla2[[#This Row],[Trenes Corridos]]+Tabla9[[#This Row],[Coches por Tren Día Hábil]]*Tabla9[[#This Row],[Trenes Corridos]]+Tabla10[[#This Row],[Coches por Tren Día Hábil]]*Tabla10[[#This Row],[Trenes Corridos]])/SARM[[#This Row],[Trenes Corridos]]</f>
        <v>0</v>
      </c>
      <c r="H180" s="16">
        <f t="shared" si="50"/>
        <v>10607</v>
      </c>
      <c r="I180" s="16">
        <f t="shared" si="34"/>
        <v>462</v>
      </c>
      <c r="J180" s="16">
        <f t="shared" si="35"/>
        <v>10145</v>
      </c>
      <c r="K180" s="16">
        <f t="shared" si="51"/>
        <v>8778</v>
      </c>
      <c r="L180" s="16">
        <f t="shared" si="37"/>
        <v>1367</v>
      </c>
      <c r="M180" s="16"/>
      <c r="N180" s="17"/>
      <c r="O180" s="94">
        <v>2007</v>
      </c>
      <c r="P180" s="95" t="s">
        <v>42</v>
      </c>
      <c r="Q180" s="15">
        <f t="shared" si="18"/>
        <v>0.86108854589764416</v>
      </c>
      <c r="R180" s="15">
        <f t="shared" si="19"/>
        <v>0.8923631990378833</v>
      </c>
      <c r="S180" s="15">
        <f t="shared" si="20"/>
        <v>0.96495299988395034</v>
      </c>
      <c r="T180" s="16"/>
      <c r="U180" s="16"/>
      <c r="V180" s="16">
        <v>8617</v>
      </c>
      <c r="W180" s="16">
        <f t="shared" si="52"/>
        <v>302</v>
      </c>
      <c r="X180" s="16">
        <v>8315</v>
      </c>
      <c r="Y180" s="16">
        <v>7420</v>
      </c>
      <c r="Z180" s="16">
        <f t="shared" si="53"/>
        <v>895</v>
      </c>
      <c r="AA180" s="16"/>
      <c r="AB180" s="17"/>
      <c r="AC180" s="94">
        <v>2007</v>
      </c>
      <c r="AD180" s="95" t="s">
        <v>42</v>
      </c>
      <c r="AE180" s="15">
        <f t="shared" si="23"/>
        <v>0.7724288840262582</v>
      </c>
      <c r="AF180" s="15">
        <f t="shared" si="24"/>
        <v>0.81056257175660162</v>
      </c>
      <c r="AG180" s="15">
        <f t="shared" si="25"/>
        <v>0.95295404814004381</v>
      </c>
      <c r="AH180" s="16"/>
      <c r="AI180" s="16"/>
      <c r="AJ180" s="16">
        <v>914</v>
      </c>
      <c r="AK180" s="16">
        <f t="shared" si="54"/>
        <v>43</v>
      </c>
      <c r="AL180" s="16">
        <v>871</v>
      </c>
      <c r="AM180" s="16">
        <v>706</v>
      </c>
      <c r="AN180" s="16">
        <f t="shared" si="55"/>
        <v>165</v>
      </c>
      <c r="AO180" s="16"/>
      <c r="AP180" s="17"/>
      <c r="AQ180" s="94">
        <v>2007</v>
      </c>
      <c r="AR180" s="95" t="s">
        <v>42</v>
      </c>
      <c r="AS180" s="15">
        <f t="shared" si="28"/>
        <v>0.60594795539033453</v>
      </c>
      <c r="AT180" s="15">
        <f t="shared" si="29"/>
        <v>0.6798748696558915</v>
      </c>
      <c r="AU180" s="15">
        <f t="shared" si="30"/>
        <v>0.89126394052044611</v>
      </c>
      <c r="AV180" s="16"/>
      <c r="AW180" s="16"/>
      <c r="AX180" s="16">
        <v>1076</v>
      </c>
      <c r="AY180" s="16">
        <f t="shared" si="56"/>
        <v>117</v>
      </c>
      <c r="AZ180" s="16">
        <v>959</v>
      </c>
      <c r="BA180" s="16">
        <v>652</v>
      </c>
      <c r="BB180" s="16">
        <f t="shared" si="57"/>
        <v>307</v>
      </c>
    </row>
    <row r="181" spans="1:63" s="18" customFormat="1" ht="15" customHeight="1">
      <c r="A181" s="96">
        <v>2007</v>
      </c>
      <c r="B181" s="97" t="s">
        <v>43</v>
      </c>
      <c r="C181" s="15">
        <f t="shared" si="15"/>
        <v>0.85610000912492012</v>
      </c>
      <c r="D181" s="15">
        <f t="shared" si="16"/>
        <v>0.88326115609113165</v>
      </c>
      <c r="E181" s="15">
        <f t="shared" si="17"/>
        <v>0.96924901907108307</v>
      </c>
      <c r="F181" s="16">
        <f>+Tabla2[[#This Row],[Trenes Programados por Día Hábil]]+Tabla9[[#This Row],[Trenes Programados por Día Hábil]]+Tabla10[[#This Row],[Trenes Programados por Día Hábil]]</f>
        <v>0</v>
      </c>
      <c r="G181" s="33">
        <f>+(Tabla2[[#This Row],[Coches por Tren Día Hábil]]*Tabla2[[#This Row],[Trenes Corridos]]+Tabla9[[#This Row],[Coches por Tren Día Hábil]]*Tabla9[[#This Row],[Trenes Corridos]]+Tabla10[[#This Row],[Coches por Tren Día Hábil]]*Tabla10[[#This Row],[Trenes Corridos]])/SARM[[#This Row],[Trenes Corridos]]</f>
        <v>0</v>
      </c>
      <c r="H181" s="16">
        <f t="shared" si="50"/>
        <v>10959</v>
      </c>
      <c r="I181" s="16">
        <f t="shared" si="34"/>
        <v>337</v>
      </c>
      <c r="J181" s="16">
        <f t="shared" si="35"/>
        <v>10622</v>
      </c>
      <c r="K181" s="16">
        <f t="shared" si="51"/>
        <v>9382</v>
      </c>
      <c r="L181" s="16">
        <f t="shared" si="37"/>
        <v>1240</v>
      </c>
      <c r="M181" s="16"/>
      <c r="N181" s="17"/>
      <c r="O181" s="96">
        <v>2007</v>
      </c>
      <c r="P181" s="97" t="s">
        <v>43</v>
      </c>
      <c r="Q181" s="15">
        <f t="shared" si="18"/>
        <v>0.87337842332852866</v>
      </c>
      <c r="R181" s="15">
        <f t="shared" si="19"/>
        <v>0.9027045610818244</v>
      </c>
      <c r="S181" s="15">
        <f t="shared" si="20"/>
        <v>0.96751302805189043</v>
      </c>
      <c r="T181" s="16"/>
      <c r="U181" s="16"/>
      <c r="V181" s="16">
        <v>9019</v>
      </c>
      <c r="W181" s="16">
        <f t="shared" si="52"/>
        <v>293</v>
      </c>
      <c r="X181" s="16">
        <v>8726</v>
      </c>
      <c r="Y181" s="16">
        <v>7877</v>
      </c>
      <c r="Z181" s="16">
        <f t="shared" si="53"/>
        <v>849</v>
      </c>
      <c r="AA181" s="16"/>
      <c r="AB181" s="17"/>
      <c r="AC181" s="96">
        <v>2007</v>
      </c>
      <c r="AD181" s="97" t="s">
        <v>43</v>
      </c>
      <c r="AE181" s="15">
        <f t="shared" si="23"/>
        <v>0.83479212253829327</v>
      </c>
      <c r="AF181" s="15">
        <f t="shared" si="24"/>
        <v>0.84589800443458985</v>
      </c>
      <c r="AG181" s="15">
        <f t="shared" si="25"/>
        <v>0.98687089715536103</v>
      </c>
      <c r="AH181" s="16"/>
      <c r="AI181" s="16"/>
      <c r="AJ181" s="16">
        <v>914</v>
      </c>
      <c r="AK181" s="16">
        <f t="shared" si="54"/>
        <v>12</v>
      </c>
      <c r="AL181" s="16">
        <v>902</v>
      </c>
      <c r="AM181" s="16">
        <v>763</v>
      </c>
      <c r="AN181" s="16">
        <f t="shared" si="55"/>
        <v>139</v>
      </c>
      <c r="AO181" s="16"/>
      <c r="AP181" s="17"/>
      <c r="AQ181" s="96">
        <v>2007</v>
      </c>
      <c r="AR181" s="97" t="s">
        <v>43</v>
      </c>
      <c r="AS181" s="15">
        <f t="shared" si="28"/>
        <v>0.72319688109161795</v>
      </c>
      <c r="AT181" s="15">
        <f t="shared" si="29"/>
        <v>0.74647887323943662</v>
      </c>
      <c r="AU181" s="15">
        <f t="shared" si="30"/>
        <v>0.96881091617933723</v>
      </c>
      <c r="AV181" s="16"/>
      <c r="AW181" s="16"/>
      <c r="AX181" s="16">
        <v>1026</v>
      </c>
      <c r="AY181" s="16">
        <f t="shared" si="56"/>
        <v>32</v>
      </c>
      <c r="AZ181" s="16">
        <v>994</v>
      </c>
      <c r="BA181" s="16">
        <v>742</v>
      </c>
      <c r="BB181" s="16">
        <f t="shared" si="57"/>
        <v>252</v>
      </c>
    </row>
    <row r="182" spans="1:63" s="18" customFormat="1" ht="15" customHeight="1">
      <c r="A182" s="94">
        <v>2007</v>
      </c>
      <c r="B182" s="95" t="s">
        <v>44</v>
      </c>
      <c r="C182" s="15">
        <f t="shared" si="15"/>
        <v>0.86832061068702293</v>
      </c>
      <c r="D182" s="15">
        <f t="shared" si="16"/>
        <v>0.88997555012224938</v>
      </c>
      <c r="E182" s="15">
        <f t="shared" si="17"/>
        <v>0.97566793893129766</v>
      </c>
      <c r="F182" s="16">
        <f>+Tabla2[[#This Row],[Trenes Programados por Día Hábil]]+Tabla9[[#This Row],[Trenes Programados por Día Hábil]]+Tabla10[[#This Row],[Trenes Programados por Día Hábil]]</f>
        <v>0</v>
      </c>
      <c r="G182" s="33">
        <f>+(Tabla2[[#This Row],[Coches por Tren Día Hábil]]*Tabla2[[#This Row],[Trenes Corridos]]+Tabla9[[#This Row],[Coches por Tren Día Hábil]]*Tabla9[[#This Row],[Trenes Corridos]]+Tabla10[[#This Row],[Coches por Tren Día Hábil]]*Tabla10[[#This Row],[Trenes Corridos]])/SARM[[#This Row],[Trenes Corridos]]</f>
        <v>0</v>
      </c>
      <c r="H182" s="16">
        <f t="shared" si="50"/>
        <v>10480</v>
      </c>
      <c r="I182" s="16">
        <f t="shared" si="34"/>
        <v>255</v>
      </c>
      <c r="J182" s="16">
        <f t="shared" si="35"/>
        <v>10225</v>
      </c>
      <c r="K182" s="16">
        <f t="shared" si="51"/>
        <v>9100</v>
      </c>
      <c r="L182" s="16">
        <f t="shared" si="37"/>
        <v>1125</v>
      </c>
      <c r="M182" s="16"/>
      <c r="N182" s="17"/>
      <c r="O182" s="94">
        <v>2007</v>
      </c>
      <c r="P182" s="95" t="s">
        <v>44</v>
      </c>
      <c r="Q182" s="15">
        <f t="shared" si="18"/>
        <v>0.89895470383275267</v>
      </c>
      <c r="R182" s="15">
        <f t="shared" si="19"/>
        <v>0.91891250148403181</v>
      </c>
      <c r="S182" s="15">
        <f t="shared" si="20"/>
        <v>0.97828106852497099</v>
      </c>
      <c r="T182" s="16"/>
      <c r="U182" s="16"/>
      <c r="V182" s="16">
        <v>8610</v>
      </c>
      <c r="W182" s="16">
        <f t="shared" si="52"/>
        <v>187</v>
      </c>
      <c r="X182" s="16">
        <v>8423</v>
      </c>
      <c r="Y182" s="16">
        <v>7740</v>
      </c>
      <c r="Z182" s="16">
        <f t="shared" si="53"/>
        <v>683</v>
      </c>
      <c r="AA182" s="16"/>
      <c r="AB182" s="17"/>
      <c r="AC182" s="94">
        <v>2007</v>
      </c>
      <c r="AD182" s="95" t="s">
        <v>44</v>
      </c>
      <c r="AE182" s="15">
        <f t="shared" si="23"/>
        <v>0.71590909090909094</v>
      </c>
      <c r="AF182" s="15">
        <f t="shared" si="24"/>
        <v>0.74644549763033174</v>
      </c>
      <c r="AG182" s="15">
        <f t="shared" si="25"/>
        <v>0.95909090909090911</v>
      </c>
      <c r="AH182" s="16"/>
      <c r="AI182" s="16"/>
      <c r="AJ182" s="16">
        <v>880</v>
      </c>
      <c r="AK182" s="16">
        <f t="shared" si="54"/>
        <v>36</v>
      </c>
      <c r="AL182" s="16">
        <v>844</v>
      </c>
      <c r="AM182" s="16">
        <v>630</v>
      </c>
      <c r="AN182" s="16">
        <f t="shared" si="55"/>
        <v>214</v>
      </c>
      <c r="AO182" s="16"/>
      <c r="AP182" s="17"/>
      <c r="AQ182" s="94">
        <v>2007</v>
      </c>
      <c r="AR182" s="95" t="s">
        <v>44</v>
      </c>
      <c r="AS182" s="15">
        <f t="shared" si="28"/>
        <v>0.73737373737373735</v>
      </c>
      <c r="AT182" s="15">
        <f t="shared" si="29"/>
        <v>0.76200417536534448</v>
      </c>
      <c r="AU182" s="15">
        <f t="shared" si="30"/>
        <v>0.96767676767676769</v>
      </c>
      <c r="AV182" s="16"/>
      <c r="AW182" s="16"/>
      <c r="AX182" s="16">
        <v>990</v>
      </c>
      <c r="AY182" s="16">
        <f t="shared" si="56"/>
        <v>32</v>
      </c>
      <c r="AZ182" s="16">
        <v>958</v>
      </c>
      <c r="BA182" s="16">
        <v>730</v>
      </c>
      <c r="BB182" s="16">
        <f t="shared" si="57"/>
        <v>228</v>
      </c>
    </row>
    <row r="183" spans="1:63" s="18" customFormat="1" ht="15" customHeight="1">
      <c r="A183" s="96">
        <v>2007</v>
      </c>
      <c r="B183" s="97" t="s">
        <v>45</v>
      </c>
      <c r="C183" s="15">
        <f t="shared" si="15"/>
        <v>0.84259512729263619</v>
      </c>
      <c r="D183" s="15">
        <f t="shared" si="16"/>
        <v>0.87063926079577603</v>
      </c>
      <c r="E183" s="15">
        <f t="shared" si="17"/>
        <v>0.96778903184597131</v>
      </c>
      <c r="F183" s="16">
        <f>+Tabla2[[#This Row],[Trenes Programados por Día Hábil]]+Tabla9[[#This Row],[Trenes Programados por Día Hábil]]+Tabla10[[#This Row],[Trenes Programados por Día Hábil]]</f>
        <v>0</v>
      </c>
      <c r="G183" s="33">
        <f>+(Tabla2[[#This Row],[Coches por Tren Día Hábil]]*Tabla2[[#This Row],[Trenes Corridos]]+Tabla9[[#This Row],[Coches por Tren Día Hábil]]*Tabla9[[#This Row],[Trenes Corridos]]+Tabla10[[#This Row],[Coches por Tren Día Hábil]]*Tabla10[[#This Row],[Trenes Corridos]])/SARM[[#This Row],[Trenes Corridos]]</f>
        <v>0</v>
      </c>
      <c r="H183" s="16">
        <f t="shared" si="50"/>
        <v>10959</v>
      </c>
      <c r="I183" s="16">
        <f t="shared" si="34"/>
        <v>353</v>
      </c>
      <c r="J183" s="16">
        <f t="shared" si="35"/>
        <v>10606</v>
      </c>
      <c r="K183" s="16">
        <f t="shared" si="51"/>
        <v>9234</v>
      </c>
      <c r="L183" s="16">
        <f t="shared" si="37"/>
        <v>1372</v>
      </c>
      <c r="M183" s="16"/>
      <c r="N183" s="17"/>
      <c r="O183" s="96">
        <v>2007</v>
      </c>
      <c r="P183" s="97" t="s">
        <v>45</v>
      </c>
      <c r="Q183" s="15">
        <f t="shared" si="18"/>
        <v>0.84942898325756733</v>
      </c>
      <c r="R183" s="15">
        <f t="shared" si="19"/>
        <v>0.87996783827245573</v>
      </c>
      <c r="S183" s="15">
        <f t="shared" si="20"/>
        <v>0.96529548730457926</v>
      </c>
      <c r="T183" s="16"/>
      <c r="U183" s="16"/>
      <c r="V183" s="16">
        <v>9019</v>
      </c>
      <c r="W183" s="16">
        <f t="shared" si="52"/>
        <v>313</v>
      </c>
      <c r="X183" s="16">
        <v>8706</v>
      </c>
      <c r="Y183" s="16">
        <v>7661</v>
      </c>
      <c r="Z183" s="16">
        <f t="shared" si="53"/>
        <v>1045</v>
      </c>
      <c r="AA183" s="16"/>
      <c r="AB183" s="17"/>
      <c r="AC183" s="96">
        <v>2007</v>
      </c>
      <c r="AD183" s="97" t="s">
        <v>45</v>
      </c>
      <c r="AE183" s="15">
        <f t="shared" si="23"/>
        <v>0.8172866520787746</v>
      </c>
      <c r="AF183" s="15">
        <f t="shared" si="24"/>
        <v>0.84216459977452085</v>
      </c>
      <c r="AG183" s="15">
        <f t="shared" si="25"/>
        <v>0.97045951859956237</v>
      </c>
      <c r="AH183" s="16"/>
      <c r="AI183" s="16"/>
      <c r="AJ183" s="16">
        <v>914</v>
      </c>
      <c r="AK183" s="16">
        <f t="shared" si="54"/>
        <v>27</v>
      </c>
      <c r="AL183" s="16">
        <v>887</v>
      </c>
      <c r="AM183" s="16">
        <v>747</v>
      </c>
      <c r="AN183" s="16">
        <f t="shared" si="55"/>
        <v>140</v>
      </c>
      <c r="AO183" s="16"/>
      <c r="AP183" s="17"/>
      <c r="AQ183" s="96">
        <v>2007</v>
      </c>
      <c r="AR183" s="97" t="s">
        <v>45</v>
      </c>
      <c r="AS183" s="15">
        <f t="shared" si="28"/>
        <v>0.80506822612085771</v>
      </c>
      <c r="AT183" s="15">
        <f t="shared" si="29"/>
        <v>0.8153998025666338</v>
      </c>
      <c r="AU183" s="15">
        <f t="shared" si="30"/>
        <v>0.98732943469785572</v>
      </c>
      <c r="AV183" s="16"/>
      <c r="AW183" s="16"/>
      <c r="AX183" s="16">
        <v>1026</v>
      </c>
      <c r="AY183" s="16">
        <f t="shared" si="56"/>
        <v>13</v>
      </c>
      <c r="AZ183" s="16">
        <v>1013</v>
      </c>
      <c r="BA183" s="16">
        <v>826</v>
      </c>
      <c r="BB183" s="16">
        <f t="shared" si="57"/>
        <v>187</v>
      </c>
    </row>
    <row r="184" spans="1:63" s="18" customFormat="1" ht="15" customHeight="1">
      <c r="A184" s="94">
        <v>2007</v>
      </c>
      <c r="B184" s="95" t="s">
        <v>46</v>
      </c>
      <c r="C184" s="15">
        <f t="shared" si="15"/>
        <v>0.88729508196721307</v>
      </c>
      <c r="D184" s="15">
        <f t="shared" si="16"/>
        <v>0.91001146350783335</v>
      </c>
      <c r="E184" s="15">
        <f t="shared" si="17"/>
        <v>0.97503725782414308</v>
      </c>
      <c r="F184" s="16">
        <f>+Tabla2[[#This Row],[Trenes Programados por Día Hábil]]+Tabla9[[#This Row],[Trenes Programados por Día Hábil]]+Tabla10[[#This Row],[Trenes Programados por Día Hábil]]</f>
        <v>0</v>
      </c>
      <c r="G184" s="33">
        <f>+(Tabla2[[#This Row],[Coches por Tren Día Hábil]]*Tabla2[[#This Row],[Trenes Corridos]]+Tabla9[[#This Row],[Coches por Tren Día Hábil]]*Tabla9[[#This Row],[Trenes Corridos]]+Tabla10[[#This Row],[Coches por Tren Día Hábil]]*Tabla10[[#This Row],[Trenes Corridos]])/SARM[[#This Row],[Trenes Corridos]]</f>
        <v>0</v>
      </c>
      <c r="H184" s="16">
        <f t="shared" si="50"/>
        <v>10736</v>
      </c>
      <c r="I184" s="16">
        <f t="shared" si="34"/>
        <v>268</v>
      </c>
      <c r="J184" s="16">
        <f t="shared" si="35"/>
        <v>10468</v>
      </c>
      <c r="K184" s="16">
        <f t="shared" si="51"/>
        <v>9526</v>
      </c>
      <c r="L184" s="16">
        <f t="shared" si="37"/>
        <v>942</v>
      </c>
      <c r="M184" s="16"/>
      <c r="N184" s="17"/>
      <c r="O184" s="94">
        <v>2007</v>
      </c>
      <c r="P184" s="95" t="s">
        <v>46</v>
      </c>
      <c r="Q184" s="15">
        <f t="shared" si="18"/>
        <v>0.89823609226594303</v>
      </c>
      <c r="R184" s="15">
        <f t="shared" si="19"/>
        <v>0.9213639526791928</v>
      </c>
      <c r="S184" s="15">
        <f t="shared" si="20"/>
        <v>0.97489823609226589</v>
      </c>
      <c r="T184" s="16"/>
      <c r="U184" s="16"/>
      <c r="V184" s="16">
        <v>8844</v>
      </c>
      <c r="W184" s="16">
        <f t="shared" si="52"/>
        <v>222</v>
      </c>
      <c r="X184" s="16">
        <v>8622</v>
      </c>
      <c r="Y184" s="16">
        <v>7944</v>
      </c>
      <c r="Z184" s="16">
        <f t="shared" si="53"/>
        <v>678</v>
      </c>
      <c r="AA184" s="16"/>
      <c r="AB184" s="17"/>
      <c r="AC184" s="94">
        <v>2007</v>
      </c>
      <c r="AD184" s="95" t="s">
        <v>46</v>
      </c>
      <c r="AE184" s="15">
        <f t="shared" si="23"/>
        <v>0.89253393665158376</v>
      </c>
      <c r="AF184" s="15">
        <f t="shared" si="24"/>
        <v>0.90068493150684936</v>
      </c>
      <c r="AG184" s="15">
        <f t="shared" si="25"/>
        <v>0.99095022624434392</v>
      </c>
      <c r="AH184" s="16"/>
      <c r="AI184" s="16"/>
      <c r="AJ184" s="16">
        <v>884</v>
      </c>
      <c r="AK184" s="16">
        <f t="shared" si="54"/>
        <v>8</v>
      </c>
      <c r="AL184" s="16">
        <v>876</v>
      </c>
      <c r="AM184" s="16">
        <v>789</v>
      </c>
      <c r="AN184" s="16">
        <f t="shared" si="55"/>
        <v>87</v>
      </c>
      <c r="AO184" s="16"/>
      <c r="AP184" s="17"/>
      <c r="AQ184" s="94">
        <v>2007</v>
      </c>
      <c r="AR184" s="95" t="s">
        <v>46</v>
      </c>
      <c r="AS184" s="15">
        <f t="shared" si="28"/>
        <v>0.78670634920634919</v>
      </c>
      <c r="AT184" s="15">
        <f t="shared" si="29"/>
        <v>0.81752577319587627</v>
      </c>
      <c r="AU184" s="15">
        <f t="shared" si="30"/>
        <v>0.96230158730158732</v>
      </c>
      <c r="AV184" s="16"/>
      <c r="AW184" s="16"/>
      <c r="AX184" s="16">
        <v>1008</v>
      </c>
      <c r="AY184" s="16">
        <f t="shared" si="56"/>
        <v>38</v>
      </c>
      <c r="AZ184" s="16">
        <v>970</v>
      </c>
      <c r="BA184" s="16">
        <v>793</v>
      </c>
      <c r="BB184" s="16">
        <f t="shared" si="57"/>
        <v>177</v>
      </c>
    </row>
    <row r="185" spans="1:63" s="18" customFormat="1" ht="15" customHeight="1">
      <c r="A185" s="96">
        <v>2007</v>
      </c>
      <c r="B185" s="97" t="s">
        <v>47</v>
      </c>
      <c r="C185" s="15">
        <f t="shared" si="15"/>
        <v>0.87298747763864037</v>
      </c>
      <c r="D185" s="15">
        <f t="shared" si="16"/>
        <v>0.90777364401801452</v>
      </c>
      <c r="E185" s="15">
        <f t="shared" si="17"/>
        <v>0.96167969117785523</v>
      </c>
      <c r="F185" s="16">
        <f>+Tabla2[[#This Row],[Trenes Programados por Día Hábil]]+Tabla9[[#This Row],[Trenes Programados por Día Hábil]]+Tabla10[[#This Row],[Trenes Programados por Día Hábil]]</f>
        <v>0</v>
      </c>
      <c r="G185" s="33">
        <f>+(Tabla2[[#This Row],[Coches por Tren Día Hábil]]*Tabla2[[#This Row],[Trenes Corridos]]+Tabla9[[#This Row],[Coches por Tren Día Hábil]]*Tabla9[[#This Row],[Trenes Corridos]]+Tabla10[[#This Row],[Coches por Tren Día Hábil]]*Tabla10[[#This Row],[Trenes Corridos]])/SARM[[#This Row],[Trenes Corridos]]</f>
        <v>0</v>
      </c>
      <c r="H185" s="16">
        <f t="shared" si="50"/>
        <v>10621</v>
      </c>
      <c r="I185" s="16">
        <f t="shared" si="34"/>
        <v>407</v>
      </c>
      <c r="J185" s="16">
        <f t="shared" si="35"/>
        <v>10214</v>
      </c>
      <c r="K185" s="16">
        <f t="shared" si="51"/>
        <v>9272</v>
      </c>
      <c r="L185" s="16">
        <f t="shared" si="37"/>
        <v>942</v>
      </c>
      <c r="M185" s="16"/>
      <c r="N185" s="25"/>
      <c r="O185" s="96">
        <v>2007</v>
      </c>
      <c r="P185" s="97" t="s">
        <v>47</v>
      </c>
      <c r="Q185" s="15">
        <f t="shared" si="18"/>
        <v>0.87644831937593204</v>
      </c>
      <c r="R185" s="15">
        <f t="shared" si="19"/>
        <v>0.91464144618699872</v>
      </c>
      <c r="S185" s="15">
        <f t="shared" si="20"/>
        <v>0.95824251462659171</v>
      </c>
      <c r="T185" s="16"/>
      <c r="U185" s="16"/>
      <c r="V185" s="16">
        <v>8717</v>
      </c>
      <c r="W185" s="16">
        <f t="shared" si="52"/>
        <v>364</v>
      </c>
      <c r="X185" s="16">
        <v>8353</v>
      </c>
      <c r="Y185" s="16">
        <v>7640</v>
      </c>
      <c r="Z185" s="16">
        <f t="shared" si="53"/>
        <v>713</v>
      </c>
      <c r="AA185" s="16"/>
      <c r="AB185" s="17"/>
      <c r="AC185" s="96">
        <v>2007</v>
      </c>
      <c r="AD185" s="97" t="s">
        <v>47</v>
      </c>
      <c r="AE185" s="15">
        <f t="shared" si="23"/>
        <v>0.87964989059080967</v>
      </c>
      <c r="AF185" s="15">
        <f t="shared" si="24"/>
        <v>0.91156462585034015</v>
      </c>
      <c r="AG185" s="15">
        <f t="shared" si="25"/>
        <v>0.96498905908096277</v>
      </c>
      <c r="AH185" s="16"/>
      <c r="AI185" s="16"/>
      <c r="AJ185" s="16">
        <v>914</v>
      </c>
      <c r="AK185" s="16">
        <f t="shared" si="54"/>
        <v>32</v>
      </c>
      <c r="AL185" s="16">
        <v>882</v>
      </c>
      <c r="AM185" s="16">
        <v>804</v>
      </c>
      <c r="AN185" s="16">
        <f t="shared" si="55"/>
        <v>78</v>
      </c>
      <c r="AO185" s="16"/>
      <c r="AP185" s="17"/>
      <c r="AQ185" s="96">
        <v>2007</v>
      </c>
      <c r="AR185" s="97" t="s">
        <v>47</v>
      </c>
      <c r="AS185" s="15">
        <f t="shared" si="28"/>
        <v>0.83636363636363631</v>
      </c>
      <c r="AT185" s="15">
        <f t="shared" si="29"/>
        <v>0.84576098059244131</v>
      </c>
      <c r="AU185" s="15">
        <f t="shared" si="30"/>
        <v>0.98888888888888893</v>
      </c>
      <c r="AV185" s="16"/>
      <c r="AW185" s="16"/>
      <c r="AX185" s="16">
        <v>990</v>
      </c>
      <c r="AY185" s="16">
        <f t="shared" si="56"/>
        <v>11</v>
      </c>
      <c r="AZ185" s="16">
        <v>979</v>
      </c>
      <c r="BA185" s="16">
        <v>828</v>
      </c>
      <c r="BB185" s="16">
        <f t="shared" si="57"/>
        <v>151</v>
      </c>
    </row>
    <row r="186" spans="1:63" s="18" customFormat="1" ht="15" customHeight="1">
      <c r="A186" s="94">
        <v>2008</v>
      </c>
      <c r="B186" s="95" t="s">
        <v>36</v>
      </c>
      <c r="C186" s="15">
        <f t="shared" si="15"/>
        <v>0.90089343280832646</v>
      </c>
      <c r="D186" s="15">
        <f t="shared" si="16"/>
        <v>0.92021827076865181</v>
      </c>
      <c r="E186" s="15">
        <f t="shared" si="17"/>
        <v>0.97899972368057475</v>
      </c>
      <c r="F186" s="16">
        <f>+Tabla2[[#This Row],[Trenes Programados por Día Hábil]]+Tabla9[[#This Row],[Trenes Programados por Día Hábil]]+Tabla10[[#This Row],[Trenes Programados por Día Hábil]]</f>
        <v>0</v>
      </c>
      <c r="G186" s="33">
        <f>+(Tabla2[[#This Row],[Coches por Tren Día Hábil]]*Tabla2[[#This Row],[Trenes Corridos]]+Tabla9[[#This Row],[Coches por Tren Día Hábil]]*Tabla9[[#This Row],[Trenes Corridos]]+Tabla10[[#This Row],[Coches por Tren Día Hábil]]*Tabla10[[#This Row],[Trenes Corridos]])/SARM[[#This Row],[Trenes Corridos]]</f>
        <v>0</v>
      </c>
      <c r="H186" s="16">
        <f t="shared" si="50"/>
        <v>10857</v>
      </c>
      <c r="I186" s="16">
        <f t="shared" si="34"/>
        <v>228</v>
      </c>
      <c r="J186" s="16">
        <f t="shared" si="35"/>
        <v>10629</v>
      </c>
      <c r="K186" s="16">
        <f t="shared" si="51"/>
        <v>9781</v>
      </c>
      <c r="L186" s="16">
        <f t="shared" si="37"/>
        <v>848</v>
      </c>
      <c r="M186" s="16"/>
      <c r="N186" s="17"/>
      <c r="O186" s="94">
        <v>2008</v>
      </c>
      <c r="P186" s="95" t="s">
        <v>36</v>
      </c>
      <c r="Q186" s="15">
        <f t="shared" si="18"/>
        <v>0.91521812268700231</v>
      </c>
      <c r="R186" s="15">
        <f t="shared" si="19"/>
        <v>0.93364603592266326</v>
      </c>
      <c r="S186" s="15">
        <f t="shared" si="20"/>
        <v>0.98026242009644504</v>
      </c>
      <c r="T186" s="16"/>
      <c r="U186" s="16"/>
      <c r="V186" s="16">
        <v>8917</v>
      </c>
      <c r="W186" s="16">
        <f t="shared" ref="W186:W197" si="58">V186-X186</f>
        <v>176</v>
      </c>
      <c r="X186" s="16">
        <v>8741</v>
      </c>
      <c r="Y186" s="16">
        <v>8161</v>
      </c>
      <c r="Z186" s="16">
        <f t="shared" ref="Z186:Z197" si="59">X186-Y186</f>
        <v>580</v>
      </c>
      <c r="AA186" s="16"/>
      <c r="AB186" s="17"/>
      <c r="AC186" s="94">
        <v>2008</v>
      </c>
      <c r="AD186" s="95" t="s">
        <v>36</v>
      </c>
      <c r="AE186" s="15">
        <f t="shared" si="23"/>
        <v>0.88621444201312916</v>
      </c>
      <c r="AF186" s="15">
        <f t="shared" si="24"/>
        <v>0.91940976163450627</v>
      </c>
      <c r="AG186" s="15">
        <f t="shared" si="25"/>
        <v>0.96389496717724288</v>
      </c>
      <c r="AH186" s="16"/>
      <c r="AI186" s="16"/>
      <c r="AJ186" s="16">
        <v>914</v>
      </c>
      <c r="AK186" s="16">
        <f t="shared" ref="AK186:AK197" si="60">AJ186-AL186</f>
        <v>33</v>
      </c>
      <c r="AL186" s="16">
        <v>881</v>
      </c>
      <c r="AM186" s="16">
        <v>810</v>
      </c>
      <c r="AN186" s="16">
        <f t="shared" ref="AN186:AN197" si="61">AL186-AM186</f>
        <v>71</v>
      </c>
      <c r="AO186" s="16"/>
      <c r="AP186" s="17"/>
      <c r="AQ186" s="94">
        <v>2008</v>
      </c>
      <c r="AR186" s="95" t="s">
        <v>36</v>
      </c>
      <c r="AS186" s="15">
        <f t="shared" si="28"/>
        <v>0.78947368421052633</v>
      </c>
      <c r="AT186" s="15">
        <f t="shared" si="29"/>
        <v>0.80436941410129092</v>
      </c>
      <c r="AU186" s="15">
        <f t="shared" si="30"/>
        <v>0.98148148148148151</v>
      </c>
      <c r="AV186" s="16"/>
      <c r="AW186" s="16"/>
      <c r="AX186" s="16">
        <v>1026</v>
      </c>
      <c r="AY186" s="16">
        <f t="shared" ref="AY186:AY197" si="62">AX186-AZ186</f>
        <v>19</v>
      </c>
      <c r="AZ186" s="16">
        <v>1007</v>
      </c>
      <c r="BA186" s="16">
        <v>810</v>
      </c>
      <c r="BB186" s="16">
        <f t="shared" ref="BB186:BB197" si="63">AZ186-BA186</f>
        <v>197</v>
      </c>
    </row>
    <row r="187" spans="1:63" s="18" customFormat="1" ht="15" customHeight="1">
      <c r="A187" s="96">
        <v>2008</v>
      </c>
      <c r="B187" s="97" t="s">
        <v>37</v>
      </c>
      <c r="C187" s="15">
        <f t="shared" si="15"/>
        <v>0.88774703557312251</v>
      </c>
      <c r="D187" s="15">
        <f t="shared" si="16"/>
        <v>0.91310092489074091</v>
      </c>
      <c r="E187" s="15">
        <f t="shared" si="17"/>
        <v>0.97223320158102766</v>
      </c>
      <c r="F187" s="16">
        <f>+Tabla2[[#This Row],[Trenes Programados por Día Hábil]]+Tabla9[[#This Row],[Trenes Programados por Día Hábil]]+Tabla10[[#This Row],[Trenes Programados por Día Hábil]]</f>
        <v>0</v>
      </c>
      <c r="G187" s="33">
        <f>+(Tabla2[[#This Row],[Coches por Tren Día Hábil]]*Tabla2[[#This Row],[Trenes Corridos]]+Tabla9[[#This Row],[Coches por Tren Día Hábil]]*Tabla9[[#This Row],[Trenes Corridos]]+Tabla10[[#This Row],[Coches por Tren Día Hábil]]*Tabla10[[#This Row],[Trenes Corridos]])/SARM[[#This Row],[Trenes Corridos]]</f>
        <v>0</v>
      </c>
      <c r="H187" s="16">
        <f t="shared" si="50"/>
        <v>10120</v>
      </c>
      <c r="I187" s="16">
        <f t="shared" si="34"/>
        <v>281</v>
      </c>
      <c r="J187" s="16">
        <f t="shared" si="35"/>
        <v>9839</v>
      </c>
      <c r="K187" s="16">
        <f t="shared" si="51"/>
        <v>8984</v>
      </c>
      <c r="L187" s="16">
        <f t="shared" si="37"/>
        <v>855</v>
      </c>
      <c r="M187" s="16"/>
      <c r="N187" s="17"/>
      <c r="O187" s="96">
        <v>2008</v>
      </c>
      <c r="P187" s="97" t="s">
        <v>37</v>
      </c>
      <c r="Q187" s="15">
        <f t="shared" si="18"/>
        <v>0.89522546419098148</v>
      </c>
      <c r="R187" s="15">
        <f t="shared" si="19"/>
        <v>0.92041651171439198</v>
      </c>
      <c r="S187" s="15">
        <f t="shared" si="20"/>
        <v>0.97263081745840363</v>
      </c>
      <c r="T187" s="16"/>
      <c r="U187" s="16"/>
      <c r="V187" s="16">
        <v>8294</v>
      </c>
      <c r="W187" s="16">
        <f t="shared" si="58"/>
        <v>227</v>
      </c>
      <c r="X187" s="16">
        <v>8067</v>
      </c>
      <c r="Y187" s="16">
        <v>7425</v>
      </c>
      <c r="Z187" s="16">
        <f t="shared" si="59"/>
        <v>642</v>
      </c>
      <c r="AA187" s="16"/>
      <c r="AB187" s="17"/>
      <c r="AC187" s="96">
        <v>2008</v>
      </c>
      <c r="AD187" s="97" t="s">
        <v>37</v>
      </c>
      <c r="AE187" s="15">
        <f t="shared" si="23"/>
        <v>0.87470725995316156</v>
      </c>
      <c r="AF187" s="15">
        <f t="shared" si="24"/>
        <v>0.89675870348139253</v>
      </c>
      <c r="AG187" s="15">
        <f t="shared" si="25"/>
        <v>0.97540983606557374</v>
      </c>
      <c r="AH187" s="16"/>
      <c r="AI187" s="16"/>
      <c r="AJ187" s="16">
        <v>854</v>
      </c>
      <c r="AK187" s="16">
        <f t="shared" si="60"/>
        <v>21</v>
      </c>
      <c r="AL187" s="16">
        <v>833</v>
      </c>
      <c r="AM187" s="16">
        <v>747</v>
      </c>
      <c r="AN187" s="16">
        <f t="shared" si="61"/>
        <v>86</v>
      </c>
      <c r="AO187" s="16"/>
      <c r="AP187" s="17"/>
      <c r="AQ187" s="96">
        <v>2008</v>
      </c>
      <c r="AR187" s="97" t="s">
        <v>37</v>
      </c>
      <c r="AS187" s="15">
        <f t="shared" si="28"/>
        <v>0.83539094650205759</v>
      </c>
      <c r="AT187" s="15">
        <f t="shared" si="29"/>
        <v>0.86474973375931841</v>
      </c>
      <c r="AU187" s="15">
        <f t="shared" si="30"/>
        <v>0.96604938271604934</v>
      </c>
      <c r="AV187" s="16"/>
      <c r="AW187" s="16"/>
      <c r="AX187" s="16">
        <v>972</v>
      </c>
      <c r="AY187" s="16">
        <f t="shared" si="62"/>
        <v>33</v>
      </c>
      <c r="AZ187" s="16">
        <v>939</v>
      </c>
      <c r="BA187" s="16">
        <v>812</v>
      </c>
      <c r="BB187" s="16">
        <f t="shared" si="63"/>
        <v>127</v>
      </c>
    </row>
    <row r="188" spans="1:63" s="18" customFormat="1" ht="15" customHeight="1">
      <c r="A188" s="94">
        <v>2008</v>
      </c>
      <c r="B188" s="95" t="s">
        <v>38</v>
      </c>
      <c r="C188" s="15">
        <f t="shared" si="15"/>
        <v>0.87798485730926035</v>
      </c>
      <c r="D188" s="15">
        <f t="shared" si="16"/>
        <v>0.90224438902743143</v>
      </c>
      <c r="E188" s="15">
        <f t="shared" si="17"/>
        <v>0.97311201708406136</v>
      </c>
      <c r="F188" s="16">
        <f>+Tabla2[[#This Row],[Trenes Programados por Día Hábil]]+Tabla9[[#This Row],[Trenes Programados por Día Hábil]]+Tabla10[[#This Row],[Trenes Programados por Día Hábil]]</f>
        <v>0</v>
      </c>
      <c r="G188" s="33">
        <f>+(Tabla2[[#This Row],[Coches por Tren Día Hábil]]*Tabla2[[#This Row],[Trenes Corridos]]+Tabla9[[#This Row],[Coches por Tren Día Hábil]]*Tabla9[[#This Row],[Trenes Corridos]]+Tabla10[[#This Row],[Coches por Tren Día Hábil]]*Tabla10[[#This Row],[Trenes Corridos]])/SARM[[#This Row],[Trenes Corridos]]</f>
        <v>0</v>
      </c>
      <c r="H188" s="16">
        <f t="shared" si="50"/>
        <v>10302</v>
      </c>
      <c r="I188" s="16">
        <f t="shared" si="34"/>
        <v>277</v>
      </c>
      <c r="J188" s="16">
        <f t="shared" si="35"/>
        <v>10025</v>
      </c>
      <c r="K188" s="16">
        <f t="shared" si="51"/>
        <v>9045</v>
      </c>
      <c r="L188" s="16">
        <f t="shared" si="37"/>
        <v>980</v>
      </c>
      <c r="M188" s="16"/>
      <c r="N188" s="17"/>
      <c r="O188" s="94">
        <v>2008</v>
      </c>
      <c r="P188" s="95" t="s">
        <v>38</v>
      </c>
      <c r="Q188" s="15">
        <f t="shared" si="18"/>
        <v>0.89300166626993571</v>
      </c>
      <c r="R188" s="15">
        <f t="shared" si="19"/>
        <v>0.91768590998043054</v>
      </c>
      <c r="S188" s="15">
        <f t="shared" si="20"/>
        <v>0.97310164246607955</v>
      </c>
      <c r="T188" s="16"/>
      <c r="U188" s="16"/>
      <c r="V188" s="16">
        <v>8402</v>
      </c>
      <c r="W188" s="16">
        <f t="shared" si="58"/>
        <v>226</v>
      </c>
      <c r="X188" s="16">
        <v>8176</v>
      </c>
      <c r="Y188" s="16">
        <v>7503</v>
      </c>
      <c r="Z188" s="16">
        <f t="shared" si="59"/>
        <v>673</v>
      </c>
      <c r="AA188" s="16"/>
      <c r="AB188" s="17"/>
      <c r="AC188" s="94">
        <v>2008</v>
      </c>
      <c r="AD188" s="95" t="s">
        <v>38</v>
      </c>
      <c r="AE188" s="15">
        <f t="shared" si="23"/>
        <v>0.90109890109890112</v>
      </c>
      <c r="AF188" s="15">
        <f t="shared" si="24"/>
        <v>0.91928251121076232</v>
      </c>
      <c r="AG188" s="15">
        <f t="shared" si="25"/>
        <v>0.98021978021978018</v>
      </c>
      <c r="AH188" s="16"/>
      <c r="AI188" s="16"/>
      <c r="AJ188" s="16">
        <v>910</v>
      </c>
      <c r="AK188" s="16">
        <f t="shared" si="60"/>
        <v>18</v>
      </c>
      <c r="AL188" s="16">
        <v>892</v>
      </c>
      <c r="AM188" s="16">
        <v>820</v>
      </c>
      <c r="AN188" s="16">
        <f t="shared" si="61"/>
        <v>72</v>
      </c>
      <c r="AO188" s="16"/>
      <c r="AP188" s="17"/>
      <c r="AQ188" s="94">
        <v>2008</v>
      </c>
      <c r="AR188" s="95" t="s">
        <v>38</v>
      </c>
      <c r="AS188" s="15">
        <f t="shared" si="28"/>
        <v>0.72929292929292933</v>
      </c>
      <c r="AT188" s="15">
        <f t="shared" si="29"/>
        <v>0.75444096133751304</v>
      </c>
      <c r="AU188" s="15">
        <f t="shared" si="30"/>
        <v>0.96666666666666667</v>
      </c>
      <c r="AV188" s="16"/>
      <c r="AW188" s="16"/>
      <c r="AX188" s="16">
        <v>990</v>
      </c>
      <c r="AY188" s="16">
        <f t="shared" si="62"/>
        <v>33</v>
      </c>
      <c r="AZ188" s="16">
        <v>957</v>
      </c>
      <c r="BA188" s="16">
        <v>722</v>
      </c>
      <c r="BB188" s="16">
        <f t="shared" si="63"/>
        <v>235</v>
      </c>
    </row>
    <row r="189" spans="1:63" s="18" customFormat="1" ht="15" customHeight="1">
      <c r="A189" s="96">
        <v>2008</v>
      </c>
      <c r="B189" s="97" t="s">
        <v>39</v>
      </c>
      <c r="C189" s="15">
        <f t="shared" si="15"/>
        <v>0.86438382665892821</v>
      </c>
      <c r="D189" s="15">
        <f t="shared" si="16"/>
        <v>0.88326579025402785</v>
      </c>
      <c r="E189" s="15">
        <f t="shared" si="17"/>
        <v>0.97862255755465277</v>
      </c>
      <c r="F189" s="16">
        <f>+Tabla2[[#This Row],[Trenes Programados por Día Hábil]]+Tabla9[[#This Row],[Trenes Programados por Día Hábil]]+Tabla10[[#This Row],[Trenes Programados por Día Hábil]]</f>
        <v>0</v>
      </c>
      <c r="G189" s="33">
        <f>+(Tabla2[[#This Row],[Coches por Tren Día Hábil]]*Tabla2[[#This Row],[Trenes Corridos]]+Tabla9[[#This Row],[Coches por Tren Día Hábil]]*Tabla9[[#This Row],[Trenes Corridos]]+Tabla10[[#This Row],[Coches por Tren Día Hábil]]*Tabla10[[#This Row],[Trenes Corridos]])/SARM[[#This Row],[Trenes Corridos]]</f>
        <v>0</v>
      </c>
      <c r="H189" s="16">
        <f t="shared" si="50"/>
        <v>10338</v>
      </c>
      <c r="I189" s="16">
        <f t="shared" si="34"/>
        <v>221</v>
      </c>
      <c r="J189" s="16">
        <f t="shared" si="35"/>
        <v>10117</v>
      </c>
      <c r="K189" s="16">
        <f t="shared" si="51"/>
        <v>8936</v>
      </c>
      <c r="L189" s="16">
        <f t="shared" si="37"/>
        <v>1181</v>
      </c>
      <c r="M189" s="16"/>
      <c r="N189" s="17"/>
      <c r="O189" s="96">
        <v>2008</v>
      </c>
      <c r="P189" s="97" t="s">
        <v>39</v>
      </c>
      <c r="Q189" s="15">
        <f t="shared" si="18"/>
        <v>0.8724007561436673</v>
      </c>
      <c r="R189" s="15">
        <f t="shared" si="19"/>
        <v>0.89221846302561625</v>
      </c>
      <c r="S189" s="15">
        <f t="shared" si="20"/>
        <v>0.97778827977315685</v>
      </c>
      <c r="T189" s="16"/>
      <c r="U189" s="16"/>
      <c r="V189" s="16">
        <v>8464</v>
      </c>
      <c r="W189" s="16">
        <f t="shared" si="58"/>
        <v>188</v>
      </c>
      <c r="X189" s="16">
        <v>8276</v>
      </c>
      <c r="Y189" s="16">
        <v>7384</v>
      </c>
      <c r="Z189" s="16">
        <f t="shared" si="59"/>
        <v>892</v>
      </c>
      <c r="AA189" s="16"/>
      <c r="AB189" s="17"/>
      <c r="AC189" s="96">
        <v>2008</v>
      </c>
      <c r="AD189" s="97" t="s">
        <v>39</v>
      </c>
      <c r="AE189" s="15">
        <f t="shared" si="23"/>
        <v>0.91063348416289591</v>
      </c>
      <c r="AF189" s="15">
        <f t="shared" si="24"/>
        <v>0.92528735632183912</v>
      </c>
      <c r="AG189" s="15">
        <f t="shared" si="25"/>
        <v>0.98416289592760176</v>
      </c>
      <c r="AH189" s="16"/>
      <c r="AI189" s="16"/>
      <c r="AJ189" s="16">
        <v>884</v>
      </c>
      <c r="AK189" s="16">
        <f t="shared" si="60"/>
        <v>14</v>
      </c>
      <c r="AL189" s="16">
        <v>870</v>
      </c>
      <c r="AM189" s="16">
        <v>805</v>
      </c>
      <c r="AN189" s="16">
        <f t="shared" si="61"/>
        <v>65</v>
      </c>
      <c r="AO189" s="16"/>
      <c r="AP189" s="17"/>
      <c r="AQ189" s="96">
        <v>2008</v>
      </c>
      <c r="AR189" s="97" t="s">
        <v>39</v>
      </c>
      <c r="AS189" s="15">
        <f t="shared" si="28"/>
        <v>0.75454545454545452</v>
      </c>
      <c r="AT189" s="15">
        <f t="shared" si="29"/>
        <v>0.76930998970133879</v>
      </c>
      <c r="AU189" s="15">
        <f t="shared" si="30"/>
        <v>0.9808080808080808</v>
      </c>
      <c r="AV189" s="16"/>
      <c r="AW189" s="16"/>
      <c r="AX189" s="16">
        <v>990</v>
      </c>
      <c r="AY189" s="16">
        <f t="shared" si="62"/>
        <v>19</v>
      </c>
      <c r="AZ189" s="16">
        <v>971</v>
      </c>
      <c r="BA189" s="16">
        <v>747</v>
      </c>
      <c r="BB189" s="16">
        <f t="shared" si="63"/>
        <v>224</v>
      </c>
    </row>
    <row r="190" spans="1:63" s="18" customFormat="1" ht="15" customHeight="1">
      <c r="A190" s="94">
        <v>2008</v>
      </c>
      <c r="B190" s="95" t="s">
        <v>40</v>
      </c>
      <c r="C190" s="15">
        <f t="shared" si="15"/>
        <v>0.88994005245410268</v>
      </c>
      <c r="D190" s="15">
        <f t="shared" si="16"/>
        <v>0.90901262916188286</v>
      </c>
      <c r="E190" s="15">
        <f t="shared" si="17"/>
        <v>0.97901835893593103</v>
      </c>
      <c r="F190" s="16">
        <f>+Tabla2[[#This Row],[Trenes Programados por Día Hábil]]+Tabla9[[#This Row],[Trenes Programados por Día Hábil]]+Tabla10[[#This Row],[Trenes Programados por Día Hábil]]</f>
        <v>0</v>
      </c>
      <c r="G190" s="33">
        <f>+(Tabla2[[#This Row],[Coches por Tren Día Hábil]]*Tabla2[[#This Row],[Trenes Corridos]]+Tabla9[[#This Row],[Coches por Tren Día Hábil]]*Tabla9[[#This Row],[Trenes Corridos]]+Tabla10[[#This Row],[Coches por Tren Día Hábil]]*Tabla10[[#This Row],[Trenes Corridos]])/SARM[[#This Row],[Trenes Corridos]]</f>
        <v>0</v>
      </c>
      <c r="H190" s="16">
        <f t="shared" si="50"/>
        <v>10676</v>
      </c>
      <c r="I190" s="16">
        <f t="shared" si="34"/>
        <v>224</v>
      </c>
      <c r="J190" s="16">
        <f t="shared" si="35"/>
        <v>10452</v>
      </c>
      <c r="K190" s="16">
        <f t="shared" si="51"/>
        <v>9501</v>
      </c>
      <c r="L190" s="16">
        <f t="shared" si="37"/>
        <v>951</v>
      </c>
      <c r="M190" s="16"/>
      <c r="N190" s="17"/>
      <c r="O190" s="94">
        <v>2008</v>
      </c>
      <c r="P190" s="95" t="s">
        <v>40</v>
      </c>
      <c r="Q190" s="15">
        <f t="shared" si="18"/>
        <v>0.88524027459954235</v>
      </c>
      <c r="R190" s="15">
        <f t="shared" si="19"/>
        <v>0.90629026590137052</v>
      </c>
      <c r="S190" s="15">
        <f t="shared" si="20"/>
        <v>0.97677345537757432</v>
      </c>
      <c r="T190" s="16"/>
      <c r="U190" s="16"/>
      <c r="V190" s="16">
        <v>8740</v>
      </c>
      <c r="W190" s="16">
        <f t="shared" si="58"/>
        <v>203</v>
      </c>
      <c r="X190" s="16">
        <v>8537</v>
      </c>
      <c r="Y190" s="16">
        <v>7737</v>
      </c>
      <c r="Z190" s="16">
        <f t="shared" si="59"/>
        <v>800</v>
      </c>
      <c r="AA190" s="16"/>
      <c r="AB190" s="17"/>
      <c r="AC190" s="94">
        <v>2008</v>
      </c>
      <c r="AD190" s="95" t="s">
        <v>40</v>
      </c>
      <c r="AE190" s="15">
        <f t="shared" si="23"/>
        <v>0.92197802197802203</v>
      </c>
      <c r="AF190" s="15">
        <f t="shared" si="24"/>
        <v>0.92400881057268724</v>
      </c>
      <c r="AG190" s="15">
        <f t="shared" si="25"/>
        <v>0.99780219780219781</v>
      </c>
      <c r="AH190" s="16"/>
      <c r="AI190" s="16"/>
      <c r="AJ190" s="16">
        <v>910</v>
      </c>
      <c r="AK190" s="16">
        <f t="shared" si="60"/>
        <v>2</v>
      </c>
      <c r="AL190" s="16">
        <v>908</v>
      </c>
      <c r="AM190" s="16">
        <v>839</v>
      </c>
      <c r="AN190" s="16">
        <f t="shared" si="61"/>
        <v>69</v>
      </c>
      <c r="AO190" s="16"/>
      <c r="AP190" s="17"/>
      <c r="AQ190" s="94">
        <v>2008</v>
      </c>
      <c r="AR190" s="95" t="s">
        <v>40</v>
      </c>
      <c r="AS190" s="15">
        <f t="shared" si="28"/>
        <v>0.90155945419103312</v>
      </c>
      <c r="AT190" s="15">
        <f t="shared" si="29"/>
        <v>0.91857000993048654</v>
      </c>
      <c r="AU190" s="15">
        <f t="shared" si="30"/>
        <v>0.98148148148148151</v>
      </c>
      <c r="AV190" s="16"/>
      <c r="AW190" s="16"/>
      <c r="AX190" s="16">
        <v>1026</v>
      </c>
      <c r="AY190" s="16">
        <f t="shared" si="62"/>
        <v>19</v>
      </c>
      <c r="AZ190" s="16">
        <v>1007</v>
      </c>
      <c r="BA190" s="16">
        <v>925</v>
      </c>
      <c r="BB190" s="16">
        <f t="shared" si="63"/>
        <v>82</v>
      </c>
    </row>
    <row r="191" spans="1:63" s="18" customFormat="1" ht="15" customHeight="1">
      <c r="A191" s="96">
        <v>2008</v>
      </c>
      <c r="B191" s="97" t="s">
        <v>41</v>
      </c>
      <c r="C191" s="15">
        <f t="shared" si="15"/>
        <v>0.85755013763271726</v>
      </c>
      <c r="D191" s="15">
        <f t="shared" si="16"/>
        <v>0.88173455978975035</v>
      </c>
      <c r="E191" s="15">
        <f t="shared" si="17"/>
        <v>0.97257176563114434</v>
      </c>
      <c r="F191" s="16">
        <f>+Tabla2[[#This Row],[Trenes Programados por Día Hábil]]+Tabla9[[#This Row],[Trenes Programados por Día Hábil]]+Tabla10[[#This Row],[Trenes Programados por Día Hábil]]</f>
        <v>0</v>
      </c>
      <c r="G191" s="33">
        <f>+(Tabla2[[#This Row],[Coches por Tren Día Hábil]]*Tabla2[[#This Row],[Trenes Corridos]]+Tabla9[[#This Row],[Coches por Tren Día Hábil]]*Tabla9[[#This Row],[Trenes Corridos]]+Tabla10[[#This Row],[Coches por Tren Día Hábil]]*Tabla10[[#This Row],[Trenes Corridos]])/SARM[[#This Row],[Trenes Corridos]]</f>
        <v>0</v>
      </c>
      <c r="H191" s="16">
        <f t="shared" si="50"/>
        <v>10172</v>
      </c>
      <c r="I191" s="16">
        <f t="shared" si="34"/>
        <v>279</v>
      </c>
      <c r="J191" s="16">
        <f t="shared" si="35"/>
        <v>9893</v>
      </c>
      <c r="K191" s="16">
        <f t="shared" si="51"/>
        <v>8723</v>
      </c>
      <c r="L191" s="16">
        <f t="shared" si="37"/>
        <v>1170</v>
      </c>
      <c r="M191" s="16"/>
      <c r="N191" s="17"/>
      <c r="O191" s="96">
        <v>2008</v>
      </c>
      <c r="P191" s="97" t="s">
        <v>41</v>
      </c>
      <c r="Q191" s="15">
        <f t="shared" si="18"/>
        <v>0.85858585858585856</v>
      </c>
      <c r="R191" s="15">
        <f t="shared" si="19"/>
        <v>0.88344469190794361</v>
      </c>
      <c r="S191" s="15">
        <f t="shared" si="20"/>
        <v>0.97186147186147187</v>
      </c>
      <c r="T191" s="16"/>
      <c r="U191" s="16"/>
      <c r="V191" s="16">
        <v>8316</v>
      </c>
      <c r="W191" s="16">
        <f t="shared" si="58"/>
        <v>234</v>
      </c>
      <c r="X191" s="16">
        <v>8082</v>
      </c>
      <c r="Y191" s="16">
        <v>7140</v>
      </c>
      <c r="Z191" s="16">
        <f t="shared" si="59"/>
        <v>942</v>
      </c>
      <c r="AA191" s="16"/>
      <c r="AB191" s="17"/>
      <c r="AC191" s="96">
        <v>2008</v>
      </c>
      <c r="AD191" s="97" t="s">
        <v>41</v>
      </c>
      <c r="AE191" s="15">
        <f t="shared" si="23"/>
        <v>0.89479638009049778</v>
      </c>
      <c r="AF191" s="15">
        <f t="shared" si="24"/>
        <v>0.9155092592592593</v>
      </c>
      <c r="AG191" s="15">
        <f t="shared" si="25"/>
        <v>0.9773755656108597</v>
      </c>
      <c r="AH191" s="16"/>
      <c r="AI191" s="16"/>
      <c r="AJ191" s="16">
        <v>884</v>
      </c>
      <c r="AK191" s="16">
        <f t="shared" si="60"/>
        <v>20</v>
      </c>
      <c r="AL191" s="16">
        <v>864</v>
      </c>
      <c r="AM191" s="16">
        <v>791</v>
      </c>
      <c r="AN191" s="16">
        <f t="shared" si="61"/>
        <v>73</v>
      </c>
      <c r="AO191" s="16"/>
      <c r="AP191" s="17"/>
      <c r="AQ191" s="96">
        <v>2008</v>
      </c>
      <c r="AR191" s="97" t="s">
        <v>41</v>
      </c>
      <c r="AS191" s="15">
        <f t="shared" si="28"/>
        <v>0.81481481481481477</v>
      </c>
      <c r="AT191" s="15">
        <f t="shared" si="29"/>
        <v>0.83632523759239707</v>
      </c>
      <c r="AU191" s="15">
        <f t="shared" si="30"/>
        <v>0.97427983539094654</v>
      </c>
      <c r="AV191" s="16"/>
      <c r="AW191" s="16"/>
      <c r="AX191" s="16">
        <v>972</v>
      </c>
      <c r="AY191" s="16">
        <f t="shared" si="62"/>
        <v>25</v>
      </c>
      <c r="AZ191" s="16">
        <v>947</v>
      </c>
      <c r="BA191" s="16">
        <v>792</v>
      </c>
      <c r="BB191" s="16">
        <f t="shared" si="63"/>
        <v>155</v>
      </c>
    </row>
    <row r="192" spans="1:63" s="18" customFormat="1" ht="15" customHeight="1">
      <c r="A192" s="94">
        <v>2008</v>
      </c>
      <c r="B192" s="95" t="s">
        <v>42</v>
      </c>
      <c r="C192" s="15">
        <f t="shared" si="15"/>
        <v>0.87101287073307221</v>
      </c>
      <c r="D192" s="15">
        <f t="shared" si="16"/>
        <v>0.89471163058057102</v>
      </c>
      <c r="E192" s="15">
        <f t="shared" si="17"/>
        <v>0.9735124044021638</v>
      </c>
      <c r="F192" s="16">
        <f>+Tabla2[[#This Row],[Trenes Programados por Día Hábil]]+Tabla9[[#This Row],[Trenes Programados por Día Hábil]]+Tabla10[[#This Row],[Trenes Programados por Día Hábil]]</f>
        <v>0</v>
      </c>
      <c r="G192" s="33">
        <f>+(Tabla2[[#This Row],[Coches por Tren Día Hábil]]*Tabla2[[#This Row],[Trenes Corridos]]+Tabla9[[#This Row],[Coches por Tren Día Hábil]]*Tabla9[[#This Row],[Trenes Corridos]]+Tabla10[[#This Row],[Coches por Tren Día Hábil]]*Tabla10[[#This Row],[Trenes Corridos]])/SARM[[#This Row],[Trenes Corridos]]</f>
        <v>0</v>
      </c>
      <c r="H192" s="16">
        <f t="shared" si="50"/>
        <v>10722</v>
      </c>
      <c r="I192" s="16">
        <f t="shared" si="34"/>
        <v>284</v>
      </c>
      <c r="J192" s="16">
        <f t="shared" si="35"/>
        <v>10438</v>
      </c>
      <c r="K192" s="16">
        <f t="shared" si="51"/>
        <v>9339</v>
      </c>
      <c r="L192" s="16">
        <f t="shared" si="37"/>
        <v>1099</v>
      </c>
      <c r="M192" s="16"/>
      <c r="N192" s="17"/>
      <c r="O192" s="94">
        <v>2008</v>
      </c>
      <c r="P192" s="95" t="s">
        <v>42</v>
      </c>
      <c r="Q192" s="15">
        <f t="shared" si="18"/>
        <v>0.87599635618310179</v>
      </c>
      <c r="R192" s="15">
        <f t="shared" si="19"/>
        <v>0.8996608583791369</v>
      </c>
      <c r="S192" s="15">
        <f t="shared" si="20"/>
        <v>0.97369619676611252</v>
      </c>
      <c r="T192" s="16"/>
      <c r="U192" s="16"/>
      <c r="V192" s="16">
        <v>8782</v>
      </c>
      <c r="W192" s="16">
        <f t="shared" si="58"/>
        <v>231</v>
      </c>
      <c r="X192" s="16">
        <v>8551</v>
      </c>
      <c r="Y192" s="16">
        <v>7693</v>
      </c>
      <c r="Z192" s="16">
        <f t="shared" si="59"/>
        <v>858</v>
      </c>
      <c r="AA192" s="16"/>
      <c r="AB192" s="17"/>
      <c r="AC192" s="94">
        <v>2008</v>
      </c>
      <c r="AD192" s="95" t="s">
        <v>42</v>
      </c>
      <c r="AE192" s="15">
        <f t="shared" si="23"/>
        <v>0.92013129102844637</v>
      </c>
      <c r="AF192" s="15">
        <f t="shared" si="24"/>
        <v>0.93756967670011149</v>
      </c>
      <c r="AG192" s="15">
        <f t="shared" si="25"/>
        <v>0.98140043763676144</v>
      </c>
      <c r="AH192" s="16"/>
      <c r="AI192" s="16"/>
      <c r="AJ192" s="16">
        <v>914</v>
      </c>
      <c r="AK192" s="16">
        <f t="shared" si="60"/>
        <v>17</v>
      </c>
      <c r="AL192" s="16">
        <v>897</v>
      </c>
      <c r="AM192" s="16">
        <v>841</v>
      </c>
      <c r="AN192" s="16">
        <f t="shared" si="61"/>
        <v>56</v>
      </c>
      <c r="AO192" s="16"/>
      <c r="AP192" s="17"/>
      <c r="AQ192" s="94">
        <v>2008</v>
      </c>
      <c r="AR192" s="95" t="s">
        <v>42</v>
      </c>
      <c r="AS192" s="15">
        <f t="shared" si="28"/>
        <v>0.78460038986354774</v>
      </c>
      <c r="AT192" s="15">
        <f t="shared" si="29"/>
        <v>0.81313131313131315</v>
      </c>
      <c r="AU192" s="15">
        <f t="shared" si="30"/>
        <v>0.96491228070175439</v>
      </c>
      <c r="AV192" s="16"/>
      <c r="AW192" s="16"/>
      <c r="AX192" s="16">
        <v>1026</v>
      </c>
      <c r="AY192" s="16">
        <f t="shared" si="62"/>
        <v>36</v>
      </c>
      <c r="AZ192" s="16">
        <v>990</v>
      </c>
      <c r="BA192" s="16">
        <v>805</v>
      </c>
      <c r="BB192" s="16">
        <f t="shared" si="63"/>
        <v>185</v>
      </c>
    </row>
    <row r="193" spans="1:54" s="18" customFormat="1" ht="15" customHeight="1">
      <c r="A193" s="96">
        <v>2008</v>
      </c>
      <c r="B193" s="97" t="s">
        <v>43</v>
      </c>
      <c r="C193" s="15">
        <f t="shared" si="15"/>
        <v>0.89663737103553687</v>
      </c>
      <c r="D193" s="15">
        <f t="shared" si="16"/>
        <v>0.91321268729324767</v>
      </c>
      <c r="E193" s="15">
        <f t="shared" si="17"/>
        <v>0.98184944593045476</v>
      </c>
      <c r="F193" s="16">
        <f>+Tabla2[[#This Row],[Trenes Programados por Día Hábil]]+Tabla9[[#This Row],[Trenes Programados por Día Hábil]]+Tabla10[[#This Row],[Trenes Programados por Día Hábil]]</f>
        <v>0</v>
      </c>
      <c r="G193" s="33">
        <f>+(Tabla2[[#This Row],[Coches por Tren Día Hábil]]*Tabla2[[#This Row],[Trenes Corridos]]+Tabla9[[#This Row],[Coches por Tren Día Hábil]]*Tabla9[[#This Row],[Trenes Corridos]]+Tabla10[[#This Row],[Coches por Tren Día Hábil]]*Tabla10[[#This Row],[Trenes Corridos]])/SARM[[#This Row],[Trenes Corridos]]</f>
        <v>0</v>
      </c>
      <c r="H193" s="16">
        <f t="shared" si="50"/>
        <v>10468</v>
      </c>
      <c r="I193" s="16">
        <f t="shared" si="34"/>
        <v>190</v>
      </c>
      <c r="J193" s="16">
        <f t="shared" si="35"/>
        <v>10278</v>
      </c>
      <c r="K193" s="16">
        <f t="shared" si="51"/>
        <v>9386</v>
      </c>
      <c r="L193" s="16">
        <f t="shared" si="37"/>
        <v>892</v>
      </c>
      <c r="M193" s="16"/>
      <c r="N193" s="17"/>
      <c r="O193" s="96">
        <v>2008</v>
      </c>
      <c r="P193" s="97" t="s">
        <v>43</v>
      </c>
      <c r="Q193" s="15">
        <f t="shared" si="18"/>
        <v>0.89847953216374266</v>
      </c>
      <c r="R193" s="15">
        <f t="shared" si="19"/>
        <v>0.91572297055668139</v>
      </c>
      <c r="S193" s="15">
        <f t="shared" si="20"/>
        <v>0.9811695906432748</v>
      </c>
      <c r="T193" s="16"/>
      <c r="U193" s="16"/>
      <c r="V193" s="16">
        <v>8550</v>
      </c>
      <c r="W193" s="16">
        <f t="shared" si="58"/>
        <v>161</v>
      </c>
      <c r="X193" s="16">
        <v>8389</v>
      </c>
      <c r="Y193" s="16">
        <v>7682</v>
      </c>
      <c r="Z193" s="16">
        <f t="shared" si="59"/>
        <v>707</v>
      </c>
      <c r="AA193" s="16"/>
      <c r="AB193" s="17"/>
      <c r="AC193" s="96">
        <v>2008</v>
      </c>
      <c r="AD193" s="97" t="s">
        <v>43</v>
      </c>
      <c r="AE193" s="15">
        <f t="shared" si="23"/>
        <v>0.91538461538461535</v>
      </c>
      <c r="AF193" s="15">
        <f t="shared" si="24"/>
        <v>0.9296875</v>
      </c>
      <c r="AG193" s="15">
        <f t="shared" si="25"/>
        <v>0.98461538461538467</v>
      </c>
      <c r="AH193" s="16"/>
      <c r="AI193" s="16"/>
      <c r="AJ193" s="16">
        <v>910</v>
      </c>
      <c r="AK193" s="16">
        <f t="shared" si="60"/>
        <v>14</v>
      </c>
      <c r="AL193" s="16">
        <v>896</v>
      </c>
      <c r="AM193" s="16">
        <v>833</v>
      </c>
      <c r="AN193" s="16">
        <f t="shared" si="61"/>
        <v>63</v>
      </c>
      <c r="AO193" s="16"/>
      <c r="AP193" s="17"/>
      <c r="AQ193" s="96">
        <v>2008</v>
      </c>
      <c r="AR193" s="97" t="s">
        <v>43</v>
      </c>
      <c r="AS193" s="15">
        <f t="shared" si="28"/>
        <v>0.86408730158730163</v>
      </c>
      <c r="AT193" s="15">
        <f t="shared" si="29"/>
        <v>0.87713997985901304</v>
      </c>
      <c r="AU193" s="15">
        <f t="shared" si="30"/>
        <v>0.98511904761904767</v>
      </c>
      <c r="AV193" s="16"/>
      <c r="AW193" s="16"/>
      <c r="AX193" s="16">
        <v>1008</v>
      </c>
      <c r="AY193" s="16">
        <f t="shared" si="62"/>
        <v>15</v>
      </c>
      <c r="AZ193" s="16">
        <v>993</v>
      </c>
      <c r="BA193" s="16">
        <v>871</v>
      </c>
      <c r="BB193" s="16">
        <f t="shared" si="63"/>
        <v>122</v>
      </c>
    </row>
    <row r="194" spans="1:54" s="18" customFormat="1" ht="15" customHeight="1">
      <c r="A194" s="94">
        <v>2008</v>
      </c>
      <c r="B194" s="95" t="s">
        <v>44</v>
      </c>
      <c r="C194" s="15">
        <f t="shared" si="15"/>
        <v>0.87423838537699927</v>
      </c>
      <c r="D194" s="15">
        <f t="shared" si="16"/>
        <v>0.92570564516129028</v>
      </c>
      <c r="E194" s="15">
        <f t="shared" si="17"/>
        <v>0.9444021325209444</v>
      </c>
      <c r="F194" s="16">
        <f>+Tabla2[[#This Row],[Trenes Programados por Día Hábil]]+Tabla9[[#This Row],[Trenes Programados por Día Hábil]]+Tabla10[[#This Row],[Trenes Programados por Día Hábil]]</f>
        <v>0</v>
      </c>
      <c r="G194" s="33">
        <f>+(Tabla2[[#This Row],[Coches por Tren Día Hábil]]*Tabla2[[#This Row],[Trenes Corridos]]+Tabla9[[#This Row],[Coches por Tren Día Hábil]]*Tabla9[[#This Row],[Trenes Corridos]]+Tabla10[[#This Row],[Coches por Tren Día Hábil]]*Tabla10[[#This Row],[Trenes Corridos]])/SARM[[#This Row],[Trenes Corridos]]</f>
        <v>0</v>
      </c>
      <c r="H194" s="16">
        <f t="shared" si="50"/>
        <v>10504</v>
      </c>
      <c r="I194" s="16">
        <f t="shared" si="34"/>
        <v>584</v>
      </c>
      <c r="J194" s="16">
        <f t="shared" si="35"/>
        <v>9920</v>
      </c>
      <c r="K194" s="16">
        <f t="shared" si="51"/>
        <v>9183</v>
      </c>
      <c r="L194" s="16">
        <f t="shared" si="37"/>
        <v>737</v>
      </c>
      <c r="M194" s="16"/>
      <c r="N194" s="17"/>
      <c r="O194" s="94">
        <v>2008</v>
      </c>
      <c r="P194" s="95" t="s">
        <v>44</v>
      </c>
      <c r="Q194" s="15">
        <f t="shared" si="18"/>
        <v>0.87273571760334412</v>
      </c>
      <c r="R194" s="15">
        <f t="shared" si="19"/>
        <v>0.92687137748181037</v>
      </c>
      <c r="S194" s="15">
        <f t="shared" si="20"/>
        <v>0.94159312587087785</v>
      </c>
      <c r="T194" s="16"/>
      <c r="U194" s="16"/>
      <c r="V194" s="16">
        <v>8612</v>
      </c>
      <c r="W194" s="16">
        <f t="shared" si="58"/>
        <v>503</v>
      </c>
      <c r="X194" s="16">
        <v>8109</v>
      </c>
      <c r="Y194" s="16">
        <v>7516</v>
      </c>
      <c r="Z194" s="16">
        <f t="shared" si="59"/>
        <v>593</v>
      </c>
      <c r="AA194" s="16"/>
      <c r="AB194" s="17"/>
      <c r="AC194" s="94">
        <v>2008</v>
      </c>
      <c r="AD194" s="95" t="s">
        <v>44</v>
      </c>
      <c r="AE194" s="15">
        <f t="shared" si="23"/>
        <v>0.87669683257918551</v>
      </c>
      <c r="AF194" s="15">
        <f t="shared" si="24"/>
        <v>0.9215219976218787</v>
      </c>
      <c r="AG194" s="15">
        <f t="shared" si="25"/>
        <v>0.95135746606334837</v>
      </c>
      <c r="AH194" s="16"/>
      <c r="AI194" s="16"/>
      <c r="AJ194" s="16">
        <v>884</v>
      </c>
      <c r="AK194" s="16">
        <f t="shared" si="60"/>
        <v>43</v>
      </c>
      <c r="AL194" s="16">
        <v>841</v>
      </c>
      <c r="AM194" s="16">
        <v>775</v>
      </c>
      <c r="AN194" s="16">
        <f t="shared" si="61"/>
        <v>66</v>
      </c>
      <c r="AO194" s="16"/>
      <c r="AP194" s="17"/>
      <c r="AQ194" s="94">
        <v>2008</v>
      </c>
      <c r="AR194" s="95" t="s">
        <v>44</v>
      </c>
      <c r="AS194" s="15">
        <f t="shared" si="28"/>
        <v>0.88492063492063489</v>
      </c>
      <c r="AT194" s="15">
        <f t="shared" si="29"/>
        <v>0.91958762886597933</v>
      </c>
      <c r="AU194" s="15">
        <f t="shared" si="30"/>
        <v>0.96230158730158732</v>
      </c>
      <c r="AV194" s="16"/>
      <c r="AW194" s="16"/>
      <c r="AX194" s="16">
        <v>1008</v>
      </c>
      <c r="AY194" s="16">
        <f t="shared" si="62"/>
        <v>38</v>
      </c>
      <c r="AZ194" s="16">
        <v>970</v>
      </c>
      <c r="BA194" s="16">
        <v>892</v>
      </c>
      <c r="BB194" s="16">
        <f t="shared" si="63"/>
        <v>78</v>
      </c>
    </row>
    <row r="195" spans="1:54" s="18" customFormat="1" ht="15" customHeight="1">
      <c r="A195" s="96">
        <v>2008</v>
      </c>
      <c r="B195" s="97" t="s">
        <v>45</v>
      </c>
      <c r="C195" s="15">
        <f t="shared" si="15"/>
        <v>0.89927252378287637</v>
      </c>
      <c r="D195" s="15">
        <f t="shared" si="16"/>
        <v>0.91549563235852638</v>
      </c>
      <c r="E195" s="15">
        <f t="shared" si="17"/>
        <v>0.98227942548032088</v>
      </c>
      <c r="F195" s="16">
        <f>+Tabla2[[#This Row],[Trenes Programados por Día Hábil]]+Tabla9[[#This Row],[Trenes Programados por Día Hábil]]+Tabla10[[#This Row],[Trenes Programados por Día Hábil]]</f>
        <v>0</v>
      </c>
      <c r="G195" s="33">
        <f>+(Tabla2[[#This Row],[Coches por Tren Día Hábil]]*Tabla2[[#This Row],[Trenes Corridos]]+Tabla9[[#This Row],[Coches por Tren Día Hábil]]*Tabla9[[#This Row],[Trenes Corridos]]+Tabla10[[#This Row],[Coches por Tren Día Hábil]]*Tabla10[[#This Row],[Trenes Corridos]])/SARM[[#This Row],[Trenes Corridos]]</f>
        <v>0</v>
      </c>
      <c r="H195" s="16">
        <f t="shared" si="50"/>
        <v>10722</v>
      </c>
      <c r="I195" s="16">
        <f t="shared" si="34"/>
        <v>190</v>
      </c>
      <c r="J195" s="16">
        <f t="shared" si="35"/>
        <v>10532</v>
      </c>
      <c r="K195" s="16">
        <f t="shared" si="51"/>
        <v>9642</v>
      </c>
      <c r="L195" s="16">
        <f t="shared" si="37"/>
        <v>890</v>
      </c>
      <c r="M195" s="16"/>
      <c r="N195" s="17"/>
      <c r="O195" s="96">
        <v>2008</v>
      </c>
      <c r="P195" s="97" t="s">
        <v>45</v>
      </c>
      <c r="Q195" s="15">
        <f t="shared" si="18"/>
        <v>0.90366659075381461</v>
      </c>
      <c r="R195" s="15">
        <f t="shared" si="19"/>
        <v>0.91979601298099212</v>
      </c>
      <c r="S195" s="15">
        <f t="shared" si="20"/>
        <v>0.98246413117740838</v>
      </c>
      <c r="T195" s="16"/>
      <c r="U195" s="16"/>
      <c r="V195" s="16">
        <v>8782</v>
      </c>
      <c r="W195" s="16">
        <f t="shared" si="58"/>
        <v>154</v>
      </c>
      <c r="X195" s="16">
        <v>8628</v>
      </c>
      <c r="Y195" s="16">
        <v>7936</v>
      </c>
      <c r="Z195" s="16">
        <f t="shared" si="59"/>
        <v>692</v>
      </c>
      <c r="AA195" s="16"/>
      <c r="AB195" s="17"/>
      <c r="AC195" s="96">
        <v>2008</v>
      </c>
      <c r="AD195" s="97" t="s">
        <v>45</v>
      </c>
      <c r="AE195" s="15">
        <f t="shared" si="23"/>
        <v>0.90043763676148791</v>
      </c>
      <c r="AF195" s="15">
        <f t="shared" si="24"/>
        <v>0.90738699007717749</v>
      </c>
      <c r="AG195" s="15">
        <f t="shared" si="25"/>
        <v>0.99234135667396062</v>
      </c>
      <c r="AH195" s="16"/>
      <c r="AI195" s="16"/>
      <c r="AJ195" s="16">
        <v>914</v>
      </c>
      <c r="AK195" s="16">
        <f t="shared" si="60"/>
        <v>7</v>
      </c>
      <c r="AL195" s="16">
        <v>907</v>
      </c>
      <c r="AM195" s="16">
        <v>823</v>
      </c>
      <c r="AN195" s="16">
        <f t="shared" si="61"/>
        <v>84</v>
      </c>
      <c r="AO195" s="16"/>
      <c r="AP195" s="17"/>
      <c r="AQ195" s="96">
        <v>2008</v>
      </c>
      <c r="AR195" s="97" t="s">
        <v>45</v>
      </c>
      <c r="AS195" s="15">
        <f t="shared" si="28"/>
        <v>0.86062378167641329</v>
      </c>
      <c r="AT195" s="15">
        <f t="shared" si="29"/>
        <v>0.88565697091273821</v>
      </c>
      <c r="AU195" s="15">
        <f t="shared" si="30"/>
        <v>0.97173489278752434</v>
      </c>
      <c r="AV195" s="16"/>
      <c r="AW195" s="16"/>
      <c r="AX195" s="16">
        <v>1026</v>
      </c>
      <c r="AY195" s="16">
        <f t="shared" si="62"/>
        <v>29</v>
      </c>
      <c r="AZ195" s="16">
        <v>997</v>
      </c>
      <c r="BA195" s="16">
        <v>883</v>
      </c>
      <c r="BB195" s="16">
        <f t="shared" si="63"/>
        <v>114</v>
      </c>
    </row>
    <row r="196" spans="1:54" s="18" customFormat="1" ht="15" customHeight="1">
      <c r="A196" s="94">
        <v>2008</v>
      </c>
      <c r="B196" s="95" t="s">
        <v>46</v>
      </c>
      <c r="C196" s="15">
        <f t="shared" si="15"/>
        <v>0.86802575107296143</v>
      </c>
      <c r="D196" s="15">
        <f t="shared" si="16"/>
        <v>0.89563204508856686</v>
      </c>
      <c r="E196" s="15">
        <f t="shared" si="17"/>
        <v>0.9691767460007803</v>
      </c>
      <c r="F196" s="16">
        <f>+Tabla2[[#This Row],[Trenes Programados por Día Hábil]]+Tabla9[[#This Row],[Trenes Programados por Día Hábil]]+Tabla10[[#This Row],[Trenes Programados por Día Hábil]]</f>
        <v>0</v>
      </c>
      <c r="G196" s="33">
        <f>+(Tabla2[[#This Row],[Coches por Tren Día Hábil]]*Tabla2[[#This Row],[Trenes Corridos]]+Tabla9[[#This Row],[Coches por Tren Día Hábil]]*Tabla9[[#This Row],[Trenes Corridos]]+Tabla10[[#This Row],[Coches por Tren Día Hábil]]*Tabla10[[#This Row],[Trenes Corridos]])/SARM[[#This Row],[Trenes Corridos]]</f>
        <v>0</v>
      </c>
      <c r="H196" s="16">
        <f t="shared" si="50"/>
        <v>10252</v>
      </c>
      <c r="I196" s="16">
        <f t="shared" si="34"/>
        <v>316</v>
      </c>
      <c r="J196" s="16">
        <f t="shared" si="35"/>
        <v>9936</v>
      </c>
      <c r="K196" s="16">
        <f t="shared" si="51"/>
        <v>8899</v>
      </c>
      <c r="L196" s="16">
        <f t="shared" si="37"/>
        <v>1037</v>
      </c>
      <c r="M196" s="16"/>
      <c r="N196" s="17"/>
      <c r="O196" s="94">
        <v>2008</v>
      </c>
      <c r="P196" s="95" t="s">
        <v>46</v>
      </c>
      <c r="Q196" s="15">
        <f t="shared" si="18"/>
        <v>0.87198759246003343</v>
      </c>
      <c r="R196" s="15">
        <f t="shared" si="19"/>
        <v>0.90234567901234564</v>
      </c>
      <c r="S196" s="15">
        <f t="shared" si="20"/>
        <v>0.96635647816750181</v>
      </c>
      <c r="T196" s="16"/>
      <c r="U196" s="16"/>
      <c r="V196" s="16">
        <v>8382</v>
      </c>
      <c r="W196" s="16">
        <f t="shared" si="58"/>
        <v>282</v>
      </c>
      <c r="X196" s="16">
        <v>8100</v>
      </c>
      <c r="Y196" s="16">
        <v>7309</v>
      </c>
      <c r="Z196" s="16">
        <f t="shared" si="59"/>
        <v>791</v>
      </c>
      <c r="AA196" s="16"/>
      <c r="AB196" s="17"/>
      <c r="AC196" s="94">
        <v>2008</v>
      </c>
      <c r="AD196" s="95" t="s">
        <v>46</v>
      </c>
      <c r="AE196" s="15">
        <f t="shared" si="23"/>
        <v>0.83750000000000002</v>
      </c>
      <c r="AF196" s="15">
        <f t="shared" si="24"/>
        <v>0.86299765807962525</v>
      </c>
      <c r="AG196" s="15">
        <f t="shared" si="25"/>
        <v>0.97045454545454546</v>
      </c>
      <c r="AH196" s="16"/>
      <c r="AI196" s="16"/>
      <c r="AJ196" s="16">
        <v>880</v>
      </c>
      <c r="AK196" s="16">
        <f t="shared" si="60"/>
        <v>26</v>
      </c>
      <c r="AL196" s="16">
        <v>854</v>
      </c>
      <c r="AM196" s="16">
        <v>737</v>
      </c>
      <c r="AN196" s="16">
        <f t="shared" si="61"/>
        <v>117</v>
      </c>
      <c r="AO196" s="16"/>
      <c r="AP196" s="17"/>
      <c r="AQ196" s="94">
        <v>2008</v>
      </c>
      <c r="AR196" s="95" t="s">
        <v>46</v>
      </c>
      <c r="AS196" s="15">
        <f t="shared" si="28"/>
        <v>0.86161616161616161</v>
      </c>
      <c r="AT196" s="15">
        <f t="shared" si="29"/>
        <v>0.8686354378818737</v>
      </c>
      <c r="AU196" s="15">
        <f t="shared" si="30"/>
        <v>0.99191919191919187</v>
      </c>
      <c r="AV196" s="16"/>
      <c r="AW196" s="16"/>
      <c r="AX196" s="16">
        <v>990</v>
      </c>
      <c r="AY196" s="16">
        <f t="shared" si="62"/>
        <v>8</v>
      </c>
      <c r="AZ196" s="16">
        <v>982</v>
      </c>
      <c r="BA196" s="16">
        <v>853</v>
      </c>
      <c r="BB196" s="16">
        <f t="shared" si="63"/>
        <v>129</v>
      </c>
    </row>
    <row r="197" spans="1:54" s="18" customFormat="1" ht="15" customHeight="1">
      <c r="A197" s="96">
        <v>2008</v>
      </c>
      <c r="B197" s="97" t="s">
        <v>47</v>
      </c>
      <c r="C197" s="15">
        <f t="shared" si="15"/>
        <v>0.88098391674550613</v>
      </c>
      <c r="D197" s="15">
        <f t="shared" si="16"/>
        <v>0.91142213957130269</v>
      </c>
      <c r="E197" s="15">
        <f t="shared" si="17"/>
        <v>0.96660359508041627</v>
      </c>
      <c r="F197" s="16">
        <f>+Tabla2[[#This Row],[Trenes Programados por Día Hábil]]+Tabla9[[#This Row],[Trenes Programados por Día Hábil]]+Tabla10[[#This Row],[Trenes Programados por Día Hábil]]</f>
        <v>0</v>
      </c>
      <c r="G197" s="33">
        <f>+(Tabla2[[#This Row],[Coches por Tren Día Hábil]]*Tabla2[[#This Row],[Trenes Corridos]]+Tabla9[[#This Row],[Coches por Tren Día Hábil]]*Tabla9[[#This Row],[Trenes Corridos]]+Tabla10[[#This Row],[Coches por Tren Día Hábil]]*Tabla10[[#This Row],[Trenes Corridos]])/SARM[[#This Row],[Trenes Corridos]]</f>
        <v>0</v>
      </c>
      <c r="H197" s="16">
        <f t="shared" si="50"/>
        <v>10570</v>
      </c>
      <c r="I197" s="16">
        <f t="shared" si="34"/>
        <v>353</v>
      </c>
      <c r="J197" s="16">
        <f t="shared" si="35"/>
        <v>10217</v>
      </c>
      <c r="K197" s="16">
        <f t="shared" si="51"/>
        <v>9312</v>
      </c>
      <c r="L197" s="16">
        <f t="shared" si="37"/>
        <v>905</v>
      </c>
      <c r="M197" s="16"/>
      <c r="N197" s="25"/>
      <c r="O197" s="96">
        <v>2008</v>
      </c>
      <c r="P197" s="97" t="s">
        <v>47</v>
      </c>
      <c r="Q197" s="15">
        <f t="shared" si="18"/>
        <v>0.88280888477556685</v>
      </c>
      <c r="R197" s="15">
        <f t="shared" si="19"/>
        <v>0.9119263862332696</v>
      </c>
      <c r="S197" s="15">
        <f t="shared" si="20"/>
        <v>0.96807033780657104</v>
      </c>
      <c r="T197" s="16"/>
      <c r="U197" s="16"/>
      <c r="V197" s="16">
        <v>8644</v>
      </c>
      <c r="W197" s="16">
        <f t="shared" si="58"/>
        <v>276</v>
      </c>
      <c r="X197" s="16">
        <v>8368</v>
      </c>
      <c r="Y197" s="16">
        <v>7631</v>
      </c>
      <c r="Z197" s="16">
        <f t="shared" si="59"/>
        <v>737</v>
      </c>
      <c r="AA197" s="16"/>
      <c r="AB197" s="17"/>
      <c r="AC197" s="96">
        <v>2008</v>
      </c>
      <c r="AD197" s="97" t="s">
        <v>47</v>
      </c>
      <c r="AE197" s="15">
        <f t="shared" si="23"/>
        <v>0.87472766884531594</v>
      </c>
      <c r="AF197" s="15">
        <f t="shared" si="24"/>
        <v>0.91249999999999998</v>
      </c>
      <c r="AG197" s="15">
        <f t="shared" si="25"/>
        <v>0.95860566448801743</v>
      </c>
      <c r="AH197" s="16"/>
      <c r="AI197" s="16"/>
      <c r="AJ197" s="16">
        <v>918</v>
      </c>
      <c r="AK197" s="16">
        <f t="shared" si="60"/>
        <v>38</v>
      </c>
      <c r="AL197" s="16">
        <v>880</v>
      </c>
      <c r="AM197" s="16">
        <v>803</v>
      </c>
      <c r="AN197" s="16">
        <f t="shared" si="61"/>
        <v>77</v>
      </c>
      <c r="AO197" s="16"/>
      <c r="AP197" s="17"/>
      <c r="AQ197" s="96">
        <v>2008</v>
      </c>
      <c r="AR197" s="97" t="s">
        <v>47</v>
      </c>
      <c r="AS197" s="15">
        <f t="shared" si="28"/>
        <v>0.87103174603174605</v>
      </c>
      <c r="AT197" s="15">
        <f t="shared" si="29"/>
        <v>0.90608875128998967</v>
      </c>
      <c r="AU197" s="15">
        <f t="shared" si="30"/>
        <v>0.96130952380952384</v>
      </c>
      <c r="AV197" s="16"/>
      <c r="AW197" s="16"/>
      <c r="AX197" s="16">
        <v>1008</v>
      </c>
      <c r="AY197" s="16">
        <f t="shared" si="62"/>
        <v>39</v>
      </c>
      <c r="AZ197" s="16">
        <v>969</v>
      </c>
      <c r="BA197" s="16">
        <v>878</v>
      </c>
      <c r="BB197" s="16">
        <f t="shared" si="63"/>
        <v>91</v>
      </c>
    </row>
    <row r="198" spans="1:54" s="18" customFormat="1" ht="15" customHeight="1">
      <c r="A198" s="94">
        <v>2009</v>
      </c>
      <c r="B198" s="95" t="s">
        <v>36</v>
      </c>
      <c r="C198" s="15">
        <f t="shared" si="15"/>
        <v>0.84111184148746365</v>
      </c>
      <c r="D198" s="15">
        <f t="shared" si="16"/>
        <v>0.8759902200488997</v>
      </c>
      <c r="E198" s="15">
        <f t="shared" si="17"/>
        <v>0.96018405484083014</v>
      </c>
      <c r="F198" s="16">
        <f>+Tabla2[[#This Row],[Trenes Programados por Día Hábil]]+Tabla9[[#This Row],[Trenes Programados por Día Hábil]]+Tabla10[[#This Row],[Trenes Programados por Día Hábil]]</f>
        <v>0</v>
      </c>
      <c r="G198" s="33">
        <f>+(Tabla2[[#This Row],[Coches por Tren Día Hábil]]*Tabla2[[#This Row],[Trenes Corridos]]+Tabla9[[#This Row],[Coches por Tren Día Hábil]]*Tabla9[[#This Row],[Trenes Corridos]]+Tabla10[[#This Row],[Coches por Tren Día Hábil]]*Tabla10[[#This Row],[Trenes Corridos]])/SARM[[#This Row],[Trenes Corridos]]</f>
        <v>0</v>
      </c>
      <c r="H198" s="16">
        <f t="shared" si="50"/>
        <v>10649</v>
      </c>
      <c r="I198" s="16">
        <f t="shared" ref="I198:I261" si="64">H198-J198</f>
        <v>424</v>
      </c>
      <c r="J198" s="16">
        <f t="shared" si="35"/>
        <v>10225</v>
      </c>
      <c r="K198" s="16">
        <f t="shared" si="51"/>
        <v>8957</v>
      </c>
      <c r="L198" s="16">
        <f t="shared" ref="L198:L261" si="65">J198-K198</f>
        <v>1268</v>
      </c>
      <c r="M198" s="16"/>
      <c r="N198" s="17"/>
      <c r="O198" s="94">
        <v>2009</v>
      </c>
      <c r="P198" s="95" t="s">
        <v>36</v>
      </c>
      <c r="Q198" s="15">
        <f t="shared" ref="Q198:Q261" si="66">Y198/V198</f>
        <v>0.8458888378502526</v>
      </c>
      <c r="R198" s="15">
        <f t="shared" ref="R198:R261" si="67">Y198/X198</f>
        <v>0.8811004784688995</v>
      </c>
      <c r="S198" s="15">
        <f t="shared" ref="S198:S261" si="68">X198/V198</f>
        <v>0.96003674781809833</v>
      </c>
      <c r="T198" s="16"/>
      <c r="U198" s="16"/>
      <c r="V198" s="16">
        <v>8708</v>
      </c>
      <c r="W198" s="16">
        <f t="shared" ref="W198:W209" si="69">V198-X198</f>
        <v>348</v>
      </c>
      <c r="X198" s="16">
        <v>8360</v>
      </c>
      <c r="Y198" s="16">
        <v>7366</v>
      </c>
      <c r="Z198" s="16">
        <f t="shared" ref="Z198:Z209" si="70">X198-Y198</f>
        <v>994</v>
      </c>
      <c r="AA198" s="16"/>
      <c r="AB198" s="17"/>
      <c r="AC198" s="94">
        <v>2009</v>
      </c>
      <c r="AD198" s="95" t="s">
        <v>36</v>
      </c>
      <c r="AE198" s="15">
        <f t="shared" ref="AE198:AE261" si="71">AM198/AJ198</f>
        <v>0.87103825136612023</v>
      </c>
      <c r="AF198" s="15">
        <f t="shared" ref="AF198:AF261" si="72">AM198/AL198</f>
        <v>0.88654060066740825</v>
      </c>
      <c r="AG198" s="15">
        <f t="shared" ref="AG198:AG261" si="73">AL198/AJ198</f>
        <v>0.98251366120218575</v>
      </c>
      <c r="AH198" s="16"/>
      <c r="AI198" s="16"/>
      <c r="AJ198" s="16">
        <v>915</v>
      </c>
      <c r="AK198" s="16">
        <f t="shared" ref="AK198:AK209" si="74">AJ198-AL198</f>
        <v>16</v>
      </c>
      <c r="AL198" s="16">
        <v>899</v>
      </c>
      <c r="AM198" s="16">
        <v>797</v>
      </c>
      <c r="AN198" s="16">
        <f t="shared" ref="AN198:AN209" si="75">AL198-AM198</f>
        <v>102</v>
      </c>
      <c r="AO198" s="16"/>
      <c r="AP198" s="17"/>
      <c r="AQ198" s="94">
        <v>2009</v>
      </c>
      <c r="AR198" s="95" t="s">
        <v>36</v>
      </c>
      <c r="AS198" s="15">
        <f t="shared" ref="AS198:AS261" si="76">BA198/AX198</f>
        <v>0.77387914230019494</v>
      </c>
      <c r="AT198" s="15">
        <f t="shared" ref="AT198:AT261" si="77">BA198/AZ198</f>
        <v>0.82194616977225676</v>
      </c>
      <c r="AU198" s="15">
        <f t="shared" ref="AU198:AU261" si="78">AZ198/AX198</f>
        <v>0.94152046783625731</v>
      </c>
      <c r="AV198" s="16"/>
      <c r="AW198" s="16"/>
      <c r="AX198" s="16">
        <v>1026</v>
      </c>
      <c r="AY198" s="16">
        <f t="shared" ref="AY198:AY209" si="79">AX198-AZ198</f>
        <v>60</v>
      </c>
      <c r="AZ198" s="16">
        <v>966</v>
      </c>
      <c r="BA198" s="16">
        <v>794</v>
      </c>
      <c r="BB198" s="16">
        <f t="shared" ref="BB198:BB209" si="80">AZ198-BA198</f>
        <v>172</v>
      </c>
    </row>
    <row r="199" spans="1:54" s="18" customFormat="1" ht="15" customHeight="1">
      <c r="A199" s="96">
        <v>2009</v>
      </c>
      <c r="B199" s="97" t="s">
        <v>37</v>
      </c>
      <c r="C199" s="15">
        <f t="shared" si="15"/>
        <v>0.8548420188756668</v>
      </c>
      <c r="D199" s="15">
        <f t="shared" si="16"/>
        <v>0.88545319307193715</v>
      </c>
      <c r="E199" s="15">
        <f t="shared" si="17"/>
        <v>0.96542880590890434</v>
      </c>
      <c r="F199" s="16">
        <f>+Tabla2[[#This Row],[Trenes Programados por Día Hábil]]+Tabla9[[#This Row],[Trenes Programados por Día Hábil]]+Tabla10[[#This Row],[Trenes Programados por Día Hábil]]</f>
        <v>0</v>
      </c>
      <c r="G199" s="33">
        <f>+(Tabla2[[#This Row],[Coches por Tren Día Hábil]]*Tabla2[[#This Row],[Trenes Corridos]]+Tabla9[[#This Row],[Coches por Tren Día Hábil]]*Tabla9[[#This Row],[Trenes Corridos]]+Tabla10[[#This Row],[Coches por Tren Día Hábil]]*Tabla10[[#This Row],[Trenes Corridos]])/SARM[[#This Row],[Trenes Corridos]]</f>
        <v>0</v>
      </c>
      <c r="H199" s="16">
        <f t="shared" si="50"/>
        <v>9748</v>
      </c>
      <c r="I199" s="16">
        <f t="shared" si="64"/>
        <v>337</v>
      </c>
      <c r="J199" s="16">
        <f t="shared" si="35"/>
        <v>9411</v>
      </c>
      <c r="K199" s="16">
        <f t="shared" si="51"/>
        <v>8333</v>
      </c>
      <c r="L199" s="16">
        <f t="shared" si="65"/>
        <v>1078</v>
      </c>
      <c r="M199" s="16"/>
      <c r="N199" s="17"/>
      <c r="O199" s="96">
        <v>2009</v>
      </c>
      <c r="P199" s="97" t="s">
        <v>37</v>
      </c>
      <c r="Q199" s="15">
        <f t="shared" si="66"/>
        <v>0.85658817635270545</v>
      </c>
      <c r="R199" s="15">
        <f t="shared" si="67"/>
        <v>0.88922116759849179</v>
      </c>
      <c r="S199" s="15">
        <f t="shared" si="68"/>
        <v>0.96330160320641278</v>
      </c>
      <c r="T199" s="16"/>
      <c r="U199" s="16"/>
      <c r="V199" s="16">
        <v>7984</v>
      </c>
      <c r="W199" s="16">
        <f t="shared" si="69"/>
        <v>293</v>
      </c>
      <c r="X199" s="16">
        <v>7691</v>
      </c>
      <c r="Y199" s="16">
        <v>6839</v>
      </c>
      <c r="Z199" s="16">
        <f t="shared" si="70"/>
        <v>852</v>
      </c>
      <c r="AA199" s="16"/>
      <c r="AB199" s="17"/>
      <c r="AC199" s="96">
        <v>2009</v>
      </c>
      <c r="AD199" s="97" t="s">
        <v>37</v>
      </c>
      <c r="AE199" s="15">
        <f t="shared" si="71"/>
        <v>0.86352657004830913</v>
      </c>
      <c r="AF199" s="15">
        <f t="shared" si="72"/>
        <v>0.88162762022194818</v>
      </c>
      <c r="AG199" s="15">
        <f t="shared" si="73"/>
        <v>0.97946859903381644</v>
      </c>
      <c r="AH199" s="16"/>
      <c r="AI199" s="16"/>
      <c r="AJ199" s="16">
        <v>828</v>
      </c>
      <c r="AK199" s="16">
        <f t="shared" si="74"/>
        <v>17</v>
      </c>
      <c r="AL199" s="16">
        <v>811</v>
      </c>
      <c r="AM199" s="16">
        <v>715</v>
      </c>
      <c r="AN199" s="16">
        <f t="shared" si="75"/>
        <v>96</v>
      </c>
      <c r="AO199" s="16"/>
      <c r="AP199" s="17"/>
      <c r="AQ199" s="96">
        <v>2009</v>
      </c>
      <c r="AR199" s="97" t="s">
        <v>37</v>
      </c>
      <c r="AS199" s="15">
        <f t="shared" si="76"/>
        <v>0.83226495726495731</v>
      </c>
      <c r="AT199" s="15">
        <f t="shared" si="77"/>
        <v>0.85698569856985696</v>
      </c>
      <c r="AU199" s="15">
        <f t="shared" si="78"/>
        <v>0.97115384615384615</v>
      </c>
      <c r="AV199" s="16"/>
      <c r="AW199" s="16"/>
      <c r="AX199" s="16">
        <v>936</v>
      </c>
      <c r="AY199" s="16">
        <f t="shared" si="79"/>
        <v>27</v>
      </c>
      <c r="AZ199" s="16">
        <v>909</v>
      </c>
      <c r="BA199" s="16">
        <v>779</v>
      </c>
      <c r="BB199" s="16">
        <f t="shared" si="80"/>
        <v>130</v>
      </c>
    </row>
    <row r="200" spans="1:54" s="18" customFormat="1" ht="15" customHeight="1">
      <c r="A200" s="94">
        <v>2009</v>
      </c>
      <c r="B200" s="95" t="s">
        <v>38</v>
      </c>
      <c r="C200" s="15">
        <f t="shared" si="15"/>
        <v>0.85733207190160832</v>
      </c>
      <c r="D200" s="15">
        <f t="shared" si="16"/>
        <v>0.8794642857142857</v>
      </c>
      <c r="E200" s="15">
        <f t="shared" si="17"/>
        <v>0.97483443708609274</v>
      </c>
      <c r="F200" s="16">
        <f>+Tabla2[[#This Row],[Trenes Programados por Día Hábil]]+Tabla9[[#This Row],[Trenes Programados por Día Hábil]]+Tabla10[[#This Row],[Trenes Programados por Día Hábil]]</f>
        <v>0</v>
      </c>
      <c r="G200" s="33">
        <f>+(Tabla2[[#This Row],[Coches por Tren Día Hábil]]*Tabla2[[#This Row],[Trenes Corridos]]+Tabla9[[#This Row],[Coches por Tren Día Hábil]]*Tabla9[[#This Row],[Trenes Corridos]]+Tabla10[[#This Row],[Coches por Tren Día Hábil]]*Tabla10[[#This Row],[Trenes Corridos]])/SARM[[#This Row],[Trenes Corridos]]</f>
        <v>0</v>
      </c>
      <c r="H200" s="16">
        <f t="shared" si="50"/>
        <v>10570</v>
      </c>
      <c r="I200" s="16">
        <f t="shared" si="64"/>
        <v>266</v>
      </c>
      <c r="J200" s="16">
        <f t="shared" si="35"/>
        <v>10304</v>
      </c>
      <c r="K200" s="16">
        <f t="shared" si="51"/>
        <v>9062</v>
      </c>
      <c r="L200" s="16">
        <f t="shared" si="65"/>
        <v>1242</v>
      </c>
      <c r="M200" s="16"/>
      <c r="N200" s="17"/>
      <c r="O200" s="94">
        <v>2009</v>
      </c>
      <c r="P200" s="95" t="s">
        <v>38</v>
      </c>
      <c r="Q200" s="15">
        <f t="shared" si="66"/>
        <v>0.86707542804257287</v>
      </c>
      <c r="R200" s="15">
        <f t="shared" si="67"/>
        <v>0.88834893919639679</v>
      </c>
      <c r="S200" s="15">
        <f t="shared" si="68"/>
        <v>0.97605275335492825</v>
      </c>
      <c r="T200" s="16"/>
      <c r="U200" s="16"/>
      <c r="V200" s="16">
        <v>8644</v>
      </c>
      <c r="W200" s="16">
        <f t="shared" si="69"/>
        <v>207</v>
      </c>
      <c r="X200" s="16">
        <v>8437</v>
      </c>
      <c r="Y200" s="16">
        <v>7495</v>
      </c>
      <c r="Z200" s="16">
        <f t="shared" si="70"/>
        <v>942</v>
      </c>
      <c r="AA200" s="16"/>
      <c r="AB200" s="17"/>
      <c r="AC200" s="94">
        <v>2009</v>
      </c>
      <c r="AD200" s="95" t="s">
        <v>38</v>
      </c>
      <c r="AE200" s="15">
        <f t="shared" si="71"/>
        <v>0.82679738562091498</v>
      </c>
      <c r="AF200" s="15">
        <f t="shared" si="72"/>
        <v>0.84615384615384615</v>
      </c>
      <c r="AG200" s="15">
        <f t="shared" si="73"/>
        <v>0.97712418300653592</v>
      </c>
      <c r="AH200" s="16"/>
      <c r="AI200" s="16"/>
      <c r="AJ200" s="16">
        <v>918</v>
      </c>
      <c r="AK200" s="16">
        <f t="shared" si="74"/>
        <v>21</v>
      </c>
      <c r="AL200" s="16">
        <v>897</v>
      </c>
      <c r="AM200" s="16">
        <v>759</v>
      </c>
      <c r="AN200" s="16">
        <f t="shared" si="75"/>
        <v>138</v>
      </c>
      <c r="AO200" s="16"/>
      <c r="AP200" s="17"/>
      <c r="AQ200" s="94">
        <v>2009</v>
      </c>
      <c r="AR200" s="95" t="s">
        <v>38</v>
      </c>
      <c r="AS200" s="15">
        <f t="shared" si="76"/>
        <v>0.80158730158730163</v>
      </c>
      <c r="AT200" s="15">
        <f t="shared" si="77"/>
        <v>0.83298969072164952</v>
      </c>
      <c r="AU200" s="15">
        <f t="shared" si="78"/>
        <v>0.96230158730158732</v>
      </c>
      <c r="AV200" s="16"/>
      <c r="AW200" s="16"/>
      <c r="AX200" s="16">
        <v>1008</v>
      </c>
      <c r="AY200" s="16">
        <f t="shared" si="79"/>
        <v>38</v>
      </c>
      <c r="AZ200" s="16">
        <v>970</v>
      </c>
      <c r="BA200" s="16">
        <v>808</v>
      </c>
      <c r="BB200" s="16">
        <f t="shared" si="80"/>
        <v>162</v>
      </c>
    </row>
    <row r="201" spans="1:54" s="18" customFormat="1" ht="15" customHeight="1">
      <c r="A201" s="96">
        <v>2009</v>
      </c>
      <c r="B201" s="97" t="s">
        <v>39</v>
      </c>
      <c r="C201" s="15">
        <f t="shared" si="15"/>
        <v>0.83663852346357748</v>
      </c>
      <c r="D201" s="15">
        <f t="shared" si="16"/>
        <v>0.87235131538540278</v>
      </c>
      <c r="E201" s="15">
        <f t="shared" si="17"/>
        <v>0.95906145690162969</v>
      </c>
      <c r="F201" s="16">
        <f>+Tabla2[[#This Row],[Trenes Programados por Día Hábil]]+Tabla9[[#This Row],[Trenes Programados por Día Hábil]]+Tabla10[[#This Row],[Trenes Programados por Día Hábil]]</f>
        <v>0</v>
      </c>
      <c r="G201" s="33">
        <f>+(Tabla2[[#This Row],[Coches por Tren Día Hábil]]*Tabla2[[#This Row],[Trenes Corridos]]+Tabla9[[#This Row],[Coches por Tren Día Hábil]]*Tabla9[[#This Row],[Trenes Corridos]]+Tabla10[[#This Row],[Coches por Tren Día Hábil]]*Tabla10[[#This Row],[Trenes Corridos]])/SARM[[#This Row],[Trenes Corridos]]</f>
        <v>0</v>
      </c>
      <c r="H201" s="16">
        <f t="shared" si="50"/>
        <v>10186</v>
      </c>
      <c r="I201" s="16">
        <f t="shared" si="64"/>
        <v>417</v>
      </c>
      <c r="J201" s="16">
        <f t="shared" si="35"/>
        <v>9769</v>
      </c>
      <c r="K201" s="16">
        <f t="shared" si="51"/>
        <v>8522</v>
      </c>
      <c r="L201" s="16">
        <f t="shared" si="65"/>
        <v>1247</v>
      </c>
      <c r="M201" s="16"/>
      <c r="N201" s="17"/>
      <c r="O201" s="96">
        <v>2009</v>
      </c>
      <c r="P201" s="97" t="s">
        <v>39</v>
      </c>
      <c r="Q201" s="15">
        <f t="shared" si="66"/>
        <v>0.84170069661301949</v>
      </c>
      <c r="R201" s="15">
        <f t="shared" si="67"/>
        <v>0.87819548872180453</v>
      </c>
      <c r="S201" s="15">
        <f t="shared" si="68"/>
        <v>0.95844343021859235</v>
      </c>
      <c r="T201" s="16"/>
      <c r="U201" s="16"/>
      <c r="V201" s="16">
        <v>8326</v>
      </c>
      <c r="W201" s="16">
        <f t="shared" si="69"/>
        <v>346</v>
      </c>
      <c r="X201" s="16">
        <v>7980</v>
      </c>
      <c r="Y201" s="16">
        <v>7008</v>
      </c>
      <c r="Z201" s="16">
        <f t="shared" si="70"/>
        <v>972</v>
      </c>
      <c r="AA201" s="16"/>
      <c r="AB201" s="17"/>
      <c r="AC201" s="96">
        <v>2009</v>
      </c>
      <c r="AD201" s="97" t="s">
        <v>39</v>
      </c>
      <c r="AE201" s="15">
        <f t="shared" si="71"/>
        <v>0.82319819819819817</v>
      </c>
      <c r="AF201" s="15">
        <f t="shared" si="72"/>
        <v>0.84119677790563863</v>
      </c>
      <c r="AG201" s="15">
        <f t="shared" si="73"/>
        <v>0.97860360360360366</v>
      </c>
      <c r="AH201" s="16"/>
      <c r="AI201" s="16"/>
      <c r="AJ201" s="16">
        <v>888</v>
      </c>
      <c r="AK201" s="16">
        <f t="shared" si="74"/>
        <v>19</v>
      </c>
      <c r="AL201" s="16">
        <v>869</v>
      </c>
      <c r="AM201" s="16">
        <v>731</v>
      </c>
      <c r="AN201" s="16">
        <f t="shared" si="75"/>
        <v>138</v>
      </c>
      <c r="AO201" s="16"/>
      <c r="AP201" s="17"/>
      <c r="AQ201" s="96">
        <v>2009</v>
      </c>
      <c r="AR201" s="97" t="s">
        <v>39</v>
      </c>
      <c r="AS201" s="15">
        <f t="shared" si="76"/>
        <v>0.80555555555555558</v>
      </c>
      <c r="AT201" s="15">
        <f t="shared" si="77"/>
        <v>0.85108695652173916</v>
      </c>
      <c r="AU201" s="15">
        <f t="shared" si="78"/>
        <v>0.94650205761316875</v>
      </c>
      <c r="AV201" s="16"/>
      <c r="AW201" s="16"/>
      <c r="AX201" s="16">
        <v>972</v>
      </c>
      <c r="AY201" s="16">
        <f t="shared" si="79"/>
        <v>52</v>
      </c>
      <c r="AZ201" s="16">
        <v>920</v>
      </c>
      <c r="BA201" s="16">
        <v>783</v>
      </c>
      <c r="BB201" s="16">
        <f t="shared" si="80"/>
        <v>137</v>
      </c>
    </row>
    <row r="202" spans="1:54" s="18" customFormat="1" ht="15" customHeight="1">
      <c r="A202" s="94">
        <v>2009</v>
      </c>
      <c r="B202" s="95" t="s">
        <v>40</v>
      </c>
      <c r="C202" s="15">
        <f t="shared" ref="C202:C265" si="81">K202/H202</f>
        <v>0.80162806473495496</v>
      </c>
      <c r="D202" s="15">
        <f t="shared" ref="D202:D265" si="82">K202/J202</f>
        <v>0.82333034736737332</v>
      </c>
      <c r="E202" s="15">
        <f t="shared" ref="E202:E265" si="83">J202/H202</f>
        <v>0.97364085667215816</v>
      </c>
      <c r="F202" s="16">
        <f>+Tabla2[[#This Row],[Trenes Programados por Día Hábil]]+Tabla9[[#This Row],[Trenes Programados por Día Hábil]]+Tabla10[[#This Row],[Trenes Programados por Día Hábil]]</f>
        <v>0</v>
      </c>
      <c r="G202" s="33">
        <f>+(Tabla2[[#This Row],[Coches por Tren Día Hábil]]*Tabla2[[#This Row],[Trenes Corridos]]+Tabla9[[#This Row],[Coches por Tren Día Hábil]]*Tabla9[[#This Row],[Trenes Corridos]]+Tabla10[[#This Row],[Coches por Tren Día Hábil]]*Tabla10[[#This Row],[Trenes Corridos]])/SARM[[#This Row],[Trenes Corridos]]</f>
        <v>0</v>
      </c>
      <c r="H202" s="16">
        <f t="shared" ref="H202:H233" si="84">+V202+AJ202+AX202</f>
        <v>10319</v>
      </c>
      <c r="I202" s="16">
        <f t="shared" si="64"/>
        <v>272</v>
      </c>
      <c r="J202" s="16">
        <f t="shared" si="35"/>
        <v>10047</v>
      </c>
      <c r="K202" s="16">
        <f t="shared" ref="K202:K233" si="85">+Y202+AM202+BA202</f>
        <v>8272</v>
      </c>
      <c r="L202" s="16">
        <f t="shared" si="65"/>
        <v>1775</v>
      </c>
      <c r="M202" s="16"/>
      <c r="N202" s="17"/>
      <c r="O202" s="94">
        <v>2009</v>
      </c>
      <c r="P202" s="95" t="s">
        <v>40</v>
      </c>
      <c r="Q202" s="15">
        <f t="shared" si="66"/>
        <v>0.80734490135488468</v>
      </c>
      <c r="R202" s="15">
        <f t="shared" si="67"/>
        <v>0.82952741482476489</v>
      </c>
      <c r="S202" s="15">
        <f t="shared" si="68"/>
        <v>0.97325885429046832</v>
      </c>
      <c r="T202" s="16"/>
      <c r="U202" s="16"/>
      <c r="V202" s="16">
        <v>8414</v>
      </c>
      <c r="W202" s="16">
        <f t="shared" si="69"/>
        <v>225</v>
      </c>
      <c r="X202" s="16">
        <v>8189</v>
      </c>
      <c r="Y202" s="16">
        <v>6793</v>
      </c>
      <c r="Z202" s="16">
        <f t="shared" si="70"/>
        <v>1396</v>
      </c>
      <c r="AA202" s="16"/>
      <c r="AB202" s="17"/>
      <c r="AC202" s="94">
        <v>2009</v>
      </c>
      <c r="AD202" s="95" t="s">
        <v>40</v>
      </c>
      <c r="AE202" s="15">
        <f t="shared" si="71"/>
        <v>0.85136612021857927</v>
      </c>
      <c r="AF202" s="15">
        <f t="shared" si="72"/>
        <v>0.85698569856985696</v>
      </c>
      <c r="AG202" s="15">
        <f t="shared" si="73"/>
        <v>0.99344262295081964</v>
      </c>
      <c r="AH202" s="16"/>
      <c r="AI202" s="16"/>
      <c r="AJ202" s="16">
        <v>915</v>
      </c>
      <c r="AK202" s="16">
        <f t="shared" si="74"/>
        <v>6</v>
      </c>
      <c r="AL202" s="16">
        <v>909</v>
      </c>
      <c r="AM202" s="16">
        <v>779</v>
      </c>
      <c r="AN202" s="16">
        <f t="shared" si="75"/>
        <v>130</v>
      </c>
      <c r="AO202" s="16"/>
      <c r="AP202" s="17"/>
      <c r="AQ202" s="94">
        <v>2009</v>
      </c>
      <c r="AR202" s="95" t="s">
        <v>40</v>
      </c>
      <c r="AS202" s="15">
        <f t="shared" si="76"/>
        <v>0.70707070707070707</v>
      </c>
      <c r="AT202" s="15">
        <f t="shared" si="77"/>
        <v>0.7376185458377239</v>
      </c>
      <c r="AU202" s="15">
        <f t="shared" si="78"/>
        <v>0.95858585858585854</v>
      </c>
      <c r="AV202" s="16"/>
      <c r="AW202" s="16"/>
      <c r="AX202" s="16">
        <v>990</v>
      </c>
      <c r="AY202" s="16">
        <f t="shared" si="79"/>
        <v>41</v>
      </c>
      <c r="AZ202" s="16">
        <v>949</v>
      </c>
      <c r="BA202" s="16">
        <v>700</v>
      </c>
      <c r="BB202" s="16">
        <f t="shared" si="80"/>
        <v>249</v>
      </c>
    </row>
    <row r="203" spans="1:54" s="18" customFormat="1" ht="15" customHeight="1">
      <c r="A203" s="96">
        <v>2009</v>
      </c>
      <c r="B203" s="97" t="s">
        <v>41</v>
      </c>
      <c r="C203" s="15">
        <f t="shared" si="81"/>
        <v>0.85953048014684574</v>
      </c>
      <c r="D203" s="15">
        <f t="shared" si="82"/>
        <v>0.87845576619273302</v>
      </c>
      <c r="E203" s="15">
        <f t="shared" si="83"/>
        <v>0.9784561878079413</v>
      </c>
      <c r="F203" s="16">
        <f>+Tabla2[[#This Row],[Trenes Programados por Día Hábil]]+Tabla9[[#This Row],[Trenes Programados por Día Hábil]]+Tabla10[[#This Row],[Trenes Programados por Día Hábil]]</f>
        <v>0</v>
      </c>
      <c r="G203" s="33">
        <f>+(Tabla2[[#This Row],[Coches por Tren Día Hábil]]*Tabla2[[#This Row],[Trenes Corridos]]+Tabla9[[#This Row],[Coches por Tren Día Hábil]]*Tabla9[[#This Row],[Trenes Corridos]]+Tabla10[[#This Row],[Coches por Tren Día Hábil]]*Tabla10[[#This Row],[Trenes Corridos]])/SARM[[#This Row],[Trenes Corridos]]</f>
        <v>0</v>
      </c>
      <c r="H203" s="16">
        <f t="shared" si="84"/>
        <v>10351</v>
      </c>
      <c r="I203" s="16">
        <f t="shared" si="64"/>
        <v>223</v>
      </c>
      <c r="J203" s="16">
        <f t="shared" si="35"/>
        <v>10128</v>
      </c>
      <c r="K203" s="16">
        <f t="shared" si="85"/>
        <v>8897</v>
      </c>
      <c r="L203" s="16">
        <f t="shared" si="65"/>
        <v>1231</v>
      </c>
      <c r="M203" s="16"/>
      <c r="N203" s="17"/>
      <c r="O203" s="96">
        <v>2009</v>
      </c>
      <c r="P203" s="97" t="s">
        <v>41</v>
      </c>
      <c r="Q203" s="15">
        <f t="shared" si="66"/>
        <v>0.86651717219402813</v>
      </c>
      <c r="R203" s="15">
        <f t="shared" si="67"/>
        <v>0.88564535585042214</v>
      </c>
      <c r="S203" s="15">
        <f t="shared" si="68"/>
        <v>0.97840198276879498</v>
      </c>
      <c r="T203" s="16"/>
      <c r="U203" s="16"/>
      <c r="V203" s="16">
        <v>8473</v>
      </c>
      <c r="W203" s="16">
        <f t="shared" si="69"/>
        <v>183</v>
      </c>
      <c r="X203" s="16">
        <v>8290</v>
      </c>
      <c r="Y203" s="16">
        <v>7342</v>
      </c>
      <c r="Z203" s="16">
        <f t="shared" si="70"/>
        <v>948</v>
      </c>
      <c r="AA203" s="16"/>
      <c r="AB203" s="17"/>
      <c r="AC203" s="96">
        <v>2009</v>
      </c>
      <c r="AD203" s="97" t="s">
        <v>41</v>
      </c>
      <c r="AE203" s="15">
        <f t="shared" si="71"/>
        <v>0.87274774774774777</v>
      </c>
      <c r="AF203" s="15">
        <f t="shared" si="72"/>
        <v>0.88876146788990829</v>
      </c>
      <c r="AG203" s="15">
        <f t="shared" si="73"/>
        <v>0.98198198198198194</v>
      </c>
      <c r="AH203" s="16"/>
      <c r="AI203" s="16"/>
      <c r="AJ203" s="16">
        <v>888</v>
      </c>
      <c r="AK203" s="16">
        <f t="shared" si="74"/>
        <v>16</v>
      </c>
      <c r="AL203" s="16">
        <v>872</v>
      </c>
      <c r="AM203" s="16">
        <v>775</v>
      </c>
      <c r="AN203" s="16">
        <f t="shared" si="75"/>
        <v>97</v>
      </c>
      <c r="AO203" s="16"/>
      <c r="AP203" s="17"/>
      <c r="AQ203" s="96">
        <v>2009</v>
      </c>
      <c r="AR203" s="97" t="s">
        <v>41</v>
      </c>
      <c r="AS203" s="15">
        <f t="shared" si="76"/>
        <v>0.78787878787878785</v>
      </c>
      <c r="AT203" s="15">
        <f t="shared" si="77"/>
        <v>0.80745341614906829</v>
      </c>
      <c r="AU203" s="15">
        <f t="shared" si="78"/>
        <v>0.97575757575757571</v>
      </c>
      <c r="AV203" s="16"/>
      <c r="AW203" s="16"/>
      <c r="AX203" s="16">
        <v>990</v>
      </c>
      <c r="AY203" s="16">
        <f t="shared" si="79"/>
        <v>24</v>
      </c>
      <c r="AZ203" s="16">
        <v>966</v>
      </c>
      <c r="BA203" s="16">
        <v>780</v>
      </c>
      <c r="BB203" s="16">
        <f t="shared" si="80"/>
        <v>186</v>
      </c>
    </row>
    <row r="204" spans="1:54" s="18" customFormat="1" ht="15" customHeight="1">
      <c r="A204" s="94">
        <v>2009</v>
      </c>
      <c r="B204" s="95" t="s">
        <v>42</v>
      </c>
      <c r="C204" s="15">
        <f t="shared" si="81"/>
        <v>0.84036059723917744</v>
      </c>
      <c r="D204" s="15">
        <f t="shared" si="82"/>
        <v>0.87256240249609984</v>
      </c>
      <c r="E204" s="15">
        <f t="shared" si="83"/>
        <v>0.96309512630293925</v>
      </c>
      <c r="F204" s="16">
        <f>+Tabla2[[#This Row],[Trenes Programados por Día Hábil]]+Tabla9[[#This Row],[Trenes Programados por Día Hábil]]+Tabla10[[#This Row],[Trenes Programados por Día Hábil]]</f>
        <v>0</v>
      </c>
      <c r="G204" s="33">
        <f>+(Tabla2[[#This Row],[Coches por Tren Día Hábil]]*Tabla2[[#This Row],[Trenes Corridos]]+Tabla9[[#This Row],[Coches por Tren Día Hábil]]*Tabla9[[#This Row],[Trenes Corridos]]+Tabla10[[#This Row],[Coches por Tren Día Hábil]]*Tabla10[[#This Row],[Trenes Corridos]])/SARM[[#This Row],[Trenes Corridos]]</f>
        <v>0</v>
      </c>
      <c r="H204" s="16">
        <f t="shared" si="84"/>
        <v>10649</v>
      </c>
      <c r="I204" s="16">
        <f t="shared" si="64"/>
        <v>393</v>
      </c>
      <c r="J204" s="16">
        <f t="shared" ref="J204:J267" si="86">+X204+AL204+AZ204</f>
        <v>10256</v>
      </c>
      <c r="K204" s="16">
        <f t="shared" si="85"/>
        <v>8949</v>
      </c>
      <c r="L204" s="16">
        <f t="shared" si="65"/>
        <v>1307</v>
      </c>
      <c r="M204" s="16"/>
      <c r="N204" s="17"/>
      <c r="O204" s="94">
        <v>2009</v>
      </c>
      <c r="P204" s="95" t="s">
        <v>42</v>
      </c>
      <c r="Q204" s="15">
        <f t="shared" si="66"/>
        <v>0.84221405604042265</v>
      </c>
      <c r="R204" s="15">
        <f t="shared" si="67"/>
        <v>0.87133182844243795</v>
      </c>
      <c r="S204" s="15">
        <f t="shared" si="68"/>
        <v>0.96658245291685807</v>
      </c>
      <c r="T204" s="16"/>
      <c r="U204" s="16"/>
      <c r="V204" s="16">
        <v>8708</v>
      </c>
      <c r="W204" s="16">
        <f t="shared" si="69"/>
        <v>291</v>
      </c>
      <c r="X204" s="16">
        <v>8417</v>
      </c>
      <c r="Y204" s="16">
        <v>7334</v>
      </c>
      <c r="Z204" s="16">
        <f t="shared" si="70"/>
        <v>1083</v>
      </c>
      <c r="AA204" s="16"/>
      <c r="AB204" s="17"/>
      <c r="AC204" s="94">
        <v>2009</v>
      </c>
      <c r="AD204" s="95" t="s">
        <v>42</v>
      </c>
      <c r="AE204" s="15">
        <f t="shared" si="71"/>
        <v>0.88743169398907107</v>
      </c>
      <c r="AF204" s="15">
        <f t="shared" si="72"/>
        <v>0.89723756906077345</v>
      </c>
      <c r="AG204" s="15">
        <f t="shared" si="73"/>
        <v>0.98907103825136611</v>
      </c>
      <c r="AH204" s="16"/>
      <c r="AI204" s="16"/>
      <c r="AJ204" s="16">
        <v>915</v>
      </c>
      <c r="AK204" s="16">
        <f t="shared" si="74"/>
        <v>10</v>
      </c>
      <c r="AL204" s="16">
        <v>905</v>
      </c>
      <c r="AM204" s="16">
        <v>812</v>
      </c>
      <c r="AN204" s="16">
        <f t="shared" si="75"/>
        <v>93</v>
      </c>
      <c r="AO204" s="16"/>
      <c r="AP204" s="17"/>
      <c r="AQ204" s="94">
        <v>2009</v>
      </c>
      <c r="AR204" s="95" t="s">
        <v>42</v>
      </c>
      <c r="AS204" s="15">
        <f t="shared" si="76"/>
        <v>0.78265107212475638</v>
      </c>
      <c r="AT204" s="15">
        <f t="shared" si="77"/>
        <v>0.85974304068522489</v>
      </c>
      <c r="AU204" s="15">
        <f t="shared" si="78"/>
        <v>0.91033138401559455</v>
      </c>
      <c r="AV204" s="16"/>
      <c r="AW204" s="16"/>
      <c r="AX204" s="16">
        <v>1026</v>
      </c>
      <c r="AY204" s="16">
        <f t="shared" si="79"/>
        <v>92</v>
      </c>
      <c r="AZ204" s="16">
        <v>934</v>
      </c>
      <c r="BA204" s="16">
        <v>803</v>
      </c>
      <c r="BB204" s="16">
        <f t="shared" si="80"/>
        <v>131</v>
      </c>
    </row>
    <row r="205" spans="1:54" s="18" customFormat="1" ht="15" customHeight="1">
      <c r="A205" s="96">
        <v>2009</v>
      </c>
      <c r="B205" s="97" t="s">
        <v>43</v>
      </c>
      <c r="C205" s="15">
        <f t="shared" si="81"/>
        <v>0.88048454788248764</v>
      </c>
      <c r="D205" s="15">
        <f t="shared" si="82"/>
        <v>0.89404358353510893</v>
      </c>
      <c r="E205" s="15">
        <f t="shared" si="83"/>
        <v>0.98483403281190385</v>
      </c>
      <c r="F205" s="16">
        <f>+Tabla2[[#This Row],[Trenes Programados por Día Hábil]]+Tabla9[[#This Row],[Trenes Programados por Día Hábil]]+Tabla10[[#This Row],[Trenes Programados por Día Hábil]]</f>
        <v>0</v>
      </c>
      <c r="G205" s="33">
        <f>+(Tabla2[[#This Row],[Coches por Tren Día Hábil]]*Tabla2[[#This Row],[Trenes Corridos]]+Tabla9[[#This Row],[Coches por Tren Día Hábil]]*Tabla9[[#This Row],[Trenes Corridos]]+Tabla10[[#This Row],[Coches por Tren Día Hábil]]*Tabla10[[#This Row],[Trenes Corridos]])/SARM[[#This Row],[Trenes Corridos]]</f>
        <v>0</v>
      </c>
      <c r="H205" s="16">
        <f t="shared" si="84"/>
        <v>10484</v>
      </c>
      <c r="I205" s="16">
        <f t="shared" si="64"/>
        <v>159</v>
      </c>
      <c r="J205" s="16">
        <f t="shared" si="86"/>
        <v>10325</v>
      </c>
      <c r="K205" s="16">
        <f t="shared" si="85"/>
        <v>9231</v>
      </c>
      <c r="L205" s="16">
        <f t="shared" si="65"/>
        <v>1094</v>
      </c>
      <c r="M205" s="16"/>
      <c r="N205" s="17"/>
      <c r="O205" s="96">
        <v>2009</v>
      </c>
      <c r="P205" s="97" t="s">
        <v>43</v>
      </c>
      <c r="Q205" s="15">
        <f t="shared" si="66"/>
        <v>0.89043336058871625</v>
      </c>
      <c r="R205" s="15">
        <f t="shared" si="67"/>
        <v>0.90287812388961275</v>
      </c>
      <c r="S205" s="15">
        <f t="shared" si="68"/>
        <v>0.98621656348557407</v>
      </c>
      <c r="T205" s="16"/>
      <c r="U205" s="16"/>
      <c r="V205" s="16">
        <v>8561</v>
      </c>
      <c r="W205" s="16">
        <f t="shared" si="69"/>
        <v>118</v>
      </c>
      <c r="X205" s="16">
        <v>8443</v>
      </c>
      <c r="Y205" s="16">
        <v>7623</v>
      </c>
      <c r="Z205" s="16">
        <f t="shared" si="70"/>
        <v>820</v>
      </c>
      <c r="AA205" s="16"/>
      <c r="AB205" s="17"/>
      <c r="AC205" s="96">
        <v>2009</v>
      </c>
      <c r="AD205" s="97" t="s">
        <v>43</v>
      </c>
      <c r="AE205" s="15">
        <f t="shared" si="71"/>
        <v>0.84262295081967209</v>
      </c>
      <c r="AF205" s="15">
        <f t="shared" si="72"/>
        <v>0.86145251396648048</v>
      </c>
      <c r="AG205" s="15">
        <f t="shared" si="73"/>
        <v>0.97814207650273222</v>
      </c>
      <c r="AH205" s="16"/>
      <c r="AI205" s="16"/>
      <c r="AJ205" s="16">
        <v>915</v>
      </c>
      <c r="AK205" s="16">
        <f t="shared" si="74"/>
        <v>20</v>
      </c>
      <c r="AL205" s="16">
        <v>895</v>
      </c>
      <c r="AM205" s="16">
        <v>771</v>
      </c>
      <c r="AN205" s="16">
        <f t="shared" si="75"/>
        <v>124</v>
      </c>
      <c r="AO205" s="16"/>
      <c r="AP205" s="17"/>
      <c r="AQ205" s="96">
        <v>2009</v>
      </c>
      <c r="AR205" s="97" t="s">
        <v>43</v>
      </c>
      <c r="AS205" s="15">
        <f t="shared" si="76"/>
        <v>0.8303571428571429</v>
      </c>
      <c r="AT205" s="15">
        <f t="shared" si="77"/>
        <v>0.84802431610942253</v>
      </c>
      <c r="AU205" s="15">
        <f t="shared" si="78"/>
        <v>0.97916666666666663</v>
      </c>
      <c r="AV205" s="16"/>
      <c r="AW205" s="16"/>
      <c r="AX205" s="16">
        <v>1008</v>
      </c>
      <c r="AY205" s="16">
        <f t="shared" si="79"/>
        <v>21</v>
      </c>
      <c r="AZ205" s="16">
        <v>987</v>
      </c>
      <c r="BA205" s="16">
        <v>837</v>
      </c>
      <c r="BB205" s="16">
        <f t="shared" si="80"/>
        <v>150</v>
      </c>
    </row>
    <row r="206" spans="1:54" s="18" customFormat="1" ht="15" customHeight="1">
      <c r="A206" s="94">
        <v>2009</v>
      </c>
      <c r="B206" s="95" t="s">
        <v>44</v>
      </c>
      <c r="C206" s="15">
        <f t="shared" si="81"/>
        <v>0.82036896158235073</v>
      </c>
      <c r="D206" s="15">
        <f t="shared" si="82"/>
        <v>0.84495592556317334</v>
      </c>
      <c r="E206" s="15">
        <f t="shared" si="83"/>
        <v>0.97090148345378469</v>
      </c>
      <c r="F206" s="16">
        <f>+Tabla2[[#This Row],[Trenes Programados por Día Hábil]]+Tabla9[[#This Row],[Trenes Programados por Día Hábil]]+Tabla10[[#This Row],[Trenes Programados por Día Hábil]]</f>
        <v>0</v>
      </c>
      <c r="G206" s="33">
        <f>+(Tabla2[[#This Row],[Coches por Tren Día Hábil]]*Tabla2[[#This Row],[Trenes Corridos]]+Tabla9[[#This Row],[Coches por Tren Día Hábil]]*Tabla9[[#This Row],[Trenes Corridos]]+Tabla10[[#This Row],[Coches por Tren Día Hábil]]*Tabla10[[#This Row],[Trenes Corridos]])/SARM[[#This Row],[Trenes Corridos]]</f>
        <v>0</v>
      </c>
      <c r="H206" s="16">
        <f t="shared" si="84"/>
        <v>10516</v>
      </c>
      <c r="I206" s="16">
        <f t="shared" si="64"/>
        <v>306</v>
      </c>
      <c r="J206" s="16">
        <f t="shared" si="86"/>
        <v>10210</v>
      </c>
      <c r="K206" s="16">
        <f t="shared" si="85"/>
        <v>8627</v>
      </c>
      <c r="L206" s="16">
        <f t="shared" si="65"/>
        <v>1583</v>
      </c>
      <c r="M206" s="16"/>
      <c r="N206" s="17"/>
      <c r="O206" s="94">
        <v>2009</v>
      </c>
      <c r="P206" s="95" t="s">
        <v>44</v>
      </c>
      <c r="Q206" s="15">
        <f t="shared" si="66"/>
        <v>0.82122969837587012</v>
      </c>
      <c r="R206" s="15">
        <f t="shared" si="67"/>
        <v>0.84495106230603967</v>
      </c>
      <c r="S206" s="15">
        <f t="shared" si="68"/>
        <v>0.97192575406032478</v>
      </c>
      <c r="T206" s="16"/>
      <c r="U206" s="16"/>
      <c r="V206" s="16">
        <v>8620</v>
      </c>
      <c r="W206" s="16">
        <f t="shared" si="69"/>
        <v>242</v>
      </c>
      <c r="X206" s="16">
        <v>8378</v>
      </c>
      <c r="Y206" s="16">
        <v>7079</v>
      </c>
      <c r="Z206" s="16">
        <f t="shared" si="70"/>
        <v>1299</v>
      </c>
      <c r="AA206" s="16"/>
      <c r="AB206" s="17"/>
      <c r="AC206" s="94">
        <v>2009</v>
      </c>
      <c r="AD206" s="95" t="s">
        <v>44</v>
      </c>
      <c r="AE206" s="15">
        <f t="shared" si="71"/>
        <v>0.87274774774774777</v>
      </c>
      <c r="AF206" s="15">
        <f t="shared" si="72"/>
        <v>0.89080459770114939</v>
      </c>
      <c r="AG206" s="15">
        <f t="shared" si="73"/>
        <v>0.97972972972972971</v>
      </c>
      <c r="AH206" s="16"/>
      <c r="AI206" s="16"/>
      <c r="AJ206" s="16">
        <v>888</v>
      </c>
      <c r="AK206" s="16">
        <f t="shared" si="74"/>
        <v>18</v>
      </c>
      <c r="AL206" s="16">
        <v>870</v>
      </c>
      <c r="AM206" s="16">
        <v>775</v>
      </c>
      <c r="AN206" s="16">
        <f t="shared" si="75"/>
        <v>95</v>
      </c>
      <c r="AO206" s="16"/>
      <c r="AP206" s="17"/>
      <c r="AQ206" s="94">
        <v>2009</v>
      </c>
      <c r="AR206" s="95" t="s">
        <v>44</v>
      </c>
      <c r="AS206" s="15">
        <f t="shared" si="76"/>
        <v>0.76686507936507942</v>
      </c>
      <c r="AT206" s="15">
        <f t="shared" si="77"/>
        <v>0.80353430353430355</v>
      </c>
      <c r="AU206" s="15">
        <f t="shared" si="78"/>
        <v>0.95436507936507942</v>
      </c>
      <c r="AV206" s="16"/>
      <c r="AW206" s="16"/>
      <c r="AX206" s="16">
        <v>1008</v>
      </c>
      <c r="AY206" s="16">
        <f t="shared" si="79"/>
        <v>46</v>
      </c>
      <c r="AZ206" s="16">
        <v>962</v>
      </c>
      <c r="BA206" s="16">
        <v>773</v>
      </c>
      <c r="BB206" s="16">
        <f t="shared" si="80"/>
        <v>189</v>
      </c>
    </row>
    <row r="207" spans="1:54" s="18" customFormat="1" ht="15" customHeight="1">
      <c r="A207" s="96">
        <v>2009</v>
      </c>
      <c r="B207" s="97" t="s">
        <v>45</v>
      </c>
      <c r="C207" s="15">
        <f t="shared" si="81"/>
        <v>0.84768522865996809</v>
      </c>
      <c r="D207" s="15">
        <f t="shared" si="82"/>
        <v>0.86931818181818177</v>
      </c>
      <c r="E207" s="15">
        <f t="shared" si="83"/>
        <v>0.97511503427551882</v>
      </c>
      <c r="F207" s="16">
        <f>+Tabla2[[#This Row],[Trenes Programados por Día Hábil]]+Tabla9[[#This Row],[Trenes Programados por Día Hábil]]+Tabla10[[#This Row],[Trenes Programados por Día Hábil]]</f>
        <v>0</v>
      </c>
      <c r="G207" s="33">
        <f>+(Tabla2[[#This Row],[Coches por Tren Día Hábil]]*Tabla2[[#This Row],[Trenes Corridos]]+Tabla9[[#This Row],[Coches por Tren Día Hábil]]*Tabla9[[#This Row],[Trenes Corridos]]+Tabla10[[#This Row],[Coches por Tren Día Hábil]]*Tabla10[[#This Row],[Trenes Corridos]])/SARM[[#This Row],[Trenes Corridos]]</f>
        <v>0</v>
      </c>
      <c r="H207" s="16">
        <f t="shared" si="84"/>
        <v>10649</v>
      </c>
      <c r="I207" s="16">
        <f t="shared" si="64"/>
        <v>265</v>
      </c>
      <c r="J207" s="16">
        <f t="shared" si="86"/>
        <v>10384</v>
      </c>
      <c r="K207" s="16">
        <f t="shared" si="85"/>
        <v>9027</v>
      </c>
      <c r="L207" s="16">
        <f t="shared" si="65"/>
        <v>1357</v>
      </c>
      <c r="M207" s="16"/>
      <c r="N207" s="17"/>
      <c r="O207" s="96">
        <v>2009</v>
      </c>
      <c r="P207" s="97" t="s">
        <v>45</v>
      </c>
      <c r="Q207" s="15">
        <f t="shared" si="66"/>
        <v>0.85679834634818552</v>
      </c>
      <c r="R207" s="15">
        <f t="shared" si="67"/>
        <v>0.87952375338913125</v>
      </c>
      <c r="S207" s="15">
        <f t="shared" si="68"/>
        <v>0.97416169039963252</v>
      </c>
      <c r="T207" s="16"/>
      <c r="U207" s="16"/>
      <c r="V207" s="16">
        <v>8708</v>
      </c>
      <c r="W207" s="16">
        <f t="shared" si="69"/>
        <v>225</v>
      </c>
      <c r="X207" s="16">
        <v>8483</v>
      </c>
      <c r="Y207" s="16">
        <v>7461</v>
      </c>
      <c r="Z207" s="16">
        <f t="shared" si="70"/>
        <v>1022</v>
      </c>
      <c r="AA207" s="16"/>
      <c r="AB207" s="17"/>
      <c r="AC207" s="96">
        <v>2009</v>
      </c>
      <c r="AD207" s="97" t="s">
        <v>45</v>
      </c>
      <c r="AE207" s="15">
        <f t="shared" si="71"/>
        <v>0.83606557377049184</v>
      </c>
      <c r="AF207" s="15">
        <f t="shared" si="72"/>
        <v>0.85570469798657722</v>
      </c>
      <c r="AG207" s="15">
        <f t="shared" si="73"/>
        <v>0.9770491803278688</v>
      </c>
      <c r="AH207" s="16"/>
      <c r="AI207" s="16"/>
      <c r="AJ207" s="16">
        <v>915</v>
      </c>
      <c r="AK207" s="16">
        <f t="shared" si="74"/>
        <v>21</v>
      </c>
      <c r="AL207" s="16">
        <v>894</v>
      </c>
      <c r="AM207" s="16">
        <v>765</v>
      </c>
      <c r="AN207" s="16">
        <f t="shared" si="75"/>
        <v>129</v>
      </c>
      <c r="AO207" s="16"/>
      <c r="AP207" s="17"/>
      <c r="AQ207" s="96">
        <v>2009</v>
      </c>
      <c r="AR207" s="97" t="s">
        <v>45</v>
      </c>
      <c r="AS207" s="15">
        <f t="shared" si="76"/>
        <v>0.7807017543859649</v>
      </c>
      <c r="AT207" s="15">
        <f t="shared" si="77"/>
        <v>0.79543197616683214</v>
      </c>
      <c r="AU207" s="15">
        <f t="shared" si="78"/>
        <v>0.98148148148148151</v>
      </c>
      <c r="AV207" s="16"/>
      <c r="AW207" s="16"/>
      <c r="AX207" s="16">
        <v>1026</v>
      </c>
      <c r="AY207" s="16">
        <f t="shared" si="79"/>
        <v>19</v>
      </c>
      <c r="AZ207" s="16">
        <v>1007</v>
      </c>
      <c r="BA207" s="16">
        <v>801</v>
      </c>
      <c r="BB207" s="16">
        <f t="shared" si="80"/>
        <v>206</v>
      </c>
    </row>
    <row r="208" spans="1:54" s="18" customFormat="1" ht="15" customHeight="1">
      <c r="A208" s="94">
        <v>2009</v>
      </c>
      <c r="B208" s="95" t="s">
        <v>46</v>
      </c>
      <c r="C208" s="15">
        <f t="shared" si="81"/>
        <v>0.82687663027726788</v>
      </c>
      <c r="D208" s="15">
        <f t="shared" si="82"/>
        <v>0.85830324909747291</v>
      </c>
      <c r="E208" s="15">
        <f t="shared" si="83"/>
        <v>0.96338518017582842</v>
      </c>
      <c r="F208" s="16">
        <f>+Tabla2[[#This Row],[Trenes Programados por Día Hábil]]+Tabla9[[#This Row],[Trenes Programados por Día Hábil]]+Tabla10[[#This Row],[Trenes Programados por Día Hábil]]</f>
        <v>0</v>
      </c>
      <c r="G208" s="33">
        <f>+(Tabla2[[#This Row],[Coches por Tren Día Hábil]]*Tabla2[[#This Row],[Trenes Corridos]]+Tabla9[[#This Row],[Coches por Tren Día Hábil]]*Tabla9[[#This Row],[Trenes Corridos]]+Tabla10[[#This Row],[Coches por Tren Día Hábil]]*Tabla10[[#This Row],[Trenes Corridos]])/SARM[[#This Row],[Trenes Corridos]]</f>
        <v>0</v>
      </c>
      <c r="H208" s="16">
        <f t="shared" si="84"/>
        <v>10351</v>
      </c>
      <c r="I208" s="16">
        <f t="shared" si="64"/>
        <v>379</v>
      </c>
      <c r="J208" s="16">
        <f t="shared" si="86"/>
        <v>9972</v>
      </c>
      <c r="K208" s="16">
        <f t="shared" si="85"/>
        <v>8559</v>
      </c>
      <c r="L208" s="16">
        <f t="shared" si="65"/>
        <v>1413</v>
      </c>
      <c r="M208" s="16"/>
      <c r="N208" s="17"/>
      <c r="O208" s="94">
        <v>2009</v>
      </c>
      <c r="P208" s="95" t="s">
        <v>46</v>
      </c>
      <c r="Q208" s="15">
        <f t="shared" si="66"/>
        <v>0.85023014280656206</v>
      </c>
      <c r="R208" s="15">
        <f t="shared" si="67"/>
        <v>0.88122324159021403</v>
      </c>
      <c r="S208" s="15">
        <f t="shared" si="68"/>
        <v>0.96482945827923994</v>
      </c>
      <c r="T208" s="16"/>
      <c r="U208" s="16"/>
      <c r="V208" s="16">
        <v>8473</v>
      </c>
      <c r="W208" s="16">
        <f t="shared" si="69"/>
        <v>298</v>
      </c>
      <c r="X208" s="16">
        <v>8175</v>
      </c>
      <c r="Y208" s="16">
        <v>7204</v>
      </c>
      <c r="Z208" s="16">
        <f t="shared" si="70"/>
        <v>971</v>
      </c>
      <c r="AA208" s="16"/>
      <c r="AB208" s="17"/>
      <c r="AC208" s="94">
        <v>2009</v>
      </c>
      <c r="AD208" s="95" t="s">
        <v>46</v>
      </c>
      <c r="AE208" s="15">
        <f t="shared" si="71"/>
        <v>0.79391891891891897</v>
      </c>
      <c r="AF208" s="15">
        <f t="shared" si="72"/>
        <v>0.82072176949941789</v>
      </c>
      <c r="AG208" s="15">
        <f t="shared" si="73"/>
        <v>0.96734234234234229</v>
      </c>
      <c r="AH208" s="16"/>
      <c r="AI208" s="16"/>
      <c r="AJ208" s="16">
        <v>888</v>
      </c>
      <c r="AK208" s="16">
        <f t="shared" si="74"/>
        <v>29</v>
      </c>
      <c r="AL208" s="16">
        <v>859</v>
      </c>
      <c r="AM208" s="16">
        <v>705</v>
      </c>
      <c r="AN208" s="16">
        <f t="shared" si="75"/>
        <v>154</v>
      </c>
      <c r="AO208" s="16"/>
      <c r="AP208" s="17"/>
      <c r="AQ208" s="94">
        <v>2009</v>
      </c>
      <c r="AR208" s="95" t="s">
        <v>46</v>
      </c>
      <c r="AS208" s="15">
        <f t="shared" si="76"/>
        <v>0.65656565656565657</v>
      </c>
      <c r="AT208" s="15">
        <f t="shared" si="77"/>
        <v>0.69296375266524524</v>
      </c>
      <c r="AU208" s="15">
        <f t="shared" si="78"/>
        <v>0.94747474747474747</v>
      </c>
      <c r="AV208" s="16"/>
      <c r="AW208" s="16"/>
      <c r="AX208" s="16">
        <v>990</v>
      </c>
      <c r="AY208" s="16">
        <f t="shared" si="79"/>
        <v>52</v>
      </c>
      <c r="AZ208" s="16">
        <v>938</v>
      </c>
      <c r="BA208" s="16">
        <v>650</v>
      </c>
      <c r="BB208" s="16">
        <f t="shared" si="80"/>
        <v>288</v>
      </c>
    </row>
    <row r="209" spans="1:54" s="18" customFormat="1" ht="15" customHeight="1">
      <c r="A209" s="96">
        <v>2009</v>
      </c>
      <c r="B209" s="97" t="s">
        <v>47</v>
      </c>
      <c r="C209" s="15">
        <f t="shared" si="81"/>
        <v>0.81816461684011355</v>
      </c>
      <c r="D209" s="15">
        <f t="shared" si="82"/>
        <v>0.84519155590304929</v>
      </c>
      <c r="E209" s="15">
        <f t="shared" si="83"/>
        <v>0.9680227057710501</v>
      </c>
      <c r="F209" s="16">
        <f>+Tabla2[[#This Row],[Trenes Programados por Día Hábil]]+Tabla9[[#This Row],[Trenes Programados por Día Hábil]]+Tabla10[[#This Row],[Trenes Programados por Día Hábil]]</f>
        <v>0</v>
      </c>
      <c r="G209" s="33">
        <f>+(Tabla2[[#This Row],[Coches por Tren Día Hábil]]*Tabla2[[#This Row],[Trenes Corridos]]+Tabla9[[#This Row],[Coches por Tren Día Hábil]]*Tabla9[[#This Row],[Trenes Corridos]]+Tabla10[[#This Row],[Coches por Tren Día Hábil]]*Tabla10[[#This Row],[Trenes Corridos]])/SARM[[#This Row],[Trenes Corridos]]</f>
        <v>0</v>
      </c>
      <c r="H209" s="16">
        <f t="shared" si="84"/>
        <v>10570</v>
      </c>
      <c r="I209" s="16">
        <f t="shared" si="64"/>
        <v>338</v>
      </c>
      <c r="J209" s="16">
        <f t="shared" si="86"/>
        <v>10232</v>
      </c>
      <c r="K209" s="16">
        <f t="shared" si="85"/>
        <v>8648</v>
      </c>
      <c r="L209" s="16">
        <f t="shared" si="65"/>
        <v>1584</v>
      </c>
      <c r="M209" s="16"/>
      <c r="N209" s="25"/>
      <c r="O209" s="96">
        <v>2009</v>
      </c>
      <c r="P209" s="97" t="s">
        <v>47</v>
      </c>
      <c r="Q209" s="15">
        <f t="shared" si="66"/>
        <v>0.83248496066635813</v>
      </c>
      <c r="R209" s="15">
        <f t="shared" si="67"/>
        <v>0.85687068349607054</v>
      </c>
      <c r="S209" s="15">
        <f t="shared" si="68"/>
        <v>0.97154095326237855</v>
      </c>
      <c r="T209" s="16"/>
      <c r="U209" s="16"/>
      <c r="V209" s="16">
        <v>8644</v>
      </c>
      <c r="W209" s="16">
        <f t="shared" si="69"/>
        <v>246</v>
      </c>
      <c r="X209" s="16">
        <v>8398</v>
      </c>
      <c r="Y209" s="16">
        <v>7196</v>
      </c>
      <c r="Z209" s="16">
        <f t="shared" si="70"/>
        <v>1202</v>
      </c>
      <c r="AA209" s="16"/>
      <c r="AB209" s="17"/>
      <c r="AC209" s="96">
        <v>2009</v>
      </c>
      <c r="AD209" s="97" t="s">
        <v>47</v>
      </c>
      <c r="AE209" s="15">
        <f t="shared" si="71"/>
        <v>0.80283224400871456</v>
      </c>
      <c r="AF209" s="15">
        <f t="shared" si="72"/>
        <v>0.82808988764044944</v>
      </c>
      <c r="AG209" s="15">
        <f t="shared" si="73"/>
        <v>0.9694989106753813</v>
      </c>
      <c r="AH209" s="16"/>
      <c r="AI209" s="16"/>
      <c r="AJ209" s="16">
        <v>918</v>
      </c>
      <c r="AK209" s="16">
        <f t="shared" si="74"/>
        <v>28</v>
      </c>
      <c r="AL209" s="16">
        <v>890</v>
      </c>
      <c r="AM209" s="16">
        <v>737</v>
      </c>
      <c r="AN209" s="16">
        <f t="shared" si="75"/>
        <v>153</v>
      </c>
      <c r="AO209" s="16"/>
      <c r="AP209" s="17"/>
      <c r="AQ209" s="96">
        <v>2009</v>
      </c>
      <c r="AR209" s="97" t="s">
        <v>47</v>
      </c>
      <c r="AS209" s="15">
        <f t="shared" si="76"/>
        <v>0.70932539682539686</v>
      </c>
      <c r="AT209" s="15">
        <f t="shared" si="77"/>
        <v>0.75741525423728817</v>
      </c>
      <c r="AU209" s="15">
        <f t="shared" si="78"/>
        <v>0.93650793650793651</v>
      </c>
      <c r="AV209" s="16"/>
      <c r="AW209" s="16"/>
      <c r="AX209" s="16">
        <v>1008</v>
      </c>
      <c r="AY209" s="16">
        <f t="shared" si="79"/>
        <v>64</v>
      </c>
      <c r="AZ209" s="16">
        <v>944</v>
      </c>
      <c r="BA209" s="16">
        <v>715</v>
      </c>
      <c r="BB209" s="16">
        <f t="shared" si="80"/>
        <v>229</v>
      </c>
    </row>
    <row r="210" spans="1:54" s="18" customFormat="1" ht="15" customHeight="1">
      <c r="A210" s="94">
        <v>2010</v>
      </c>
      <c r="B210" s="95" t="s">
        <v>36</v>
      </c>
      <c r="C210" s="15">
        <f t="shared" si="81"/>
        <v>0.84853109500190771</v>
      </c>
      <c r="D210" s="15">
        <f t="shared" si="82"/>
        <v>0.88738154613466336</v>
      </c>
      <c r="E210" s="15">
        <f t="shared" si="83"/>
        <v>0.95621900038153373</v>
      </c>
      <c r="F210" s="16">
        <f>+Tabla2[[#This Row],[Trenes Programados por Día Hábil]]+Tabla9[[#This Row],[Trenes Programados por Día Hábil]]+Tabla10[[#This Row],[Trenes Programados por Día Hábil]]</f>
        <v>0</v>
      </c>
      <c r="G210" s="33">
        <f>+(Tabla2[[#This Row],[Coches por Tren Día Hábil]]*Tabla2[[#This Row],[Trenes Corridos]]+Tabla9[[#This Row],[Coches por Tren Día Hábil]]*Tabla9[[#This Row],[Trenes Corridos]]+Tabla10[[#This Row],[Coches por Tren Día Hábil]]*Tabla10[[#This Row],[Trenes Corridos]])/SARM[[#This Row],[Trenes Corridos]]</f>
        <v>0</v>
      </c>
      <c r="H210" s="16">
        <f t="shared" si="84"/>
        <v>10484</v>
      </c>
      <c r="I210" s="16">
        <f t="shared" si="64"/>
        <v>459</v>
      </c>
      <c r="J210" s="16">
        <f t="shared" si="86"/>
        <v>10025</v>
      </c>
      <c r="K210" s="16">
        <f t="shared" si="85"/>
        <v>8896</v>
      </c>
      <c r="L210" s="16">
        <f t="shared" si="65"/>
        <v>1129</v>
      </c>
      <c r="M210" s="16"/>
      <c r="N210" s="17"/>
      <c r="O210" s="94">
        <v>2010</v>
      </c>
      <c r="P210" s="95" t="s">
        <v>36</v>
      </c>
      <c r="Q210" s="15">
        <f t="shared" si="66"/>
        <v>0.86438500175213173</v>
      </c>
      <c r="R210" s="15">
        <f t="shared" si="67"/>
        <v>0.90265918516711396</v>
      </c>
      <c r="S210" s="15">
        <f t="shared" si="68"/>
        <v>0.95759841140053736</v>
      </c>
      <c r="T210" s="16"/>
      <c r="U210" s="16"/>
      <c r="V210" s="16">
        <v>8561</v>
      </c>
      <c r="W210" s="16">
        <f t="shared" ref="W210:W221" si="87">V210-X210</f>
        <v>363</v>
      </c>
      <c r="X210" s="16">
        <v>8198</v>
      </c>
      <c r="Y210" s="16">
        <v>7400</v>
      </c>
      <c r="Z210" s="16">
        <f t="shared" ref="Z210:Z221" si="88">X210-Y210</f>
        <v>798</v>
      </c>
      <c r="AA210" s="16"/>
      <c r="AB210" s="17"/>
      <c r="AC210" s="94">
        <v>2010</v>
      </c>
      <c r="AD210" s="95" t="s">
        <v>36</v>
      </c>
      <c r="AE210" s="15">
        <f t="shared" si="71"/>
        <v>0.81420765027322406</v>
      </c>
      <c r="AF210" s="15">
        <f t="shared" si="72"/>
        <v>0.84851936218678814</v>
      </c>
      <c r="AG210" s="15">
        <f t="shared" si="73"/>
        <v>0.95956284153005467</v>
      </c>
      <c r="AH210" s="16"/>
      <c r="AI210" s="16"/>
      <c r="AJ210" s="16">
        <v>915</v>
      </c>
      <c r="AK210" s="16">
        <f t="shared" ref="AK210:AK221" si="89">AJ210-AL210</f>
        <v>37</v>
      </c>
      <c r="AL210" s="16">
        <v>878</v>
      </c>
      <c r="AM210" s="16">
        <v>745</v>
      </c>
      <c r="AN210" s="16">
        <f t="shared" ref="AN210:AN221" si="90">AL210-AM210</f>
        <v>133</v>
      </c>
      <c r="AO210" s="16"/>
      <c r="AP210" s="17"/>
      <c r="AQ210" s="94">
        <v>2010</v>
      </c>
      <c r="AR210" s="95" t="s">
        <v>36</v>
      </c>
      <c r="AS210" s="15">
        <f t="shared" si="76"/>
        <v>0.74503968253968256</v>
      </c>
      <c r="AT210" s="15">
        <f t="shared" si="77"/>
        <v>0.79135932560590094</v>
      </c>
      <c r="AU210" s="15">
        <f t="shared" si="78"/>
        <v>0.94146825396825395</v>
      </c>
      <c r="AV210" s="16"/>
      <c r="AW210" s="16"/>
      <c r="AX210" s="16">
        <v>1008</v>
      </c>
      <c r="AY210" s="16">
        <f t="shared" ref="AY210:AY221" si="91">AX210-AZ210</f>
        <v>59</v>
      </c>
      <c r="AZ210" s="16">
        <v>949</v>
      </c>
      <c r="BA210" s="16">
        <v>751</v>
      </c>
      <c r="BB210" s="16">
        <f t="shared" ref="BB210:BB221" si="92">AZ210-BA210</f>
        <v>198</v>
      </c>
    </row>
    <row r="211" spans="1:54" s="18" customFormat="1" ht="15" customHeight="1">
      <c r="A211" s="96">
        <v>2010</v>
      </c>
      <c r="B211" s="97" t="s">
        <v>37</v>
      </c>
      <c r="C211" s="15">
        <f t="shared" si="81"/>
        <v>0.84181370537546163</v>
      </c>
      <c r="D211" s="15">
        <f t="shared" si="82"/>
        <v>0.88742294798312971</v>
      </c>
      <c r="E211" s="15">
        <f t="shared" si="83"/>
        <v>0.94860484201887563</v>
      </c>
      <c r="F211" s="16">
        <f>+Tabla2[[#This Row],[Trenes Programados por Día Hábil]]+Tabla9[[#This Row],[Trenes Programados por Día Hábil]]+Tabla10[[#This Row],[Trenes Programados por Día Hábil]]</f>
        <v>0</v>
      </c>
      <c r="G211" s="33">
        <f>+(Tabla2[[#This Row],[Coches por Tren Día Hábil]]*Tabla2[[#This Row],[Trenes Corridos]]+Tabla9[[#This Row],[Coches por Tren Día Hábil]]*Tabla9[[#This Row],[Trenes Corridos]]+Tabla10[[#This Row],[Coches por Tren Día Hábil]]*Tabla10[[#This Row],[Trenes Corridos]])/SARM[[#This Row],[Trenes Corridos]]</f>
        <v>0</v>
      </c>
      <c r="H211" s="16">
        <f t="shared" si="84"/>
        <v>9748</v>
      </c>
      <c r="I211" s="16">
        <f t="shared" si="64"/>
        <v>501</v>
      </c>
      <c r="J211" s="16">
        <f t="shared" si="86"/>
        <v>9247</v>
      </c>
      <c r="K211" s="16">
        <f t="shared" si="85"/>
        <v>8206</v>
      </c>
      <c r="L211" s="16">
        <f t="shared" si="65"/>
        <v>1041</v>
      </c>
      <c r="M211" s="16"/>
      <c r="N211" s="17"/>
      <c r="O211" s="96">
        <v>2010</v>
      </c>
      <c r="P211" s="97" t="s">
        <v>37</v>
      </c>
      <c r="Q211" s="15">
        <f t="shared" si="66"/>
        <v>0.85721442885771548</v>
      </c>
      <c r="R211" s="15">
        <f t="shared" si="67"/>
        <v>0.9040951122853369</v>
      </c>
      <c r="S211" s="15">
        <f t="shared" si="68"/>
        <v>0.94814629258517036</v>
      </c>
      <c r="T211" s="16"/>
      <c r="U211" s="16"/>
      <c r="V211" s="16">
        <v>7984</v>
      </c>
      <c r="W211" s="16">
        <f t="shared" si="87"/>
        <v>414</v>
      </c>
      <c r="X211" s="16">
        <v>7570</v>
      </c>
      <c r="Y211" s="16">
        <v>6844</v>
      </c>
      <c r="Z211" s="16">
        <f t="shared" si="88"/>
        <v>726</v>
      </c>
      <c r="AA211" s="16"/>
      <c r="AB211" s="17"/>
      <c r="AC211" s="96">
        <v>2010</v>
      </c>
      <c r="AD211" s="97" t="s">
        <v>37</v>
      </c>
      <c r="AE211" s="15">
        <f t="shared" si="71"/>
        <v>0.83574879227053145</v>
      </c>
      <c r="AF211" s="15">
        <f t="shared" si="72"/>
        <v>0.8759493670886076</v>
      </c>
      <c r="AG211" s="15">
        <f t="shared" si="73"/>
        <v>0.95410628019323673</v>
      </c>
      <c r="AH211" s="16"/>
      <c r="AI211" s="16"/>
      <c r="AJ211" s="16">
        <v>828</v>
      </c>
      <c r="AK211" s="16">
        <f t="shared" si="89"/>
        <v>38</v>
      </c>
      <c r="AL211" s="16">
        <v>790</v>
      </c>
      <c r="AM211" s="16">
        <v>692</v>
      </c>
      <c r="AN211" s="16">
        <f t="shared" si="90"/>
        <v>98</v>
      </c>
      <c r="AO211" s="16"/>
      <c r="AP211" s="17"/>
      <c r="AQ211" s="96">
        <v>2010</v>
      </c>
      <c r="AR211" s="97" t="s">
        <v>37</v>
      </c>
      <c r="AS211" s="15">
        <f t="shared" si="76"/>
        <v>0.71581196581196582</v>
      </c>
      <c r="AT211" s="15">
        <f t="shared" si="77"/>
        <v>0.75535512965050733</v>
      </c>
      <c r="AU211" s="15">
        <f t="shared" si="78"/>
        <v>0.94764957264957261</v>
      </c>
      <c r="AV211" s="16"/>
      <c r="AW211" s="16"/>
      <c r="AX211" s="16">
        <v>936</v>
      </c>
      <c r="AY211" s="16">
        <f t="shared" si="91"/>
        <v>49</v>
      </c>
      <c r="AZ211" s="16">
        <v>887</v>
      </c>
      <c r="BA211" s="16">
        <v>670</v>
      </c>
      <c r="BB211" s="16">
        <f t="shared" si="92"/>
        <v>217</v>
      </c>
    </row>
    <row r="212" spans="1:54" s="18" customFormat="1" ht="15" customHeight="1">
      <c r="A212" s="94">
        <v>2010</v>
      </c>
      <c r="B212" s="95" t="s">
        <v>38</v>
      </c>
      <c r="C212" s="15">
        <f t="shared" si="81"/>
        <v>0.76180717279925481</v>
      </c>
      <c r="D212" s="15">
        <f t="shared" si="82"/>
        <v>0.79972618814785845</v>
      </c>
      <c r="E212" s="15">
        <f t="shared" si="83"/>
        <v>0.95258500232883092</v>
      </c>
      <c r="F212" s="16">
        <f>+Tabla2[[#This Row],[Trenes Programados por Día Hábil]]+Tabla9[[#This Row],[Trenes Programados por Día Hábil]]+Tabla10[[#This Row],[Trenes Programados por Día Hábil]]</f>
        <v>0</v>
      </c>
      <c r="G212" s="33">
        <f>+(Tabla2[[#This Row],[Coches por Tren Día Hábil]]*Tabla2[[#This Row],[Trenes Corridos]]+Tabla9[[#This Row],[Coches por Tren Día Hábil]]*Tabla9[[#This Row],[Trenes Corridos]]+Tabla10[[#This Row],[Coches por Tren Día Hábil]]*Tabla10[[#This Row],[Trenes Corridos]])/SARM[[#This Row],[Trenes Corridos]]</f>
        <v>0</v>
      </c>
      <c r="H212" s="16">
        <f t="shared" si="84"/>
        <v>10735</v>
      </c>
      <c r="I212" s="16">
        <f t="shared" si="64"/>
        <v>509</v>
      </c>
      <c r="J212" s="16">
        <f t="shared" si="86"/>
        <v>10226</v>
      </c>
      <c r="K212" s="16">
        <f t="shared" si="85"/>
        <v>8178</v>
      </c>
      <c r="L212" s="16">
        <f t="shared" si="65"/>
        <v>2048</v>
      </c>
      <c r="M212" s="16"/>
      <c r="N212" s="17"/>
      <c r="O212" s="94">
        <v>2010</v>
      </c>
      <c r="P212" s="95" t="s">
        <v>38</v>
      </c>
      <c r="Q212" s="15">
        <f t="shared" si="66"/>
        <v>0.76362188601979297</v>
      </c>
      <c r="R212" s="15">
        <f t="shared" si="67"/>
        <v>0.80231863272379589</v>
      </c>
      <c r="S212" s="15">
        <f t="shared" si="68"/>
        <v>0.95176885451029458</v>
      </c>
      <c r="T212" s="16"/>
      <c r="U212" s="16"/>
      <c r="V212" s="16">
        <v>8791</v>
      </c>
      <c r="W212" s="16">
        <f t="shared" si="87"/>
        <v>424</v>
      </c>
      <c r="X212" s="16">
        <v>8367</v>
      </c>
      <c r="Y212" s="16">
        <v>6713</v>
      </c>
      <c r="Z212" s="16">
        <f t="shared" si="88"/>
        <v>1654</v>
      </c>
      <c r="AA212" s="16"/>
      <c r="AB212" s="17"/>
      <c r="AC212" s="94">
        <v>2010</v>
      </c>
      <c r="AD212" s="95" t="s">
        <v>38</v>
      </c>
      <c r="AE212" s="15">
        <f t="shared" si="71"/>
        <v>0.80392156862745101</v>
      </c>
      <c r="AF212" s="15">
        <f t="shared" si="72"/>
        <v>0.83578708946772362</v>
      </c>
      <c r="AG212" s="15">
        <f t="shared" si="73"/>
        <v>0.96187363834422657</v>
      </c>
      <c r="AH212" s="16"/>
      <c r="AI212" s="16"/>
      <c r="AJ212" s="16">
        <v>918</v>
      </c>
      <c r="AK212" s="16">
        <f t="shared" si="89"/>
        <v>35</v>
      </c>
      <c r="AL212" s="16">
        <v>883</v>
      </c>
      <c r="AM212" s="16">
        <v>738</v>
      </c>
      <c r="AN212" s="16">
        <f t="shared" si="90"/>
        <v>145</v>
      </c>
      <c r="AO212" s="16"/>
      <c r="AP212" s="17"/>
      <c r="AQ212" s="94">
        <v>2010</v>
      </c>
      <c r="AR212" s="95" t="s">
        <v>38</v>
      </c>
      <c r="AS212" s="15">
        <f t="shared" si="76"/>
        <v>0.70857699805068231</v>
      </c>
      <c r="AT212" s="15">
        <f t="shared" si="77"/>
        <v>0.74487704918032782</v>
      </c>
      <c r="AU212" s="15">
        <f t="shared" si="78"/>
        <v>0.95126705653021437</v>
      </c>
      <c r="AV212" s="16"/>
      <c r="AW212" s="16"/>
      <c r="AX212" s="16">
        <v>1026</v>
      </c>
      <c r="AY212" s="16">
        <f t="shared" si="91"/>
        <v>50</v>
      </c>
      <c r="AZ212" s="16">
        <v>976</v>
      </c>
      <c r="BA212" s="16">
        <v>727</v>
      </c>
      <c r="BB212" s="16">
        <f t="shared" si="92"/>
        <v>249</v>
      </c>
    </row>
    <row r="213" spans="1:54" s="18" customFormat="1" ht="15" customHeight="1">
      <c r="A213" s="96">
        <v>2010</v>
      </c>
      <c r="B213" s="97" t="s">
        <v>39</v>
      </c>
      <c r="C213" s="15">
        <f t="shared" si="81"/>
        <v>0.70408656168486139</v>
      </c>
      <c r="D213" s="15">
        <f t="shared" si="82"/>
        <v>0.7479474548440066</v>
      </c>
      <c r="E213" s="15">
        <f t="shared" si="83"/>
        <v>0.94135832286735577</v>
      </c>
      <c r="F213" s="16">
        <f>+Tabla2[[#This Row],[Trenes Programados por Día Hábil]]+Tabla9[[#This Row],[Trenes Programados por Día Hábil]]+Tabla10[[#This Row],[Trenes Programados por Día Hábil]]</f>
        <v>0</v>
      </c>
      <c r="G213" s="33">
        <f>+(Tabla2[[#This Row],[Coches por Tren Día Hábil]]*Tabla2[[#This Row],[Trenes Corridos]]+Tabla9[[#This Row],[Coches por Tren Día Hábil]]*Tabla9[[#This Row],[Trenes Corridos]]+Tabla10[[#This Row],[Coches por Tren Día Hábil]]*Tabla10[[#This Row],[Trenes Corridos]])/SARM[[#This Row],[Trenes Corridos]]</f>
        <v>0</v>
      </c>
      <c r="H213" s="16">
        <f t="shared" si="84"/>
        <v>10351</v>
      </c>
      <c r="I213" s="16">
        <f t="shared" si="64"/>
        <v>607</v>
      </c>
      <c r="J213" s="16">
        <f t="shared" si="86"/>
        <v>9744</v>
      </c>
      <c r="K213" s="16">
        <f t="shared" si="85"/>
        <v>7288</v>
      </c>
      <c r="L213" s="16">
        <f t="shared" si="65"/>
        <v>2456</v>
      </c>
      <c r="M213" s="16"/>
      <c r="N213" s="17"/>
      <c r="O213" s="96">
        <v>2010</v>
      </c>
      <c r="P213" s="97" t="s">
        <v>39</v>
      </c>
      <c r="Q213" s="15">
        <f t="shared" si="66"/>
        <v>0.70211259294228723</v>
      </c>
      <c r="R213" s="15">
        <f t="shared" si="67"/>
        <v>0.74409005628517821</v>
      </c>
      <c r="S213" s="15">
        <f t="shared" si="68"/>
        <v>0.94358550690428422</v>
      </c>
      <c r="T213" s="16"/>
      <c r="U213" s="16"/>
      <c r="V213" s="16">
        <v>8473</v>
      </c>
      <c r="W213" s="16">
        <f t="shared" si="87"/>
        <v>478</v>
      </c>
      <c r="X213" s="16">
        <v>7995</v>
      </c>
      <c r="Y213" s="16">
        <v>5949</v>
      </c>
      <c r="Z213" s="16">
        <f t="shared" si="88"/>
        <v>2046</v>
      </c>
      <c r="AA213" s="16"/>
      <c r="AB213" s="17"/>
      <c r="AC213" s="96">
        <v>2010</v>
      </c>
      <c r="AD213" s="97" t="s">
        <v>39</v>
      </c>
      <c r="AE213" s="15">
        <f t="shared" si="71"/>
        <v>0.73536036036036034</v>
      </c>
      <c r="AF213" s="15">
        <f t="shared" si="72"/>
        <v>0.79537149817295982</v>
      </c>
      <c r="AG213" s="15">
        <f t="shared" si="73"/>
        <v>0.9245495495495496</v>
      </c>
      <c r="AH213" s="16"/>
      <c r="AI213" s="16"/>
      <c r="AJ213" s="16">
        <v>888</v>
      </c>
      <c r="AK213" s="16">
        <f t="shared" si="89"/>
        <v>67</v>
      </c>
      <c r="AL213" s="16">
        <v>821</v>
      </c>
      <c r="AM213" s="16">
        <v>653</v>
      </c>
      <c r="AN213" s="16">
        <f t="shared" si="90"/>
        <v>168</v>
      </c>
      <c r="AO213" s="16"/>
      <c r="AP213" s="17"/>
      <c r="AQ213" s="96">
        <v>2010</v>
      </c>
      <c r="AR213" s="97" t="s">
        <v>39</v>
      </c>
      <c r="AS213" s="15">
        <f t="shared" si="76"/>
        <v>0.69292929292929295</v>
      </c>
      <c r="AT213" s="15">
        <f t="shared" si="77"/>
        <v>0.73922413793103448</v>
      </c>
      <c r="AU213" s="15">
        <f t="shared" si="78"/>
        <v>0.93737373737373741</v>
      </c>
      <c r="AV213" s="16"/>
      <c r="AW213" s="16"/>
      <c r="AX213" s="16">
        <v>990</v>
      </c>
      <c r="AY213" s="16">
        <f t="shared" si="91"/>
        <v>62</v>
      </c>
      <c r="AZ213" s="16">
        <v>928</v>
      </c>
      <c r="BA213" s="16">
        <v>686</v>
      </c>
      <c r="BB213" s="16">
        <f t="shared" si="92"/>
        <v>242</v>
      </c>
    </row>
    <row r="214" spans="1:54" s="18" customFormat="1" ht="15" customHeight="1">
      <c r="A214" s="94">
        <v>2010</v>
      </c>
      <c r="B214" s="95" t="s">
        <v>40</v>
      </c>
      <c r="C214" s="15">
        <f t="shared" si="81"/>
        <v>0.72373046875000002</v>
      </c>
      <c r="D214" s="15">
        <f t="shared" si="82"/>
        <v>0.78199852273926351</v>
      </c>
      <c r="E214" s="15">
        <f t="shared" si="83"/>
        <v>0.92548828125000004</v>
      </c>
      <c r="F214" s="16">
        <f>+Tabla2[[#This Row],[Trenes Programados por Día Hábil]]+Tabla9[[#This Row],[Trenes Programados por Día Hábil]]+Tabla10[[#This Row],[Trenes Programados por Día Hábil]]</f>
        <v>0</v>
      </c>
      <c r="G214" s="33">
        <f>+(Tabla2[[#This Row],[Coches por Tren Día Hábil]]*Tabla2[[#This Row],[Trenes Corridos]]+Tabla9[[#This Row],[Coches por Tren Día Hábil]]*Tabla9[[#This Row],[Trenes Corridos]]+Tabla10[[#This Row],[Coches por Tren Día Hábil]]*Tabla10[[#This Row],[Trenes Corridos]])/SARM[[#This Row],[Trenes Corridos]]</f>
        <v>0</v>
      </c>
      <c r="H214" s="16">
        <f t="shared" si="84"/>
        <v>10240</v>
      </c>
      <c r="I214" s="16">
        <f t="shared" si="64"/>
        <v>763</v>
      </c>
      <c r="J214" s="16">
        <f t="shared" si="86"/>
        <v>9477</v>
      </c>
      <c r="K214" s="16">
        <f t="shared" si="85"/>
        <v>7411</v>
      </c>
      <c r="L214" s="16">
        <f t="shared" si="65"/>
        <v>2066</v>
      </c>
      <c r="M214" s="16"/>
      <c r="N214" s="17"/>
      <c r="O214" s="94">
        <v>2010</v>
      </c>
      <c r="P214" s="95" t="s">
        <v>40</v>
      </c>
      <c r="Q214" s="15">
        <f t="shared" si="66"/>
        <v>0.72874251497005993</v>
      </c>
      <c r="R214" s="15">
        <f t="shared" si="67"/>
        <v>0.78862104717470194</v>
      </c>
      <c r="S214" s="15">
        <f t="shared" si="68"/>
        <v>0.92407185628742516</v>
      </c>
      <c r="T214" s="16"/>
      <c r="U214" s="16"/>
      <c r="V214" s="16">
        <v>8350</v>
      </c>
      <c r="W214" s="16">
        <f t="shared" si="87"/>
        <v>634</v>
      </c>
      <c r="X214" s="16">
        <v>7716</v>
      </c>
      <c r="Y214" s="16">
        <v>6085</v>
      </c>
      <c r="Z214" s="16">
        <f t="shared" si="88"/>
        <v>1631</v>
      </c>
      <c r="AA214" s="16"/>
      <c r="AB214" s="17"/>
      <c r="AC214" s="94">
        <v>2010</v>
      </c>
      <c r="AD214" s="95" t="s">
        <v>40</v>
      </c>
      <c r="AE214" s="15">
        <f t="shared" si="71"/>
        <v>0.76034858387799564</v>
      </c>
      <c r="AF214" s="15">
        <f t="shared" si="72"/>
        <v>0.81637426900584797</v>
      </c>
      <c r="AG214" s="15">
        <f t="shared" si="73"/>
        <v>0.93137254901960786</v>
      </c>
      <c r="AH214" s="16"/>
      <c r="AI214" s="16"/>
      <c r="AJ214" s="16">
        <v>918</v>
      </c>
      <c r="AK214" s="16">
        <f t="shared" si="89"/>
        <v>63</v>
      </c>
      <c r="AL214" s="16">
        <v>855</v>
      </c>
      <c r="AM214" s="16">
        <v>698</v>
      </c>
      <c r="AN214" s="16">
        <f t="shared" si="90"/>
        <v>157</v>
      </c>
      <c r="AO214" s="16"/>
      <c r="AP214" s="17"/>
      <c r="AQ214" s="94">
        <v>2010</v>
      </c>
      <c r="AR214" s="95" t="s">
        <v>40</v>
      </c>
      <c r="AS214" s="15">
        <f t="shared" si="76"/>
        <v>0.64609053497942381</v>
      </c>
      <c r="AT214" s="15">
        <f t="shared" si="77"/>
        <v>0.69315673289183222</v>
      </c>
      <c r="AU214" s="15">
        <f t="shared" si="78"/>
        <v>0.9320987654320988</v>
      </c>
      <c r="AV214" s="16"/>
      <c r="AW214" s="16"/>
      <c r="AX214" s="16">
        <v>972</v>
      </c>
      <c r="AY214" s="16">
        <f t="shared" si="91"/>
        <v>66</v>
      </c>
      <c r="AZ214" s="16">
        <v>906</v>
      </c>
      <c r="BA214" s="16">
        <v>628</v>
      </c>
      <c r="BB214" s="16">
        <f t="shared" si="92"/>
        <v>278</v>
      </c>
    </row>
    <row r="215" spans="1:54" s="18" customFormat="1" ht="15" customHeight="1">
      <c r="A215" s="96">
        <v>2010</v>
      </c>
      <c r="B215" s="97" t="s">
        <v>41</v>
      </c>
      <c r="C215" s="15">
        <f t="shared" si="81"/>
        <v>0.72592020094676846</v>
      </c>
      <c r="D215" s="15">
        <f t="shared" si="82"/>
        <v>0.76191441898195089</v>
      </c>
      <c r="E215" s="15">
        <f t="shared" si="83"/>
        <v>0.9527581876147232</v>
      </c>
      <c r="F215" s="16">
        <f>+Tabla2[[#This Row],[Trenes Programados por Día Hábil]]+Tabla9[[#This Row],[Trenes Programados por Día Hábil]]+Tabla10[[#This Row],[Trenes Programados por Día Hábil]]</f>
        <v>0</v>
      </c>
      <c r="G215" s="33">
        <f>+(Tabla2[[#This Row],[Coches por Tren Día Hábil]]*Tabla2[[#This Row],[Trenes Corridos]]+Tabla9[[#This Row],[Coches por Tren Día Hábil]]*Tabla9[[#This Row],[Trenes Corridos]]+Tabla10[[#This Row],[Coches por Tren Día Hábil]]*Tabla10[[#This Row],[Trenes Corridos]])/SARM[[#This Row],[Trenes Corridos]]</f>
        <v>0</v>
      </c>
      <c r="H215" s="16">
        <f t="shared" si="84"/>
        <v>10351</v>
      </c>
      <c r="I215" s="16">
        <f t="shared" si="64"/>
        <v>489</v>
      </c>
      <c r="J215" s="16">
        <f t="shared" si="86"/>
        <v>9862</v>
      </c>
      <c r="K215" s="16">
        <f t="shared" si="85"/>
        <v>7514</v>
      </c>
      <c r="L215" s="16">
        <f t="shared" si="65"/>
        <v>2348</v>
      </c>
      <c r="M215" s="16"/>
      <c r="N215" s="17"/>
      <c r="O215" s="96">
        <v>2010</v>
      </c>
      <c r="P215" s="97" t="s">
        <v>41</v>
      </c>
      <c r="Q215" s="15">
        <f t="shared" si="66"/>
        <v>0.75463236161926117</v>
      </c>
      <c r="R215" s="15">
        <f t="shared" si="67"/>
        <v>0.78617976146563384</v>
      </c>
      <c r="S215" s="15">
        <f t="shared" si="68"/>
        <v>0.95987253629175029</v>
      </c>
      <c r="T215" s="16"/>
      <c r="U215" s="16"/>
      <c r="V215" s="16">
        <v>8473</v>
      </c>
      <c r="W215" s="16">
        <f t="shared" si="87"/>
        <v>340</v>
      </c>
      <c r="X215" s="16">
        <v>8133</v>
      </c>
      <c r="Y215" s="16">
        <v>6394</v>
      </c>
      <c r="Z215" s="16">
        <f t="shared" si="88"/>
        <v>1739</v>
      </c>
      <c r="AA215" s="16"/>
      <c r="AB215" s="17"/>
      <c r="AC215" s="96">
        <v>2010</v>
      </c>
      <c r="AD215" s="97" t="s">
        <v>41</v>
      </c>
      <c r="AE215" s="15">
        <f t="shared" si="71"/>
        <v>0.76463963963963966</v>
      </c>
      <c r="AF215" s="15">
        <f t="shared" si="72"/>
        <v>0.79601406799531071</v>
      </c>
      <c r="AG215" s="15">
        <f t="shared" si="73"/>
        <v>0.9605855855855856</v>
      </c>
      <c r="AH215" s="16"/>
      <c r="AI215" s="16"/>
      <c r="AJ215" s="16">
        <v>888</v>
      </c>
      <c r="AK215" s="16">
        <f t="shared" si="89"/>
        <v>35</v>
      </c>
      <c r="AL215" s="16">
        <v>853</v>
      </c>
      <c r="AM215" s="16">
        <v>679</v>
      </c>
      <c r="AN215" s="16">
        <f t="shared" si="90"/>
        <v>174</v>
      </c>
      <c r="AO215" s="16"/>
      <c r="AP215" s="17"/>
      <c r="AQ215" s="96">
        <v>2010</v>
      </c>
      <c r="AR215" s="97" t="s">
        <v>41</v>
      </c>
      <c r="AS215" s="15">
        <f t="shared" si="76"/>
        <v>0.44545454545454544</v>
      </c>
      <c r="AT215" s="15">
        <f t="shared" si="77"/>
        <v>0.50342465753424659</v>
      </c>
      <c r="AU215" s="15">
        <f t="shared" si="78"/>
        <v>0.88484848484848488</v>
      </c>
      <c r="AV215" s="16"/>
      <c r="AW215" s="16"/>
      <c r="AX215" s="16">
        <v>990</v>
      </c>
      <c r="AY215" s="16">
        <f t="shared" si="91"/>
        <v>114</v>
      </c>
      <c r="AZ215" s="16">
        <v>876</v>
      </c>
      <c r="BA215" s="16">
        <v>441</v>
      </c>
      <c r="BB215" s="16">
        <f t="shared" si="92"/>
        <v>435</v>
      </c>
    </row>
    <row r="216" spans="1:54" s="18" customFormat="1" ht="15" customHeight="1">
      <c r="A216" s="94">
        <v>2010</v>
      </c>
      <c r="B216" s="95" t="s">
        <v>42</v>
      </c>
      <c r="C216" s="15">
        <f t="shared" si="81"/>
        <v>0.78467461733496102</v>
      </c>
      <c r="D216" s="15">
        <f t="shared" si="82"/>
        <v>0.82195553806807009</v>
      </c>
      <c r="E216" s="15">
        <f t="shared" si="83"/>
        <v>0.95464362850971918</v>
      </c>
      <c r="F216" s="16">
        <f>+Tabla2[[#This Row],[Trenes Programados por Día Hábil]]+Tabla9[[#This Row],[Trenes Programados por Día Hábil]]+Tabla10[[#This Row],[Trenes Programados por Día Hábil]]</f>
        <v>0</v>
      </c>
      <c r="G216" s="33">
        <f>+(Tabla2[[#This Row],[Coches por Tren Día Hábil]]*Tabla2[[#This Row],[Trenes Corridos]]+Tabla9[[#This Row],[Coches por Tren Día Hábil]]*Tabla9[[#This Row],[Trenes Corridos]]+Tabla10[[#This Row],[Coches por Tren Día Hábil]]*Tabla10[[#This Row],[Trenes Corridos]])/SARM[[#This Row],[Trenes Corridos]]</f>
        <v>0</v>
      </c>
      <c r="H216" s="16">
        <f t="shared" si="84"/>
        <v>10649</v>
      </c>
      <c r="I216" s="16">
        <f t="shared" si="64"/>
        <v>483</v>
      </c>
      <c r="J216" s="16">
        <f t="shared" si="86"/>
        <v>10166</v>
      </c>
      <c r="K216" s="16">
        <f t="shared" si="85"/>
        <v>8356</v>
      </c>
      <c r="L216" s="16">
        <f t="shared" si="65"/>
        <v>1810</v>
      </c>
      <c r="M216" s="16"/>
      <c r="N216" s="17"/>
      <c r="O216" s="94">
        <v>2010</v>
      </c>
      <c r="P216" s="95" t="s">
        <v>42</v>
      </c>
      <c r="Q216" s="15">
        <f t="shared" si="66"/>
        <v>0.8439366100137804</v>
      </c>
      <c r="R216" s="15">
        <f t="shared" si="67"/>
        <v>0.87477681228425186</v>
      </c>
      <c r="S216" s="15">
        <f t="shared" si="68"/>
        <v>0.96474506201194299</v>
      </c>
      <c r="T216" s="16"/>
      <c r="U216" s="16"/>
      <c r="V216" s="16">
        <v>8708</v>
      </c>
      <c r="W216" s="16">
        <f t="shared" si="87"/>
        <v>307</v>
      </c>
      <c r="X216" s="16">
        <v>8401</v>
      </c>
      <c r="Y216" s="16">
        <v>7349</v>
      </c>
      <c r="Z216" s="16">
        <f t="shared" si="88"/>
        <v>1052</v>
      </c>
      <c r="AA216" s="16"/>
      <c r="AB216" s="17"/>
      <c r="AC216" s="94">
        <v>2010</v>
      </c>
      <c r="AD216" s="95" t="s">
        <v>42</v>
      </c>
      <c r="AE216" s="15">
        <f t="shared" si="71"/>
        <v>0.76939890710382519</v>
      </c>
      <c r="AF216" s="15">
        <f t="shared" si="72"/>
        <v>0.81105990783410142</v>
      </c>
      <c r="AG216" s="15">
        <f t="shared" si="73"/>
        <v>0.94863387978142077</v>
      </c>
      <c r="AH216" s="16"/>
      <c r="AI216" s="16"/>
      <c r="AJ216" s="16">
        <v>915</v>
      </c>
      <c r="AK216" s="16">
        <f t="shared" si="89"/>
        <v>47</v>
      </c>
      <c r="AL216" s="16">
        <v>868</v>
      </c>
      <c r="AM216" s="16">
        <v>704</v>
      </c>
      <c r="AN216" s="16">
        <f t="shared" si="90"/>
        <v>164</v>
      </c>
      <c r="AO216" s="16"/>
      <c r="AP216" s="17"/>
      <c r="AQ216" s="94">
        <v>2010</v>
      </c>
      <c r="AR216" s="95" t="s">
        <v>42</v>
      </c>
      <c r="AS216" s="15">
        <f t="shared" si="76"/>
        <v>0.2953216374269006</v>
      </c>
      <c r="AT216" s="15">
        <f t="shared" si="77"/>
        <v>0.33779264214046822</v>
      </c>
      <c r="AU216" s="15">
        <f t="shared" si="78"/>
        <v>0.8742690058479532</v>
      </c>
      <c r="AV216" s="16"/>
      <c r="AW216" s="16"/>
      <c r="AX216" s="16">
        <v>1026</v>
      </c>
      <c r="AY216" s="16">
        <f t="shared" si="91"/>
        <v>129</v>
      </c>
      <c r="AZ216" s="16">
        <v>897</v>
      </c>
      <c r="BA216" s="16">
        <v>303</v>
      </c>
      <c r="BB216" s="16">
        <f t="shared" si="92"/>
        <v>594</v>
      </c>
    </row>
    <row r="217" spans="1:54" s="18" customFormat="1" ht="15" customHeight="1">
      <c r="A217" s="96">
        <v>2010</v>
      </c>
      <c r="B217" s="97" t="s">
        <v>43</v>
      </c>
      <c r="C217" s="15">
        <f t="shared" si="81"/>
        <v>0.77057710501419108</v>
      </c>
      <c r="D217" s="15">
        <f t="shared" si="82"/>
        <v>0.80980314177768942</v>
      </c>
      <c r="E217" s="15">
        <f t="shared" si="83"/>
        <v>0.95156102175969726</v>
      </c>
      <c r="F217" s="16">
        <f>+Tabla2[[#This Row],[Trenes Programados por Día Hábil]]+Tabla9[[#This Row],[Trenes Programados por Día Hábil]]+Tabla10[[#This Row],[Trenes Programados por Día Hábil]]</f>
        <v>0</v>
      </c>
      <c r="G217" s="33">
        <f>+(Tabla2[[#This Row],[Coches por Tren Día Hábil]]*Tabla2[[#This Row],[Trenes Corridos]]+Tabla9[[#This Row],[Coches por Tren Día Hábil]]*Tabla9[[#This Row],[Trenes Corridos]]+Tabla10[[#This Row],[Coches por Tren Día Hábil]]*Tabla10[[#This Row],[Trenes Corridos]])/SARM[[#This Row],[Trenes Corridos]]</f>
        <v>0</v>
      </c>
      <c r="H217" s="16">
        <f t="shared" si="84"/>
        <v>10570</v>
      </c>
      <c r="I217" s="16">
        <f t="shared" si="64"/>
        <v>512</v>
      </c>
      <c r="J217" s="16">
        <f t="shared" si="86"/>
        <v>10058</v>
      </c>
      <c r="K217" s="16">
        <f t="shared" si="85"/>
        <v>8145</v>
      </c>
      <c r="L217" s="16">
        <f t="shared" si="65"/>
        <v>1913</v>
      </c>
      <c r="M217" s="16"/>
      <c r="N217" s="17"/>
      <c r="O217" s="96">
        <v>2010</v>
      </c>
      <c r="P217" s="97" t="s">
        <v>43</v>
      </c>
      <c r="Q217" s="15">
        <f t="shared" si="66"/>
        <v>0.82022211938917167</v>
      </c>
      <c r="R217" s="15">
        <f t="shared" si="67"/>
        <v>0.85856139501089856</v>
      </c>
      <c r="S217" s="15">
        <f t="shared" si="68"/>
        <v>0.95534474780194356</v>
      </c>
      <c r="T217" s="16"/>
      <c r="U217" s="16"/>
      <c r="V217" s="16">
        <v>8644</v>
      </c>
      <c r="W217" s="16">
        <f t="shared" si="87"/>
        <v>386</v>
      </c>
      <c r="X217" s="16">
        <v>8258</v>
      </c>
      <c r="Y217" s="16">
        <v>7090</v>
      </c>
      <c r="Z217" s="16">
        <f t="shared" si="88"/>
        <v>1168</v>
      </c>
      <c r="AA217" s="16"/>
      <c r="AB217" s="17"/>
      <c r="AC217" s="96">
        <v>2010</v>
      </c>
      <c r="AD217" s="97" t="s">
        <v>43</v>
      </c>
      <c r="AE217" s="15">
        <f t="shared" si="71"/>
        <v>0.78213507625272327</v>
      </c>
      <c r="AF217" s="15">
        <f t="shared" si="72"/>
        <v>0.81963470319634701</v>
      </c>
      <c r="AG217" s="15">
        <f t="shared" si="73"/>
        <v>0.95424836601307195</v>
      </c>
      <c r="AH217" s="16"/>
      <c r="AI217" s="16"/>
      <c r="AJ217" s="16">
        <v>918</v>
      </c>
      <c r="AK217" s="16">
        <f t="shared" si="89"/>
        <v>42</v>
      </c>
      <c r="AL217" s="16">
        <v>876</v>
      </c>
      <c r="AM217" s="16">
        <v>718</v>
      </c>
      <c r="AN217" s="16">
        <f t="shared" si="90"/>
        <v>158</v>
      </c>
      <c r="AO217" s="16"/>
      <c r="AP217" s="17"/>
      <c r="AQ217" s="96">
        <v>2010</v>
      </c>
      <c r="AR217" s="97" t="s">
        <v>43</v>
      </c>
      <c r="AS217" s="15">
        <f t="shared" si="76"/>
        <v>0.3343253968253968</v>
      </c>
      <c r="AT217" s="15">
        <f t="shared" si="77"/>
        <v>0.36471861471861472</v>
      </c>
      <c r="AU217" s="15">
        <f t="shared" si="78"/>
        <v>0.91666666666666663</v>
      </c>
      <c r="AV217" s="16"/>
      <c r="AW217" s="16"/>
      <c r="AX217" s="16">
        <v>1008</v>
      </c>
      <c r="AY217" s="16">
        <f t="shared" si="91"/>
        <v>84</v>
      </c>
      <c r="AZ217" s="16">
        <v>924</v>
      </c>
      <c r="BA217" s="16">
        <v>337</v>
      </c>
      <c r="BB217" s="16">
        <f t="shared" si="92"/>
        <v>587</v>
      </c>
    </row>
    <row r="218" spans="1:54" s="18" customFormat="1" ht="15" customHeight="1">
      <c r="A218" s="94">
        <v>2010</v>
      </c>
      <c r="B218" s="95" t="s">
        <v>44</v>
      </c>
      <c r="C218" s="15">
        <f t="shared" si="81"/>
        <v>0.80325218714340052</v>
      </c>
      <c r="D218" s="15">
        <f t="shared" si="82"/>
        <v>0.83435401027261957</v>
      </c>
      <c r="E218" s="15">
        <f t="shared" si="83"/>
        <v>0.96272346899961958</v>
      </c>
      <c r="F218" s="16">
        <f>+Tabla2[[#This Row],[Trenes Programados por Día Hábil]]+Tabla9[[#This Row],[Trenes Programados por Día Hábil]]+Tabla10[[#This Row],[Trenes Programados por Día Hábil]]</f>
        <v>0</v>
      </c>
      <c r="G218" s="33">
        <f>+(Tabla2[[#This Row],[Coches por Tren Día Hábil]]*Tabla2[[#This Row],[Trenes Corridos]]+Tabla9[[#This Row],[Coches por Tren Día Hábil]]*Tabla9[[#This Row],[Trenes Corridos]]+Tabla10[[#This Row],[Coches por Tren Día Hábil]]*Tabla10[[#This Row],[Trenes Corridos]])/SARM[[#This Row],[Trenes Corridos]]</f>
        <v>0</v>
      </c>
      <c r="H218" s="16">
        <f t="shared" si="84"/>
        <v>10516</v>
      </c>
      <c r="I218" s="16">
        <f t="shared" si="64"/>
        <v>392</v>
      </c>
      <c r="J218" s="16">
        <f t="shared" si="86"/>
        <v>10124</v>
      </c>
      <c r="K218" s="16">
        <f t="shared" si="85"/>
        <v>8447</v>
      </c>
      <c r="L218" s="16">
        <f t="shared" si="65"/>
        <v>1677</v>
      </c>
      <c r="M218" s="16"/>
      <c r="N218" s="17"/>
      <c r="O218" s="94">
        <v>2010</v>
      </c>
      <c r="P218" s="95" t="s">
        <v>44</v>
      </c>
      <c r="Q218" s="15">
        <f t="shared" si="66"/>
        <v>0.85185614849187941</v>
      </c>
      <c r="R218" s="15">
        <f t="shared" si="67"/>
        <v>0.88013903871509047</v>
      </c>
      <c r="S218" s="15">
        <f t="shared" si="68"/>
        <v>0.96786542923433871</v>
      </c>
      <c r="T218" s="16"/>
      <c r="U218" s="16"/>
      <c r="V218" s="16">
        <v>8620</v>
      </c>
      <c r="W218" s="16">
        <f t="shared" si="87"/>
        <v>277</v>
      </c>
      <c r="X218" s="16">
        <v>8343</v>
      </c>
      <c r="Y218" s="16">
        <v>7343</v>
      </c>
      <c r="Z218" s="16">
        <f t="shared" si="88"/>
        <v>1000</v>
      </c>
      <c r="AA218" s="16"/>
      <c r="AB218" s="17"/>
      <c r="AC218" s="94">
        <v>2010</v>
      </c>
      <c r="AD218" s="95" t="s">
        <v>44</v>
      </c>
      <c r="AE218" s="15">
        <f t="shared" si="71"/>
        <v>0.82094594594594594</v>
      </c>
      <c r="AF218" s="15">
        <f t="shared" si="72"/>
        <v>0.86476868327402134</v>
      </c>
      <c r="AG218" s="15">
        <f t="shared" si="73"/>
        <v>0.94932432432432434</v>
      </c>
      <c r="AH218" s="16"/>
      <c r="AI218" s="16"/>
      <c r="AJ218" s="16">
        <v>888</v>
      </c>
      <c r="AK218" s="16">
        <f t="shared" si="89"/>
        <v>45</v>
      </c>
      <c r="AL218" s="16">
        <v>843</v>
      </c>
      <c r="AM218" s="16">
        <v>729</v>
      </c>
      <c r="AN218" s="16">
        <f t="shared" si="90"/>
        <v>114</v>
      </c>
      <c r="AO218" s="16"/>
      <c r="AP218" s="17"/>
      <c r="AQ218" s="94">
        <v>2010</v>
      </c>
      <c r="AR218" s="95" t="s">
        <v>44</v>
      </c>
      <c r="AS218" s="15">
        <f t="shared" si="76"/>
        <v>0.37202380952380953</v>
      </c>
      <c r="AT218" s="15">
        <f t="shared" si="77"/>
        <v>0.39978678038379528</v>
      </c>
      <c r="AU218" s="15">
        <f t="shared" si="78"/>
        <v>0.93055555555555558</v>
      </c>
      <c r="AV218" s="16"/>
      <c r="AW218" s="16"/>
      <c r="AX218" s="16">
        <v>1008</v>
      </c>
      <c r="AY218" s="16">
        <f t="shared" si="91"/>
        <v>70</v>
      </c>
      <c r="AZ218" s="16">
        <v>938</v>
      </c>
      <c r="BA218" s="16">
        <v>375</v>
      </c>
      <c r="BB218" s="16">
        <f t="shared" si="92"/>
        <v>563</v>
      </c>
    </row>
    <row r="219" spans="1:54" s="18" customFormat="1" ht="15" customHeight="1">
      <c r="A219" s="96">
        <v>2010</v>
      </c>
      <c r="B219" s="97" t="s">
        <v>45</v>
      </c>
      <c r="C219" s="15">
        <f t="shared" si="81"/>
        <v>0.81228801240430271</v>
      </c>
      <c r="D219" s="15">
        <f t="shared" si="82"/>
        <v>0.85802026819531174</v>
      </c>
      <c r="E219" s="15">
        <f t="shared" si="83"/>
        <v>0.94670026165326093</v>
      </c>
      <c r="F219" s="16">
        <f>+Tabla2[[#This Row],[Trenes Programados por Día Hábil]]+Tabla9[[#This Row],[Trenes Programados por Día Hábil]]+Tabla10[[#This Row],[Trenes Programados por Día Hábil]]</f>
        <v>0</v>
      </c>
      <c r="G219" s="33">
        <f>+(Tabla2[[#This Row],[Coches por Tren Día Hábil]]*Tabla2[[#This Row],[Trenes Corridos]]+Tabla9[[#This Row],[Coches por Tren Día Hábil]]*Tabla9[[#This Row],[Trenes Corridos]]+Tabla10[[#This Row],[Coches por Tren Día Hábil]]*Tabla10[[#This Row],[Trenes Corridos]])/SARM[[#This Row],[Trenes Corridos]]</f>
        <v>0</v>
      </c>
      <c r="H219" s="16">
        <f t="shared" si="84"/>
        <v>10319</v>
      </c>
      <c r="I219" s="16">
        <f t="shared" si="64"/>
        <v>550</v>
      </c>
      <c r="J219" s="16">
        <f t="shared" si="86"/>
        <v>9769</v>
      </c>
      <c r="K219" s="16">
        <f t="shared" si="85"/>
        <v>8382</v>
      </c>
      <c r="L219" s="16">
        <f t="shared" si="65"/>
        <v>1387</v>
      </c>
      <c r="M219" s="16"/>
      <c r="N219" s="17"/>
      <c r="O219" s="96">
        <v>2010</v>
      </c>
      <c r="P219" s="97" t="s">
        <v>45</v>
      </c>
      <c r="Q219" s="15">
        <f t="shared" si="66"/>
        <v>0.84502020442120274</v>
      </c>
      <c r="R219" s="15">
        <f t="shared" si="67"/>
        <v>0.88509896676210631</v>
      </c>
      <c r="S219" s="15">
        <f t="shared" si="68"/>
        <v>0.95471832659852629</v>
      </c>
      <c r="T219" s="16"/>
      <c r="U219" s="16"/>
      <c r="V219" s="16">
        <v>8414</v>
      </c>
      <c r="W219" s="16">
        <f t="shared" si="87"/>
        <v>381</v>
      </c>
      <c r="X219" s="16">
        <v>8033</v>
      </c>
      <c r="Y219" s="16">
        <v>7110</v>
      </c>
      <c r="Z219" s="16">
        <f t="shared" si="88"/>
        <v>923</v>
      </c>
      <c r="AA219" s="16"/>
      <c r="AB219" s="17"/>
      <c r="AC219" s="96">
        <v>2010</v>
      </c>
      <c r="AD219" s="97" t="s">
        <v>45</v>
      </c>
      <c r="AE219" s="15">
        <f t="shared" si="71"/>
        <v>0.80218579234972676</v>
      </c>
      <c r="AF219" s="15">
        <f t="shared" si="72"/>
        <v>0.85747663551401865</v>
      </c>
      <c r="AG219" s="15">
        <f t="shared" si="73"/>
        <v>0.93551912568306006</v>
      </c>
      <c r="AH219" s="16"/>
      <c r="AI219" s="16"/>
      <c r="AJ219" s="16">
        <v>915</v>
      </c>
      <c r="AK219" s="16">
        <f t="shared" si="89"/>
        <v>59</v>
      </c>
      <c r="AL219" s="16">
        <v>856</v>
      </c>
      <c r="AM219" s="16">
        <v>734</v>
      </c>
      <c r="AN219" s="16">
        <f t="shared" si="90"/>
        <v>122</v>
      </c>
      <c r="AO219" s="16"/>
      <c r="AP219" s="17"/>
      <c r="AQ219" s="96">
        <v>2010</v>
      </c>
      <c r="AR219" s="97" t="s">
        <v>45</v>
      </c>
      <c r="AS219" s="15">
        <f t="shared" si="76"/>
        <v>0.54343434343434338</v>
      </c>
      <c r="AT219" s="15">
        <f t="shared" si="77"/>
        <v>0.61136363636363633</v>
      </c>
      <c r="AU219" s="15">
        <f t="shared" si="78"/>
        <v>0.88888888888888884</v>
      </c>
      <c r="AV219" s="16"/>
      <c r="AW219" s="16"/>
      <c r="AX219" s="16">
        <v>990</v>
      </c>
      <c r="AY219" s="16">
        <f t="shared" si="91"/>
        <v>110</v>
      </c>
      <c r="AZ219" s="16">
        <v>880</v>
      </c>
      <c r="BA219" s="16">
        <v>538</v>
      </c>
      <c r="BB219" s="16">
        <f t="shared" si="92"/>
        <v>342</v>
      </c>
    </row>
    <row r="220" spans="1:54" s="18" customFormat="1" ht="15" customHeight="1">
      <c r="A220" s="94">
        <v>2010</v>
      </c>
      <c r="B220" s="95" t="s">
        <v>46</v>
      </c>
      <c r="C220" s="15">
        <f t="shared" si="81"/>
        <v>0.79625156989662838</v>
      </c>
      <c r="D220" s="15">
        <f t="shared" si="82"/>
        <v>0.83743141637878482</v>
      </c>
      <c r="E220" s="15">
        <f t="shared" si="83"/>
        <v>0.95082600714906773</v>
      </c>
      <c r="F220" s="16">
        <f>+Tabla2[[#This Row],[Trenes Programados por Día Hábil]]+Tabla9[[#This Row],[Trenes Programados por Día Hábil]]+Tabla10[[#This Row],[Trenes Programados por Día Hábil]]</f>
        <v>0</v>
      </c>
      <c r="G220" s="33">
        <f>+(Tabla2[[#This Row],[Coches por Tren Día Hábil]]*Tabla2[[#This Row],[Trenes Corridos]]+Tabla9[[#This Row],[Coches por Tren Día Hábil]]*Tabla9[[#This Row],[Trenes Corridos]]+Tabla10[[#This Row],[Coches por Tren Día Hábil]]*Tabla10[[#This Row],[Trenes Corridos]])/SARM[[#This Row],[Trenes Corridos]]</f>
        <v>0</v>
      </c>
      <c r="H220" s="16">
        <f t="shared" si="84"/>
        <v>10351</v>
      </c>
      <c r="I220" s="16">
        <f t="shared" si="64"/>
        <v>509</v>
      </c>
      <c r="J220" s="16">
        <f t="shared" si="86"/>
        <v>9842</v>
      </c>
      <c r="K220" s="16">
        <f t="shared" si="85"/>
        <v>8242</v>
      </c>
      <c r="L220" s="16">
        <f t="shared" si="65"/>
        <v>1600</v>
      </c>
      <c r="M220" s="16"/>
      <c r="N220" s="17"/>
      <c r="O220" s="94">
        <v>2010</v>
      </c>
      <c r="P220" s="95" t="s">
        <v>46</v>
      </c>
      <c r="Q220" s="15">
        <f t="shared" si="66"/>
        <v>0.8352413548920099</v>
      </c>
      <c r="R220" s="15">
        <f t="shared" si="67"/>
        <v>0.86537050623624356</v>
      </c>
      <c r="S220" s="15">
        <f t="shared" si="68"/>
        <v>0.96518352413548925</v>
      </c>
      <c r="T220" s="16"/>
      <c r="U220" s="16"/>
      <c r="V220" s="16">
        <v>8473</v>
      </c>
      <c r="W220" s="16">
        <f t="shared" si="87"/>
        <v>295</v>
      </c>
      <c r="X220" s="16">
        <v>8178</v>
      </c>
      <c r="Y220" s="16">
        <v>7077</v>
      </c>
      <c r="Z220" s="16">
        <f t="shared" si="88"/>
        <v>1101</v>
      </c>
      <c r="AA220" s="16"/>
      <c r="AB220" s="17"/>
      <c r="AC220" s="94">
        <v>2010</v>
      </c>
      <c r="AD220" s="95" t="s">
        <v>46</v>
      </c>
      <c r="AE220" s="15">
        <f t="shared" si="71"/>
        <v>0.67567567567567566</v>
      </c>
      <c r="AF220" s="15">
        <f t="shared" si="72"/>
        <v>0.75853350189633373</v>
      </c>
      <c r="AG220" s="15">
        <f t="shared" si="73"/>
        <v>0.89076576576576572</v>
      </c>
      <c r="AH220" s="16"/>
      <c r="AI220" s="16"/>
      <c r="AJ220" s="16">
        <v>888</v>
      </c>
      <c r="AK220" s="16">
        <f t="shared" si="89"/>
        <v>97</v>
      </c>
      <c r="AL220" s="16">
        <v>791</v>
      </c>
      <c r="AM220" s="16">
        <v>600</v>
      </c>
      <c r="AN220" s="16">
        <f t="shared" si="90"/>
        <v>191</v>
      </c>
      <c r="AO220" s="16"/>
      <c r="AP220" s="17"/>
      <c r="AQ220" s="94">
        <v>2010</v>
      </c>
      <c r="AR220" s="95" t="s">
        <v>46</v>
      </c>
      <c r="AS220" s="15">
        <f t="shared" si="76"/>
        <v>0.57070707070707072</v>
      </c>
      <c r="AT220" s="15">
        <f t="shared" si="77"/>
        <v>0.64719358533791527</v>
      </c>
      <c r="AU220" s="15">
        <f t="shared" si="78"/>
        <v>0.88181818181818183</v>
      </c>
      <c r="AV220" s="16"/>
      <c r="AW220" s="16"/>
      <c r="AX220" s="16">
        <v>990</v>
      </c>
      <c r="AY220" s="16">
        <f t="shared" si="91"/>
        <v>117</v>
      </c>
      <c r="AZ220" s="16">
        <v>873</v>
      </c>
      <c r="BA220" s="16">
        <v>565</v>
      </c>
      <c r="BB220" s="16">
        <f t="shared" si="92"/>
        <v>308</v>
      </c>
    </row>
    <row r="221" spans="1:54" s="18" customFormat="1" ht="15" customHeight="1">
      <c r="A221" s="96">
        <v>2010</v>
      </c>
      <c r="B221" s="97" t="s">
        <v>47</v>
      </c>
      <c r="C221" s="15">
        <f t="shared" si="81"/>
        <v>0.74380630630630629</v>
      </c>
      <c r="D221" s="15">
        <f t="shared" si="82"/>
        <v>0.80369093490164267</v>
      </c>
      <c r="E221" s="15">
        <f t="shared" si="83"/>
        <v>0.92548798798798804</v>
      </c>
      <c r="F221" s="16">
        <f>+Tabla2[[#This Row],[Trenes Programados por Día Hábil]]+Tabla9[[#This Row],[Trenes Programados por Día Hábil]]+Tabla10[[#This Row],[Trenes Programados por Día Hábil]]</f>
        <v>0</v>
      </c>
      <c r="G221" s="33">
        <f>+(Tabla2[[#This Row],[Coches por Tren Día Hábil]]*Tabla2[[#This Row],[Trenes Corridos]]+Tabla9[[#This Row],[Coches por Tren Día Hábil]]*Tabla9[[#This Row],[Trenes Corridos]]+Tabla10[[#This Row],[Coches por Tren Día Hábil]]*Tabla10[[#This Row],[Trenes Corridos]])/SARM[[#This Row],[Trenes Corridos]]</f>
        <v>0</v>
      </c>
      <c r="H221" s="16">
        <f t="shared" si="84"/>
        <v>10656</v>
      </c>
      <c r="I221" s="16">
        <f t="shared" si="64"/>
        <v>794</v>
      </c>
      <c r="J221" s="16">
        <f t="shared" si="86"/>
        <v>9862</v>
      </c>
      <c r="K221" s="16">
        <f t="shared" si="85"/>
        <v>7926</v>
      </c>
      <c r="L221" s="16">
        <f t="shared" si="65"/>
        <v>1936</v>
      </c>
      <c r="M221" s="16"/>
      <c r="N221" s="25"/>
      <c r="O221" s="96">
        <v>2010</v>
      </c>
      <c r="P221" s="97" t="s">
        <v>47</v>
      </c>
      <c r="Q221" s="15">
        <f t="shared" si="66"/>
        <v>0.76807608571101182</v>
      </c>
      <c r="R221" s="15">
        <f t="shared" si="67"/>
        <v>0.81893708002443499</v>
      </c>
      <c r="S221" s="15">
        <f t="shared" si="68"/>
        <v>0.93789389251747446</v>
      </c>
      <c r="T221" s="16"/>
      <c r="U221" s="16"/>
      <c r="V221" s="16">
        <v>8727</v>
      </c>
      <c r="W221" s="16">
        <f t="shared" si="87"/>
        <v>542</v>
      </c>
      <c r="X221" s="16">
        <v>8185</v>
      </c>
      <c r="Y221" s="16">
        <v>6703</v>
      </c>
      <c r="Z221" s="16">
        <f t="shared" si="88"/>
        <v>1482</v>
      </c>
      <c r="AA221" s="16"/>
      <c r="AB221" s="17"/>
      <c r="AC221" s="96">
        <v>2010</v>
      </c>
      <c r="AD221" s="97" t="s">
        <v>47</v>
      </c>
      <c r="AE221" s="15">
        <f t="shared" si="71"/>
        <v>0.67209554831704665</v>
      </c>
      <c r="AF221" s="15">
        <f t="shared" si="72"/>
        <v>0.7484885126964933</v>
      </c>
      <c r="AG221" s="15">
        <f t="shared" si="73"/>
        <v>0.89793702497285555</v>
      </c>
      <c r="AH221" s="16"/>
      <c r="AI221" s="16"/>
      <c r="AJ221" s="16">
        <v>921</v>
      </c>
      <c r="AK221" s="16">
        <f t="shared" si="89"/>
        <v>94</v>
      </c>
      <c r="AL221" s="16">
        <v>827</v>
      </c>
      <c r="AM221" s="16">
        <v>619</v>
      </c>
      <c r="AN221" s="16">
        <f t="shared" si="90"/>
        <v>208</v>
      </c>
      <c r="AO221" s="16"/>
      <c r="AP221" s="17"/>
      <c r="AQ221" s="96">
        <v>2010</v>
      </c>
      <c r="AR221" s="97" t="s">
        <v>47</v>
      </c>
      <c r="AS221" s="15">
        <f t="shared" si="76"/>
        <v>0.59920634920634919</v>
      </c>
      <c r="AT221" s="15">
        <f t="shared" si="77"/>
        <v>0.71058823529411763</v>
      </c>
      <c r="AU221" s="15">
        <f t="shared" si="78"/>
        <v>0.84325396825396826</v>
      </c>
      <c r="AV221" s="16"/>
      <c r="AW221" s="16"/>
      <c r="AX221" s="16">
        <v>1008</v>
      </c>
      <c r="AY221" s="16">
        <f t="shared" si="91"/>
        <v>158</v>
      </c>
      <c r="AZ221" s="16">
        <v>850</v>
      </c>
      <c r="BA221" s="16">
        <v>604</v>
      </c>
      <c r="BB221" s="16">
        <f t="shared" si="92"/>
        <v>246</v>
      </c>
    </row>
    <row r="222" spans="1:54" s="18" customFormat="1" ht="15" customHeight="1">
      <c r="A222" s="94">
        <v>2011</v>
      </c>
      <c r="B222" s="95" t="s">
        <v>36</v>
      </c>
      <c r="C222" s="15">
        <f t="shared" si="81"/>
        <v>0.74853358561967831</v>
      </c>
      <c r="D222" s="15">
        <f t="shared" si="82"/>
        <v>0.80553858684585622</v>
      </c>
      <c r="E222" s="15">
        <f t="shared" si="83"/>
        <v>0.92923368022705766</v>
      </c>
      <c r="F222" s="16">
        <f>+Tabla2[[#This Row],[Trenes Programados por Día Hábil]]+Tabla9[[#This Row],[Trenes Programados por Día Hábil]]+Tabla10[[#This Row],[Trenes Programados por Día Hábil]]</f>
        <v>0</v>
      </c>
      <c r="G222" s="33">
        <f>+(Tabla2[[#This Row],[Coches por Tren Día Hábil]]*Tabla2[[#This Row],[Trenes Corridos]]+Tabla9[[#This Row],[Coches por Tren Día Hábil]]*Tabla9[[#This Row],[Trenes Corridos]]+Tabla10[[#This Row],[Coches por Tren Día Hábil]]*Tabla10[[#This Row],[Trenes Corridos]])/SARM[[#This Row],[Trenes Corridos]]</f>
        <v>0</v>
      </c>
      <c r="H222" s="16">
        <f t="shared" si="84"/>
        <v>10570</v>
      </c>
      <c r="I222" s="16">
        <f t="shared" si="64"/>
        <v>748</v>
      </c>
      <c r="J222" s="16">
        <f t="shared" si="86"/>
        <v>9822</v>
      </c>
      <c r="K222" s="16">
        <f t="shared" si="85"/>
        <v>7912</v>
      </c>
      <c r="L222" s="16">
        <f t="shared" si="65"/>
        <v>1910</v>
      </c>
      <c r="M222" s="16"/>
      <c r="N222" s="17"/>
      <c r="O222" s="94">
        <v>2011</v>
      </c>
      <c r="P222" s="95" t="s">
        <v>36</v>
      </c>
      <c r="Q222" s="15">
        <f t="shared" si="66"/>
        <v>0.77452568255437293</v>
      </c>
      <c r="R222" s="15">
        <f t="shared" si="67"/>
        <v>0.83054211636273412</v>
      </c>
      <c r="S222" s="15">
        <f t="shared" si="68"/>
        <v>0.93255437297547428</v>
      </c>
      <c r="T222" s="16"/>
      <c r="U222" s="16"/>
      <c r="V222" s="16">
        <v>8644</v>
      </c>
      <c r="W222" s="16">
        <f t="shared" ref="W222:W233" si="93">V222-X222</f>
        <v>583</v>
      </c>
      <c r="X222" s="16">
        <v>8061</v>
      </c>
      <c r="Y222" s="16">
        <v>6695</v>
      </c>
      <c r="Z222" s="16">
        <f t="shared" ref="Z222:Z233" si="94">X222-Y222</f>
        <v>1366</v>
      </c>
      <c r="AA222" s="16"/>
      <c r="AB222" s="17"/>
      <c r="AC222" s="94">
        <v>2011</v>
      </c>
      <c r="AD222" s="95" t="s">
        <v>36</v>
      </c>
      <c r="AE222" s="15">
        <f t="shared" si="71"/>
        <v>0.7570806100217865</v>
      </c>
      <c r="AF222" s="15">
        <f t="shared" si="72"/>
        <v>0.80161476355247985</v>
      </c>
      <c r="AG222" s="15">
        <f t="shared" si="73"/>
        <v>0.94444444444444442</v>
      </c>
      <c r="AH222" s="16"/>
      <c r="AI222" s="16"/>
      <c r="AJ222" s="16">
        <v>918</v>
      </c>
      <c r="AK222" s="16">
        <f t="shared" ref="AK222:AK233" si="95">AJ222-AL222</f>
        <v>51</v>
      </c>
      <c r="AL222" s="16">
        <v>867</v>
      </c>
      <c r="AM222" s="16">
        <v>695</v>
      </c>
      <c r="AN222" s="16">
        <f t="shared" ref="AN222:AN233" si="96">AL222-AM222</f>
        <v>172</v>
      </c>
      <c r="AO222" s="16"/>
      <c r="AP222" s="17"/>
      <c r="AQ222" s="94">
        <v>2011</v>
      </c>
      <c r="AR222" s="95" t="s">
        <v>36</v>
      </c>
      <c r="AS222" s="15">
        <f t="shared" si="76"/>
        <v>0.5178571428571429</v>
      </c>
      <c r="AT222" s="15">
        <f t="shared" si="77"/>
        <v>0.58389261744966447</v>
      </c>
      <c r="AU222" s="15">
        <f t="shared" si="78"/>
        <v>0.88690476190476186</v>
      </c>
      <c r="AV222" s="16"/>
      <c r="AW222" s="16"/>
      <c r="AX222" s="16">
        <v>1008</v>
      </c>
      <c r="AY222" s="16">
        <f t="shared" ref="AY222:AY233" si="97">AX222-AZ222</f>
        <v>114</v>
      </c>
      <c r="AZ222" s="16">
        <v>894</v>
      </c>
      <c r="BA222" s="16">
        <v>522</v>
      </c>
      <c r="BB222" s="16">
        <f t="shared" ref="BB222:BB233" si="98">AZ222-BA222</f>
        <v>372</v>
      </c>
    </row>
    <row r="223" spans="1:54" s="18" customFormat="1" ht="15" customHeight="1">
      <c r="A223" s="96">
        <v>2011</v>
      </c>
      <c r="B223" s="97" t="s">
        <v>37</v>
      </c>
      <c r="C223" s="15">
        <f t="shared" si="81"/>
        <v>0.65777595404185474</v>
      </c>
      <c r="D223" s="15">
        <f t="shared" si="82"/>
        <v>0.72780930760499429</v>
      </c>
      <c r="E223" s="15">
        <f t="shared" si="83"/>
        <v>0.90377513336068938</v>
      </c>
      <c r="F223" s="16">
        <f>+Tabla2[[#This Row],[Trenes Programados por Día Hábil]]+Tabla9[[#This Row],[Trenes Programados por Día Hábil]]+Tabla10[[#This Row],[Trenes Programados por Día Hábil]]</f>
        <v>0</v>
      </c>
      <c r="G223" s="33">
        <f>+(Tabla2[[#This Row],[Coches por Tren Día Hábil]]*Tabla2[[#This Row],[Trenes Corridos]]+Tabla9[[#This Row],[Coches por Tren Día Hábil]]*Tabla9[[#This Row],[Trenes Corridos]]+Tabla10[[#This Row],[Coches por Tren Día Hábil]]*Tabla10[[#This Row],[Trenes Corridos]])/SARM[[#This Row],[Trenes Corridos]]</f>
        <v>0</v>
      </c>
      <c r="H223" s="16">
        <f t="shared" si="84"/>
        <v>9748</v>
      </c>
      <c r="I223" s="16">
        <f t="shared" si="64"/>
        <v>938</v>
      </c>
      <c r="J223" s="16">
        <f t="shared" si="86"/>
        <v>8810</v>
      </c>
      <c r="K223" s="16">
        <f t="shared" si="85"/>
        <v>6412</v>
      </c>
      <c r="L223" s="16">
        <f t="shared" si="65"/>
        <v>2398</v>
      </c>
      <c r="M223" s="16"/>
      <c r="N223" s="17"/>
      <c r="O223" s="96">
        <v>2011</v>
      </c>
      <c r="P223" s="97" t="s">
        <v>37</v>
      </c>
      <c r="Q223" s="15">
        <f t="shared" si="66"/>
        <v>0.69877254509018039</v>
      </c>
      <c r="R223" s="15">
        <f t="shared" si="67"/>
        <v>0.7663461538461539</v>
      </c>
      <c r="S223" s="15">
        <f t="shared" si="68"/>
        <v>0.9118236472945892</v>
      </c>
      <c r="T223" s="16"/>
      <c r="U223" s="16"/>
      <c r="V223" s="16">
        <v>7984</v>
      </c>
      <c r="W223" s="16">
        <f t="shared" si="93"/>
        <v>704</v>
      </c>
      <c r="X223" s="16">
        <v>7280</v>
      </c>
      <c r="Y223" s="16">
        <v>5579</v>
      </c>
      <c r="Z223" s="16">
        <f t="shared" si="94"/>
        <v>1701</v>
      </c>
      <c r="AA223" s="16"/>
      <c r="AB223" s="17"/>
      <c r="AC223" s="96">
        <v>2011</v>
      </c>
      <c r="AD223" s="97" t="s">
        <v>37</v>
      </c>
      <c r="AE223" s="15">
        <f t="shared" si="71"/>
        <v>0.64613526570048307</v>
      </c>
      <c r="AF223" s="15">
        <f t="shared" si="72"/>
        <v>0.71619812583668008</v>
      </c>
      <c r="AG223" s="15">
        <f t="shared" si="73"/>
        <v>0.90217391304347827</v>
      </c>
      <c r="AH223" s="16"/>
      <c r="AI223" s="16"/>
      <c r="AJ223" s="16">
        <v>828</v>
      </c>
      <c r="AK223" s="16">
        <f t="shared" si="95"/>
        <v>81</v>
      </c>
      <c r="AL223" s="16">
        <v>747</v>
      </c>
      <c r="AM223" s="16">
        <v>535</v>
      </c>
      <c r="AN223" s="16">
        <f t="shared" si="96"/>
        <v>212</v>
      </c>
      <c r="AO223" s="16"/>
      <c r="AP223" s="17"/>
      <c r="AQ223" s="96">
        <v>2011</v>
      </c>
      <c r="AR223" s="97" t="s">
        <v>37</v>
      </c>
      <c r="AS223" s="15">
        <f t="shared" si="76"/>
        <v>0.31837606837606836</v>
      </c>
      <c r="AT223" s="15">
        <f t="shared" si="77"/>
        <v>0.38058748403575987</v>
      </c>
      <c r="AU223" s="15">
        <f t="shared" si="78"/>
        <v>0.83653846153846156</v>
      </c>
      <c r="AV223" s="16"/>
      <c r="AW223" s="16"/>
      <c r="AX223" s="16">
        <v>936</v>
      </c>
      <c r="AY223" s="16">
        <f t="shared" si="97"/>
        <v>153</v>
      </c>
      <c r="AZ223" s="16">
        <v>783</v>
      </c>
      <c r="BA223" s="16">
        <v>298</v>
      </c>
      <c r="BB223" s="16">
        <f t="shared" si="98"/>
        <v>485</v>
      </c>
    </row>
    <row r="224" spans="1:54" s="18" customFormat="1" ht="15" customHeight="1">
      <c r="A224" s="94">
        <v>2011</v>
      </c>
      <c r="B224" s="95" t="s">
        <v>38</v>
      </c>
      <c r="C224" s="15">
        <f t="shared" si="81"/>
        <v>0.59628906250000002</v>
      </c>
      <c r="D224" s="15">
        <f t="shared" si="82"/>
        <v>0.68292137344816017</v>
      </c>
      <c r="E224" s="15">
        <f t="shared" si="83"/>
        <v>0.87314453125000002</v>
      </c>
      <c r="F224" s="16">
        <f>+Tabla2[[#This Row],[Trenes Programados por Día Hábil]]+Tabla9[[#This Row],[Trenes Programados por Día Hábil]]+Tabla10[[#This Row],[Trenes Programados por Día Hábil]]</f>
        <v>0</v>
      </c>
      <c r="G224" s="33">
        <f>+(Tabla2[[#This Row],[Coches por Tren Día Hábil]]*Tabla2[[#This Row],[Trenes Corridos]]+Tabla9[[#This Row],[Coches por Tren Día Hábil]]*Tabla9[[#This Row],[Trenes Corridos]]+Tabla10[[#This Row],[Coches por Tren Día Hábil]]*Tabla10[[#This Row],[Trenes Corridos]])/SARM[[#This Row],[Trenes Corridos]]</f>
        <v>0</v>
      </c>
      <c r="H224" s="16">
        <f t="shared" si="84"/>
        <v>10240</v>
      </c>
      <c r="I224" s="16">
        <f t="shared" si="64"/>
        <v>1299</v>
      </c>
      <c r="J224" s="16">
        <f t="shared" si="86"/>
        <v>8941</v>
      </c>
      <c r="K224" s="16">
        <f t="shared" si="85"/>
        <v>6106</v>
      </c>
      <c r="L224" s="16">
        <f t="shared" si="65"/>
        <v>2835</v>
      </c>
      <c r="M224" s="16"/>
      <c r="N224" s="17"/>
      <c r="O224" s="94">
        <v>2011</v>
      </c>
      <c r="P224" s="95" t="s">
        <v>38</v>
      </c>
      <c r="Q224" s="15">
        <f t="shared" si="66"/>
        <v>0.62670658682634728</v>
      </c>
      <c r="R224" s="15">
        <f t="shared" si="67"/>
        <v>0.71245745405037442</v>
      </c>
      <c r="S224" s="15">
        <f t="shared" si="68"/>
        <v>0.87964071856287429</v>
      </c>
      <c r="T224" s="16"/>
      <c r="U224" s="16"/>
      <c r="V224" s="16">
        <v>8350</v>
      </c>
      <c r="W224" s="16">
        <f t="shared" si="93"/>
        <v>1005</v>
      </c>
      <c r="X224" s="16">
        <v>7345</v>
      </c>
      <c r="Y224" s="16">
        <v>5233</v>
      </c>
      <c r="Z224" s="16">
        <f t="shared" si="94"/>
        <v>2112</v>
      </c>
      <c r="AA224" s="16"/>
      <c r="AB224" s="17"/>
      <c r="AC224" s="94">
        <v>2011</v>
      </c>
      <c r="AD224" s="95" t="s">
        <v>38</v>
      </c>
      <c r="AE224" s="15">
        <f t="shared" si="71"/>
        <v>0.61873638344226578</v>
      </c>
      <c r="AF224" s="15">
        <f t="shared" si="72"/>
        <v>0.7055900621118012</v>
      </c>
      <c r="AG224" s="15">
        <f t="shared" si="73"/>
        <v>0.87690631808278863</v>
      </c>
      <c r="AH224" s="16"/>
      <c r="AI224" s="16"/>
      <c r="AJ224" s="16">
        <v>918</v>
      </c>
      <c r="AK224" s="16">
        <f t="shared" si="95"/>
        <v>113</v>
      </c>
      <c r="AL224" s="16">
        <v>805</v>
      </c>
      <c r="AM224" s="16">
        <v>568</v>
      </c>
      <c r="AN224" s="16">
        <f t="shared" si="96"/>
        <v>237</v>
      </c>
      <c r="AO224" s="16"/>
      <c r="AP224" s="17"/>
      <c r="AQ224" s="94">
        <v>2011</v>
      </c>
      <c r="AR224" s="95" t="s">
        <v>38</v>
      </c>
      <c r="AS224" s="15">
        <f t="shared" si="76"/>
        <v>0.31378600823045266</v>
      </c>
      <c r="AT224" s="15">
        <f t="shared" si="77"/>
        <v>0.38558786346396967</v>
      </c>
      <c r="AU224" s="15">
        <f t="shared" si="78"/>
        <v>0.81378600823045266</v>
      </c>
      <c r="AV224" s="16"/>
      <c r="AW224" s="16"/>
      <c r="AX224" s="16">
        <v>972</v>
      </c>
      <c r="AY224" s="16">
        <f t="shared" si="97"/>
        <v>181</v>
      </c>
      <c r="AZ224" s="16">
        <v>791</v>
      </c>
      <c r="BA224" s="16">
        <v>305</v>
      </c>
      <c r="BB224" s="16">
        <f t="shared" si="98"/>
        <v>486</v>
      </c>
    </row>
    <row r="225" spans="1:54" s="18" customFormat="1" ht="15" customHeight="1">
      <c r="A225" s="96">
        <v>2011</v>
      </c>
      <c r="B225" s="97" t="s">
        <v>39</v>
      </c>
      <c r="C225" s="15">
        <f t="shared" si="81"/>
        <v>0.3271156489299038</v>
      </c>
      <c r="D225" s="15">
        <f t="shared" si="82"/>
        <v>0.40688728782513128</v>
      </c>
      <c r="E225" s="15">
        <f t="shared" si="83"/>
        <v>0.80394659336343999</v>
      </c>
      <c r="F225" s="16">
        <f>+Tabla2[[#This Row],[Trenes Programados por Día Hábil]]+Tabla9[[#This Row],[Trenes Programados por Día Hábil]]+Tabla10[[#This Row],[Trenes Programados por Día Hábil]]</f>
        <v>0</v>
      </c>
      <c r="G225" s="33">
        <f>+(Tabla2[[#This Row],[Coches por Tren Día Hábil]]*Tabla2[[#This Row],[Trenes Corridos]]+Tabla9[[#This Row],[Coches por Tren Día Hábil]]*Tabla9[[#This Row],[Trenes Corridos]]+Tabla10[[#This Row],[Coches por Tren Día Hábil]]*Tabla10[[#This Row],[Trenes Corridos]])/SARM[[#This Row],[Trenes Corridos]]</f>
        <v>0</v>
      </c>
      <c r="H225" s="16">
        <f t="shared" si="84"/>
        <v>10186</v>
      </c>
      <c r="I225" s="16">
        <f t="shared" si="64"/>
        <v>1997</v>
      </c>
      <c r="J225" s="16">
        <f t="shared" si="86"/>
        <v>8189</v>
      </c>
      <c r="K225" s="16">
        <f t="shared" si="85"/>
        <v>3332</v>
      </c>
      <c r="L225" s="16">
        <f t="shared" si="65"/>
        <v>4857</v>
      </c>
      <c r="M225" s="16"/>
      <c r="N225" s="17"/>
      <c r="O225" s="96">
        <v>2011</v>
      </c>
      <c r="P225" s="97" t="s">
        <v>39</v>
      </c>
      <c r="Q225" s="15">
        <f t="shared" si="66"/>
        <v>0.33113139562815275</v>
      </c>
      <c r="R225" s="15">
        <f t="shared" si="67"/>
        <v>0.41848816029143898</v>
      </c>
      <c r="S225" s="15">
        <f t="shared" si="68"/>
        <v>0.79125630554888304</v>
      </c>
      <c r="T225" s="16"/>
      <c r="U225" s="16"/>
      <c r="V225" s="16">
        <v>8326</v>
      </c>
      <c r="W225" s="16">
        <f t="shared" si="93"/>
        <v>1738</v>
      </c>
      <c r="X225" s="16">
        <v>6588</v>
      </c>
      <c r="Y225" s="16">
        <v>2757</v>
      </c>
      <c r="Z225" s="16">
        <f t="shared" si="94"/>
        <v>3831</v>
      </c>
      <c r="AA225" s="16"/>
      <c r="AB225" s="17"/>
      <c r="AC225" s="96">
        <v>2011</v>
      </c>
      <c r="AD225" s="97" t="s">
        <v>39</v>
      </c>
      <c r="AE225" s="15">
        <f t="shared" si="71"/>
        <v>0.40427927927927926</v>
      </c>
      <c r="AF225" s="15">
        <f t="shared" si="72"/>
        <v>0.44540942928039701</v>
      </c>
      <c r="AG225" s="15">
        <f t="shared" si="73"/>
        <v>0.90765765765765771</v>
      </c>
      <c r="AH225" s="16"/>
      <c r="AI225" s="16"/>
      <c r="AJ225" s="16">
        <v>888</v>
      </c>
      <c r="AK225" s="16">
        <f t="shared" si="95"/>
        <v>82</v>
      </c>
      <c r="AL225" s="16">
        <v>806</v>
      </c>
      <c r="AM225" s="16">
        <v>359</v>
      </c>
      <c r="AN225" s="16">
        <f t="shared" si="96"/>
        <v>447</v>
      </c>
      <c r="AO225" s="16"/>
      <c r="AP225" s="17"/>
      <c r="AQ225" s="96">
        <v>2011</v>
      </c>
      <c r="AR225" s="97" t="s">
        <v>39</v>
      </c>
      <c r="AS225" s="15">
        <f t="shared" si="76"/>
        <v>0.22222222222222221</v>
      </c>
      <c r="AT225" s="15">
        <f t="shared" si="77"/>
        <v>0.27169811320754716</v>
      </c>
      <c r="AU225" s="15">
        <f t="shared" si="78"/>
        <v>0.8179012345679012</v>
      </c>
      <c r="AV225" s="16"/>
      <c r="AW225" s="16"/>
      <c r="AX225" s="16">
        <v>972</v>
      </c>
      <c r="AY225" s="16">
        <f t="shared" si="97"/>
        <v>177</v>
      </c>
      <c r="AZ225" s="16">
        <v>795</v>
      </c>
      <c r="BA225" s="16">
        <v>216</v>
      </c>
      <c r="BB225" s="16">
        <f t="shared" si="98"/>
        <v>579</v>
      </c>
    </row>
    <row r="226" spans="1:54" s="18" customFormat="1" ht="15" customHeight="1">
      <c r="A226" s="94">
        <v>2011</v>
      </c>
      <c r="B226" s="95" t="s">
        <v>40</v>
      </c>
      <c r="C226" s="15">
        <f t="shared" si="81"/>
        <v>0.52762535477767269</v>
      </c>
      <c r="D226" s="15">
        <f t="shared" si="82"/>
        <v>0.60187783293762143</v>
      </c>
      <c r="E226" s="15">
        <f t="shared" si="83"/>
        <v>0.87663197729422893</v>
      </c>
      <c r="F226" s="16">
        <f>+Tabla2[[#This Row],[Trenes Programados por Día Hábil]]+Tabla9[[#This Row],[Trenes Programados por Día Hábil]]+Tabla10[[#This Row],[Trenes Programados por Día Hábil]]</f>
        <v>0</v>
      </c>
      <c r="G226" s="33">
        <f>+(Tabla2[[#This Row],[Coches por Tren Día Hábil]]*Tabla2[[#This Row],[Trenes Corridos]]+Tabla9[[#This Row],[Coches por Tren Día Hábil]]*Tabla9[[#This Row],[Trenes Corridos]]+Tabla10[[#This Row],[Coches por Tren Día Hábil]]*Tabla10[[#This Row],[Trenes Corridos]])/SARM[[#This Row],[Trenes Corridos]]</f>
        <v>0</v>
      </c>
      <c r="H226" s="16">
        <f t="shared" si="84"/>
        <v>10570</v>
      </c>
      <c r="I226" s="16">
        <f t="shared" si="64"/>
        <v>1304</v>
      </c>
      <c r="J226" s="16">
        <f t="shared" si="86"/>
        <v>9266</v>
      </c>
      <c r="K226" s="16">
        <f t="shared" si="85"/>
        <v>5577</v>
      </c>
      <c r="L226" s="16">
        <f t="shared" si="65"/>
        <v>3689</v>
      </c>
      <c r="M226" s="16"/>
      <c r="N226" s="17"/>
      <c r="O226" s="94">
        <v>2011</v>
      </c>
      <c r="P226" s="95" t="s">
        <v>40</v>
      </c>
      <c r="Q226" s="15">
        <f t="shared" si="66"/>
        <v>0.57161036557149469</v>
      </c>
      <c r="R226" s="15">
        <f t="shared" si="67"/>
        <v>0.66038492381716118</v>
      </c>
      <c r="S226" s="15">
        <f t="shared" si="68"/>
        <v>0.86557149467838967</v>
      </c>
      <c r="T226" s="16"/>
      <c r="U226" s="16"/>
      <c r="V226" s="16">
        <v>8644</v>
      </c>
      <c r="W226" s="16">
        <f t="shared" si="93"/>
        <v>1162</v>
      </c>
      <c r="X226" s="16">
        <v>7482</v>
      </c>
      <c r="Y226" s="16">
        <v>4941</v>
      </c>
      <c r="Z226" s="16">
        <f t="shared" si="94"/>
        <v>2541</v>
      </c>
      <c r="AA226" s="16"/>
      <c r="AB226" s="17"/>
      <c r="AC226" s="94">
        <v>2011</v>
      </c>
      <c r="AD226" s="95" t="s">
        <v>40</v>
      </c>
      <c r="AE226" s="15">
        <f t="shared" si="71"/>
        <v>0.40196078431372551</v>
      </c>
      <c r="AF226" s="15">
        <f t="shared" si="72"/>
        <v>0.42757821552723058</v>
      </c>
      <c r="AG226" s="15">
        <f t="shared" si="73"/>
        <v>0.94008714596949894</v>
      </c>
      <c r="AH226" s="16"/>
      <c r="AI226" s="16"/>
      <c r="AJ226" s="16">
        <v>918</v>
      </c>
      <c r="AK226" s="16">
        <f t="shared" si="95"/>
        <v>55</v>
      </c>
      <c r="AL226" s="16">
        <v>863</v>
      </c>
      <c r="AM226" s="16">
        <v>369</v>
      </c>
      <c r="AN226" s="16">
        <f t="shared" si="96"/>
        <v>494</v>
      </c>
      <c r="AO226" s="16"/>
      <c r="AP226" s="17"/>
      <c r="AQ226" s="94">
        <v>2011</v>
      </c>
      <c r="AR226" s="95" t="s">
        <v>40</v>
      </c>
      <c r="AS226" s="15">
        <f t="shared" si="76"/>
        <v>0.26488095238095238</v>
      </c>
      <c r="AT226" s="15">
        <f t="shared" si="77"/>
        <v>0.28990228013029318</v>
      </c>
      <c r="AU226" s="15">
        <f t="shared" si="78"/>
        <v>0.91369047619047616</v>
      </c>
      <c r="AV226" s="16"/>
      <c r="AW226" s="16"/>
      <c r="AX226" s="16">
        <v>1008</v>
      </c>
      <c r="AY226" s="16">
        <f t="shared" si="97"/>
        <v>87</v>
      </c>
      <c r="AZ226" s="16">
        <v>921</v>
      </c>
      <c r="BA226" s="16">
        <v>267</v>
      </c>
      <c r="BB226" s="16">
        <f t="shared" si="98"/>
        <v>654</v>
      </c>
    </row>
    <row r="227" spans="1:54" s="18" customFormat="1" ht="15" customHeight="1">
      <c r="A227" s="96">
        <v>2011</v>
      </c>
      <c r="B227" s="97" t="s">
        <v>41</v>
      </c>
      <c r="C227" s="15">
        <f t="shared" si="81"/>
        <v>0.71828808810742928</v>
      </c>
      <c r="D227" s="15">
        <f t="shared" si="82"/>
        <v>0.77110557975523752</v>
      </c>
      <c r="E227" s="15">
        <f t="shared" si="83"/>
        <v>0.93150420249251276</v>
      </c>
      <c r="F227" s="16">
        <f>+Tabla2[[#This Row],[Trenes Programados por Día Hábil]]+Tabla9[[#This Row],[Trenes Programados por Día Hábil]]+Tabla10[[#This Row],[Trenes Programados por Día Hábil]]</f>
        <v>0</v>
      </c>
      <c r="G227" s="33">
        <f>+(Tabla2[[#This Row],[Coches por Tren Día Hábil]]*Tabla2[[#This Row],[Trenes Corridos]]+Tabla9[[#This Row],[Coches por Tren Día Hábil]]*Tabla9[[#This Row],[Trenes Corridos]]+Tabla10[[#This Row],[Coches por Tren Día Hábil]]*Tabla10[[#This Row],[Trenes Corridos]])/SARM[[#This Row],[Trenes Corridos]]</f>
        <v>0</v>
      </c>
      <c r="H227" s="16">
        <f t="shared" si="84"/>
        <v>10351</v>
      </c>
      <c r="I227" s="16">
        <f t="shared" si="64"/>
        <v>709</v>
      </c>
      <c r="J227" s="16">
        <f t="shared" si="86"/>
        <v>9642</v>
      </c>
      <c r="K227" s="16">
        <f t="shared" si="85"/>
        <v>7435</v>
      </c>
      <c r="L227" s="16">
        <f t="shared" si="65"/>
        <v>2207</v>
      </c>
      <c r="M227" s="16"/>
      <c r="N227" s="17"/>
      <c r="O227" s="96">
        <v>2011</v>
      </c>
      <c r="P227" s="97" t="s">
        <v>41</v>
      </c>
      <c r="Q227" s="15">
        <f t="shared" si="66"/>
        <v>0.76891301782131471</v>
      </c>
      <c r="R227" s="15">
        <f t="shared" si="67"/>
        <v>0.81929074446680084</v>
      </c>
      <c r="S227" s="15">
        <f t="shared" si="68"/>
        <v>0.93851056296471147</v>
      </c>
      <c r="T227" s="16"/>
      <c r="U227" s="16"/>
      <c r="V227" s="16">
        <v>8473</v>
      </c>
      <c r="W227" s="16">
        <f t="shared" si="93"/>
        <v>521</v>
      </c>
      <c r="X227" s="16">
        <v>7952</v>
      </c>
      <c r="Y227" s="16">
        <v>6515</v>
      </c>
      <c r="Z227" s="16">
        <f t="shared" si="94"/>
        <v>1437</v>
      </c>
      <c r="AA227" s="16"/>
      <c r="AB227" s="17"/>
      <c r="AC227" s="96">
        <v>2011</v>
      </c>
      <c r="AD227" s="97" t="s">
        <v>41</v>
      </c>
      <c r="AE227" s="15">
        <f t="shared" si="71"/>
        <v>0.625</v>
      </c>
      <c r="AF227" s="15">
        <f t="shared" si="72"/>
        <v>0.67354368932038833</v>
      </c>
      <c r="AG227" s="15">
        <f t="shared" si="73"/>
        <v>0.92792792792792789</v>
      </c>
      <c r="AH227" s="16"/>
      <c r="AI227" s="16"/>
      <c r="AJ227" s="16">
        <v>888</v>
      </c>
      <c r="AK227" s="16">
        <f t="shared" si="95"/>
        <v>64</v>
      </c>
      <c r="AL227" s="16">
        <v>824</v>
      </c>
      <c r="AM227" s="16">
        <v>555</v>
      </c>
      <c r="AN227" s="16">
        <f t="shared" si="96"/>
        <v>269</v>
      </c>
      <c r="AO227" s="16"/>
      <c r="AP227" s="17"/>
      <c r="AQ227" s="96">
        <v>2011</v>
      </c>
      <c r="AR227" s="97" t="s">
        <v>41</v>
      </c>
      <c r="AS227" s="15">
        <f t="shared" si="76"/>
        <v>0.36868686868686867</v>
      </c>
      <c r="AT227" s="15">
        <f t="shared" si="77"/>
        <v>0.42147806004618937</v>
      </c>
      <c r="AU227" s="15">
        <f t="shared" si="78"/>
        <v>0.87474747474747472</v>
      </c>
      <c r="AV227" s="16"/>
      <c r="AW227" s="16"/>
      <c r="AX227" s="16">
        <v>990</v>
      </c>
      <c r="AY227" s="16">
        <f t="shared" si="97"/>
        <v>124</v>
      </c>
      <c r="AZ227" s="16">
        <v>866</v>
      </c>
      <c r="BA227" s="16">
        <v>365</v>
      </c>
      <c r="BB227" s="16">
        <f t="shared" si="98"/>
        <v>501</v>
      </c>
    </row>
    <row r="228" spans="1:54" s="18" customFormat="1" ht="15" customHeight="1">
      <c r="A228" s="94">
        <v>2011</v>
      </c>
      <c r="B228" s="95" t="s">
        <v>42</v>
      </c>
      <c r="C228" s="15">
        <f t="shared" si="81"/>
        <v>0.66764427625354783</v>
      </c>
      <c r="D228" s="15">
        <f t="shared" si="82"/>
        <v>0.75298762270593256</v>
      </c>
      <c r="E228" s="15">
        <f t="shared" si="83"/>
        <v>0.88666035950804167</v>
      </c>
      <c r="F228" s="16">
        <f>+Tabla2[[#This Row],[Trenes Programados por Día Hábil]]+Tabla9[[#This Row],[Trenes Programados por Día Hábil]]+Tabla10[[#This Row],[Trenes Programados por Día Hábil]]</f>
        <v>0</v>
      </c>
      <c r="G228" s="33">
        <f>+(Tabla2[[#This Row],[Coches por Tren Día Hábil]]*Tabla2[[#This Row],[Trenes Corridos]]+Tabla9[[#This Row],[Coches por Tren Día Hábil]]*Tabla9[[#This Row],[Trenes Corridos]]+Tabla10[[#This Row],[Coches por Tren Día Hábil]]*Tabla10[[#This Row],[Trenes Corridos]])/SARM[[#This Row],[Trenes Corridos]]</f>
        <v>0</v>
      </c>
      <c r="H228" s="16">
        <f t="shared" si="84"/>
        <v>10570</v>
      </c>
      <c r="I228" s="16">
        <f t="shared" si="64"/>
        <v>1198</v>
      </c>
      <c r="J228" s="16">
        <f t="shared" si="86"/>
        <v>9372</v>
      </c>
      <c r="K228" s="16">
        <f t="shared" si="85"/>
        <v>7057</v>
      </c>
      <c r="L228" s="16">
        <f t="shared" si="65"/>
        <v>2315</v>
      </c>
      <c r="M228" s="16"/>
      <c r="N228" s="17"/>
      <c r="O228" s="94">
        <v>2011</v>
      </c>
      <c r="P228" s="95" t="s">
        <v>42</v>
      </c>
      <c r="Q228" s="15">
        <f t="shared" si="66"/>
        <v>0.71575659416936599</v>
      </c>
      <c r="R228" s="15">
        <f t="shared" si="67"/>
        <v>0.78915816326530608</v>
      </c>
      <c r="S228" s="15">
        <f t="shared" si="68"/>
        <v>0.90698750578435905</v>
      </c>
      <c r="T228" s="16"/>
      <c r="U228" s="16"/>
      <c r="V228" s="16">
        <v>8644</v>
      </c>
      <c r="W228" s="16">
        <f t="shared" si="93"/>
        <v>804</v>
      </c>
      <c r="X228" s="16">
        <v>7840</v>
      </c>
      <c r="Y228" s="16">
        <v>6187</v>
      </c>
      <c r="Z228" s="16">
        <f t="shared" si="94"/>
        <v>1653</v>
      </c>
      <c r="AA228" s="16"/>
      <c r="AB228" s="17"/>
      <c r="AC228" s="94">
        <v>2011</v>
      </c>
      <c r="AD228" s="95" t="s">
        <v>42</v>
      </c>
      <c r="AE228" s="15">
        <f t="shared" si="71"/>
        <v>0.56862745098039214</v>
      </c>
      <c r="AF228" s="15">
        <f t="shared" si="72"/>
        <v>0.64844720496894415</v>
      </c>
      <c r="AG228" s="15">
        <f t="shared" si="73"/>
        <v>0.87690631808278863</v>
      </c>
      <c r="AH228" s="16"/>
      <c r="AI228" s="16"/>
      <c r="AJ228" s="16">
        <v>918</v>
      </c>
      <c r="AK228" s="16">
        <f t="shared" si="95"/>
        <v>113</v>
      </c>
      <c r="AL228" s="16">
        <v>805</v>
      </c>
      <c r="AM228" s="16">
        <v>522</v>
      </c>
      <c r="AN228" s="16">
        <f t="shared" si="96"/>
        <v>283</v>
      </c>
      <c r="AO228" s="16"/>
      <c r="AP228" s="17"/>
      <c r="AQ228" s="94">
        <v>2011</v>
      </c>
      <c r="AR228" s="95" t="s">
        <v>42</v>
      </c>
      <c r="AS228" s="15">
        <f t="shared" si="76"/>
        <v>0.34523809523809523</v>
      </c>
      <c r="AT228" s="15">
        <f t="shared" si="77"/>
        <v>0.47867950481430538</v>
      </c>
      <c r="AU228" s="15">
        <f t="shared" si="78"/>
        <v>0.72123015873015872</v>
      </c>
      <c r="AV228" s="16"/>
      <c r="AW228" s="16"/>
      <c r="AX228" s="16">
        <v>1008</v>
      </c>
      <c r="AY228" s="16">
        <f t="shared" si="97"/>
        <v>281</v>
      </c>
      <c r="AZ228" s="16">
        <v>727</v>
      </c>
      <c r="BA228" s="16">
        <v>348</v>
      </c>
      <c r="BB228" s="16">
        <f t="shared" si="98"/>
        <v>379</v>
      </c>
    </row>
    <row r="229" spans="1:54" s="18" customFormat="1" ht="15" customHeight="1">
      <c r="A229" s="96">
        <v>2011</v>
      </c>
      <c r="B229" s="97" t="s">
        <v>43</v>
      </c>
      <c r="C229" s="15">
        <f t="shared" si="81"/>
        <v>0.67312529110386587</v>
      </c>
      <c r="D229" s="15">
        <f t="shared" si="82"/>
        <v>0.7503634475597093</v>
      </c>
      <c r="E229" s="15">
        <f t="shared" si="83"/>
        <v>0.89706567303213791</v>
      </c>
      <c r="F229" s="16">
        <f>+Tabla2[[#This Row],[Trenes Programados por Día Hábil]]+Tabla9[[#This Row],[Trenes Programados por Día Hábil]]+Tabla10[[#This Row],[Trenes Programados por Día Hábil]]</f>
        <v>0</v>
      </c>
      <c r="G229" s="33">
        <f>+(Tabla2[[#This Row],[Coches por Tren Día Hábil]]*Tabla2[[#This Row],[Trenes Corridos]]+Tabla9[[#This Row],[Coches por Tren Día Hábil]]*Tabla9[[#This Row],[Trenes Corridos]]+Tabla10[[#This Row],[Coches por Tren Día Hábil]]*Tabla10[[#This Row],[Trenes Corridos]])/SARM[[#This Row],[Trenes Corridos]]</f>
        <v>0</v>
      </c>
      <c r="H229" s="16">
        <f t="shared" si="84"/>
        <v>10735</v>
      </c>
      <c r="I229" s="16">
        <f t="shared" si="64"/>
        <v>1105</v>
      </c>
      <c r="J229" s="16">
        <f t="shared" si="86"/>
        <v>9630</v>
      </c>
      <c r="K229" s="16">
        <f t="shared" si="85"/>
        <v>7226</v>
      </c>
      <c r="L229" s="16">
        <f t="shared" si="65"/>
        <v>2404</v>
      </c>
      <c r="M229" s="16"/>
      <c r="N229" s="17"/>
      <c r="O229" s="96">
        <v>2011</v>
      </c>
      <c r="P229" s="97" t="s">
        <v>43</v>
      </c>
      <c r="Q229" s="15">
        <f t="shared" si="66"/>
        <v>0.71334319190080764</v>
      </c>
      <c r="R229" s="15">
        <f t="shared" si="67"/>
        <v>0.78495431217924649</v>
      </c>
      <c r="S229" s="15">
        <f t="shared" si="68"/>
        <v>0.90877033329541579</v>
      </c>
      <c r="T229" s="16"/>
      <c r="U229" s="16"/>
      <c r="V229" s="16">
        <v>8791</v>
      </c>
      <c r="W229" s="16">
        <f t="shared" si="93"/>
        <v>802</v>
      </c>
      <c r="X229" s="16">
        <v>7989</v>
      </c>
      <c r="Y229" s="16">
        <v>6271</v>
      </c>
      <c r="Z229" s="16">
        <f t="shared" si="94"/>
        <v>1718</v>
      </c>
      <c r="AA229" s="16"/>
      <c r="AB229" s="17"/>
      <c r="AC229" s="96">
        <v>2011</v>
      </c>
      <c r="AD229" s="97" t="s">
        <v>43</v>
      </c>
      <c r="AE229" s="15">
        <f t="shared" si="71"/>
        <v>0.57516339869281041</v>
      </c>
      <c r="AF229" s="15">
        <f t="shared" si="72"/>
        <v>0.66920152091254748</v>
      </c>
      <c r="AG229" s="15">
        <f t="shared" si="73"/>
        <v>0.85947712418300659</v>
      </c>
      <c r="AH229" s="16"/>
      <c r="AI229" s="16"/>
      <c r="AJ229" s="16">
        <v>918</v>
      </c>
      <c r="AK229" s="16">
        <f t="shared" si="95"/>
        <v>129</v>
      </c>
      <c r="AL229" s="16">
        <v>789</v>
      </c>
      <c r="AM229" s="16">
        <v>528</v>
      </c>
      <c r="AN229" s="16">
        <f t="shared" si="96"/>
        <v>261</v>
      </c>
      <c r="AO229" s="16"/>
      <c r="AP229" s="17"/>
      <c r="AQ229" s="96">
        <v>2011</v>
      </c>
      <c r="AR229" s="97" t="s">
        <v>43</v>
      </c>
      <c r="AS229" s="15">
        <f t="shared" si="76"/>
        <v>0.41617933723196882</v>
      </c>
      <c r="AT229" s="15">
        <f t="shared" si="77"/>
        <v>0.50117370892018775</v>
      </c>
      <c r="AU229" s="15">
        <f t="shared" si="78"/>
        <v>0.83040935672514615</v>
      </c>
      <c r="AV229" s="16"/>
      <c r="AW229" s="16"/>
      <c r="AX229" s="16">
        <v>1026</v>
      </c>
      <c r="AY229" s="16">
        <f t="shared" si="97"/>
        <v>174</v>
      </c>
      <c r="AZ229" s="16">
        <v>852</v>
      </c>
      <c r="BA229" s="16">
        <v>427</v>
      </c>
      <c r="BB229" s="16">
        <f t="shared" si="98"/>
        <v>425</v>
      </c>
    </row>
    <row r="230" spans="1:54" s="18" customFormat="1" ht="15" customHeight="1">
      <c r="A230" s="94">
        <v>2011</v>
      </c>
      <c r="B230" s="95" t="s">
        <v>44</v>
      </c>
      <c r="C230" s="15">
        <f t="shared" si="81"/>
        <v>0.65928109547356406</v>
      </c>
      <c r="D230" s="15">
        <f t="shared" si="82"/>
        <v>0.76556978798586572</v>
      </c>
      <c r="E230" s="15">
        <f t="shared" si="83"/>
        <v>0.86116394066184865</v>
      </c>
      <c r="F230" s="16">
        <f>+Tabla2[[#This Row],[Trenes Programados por Día Hábil]]+Tabla9[[#This Row],[Trenes Programados por Día Hábil]]+Tabla10[[#This Row],[Trenes Programados por Día Hábil]]</f>
        <v>0</v>
      </c>
      <c r="G230" s="33">
        <f>+(Tabla2[[#This Row],[Coches por Tren Día Hábil]]*Tabla2[[#This Row],[Trenes Corridos]]+Tabla9[[#This Row],[Coches por Tren Día Hábil]]*Tabla9[[#This Row],[Trenes Corridos]]+Tabla10[[#This Row],[Coches por Tren Día Hábil]]*Tabla10[[#This Row],[Trenes Corridos]])/SARM[[#This Row],[Trenes Corridos]]</f>
        <v>0</v>
      </c>
      <c r="H230" s="16">
        <f t="shared" si="84"/>
        <v>10516</v>
      </c>
      <c r="I230" s="16">
        <f t="shared" si="64"/>
        <v>1460</v>
      </c>
      <c r="J230" s="16">
        <f t="shared" si="86"/>
        <v>9056</v>
      </c>
      <c r="K230" s="16">
        <f t="shared" si="85"/>
        <v>6933</v>
      </c>
      <c r="L230" s="16">
        <f t="shared" si="65"/>
        <v>2123</v>
      </c>
      <c r="M230" s="16"/>
      <c r="N230" s="17"/>
      <c r="O230" s="94">
        <v>2011</v>
      </c>
      <c r="P230" s="95" t="s">
        <v>44</v>
      </c>
      <c r="Q230" s="15">
        <f t="shared" si="66"/>
        <v>0.691415313225058</v>
      </c>
      <c r="R230" s="15">
        <f t="shared" si="67"/>
        <v>0.78679867986798679</v>
      </c>
      <c r="S230" s="15">
        <f t="shared" si="68"/>
        <v>0.87877030162412995</v>
      </c>
      <c r="T230" s="16"/>
      <c r="U230" s="16"/>
      <c r="V230" s="16">
        <v>8620</v>
      </c>
      <c r="W230" s="16">
        <f t="shared" si="93"/>
        <v>1045</v>
      </c>
      <c r="X230" s="16">
        <v>7575</v>
      </c>
      <c r="Y230" s="16">
        <v>5960</v>
      </c>
      <c r="Z230" s="16">
        <f t="shared" si="94"/>
        <v>1615</v>
      </c>
      <c r="AA230" s="16"/>
      <c r="AB230" s="17"/>
      <c r="AC230" s="94">
        <v>2011</v>
      </c>
      <c r="AD230" s="95" t="s">
        <v>44</v>
      </c>
      <c r="AE230" s="15">
        <f t="shared" si="71"/>
        <v>0.63063063063063063</v>
      </c>
      <c r="AF230" s="15">
        <f t="shared" si="72"/>
        <v>0.7466666666666667</v>
      </c>
      <c r="AG230" s="15">
        <f t="shared" si="73"/>
        <v>0.84459459459459463</v>
      </c>
      <c r="AH230" s="16"/>
      <c r="AI230" s="16"/>
      <c r="AJ230" s="16">
        <v>888</v>
      </c>
      <c r="AK230" s="16">
        <f t="shared" si="95"/>
        <v>138</v>
      </c>
      <c r="AL230" s="16">
        <v>750</v>
      </c>
      <c r="AM230" s="16">
        <v>560</v>
      </c>
      <c r="AN230" s="16">
        <f t="shared" si="96"/>
        <v>190</v>
      </c>
      <c r="AO230" s="16"/>
      <c r="AP230" s="17"/>
      <c r="AQ230" s="94">
        <v>2011</v>
      </c>
      <c r="AR230" s="95" t="s">
        <v>44</v>
      </c>
      <c r="AS230" s="15">
        <f t="shared" si="76"/>
        <v>0.40972222222222221</v>
      </c>
      <c r="AT230" s="15">
        <f t="shared" si="77"/>
        <v>0.56497948016415867</v>
      </c>
      <c r="AU230" s="15">
        <f t="shared" si="78"/>
        <v>0.72519841269841268</v>
      </c>
      <c r="AV230" s="16"/>
      <c r="AW230" s="16"/>
      <c r="AX230" s="16">
        <v>1008</v>
      </c>
      <c r="AY230" s="16">
        <f t="shared" si="97"/>
        <v>277</v>
      </c>
      <c r="AZ230" s="16">
        <v>731</v>
      </c>
      <c r="BA230" s="16">
        <v>413</v>
      </c>
      <c r="BB230" s="16">
        <f t="shared" si="98"/>
        <v>318</v>
      </c>
    </row>
    <row r="231" spans="1:54" s="18" customFormat="1" ht="15" customHeight="1">
      <c r="A231" s="96">
        <v>2011</v>
      </c>
      <c r="B231" s="97" t="s">
        <v>45</v>
      </c>
      <c r="C231" s="15">
        <f t="shared" si="81"/>
        <v>0.72777565814574585</v>
      </c>
      <c r="D231" s="15">
        <f t="shared" si="82"/>
        <v>0.78781621063500262</v>
      </c>
      <c r="E231" s="15">
        <f t="shared" si="83"/>
        <v>0.923788630293781</v>
      </c>
      <c r="F231" s="16">
        <f>+Tabla2[[#This Row],[Trenes Programados por Día Hábil]]+Tabla9[[#This Row],[Trenes Programados por Día Hábil]]+Tabla10[[#This Row],[Trenes Programados por Día Hábil]]</f>
        <v>0</v>
      </c>
      <c r="G231" s="33">
        <f>+(Tabla2[[#This Row],[Coches por Tren Día Hábil]]*Tabla2[[#This Row],[Trenes Corridos]]+Tabla9[[#This Row],[Coches por Tren Día Hábil]]*Tabla9[[#This Row],[Trenes Corridos]]+Tabla10[[#This Row],[Coches por Tren Día Hábil]]*Tabla10[[#This Row],[Trenes Corridos]])/SARM[[#This Row],[Trenes Corridos]]</f>
        <v>0</v>
      </c>
      <c r="H231" s="16">
        <f t="shared" si="84"/>
        <v>10484</v>
      </c>
      <c r="I231" s="16">
        <f t="shared" si="64"/>
        <v>799</v>
      </c>
      <c r="J231" s="16">
        <f t="shared" si="86"/>
        <v>9685</v>
      </c>
      <c r="K231" s="16">
        <f t="shared" si="85"/>
        <v>7630</v>
      </c>
      <c r="L231" s="16">
        <f t="shared" si="65"/>
        <v>2055</v>
      </c>
      <c r="M231" s="16"/>
      <c r="N231" s="17"/>
      <c r="O231" s="96">
        <v>2011</v>
      </c>
      <c r="P231" s="97" t="s">
        <v>45</v>
      </c>
      <c r="Q231" s="15">
        <f t="shared" si="66"/>
        <v>0.76077561032589647</v>
      </c>
      <c r="R231" s="15">
        <f t="shared" si="67"/>
        <v>0.82131147540983607</v>
      </c>
      <c r="S231" s="15">
        <f t="shared" si="68"/>
        <v>0.9262936572830277</v>
      </c>
      <c r="T231" s="16"/>
      <c r="U231" s="16"/>
      <c r="V231" s="16">
        <v>8561</v>
      </c>
      <c r="W231" s="16">
        <f t="shared" si="93"/>
        <v>631</v>
      </c>
      <c r="X231" s="16">
        <v>7930</v>
      </c>
      <c r="Y231" s="16">
        <v>6513</v>
      </c>
      <c r="Z231" s="16">
        <f t="shared" si="94"/>
        <v>1417</v>
      </c>
      <c r="AA231" s="16"/>
      <c r="AB231" s="17"/>
      <c r="AC231" s="96">
        <v>2011</v>
      </c>
      <c r="AD231" s="97" t="s">
        <v>45</v>
      </c>
      <c r="AE231" s="15">
        <f t="shared" si="71"/>
        <v>0.73114754098360657</v>
      </c>
      <c r="AF231" s="15">
        <f t="shared" si="72"/>
        <v>0.75253093363329582</v>
      </c>
      <c r="AG231" s="15">
        <f t="shared" si="73"/>
        <v>0.97158469945355186</v>
      </c>
      <c r="AH231" s="16"/>
      <c r="AI231" s="16"/>
      <c r="AJ231" s="16">
        <v>915</v>
      </c>
      <c r="AK231" s="16">
        <f t="shared" si="95"/>
        <v>26</v>
      </c>
      <c r="AL231" s="16">
        <v>889</v>
      </c>
      <c r="AM231" s="16">
        <v>669</v>
      </c>
      <c r="AN231" s="16">
        <f t="shared" si="96"/>
        <v>220</v>
      </c>
      <c r="AO231" s="16"/>
      <c r="AP231" s="17"/>
      <c r="AQ231" s="96">
        <v>2011</v>
      </c>
      <c r="AR231" s="97" t="s">
        <v>45</v>
      </c>
      <c r="AS231" s="15">
        <f t="shared" si="76"/>
        <v>0.44444444444444442</v>
      </c>
      <c r="AT231" s="15">
        <f t="shared" si="77"/>
        <v>0.51732101616628179</v>
      </c>
      <c r="AU231" s="15">
        <f t="shared" si="78"/>
        <v>0.85912698412698407</v>
      </c>
      <c r="AV231" s="16"/>
      <c r="AW231" s="16"/>
      <c r="AX231" s="16">
        <v>1008</v>
      </c>
      <c r="AY231" s="16">
        <f t="shared" si="97"/>
        <v>142</v>
      </c>
      <c r="AZ231" s="16">
        <v>866</v>
      </c>
      <c r="BA231" s="16">
        <v>448</v>
      </c>
      <c r="BB231" s="16">
        <f t="shared" si="98"/>
        <v>418</v>
      </c>
    </row>
    <row r="232" spans="1:54" s="18" customFormat="1" ht="15" customHeight="1">
      <c r="A232" s="94">
        <v>2011</v>
      </c>
      <c r="B232" s="95" t="s">
        <v>46</v>
      </c>
      <c r="C232" s="15">
        <f t="shared" si="81"/>
        <v>0.68708337358709304</v>
      </c>
      <c r="D232" s="15">
        <f t="shared" si="82"/>
        <v>0.76497794987630419</v>
      </c>
      <c r="E232" s="15">
        <f t="shared" si="83"/>
        <v>0.89817408945995558</v>
      </c>
      <c r="F232" s="16">
        <f>+Tabla2[[#This Row],[Trenes Programados por Día Hábil]]+Tabla9[[#This Row],[Trenes Programados por Día Hábil]]+Tabla10[[#This Row],[Trenes Programados por Día Hábil]]</f>
        <v>0</v>
      </c>
      <c r="G232" s="33">
        <f>+(Tabla2[[#This Row],[Coches por Tren Día Hábil]]*Tabla2[[#This Row],[Trenes Corridos]]+Tabla9[[#This Row],[Coches por Tren Día Hábil]]*Tabla9[[#This Row],[Trenes Corridos]]+Tabla10[[#This Row],[Coches por Tren Día Hábil]]*Tabla10[[#This Row],[Trenes Corridos]])/SARM[[#This Row],[Trenes Corridos]]</f>
        <v>0</v>
      </c>
      <c r="H232" s="16">
        <f t="shared" si="84"/>
        <v>10351</v>
      </c>
      <c r="I232" s="16">
        <f t="shared" si="64"/>
        <v>1054</v>
      </c>
      <c r="J232" s="16">
        <f t="shared" si="86"/>
        <v>9297</v>
      </c>
      <c r="K232" s="16">
        <f t="shared" si="85"/>
        <v>7112</v>
      </c>
      <c r="L232" s="16">
        <f t="shared" si="65"/>
        <v>2185</v>
      </c>
      <c r="M232" s="16"/>
      <c r="N232" s="17"/>
      <c r="O232" s="94">
        <v>2011</v>
      </c>
      <c r="P232" s="95" t="s">
        <v>46</v>
      </c>
      <c r="Q232" s="15">
        <f t="shared" si="66"/>
        <v>0.72524489555057237</v>
      </c>
      <c r="R232" s="15">
        <f t="shared" si="67"/>
        <v>0.7923920051579626</v>
      </c>
      <c r="S232" s="15">
        <f t="shared" si="68"/>
        <v>0.91526023840434323</v>
      </c>
      <c r="T232" s="16"/>
      <c r="U232" s="16"/>
      <c r="V232" s="16">
        <v>8473</v>
      </c>
      <c r="W232" s="16">
        <f t="shared" si="93"/>
        <v>718</v>
      </c>
      <c r="X232" s="16">
        <v>7755</v>
      </c>
      <c r="Y232" s="16">
        <v>6145</v>
      </c>
      <c r="Z232" s="16">
        <f t="shared" si="94"/>
        <v>1610</v>
      </c>
      <c r="AA232" s="16"/>
      <c r="AB232" s="17"/>
      <c r="AC232" s="94">
        <v>2011</v>
      </c>
      <c r="AD232" s="95" t="s">
        <v>46</v>
      </c>
      <c r="AE232" s="15">
        <f t="shared" si="71"/>
        <v>0.68468468468468469</v>
      </c>
      <c r="AF232" s="15">
        <f t="shared" si="72"/>
        <v>0.74327628361858189</v>
      </c>
      <c r="AG232" s="15">
        <f t="shared" si="73"/>
        <v>0.9211711711711712</v>
      </c>
      <c r="AH232" s="16"/>
      <c r="AI232" s="16"/>
      <c r="AJ232" s="16">
        <v>888</v>
      </c>
      <c r="AK232" s="16">
        <f t="shared" si="95"/>
        <v>70</v>
      </c>
      <c r="AL232" s="16">
        <v>818</v>
      </c>
      <c r="AM232" s="16">
        <v>608</v>
      </c>
      <c r="AN232" s="16">
        <f t="shared" si="96"/>
        <v>210</v>
      </c>
      <c r="AO232" s="16"/>
      <c r="AP232" s="17"/>
      <c r="AQ232" s="94">
        <v>2011</v>
      </c>
      <c r="AR232" s="95" t="s">
        <v>46</v>
      </c>
      <c r="AS232" s="15">
        <f t="shared" si="76"/>
        <v>0.36262626262626263</v>
      </c>
      <c r="AT232" s="15">
        <f t="shared" si="77"/>
        <v>0.4958563535911602</v>
      </c>
      <c r="AU232" s="15">
        <f t="shared" si="78"/>
        <v>0.73131313131313136</v>
      </c>
      <c r="AV232" s="16"/>
      <c r="AW232" s="16"/>
      <c r="AX232" s="16">
        <v>990</v>
      </c>
      <c r="AY232" s="16">
        <f t="shared" si="97"/>
        <v>266</v>
      </c>
      <c r="AZ232" s="16">
        <v>724</v>
      </c>
      <c r="BA232" s="16">
        <v>359</v>
      </c>
      <c r="BB232" s="16">
        <f t="shared" si="98"/>
        <v>365</v>
      </c>
    </row>
    <row r="233" spans="1:54" s="18" customFormat="1" ht="15" customHeight="1">
      <c r="A233" s="96">
        <v>2011</v>
      </c>
      <c r="B233" s="97" t="s">
        <v>47</v>
      </c>
      <c r="C233" s="15">
        <f t="shared" si="81"/>
        <v>0.66749332315909959</v>
      </c>
      <c r="D233" s="15">
        <f t="shared" si="82"/>
        <v>0.7446265162800596</v>
      </c>
      <c r="E233" s="15">
        <f t="shared" si="83"/>
        <v>0.89641358260206028</v>
      </c>
      <c r="F233" s="16">
        <f>+Tabla2[[#This Row],[Trenes Programados por Día Hábil]]+Tabla9[[#This Row],[Trenes Programados por Día Hábil]]+Tabla10[[#This Row],[Trenes Programados por Día Hábil]]</f>
        <v>0</v>
      </c>
      <c r="G233" s="33">
        <f>+(Tabla2[[#This Row],[Coches por Tren Día Hábil]]*Tabla2[[#This Row],[Trenes Corridos]]+Tabla9[[#This Row],[Coches por Tren Día Hábil]]*Tabla9[[#This Row],[Trenes Corridos]]+Tabla10[[#This Row],[Coches por Tren Día Hábil]]*Tabla10[[#This Row],[Trenes Corridos]])/SARM[[#This Row],[Trenes Corridos]]</f>
        <v>0</v>
      </c>
      <c r="H233" s="16">
        <f t="shared" si="84"/>
        <v>10484</v>
      </c>
      <c r="I233" s="16">
        <f t="shared" si="64"/>
        <v>1086</v>
      </c>
      <c r="J233" s="16">
        <f t="shared" si="86"/>
        <v>9398</v>
      </c>
      <c r="K233" s="16">
        <f t="shared" si="85"/>
        <v>6998</v>
      </c>
      <c r="L233" s="16">
        <f t="shared" si="65"/>
        <v>2400</v>
      </c>
      <c r="M233" s="16"/>
      <c r="N233" s="25"/>
      <c r="O233" s="96">
        <v>2011</v>
      </c>
      <c r="P233" s="97" t="s">
        <v>47</v>
      </c>
      <c r="Q233" s="15">
        <f t="shared" si="66"/>
        <v>0.70412335007592575</v>
      </c>
      <c r="R233" s="15">
        <f t="shared" si="67"/>
        <v>0.77650392889346898</v>
      </c>
      <c r="S233" s="15">
        <f t="shared" si="68"/>
        <v>0.90678659035159448</v>
      </c>
      <c r="T233" s="16"/>
      <c r="U233" s="16"/>
      <c r="V233" s="16">
        <v>8561</v>
      </c>
      <c r="W233" s="16">
        <f t="shared" si="93"/>
        <v>798</v>
      </c>
      <c r="X233" s="16">
        <v>7763</v>
      </c>
      <c r="Y233" s="16">
        <v>6028</v>
      </c>
      <c r="Z233" s="16">
        <f t="shared" si="94"/>
        <v>1735</v>
      </c>
      <c r="AA233" s="16"/>
      <c r="AB233" s="17"/>
      <c r="AC233" s="96">
        <v>2011</v>
      </c>
      <c r="AD233" s="97" t="s">
        <v>47</v>
      </c>
      <c r="AE233" s="15">
        <f t="shared" si="71"/>
        <v>0.69398907103825136</v>
      </c>
      <c r="AF233" s="15">
        <f t="shared" si="72"/>
        <v>0.76139088729016791</v>
      </c>
      <c r="AG233" s="15">
        <f t="shared" si="73"/>
        <v>0.91147540983606556</v>
      </c>
      <c r="AH233" s="16"/>
      <c r="AI233" s="16"/>
      <c r="AJ233" s="16">
        <v>915</v>
      </c>
      <c r="AK233" s="16">
        <f t="shared" si="95"/>
        <v>81</v>
      </c>
      <c r="AL233" s="16">
        <v>834</v>
      </c>
      <c r="AM233" s="16">
        <v>635</v>
      </c>
      <c r="AN233" s="16">
        <f t="shared" si="96"/>
        <v>199</v>
      </c>
      <c r="AO233" s="16"/>
      <c r="AP233" s="17"/>
      <c r="AQ233" s="96">
        <v>2011</v>
      </c>
      <c r="AR233" s="97" t="s">
        <v>47</v>
      </c>
      <c r="AS233" s="15">
        <f t="shared" si="76"/>
        <v>0.33234126984126983</v>
      </c>
      <c r="AT233" s="15">
        <f t="shared" si="77"/>
        <v>0.41822721598002499</v>
      </c>
      <c r="AU233" s="15">
        <f t="shared" si="78"/>
        <v>0.7946428571428571</v>
      </c>
      <c r="AV233" s="16"/>
      <c r="AW233" s="16"/>
      <c r="AX233" s="16">
        <v>1008</v>
      </c>
      <c r="AY233" s="16">
        <f t="shared" si="97"/>
        <v>207</v>
      </c>
      <c r="AZ233" s="16">
        <v>801</v>
      </c>
      <c r="BA233" s="16">
        <v>335</v>
      </c>
      <c r="BB233" s="16">
        <f t="shared" si="98"/>
        <v>466</v>
      </c>
    </row>
    <row r="234" spans="1:54" s="18" customFormat="1" ht="15" customHeight="1">
      <c r="A234" s="94">
        <v>2012</v>
      </c>
      <c r="B234" s="95" t="s">
        <v>36</v>
      </c>
      <c r="C234" s="15">
        <f t="shared" si="81"/>
        <v>0.67517466231951562</v>
      </c>
      <c r="D234" s="15">
        <f t="shared" si="82"/>
        <v>0.75689223057644106</v>
      </c>
      <c r="E234" s="15">
        <f t="shared" si="83"/>
        <v>0.89203539823008848</v>
      </c>
      <c r="F234" s="16">
        <f>+Tabla2[[#This Row],[Trenes Programados por Día Hábil]]+Tabla9[[#This Row],[Trenes Programados por Día Hábil]]+Tabla10[[#This Row],[Trenes Programados por Día Hábil]]</f>
        <v>0</v>
      </c>
      <c r="G234" s="33">
        <f>+(Tabla2[[#This Row],[Coches por Tren Día Hábil]]*Tabla2[[#This Row],[Trenes Corridos]]+Tabla9[[#This Row],[Coches por Tren Día Hábil]]*Tabla9[[#This Row],[Trenes Corridos]]+Tabla10[[#This Row],[Coches por Tren Día Hábil]]*Tabla10[[#This Row],[Trenes Corridos]])/SARM[[#This Row],[Trenes Corridos]]</f>
        <v>0</v>
      </c>
      <c r="H234" s="16">
        <f t="shared" ref="H234:H265" si="99">+V234+AJ234+AX234</f>
        <v>10735</v>
      </c>
      <c r="I234" s="16">
        <f t="shared" si="64"/>
        <v>1159</v>
      </c>
      <c r="J234" s="16">
        <f t="shared" si="86"/>
        <v>9576</v>
      </c>
      <c r="K234" s="16">
        <f t="shared" ref="K234:K265" si="100">+Y234+AM234+BA234</f>
        <v>7248</v>
      </c>
      <c r="L234" s="16">
        <f t="shared" si="65"/>
        <v>2328</v>
      </c>
      <c r="M234" s="16"/>
      <c r="N234" s="17"/>
      <c r="O234" s="94">
        <v>2012</v>
      </c>
      <c r="P234" s="95" t="s">
        <v>36</v>
      </c>
      <c r="Q234" s="15">
        <f t="shared" si="66"/>
        <v>0.71061312706176771</v>
      </c>
      <c r="R234" s="15">
        <f t="shared" si="67"/>
        <v>0.78876262626262628</v>
      </c>
      <c r="S234" s="15">
        <f t="shared" si="68"/>
        <v>0.90092139688317596</v>
      </c>
      <c r="T234" s="16"/>
      <c r="U234" s="16"/>
      <c r="V234" s="16">
        <v>8791</v>
      </c>
      <c r="W234" s="16">
        <f t="shared" ref="W234:W245" si="101">V234-X234</f>
        <v>871</v>
      </c>
      <c r="X234" s="16">
        <v>7920</v>
      </c>
      <c r="Y234" s="16">
        <v>6247</v>
      </c>
      <c r="Z234" s="16">
        <f t="shared" ref="Z234:Z245" si="102">X234-Y234</f>
        <v>1673</v>
      </c>
      <c r="AA234" s="16"/>
      <c r="AB234" s="17"/>
      <c r="AC234" s="94">
        <v>2012</v>
      </c>
      <c r="AD234" s="95" t="s">
        <v>36</v>
      </c>
      <c r="AE234" s="15">
        <f t="shared" si="71"/>
        <v>0.65577342047930287</v>
      </c>
      <c r="AF234" s="15">
        <f t="shared" si="72"/>
        <v>0.72617611580217134</v>
      </c>
      <c r="AG234" s="15">
        <f t="shared" si="73"/>
        <v>0.90305010893246185</v>
      </c>
      <c r="AH234" s="16"/>
      <c r="AI234" s="16"/>
      <c r="AJ234" s="16">
        <v>918</v>
      </c>
      <c r="AK234" s="16">
        <f t="shared" ref="AK234:AK245" si="103">AJ234-AL234</f>
        <v>89</v>
      </c>
      <c r="AL234" s="16">
        <v>829</v>
      </c>
      <c r="AM234" s="16">
        <v>602</v>
      </c>
      <c r="AN234" s="16">
        <f t="shared" ref="AN234:AN245" si="104">AL234-AM234</f>
        <v>227</v>
      </c>
      <c r="AO234" s="16"/>
      <c r="AP234" s="17"/>
      <c r="AQ234" s="94">
        <v>2012</v>
      </c>
      <c r="AR234" s="95" t="s">
        <v>36</v>
      </c>
      <c r="AS234" s="15">
        <f t="shared" si="76"/>
        <v>0.3888888888888889</v>
      </c>
      <c r="AT234" s="15">
        <f t="shared" si="77"/>
        <v>0.48246674727932287</v>
      </c>
      <c r="AU234" s="15">
        <f t="shared" si="78"/>
        <v>0.80604288499025345</v>
      </c>
      <c r="AV234" s="16"/>
      <c r="AW234" s="16"/>
      <c r="AX234" s="16">
        <v>1026</v>
      </c>
      <c r="AY234" s="16">
        <f t="shared" ref="AY234:AY245" si="105">AX234-AZ234</f>
        <v>199</v>
      </c>
      <c r="AZ234" s="16">
        <v>827</v>
      </c>
      <c r="BA234" s="16">
        <v>399</v>
      </c>
      <c r="BB234" s="16">
        <f t="shared" ref="BB234:BB245" si="106">AZ234-BA234</f>
        <v>428</v>
      </c>
    </row>
    <row r="235" spans="1:54" s="18" customFormat="1" ht="15" customHeight="1">
      <c r="A235" s="96">
        <v>2012</v>
      </c>
      <c r="B235" s="97" t="s">
        <v>37</v>
      </c>
      <c r="C235" s="15">
        <f t="shared" si="81"/>
        <v>0.52910656843416004</v>
      </c>
      <c r="D235" s="15">
        <f t="shared" si="82"/>
        <v>0.63349484408000989</v>
      </c>
      <c r="E235" s="15">
        <f t="shared" si="83"/>
        <v>0.83521842897167164</v>
      </c>
      <c r="F235" s="16">
        <f>+Tabla2[[#This Row],[Trenes Programados por Día Hábil]]+Tabla9[[#This Row],[Trenes Programados por Día Hábil]]+Tabla10[[#This Row],[Trenes Programados por Día Hábil]]</f>
        <v>0</v>
      </c>
      <c r="G235" s="33">
        <f>+(Tabla2[[#This Row],[Coches por Tren Día Hábil]]*Tabla2[[#This Row],[Trenes Corridos]]+Tabla9[[#This Row],[Coches por Tren Día Hábil]]*Tabla9[[#This Row],[Trenes Corridos]]+Tabla10[[#This Row],[Coches por Tren Día Hábil]]*Tabla10[[#This Row],[Trenes Corridos]])/SARM[[#This Row],[Trenes Corridos]]</f>
        <v>0</v>
      </c>
      <c r="H235" s="16">
        <f t="shared" si="99"/>
        <v>9637</v>
      </c>
      <c r="I235" s="16">
        <f t="shared" si="64"/>
        <v>1588</v>
      </c>
      <c r="J235" s="16">
        <f t="shared" si="86"/>
        <v>8049</v>
      </c>
      <c r="K235" s="16">
        <f t="shared" si="100"/>
        <v>5099</v>
      </c>
      <c r="L235" s="16">
        <f t="shared" si="65"/>
        <v>2950</v>
      </c>
      <c r="M235" s="16"/>
      <c r="N235" s="17"/>
      <c r="O235" s="96">
        <v>2012</v>
      </c>
      <c r="P235" s="97" t="s">
        <v>37</v>
      </c>
      <c r="Q235" s="15">
        <f t="shared" si="66"/>
        <v>0.55260145019717588</v>
      </c>
      <c r="R235" s="15">
        <f t="shared" si="67"/>
        <v>0.65392142104470874</v>
      </c>
      <c r="S235" s="15">
        <f t="shared" si="68"/>
        <v>0.84505788067675869</v>
      </c>
      <c r="T235" s="16"/>
      <c r="U235" s="16"/>
      <c r="V235" s="16">
        <v>7861</v>
      </c>
      <c r="W235" s="16">
        <f t="shared" si="101"/>
        <v>1218</v>
      </c>
      <c r="X235" s="16">
        <v>6643</v>
      </c>
      <c r="Y235" s="16">
        <v>4344</v>
      </c>
      <c r="Z235" s="16">
        <f t="shared" si="102"/>
        <v>2299</v>
      </c>
      <c r="AA235" s="16"/>
      <c r="AB235" s="17"/>
      <c r="AC235" s="96">
        <v>2012</v>
      </c>
      <c r="AD235" s="97" t="s">
        <v>37</v>
      </c>
      <c r="AE235" s="15">
        <f t="shared" si="71"/>
        <v>0.53613053613053618</v>
      </c>
      <c r="AF235" s="15">
        <f t="shared" si="72"/>
        <v>0.62585034013605445</v>
      </c>
      <c r="AG235" s="15">
        <f t="shared" si="73"/>
        <v>0.85664335664335667</v>
      </c>
      <c r="AH235" s="16"/>
      <c r="AI235" s="16"/>
      <c r="AJ235" s="16">
        <v>858</v>
      </c>
      <c r="AK235" s="16">
        <f t="shared" si="103"/>
        <v>123</v>
      </c>
      <c r="AL235" s="16">
        <v>735</v>
      </c>
      <c r="AM235" s="16">
        <v>460</v>
      </c>
      <c r="AN235" s="16">
        <f t="shared" si="104"/>
        <v>275</v>
      </c>
      <c r="AO235" s="16"/>
      <c r="AP235" s="17"/>
      <c r="AQ235" s="96">
        <v>2012</v>
      </c>
      <c r="AR235" s="97" t="s">
        <v>37</v>
      </c>
      <c r="AS235" s="15">
        <f t="shared" si="76"/>
        <v>0.3213507625272331</v>
      </c>
      <c r="AT235" s="15">
        <f t="shared" si="77"/>
        <v>0.43964232488822652</v>
      </c>
      <c r="AU235" s="15">
        <f t="shared" si="78"/>
        <v>0.73093681917211328</v>
      </c>
      <c r="AV235" s="16"/>
      <c r="AW235" s="16"/>
      <c r="AX235" s="16">
        <v>918</v>
      </c>
      <c r="AY235" s="16">
        <f t="shared" si="105"/>
        <v>247</v>
      </c>
      <c r="AZ235" s="16">
        <v>671</v>
      </c>
      <c r="BA235" s="16">
        <v>295</v>
      </c>
      <c r="BB235" s="16">
        <f t="shared" si="106"/>
        <v>376</v>
      </c>
    </row>
    <row r="236" spans="1:54" s="18" customFormat="1" ht="15" customHeight="1">
      <c r="A236" s="94">
        <v>2012</v>
      </c>
      <c r="B236" s="95" t="s">
        <v>38</v>
      </c>
      <c r="C236" s="15">
        <f t="shared" si="81"/>
        <v>0.34932463903120631</v>
      </c>
      <c r="D236" s="15">
        <f t="shared" si="82"/>
        <v>0.48194319496208715</v>
      </c>
      <c r="E236" s="15">
        <f t="shared" si="83"/>
        <v>0.72482533768048441</v>
      </c>
      <c r="F236" s="16">
        <f>+Tabla2[[#This Row],[Trenes Programados por Día Hábil]]+Tabla9[[#This Row],[Trenes Programados por Día Hábil]]+Tabla10[[#This Row],[Trenes Programados por Día Hábil]]</f>
        <v>0</v>
      </c>
      <c r="G236" s="33">
        <f>+(Tabla2[[#This Row],[Coches por Tren Día Hábil]]*Tabla2[[#This Row],[Trenes Corridos]]+Tabla9[[#This Row],[Coches por Tren Día Hábil]]*Tabla9[[#This Row],[Trenes Corridos]]+Tabla10[[#This Row],[Coches por Tren Día Hábil]]*Tabla10[[#This Row],[Trenes Corridos]])/SARM[[#This Row],[Trenes Corridos]]</f>
        <v>0</v>
      </c>
      <c r="H236" s="16">
        <f t="shared" si="99"/>
        <v>10735</v>
      </c>
      <c r="I236" s="16">
        <f t="shared" si="64"/>
        <v>2954</v>
      </c>
      <c r="J236" s="16">
        <f t="shared" si="86"/>
        <v>7781</v>
      </c>
      <c r="K236" s="16">
        <f t="shared" si="100"/>
        <v>3750</v>
      </c>
      <c r="L236" s="16">
        <f t="shared" si="65"/>
        <v>4031</v>
      </c>
      <c r="M236" s="16"/>
      <c r="N236" s="17"/>
      <c r="O236" s="94">
        <v>2012</v>
      </c>
      <c r="P236" s="95" t="s">
        <v>38</v>
      </c>
      <c r="Q236" s="15">
        <f t="shared" si="66"/>
        <v>0.33306791036287114</v>
      </c>
      <c r="R236" s="15">
        <f t="shared" si="67"/>
        <v>0.47340339531123687</v>
      </c>
      <c r="S236" s="15">
        <f t="shared" si="68"/>
        <v>0.70356045956091462</v>
      </c>
      <c r="T236" s="16"/>
      <c r="U236" s="16"/>
      <c r="V236" s="16">
        <v>8791</v>
      </c>
      <c r="W236" s="16">
        <f t="shared" si="101"/>
        <v>2606</v>
      </c>
      <c r="X236" s="16">
        <v>6185</v>
      </c>
      <c r="Y236" s="16">
        <v>2928</v>
      </c>
      <c r="Z236" s="16">
        <f t="shared" si="102"/>
        <v>3257</v>
      </c>
      <c r="AA236" s="16"/>
      <c r="AB236" s="17"/>
      <c r="AC236" s="94">
        <v>2012</v>
      </c>
      <c r="AD236" s="95" t="s">
        <v>38</v>
      </c>
      <c r="AE236" s="15">
        <f t="shared" si="71"/>
        <v>0.58932461873638342</v>
      </c>
      <c r="AF236" s="15">
        <f t="shared" si="72"/>
        <v>0.67879548306148052</v>
      </c>
      <c r="AG236" s="15">
        <f t="shared" si="73"/>
        <v>0.86819172113289755</v>
      </c>
      <c r="AH236" s="16"/>
      <c r="AI236" s="16"/>
      <c r="AJ236" s="16">
        <v>918</v>
      </c>
      <c r="AK236" s="16">
        <f t="shared" si="103"/>
        <v>121</v>
      </c>
      <c r="AL236" s="16">
        <v>797</v>
      </c>
      <c r="AM236" s="16">
        <v>541</v>
      </c>
      <c r="AN236" s="16">
        <f t="shared" si="104"/>
        <v>256</v>
      </c>
      <c r="AO236" s="16"/>
      <c r="AP236" s="17"/>
      <c r="AQ236" s="94">
        <v>2012</v>
      </c>
      <c r="AR236" s="95" t="s">
        <v>38</v>
      </c>
      <c r="AS236" s="15">
        <f t="shared" si="76"/>
        <v>0.27387914230019494</v>
      </c>
      <c r="AT236" s="15">
        <f t="shared" si="77"/>
        <v>0.35168961201501875</v>
      </c>
      <c r="AU236" s="15">
        <f t="shared" si="78"/>
        <v>0.77875243664717353</v>
      </c>
      <c r="AV236" s="16"/>
      <c r="AW236" s="16"/>
      <c r="AX236" s="16">
        <v>1026</v>
      </c>
      <c r="AY236" s="16">
        <f t="shared" si="105"/>
        <v>227</v>
      </c>
      <c r="AZ236" s="16">
        <v>799</v>
      </c>
      <c r="BA236" s="16">
        <v>281</v>
      </c>
      <c r="BB236" s="16">
        <f t="shared" si="106"/>
        <v>518</v>
      </c>
    </row>
    <row r="237" spans="1:54" s="18" customFormat="1" ht="15" customHeight="1">
      <c r="A237" s="96">
        <v>2012</v>
      </c>
      <c r="B237" s="97" t="s">
        <v>39</v>
      </c>
      <c r="C237" s="15">
        <f t="shared" si="81"/>
        <v>0.44023944805194803</v>
      </c>
      <c r="D237" s="15">
        <f t="shared" si="82"/>
        <v>0.58881802144117246</v>
      </c>
      <c r="E237" s="15">
        <f t="shared" si="83"/>
        <v>0.74766639610389607</v>
      </c>
      <c r="F237" s="16">
        <f>+Tabla2[[#This Row],[Trenes Programados por Día Hábil]]+Tabla9[[#This Row],[Trenes Programados por Día Hábil]]+Tabla10[[#This Row],[Trenes Programados por Día Hábil]]</f>
        <v>0</v>
      </c>
      <c r="G237" s="33">
        <f>+(Tabla2[[#This Row],[Coches por Tren Día Hábil]]*Tabla2[[#This Row],[Trenes Corridos]]+Tabla9[[#This Row],[Coches por Tren Día Hábil]]*Tabla9[[#This Row],[Trenes Corridos]]+Tabla10[[#This Row],[Coches por Tren Día Hábil]]*Tabla10[[#This Row],[Trenes Corridos]])/SARM[[#This Row],[Trenes Corridos]]</f>
        <v>0</v>
      </c>
      <c r="H237" s="16">
        <f t="shared" si="99"/>
        <v>9856</v>
      </c>
      <c r="I237" s="16">
        <f t="shared" si="64"/>
        <v>2487</v>
      </c>
      <c r="J237" s="16">
        <f t="shared" si="86"/>
        <v>7369</v>
      </c>
      <c r="K237" s="16">
        <f t="shared" si="100"/>
        <v>4339</v>
      </c>
      <c r="L237" s="16">
        <f t="shared" si="65"/>
        <v>3030</v>
      </c>
      <c r="M237" s="16"/>
      <c r="N237" s="17"/>
      <c r="O237" s="96">
        <v>2012</v>
      </c>
      <c r="P237" s="97" t="s">
        <v>39</v>
      </c>
      <c r="Q237" s="15">
        <f t="shared" si="66"/>
        <v>0.46476593625498008</v>
      </c>
      <c r="R237" s="15">
        <f t="shared" si="67"/>
        <v>0.61539729640619845</v>
      </c>
      <c r="S237" s="15">
        <f t="shared" si="68"/>
        <v>0.7552290836653387</v>
      </c>
      <c r="T237" s="16"/>
      <c r="U237" s="16"/>
      <c r="V237" s="16">
        <v>8032</v>
      </c>
      <c r="W237" s="16">
        <f t="shared" si="101"/>
        <v>1966</v>
      </c>
      <c r="X237" s="16">
        <v>6066</v>
      </c>
      <c r="Y237" s="16">
        <v>3733</v>
      </c>
      <c r="Z237" s="16">
        <f t="shared" si="102"/>
        <v>2333</v>
      </c>
      <c r="AA237" s="16"/>
      <c r="AB237" s="17"/>
      <c r="AC237" s="96">
        <v>2012</v>
      </c>
      <c r="AD237" s="97" t="s">
        <v>39</v>
      </c>
      <c r="AE237" s="15">
        <f t="shared" si="71"/>
        <v>0.47297297297297297</v>
      </c>
      <c r="AF237" s="15">
        <f t="shared" si="72"/>
        <v>0.63540090771558244</v>
      </c>
      <c r="AG237" s="15">
        <f t="shared" si="73"/>
        <v>0.74436936936936937</v>
      </c>
      <c r="AH237" s="16"/>
      <c r="AI237" s="16"/>
      <c r="AJ237" s="16">
        <v>888</v>
      </c>
      <c r="AK237" s="16">
        <f t="shared" si="103"/>
        <v>227</v>
      </c>
      <c r="AL237" s="16">
        <v>661</v>
      </c>
      <c r="AM237" s="16">
        <v>420</v>
      </c>
      <c r="AN237" s="16">
        <f t="shared" si="104"/>
        <v>241</v>
      </c>
      <c r="AO237" s="16"/>
      <c r="AP237" s="17"/>
      <c r="AQ237" s="96">
        <v>2012</v>
      </c>
      <c r="AR237" s="97" t="s">
        <v>39</v>
      </c>
      <c r="AS237" s="15">
        <f t="shared" si="76"/>
        <v>0.19871794871794871</v>
      </c>
      <c r="AT237" s="15">
        <f t="shared" si="77"/>
        <v>0.28971962616822428</v>
      </c>
      <c r="AU237" s="15">
        <f t="shared" si="78"/>
        <v>0.6858974358974359</v>
      </c>
      <c r="AV237" s="16"/>
      <c r="AW237" s="16"/>
      <c r="AX237" s="16">
        <v>936</v>
      </c>
      <c r="AY237" s="16">
        <f t="shared" si="105"/>
        <v>294</v>
      </c>
      <c r="AZ237" s="16">
        <v>642</v>
      </c>
      <c r="BA237" s="16">
        <v>186</v>
      </c>
      <c r="BB237" s="16">
        <f t="shared" si="106"/>
        <v>456</v>
      </c>
    </row>
    <row r="238" spans="1:54" s="18" customFormat="1" ht="15" customHeight="1">
      <c r="A238" s="94">
        <v>2012</v>
      </c>
      <c r="B238" s="95" t="s">
        <v>40</v>
      </c>
      <c r="C238" s="15">
        <f t="shared" si="81"/>
        <v>0.5085146641438032</v>
      </c>
      <c r="D238" s="15">
        <f t="shared" si="82"/>
        <v>0.66096901131333008</v>
      </c>
      <c r="E238" s="15">
        <f t="shared" si="83"/>
        <v>0.76934720908230847</v>
      </c>
      <c r="F238" s="16">
        <f>+Tabla2[[#This Row],[Trenes Programados por Día Hábil]]+Tabla9[[#This Row],[Trenes Programados por Día Hábil]]+Tabla10[[#This Row],[Trenes Programados por Día Hábil]]</f>
        <v>0</v>
      </c>
      <c r="G238" s="33">
        <f>+(Tabla2[[#This Row],[Coches por Tren Día Hábil]]*Tabla2[[#This Row],[Trenes Corridos]]+Tabla9[[#This Row],[Coches por Tren Día Hábil]]*Tabla9[[#This Row],[Trenes Corridos]]+Tabla10[[#This Row],[Coches por Tren Día Hábil]]*Tabla10[[#This Row],[Trenes Corridos]])/SARM[[#This Row],[Trenes Corridos]]</f>
        <v>0</v>
      </c>
      <c r="H238" s="16">
        <f t="shared" si="99"/>
        <v>10570</v>
      </c>
      <c r="I238" s="16">
        <f t="shared" si="64"/>
        <v>2438</v>
      </c>
      <c r="J238" s="16">
        <f t="shared" si="86"/>
        <v>8132</v>
      </c>
      <c r="K238" s="16">
        <f t="shared" si="100"/>
        <v>5375</v>
      </c>
      <c r="L238" s="16">
        <f t="shared" si="65"/>
        <v>2757</v>
      </c>
      <c r="M238" s="16"/>
      <c r="N238" s="17"/>
      <c r="O238" s="94">
        <v>2012</v>
      </c>
      <c r="P238" s="95" t="s">
        <v>40</v>
      </c>
      <c r="Q238" s="15">
        <f t="shared" si="66"/>
        <v>0.54569643683479874</v>
      </c>
      <c r="R238" s="15">
        <f t="shared" si="67"/>
        <v>0.6856104651162791</v>
      </c>
      <c r="S238" s="15">
        <f t="shared" si="68"/>
        <v>0.79592781119851919</v>
      </c>
      <c r="T238" s="16"/>
      <c r="U238" s="16"/>
      <c r="V238" s="16">
        <v>8644</v>
      </c>
      <c r="W238" s="16">
        <f t="shared" si="101"/>
        <v>1764</v>
      </c>
      <c r="X238" s="16">
        <v>6880</v>
      </c>
      <c r="Y238" s="16">
        <v>4717</v>
      </c>
      <c r="Z238" s="16">
        <f t="shared" si="102"/>
        <v>2163</v>
      </c>
      <c r="AA238" s="16"/>
      <c r="AB238" s="17"/>
      <c r="AC238" s="94">
        <v>2012</v>
      </c>
      <c r="AD238" s="95" t="s">
        <v>40</v>
      </c>
      <c r="AE238" s="15">
        <f t="shared" si="71"/>
        <v>0.43899782135076254</v>
      </c>
      <c r="AF238" s="15">
        <f t="shared" si="72"/>
        <v>0.6032934131736527</v>
      </c>
      <c r="AG238" s="15">
        <f t="shared" si="73"/>
        <v>0.72766884531590414</v>
      </c>
      <c r="AH238" s="16"/>
      <c r="AI238" s="16"/>
      <c r="AJ238" s="16">
        <v>918</v>
      </c>
      <c r="AK238" s="16">
        <f t="shared" si="103"/>
        <v>250</v>
      </c>
      <c r="AL238" s="16">
        <v>668</v>
      </c>
      <c r="AM238" s="16">
        <v>403</v>
      </c>
      <c r="AN238" s="16">
        <f t="shared" si="104"/>
        <v>265</v>
      </c>
      <c r="AO238" s="16"/>
      <c r="AP238" s="17"/>
      <c r="AQ238" s="94">
        <v>2012</v>
      </c>
      <c r="AR238" s="95" t="s">
        <v>40</v>
      </c>
      <c r="AS238" s="15">
        <f t="shared" si="76"/>
        <v>0.25297619047619047</v>
      </c>
      <c r="AT238" s="15">
        <f t="shared" si="77"/>
        <v>0.43664383561643838</v>
      </c>
      <c r="AU238" s="15">
        <f t="shared" si="78"/>
        <v>0.57936507936507942</v>
      </c>
      <c r="AV238" s="16"/>
      <c r="AW238" s="16"/>
      <c r="AX238" s="16">
        <v>1008</v>
      </c>
      <c r="AY238" s="16">
        <f t="shared" si="105"/>
        <v>424</v>
      </c>
      <c r="AZ238" s="16">
        <v>584</v>
      </c>
      <c r="BA238" s="16">
        <v>255</v>
      </c>
      <c r="BB238" s="16">
        <f t="shared" si="106"/>
        <v>329</v>
      </c>
    </row>
    <row r="239" spans="1:54" s="18" customFormat="1" ht="15" customHeight="1">
      <c r="A239" s="96">
        <v>2012</v>
      </c>
      <c r="B239" s="97" t="s">
        <v>41</v>
      </c>
      <c r="C239" s="15">
        <f t="shared" si="81"/>
        <v>0.5610326351680468</v>
      </c>
      <c r="D239" s="15">
        <f t="shared" si="82"/>
        <v>0.68633059230127513</v>
      </c>
      <c r="E239" s="15">
        <f t="shared" si="83"/>
        <v>0.81743789576229908</v>
      </c>
      <c r="F239" s="16">
        <f>+Tabla2[[#This Row],[Trenes Programados por Día Hábil]]+Tabla9[[#This Row],[Trenes Programados por Día Hábil]]+Tabla10[[#This Row],[Trenes Programados por Día Hábil]]</f>
        <v>0</v>
      </c>
      <c r="G239" s="33">
        <f>+(Tabla2[[#This Row],[Coches por Tren Día Hábil]]*Tabla2[[#This Row],[Trenes Corridos]]+Tabla9[[#This Row],[Coches por Tren Día Hábil]]*Tabla9[[#This Row],[Trenes Corridos]]+Tabla10[[#This Row],[Coches por Tren Día Hábil]]*Tabla10[[#This Row],[Trenes Corridos]])/SARM[[#This Row],[Trenes Corridos]]</f>
        <v>0</v>
      </c>
      <c r="H239" s="16">
        <f t="shared" si="99"/>
        <v>10265</v>
      </c>
      <c r="I239" s="16">
        <f t="shared" si="64"/>
        <v>1874</v>
      </c>
      <c r="J239" s="16">
        <f t="shared" si="86"/>
        <v>8391</v>
      </c>
      <c r="K239" s="16">
        <f t="shared" si="100"/>
        <v>5759</v>
      </c>
      <c r="L239" s="16">
        <f t="shared" si="65"/>
        <v>2632</v>
      </c>
      <c r="M239" s="16"/>
      <c r="N239" s="17"/>
      <c r="O239" s="96">
        <v>2012</v>
      </c>
      <c r="P239" s="97" t="s">
        <v>41</v>
      </c>
      <c r="Q239" s="15">
        <f t="shared" si="66"/>
        <v>0.58188319427890345</v>
      </c>
      <c r="R239" s="15">
        <f t="shared" si="67"/>
        <v>0.72016521610857054</v>
      </c>
      <c r="S239" s="15">
        <f t="shared" si="68"/>
        <v>0.80798569725864122</v>
      </c>
      <c r="T239" s="16"/>
      <c r="U239" s="16"/>
      <c r="V239" s="16">
        <v>8390</v>
      </c>
      <c r="W239" s="16">
        <f t="shared" si="101"/>
        <v>1611</v>
      </c>
      <c r="X239" s="16">
        <v>6779</v>
      </c>
      <c r="Y239" s="16">
        <v>4882</v>
      </c>
      <c r="Z239" s="16">
        <f t="shared" si="102"/>
        <v>1897</v>
      </c>
      <c r="AA239" s="16"/>
      <c r="AB239" s="17"/>
      <c r="AC239" s="96">
        <v>2012</v>
      </c>
      <c r="AD239" s="97" t="s">
        <v>41</v>
      </c>
      <c r="AE239" s="15">
        <f t="shared" si="71"/>
        <v>0.58305084745762714</v>
      </c>
      <c r="AF239" s="15">
        <f t="shared" si="72"/>
        <v>0.65316455696202536</v>
      </c>
      <c r="AG239" s="15">
        <f t="shared" si="73"/>
        <v>0.89265536723163841</v>
      </c>
      <c r="AH239" s="16"/>
      <c r="AI239" s="16"/>
      <c r="AJ239" s="16">
        <v>885</v>
      </c>
      <c r="AK239" s="16">
        <f t="shared" si="103"/>
        <v>95</v>
      </c>
      <c r="AL239" s="16">
        <v>790</v>
      </c>
      <c r="AM239" s="16">
        <v>516</v>
      </c>
      <c r="AN239" s="16">
        <f t="shared" si="104"/>
        <v>274</v>
      </c>
      <c r="AO239" s="16"/>
      <c r="AP239" s="17"/>
      <c r="AQ239" s="96">
        <v>2012</v>
      </c>
      <c r="AR239" s="97" t="s">
        <v>41</v>
      </c>
      <c r="AS239" s="15">
        <f t="shared" si="76"/>
        <v>0.36464646464646466</v>
      </c>
      <c r="AT239" s="15">
        <f t="shared" si="77"/>
        <v>0.43917274939172751</v>
      </c>
      <c r="AU239" s="15">
        <f t="shared" si="78"/>
        <v>0.83030303030303032</v>
      </c>
      <c r="AV239" s="16"/>
      <c r="AW239" s="16"/>
      <c r="AX239" s="16">
        <v>990</v>
      </c>
      <c r="AY239" s="16">
        <f t="shared" si="105"/>
        <v>168</v>
      </c>
      <c r="AZ239" s="16">
        <v>822</v>
      </c>
      <c r="BA239" s="16">
        <v>361</v>
      </c>
      <c r="BB239" s="16">
        <f t="shared" si="106"/>
        <v>461</v>
      </c>
    </row>
    <row r="240" spans="1:54" s="18" customFormat="1" ht="15" customHeight="1">
      <c r="A240" s="94">
        <v>2012</v>
      </c>
      <c r="B240" s="95" t="s">
        <v>42</v>
      </c>
      <c r="C240" s="15">
        <f t="shared" si="81"/>
        <v>0.54569536423841059</v>
      </c>
      <c r="D240" s="15">
        <f t="shared" si="82"/>
        <v>0.6953586497890295</v>
      </c>
      <c r="E240" s="15">
        <f t="shared" si="83"/>
        <v>0.78476821192052981</v>
      </c>
      <c r="F240" s="16">
        <f>+Tabla2[[#This Row],[Trenes Programados por Día Hábil]]+Tabla9[[#This Row],[Trenes Programados por Día Hábil]]+Tabla10[[#This Row],[Trenes Programados por Día Hábil]]</f>
        <v>0</v>
      </c>
      <c r="G240" s="33">
        <f>+(Tabla2[[#This Row],[Coches por Tren Día Hábil]]*Tabla2[[#This Row],[Trenes Corridos]]+Tabla9[[#This Row],[Coches por Tren Día Hábil]]*Tabla9[[#This Row],[Trenes Corridos]]+Tabla10[[#This Row],[Coches por Tren Día Hábil]]*Tabla10[[#This Row],[Trenes Corridos]])/SARM[[#This Row],[Trenes Corridos]]</f>
        <v>0</v>
      </c>
      <c r="H240" s="16">
        <f t="shared" si="99"/>
        <v>10570</v>
      </c>
      <c r="I240" s="16">
        <f t="shared" si="64"/>
        <v>2275</v>
      </c>
      <c r="J240" s="16">
        <f t="shared" si="86"/>
        <v>8295</v>
      </c>
      <c r="K240" s="16">
        <f t="shared" si="100"/>
        <v>5768</v>
      </c>
      <c r="L240" s="16">
        <f t="shared" si="65"/>
        <v>2527</v>
      </c>
      <c r="M240" s="16"/>
      <c r="N240" s="17"/>
      <c r="O240" s="94">
        <v>2012</v>
      </c>
      <c r="P240" s="95" t="s">
        <v>42</v>
      </c>
      <c r="Q240" s="15">
        <f t="shared" si="66"/>
        <v>0.55633965756594173</v>
      </c>
      <c r="R240" s="15">
        <f t="shared" si="67"/>
        <v>0.70981549815498157</v>
      </c>
      <c r="S240" s="15">
        <f t="shared" si="68"/>
        <v>0.783780657103193</v>
      </c>
      <c r="T240" s="16"/>
      <c r="U240" s="16"/>
      <c r="V240" s="16">
        <v>8644</v>
      </c>
      <c r="W240" s="16">
        <f t="shared" si="101"/>
        <v>1869</v>
      </c>
      <c r="X240" s="16">
        <v>6775</v>
      </c>
      <c r="Y240" s="16">
        <v>4809</v>
      </c>
      <c r="Z240" s="16">
        <f t="shared" si="102"/>
        <v>1966</v>
      </c>
      <c r="AA240" s="16"/>
      <c r="AB240" s="17"/>
      <c r="AC240" s="94">
        <v>2012</v>
      </c>
      <c r="AD240" s="95" t="s">
        <v>42</v>
      </c>
      <c r="AE240" s="15">
        <f t="shared" si="71"/>
        <v>0.63834422657952072</v>
      </c>
      <c r="AF240" s="15">
        <f t="shared" si="72"/>
        <v>0.75032010243277847</v>
      </c>
      <c r="AG240" s="15">
        <f t="shared" si="73"/>
        <v>0.85076252723311552</v>
      </c>
      <c r="AH240" s="16"/>
      <c r="AI240" s="16"/>
      <c r="AJ240" s="16">
        <v>918</v>
      </c>
      <c r="AK240" s="16">
        <f t="shared" si="103"/>
        <v>137</v>
      </c>
      <c r="AL240" s="16">
        <v>781</v>
      </c>
      <c r="AM240" s="16">
        <v>586</v>
      </c>
      <c r="AN240" s="16">
        <f t="shared" si="104"/>
        <v>195</v>
      </c>
      <c r="AO240" s="16"/>
      <c r="AP240" s="17"/>
      <c r="AQ240" s="94">
        <v>2012</v>
      </c>
      <c r="AR240" s="95" t="s">
        <v>42</v>
      </c>
      <c r="AS240" s="15">
        <f t="shared" si="76"/>
        <v>0.37003968253968256</v>
      </c>
      <c r="AT240" s="15">
        <f t="shared" si="77"/>
        <v>0.50473612990527739</v>
      </c>
      <c r="AU240" s="15">
        <f t="shared" si="78"/>
        <v>0.73313492063492058</v>
      </c>
      <c r="AV240" s="16"/>
      <c r="AW240" s="16"/>
      <c r="AX240" s="16">
        <v>1008</v>
      </c>
      <c r="AY240" s="16">
        <f t="shared" si="105"/>
        <v>269</v>
      </c>
      <c r="AZ240" s="16">
        <v>739</v>
      </c>
      <c r="BA240" s="16">
        <v>373</v>
      </c>
      <c r="BB240" s="16">
        <f t="shared" si="106"/>
        <v>366</v>
      </c>
    </row>
    <row r="241" spans="1:54" s="18" customFormat="1" ht="15" customHeight="1">
      <c r="A241" s="96">
        <v>2012</v>
      </c>
      <c r="B241" s="97" t="s">
        <v>43</v>
      </c>
      <c r="C241" s="15">
        <f t="shared" si="81"/>
        <v>0.35640428504890542</v>
      </c>
      <c r="D241" s="15">
        <f t="shared" si="82"/>
        <v>0.52852603950821941</v>
      </c>
      <c r="E241" s="15">
        <f t="shared" si="83"/>
        <v>0.67433628318584071</v>
      </c>
      <c r="F241" s="16">
        <f>+Tabla2[[#This Row],[Trenes Programados por Día Hábil]]+Tabla9[[#This Row],[Trenes Programados por Día Hábil]]+Tabla10[[#This Row],[Trenes Programados por Día Hábil]]</f>
        <v>0</v>
      </c>
      <c r="G241" s="33">
        <f>+(Tabla2[[#This Row],[Coches por Tren Día Hábil]]*Tabla2[[#This Row],[Trenes Corridos]]+Tabla9[[#This Row],[Coches por Tren Día Hábil]]*Tabla9[[#This Row],[Trenes Corridos]]+Tabla10[[#This Row],[Coches por Tren Día Hábil]]*Tabla10[[#This Row],[Trenes Corridos]])/SARM[[#This Row],[Trenes Corridos]]</f>
        <v>0</v>
      </c>
      <c r="H241" s="16">
        <f t="shared" si="99"/>
        <v>10735</v>
      </c>
      <c r="I241" s="16">
        <f t="shared" si="64"/>
        <v>3496</v>
      </c>
      <c r="J241" s="16">
        <f t="shared" si="86"/>
        <v>7239</v>
      </c>
      <c r="K241" s="16">
        <f t="shared" si="100"/>
        <v>3826</v>
      </c>
      <c r="L241" s="16">
        <f t="shared" si="65"/>
        <v>3413</v>
      </c>
      <c r="M241" s="16"/>
      <c r="N241" s="17"/>
      <c r="O241" s="96">
        <v>2012</v>
      </c>
      <c r="P241" s="97" t="s">
        <v>43</v>
      </c>
      <c r="Q241" s="15">
        <f t="shared" si="66"/>
        <v>0.36321237629393699</v>
      </c>
      <c r="R241" s="15">
        <f t="shared" si="67"/>
        <v>0.52890508530727187</v>
      </c>
      <c r="S241" s="15">
        <f t="shared" si="68"/>
        <v>0.6867250597201684</v>
      </c>
      <c r="T241" s="16"/>
      <c r="U241" s="16"/>
      <c r="V241" s="16">
        <v>8791</v>
      </c>
      <c r="W241" s="16">
        <f t="shared" si="101"/>
        <v>2754</v>
      </c>
      <c r="X241" s="16">
        <v>6037</v>
      </c>
      <c r="Y241" s="16">
        <v>3193</v>
      </c>
      <c r="Z241" s="16">
        <f t="shared" si="102"/>
        <v>2844</v>
      </c>
      <c r="AA241" s="16"/>
      <c r="AB241" s="17"/>
      <c r="AC241" s="96">
        <v>2012</v>
      </c>
      <c r="AD241" s="97" t="s">
        <v>43</v>
      </c>
      <c r="AE241" s="15">
        <f t="shared" si="71"/>
        <v>0.46405228758169936</v>
      </c>
      <c r="AF241" s="15">
        <f t="shared" si="72"/>
        <v>0.66149068322981364</v>
      </c>
      <c r="AG241" s="15">
        <f t="shared" si="73"/>
        <v>0.70152505446623092</v>
      </c>
      <c r="AH241" s="16"/>
      <c r="AI241" s="16"/>
      <c r="AJ241" s="16">
        <v>918</v>
      </c>
      <c r="AK241" s="16">
        <f t="shared" si="103"/>
        <v>274</v>
      </c>
      <c r="AL241" s="16">
        <v>644</v>
      </c>
      <c r="AM241" s="16">
        <v>426</v>
      </c>
      <c r="AN241" s="16">
        <f t="shared" si="104"/>
        <v>218</v>
      </c>
      <c r="AO241" s="16"/>
      <c r="AP241" s="17"/>
      <c r="AQ241" s="96">
        <v>2012</v>
      </c>
      <c r="AR241" s="97" t="s">
        <v>43</v>
      </c>
      <c r="AS241" s="15">
        <f t="shared" si="76"/>
        <v>0.20175438596491227</v>
      </c>
      <c r="AT241" s="15">
        <f t="shared" si="77"/>
        <v>0.37096774193548387</v>
      </c>
      <c r="AU241" s="15">
        <f t="shared" si="78"/>
        <v>0.54385964912280704</v>
      </c>
      <c r="AV241" s="16"/>
      <c r="AW241" s="16"/>
      <c r="AX241" s="16">
        <v>1026</v>
      </c>
      <c r="AY241" s="16">
        <f t="shared" si="105"/>
        <v>468</v>
      </c>
      <c r="AZ241" s="16">
        <v>558</v>
      </c>
      <c r="BA241" s="16">
        <v>207</v>
      </c>
      <c r="BB241" s="16">
        <f t="shared" si="106"/>
        <v>351</v>
      </c>
    </row>
    <row r="242" spans="1:54" s="18" customFormat="1" ht="15" customHeight="1">
      <c r="A242" s="94">
        <v>2012</v>
      </c>
      <c r="B242" s="95" t="s">
        <v>44</v>
      </c>
      <c r="C242" s="15">
        <f t="shared" si="81"/>
        <v>0.29712871287128712</v>
      </c>
      <c r="D242" s="15">
        <f t="shared" si="82"/>
        <v>0.47597145122918316</v>
      </c>
      <c r="E242" s="15">
        <f t="shared" si="83"/>
        <v>0.62425742574257426</v>
      </c>
      <c r="F242" s="16">
        <f>+Tabla2[[#This Row],[Trenes Programados por Día Hábil]]+Tabla9[[#This Row],[Trenes Programados por Día Hábil]]+Tabla10[[#This Row],[Trenes Programados por Día Hábil]]</f>
        <v>0</v>
      </c>
      <c r="G242" s="33">
        <f>+(Tabla2[[#This Row],[Coches por Tren Día Hábil]]*Tabla2[[#This Row],[Trenes Corridos]]+Tabla9[[#This Row],[Coches por Tren Día Hábil]]*Tabla9[[#This Row],[Trenes Corridos]]+Tabla10[[#This Row],[Coches por Tren Día Hábil]]*Tabla10[[#This Row],[Trenes Corridos]])/SARM[[#This Row],[Trenes Corridos]]</f>
        <v>0</v>
      </c>
      <c r="H242" s="16">
        <f t="shared" si="99"/>
        <v>10100</v>
      </c>
      <c r="I242" s="16">
        <f t="shared" si="64"/>
        <v>3795</v>
      </c>
      <c r="J242" s="16">
        <f t="shared" si="86"/>
        <v>6305</v>
      </c>
      <c r="K242" s="16">
        <f t="shared" si="100"/>
        <v>3001</v>
      </c>
      <c r="L242" s="16">
        <f t="shared" si="65"/>
        <v>3304</v>
      </c>
      <c r="M242" s="16"/>
      <c r="N242" s="17"/>
      <c r="O242" s="94">
        <v>2012</v>
      </c>
      <c r="P242" s="95" t="s">
        <v>44</v>
      </c>
      <c r="Q242" s="15">
        <f t="shared" si="66"/>
        <v>0.28691010554409802</v>
      </c>
      <c r="R242" s="15">
        <f t="shared" si="67"/>
        <v>0.46164356822174507</v>
      </c>
      <c r="S242" s="15">
        <f t="shared" si="68"/>
        <v>0.62149702778114768</v>
      </c>
      <c r="T242" s="16"/>
      <c r="U242" s="16"/>
      <c r="V242" s="16">
        <v>8243</v>
      </c>
      <c r="W242" s="16">
        <f t="shared" si="101"/>
        <v>3120</v>
      </c>
      <c r="X242" s="16">
        <v>5123</v>
      </c>
      <c r="Y242" s="16">
        <v>2365</v>
      </c>
      <c r="Z242" s="16">
        <f t="shared" si="102"/>
        <v>2758</v>
      </c>
      <c r="AA242" s="16"/>
      <c r="AB242" s="17"/>
      <c r="AC242" s="94">
        <v>2012</v>
      </c>
      <c r="AD242" s="95" t="s">
        <v>44</v>
      </c>
      <c r="AE242" s="15">
        <f t="shared" si="71"/>
        <v>0.53107344632768361</v>
      </c>
      <c r="AF242" s="15">
        <f t="shared" si="72"/>
        <v>0.67528735632183912</v>
      </c>
      <c r="AG242" s="15">
        <f t="shared" si="73"/>
        <v>0.78644067796610173</v>
      </c>
      <c r="AH242" s="16"/>
      <c r="AI242" s="16"/>
      <c r="AJ242" s="16">
        <v>885</v>
      </c>
      <c r="AK242" s="16">
        <f t="shared" si="103"/>
        <v>189</v>
      </c>
      <c r="AL242" s="16">
        <v>696</v>
      </c>
      <c r="AM242" s="16">
        <v>470</v>
      </c>
      <c r="AN242" s="16">
        <f t="shared" si="104"/>
        <v>226</v>
      </c>
      <c r="AO242" s="16"/>
      <c r="AP242" s="17"/>
      <c r="AQ242" s="94">
        <v>2012</v>
      </c>
      <c r="AR242" s="95" t="s">
        <v>44</v>
      </c>
      <c r="AS242" s="15">
        <f t="shared" si="76"/>
        <v>0.17078189300411523</v>
      </c>
      <c r="AT242" s="15">
        <f t="shared" si="77"/>
        <v>0.34156378600823045</v>
      </c>
      <c r="AU242" s="15">
        <f t="shared" si="78"/>
        <v>0.5</v>
      </c>
      <c r="AV242" s="16"/>
      <c r="AW242" s="16"/>
      <c r="AX242" s="16">
        <v>972</v>
      </c>
      <c r="AY242" s="16">
        <f t="shared" si="105"/>
        <v>486</v>
      </c>
      <c r="AZ242" s="16">
        <v>486</v>
      </c>
      <c r="BA242" s="16">
        <v>166</v>
      </c>
      <c r="BB242" s="16">
        <f t="shared" si="106"/>
        <v>320</v>
      </c>
    </row>
    <row r="243" spans="1:54" s="18" customFormat="1" ht="15" customHeight="1">
      <c r="A243" s="96">
        <v>2012</v>
      </c>
      <c r="B243" s="97" t="s">
        <v>45</v>
      </c>
      <c r="C243" s="15">
        <f t="shared" si="81"/>
        <v>0.26595249184909175</v>
      </c>
      <c r="D243" s="15">
        <f t="shared" si="82"/>
        <v>0.39835356495046742</v>
      </c>
      <c r="E243" s="15">
        <f t="shared" si="83"/>
        <v>0.66762925011644159</v>
      </c>
      <c r="F243" s="16">
        <f>+Tabla2[[#This Row],[Trenes Programados por Día Hábil]]+Tabla9[[#This Row],[Trenes Programados por Día Hábil]]+Tabla10[[#This Row],[Trenes Programados por Día Hábil]]</f>
        <v>0</v>
      </c>
      <c r="G243" s="33">
        <f>+(Tabla2[[#This Row],[Coches por Tren Día Hábil]]*Tabla2[[#This Row],[Trenes Corridos]]+Tabla9[[#This Row],[Coches por Tren Día Hábil]]*Tabla9[[#This Row],[Trenes Corridos]]+Tabla10[[#This Row],[Coches por Tren Día Hábil]]*Tabla10[[#This Row],[Trenes Corridos]])/SARM[[#This Row],[Trenes Corridos]]</f>
        <v>0</v>
      </c>
      <c r="H243" s="16">
        <f t="shared" si="99"/>
        <v>10735</v>
      </c>
      <c r="I243" s="16">
        <f t="shared" si="64"/>
        <v>3568</v>
      </c>
      <c r="J243" s="16">
        <f t="shared" si="86"/>
        <v>7167</v>
      </c>
      <c r="K243" s="16">
        <f t="shared" si="100"/>
        <v>2855</v>
      </c>
      <c r="L243" s="16">
        <f t="shared" si="65"/>
        <v>4312</v>
      </c>
      <c r="M243" s="16"/>
      <c r="N243" s="17"/>
      <c r="O243" s="96">
        <v>2012</v>
      </c>
      <c r="P243" s="97" t="s">
        <v>45</v>
      </c>
      <c r="Q243" s="15">
        <f t="shared" si="66"/>
        <v>0.26106245023319302</v>
      </c>
      <c r="R243" s="15">
        <f t="shared" si="67"/>
        <v>0.3876034453639588</v>
      </c>
      <c r="S243" s="15">
        <f t="shared" si="68"/>
        <v>0.67352974633147533</v>
      </c>
      <c r="T243" s="16"/>
      <c r="U243" s="16"/>
      <c r="V243" s="16">
        <v>8791</v>
      </c>
      <c r="W243" s="16">
        <f t="shared" si="101"/>
        <v>2870</v>
      </c>
      <c r="X243" s="16">
        <v>5921</v>
      </c>
      <c r="Y243" s="16">
        <v>2295</v>
      </c>
      <c r="Z243" s="16">
        <f t="shared" si="102"/>
        <v>3626</v>
      </c>
      <c r="AA243" s="16"/>
      <c r="AB243" s="17"/>
      <c r="AC243" s="96">
        <v>2012</v>
      </c>
      <c r="AD243" s="97" t="s">
        <v>45</v>
      </c>
      <c r="AE243" s="15">
        <f t="shared" si="71"/>
        <v>0.51198257080610021</v>
      </c>
      <c r="AF243" s="15">
        <f t="shared" si="72"/>
        <v>0.65642458100558654</v>
      </c>
      <c r="AG243" s="15">
        <f t="shared" si="73"/>
        <v>0.77995642701525059</v>
      </c>
      <c r="AH243" s="16"/>
      <c r="AI243" s="16"/>
      <c r="AJ243" s="16">
        <v>918</v>
      </c>
      <c r="AK243" s="16">
        <f t="shared" si="103"/>
        <v>202</v>
      </c>
      <c r="AL243" s="16">
        <v>716</v>
      </c>
      <c r="AM243" s="16">
        <v>470</v>
      </c>
      <c r="AN243" s="16">
        <f t="shared" si="104"/>
        <v>246</v>
      </c>
      <c r="AO243" s="16"/>
      <c r="AP243" s="17"/>
      <c r="AQ243" s="96">
        <v>2012</v>
      </c>
      <c r="AR243" s="97" t="s">
        <v>45</v>
      </c>
      <c r="AS243" s="15">
        <f t="shared" si="76"/>
        <v>8.771929824561403E-2</v>
      </c>
      <c r="AT243" s="15">
        <f t="shared" si="77"/>
        <v>0.16981132075471697</v>
      </c>
      <c r="AU243" s="15">
        <f t="shared" si="78"/>
        <v>0.51656920077972712</v>
      </c>
      <c r="AV243" s="16"/>
      <c r="AW243" s="16"/>
      <c r="AX243" s="16">
        <v>1026</v>
      </c>
      <c r="AY243" s="16">
        <f t="shared" si="105"/>
        <v>496</v>
      </c>
      <c r="AZ243" s="16">
        <v>530</v>
      </c>
      <c r="BA243" s="16">
        <v>90</v>
      </c>
      <c r="BB243" s="16">
        <f t="shared" si="106"/>
        <v>440</v>
      </c>
    </row>
    <row r="244" spans="1:54" s="18" customFormat="1" ht="15" customHeight="1">
      <c r="A244" s="94">
        <v>2012</v>
      </c>
      <c r="B244" s="95" t="s">
        <v>46</v>
      </c>
      <c r="C244" s="15">
        <f t="shared" si="81"/>
        <v>0.16742343734904841</v>
      </c>
      <c r="D244" s="15">
        <f t="shared" si="82"/>
        <v>0.291799966324297</v>
      </c>
      <c r="E244" s="15">
        <f t="shared" si="83"/>
        <v>0.5737609892763984</v>
      </c>
      <c r="F244" s="16">
        <f>+Tabla2[[#This Row],[Trenes Programados por Día Hábil]]+Tabla9[[#This Row],[Trenes Programados por Día Hábil]]+Tabla10[[#This Row],[Trenes Programados por Día Hábil]]</f>
        <v>0</v>
      </c>
      <c r="G244" s="33">
        <f>+(Tabla2[[#This Row],[Coches por Tren Día Hábil]]*Tabla2[[#This Row],[Trenes Corridos]]+Tabla9[[#This Row],[Coches por Tren Día Hábil]]*Tabla9[[#This Row],[Trenes Corridos]]+Tabla10[[#This Row],[Coches por Tren Día Hábil]]*Tabla10[[#This Row],[Trenes Corridos]])/SARM[[#This Row],[Trenes Corridos]]</f>
        <v>0</v>
      </c>
      <c r="H244" s="16">
        <f t="shared" si="99"/>
        <v>10351</v>
      </c>
      <c r="I244" s="16">
        <f t="shared" si="64"/>
        <v>4412</v>
      </c>
      <c r="J244" s="16">
        <f t="shared" si="86"/>
        <v>5939</v>
      </c>
      <c r="K244" s="16">
        <f t="shared" si="100"/>
        <v>1733</v>
      </c>
      <c r="L244" s="16">
        <f t="shared" si="65"/>
        <v>4206</v>
      </c>
      <c r="M244" s="16"/>
      <c r="N244" s="17"/>
      <c r="O244" s="94">
        <v>2012</v>
      </c>
      <c r="P244" s="95" t="s">
        <v>46</v>
      </c>
      <c r="Q244" s="15">
        <f t="shared" si="66"/>
        <v>0.14681930839136079</v>
      </c>
      <c r="R244" s="15">
        <f t="shared" si="67"/>
        <v>0.25911268485732142</v>
      </c>
      <c r="S244" s="15">
        <f t="shared" si="68"/>
        <v>0.56662339195090283</v>
      </c>
      <c r="T244" s="16"/>
      <c r="U244" s="16"/>
      <c r="V244" s="16">
        <v>8473</v>
      </c>
      <c r="W244" s="16">
        <f t="shared" si="101"/>
        <v>3672</v>
      </c>
      <c r="X244" s="16">
        <v>4801</v>
      </c>
      <c r="Y244" s="16">
        <v>1244</v>
      </c>
      <c r="Z244" s="16">
        <f t="shared" si="102"/>
        <v>3557</v>
      </c>
      <c r="AA244" s="16"/>
      <c r="AB244" s="17"/>
      <c r="AC244" s="94">
        <v>2012</v>
      </c>
      <c r="AD244" s="95" t="s">
        <v>46</v>
      </c>
      <c r="AE244" s="15">
        <f t="shared" si="71"/>
        <v>0.40653153153153154</v>
      </c>
      <c r="AF244" s="15">
        <f t="shared" si="72"/>
        <v>0.51205673758865244</v>
      </c>
      <c r="AG244" s="15">
        <f t="shared" si="73"/>
        <v>0.79391891891891897</v>
      </c>
      <c r="AH244" s="16"/>
      <c r="AI244" s="16"/>
      <c r="AJ244" s="16">
        <v>888</v>
      </c>
      <c r="AK244" s="16">
        <f t="shared" si="103"/>
        <v>183</v>
      </c>
      <c r="AL244" s="16">
        <v>705</v>
      </c>
      <c r="AM244" s="16">
        <v>361</v>
      </c>
      <c r="AN244" s="16">
        <f t="shared" si="104"/>
        <v>344</v>
      </c>
      <c r="AO244" s="16"/>
      <c r="AP244" s="17"/>
      <c r="AQ244" s="94">
        <v>2012</v>
      </c>
      <c r="AR244" s="95" t="s">
        <v>46</v>
      </c>
      <c r="AS244" s="15">
        <f t="shared" si="76"/>
        <v>0.12929292929292929</v>
      </c>
      <c r="AT244" s="15">
        <f t="shared" si="77"/>
        <v>0.29561200923787528</v>
      </c>
      <c r="AU244" s="15">
        <f t="shared" si="78"/>
        <v>0.43737373737373736</v>
      </c>
      <c r="AV244" s="16"/>
      <c r="AW244" s="16"/>
      <c r="AX244" s="16">
        <v>990</v>
      </c>
      <c r="AY244" s="16">
        <f t="shared" si="105"/>
        <v>557</v>
      </c>
      <c r="AZ244" s="16">
        <v>433</v>
      </c>
      <c r="BA244" s="16">
        <v>128</v>
      </c>
      <c r="BB244" s="16">
        <f t="shared" si="106"/>
        <v>305</v>
      </c>
    </row>
    <row r="245" spans="1:54" s="18" customFormat="1" ht="15" customHeight="1">
      <c r="A245" s="96">
        <v>2012</v>
      </c>
      <c r="B245" s="97" t="s">
        <v>47</v>
      </c>
      <c r="C245" s="15">
        <f t="shared" si="81"/>
        <v>0.30191345944770603</v>
      </c>
      <c r="D245" s="15">
        <f t="shared" si="82"/>
        <v>0.46523705813369076</v>
      </c>
      <c r="E245" s="15">
        <f t="shared" si="83"/>
        <v>0.6489454229180257</v>
      </c>
      <c r="F245" s="16">
        <f>+Tabla2[[#This Row],[Trenes Programados por Día Hábil]]+Tabla9[[#This Row],[Trenes Programados por Día Hábil]]+Tabla10[[#This Row],[Trenes Programados por Día Hábil]]</f>
        <v>0</v>
      </c>
      <c r="G245" s="33">
        <f>+(Tabla2[[#This Row],[Coches por Tren Día Hábil]]*Tabla2[[#This Row],[Trenes Corridos]]+Tabla9[[#This Row],[Coches por Tren Día Hábil]]*Tabla9[[#This Row],[Trenes Corridos]]+Tabla10[[#This Row],[Coches por Tren Día Hábil]]*Tabla10[[#This Row],[Trenes Corridos]])/SARM[[#This Row],[Trenes Corridos]]</f>
        <v>0</v>
      </c>
      <c r="H245" s="16">
        <f t="shared" si="99"/>
        <v>9198</v>
      </c>
      <c r="I245" s="16">
        <f t="shared" si="64"/>
        <v>3229</v>
      </c>
      <c r="J245" s="16">
        <f t="shared" si="86"/>
        <v>5969</v>
      </c>
      <c r="K245" s="16">
        <f t="shared" si="100"/>
        <v>2777</v>
      </c>
      <c r="L245" s="16">
        <f t="shared" si="65"/>
        <v>3192</v>
      </c>
      <c r="M245" s="16"/>
      <c r="N245" s="25"/>
      <c r="O245" s="96">
        <v>2012</v>
      </c>
      <c r="P245" s="97" t="s">
        <v>47</v>
      </c>
      <c r="Q245" s="15">
        <f t="shared" si="66"/>
        <v>0.31472359058565957</v>
      </c>
      <c r="R245" s="15">
        <f t="shared" si="67"/>
        <v>0.4827875734676742</v>
      </c>
      <c r="S245" s="15">
        <f t="shared" si="68"/>
        <v>0.65188834154351394</v>
      </c>
      <c r="T245" s="16"/>
      <c r="U245" s="16"/>
      <c r="V245" s="16">
        <v>7308</v>
      </c>
      <c r="W245" s="16">
        <f t="shared" si="101"/>
        <v>2544</v>
      </c>
      <c r="X245" s="16">
        <v>4764</v>
      </c>
      <c r="Y245" s="16">
        <v>2300</v>
      </c>
      <c r="Z245" s="16">
        <f t="shared" si="102"/>
        <v>2464</v>
      </c>
      <c r="AA245" s="16"/>
      <c r="AB245" s="17"/>
      <c r="AC245" s="96">
        <v>2012</v>
      </c>
      <c r="AD245" s="97" t="s">
        <v>47</v>
      </c>
      <c r="AE245" s="15">
        <f t="shared" si="71"/>
        <v>0.44662309368191722</v>
      </c>
      <c r="AF245" s="15">
        <f t="shared" si="72"/>
        <v>0.53805774278215224</v>
      </c>
      <c r="AG245" s="15">
        <f t="shared" si="73"/>
        <v>0.83006535947712423</v>
      </c>
      <c r="AH245" s="16"/>
      <c r="AI245" s="16"/>
      <c r="AJ245" s="16">
        <v>918</v>
      </c>
      <c r="AK245" s="16">
        <f t="shared" si="103"/>
        <v>156</v>
      </c>
      <c r="AL245" s="16">
        <v>762</v>
      </c>
      <c r="AM245" s="16">
        <v>410</v>
      </c>
      <c r="AN245" s="16">
        <f t="shared" si="104"/>
        <v>352</v>
      </c>
      <c r="AO245" s="16"/>
      <c r="AP245" s="17"/>
      <c r="AQ245" s="96">
        <v>2012</v>
      </c>
      <c r="AR245" s="97" t="s">
        <v>47</v>
      </c>
      <c r="AS245" s="15">
        <f t="shared" si="76"/>
        <v>6.893004115226338E-2</v>
      </c>
      <c r="AT245" s="15">
        <f t="shared" si="77"/>
        <v>0.15124153498871332</v>
      </c>
      <c r="AU245" s="15">
        <f t="shared" si="78"/>
        <v>0.45576131687242799</v>
      </c>
      <c r="AV245" s="16"/>
      <c r="AW245" s="16"/>
      <c r="AX245" s="16">
        <v>972</v>
      </c>
      <c r="AY245" s="16">
        <f t="shared" si="105"/>
        <v>529</v>
      </c>
      <c r="AZ245" s="16">
        <v>443</v>
      </c>
      <c r="BA245" s="16">
        <v>67</v>
      </c>
      <c r="BB245" s="16">
        <f t="shared" si="106"/>
        <v>376</v>
      </c>
    </row>
    <row r="246" spans="1:54" s="18" customFormat="1" ht="15" customHeight="1">
      <c r="A246" s="94">
        <v>2013</v>
      </c>
      <c r="B246" s="95" t="s">
        <v>36</v>
      </c>
      <c r="C246" s="15">
        <f t="shared" si="81"/>
        <v>0.49244271087274499</v>
      </c>
      <c r="D246" s="15">
        <f t="shared" si="82"/>
        <v>0.68965517241379315</v>
      </c>
      <c r="E246" s="15">
        <f t="shared" si="83"/>
        <v>0.71404193076548028</v>
      </c>
      <c r="F246" s="16">
        <f>+Tabla2[[#This Row],[Trenes Programados por Día Hábil]]+Tabla9[[#This Row],[Trenes Programados por Día Hábil]]+Tabla10[[#This Row],[Trenes Programados por Día Hábil]]</f>
        <v>0</v>
      </c>
      <c r="G246" s="33">
        <f>+(Tabla2[[#This Row],[Coches por Tren Día Hábil]]*Tabla2[[#This Row],[Trenes Corridos]]+Tabla9[[#This Row],[Coches por Tren Día Hábil]]*Tabla9[[#This Row],[Trenes Corridos]]+Tabla10[[#This Row],[Coches por Tren Día Hábil]]*Tabla10[[#This Row],[Trenes Corridos]])/SARM[[#This Row],[Trenes Corridos]]</f>
        <v>0</v>
      </c>
      <c r="H246" s="16">
        <f t="shared" si="99"/>
        <v>8204</v>
      </c>
      <c r="I246" s="16">
        <f t="shared" si="64"/>
        <v>2346</v>
      </c>
      <c r="J246" s="16">
        <f t="shared" si="86"/>
        <v>5858</v>
      </c>
      <c r="K246" s="16">
        <f t="shared" si="100"/>
        <v>4040</v>
      </c>
      <c r="L246" s="16">
        <f t="shared" si="65"/>
        <v>1818</v>
      </c>
      <c r="M246" s="16"/>
      <c r="N246" s="17"/>
      <c r="O246" s="94">
        <v>2013</v>
      </c>
      <c r="P246" s="95" t="s">
        <v>36</v>
      </c>
      <c r="Q246" s="15">
        <f t="shared" si="66"/>
        <v>0.52309652755654668</v>
      </c>
      <c r="R246" s="15">
        <f t="shared" si="67"/>
        <v>0.77746212121212122</v>
      </c>
      <c r="S246" s="15">
        <f t="shared" si="68"/>
        <v>0.67282574068174583</v>
      </c>
      <c r="T246" s="16"/>
      <c r="U246" s="16"/>
      <c r="V246" s="16">
        <v>6278</v>
      </c>
      <c r="W246" s="16">
        <f t="shared" ref="W246:W257" si="107">V246-X246</f>
        <v>2054</v>
      </c>
      <c r="X246" s="16">
        <v>4224</v>
      </c>
      <c r="Y246" s="16">
        <v>3284</v>
      </c>
      <c r="Z246" s="16">
        <f t="shared" ref="Z246:Z257" si="108">X246-Y246</f>
        <v>940</v>
      </c>
      <c r="AA246" s="16"/>
      <c r="AB246" s="17"/>
      <c r="AC246" s="94">
        <v>2013</v>
      </c>
      <c r="AD246" s="95" t="s">
        <v>36</v>
      </c>
      <c r="AE246" s="15">
        <f t="shared" si="71"/>
        <v>0.62636165577342051</v>
      </c>
      <c r="AF246" s="15">
        <f t="shared" si="72"/>
        <v>0.68289786223277915</v>
      </c>
      <c r="AG246" s="15">
        <f t="shared" si="73"/>
        <v>0.91721132897603486</v>
      </c>
      <c r="AH246" s="16"/>
      <c r="AI246" s="16"/>
      <c r="AJ246" s="16">
        <v>918</v>
      </c>
      <c r="AK246" s="16">
        <f t="shared" ref="AK246:AK257" si="109">AJ246-AL246</f>
        <v>76</v>
      </c>
      <c r="AL246" s="16">
        <v>842</v>
      </c>
      <c r="AM246" s="16">
        <v>575</v>
      </c>
      <c r="AN246" s="16">
        <f t="shared" ref="AN246:AN257" si="110">AL246-AM246</f>
        <v>267</v>
      </c>
      <c r="AO246" s="16"/>
      <c r="AP246" s="17"/>
      <c r="AQ246" s="94">
        <v>2013</v>
      </c>
      <c r="AR246" s="95" t="s">
        <v>36</v>
      </c>
      <c r="AS246" s="15">
        <f t="shared" si="76"/>
        <v>0.17956349206349206</v>
      </c>
      <c r="AT246" s="15">
        <f t="shared" si="77"/>
        <v>0.22853535353535354</v>
      </c>
      <c r="AU246" s="15">
        <f t="shared" si="78"/>
        <v>0.7857142857142857</v>
      </c>
      <c r="AV246" s="16"/>
      <c r="AW246" s="16"/>
      <c r="AX246" s="16">
        <v>1008</v>
      </c>
      <c r="AY246" s="16">
        <f t="shared" ref="AY246:AY257" si="111">AX246-AZ246</f>
        <v>216</v>
      </c>
      <c r="AZ246" s="16">
        <v>792</v>
      </c>
      <c r="BA246" s="16">
        <v>181</v>
      </c>
      <c r="BB246" s="16">
        <f t="shared" ref="BB246:BB257" si="112">AZ246-BA246</f>
        <v>611</v>
      </c>
    </row>
    <row r="247" spans="1:54" s="18" customFormat="1" ht="15" customHeight="1">
      <c r="A247" s="96">
        <v>2013</v>
      </c>
      <c r="B247" s="97" t="s">
        <v>37</v>
      </c>
      <c r="C247" s="15">
        <f t="shared" si="81"/>
        <v>0.49176728869374314</v>
      </c>
      <c r="D247" s="15">
        <f t="shared" si="82"/>
        <v>0.66394961096702487</v>
      </c>
      <c r="E247" s="15">
        <f t="shared" si="83"/>
        <v>0.74066959385290887</v>
      </c>
      <c r="F247" s="16">
        <f>+Tabla2[[#This Row],[Trenes Programados por Día Hábil]]+Tabla9[[#This Row],[Trenes Programados por Día Hábil]]+Tabla10[[#This Row],[Trenes Programados por Día Hábil]]</f>
        <v>0</v>
      </c>
      <c r="G247" s="33">
        <f>+(Tabla2[[#This Row],[Coches por Tren Día Hábil]]*Tabla2[[#This Row],[Trenes Corridos]]+Tabla9[[#This Row],[Coches por Tren Día Hábil]]*Tabla9[[#This Row],[Trenes Corridos]]+Tabla10[[#This Row],[Coches por Tren Día Hábil]]*Tabla10[[#This Row],[Trenes Corridos]])/SARM[[#This Row],[Trenes Corridos]]</f>
        <v>0</v>
      </c>
      <c r="H247" s="16">
        <f t="shared" si="99"/>
        <v>7288</v>
      </c>
      <c r="I247" s="16">
        <f t="shared" si="64"/>
        <v>1890</v>
      </c>
      <c r="J247" s="16">
        <f t="shared" si="86"/>
        <v>5398</v>
      </c>
      <c r="K247" s="16">
        <f t="shared" si="100"/>
        <v>3584</v>
      </c>
      <c r="L247" s="16">
        <f t="shared" si="65"/>
        <v>1814</v>
      </c>
      <c r="M247" s="16"/>
      <c r="N247" s="17"/>
      <c r="O247" s="96">
        <v>2013</v>
      </c>
      <c r="P247" s="97" t="s">
        <v>37</v>
      </c>
      <c r="Q247" s="15">
        <f t="shared" si="66"/>
        <v>0.542309071351739</v>
      </c>
      <c r="R247" s="15">
        <f t="shared" si="67"/>
        <v>0.76024126664991198</v>
      </c>
      <c r="S247" s="15">
        <f t="shared" si="68"/>
        <v>0.71333811401936176</v>
      </c>
      <c r="T247" s="16"/>
      <c r="U247" s="16"/>
      <c r="V247" s="16">
        <v>5578</v>
      </c>
      <c r="W247" s="16">
        <f t="shared" si="107"/>
        <v>1599</v>
      </c>
      <c r="X247" s="16">
        <v>3979</v>
      </c>
      <c r="Y247" s="16">
        <v>3025</v>
      </c>
      <c r="Z247" s="16">
        <f t="shared" si="108"/>
        <v>954</v>
      </c>
      <c r="AA247" s="16"/>
      <c r="AB247" s="17"/>
      <c r="AC247" s="96">
        <v>2013</v>
      </c>
      <c r="AD247" s="97" t="s">
        <v>37</v>
      </c>
      <c r="AE247" s="15">
        <f t="shared" si="71"/>
        <v>0.4939613526570048</v>
      </c>
      <c r="AF247" s="15">
        <f t="shared" si="72"/>
        <v>0.60235640648011779</v>
      </c>
      <c r="AG247" s="15">
        <f t="shared" si="73"/>
        <v>0.82004830917874394</v>
      </c>
      <c r="AH247" s="16"/>
      <c r="AI247" s="16"/>
      <c r="AJ247" s="16">
        <v>828</v>
      </c>
      <c r="AK247" s="16">
        <f t="shared" si="109"/>
        <v>149</v>
      </c>
      <c r="AL247" s="16">
        <v>679</v>
      </c>
      <c r="AM247" s="16">
        <v>409</v>
      </c>
      <c r="AN247" s="16">
        <f t="shared" si="110"/>
        <v>270</v>
      </c>
      <c r="AO247" s="16"/>
      <c r="AP247" s="17"/>
      <c r="AQ247" s="96">
        <v>2013</v>
      </c>
      <c r="AR247" s="97" t="s">
        <v>37</v>
      </c>
      <c r="AS247" s="15">
        <f t="shared" si="76"/>
        <v>0.17006802721088435</v>
      </c>
      <c r="AT247" s="15">
        <f t="shared" si="77"/>
        <v>0.20270270270270271</v>
      </c>
      <c r="AU247" s="15">
        <f t="shared" si="78"/>
        <v>0.83900226757369611</v>
      </c>
      <c r="AV247" s="16"/>
      <c r="AW247" s="16"/>
      <c r="AX247" s="16">
        <v>882</v>
      </c>
      <c r="AY247" s="16">
        <f t="shared" si="111"/>
        <v>142</v>
      </c>
      <c r="AZ247" s="16">
        <v>740</v>
      </c>
      <c r="BA247" s="16">
        <v>150</v>
      </c>
      <c r="BB247" s="16">
        <f t="shared" si="112"/>
        <v>590</v>
      </c>
    </row>
    <row r="248" spans="1:54" s="18" customFormat="1" ht="15" customHeight="1">
      <c r="A248" s="94">
        <v>2013</v>
      </c>
      <c r="B248" s="95" t="s">
        <v>38</v>
      </c>
      <c r="C248" s="15">
        <f t="shared" si="81"/>
        <v>0.61496216743958998</v>
      </c>
      <c r="D248" s="15">
        <f t="shared" si="82"/>
        <v>0.76638783269961974</v>
      </c>
      <c r="E248" s="15">
        <f t="shared" si="83"/>
        <v>0.80241640224554556</v>
      </c>
      <c r="F248" s="16">
        <f>+Tabla2[[#This Row],[Trenes Programados por Día Hábil]]+Tabla9[[#This Row],[Trenes Programados por Día Hábil]]+Tabla10[[#This Row],[Trenes Programados por Día Hábil]]</f>
        <v>0</v>
      </c>
      <c r="G248" s="33">
        <f>+(Tabla2[[#This Row],[Coches por Tren Día Hábil]]*Tabla2[[#This Row],[Trenes Corridos]]+Tabla9[[#This Row],[Coches por Tren Día Hábil]]*Tabla9[[#This Row],[Trenes Corridos]]+Tabla10[[#This Row],[Coches por Tren Día Hábil]]*Tabla10[[#This Row],[Trenes Corridos]])/SARM[[#This Row],[Trenes Corridos]]</f>
        <v>0</v>
      </c>
      <c r="H248" s="16">
        <f t="shared" si="99"/>
        <v>8194</v>
      </c>
      <c r="I248" s="16">
        <f t="shared" si="64"/>
        <v>1619</v>
      </c>
      <c r="J248" s="16">
        <f t="shared" si="86"/>
        <v>6575</v>
      </c>
      <c r="K248" s="16">
        <f t="shared" si="100"/>
        <v>5039</v>
      </c>
      <c r="L248" s="16">
        <f t="shared" si="65"/>
        <v>1536</v>
      </c>
      <c r="M248" s="16"/>
      <c r="N248" s="17"/>
      <c r="O248" s="94">
        <v>2013</v>
      </c>
      <c r="P248" s="95" t="s">
        <v>38</v>
      </c>
      <c r="Q248" s="15">
        <f t="shared" si="66"/>
        <v>0.71326107746254386</v>
      </c>
      <c r="R248" s="15">
        <f t="shared" si="67"/>
        <v>0.87351161428850288</v>
      </c>
      <c r="S248" s="15">
        <f t="shared" si="68"/>
        <v>0.81654446923812563</v>
      </c>
      <c r="T248" s="16"/>
      <c r="U248" s="16"/>
      <c r="V248" s="16">
        <v>6274</v>
      </c>
      <c r="W248" s="16">
        <f t="shared" si="107"/>
        <v>1151</v>
      </c>
      <c r="X248" s="16">
        <v>5123</v>
      </c>
      <c r="Y248" s="16">
        <v>4475</v>
      </c>
      <c r="Z248" s="16">
        <f t="shared" si="108"/>
        <v>648</v>
      </c>
      <c r="AA248" s="16"/>
      <c r="AB248" s="17"/>
      <c r="AC248" s="94">
        <v>2013</v>
      </c>
      <c r="AD248" s="95" t="s">
        <v>38</v>
      </c>
      <c r="AE248" s="15">
        <f t="shared" si="71"/>
        <v>0.45504385964912281</v>
      </c>
      <c r="AF248" s="15">
        <f t="shared" si="72"/>
        <v>0.57320441988950277</v>
      </c>
      <c r="AG248" s="15">
        <f t="shared" si="73"/>
        <v>0.79385964912280704</v>
      </c>
      <c r="AH248" s="16"/>
      <c r="AI248" s="16"/>
      <c r="AJ248" s="16">
        <v>912</v>
      </c>
      <c r="AK248" s="16">
        <f t="shared" si="109"/>
        <v>188</v>
      </c>
      <c r="AL248" s="16">
        <v>724</v>
      </c>
      <c r="AM248" s="16">
        <v>415</v>
      </c>
      <c r="AN248" s="16">
        <f t="shared" si="110"/>
        <v>309</v>
      </c>
      <c r="AO248" s="16"/>
      <c r="AP248" s="17"/>
      <c r="AQ248" s="94">
        <v>2013</v>
      </c>
      <c r="AR248" s="95" t="s">
        <v>38</v>
      </c>
      <c r="AS248" s="15">
        <f t="shared" si="76"/>
        <v>0.14781746031746032</v>
      </c>
      <c r="AT248" s="15">
        <f t="shared" si="77"/>
        <v>0.20467032967032966</v>
      </c>
      <c r="AU248" s="15">
        <f t="shared" si="78"/>
        <v>0.72222222222222221</v>
      </c>
      <c r="AV248" s="16"/>
      <c r="AW248" s="16"/>
      <c r="AX248" s="16">
        <v>1008</v>
      </c>
      <c r="AY248" s="16">
        <f t="shared" si="111"/>
        <v>280</v>
      </c>
      <c r="AZ248" s="16">
        <v>728</v>
      </c>
      <c r="BA248" s="16">
        <v>149</v>
      </c>
      <c r="BB248" s="16">
        <f t="shared" si="112"/>
        <v>579</v>
      </c>
    </row>
    <row r="249" spans="1:54" s="18" customFormat="1" ht="15" customHeight="1">
      <c r="A249" s="96">
        <v>2013</v>
      </c>
      <c r="B249" s="97" t="s">
        <v>39</v>
      </c>
      <c r="C249" s="15">
        <f t="shared" si="81"/>
        <v>0.58485540334855401</v>
      </c>
      <c r="D249" s="15">
        <f t="shared" si="82"/>
        <v>0.7470836033700583</v>
      </c>
      <c r="E249" s="15">
        <f t="shared" si="83"/>
        <v>0.78285134449518012</v>
      </c>
      <c r="F249" s="16">
        <f>+Tabla2[[#This Row],[Trenes Programados por Día Hábil]]+Tabla9[[#This Row],[Trenes Programados por Día Hábil]]+Tabla10[[#This Row],[Trenes Programados por Día Hábil]]</f>
        <v>0</v>
      </c>
      <c r="G249" s="33">
        <f>+(Tabla2[[#This Row],[Coches por Tren Día Hábil]]*Tabla2[[#This Row],[Trenes Corridos]]+Tabla9[[#This Row],[Coches por Tren Día Hábil]]*Tabla9[[#This Row],[Trenes Corridos]]+Tabla10[[#This Row],[Coches por Tren Día Hábil]]*Tabla10[[#This Row],[Trenes Corridos]])/SARM[[#This Row],[Trenes Corridos]]</f>
        <v>0</v>
      </c>
      <c r="H249" s="16">
        <f t="shared" si="99"/>
        <v>7884</v>
      </c>
      <c r="I249" s="16">
        <f t="shared" si="64"/>
        <v>1712</v>
      </c>
      <c r="J249" s="16">
        <f t="shared" si="86"/>
        <v>6172</v>
      </c>
      <c r="K249" s="16">
        <f t="shared" si="100"/>
        <v>4611</v>
      </c>
      <c r="L249" s="16">
        <f t="shared" si="65"/>
        <v>1561</v>
      </c>
      <c r="M249" s="16"/>
      <c r="N249" s="17"/>
      <c r="O249" s="96">
        <v>2013</v>
      </c>
      <c r="P249" s="97" t="s">
        <v>39</v>
      </c>
      <c r="Q249" s="15">
        <f t="shared" si="66"/>
        <v>0.6777888446215139</v>
      </c>
      <c r="R249" s="15">
        <f t="shared" si="67"/>
        <v>0.8402963572751595</v>
      </c>
      <c r="S249" s="15">
        <f t="shared" si="68"/>
        <v>0.80660690571049132</v>
      </c>
      <c r="T249" s="16"/>
      <c r="U249" s="16"/>
      <c r="V249" s="16">
        <v>6024</v>
      </c>
      <c r="W249" s="16">
        <f t="shared" si="107"/>
        <v>1165</v>
      </c>
      <c r="X249" s="16">
        <v>4859</v>
      </c>
      <c r="Y249" s="16">
        <v>4083</v>
      </c>
      <c r="Z249" s="16">
        <f t="shared" si="108"/>
        <v>776</v>
      </c>
      <c r="AA249" s="16"/>
      <c r="AB249" s="17"/>
      <c r="AC249" s="96">
        <v>2013</v>
      </c>
      <c r="AD249" s="97" t="s">
        <v>39</v>
      </c>
      <c r="AE249" s="15">
        <f t="shared" si="71"/>
        <v>0.48873873873873874</v>
      </c>
      <c r="AF249" s="15">
        <f t="shared" si="72"/>
        <v>0.64872944693572498</v>
      </c>
      <c r="AG249" s="15">
        <f t="shared" si="73"/>
        <v>0.7533783783783784</v>
      </c>
      <c r="AH249" s="16"/>
      <c r="AI249" s="16"/>
      <c r="AJ249" s="16">
        <v>888</v>
      </c>
      <c r="AK249" s="16">
        <f t="shared" si="109"/>
        <v>219</v>
      </c>
      <c r="AL249" s="16">
        <v>669</v>
      </c>
      <c r="AM249" s="16">
        <v>434</v>
      </c>
      <c r="AN249" s="16">
        <f t="shared" si="110"/>
        <v>235</v>
      </c>
      <c r="AO249" s="16"/>
      <c r="AP249" s="17"/>
      <c r="AQ249" s="96">
        <v>2013</v>
      </c>
      <c r="AR249" s="97" t="s">
        <v>39</v>
      </c>
      <c r="AS249" s="15">
        <f t="shared" si="76"/>
        <v>9.6707818930041156E-2</v>
      </c>
      <c r="AT249" s="15">
        <f t="shared" si="77"/>
        <v>0.14596273291925466</v>
      </c>
      <c r="AU249" s="15">
        <f t="shared" si="78"/>
        <v>0.66255144032921809</v>
      </c>
      <c r="AV249" s="16"/>
      <c r="AW249" s="16"/>
      <c r="AX249" s="16">
        <v>972</v>
      </c>
      <c r="AY249" s="16">
        <f t="shared" si="111"/>
        <v>328</v>
      </c>
      <c r="AZ249" s="16">
        <v>644</v>
      </c>
      <c r="BA249" s="16">
        <v>94</v>
      </c>
      <c r="BB249" s="16">
        <f t="shared" si="112"/>
        <v>550</v>
      </c>
    </row>
    <row r="250" spans="1:54" s="18" customFormat="1" ht="15" customHeight="1">
      <c r="A250" s="94">
        <v>2013</v>
      </c>
      <c r="B250" s="95" t="s">
        <v>40</v>
      </c>
      <c r="C250" s="15">
        <f t="shared" si="81"/>
        <v>0.61510441962117535</v>
      </c>
      <c r="D250" s="15">
        <f t="shared" si="82"/>
        <v>0.77926472850330719</v>
      </c>
      <c r="E250" s="15">
        <f t="shared" si="83"/>
        <v>0.78933948518698394</v>
      </c>
      <c r="F250" s="16">
        <f>+Tabla2[[#This Row],[Trenes Programados por Día Hábil]]+Tabla9[[#This Row],[Trenes Programados por Día Hábil]]+Tabla10[[#This Row],[Trenes Programados por Día Hábil]]</f>
        <v>0</v>
      </c>
      <c r="G250" s="33">
        <f>+(Tabla2[[#This Row],[Coches por Tren Día Hábil]]*Tabla2[[#This Row],[Trenes Corridos]]+Tabla9[[#This Row],[Coches por Tren Día Hábil]]*Tabla9[[#This Row],[Trenes Corridos]]+Tabla10[[#This Row],[Coches por Tren Día Hábil]]*Tabla10[[#This Row],[Trenes Corridos]])/SARM[[#This Row],[Trenes Corridos]]</f>
        <v>0</v>
      </c>
      <c r="H250" s="16">
        <f t="shared" si="99"/>
        <v>8236</v>
      </c>
      <c r="I250" s="16">
        <f t="shared" si="64"/>
        <v>1735</v>
      </c>
      <c r="J250" s="16">
        <f t="shared" si="86"/>
        <v>6501</v>
      </c>
      <c r="K250" s="16">
        <f t="shared" si="100"/>
        <v>5066</v>
      </c>
      <c r="L250" s="16">
        <f t="shared" si="65"/>
        <v>1435</v>
      </c>
      <c r="M250" s="16"/>
      <c r="N250" s="17"/>
      <c r="O250" s="94">
        <v>2013</v>
      </c>
      <c r="P250" s="95" t="s">
        <v>40</v>
      </c>
      <c r="Q250" s="15">
        <f t="shared" si="66"/>
        <v>0.7325174825174825</v>
      </c>
      <c r="R250" s="15">
        <f t="shared" si="67"/>
        <v>0.86570247933884292</v>
      </c>
      <c r="S250" s="15">
        <f t="shared" si="68"/>
        <v>0.84615384615384615</v>
      </c>
      <c r="T250" s="16"/>
      <c r="U250" s="16"/>
      <c r="V250" s="16">
        <v>6292</v>
      </c>
      <c r="W250" s="16">
        <f t="shared" si="107"/>
        <v>968</v>
      </c>
      <c r="X250" s="16">
        <v>5324</v>
      </c>
      <c r="Y250" s="16">
        <v>4609</v>
      </c>
      <c r="Z250" s="16">
        <f t="shared" si="108"/>
        <v>715</v>
      </c>
      <c r="AA250" s="16"/>
      <c r="AB250" s="17"/>
      <c r="AC250" s="94">
        <v>2013</v>
      </c>
      <c r="AD250" s="95" t="s">
        <v>40</v>
      </c>
      <c r="AE250" s="15">
        <f t="shared" si="71"/>
        <v>0.40305010893246185</v>
      </c>
      <c r="AF250" s="15">
        <f t="shared" si="72"/>
        <v>0.57453416149068326</v>
      </c>
      <c r="AG250" s="15">
        <f t="shared" si="73"/>
        <v>0.70152505446623092</v>
      </c>
      <c r="AH250" s="16"/>
      <c r="AI250" s="16"/>
      <c r="AJ250" s="16">
        <v>918</v>
      </c>
      <c r="AK250" s="16">
        <f t="shared" si="109"/>
        <v>274</v>
      </c>
      <c r="AL250" s="16">
        <v>644</v>
      </c>
      <c r="AM250" s="16">
        <v>370</v>
      </c>
      <c r="AN250" s="16">
        <f t="shared" si="110"/>
        <v>274</v>
      </c>
      <c r="AO250" s="16"/>
      <c r="AP250" s="17"/>
      <c r="AQ250" s="94">
        <v>2013</v>
      </c>
      <c r="AR250" s="95" t="s">
        <v>40</v>
      </c>
      <c r="AS250" s="15">
        <f t="shared" si="76"/>
        <v>8.4795321637426896E-2</v>
      </c>
      <c r="AT250" s="15">
        <f t="shared" si="77"/>
        <v>0.16322701688555347</v>
      </c>
      <c r="AU250" s="15">
        <f t="shared" si="78"/>
        <v>0.51949317738791423</v>
      </c>
      <c r="AV250" s="16"/>
      <c r="AW250" s="16"/>
      <c r="AX250" s="16">
        <v>1026</v>
      </c>
      <c r="AY250" s="16">
        <f t="shared" si="111"/>
        <v>493</v>
      </c>
      <c r="AZ250" s="16">
        <v>533</v>
      </c>
      <c r="BA250" s="16">
        <v>87</v>
      </c>
      <c r="BB250" s="16">
        <f t="shared" si="112"/>
        <v>446</v>
      </c>
    </row>
    <row r="251" spans="1:54" s="18" customFormat="1" ht="15" customHeight="1">
      <c r="A251" s="96">
        <v>2013</v>
      </c>
      <c r="B251" s="97" t="s">
        <v>41</v>
      </c>
      <c r="C251" s="15">
        <f t="shared" si="81"/>
        <v>0.42538747278083772</v>
      </c>
      <c r="D251" s="15">
        <f t="shared" si="82"/>
        <v>0.61591246290801183</v>
      </c>
      <c r="E251" s="15">
        <f t="shared" si="83"/>
        <v>0.69066222620724993</v>
      </c>
      <c r="F251" s="16">
        <f>+Tabla2[[#This Row],[Trenes Programados por Día Hábil]]+Tabla9[[#This Row],[Trenes Programados por Día Hábil]]+Tabla10[[#This Row],[Trenes Programados por Día Hábil]]</f>
        <v>0</v>
      </c>
      <c r="G251" s="33">
        <f>+(Tabla2[[#This Row],[Coches por Tren Día Hábil]]*Tabla2[[#This Row],[Trenes Corridos]]+Tabla9[[#This Row],[Coches por Tren Día Hábil]]*Tabla9[[#This Row],[Trenes Corridos]]+Tabla10[[#This Row],[Coches por Tren Día Hábil]]*Tabla10[[#This Row],[Trenes Corridos]])/SARM[[#This Row],[Trenes Corridos]]</f>
        <v>0</v>
      </c>
      <c r="H251" s="16">
        <f t="shared" si="99"/>
        <v>7807</v>
      </c>
      <c r="I251" s="16">
        <f t="shared" si="64"/>
        <v>2415</v>
      </c>
      <c r="J251" s="16">
        <f t="shared" si="86"/>
        <v>5392</v>
      </c>
      <c r="K251" s="16">
        <f t="shared" si="100"/>
        <v>3321</v>
      </c>
      <c r="L251" s="16">
        <f t="shared" si="65"/>
        <v>2071</v>
      </c>
      <c r="M251" s="16"/>
      <c r="N251" s="17"/>
      <c r="O251" s="96">
        <v>2013</v>
      </c>
      <c r="P251" s="97" t="s">
        <v>41</v>
      </c>
      <c r="Q251" s="15">
        <f t="shared" si="66"/>
        <v>0.50100536193029488</v>
      </c>
      <c r="R251" s="15">
        <f t="shared" si="67"/>
        <v>0.67923671058609725</v>
      </c>
      <c r="S251" s="15">
        <f t="shared" si="68"/>
        <v>0.73760053619302945</v>
      </c>
      <c r="T251" s="16"/>
      <c r="U251" s="16"/>
      <c r="V251" s="16">
        <v>5968</v>
      </c>
      <c r="W251" s="16">
        <f t="shared" si="107"/>
        <v>1566</v>
      </c>
      <c r="X251" s="16">
        <v>4402</v>
      </c>
      <c r="Y251" s="16">
        <v>2990</v>
      </c>
      <c r="Z251" s="16">
        <f t="shared" si="108"/>
        <v>1412</v>
      </c>
      <c r="AA251" s="16"/>
      <c r="AB251" s="17"/>
      <c r="AC251" s="96">
        <v>2013</v>
      </c>
      <c r="AD251" s="97" t="s">
        <v>41</v>
      </c>
      <c r="AE251" s="15">
        <f t="shared" si="71"/>
        <v>0.29265536723163843</v>
      </c>
      <c r="AF251" s="15">
        <f t="shared" si="72"/>
        <v>0.4170692431561997</v>
      </c>
      <c r="AG251" s="15">
        <f t="shared" si="73"/>
        <v>0.70169491525423733</v>
      </c>
      <c r="AH251" s="16"/>
      <c r="AI251" s="16"/>
      <c r="AJ251" s="16">
        <v>885</v>
      </c>
      <c r="AK251" s="16">
        <f t="shared" si="109"/>
        <v>264</v>
      </c>
      <c r="AL251" s="16">
        <v>621</v>
      </c>
      <c r="AM251" s="16">
        <v>259</v>
      </c>
      <c r="AN251" s="16">
        <f t="shared" si="110"/>
        <v>362</v>
      </c>
      <c r="AO251" s="16"/>
      <c r="AP251" s="17"/>
      <c r="AQ251" s="96">
        <v>2013</v>
      </c>
      <c r="AR251" s="97" t="s">
        <v>41</v>
      </c>
      <c r="AS251" s="15">
        <f t="shared" si="76"/>
        <v>7.5471698113207544E-2</v>
      </c>
      <c r="AT251" s="15">
        <f t="shared" si="77"/>
        <v>0.1951219512195122</v>
      </c>
      <c r="AU251" s="15">
        <f t="shared" si="78"/>
        <v>0.3867924528301887</v>
      </c>
      <c r="AV251" s="16"/>
      <c r="AW251" s="16"/>
      <c r="AX251" s="16">
        <v>954</v>
      </c>
      <c r="AY251" s="16">
        <f t="shared" si="111"/>
        <v>585</v>
      </c>
      <c r="AZ251" s="16">
        <v>369</v>
      </c>
      <c r="BA251" s="16">
        <v>72</v>
      </c>
      <c r="BB251" s="16">
        <f t="shared" si="112"/>
        <v>297</v>
      </c>
    </row>
    <row r="252" spans="1:54" s="18" customFormat="1" ht="15" customHeight="1">
      <c r="A252" s="94">
        <v>2013</v>
      </c>
      <c r="B252" s="95" t="s">
        <v>42</v>
      </c>
      <c r="C252" s="15">
        <f t="shared" si="81"/>
        <v>0.10781932977173385</v>
      </c>
      <c r="D252" s="15">
        <f t="shared" si="82"/>
        <v>0.17018014564967421</v>
      </c>
      <c r="E252" s="15">
        <f t="shared" si="83"/>
        <v>0.63355998057309371</v>
      </c>
      <c r="F252" s="16">
        <f>+Tabla2[[#This Row],[Trenes Programados por Día Hábil]]+Tabla9[[#This Row],[Trenes Programados por Día Hábil]]+Tabla10[[#This Row],[Trenes Programados por Día Hábil]]</f>
        <v>0</v>
      </c>
      <c r="G252" s="33">
        <f>+(Tabla2[[#This Row],[Coches por Tren Día Hábil]]*Tabla2[[#This Row],[Trenes Corridos]]+Tabla9[[#This Row],[Coches por Tren Día Hábil]]*Tabla9[[#This Row],[Trenes Corridos]]+Tabla10[[#This Row],[Coches por Tren Día Hábil]]*Tabla10[[#This Row],[Trenes Corridos]])/SARM[[#This Row],[Trenes Corridos]]</f>
        <v>0</v>
      </c>
      <c r="H252" s="16">
        <f t="shared" si="99"/>
        <v>8236</v>
      </c>
      <c r="I252" s="16">
        <f t="shared" si="64"/>
        <v>3018</v>
      </c>
      <c r="J252" s="16">
        <f t="shared" si="86"/>
        <v>5218</v>
      </c>
      <c r="K252" s="16">
        <f t="shared" si="100"/>
        <v>888</v>
      </c>
      <c r="L252" s="16">
        <f t="shared" si="65"/>
        <v>4330</v>
      </c>
      <c r="M252" s="16"/>
      <c r="N252" s="17"/>
      <c r="O252" s="94">
        <v>2013</v>
      </c>
      <c r="P252" s="95" t="s">
        <v>42</v>
      </c>
      <c r="Q252" s="15">
        <f t="shared" si="66"/>
        <v>9.2021614748887481E-2</v>
      </c>
      <c r="R252" s="15">
        <f t="shared" si="67"/>
        <v>0.14507642194938611</v>
      </c>
      <c r="S252" s="15">
        <f t="shared" si="68"/>
        <v>0.63429752066115708</v>
      </c>
      <c r="T252" s="16"/>
      <c r="U252" s="16"/>
      <c r="V252" s="16">
        <v>6292</v>
      </c>
      <c r="W252" s="16">
        <f t="shared" si="107"/>
        <v>2301</v>
      </c>
      <c r="X252" s="16">
        <v>3991</v>
      </c>
      <c r="Y252" s="16">
        <v>579</v>
      </c>
      <c r="Z252" s="16">
        <f t="shared" si="108"/>
        <v>3412</v>
      </c>
      <c r="AA252" s="16"/>
      <c r="AB252" s="17"/>
      <c r="AC252" s="94">
        <v>2013</v>
      </c>
      <c r="AD252" s="95" t="s">
        <v>42</v>
      </c>
      <c r="AE252" s="15">
        <f t="shared" si="71"/>
        <v>0.28540305010893247</v>
      </c>
      <c r="AF252" s="15">
        <f t="shared" si="72"/>
        <v>0.40683229813664595</v>
      </c>
      <c r="AG252" s="15">
        <f t="shared" si="73"/>
        <v>0.70152505446623092</v>
      </c>
      <c r="AH252" s="16"/>
      <c r="AI252" s="16"/>
      <c r="AJ252" s="16">
        <v>918</v>
      </c>
      <c r="AK252" s="16">
        <f t="shared" si="109"/>
        <v>274</v>
      </c>
      <c r="AL252" s="16">
        <v>644</v>
      </c>
      <c r="AM252" s="16">
        <v>262</v>
      </c>
      <c r="AN252" s="16">
        <f t="shared" si="110"/>
        <v>382</v>
      </c>
      <c r="AO252" s="16"/>
      <c r="AP252" s="17"/>
      <c r="AQ252" s="94">
        <v>2013</v>
      </c>
      <c r="AR252" s="95" t="s">
        <v>42</v>
      </c>
      <c r="AS252" s="15">
        <f t="shared" si="76"/>
        <v>4.5808966861598438E-2</v>
      </c>
      <c r="AT252" s="15">
        <f t="shared" si="77"/>
        <v>8.0617495711835338E-2</v>
      </c>
      <c r="AU252" s="15">
        <f t="shared" si="78"/>
        <v>0.56822612085769986</v>
      </c>
      <c r="AV252" s="16"/>
      <c r="AW252" s="16"/>
      <c r="AX252" s="16">
        <v>1026</v>
      </c>
      <c r="AY252" s="16">
        <f t="shared" si="111"/>
        <v>443</v>
      </c>
      <c r="AZ252" s="16">
        <v>583</v>
      </c>
      <c r="BA252" s="16">
        <v>47</v>
      </c>
      <c r="BB252" s="16">
        <f t="shared" si="112"/>
        <v>536</v>
      </c>
    </row>
    <row r="253" spans="1:54" s="18" customFormat="1" ht="15" customHeight="1">
      <c r="A253" s="96">
        <v>2013</v>
      </c>
      <c r="B253" s="97" t="s">
        <v>43</v>
      </c>
      <c r="C253" s="15">
        <f t="shared" si="81"/>
        <v>0.18729503218753796</v>
      </c>
      <c r="D253" s="15">
        <f t="shared" si="82"/>
        <v>0.27654232424677189</v>
      </c>
      <c r="E253" s="15">
        <f t="shared" si="83"/>
        <v>0.67727438357828251</v>
      </c>
      <c r="F253" s="16">
        <f>+Tabla2[[#This Row],[Trenes Programados por Día Hábil]]+Tabla9[[#This Row],[Trenes Programados por Día Hábil]]+Tabla10[[#This Row],[Trenes Programados por Día Hábil]]</f>
        <v>0</v>
      </c>
      <c r="G253" s="33">
        <f>+(Tabla2[[#This Row],[Coches por Tren Día Hábil]]*Tabla2[[#This Row],[Trenes Corridos]]+Tabla9[[#This Row],[Coches por Tren Día Hábil]]*Tabla9[[#This Row],[Trenes Corridos]]+Tabla10[[#This Row],[Coches por Tren Día Hábil]]*Tabla10[[#This Row],[Trenes Corridos]])/SARM[[#This Row],[Trenes Corridos]]</f>
        <v>0</v>
      </c>
      <c r="H253" s="16">
        <f t="shared" si="99"/>
        <v>8233</v>
      </c>
      <c r="I253" s="16">
        <f t="shared" si="64"/>
        <v>2657</v>
      </c>
      <c r="J253" s="16">
        <f t="shared" si="86"/>
        <v>5576</v>
      </c>
      <c r="K253" s="16">
        <f t="shared" si="100"/>
        <v>1542</v>
      </c>
      <c r="L253" s="16">
        <f t="shared" si="65"/>
        <v>4034</v>
      </c>
      <c r="M253" s="16"/>
      <c r="N253" s="17"/>
      <c r="O253" s="96">
        <v>2013</v>
      </c>
      <c r="P253" s="97" t="s">
        <v>43</v>
      </c>
      <c r="Q253" s="15">
        <f t="shared" si="66"/>
        <v>0.1856325492689129</v>
      </c>
      <c r="R253" s="15">
        <f t="shared" si="67"/>
        <v>0.27181754712590178</v>
      </c>
      <c r="S253" s="15">
        <f t="shared" si="68"/>
        <v>0.68293070565797842</v>
      </c>
      <c r="T253" s="16"/>
      <c r="U253" s="16"/>
      <c r="V253" s="16">
        <v>6292</v>
      </c>
      <c r="W253" s="16">
        <f t="shared" si="107"/>
        <v>1995</v>
      </c>
      <c r="X253" s="16">
        <v>4297</v>
      </c>
      <c r="Y253" s="16">
        <v>1168</v>
      </c>
      <c r="Z253" s="16">
        <f t="shared" si="108"/>
        <v>3129</v>
      </c>
      <c r="AA253" s="16"/>
      <c r="AB253" s="17"/>
      <c r="AC253" s="96">
        <v>2013</v>
      </c>
      <c r="AD253" s="97" t="s">
        <v>43</v>
      </c>
      <c r="AE253" s="15">
        <f t="shared" si="71"/>
        <v>0.38251366120218577</v>
      </c>
      <c r="AF253" s="15">
        <f t="shared" si="72"/>
        <v>0.45751633986928103</v>
      </c>
      <c r="AG253" s="15">
        <f t="shared" si="73"/>
        <v>0.83606557377049184</v>
      </c>
      <c r="AH253" s="16"/>
      <c r="AI253" s="16"/>
      <c r="AJ253" s="16">
        <v>915</v>
      </c>
      <c r="AK253" s="16">
        <f t="shared" si="109"/>
        <v>150</v>
      </c>
      <c r="AL253" s="16">
        <v>765</v>
      </c>
      <c r="AM253" s="16">
        <v>350</v>
      </c>
      <c r="AN253" s="16">
        <f t="shared" si="110"/>
        <v>415</v>
      </c>
      <c r="AO253" s="16"/>
      <c r="AP253" s="17"/>
      <c r="AQ253" s="96">
        <v>2013</v>
      </c>
      <c r="AR253" s="97" t="s">
        <v>43</v>
      </c>
      <c r="AS253" s="15">
        <f t="shared" si="76"/>
        <v>2.3391812865497075E-2</v>
      </c>
      <c r="AT253" s="15">
        <f t="shared" si="77"/>
        <v>4.6692607003891051E-2</v>
      </c>
      <c r="AU253" s="15">
        <f t="shared" si="78"/>
        <v>0.50097465886939574</v>
      </c>
      <c r="AV253" s="16"/>
      <c r="AW253" s="16"/>
      <c r="AX253" s="16">
        <v>1026</v>
      </c>
      <c r="AY253" s="16">
        <f t="shared" si="111"/>
        <v>512</v>
      </c>
      <c r="AZ253" s="16">
        <v>514</v>
      </c>
      <c r="BA253" s="16">
        <v>24</v>
      </c>
      <c r="BB253" s="16">
        <f t="shared" si="112"/>
        <v>490</v>
      </c>
    </row>
    <row r="254" spans="1:54" s="18" customFormat="1" ht="15" customHeight="1">
      <c r="A254" s="94">
        <v>2013</v>
      </c>
      <c r="B254" s="95" t="s">
        <v>44</v>
      </c>
      <c r="C254" s="15">
        <f t="shared" si="81"/>
        <v>0.13608946971600905</v>
      </c>
      <c r="D254" s="15">
        <f t="shared" si="82"/>
        <v>0.21268656716417911</v>
      </c>
      <c r="E254" s="15">
        <f t="shared" si="83"/>
        <v>0.63985926112088465</v>
      </c>
      <c r="F254" s="16">
        <f>+Tabla2[[#This Row],[Trenes Programados por Día Hábil]]+Tabla9[[#This Row],[Trenes Programados por Día Hábil]]+Tabla10[[#This Row],[Trenes Programados por Día Hábil]]</f>
        <v>0</v>
      </c>
      <c r="G254" s="33">
        <f>+(Tabla2[[#This Row],[Coches por Tren Día Hábil]]*Tabla2[[#This Row],[Trenes Corridos]]+Tabla9[[#This Row],[Coches por Tren Día Hábil]]*Tabla9[[#This Row],[Trenes Corridos]]+Tabla10[[#This Row],[Coches por Tren Día Hábil]]*Tabla10[[#This Row],[Trenes Corridos]])/SARM[[#This Row],[Trenes Corridos]]</f>
        <v>0</v>
      </c>
      <c r="H254" s="16">
        <f t="shared" si="99"/>
        <v>7958</v>
      </c>
      <c r="I254" s="16">
        <f t="shared" si="64"/>
        <v>2866</v>
      </c>
      <c r="J254" s="16">
        <f t="shared" si="86"/>
        <v>5092</v>
      </c>
      <c r="K254" s="16">
        <f t="shared" si="100"/>
        <v>1083</v>
      </c>
      <c r="L254" s="16">
        <f t="shared" si="65"/>
        <v>4009</v>
      </c>
      <c r="M254" s="16"/>
      <c r="N254" s="17"/>
      <c r="O254" s="94">
        <v>2013</v>
      </c>
      <c r="P254" s="95" t="s">
        <v>44</v>
      </c>
      <c r="Q254" s="15">
        <f t="shared" si="66"/>
        <v>0.14161184210526315</v>
      </c>
      <c r="R254" s="15">
        <f t="shared" si="67"/>
        <v>0.21087435709037472</v>
      </c>
      <c r="S254" s="15">
        <f t="shared" si="68"/>
        <v>0.67154605263157896</v>
      </c>
      <c r="T254" s="16"/>
      <c r="U254" s="16"/>
      <c r="V254" s="16">
        <v>6080</v>
      </c>
      <c r="W254" s="16">
        <f t="shared" si="107"/>
        <v>1997</v>
      </c>
      <c r="X254" s="16">
        <v>4083</v>
      </c>
      <c r="Y254" s="16">
        <v>861</v>
      </c>
      <c r="Z254" s="16">
        <f t="shared" si="108"/>
        <v>3222</v>
      </c>
      <c r="AA254" s="16"/>
      <c r="AB254" s="17"/>
      <c r="AC254" s="94">
        <v>2013</v>
      </c>
      <c r="AD254" s="95" t="s">
        <v>44</v>
      </c>
      <c r="AE254" s="15">
        <f t="shared" si="71"/>
        <v>0.23873873873873874</v>
      </c>
      <c r="AF254" s="15">
        <f t="shared" si="72"/>
        <v>0.29608938547486036</v>
      </c>
      <c r="AG254" s="15">
        <f t="shared" si="73"/>
        <v>0.80630630630630629</v>
      </c>
      <c r="AH254" s="16"/>
      <c r="AI254" s="16"/>
      <c r="AJ254" s="16">
        <v>888</v>
      </c>
      <c r="AK254" s="16">
        <f t="shared" si="109"/>
        <v>172</v>
      </c>
      <c r="AL254" s="16">
        <v>716</v>
      </c>
      <c r="AM254" s="16">
        <v>212</v>
      </c>
      <c r="AN254" s="16">
        <f t="shared" si="110"/>
        <v>504</v>
      </c>
      <c r="AO254" s="16"/>
      <c r="AP254" s="17"/>
      <c r="AQ254" s="94">
        <v>2013</v>
      </c>
      <c r="AR254" s="95" t="s">
        <v>44</v>
      </c>
      <c r="AS254" s="15">
        <f t="shared" si="76"/>
        <v>1.0101010101010102E-2</v>
      </c>
      <c r="AT254" s="15">
        <f t="shared" si="77"/>
        <v>3.4129692832764506E-2</v>
      </c>
      <c r="AU254" s="15">
        <f t="shared" si="78"/>
        <v>0.29595959595959598</v>
      </c>
      <c r="AV254" s="16"/>
      <c r="AW254" s="16"/>
      <c r="AX254" s="16">
        <v>990</v>
      </c>
      <c r="AY254" s="16">
        <f t="shared" si="111"/>
        <v>697</v>
      </c>
      <c r="AZ254" s="16">
        <v>293</v>
      </c>
      <c r="BA254" s="16">
        <v>10</v>
      </c>
      <c r="BB254" s="16">
        <f t="shared" si="112"/>
        <v>283</v>
      </c>
    </row>
    <row r="255" spans="1:54" s="18" customFormat="1" ht="15" customHeight="1">
      <c r="A255" s="96">
        <v>2013</v>
      </c>
      <c r="B255" s="97" t="s">
        <v>45</v>
      </c>
      <c r="C255" s="15">
        <f t="shared" si="81"/>
        <v>0.13963088878096164</v>
      </c>
      <c r="D255" s="15">
        <f t="shared" si="82"/>
        <v>0.23073836276083468</v>
      </c>
      <c r="E255" s="15">
        <f t="shared" si="83"/>
        <v>0.60514813016027202</v>
      </c>
      <c r="F255" s="16">
        <f>+Tabla2[[#This Row],[Trenes Programados por Día Hábil]]+Tabla9[[#This Row],[Trenes Programados por Día Hábil]]+Tabla10[[#This Row],[Trenes Programados por Día Hábil]]</f>
        <v>0</v>
      </c>
      <c r="G255" s="33">
        <f>+(Tabla2[[#This Row],[Coches por Tren Día Hábil]]*Tabla2[[#This Row],[Trenes Corridos]]+Tabla9[[#This Row],[Coches por Tren Día Hábil]]*Tabla9[[#This Row],[Trenes Corridos]]+Tabla10[[#This Row],[Coches por Tren Día Hábil]]*Tabla10[[#This Row],[Trenes Corridos]])/SARM[[#This Row],[Trenes Corridos]]</f>
        <v>0</v>
      </c>
      <c r="H255" s="16">
        <f t="shared" si="99"/>
        <v>8236</v>
      </c>
      <c r="I255" s="16">
        <f t="shared" si="64"/>
        <v>3252</v>
      </c>
      <c r="J255" s="16">
        <f t="shared" si="86"/>
        <v>4984</v>
      </c>
      <c r="K255" s="16">
        <f t="shared" si="100"/>
        <v>1150</v>
      </c>
      <c r="L255" s="16">
        <f t="shared" si="65"/>
        <v>3834</v>
      </c>
      <c r="M255" s="16"/>
      <c r="N255" s="17"/>
      <c r="O255" s="96">
        <v>2013</v>
      </c>
      <c r="P255" s="97" t="s">
        <v>45</v>
      </c>
      <c r="Q255" s="15">
        <f t="shared" si="66"/>
        <v>0.16068022886204705</v>
      </c>
      <c r="R255" s="15">
        <f t="shared" si="67"/>
        <v>0.25976361767728673</v>
      </c>
      <c r="S255" s="15">
        <f t="shared" si="68"/>
        <v>0.61856325492689124</v>
      </c>
      <c r="T255" s="16"/>
      <c r="U255" s="16"/>
      <c r="V255" s="16">
        <v>6292</v>
      </c>
      <c r="W255" s="16">
        <f t="shared" si="107"/>
        <v>2400</v>
      </c>
      <c r="X255" s="16">
        <v>3892</v>
      </c>
      <c r="Y255" s="16">
        <v>1011</v>
      </c>
      <c r="Z255" s="16">
        <f t="shared" si="108"/>
        <v>2881</v>
      </c>
      <c r="AA255" s="16"/>
      <c r="AB255" s="17"/>
      <c r="AC255" s="96">
        <v>2013</v>
      </c>
      <c r="AD255" s="97" t="s">
        <v>45</v>
      </c>
      <c r="AE255" s="15">
        <f t="shared" si="71"/>
        <v>0.14596949891067537</v>
      </c>
      <c r="AF255" s="15">
        <f t="shared" si="72"/>
        <v>0.20364741641337386</v>
      </c>
      <c r="AG255" s="15">
        <f t="shared" si="73"/>
        <v>0.71677559912854028</v>
      </c>
      <c r="AH255" s="16"/>
      <c r="AI255" s="16"/>
      <c r="AJ255" s="16">
        <v>918</v>
      </c>
      <c r="AK255" s="16">
        <f t="shared" si="109"/>
        <v>260</v>
      </c>
      <c r="AL255" s="16">
        <v>658</v>
      </c>
      <c r="AM255" s="16">
        <v>134</v>
      </c>
      <c r="AN255" s="16">
        <f t="shared" si="110"/>
        <v>524</v>
      </c>
      <c r="AO255" s="16"/>
      <c r="AP255" s="17"/>
      <c r="AQ255" s="96">
        <v>2013</v>
      </c>
      <c r="AR255" s="97" t="s">
        <v>45</v>
      </c>
      <c r="AS255" s="15">
        <f t="shared" si="76"/>
        <v>4.8732943469785572E-3</v>
      </c>
      <c r="AT255" s="15">
        <f t="shared" si="77"/>
        <v>1.1520737327188941E-2</v>
      </c>
      <c r="AU255" s="15">
        <f t="shared" si="78"/>
        <v>0.42300194931773877</v>
      </c>
      <c r="AV255" s="16"/>
      <c r="AW255" s="16"/>
      <c r="AX255" s="16">
        <v>1026</v>
      </c>
      <c r="AY255" s="16">
        <f t="shared" si="111"/>
        <v>592</v>
      </c>
      <c r="AZ255" s="16">
        <v>434</v>
      </c>
      <c r="BA255" s="16">
        <v>5</v>
      </c>
      <c r="BB255" s="16">
        <f t="shared" si="112"/>
        <v>429</v>
      </c>
    </row>
    <row r="256" spans="1:54" s="18" customFormat="1" ht="15" customHeight="1">
      <c r="A256" s="94">
        <v>2013</v>
      </c>
      <c r="B256" s="95" t="s">
        <v>46</v>
      </c>
      <c r="C256" s="15">
        <f t="shared" si="81"/>
        <v>0.14921433060967945</v>
      </c>
      <c r="D256" s="15">
        <f t="shared" si="82"/>
        <v>0.25917030567685589</v>
      </c>
      <c r="E256" s="15">
        <f t="shared" si="83"/>
        <v>0.57573852922690127</v>
      </c>
      <c r="F256" s="16">
        <f>+Tabla2[[#This Row],[Trenes Programados por Día Hábil]]+Tabla9[[#This Row],[Trenes Programados por Día Hábil]]+Tabla10[[#This Row],[Trenes Programados por Día Hábil]]</f>
        <v>0</v>
      </c>
      <c r="G256" s="33">
        <f>+(Tabla2[[#This Row],[Coches por Tren Día Hábil]]*Tabla2[[#This Row],[Trenes Corridos]]+Tabla9[[#This Row],[Coches por Tren Día Hábil]]*Tabla9[[#This Row],[Trenes Corridos]]+Tabla10[[#This Row],[Coches por Tren Día Hábil]]*Tabla10[[#This Row],[Trenes Corridos]])/SARM[[#This Row],[Trenes Corridos]]</f>
        <v>0</v>
      </c>
      <c r="H256" s="16">
        <f t="shared" si="99"/>
        <v>7955</v>
      </c>
      <c r="I256" s="16">
        <f t="shared" si="64"/>
        <v>3375</v>
      </c>
      <c r="J256" s="16">
        <f t="shared" si="86"/>
        <v>4580</v>
      </c>
      <c r="K256" s="16">
        <f t="shared" si="100"/>
        <v>1187</v>
      </c>
      <c r="L256" s="16">
        <f t="shared" si="65"/>
        <v>3393</v>
      </c>
      <c r="M256" s="16"/>
      <c r="N256" s="17"/>
      <c r="O256" s="94">
        <v>2013</v>
      </c>
      <c r="P256" s="95" t="s">
        <v>46</v>
      </c>
      <c r="Q256" s="15">
        <f t="shared" si="66"/>
        <v>0.17384868421052632</v>
      </c>
      <c r="R256" s="15">
        <f t="shared" si="67"/>
        <v>0.30978898007034</v>
      </c>
      <c r="S256" s="15">
        <f t="shared" si="68"/>
        <v>0.56118421052631584</v>
      </c>
      <c r="T256" s="16"/>
      <c r="U256" s="16"/>
      <c r="V256" s="16">
        <v>6080</v>
      </c>
      <c r="W256" s="16">
        <f t="shared" si="107"/>
        <v>2668</v>
      </c>
      <c r="X256" s="16">
        <v>3412</v>
      </c>
      <c r="Y256" s="16">
        <v>1057</v>
      </c>
      <c r="Z256" s="16">
        <f t="shared" si="108"/>
        <v>2355</v>
      </c>
      <c r="AA256" s="16"/>
      <c r="AB256" s="17"/>
      <c r="AC256" s="94">
        <v>2013</v>
      </c>
      <c r="AD256" s="95" t="s">
        <v>46</v>
      </c>
      <c r="AE256" s="15">
        <f t="shared" si="71"/>
        <v>0.13559322033898305</v>
      </c>
      <c r="AF256" s="15">
        <f t="shared" si="72"/>
        <v>0.16949152542372881</v>
      </c>
      <c r="AG256" s="15">
        <f t="shared" si="73"/>
        <v>0.8</v>
      </c>
      <c r="AH256" s="16"/>
      <c r="AI256" s="16"/>
      <c r="AJ256" s="16">
        <v>885</v>
      </c>
      <c r="AK256" s="16">
        <f t="shared" si="109"/>
        <v>177</v>
      </c>
      <c r="AL256" s="16">
        <v>708</v>
      </c>
      <c r="AM256" s="16">
        <v>120</v>
      </c>
      <c r="AN256" s="16">
        <f t="shared" si="110"/>
        <v>588</v>
      </c>
      <c r="AO256" s="16"/>
      <c r="AP256" s="17"/>
      <c r="AQ256" s="94">
        <v>2013</v>
      </c>
      <c r="AR256" s="95" t="s">
        <v>46</v>
      </c>
      <c r="AS256" s="15">
        <f t="shared" si="76"/>
        <v>1.0101010101010102E-2</v>
      </c>
      <c r="AT256" s="15">
        <f t="shared" si="77"/>
        <v>2.1739130434782608E-2</v>
      </c>
      <c r="AU256" s="15">
        <f t="shared" si="78"/>
        <v>0.46464646464646464</v>
      </c>
      <c r="AV256" s="16"/>
      <c r="AW256" s="16"/>
      <c r="AX256" s="16">
        <v>990</v>
      </c>
      <c r="AY256" s="16">
        <f t="shared" si="111"/>
        <v>530</v>
      </c>
      <c r="AZ256" s="16">
        <v>460</v>
      </c>
      <c r="BA256" s="16">
        <v>10</v>
      </c>
      <c r="BB256" s="16">
        <f t="shared" si="112"/>
        <v>450</v>
      </c>
    </row>
    <row r="257" spans="1:54" s="18" customFormat="1" ht="15" customHeight="1">
      <c r="A257" s="96">
        <v>2013</v>
      </c>
      <c r="B257" s="97" t="s">
        <v>47</v>
      </c>
      <c r="C257" s="15">
        <f t="shared" si="81"/>
        <v>0.30276418082349554</v>
      </c>
      <c r="D257" s="15">
        <f t="shared" si="82"/>
        <v>0.44404560810810811</v>
      </c>
      <c r="E257" s="15">
        <f t="shared" si="83"/>
        <v>0.68183126979556574</v>
      </c>
      <c r="F257" s="16">
        <f>+Tabla2[[#This Row],[Trenes Programados por Día Hábil]]+Tabla9[[#This Row],[Trenes Programados por Día Hábil]]+Tabla10[[#This Row],[Trenes Programados por Día Hábil]]</f>
        <v>0</v>
      </c>
      <c r="G257" s="33">
        <f>+(Tabla2[[#This Row],[Coches por Tren Día Hábil]]*Tabla2[[#This Row],[Trenes Corridos]]+Tabla9[[#This Row],[Coches por Tren Día Hábil]]*Tabla9[[#This Row],[Trenes Corridos]]+Tabla10[[#This Row],[Coches por Tren Día Hábil]]*Tabla10[[#This Row],[Trenes Corridos]])/SARM[[#This Row],[Trenes Corridos]]</f>
        <v>0</v>
      </c>
      <c r="H257" s="16">
        <f t="shared" si="99"/>
        <v>6946</v>
      </c>
      <c r="I257" s="16">
        <f t="shared" si="64"/>
        <v>2210</v>
      </c>
      <c r="J257" s="16">
        <f t="shared" si="86"/>
        <v>4736</v>
      </c>
      <c r="K257" s="16">
        <f t="shared" si="100"/>
        <v>2103</v>
      </c>
      <c r="L257" s="16">
        <f t="shared" si="65"/>
        <v>2633</v>
      </c>
      <c r="M257" s="16"/>
      <c r="N257" s="25"/>
      <c r="O257" s="96">
        <v>2013</v>
      </c>
      <c r="P257" s="97" t="s">
        <v>47</v>
      </c>
      <c r="Q257" s="15">
        <f t="shared" si="66"/>
        <v>0.3592695514092894</v>
      </c>
      <c r="R257" s="15">
        <f t="shared" si="67"/>
        <v>0.51449687322342241</v>
      </c>
      <c r="S257" s="15">
        <f t="shared" si="68"/>
        <v>0.69829297340214369</v>
      </c>
      <c r="T257" s="16"/>
      <c r="U257" s="16"/>
      <c r="V257" s="16">
        <v>5038</v>
      </c>
      <c r="W257" s="16">
        <f t="shared" si="107"/>
        <v>1520</v>
      </c>
      <c r="X257" s="16">
        <v>3518</v>
      </c>
      <c r="Y257" s="16">
        <v>1810</v>
      </c>
      <c r="Z257" s="16">
        <f t="shared" si="108"/>
        <v>1708</v>
      </c>
      <c r="AA257" s="16"/>
      <c r="AB257" s="17"/>
      <c r="AC257" s="96">
        <v>2013</v>
      </c>
      <c r="AD257" s="97" t="s">
        <v>47</v>
      </c>
      <c r="AE257" s="15">
        <f t="shared" si="71"/>
        <v>0.22463768115942029</v>
      </c>
      <c r="AF257" s="15">
        <f t="shared" si="72"/>
        <v>0.27713920817369092</v>
      </c>
      <c r="AG257" s="15">
        <f t="shared" si="73"/>
        <v>0.81055900621118016</v>
      </c>
      <c r="AH257" s="16"/>
      <c r="AI257" s="16"/>
      <c r="AJ257" s="16">
        <v>966</v>
      </c>
      <c r="AK257" s="16">
        <f t="shared" si="109"/>
        <v>183</v>
      </c>
      <c r="AL257" s="16">
        <v>783</v>
      </c>
      <c r="AM257" s="16">
        <v>217</v>
      </c>
      <c r="AN257" s="16">
        <f t="shared" si="110"/>
        <v>566</v>
      </c>
      <c r="AO257" s="16"/>
      <c r="AP257" s="17"/>
      <c r="AQ257" s="96">
        <v>2013</v>
      </c>
      <c r="AR257" s="97" t="s">
        <v>47</v>
      </c>
      <c r="AS257" s="15">
        <f t="shared" si="76"/>
        <v>8.0679405520169847E-2</v>
      </c>
      <c r="AT257" s="15">
        <f t="shared" si="77"/>
        <v>0.17471264367816092</v>
      </c>
      <c r="AU257" s="15">
        <f t="shared" si="78"/>
        <v>0.46178343949044587</v>
      </c>
      <c r="AV257" s="16"/>
      <c r="AW257" s="16"/>
      <c r="AX257" s="16">
        <v>942</v>
      </c>
      <c r="AY257" s="16">
        <f t="shared" si="111"/>
        <v>507</v>
      </c>
      <c r="AZ257" s="16">
        <v>435</v>
      </c>
      <c r="BA257" s="16">
        <v>76</v>
      </c>
      <c r="BB257" s="16">
        <f t="shared" si="112"/>
        <v>359</v>
      </c>
    </row>
    <row r="258" spans="1:54" s="18" customFormat="1" ht="15" customHeight="1">
      <c r="A258" s="94">
        <v>2014</v>
      </c>
      <c r="B258" s="95" t="s">
        <v>36</v>
      </c>
      <c r="C258" s="15">
        <f t="shared" si="81"/>
        <v>0.52087238030328842</v>
      </c>
      <c r="D258" s="15">
        <f t="shared" si="82"/>
        <v>0.62451481103166495</v>
      </c>
      <c r="E258" s="15">
        <f t="shared" si="83"/>
        <v>0.8340432782416084</v>
      </c>
      <c r="F258" s="16">
        <f>+Tabla2[[#This Row],[Trenes Programados por Día Hábil]]+Tabla9[[#This Row],[Trenes Programados por Día Hábil]]+Tabla10[[#This Row],[Trenes Programados por Día Hábil]]</f>
        <v>0</v>
      </c>
      <c r="G258" s="33">
        <f>+(Tabla2[[#This Row],[Coches por Tren Día Hábil]]*Tabla2[[#This Row],[Trenes Corridos]]+Tabla9[[#This Row],[Coches por Tren Día Hábil]]*Tabla9[[#This Row],[Trenes Corridos]]+Tabla10[[#This Row],[Coches por Tren Día Hábil]]*Tabla10[[#This Row],[Trenes Corridos]])/SARM[[#This Row],[Trenes Corridos]]</f>
        <v>0</v>
      </c>
      <c r="H258" s="16">
        <f t="shared" si="99"/>
        <v>5869</v>
      </c>
      <c r="I258" s="16">
        <f t="shared" si="64"/>
        <v>974</v>
      </c>
      <c r="J258" s="16">
        <f t="shared" si="86"/>
        <v>4895</v>
      </c>
      <c r="K258" s="16">
        <f t="shared" si="100"/>
        <v>3057</v>
      </c>
      <c r="L258" s="16">
        <f t="shared" si="65"/>
        <v>1838</v>
      </c>
      <c r="M258" s="16"/>
      <c r="N258" s="17"/>
      <c r="O258" s="94">
        <v>2014</v>
      </c>
      <c r="P258" s="95" t="s">
        <v>36</v>
      </c>
      <c r="Q258" s="15">
        <f t="shared" si="66"/>
        <v>0.67750882501260712</v>
      </c>
      <c r="R258" s="15">
        <f t="shared" si="67"/>
        <v>0.75245029403528418</v>
      </c>
      <c r="S258" s="15">
        <f t="shared" si="68"/>
        <v>0.90040342914775595</v>
      </c>
      <c r="T258" s="16"/>
      <c r="U258" s="16"/>
      <c r="V258" s="16">
        <v>3966</v>
      </c>
      <c r="W258" s="16">
        <f t="shared" ref="W258:W265" si="113">V258-X258</f>
        <v>395</v>
      </c>
      <c r="X258" s="16">
        <v>3571</v>
      </c>
      <c r="Y258" s="16">
        <v>2687</v>
      </c>
      <c r="Z258" s="16">
        <f t="shared" ref="Z258:Z269" si="114">X258-Y258</f>
        <v>884</v>
      </c>
      <c r="AA258" s="16"/>
      <c r="AB258" s="17"/>
      <c r="AC258" s="94">
        <v>2014</v>
      </c>
      <c r="AD258" s="95" t="s">
        <v>36</v>
      </c>
      <c r="AE258" s="15">
        <f t="shared" si="71"/>
        <v>0.25666337611056267</v>
      </c>
      <c r="AF258" s="15">
        <f t="shared" si="72"/>
        <v>0.33722438391699094</v>
      </c>
      <c r="AG258" s="15">
        <f t="shared" si="73"/>
        <v>0.76110562685093786</v>
      </c>
      <c r="AH258" s="16"/>
      <c r="AI258" s="16"/>
      <c r="AJ258" s="16">
        <v>1013</v>
      </c>
      <c r="AK258" s="16">
        <f t="shared" ref="AK258:AK265" si="115">AJ258-AL258</f>
        <v>242</v>
      </c>
      <c r="AL258" s="16">
        <v>771</v>
      </c>
      <c r="AM258" s="16">
        <v>260</v>
      </c>
      <c r="AN258" s="16">
        <f t="shared" ref="AN258:AN269" si="116">AL258-AM258</f>
        <v>511</v>
      </c>
      <c r="AO258" s="16"/>
      <c r="AP258" s="17"/>
      <c r="AQ258" s="94">
        <v>2014</v>
      </c>
      <c r="AR258" s="95" t="s">
        <v>36</v>
      </c>
      <c r="AS258" s="15">
        <f t="shared" si="76"/>
        <v>0.12359550561797752</v>
      </c>
      <c r="AT258" s="15">
        <f t="shared" si="77"/>
        <v>0.19891500904159132</v>
      </c>
      <c r="AU258" s="15">
        <f t="shared" si="78"/>
        <v>0.62134831460674156</v>
      </c>
      <c r="AV258" s="16"/>
      <c r="AW258" s="16"/>
      <c r="AX258" s="16">
        <v>890</v>
      </c>
      <c r="AY258" s="16">
        <f t="shared" ref="AY258:AY265" si="117">AX258-AZ258</f>
        <v>337</v>
      </c>
      <c r="AZ258" s="16">
        <v>553</v>
      </c>
      <c r="BA258" s="16">
        <v>110</v>
      </c>
      <c r="BB258" s="16">
        <f t="shared" ref="BB258:BB269" si="118">AZ258-BA258</f>
        <v>443</v>
      </c>
    </row>
    <row r="259" spans="1:54" s="18" customFormat="1" ht="15" customHeight="1">
      <c r="A259" s="96">
        <v>2014</v>
      </c>
      <c r="B259" s="97" t="s">
        <v>37</v>
      </c>
      <c r="C259" s="15">
        <f t="shared" si="81"/>
        <v>0.53882220555138782</v>
      </c>
      <c r="D259" s="15">
        <f t="shared" si="82"/>
        <v>0.61336464560204951</v>
      </c>
      <c r="E259" s="15">
        <f t="shared" si="83"/>
        <v>0.87846961740435103</v>
      </c>
      <c r="F259" s="16">
        <f>+Tabla2[[#This Row],[Trenes Programados por Día Hábil]]+Tabla9[[#This Row],[Trenes Programados por Día Hábil]]+Tabla10[[#This Row],[Trenes Programados por Día Hábil]]</f>
        <v>0</v>
      </c>
      <c r="G259" s="33">
        <f>+(Tabla2[[#This Row],[Coches por Tren Día Hábil]]*Tabla2[[#This Row],[Trenes Corridos]]+Tabla9[[#This Row],[Coches por Tren Día Hábil]]*Tabla9[[#This Row],[Trenes Corridos]]+Tabla10[[#This Row],[Coches por Tren Día Hábil]]*Tabla10[[#This Row],[Trenes Corridos]])/SARM[[#This Row],[Trenes Corridos]]</f>
        <v>0</v>
      </c>
      <c r="H259" s="16">
        <f t="shared" si="99"/>
        <v>5332</v>
      </c>
      <c r="I259" s="16">
        <f t="shared" si="64"/>
        <v>648</v>
      </c>
      <c r="J259" s="16">
        <f t="shared" si="86"/>
        <v>4684</v>
      </c>
      <c r="K259" s="16">
        <f t="shared" si="100"/>
        <v>2873</v>
      </c>
      <c r="L259" s="16">
        <f t="shared" si="65"/>
        <v>1811</v>
      </c>
      <c r="M259" s="16"/>
      <c r="N259" s="17"/>
      <c r="O259" s="96">
        <v>2014</v>
      </c>
      <c r="P259" s="97" t="s">
        <v>37</v>
      </c>
      <c r="Q259" s="15">
        <f t="shared" si="66"/>
        <v>0.67904656319290468</v>
      </c>
      <c r="R259" s="15">
        <f t="shared" si="67"/>
        <v>0.71868583162217659</v>
      </c>
      <c r="S259" s="15">
        <f t="shared" si="68"/>
        <v>0.94484478935698446</v>
      </c>
      <c r="T259" s="16"/>
      <c r="U259" s="16"/>
      <c r="V259" s="16">
        <v>3608</v>
      </c>
      <c r="W259" s="16">
        <f t="shared" si="113"/>
        <v>199</v>
      </c>
      <c r="X259" s="16">
        <v>3409</v>
      </c>
      <c r="Y259" s="16">
        <v>2450</v>
      </c>
      <c r="Z259" s="16">
        <f t="shared" si="114"/>
        <v>959</v>
      </c>
      <c r="AA259" s="16"/>
      <c r="AB259" s="17"/>
      <c r="AC259" s="96">
        <v>2014</v>
      </c>
      <c r="AD259" s="97" t="s">
        <v>37</v>
      </c>
      <c r="AE259" s="15">
        <f t="shared" si="71"/>
        <v>0.33842794759825329</v>
      </c>
      <c r="AF259" s="15">
        <f t="shared" si="72"/>
        <v>0.43661971830985913</v>
      </c>
      <c r="AG259" s="15">
        <f t="shared" si="73"/>
        <v>0.77510917030567683</v>
      </c>
      <c r="AH259" s="16"/>
      <c r="AI259" s="16"/>
      <c r="AJ259" s="16">
        <v>916</v>
      </c>
      <c r="AK259" s="16">
        <f t="shared" si="115"/>
        <v>206</v>
      </c>
      <c r="AL259" s="16">
        <v>710</v>
      </c>
      <c r="AM259" s="16">
        <v>310</v>
      </c>
      <c r="AN259" s="16">
        <f t="shared" si="116"/>
        <v>400</v>
      </c>
      <c r="AO259" s="16"/>
      <c r="AP259" s="17"/>
      <c r="AQ259" s="96">
        <v>2014</v>
      </c>
      <c r="AR259" s="97" t="s">
        <v>37</v>
      </c>
      <c r="AS259" s="15">
        <f t="shared" si="76"/>
        <v>0.13985148514851486</v>
      </c>
      <c r="AT259" s="15">
        <f t="shared" si="77"/>
        <v>0.2</v>
      </c>
      <c r="AU259" s="15">
        <f t="shared" si="78"/>
        <v>0.69925742574257421</v>
      </c>
      <c r="AV259" s="16"/>
      <c r="AW259" s="16"/>
      <c r="AX259" s="16">
        <v>808</v>
      </c>
      <c r="AY259" s="16">
        <f t="shared" si="117"/>
        <v>243</v>
      </c>
      <c r="AZ259" s="16">
        <v>565</v>
      </c>
      <c r="BA259" s="16">
        <v>113</v>
      </c>
      <c r="BB259" s="16">
        <f t="shared" si="118"/>
        <v>452</v>
      </c>
    </row>
    <row r="260" spans="1:54" s="18" customFormat="1" ht="15" customHeight="1">
      <c r="A260" s="94">
        <v>2014</v>
      </c>
      <c r="B260" s="95" t="s">
        <v>38</v>
      </c>
      <c r="C260" s="15">
        <f t="shared" si="81"/>
        <v>0.57848479521884333</v>
      </c>
      <c r="D260" s="15">
        <f t="shared" si="82"/>
        <v>0.6645799676898223</v>
      </c>
      <c r="E260" s="15">
        <f t="shared" si="83"/>
        <v>0.87045174898927757</v>
      </c>
      <c r="F260" s="16">
        <f>+Tabla2[[#This Row],[Trenes Programados por Día Hábil]]+Tabla9[[#This Row],[Trenes Programados por Día Hábil]]+Tabla10[[#This Row],[Trenes Programados por Día Hábil]]</f>
        <v>0</v>
      </c>
      <c r="G260" s="33">
        <f>+(Tabla2[[#This Row],[Coches por Tren Día Hábil]]*Tabla2[[#This Row],[Trenes Corridos]]+Tabla9[[#This Row],[Coches por Tren Día Hábil]]*Tabla9[[#This Row],[Trenes Corridos]]+Tabla10[[#This Row],[Coches por Tren Día Hábil]]*Tabla10[[#This Row],[Trenes Corridos]])/SARM[[#This Row],[Trenes Corridos]]</f>
        <v>0</v>
      </c>
      <c r="H260" s="16">
        <f t="shared" si="99"/>
        <v>5689</v>
      </c>
      <c r="I260" s="16">
        <f t="shared" si="64"/>
        <v>737</v>
      </c>
      <c r="J260" s="16">
        <f t="shared" si="86"/>
        <v>4952</v>
      </c>
      <c r="K260" s="16">
        <f t="shared" si="100"/>
        <v>3291</v>
      </c>
      <c r="L260" s="16">
        <f t="shared" si="65"/>
        <v>1661</v>
      </c>
      <c r="M260" s="16"/>
      <c r="N260" s="17"/>
      <c r="O260" s="94">
        <v>2014</v>
      </c>
      <c r="P260" s="95" t="s">
        <v>38</v>
      </c>
      <c r="Q260" s="15">
        <f t="shared" si="66"/>
        <v>0.70859538784067089</v>
      </c>
      <c r="R260" s="15">
        <f t="shared" si="67"/>
        <v>0.74654886802871345</v>
      </c>
      <c r="S260" s="15">
        <f t="shared" si="68"/>
        <v>0.94916142557651995</v>
      </c>
      <c r="T260" s="16"/>
      <c r="U260" s="16"/>
      <c r="V260" s="16">
        <v>3816</v>
      </c>
      <c r="W260" s="16">
        <f t="shared" si="113"/>
        <v>194</v>
      </c>
      <c r="X260" s="16">
        <v>3622</v>
      </c>
      <c r="Y260" s="16">
        <v>2704</v>
      </c>
      <c r="Z260" s="16">
        <f t="shared" si="114"/>
        <v>918</v>
      </c>
      <c r="AA260" s="16"/>
      <c r="AB260" s="17"/>
      <c r="AC260" s="94">
        <v>2014</v>
      </c>
      <c r="AD260" s="95" t="s">
        <v>38</v>
      </c>
      <c r="AE260" s="15">
        <f t="shared" si="71"/>
        <v>0.42701092353525322</v>
      </c>
      <c r="AF260" s="15">
        <f t="shared" si="72"/>
        <v>0.54156171284634758</v>
      </c>
      <c r="AG260" s="15">
        <f t="shared" si="73"/>
        <v>0.78848063555114201</v>
      </c>
      <c r="AH260" s="16"/>
      <c r="AI260" s="16"/>
      <c r="AJ260" s="16">
        <v>1007</v>
      </c>
      <c r="AK260" s="16">
        <f t="shared" si="115"/>
        <v>213</v>
      </c>
      <c r="AL260" s="16">
        <v>794</v>
      </c>
      <c r="AM260" s="16">
        <v>430</v>
      </c>
      <c r="AN260" s="16">
        <f t="shared" si="116"/>
        <v>364</v>
      </c>
      <c r="AO260" s="16"/>
      <c r="AP260" s="17"/>
      <c r="AQ260" s="94">
        <v>2014</v>
      </c>
      <c r="AR260" s="95" t="s">
        <v>38</v>
      </c>
      <c r="AS260" s="15">
        <f t="shared" si="76"/>
        <v>0.1812933025404157</v>
      </c>
      <c r="AT260" s="15">
        <f t="shared" si="77"/>
        <v>0.29291044776119401</v>
      </c>
      <c r="AU260" s="15">
        <f t="shared" si="78"/>
        <v>0.61893764434180143</v>
      </c>
      <c r="AV260" s="16"/>
      <c r="AW260" s="16"/>
      <c r="AX260" s="16">
        <v>866</v>
      </c>
      <c r="AY260" s="16">
        <f t="shared" si="117"/>
        <v>330</v>
      </c>
      <c r="AZ260" s="16">
        <v>536</v>
      </c>
      <c r="BA260" s="16">
        <v>157</v>
      </c>
      <c r="BB260" s="16">
        <f t="shared" si="118"/>
        <v>379</v>
      </c>
    </row>
    <row r="261" spans="1:54" s="18" customFormat="1" ht="15" customHeight="1">
      <c r="A261" s="96">
        <v>2014</v>
      </c>
      <c r="B261" s="97" t="s">
        <v>39</v>
      </c>
      <c r="C261" s="15">
        <f t="shared" si="81"/>
        <v>0.51853832442067738</v>
      </c>
      <c r="D261" s="15">
        <f t="shared" si="82"/>
        <v>0.59905271828665574</v>
      </c>
      <c r="E261" s="15">
        <f t="shared" si="83"/>
        <v>0.86559714795008913</v>
      </c>
      <c r="F261" s="16">
        <f>+Tabla2[[#This Row],[Trenes Programados por Día Hábil]]+Tabla9[[#This Row],[Trenes Programados por Día Hábil]]+Tabla10[[#This Row],[Trenes Programados por Día Hábil]]</f>
        <v>0</v>
      </c>
      <c r="G261" s="33">
        <f>+(Tabla2[[#This Row],[Coches por Tren Día Hábil]]*Tabla2[[#This Row],[Trenes Corridos]]+Tabla9[[#This Row],[Coches por Tren Día Hábil]]*Tabla9[[#This Row],[Trenes Corridos]]+Tabla10[[#This Row],[Coches por Tren Día Hábil]]*Tabla10[[#This Row],[Trenes Corridos]])/SARM[[#This Row],[Trenes Corridos]]</f>
        <v>0</v>
      </c>
      <c r="H261" s="16">
        <f t="shared" si="99"/>
        <v>5610</v>
      </c>
      <c r="I261" s="16">
        <f t="shared" si="64"/>
        <v>754</v>
      </c>
      <c r="J261" s="16">
        <f t="shared" si="86"/>
        <v>4856</v>
      </c>
      <c r="K261" s="16">
        <f t="shared" si="100"/>
        <v>2909</v>
      </c>
      <c r="L261" s="16">
        <f t="shared" si="65"/>
        <v>1947</v>
      </c>
      <c r="M261" s="16"/>
      <c r="N261" s="17"/>
      <c r="O261" s="96">
        <v>2014</v>
      </c>
      <c r="P261" s="97" t="s">
        <v>39</v>
      </c>
      <c r="Q261" s="15">
        <f t="shared" si="66"/>
        <v>0.63015873015873014</v>
      </c>
      <c r="R261" s="15">
        <f t="shared" si="67"/>
        <v>0.67728177423940861</v>
      </c>
      <c r="S261" s="15">
        <f t="shared" si="68"/>
        <v>0.93042328042328037</v>
      </c>
      <c r="T261" s="16"/>
      <c r="U261" s="16"/>
      <c r="V261" s="16">
        <v>3780</v>
      </c>
      <c r="W261" s="16">
        <f t="shared" si="113"/>
        <v>263</v>
      </c>
      <c r="X261" s="16">
        <v>3517</v>
      </c>
      <c r="Y261" s="16">
        <v>2382</v>
      </c>
      <c r="Z261" s="16">
        <f t="shared" si="114"/>
        <v>1135</v>
      </c>
      <c r="AA261" s="16"/>
      <c r="AB261" s="17"/>
      <c r="AC261" s="96">
        <v>2014</v>
      </c>
      <c r="AD261" s="97" t="s">
        <v>39</v>
      </c>
      <c r="AE261" s="15">
        <f t="shared" si="71"/>
        <v>0.39059304703476483</v>
      </c>
      <c r="AF261" s="15">
        <f t="shared" si="72"/>
        <v>0.48354430379746838</v>
      </c>
      <c r="AG261" s="15">
        <f t="shared" si="73"/>
        <v>0.80777096114519431</v>
      </c>
      <c r="AH261" s="16"/>
      <c r="AI261" s="16"/>
      <c r="AJ261" s="16">
        <v>978</v>
      </c>
      <c r="AK261" s="16">
        <f t="shared" si="115"/>
        <v>188</v>
      </c>
      <c r="AL261" s="16">
        <v>790</v>
      </c>
      <c r="AM261" s="16">
        <v>382</v>
      </c>
      <c r="AN261" s="16">
        <f t="shared" si="116"/>
        <v>408</v>
      </c>
      <c r="AO261" s="16"/>
      <c r="AP261" s="17"/>
      <c r="AQ261" s="96">
        <v>2014</v>
      </c>
      <c r="AR261" s="97" t="s">
        <v>39</v>
      </c>
      <c r="AS261" s="15">
        <f t="shared" si="76"/>
        <v>0.17018779342723006</v>
      </c>
      <c r="AT261" s="15">
        <f t="shared" si="77"/>
        <v>0.26411657559198543</v>
      </c>
      <c r="AU261" s="15">
        <f t="shared" si="78"/>
        <v>0.64436619718309862</v>
      </c>
      <c r="AV261" s="16"/>
      <c r="AW261" s="16"/>
      <c r="AX261" s="16">
        <v>852</v>
      </c>
      <c r="AY261" s="16">
        <f t="shared" si="117"/>
        <v>303</v>
      </c>
      <c r="AZ261" s="16">
        <v>549</v>
      </c>
      <c r="BA261" s="16">
        <v>145</v>
      </c>
      <c r="BB261" s="16">
        <f t="shared" si="118"/>
        <v>404</v>
      </c>
    </row>
    <row r="262" spans="1:54" s="18" customFormat="1" ht="15" customHeight="1">
      <c r="A262" s="94">
        <v>2014</v>
      </c>
      <c r="B262" s="95" t="s">
        <v>40</v>
      </c>
      <c r="C262" s="15">
        <f t="shared" si="81"/>
        <v>0.48355999311413322</v>
      </c>
      <c r="D262" s="15">
        <f t="shared" si="82"/>
        <v>0.59474910014821092</v>
      </c>
      <c r="E262" s="15">
        <f t="shared" si="83"/>
        <v>0.81304871750731622</v>
      </c>
      <c r="F262" s="16">
        <f>+Tabla2[[#This Row],[Trenes Programados por Día Hábil]]+Tabla9[[#This Row],[Trenes Programados por Día Hábil]]+Tabla10[[#This Row],[Trenes Programados por Día Hábil]]</f>
        <v>0</v>
      </c>
      <c r="G262" s="33">
        <f>+(Tabla2[[#This Row],[Coches por Tren Día Hábil]]*Tabla2[[#This Row],[Trenes Corridos]]+Tabla9[[#This Row],[Coches por Tren Día Hábil]]*Tabla9[[#This Row],[Trenes Corridos]]+Tabla10[[#This Row],[Coches por Tren Día Hábil]]*Tabla10[[#This Row],[Trenes Corridos]])/SARM[[#This Row],[Trenes Corridos]]</f>
        <v>0</v>
      </c>
      <c r="H262" s="16">
        <f t="shared" si="99"/>
        <v>5809</v>
      </c>
      <c r="I262" s="16">
        <f t="shared" ref="I262:I325" si="119">H262-J262</f>
        <v>1086</v>
      </c>
      <c r="J262" s="16">
        <f t="shared" si="86"/>
        <v>4723</v>
      </c>
      <c r="K262" s="16">
        <f t="shared" si="100"/>
        <v>2809</v>
      </c>
      <c r="L262" s="16">
        <f t="shared" ref="L262:L325" si="120">J262-K262</f>
        <v>1914</v>
      </c>
      <c r="M262" s="16"/>
      <c r="N262" s="17"/>
      <c r="O262" s="94">
        <v>2014</v>
      </c>
      <c r="P262" s="95" t="s">
        <v>40</v>
      </c>
      <c r="Q262" s="15">
        <f t="shared" ref="Q262:Q325" si="121">Y262/V262</f>
        <v>0.62053115423901939</v>
      </c>
      <c r="R262" s="15">
        <f t="shared" ref="R262:R325" si="122">Y262/X262</f>
        <v>0.69329529243937238</v>
      </c>
      <c r="S262" s="15">
        <f t="shared" ref="S262:S325" si="123">X262/V262</f>
        <v>0.89504596527068436</v>
      </c>
      <c r="T262" s="16"/>
      <c r="U262" s="16"/>
      <c r="V262" s="16">
        <v>3916</v>
      </c>
      <c r="W262" s="16">
        <f t="shared" si="113"/>
        <v>411</v>
      </c>
      <c r="X262" s="16">
        <v>3505</v>
      </c>
      <c r="Y262" s="16">
        <v>2430</v>
      </c>
      <c r="Z262" s="16">
        <f t="shared" si="114"/>
        <v>1075</v>
      </c>
      <c r="AA262" s="16"/>
      <c r="AB262" s="17"/>
      <c r="AC262" s="94">
        <v>2014</v>
      </c>
      <c r="AD262" s="95" t="s">
        <v>40</v>
      </c>
      <c r="AE262" s="15">
        <f t="shared" ref="AE262:AE325" si="124">AM262/AJ262</f>
        <v>0.29179030662710187</v>
      </c>
      <c r="AF262" s="15">
        <f t="shared" ref="AF262:AF325" si="125">AM262/AL262</f>
        <v>0.44427710843373491</v>
      </c>
      <c r="AG262" s="15">
        <f t="shared" ref="AG262:AG325" si="126">AL262/AJ262</f>
        <v>0.65677546983184965</v>
      </c>
      <c r="AH262" s="16"/>
      <c r="AI262" s="16"/>
      <c r="AJ262" s="16">
        <v>1011</v>
      </c>
      <c r="AK262" s="16">
        <f t="shared" si="115"/>
        <v>347</v>
      </c>
      <c r="AL262" s="16">
        <v>664</v>
      </c>
      <c r="AM262" s="16">
        <v>295</v>
      </c>
      <c r="AN262" s="16">
        <f t="shared" si="116"/>
        <v>369</v>
      </c>
      <c r="AO262" s="16"/>
      <c r="AP262" s="17"/>
      <c r="AQ262" s="94">
        <v>2014</v>
      </c>
      <c r="AR262" s="95" t="s">
        <v>40</v>
      </c>
      <c r="AS262" s="15">
        <f t="shared" ref="AS262:AS325" si="127">BA262/AX262</f>
        <v>9.5238095238095233E-2</v>
      </c>
      <c r="AT262" s="15">
        <f t="shared" ref="AT262:AT325" si="128">BA262/AZ262</f>
        <v>0.15162454873646208</v>
      </c>
      <c r="AU262" s="15">
        <f t="shared" ref="AU262:AU325" si="129">AZ262/AX262</f>
        <v>0.6281179138321995</v>
      </c>
      <c r="AV262" s="16"/>
      <c r="AW262" s="16"/>
      <c r="AX262" s="16">
        <v>882</v>
      </c>
      <c r="AY262" s="16">
        <f t="shared" si="117"/>
        <v>328</v>
      </c>
      <c r="AZ262" s="16">
        <v>554</v>
      </c>
      <c r="BA262" s="16">
        <v>84</v>
      </c>
      <c r="BB262" s="16">
        <f t="shared" si="118"/>
        <v>470</v>
      </c>
    </row>
    <row r="263" spans="1:54" s="18" customFormat="1" ht="15" customHeight="1">
      <c r="A263" s="96">
        <v>2014</v>
      </c>
      <c r="B263" s="97" t="s">
        <v>41</v>
      </c>
      <c r="C263" s="15">
        <f t="shared" si="81"/>
        <v>0.54046345811051688</v>
      </c>
      <c r="D263" s="15">
        <f t="shared" si="82"/>
        <v>0.63324979114452795</v>
      </c>
      <c r="E263" s="15">
        <f t="shared" si="83"/>
        <v>0.85347593582887704</v>
      </c>
      <c r="F263" s="16">
        <f>+Tabla2[[#This Row],[Trenes Programados por Día Hábil]]+Tabla9[[#This Row],[Trenes Programados por Día Hábil]]+Tabla10[[#This Row],[Trenes Programados por Día Hábil]]</f>
        <v>0</v>
      </c>
      <c r="G263" s="33">
        <f>+(Tabla2[[#This Row],[Coches por Tren Día Hábil]]*Tabla2[[#This Row],[Trenes Corridos]]+Tabla9[[#This Row],[Coches por Tren Día Hábil]]*Tabla9[[#This Row],[Trenes Corridos]]+Tabla10[[#This Row],[Coches por Tren Día Hábil]]*Tabla10[[#This Row],[Trenes Corridos]])/SARM[[#This Row],[Trenes Corridos]]</f>
        <v>0</v>
      </c>
      <c r="H263" s="16">
        <f t="shared" si="99"/>
        <v>5610</v>
      </c>
      <c r="I263" s="16">
        <f t="shared" si="119"/>
        <v>822</v>
      </c>
      <c r="J263" s="16">
        <f t="shared" si="86"/>
        <v>4788</v>
      </c>
      <c r="K263" s="16">
        <f t="shared" si="100"/>
        <v>3032</v>
      </c>
      <c r="L263" s="16">
        <f t="shared" si="120"/>
        <v>1756</v>
      </c>
      <c r="M263" s="16"/>
      <c r="N263" s="17"/>
      <c r="O263" s="96">
        <v>2014</v>
      </c>
      <c r="P263" s="97" t="s">
        <v>41</v>
      </c>
      <c r="Q263" s="15">
        <f t="shared" si="121"/>
        <v>0.696031746031746</v>
      </c>
      <c r="R263" s="15">
        <f t="shared" si="122"/>
        <v>0.73553256919206034</v>
      </c>
      <c r="S263" s="15">
        <f t="shared" si="123"/>
        <v>0.9462962962962963</v>
      </c>
      <c r="T263" s="16"/>
      <c r="U263" s="16"/>
      <c r="V263" s="16">
        <v>3780</v>
      </c>
      <c r="W263" s="16">
        <f t="shared" si="113"/>
        <v>203</v>
      </c>
      <c r="X263" s="16">
        <v>3577</v>
      </c>
      <c r="Y263" s="16">
        <v>2631</v>
      </c>
      <c r="Z263" s="16">
        <f t="shared" si="114"/>
        <v>946</v>
      </c>
      <c r="AA263" s="16"/>
      <c r="AB263" s="17"/>
      <c r="AC263" s="96">
        <v>2014</v>
      </c>
      <c r="AD263" s="97" t="s">
        <v>41</v>
      </c>
      <c r="AE263" s="15">
        <f t="shared" si="124"/>
        <v>0.33844580777096117</v>
      </c>
      <c r="AF263" s="15">
        <f t="shared" si="125"/>
        <v>0.50611620795107037</v>
      </c>
      <c r="AG263" s="15">
        <f t="shared" si="126"/>
        <v>0.66871165644171782</v>
      </c>
      <c r="AH263" s="16"/>
      <c r="AI263" s="16"/>
      <c r="AJ263" s="16">
        <v>978</v>
      </c>
      <c r="AK263" s="16">
        <f t="shared" si="115"/>
        <v>324</v>
      </c>
      <c r="AL263" s="16">
        <v>654</v>
      </c>
      <c r="AM263" s="16">
        <v>331</v>
      </c>
      <c r="AN263" s="16">
        <f t="shared" si="116"/>
        <v>323</v>
      </c>
      <c r="AO263" s="16"/>
      <c r="AP263" s="17"/>
      <c r="AQ263" s="96">
        <v>2014</v>
      </c>
      <c r="AR263" s="97" t="s">
        <v>41</v>
      </c>
      <c r="AS263" s="15">
        <f t="shared" si="127"/>
        <v>8.2159624413145546E-2</v>
      </c>
      <c r="AT263" s="15">
        <f t="shared" si="128"/>
        <v>0.12567324955116696</v>
      </c>
      <c r="AU263" s="15">
        <f t="shared" si="129"/>
        <v>0.65375586854460099</v>
      </c>
      <c r="AV263" s="16"/>
      <c r="AW263" s="16"/>
      <c r="AX263" s="16">
        <v>852</v>
      </c>
      <c r="AY263" s="16">
        <f t="shared" si="117"/>
        <v>295</v>
      </c>
      <c r="AZ263" s="16">
        <v>557</v>
      </c>
      <c r="BA263" s="16">
        <v>70</v>
      </c>
      <c r="BB263" s="16">
        <f t="shared" si="118"/>
        <v>487</v>
      </c>
    </row>
    <row r="264" spans="1:54" s="18" customFormat="1" ht="15" customHeight="1">
      <c r="A264" s="94">
        <v>2014</v>
      </c>
      <c r="B264" s="95" t="s">
        <v>42</v>
      </c>
      <c r="C264" s="15">
        <f t="shared" si="81"/>
        <v>0.55036892034332174</v>
      </c>
      <c r="D264" s="15">
        <f t="shared" si="82"/>
        <v>0.62919607505594766</v>
      </c>
      <c r="E264" s="15">
        <f t="shared" si="83"/>
        <v>0.87471766300255982</v>
      </c>
      <c r="F264" s="16">
        <f>+Tabla2[[#This Row],[Trenes Programados por Día Hábil]]+Tabla9[[#This Row],[Trenes Programados por Día Hábil]]+Tabla10[[#This Row],[Trenes Programados por Día Hábil]]</f>
        <v>0</v>
      </c>
      <c r="G264" s="33">
        <f>+(Tabla2[[#This Row],[Coches por Tren Día Hábil]]*Tabla2[[#This Row],[Trenes Corridos]]+Tabla9[[#This Row],[Coches por Tren Día Hábil]]*Tabla9[[#This Row],[Trenes Corridos]]+Tabla10[[#This Row],[Coches por Tren Día Hábil]]*Tabla10[[#This Row],[Trenes Corridos]])/SARM[[#This Row],[Trenes Corridos]]</f>
        <v>0</v>
      </c>
      <c r="H264" s="16">
        <f t="shared" si="99"/>
        <v>6641</v>
      </c>
      <c r="I264" s="16">
        <f t="shared" si="119"/>
        <v>832</v>
      </c>
      <c r="J264" s="16">
        <f t="shared" si="86"/>
        <v>5809</v>
      </c>
      <c r="K264" s="16">
        <f t="shared" si="100"/>
        <v>3655</v>
      </c>
      <c r="L264" s="16">
        <f t="shared" si="120"/>
        <v>2154</v>
      </c>
      <c r="M264" s="16"/>
      <c r="N264" s="17"/>
      <c r="O264" s="94">
        <v>2014</v>
      </c>
      <c r="P264" s="95" t="s">
        <v>42</v>
      </c>
      <c r="Q264" s="15">
        <f t="shared" si="121"/>
        <v>0.68847615027437736</v>
      </c>
      <c r="R264" s="15">
        <f t="shared" si="122"/>
        <v>0.74713696747595049</v>
      </c>
      <c r="S264" s="15">
        <f t="shared" si="123"/>
        <v>0.92148585901224145</v>
      </c>
      <c r="T264" s="16"/>
      <c r="U264" s="16"/>
      <c r="V264" s="16">
        <v>4738</v>
      </c>
      <c r="W264" s="16">
        <f t="shared" si="113"/>
        <v>372</v>
      </c>
      <c r="X264" s="16">
        <v>4366</v>
      </c>
      <c r="Y264" s="16">
        <v>3262</v>
      </c>
      <c r="Z264" s="16">
        <f t="shared" si="114"/>
        <v>1104</v>
      </c>
      <c r="AA264" s="16"/>
      <c r="AB264" s="17"/>
      <c r="AC264" s="94">
        <v>2014</v>
      </c>
      <c r="AD264" s="95" t="s">
        <v>42</v>
      </c>
      <c r="AE264" s="15">
        <f t="shared" si="124"/>
        <v>0.30306021717670284</v>
      </c>
      <c r="AF264" s="15">
        <f t="shared" si="125"/>
        <v>0.3730255164034022</v>
      </c>
      <c r="AG264" s="15">
        <f t="shared" si="126"/>
        <v>0.81243830207305034</v>
      </c>
      <c r="AH264" s="16"/>
      <c r="AI264" s="16"/>
      <c r="AJ264" s="16">
        <v>1013</v>
      </c>
      <c r="AK264" s="16">
        <f t="shared" si="115"/>
        <v>190</v>
      </c>
      <c r="AL264" s="16">
        <v>823</v>
      </c>
      <c r="AM264" s="16">
        <v>307</v>
      </c>
      <c r="AN264" s="16">
        <f t="shared" si="116"/>
        <v>516</v>
      </c>
      <c r="AO264" s="16"/>
      <c r="AP264" s="17"/>
      <c r="AQ264" s="94">
        <v>2014</v>
      </c>
      <c r="AR264" s="95" t="s">
        <v>42</v>
      </c>
      <c r="AS264" s="15">
        <f t="shared" si="127"/>
        <v>9.662921348314607E-2</v>
      </c>
      <c r="AT264" s="15">
        <f t="shared" si="128"/>
        <v>0.13870967741935483</v>
      </c>
      <c r="AU264" s="15">
        <f t="shared" si="129"/>
        <v>0.6966292134831461</v>
      </c>
      <c r="AV264" s="16"/>
      <c r="AW264" s="16"/>
      <c r="AX264" s="16">
        <v>890</v>
      </c>
      <c r="AY264" s="16">
        <f t="shared" si="117"/>
        <v>270</v>
      </c>
      <c r="AZ264" s="16">
        <v>620</v>
      </c>
      <c r="BA264" s="16">
        <v>86</v>
      </c>
      <c r="BB264" s="16">
        <f t="shared" si="118"/>
        <v>534</v>
      </c>
    </row>
    <row r="265" spans="1:54" s="18" customFormat="1" ht="15" customHeight="1">
      <c r="A265" s="96">
        <v>2014</v>
      </c>
      <c r="B265" s="97" t="s">
        <v>43</v>
      </c>
      <c r="C265" s="15">
        <f t="shared" si="81"/>
        <v>0.50932298836190715</v>
      </c>
      <c r="D265" s="15">
        <f t="shared" si="82"/>
        <v>0.66082156194187369</v>
      </c>
      <c r="E265" s="15">
        <f t="shared" si="83"/>
        <v>0.77074208484545115</v>
      </c>
      <c r="F265" s="16">
        <f>+Tabla2[[#This Row],[Trenes Programados por Día Hábil]]+Tabla9[[#This Row],[Trenes Programados por Día Hábil]]+Tabla10[[#This Row],[Trenes Programados por Día Hábil]]</f>
        <v>0</v>
      </c>
      <c r="G265" s="33">
        <f>+(Tabla2[[#This Row],[Coches por Tren Día Hábil]]*Tabla2[[#This Row],[Trenes Corridos]]+Tabla9[[#This Row],[Coches por Tren Día Hábil]]*Tabla9[[#This Row],[Trenes Corridos]]+Tabla10[[#This Row],[Coches por Tren Día Hábil]]*Tabla10[[#This Row],[Trenes Corridos]])/SARM[[#This Row],[Trenes Corridos]]</f>
        <v>0</v>
      </c>
      <c r="H265" s="16">
        <f t="shared" si="99"/>
        <v>7991</v>
      </c>
      <c r="I265" s="16">
        <f t="shared" si="119"/>
        <v>1832</v>
      </c>
      <c r="J265" s="16">
        <f t="shared" si="86"/>
        <v>6159</v>
      </c>
      <c r="K265" s="16">
        <f t="shared" si="100"/>
        <v>4070</v>
      </c>
      <c r="L265" s="16">
        <f t="shared" si="120"/>
        <v>2089</v>
      </c>
      <c r="M265" s="16"/>
      <c r="N265" s="17"/>
      <c r="O265" s="96">
        <v>2014</v>
      </c>
      <c r="P265" s="97" t="s">
        <v>43</v>
      </c>
      <c r="Q265" s="15">
        <f t="shared" si="121"/>
        <v>0.63447031813709409</v>
      </c>
      <c r="R265" s="15">
        <f t="shared" si="122"/>
        <v>0.72331276874182093</v>
      </c>
      <c r="S265" s="15">
        <f t="shared" si="123"/>
        <v>0.87717284355526404</v>
      </c>
      <c r="T265" s="16"/>
      <c r="U265" s="16"/>
      <c r="V265" s="16">
        <v>6098</v>
      </c>
      <c r="W265" s="16">
        <f t="shared" si="113"/>
        <v>749</v>
      </c>
      <c r="X265" s="16">
        <v>5349</v>
      </c>
      <c r="Y265" s="16">
        <v>3869</v>
      </c>
      <c r="Z265" s="16">
        <f t="shared" si="114"/>
        <v>1480</v>
      </c>
      <c r="AA265" s="16"/>
      <c r="AB265" s="17"/>
      <c r="AC265" s="96">
        <v>2014</v>
      </c>
      <c r="AD265" s="97" t="s">
        <v>43</v>
      </c>
      <c r="AE265" s="15">
        <f t="shared" si="124"/>
        <v>0.17507418397626112</v>
      </c>
      <c r="AF265" s="15">
        <f t="shared" si="125"/>
        <v>0.22634271099744246</v>
      </c>
      <c r="AG265" s="15">
        <f t="shared" si="126"/>
        <v>0.77349159248269039</v>
      </c>
      <c r="AH265" s="16"/>
      <c r="AI265" s="16"/>
      <c r="AJ265" s="16">
        <v>1011</v>
      </c>
      <c r="AK265" s="16">
        <f t="shared" si="115"/>
        <v>229</v>
      </c>
      <c r="AL265" s="16">
        <v>782</v>
      </c>
      <c r="AM265" s="16">
        <v>177</v>
      </c>
      <c r="AN265" s="16">
        <f t="shared" si="116"/>
        <v>605</v>
      </c>
      <c r="AO265" s="16"/>
      <c r="AP265" s="17"/>
      <c r="AQ265" s="96">
        <v>2014</v>
      </c>
      <c r="AR265" s="97" t="s">
        <v>43</v>
      </c>
      <c r="AS265" s="15">
        <f t="shared" si="127"/>
        <v>2.7210884353741496E-2</v>
      </c>
      <c r="AT265" s="15">
        <f t="shared" si="128"/>
        <v>0.8571428571428571</v>
      </c>
      <c r="AU265" s="15">
        <f t="shared" si="129"/>
        <v>3.1746031746031744E-2</v>
      </c>
      <c r="AV265" s="16"/>
      <c r="AW265" s="16"/>
      <c r="AX265" s="16">
        <v>882</v>
      </c>
      <c r="AY265" s="16">
        <f t="shared" si="117"/>
        <v>854</v>
      </c>
      <c r="AZ265" s="16">
        <v>28</v>
      </c>
      <c r="BA265" s="16">
        <v>24</v>
      </c>
      <c r="BB265" s="16">
        <f t="shared" si="118"/>
        <v>4</v>
      </c>
    </row>
    <row r="266" spans="1:54" s="18" customFormat="1" ht="15" customHeight="1">
      <c r="A266" s="94">
        <v>2014</v>
      </c>
      <c r="B266" s="95" t="s">
        <v>44</v>
      </c>
      <c r="C266" s="15">
        <f t="shared" ref="C266:C329" si="130">K266/H266</f>
        <v>0.67644807348813474</v>
      </c>
      <c r="D266" s="15">
        <f t="shared" ref="D266:D329" si="131">K266/J266</f>
        <v>0.78887070376432078</v>
      </c>
      <c r="E266" s="15">
        <f t="shared" ref="E266:E329" si="132">J266/H266</f>
        <v>0.85748915539678494</v>
      </c>
      <c r="F266" s="16">
        <f>+Tabla2[[#This Row],[Trenes Programados por Día Hábil]]+Tabla9[[#This Row],[Trenes Programados por Día Hábil]]+Tabla10[[#This Row],[Trenes Programados por Día Hábil]]</f>
        <v>0</v>
      </c>
      <c r="G266" s="33">
        <f>+(Tabla2[[#This Row],[Coches por Tren Día Hábil]]*Tabla2[[#This Row],[Trenes Corridos]]+Tabla9[[#This Row],[Coches por Tren Día Hábil]]*Tabla9[[#This Row],[Trenes Corridos]]+Tabla10[[#This Row],[Coches por Tren Día Hábil]]*Tabla10[[#This Row],[Trenes Corridos]])/SARM[[#This Row],[Trenes Corridos]]</f>
        <v>0</v>
      </c>
      <c r="H266" s="16">
        <f t="shared" ref="H266:H297" si="133">+V266+AJ266+AX266</f>
        <v>7838</v>
      </c>
      <c r="I266" s="16">
        <f t="shared" si="119"/>
        <v>1117</v>
      </c>
      <c r="J266" s="16">
        <f t="shared" si="86"/>
        <v>6721</v>
      </c>
      <c r="K266" s="16">
        <f t="shared" ref="K266:K297" si="134">+Y266+AM266+BA266</f>
        <v>5302</v>
      </c>
      <c r="L266" s="16">
        <f t="shared" si="120"/>
        <v>1419</v>
      </c>
      <c r="M266" s="16"/>
      <c r="N266" s="17"/>
      <c r="O266" s="94">
        <v>2014</v>
      </c>
      <c r="P266" s="95" t="s">
        <v>44</v>
      </c>
      <c r="Q266" s="15">
        <f t="shared" si="121"/>
        <v>0.86940547762191045</v>
      </c>
      <c r="R266" s="15">
        <f t="shared" si="122"/>
        <v>0.91189350148887716</v>
      </c>
      <c r="S266" s="15">
        <f t="shared" si="123"/>
        <v>0.95340681362725455</v>
      </c>
      <c r="T266" s="16"/>
      <c r="U266" s="16"/>
      <c r="V266" s="16">
        <v>5988</v>
      </c>
      <c r="W266" s="16">
        <f>V266-X266</f>
        <v>279</v>
      </c>
      <c r="X266" s="16">
        <v>5709</v>
      </c>
      <c r="Y266" s="16">
        <v>5206</v>
      </c>
      <c r="Z266" s="16">
        <f t="shared" si="114"/>
        <v>503</v>
      </c>
      <c r="AA266" s="16"/>
      <c r="AB266" s="17"/>
      <c r="AC266" s="94">
        <v>2014</v>
      </c>
      <c r="AD266" s="95" t="s">
        <v>44</v>
      </c>
      <c r="AE266" s="15">
        <f t="shared" si="124"/>
        <v>9.775967413441955E-2</v>
      </c>
      <c r="AF266" s="15">
        <f t="shared" si="125"/>
        <v>0.17112299465240641</v>
      </c>
      <c r="AG266" s="15">
        <f t="shared" si="126"/>
        <v>0.57128309572301428</v>
      </c>
      <c r="AH266" s="16"/>
      <c r="AI266" s="16"/>
      <c r="AJ266" s="16">
        <v>982</v>
      </c>
      <c r="AK266" s="16">
        <f>AJ266-AL266</f>
        <v>421</v>
      </c>
      <c r="AL266" s="16">
        <v>561</v>
      </c>
      <c r="AM266" s="16">
        <v>96</v>
      </c>
      <c r="AN266" s="16">
        <f t="shared" si="116"/>
        <v>465</v>
      </c>
      <c r="AO266" s="16"/>
      <c r="AP266" s="17"/>
      <c r="AQ266" s="94">
        <v>2014</v>
      </c>
      <c r="AR266" s="95" t="s">
        <v>44</v>
      </c>
      <c r="AS266" s="15">
        <f t="shared" si="127"/>
        <v>0</v>
      </c>
      <c r="AT266" s="15">
        <f t="shared" si="128"/>
        <v>0</v>
      </c>
      <c r="AU266" s="15">
        <f t="shared" si="129"/>
        <v>0.5195852534562212</v>
      </c>
      <c r="AV266" s="16"/>
      <c r="AW266" s="16"/>
      <c r="AX266" s="16">
        <v>868</v>
      </c>
      <c r="AY266" s="16">
        <f>AX266-AZ266</f>
        <v>417</v>
      </c>
      <c r="AZ266" s="16">
        <v>451</v>
      </c>
      <c r="BA266" s="16">
        <v>0</v>
      </c>
      <c r="BB266" s="16">
        <f t="shared" si="118"/>
        <v>451</v>
      </c>
    </row>
    <row r="267" spans="1:54" s="18" customFormat="1" ht="15" customHeight="1">
      <c r="A267" s="96">
        <v>2014</v>
      </c>
      <c r="B267" s="97" t="s">
        <v>45</v>
      </c>
      <c r="C267" s="15">
        <f t="shared" si="130"/>
        <v>0.67026959870791403</v>
      </c>
      <c r="D267" s="15">
        <f t="shared" si="131"/>
        <v>0.79654510556621883</v>
      </c>
      <c r="E267" s="15">
        <f t="shared" si="132"/>
        <v>0.84147099018511617</v>
      </c>
      <c r="F267" s="16">
        <f>+Tabla2[[#This Row],[Trenes Programados por Día Hábil]]+Tabla9[[#This Row],[Trenes Programados por Día Hábil]]+Tabla10[[#This Row],[Trenes Programados por Día Hábil]]</f>
        <v>0</v>
      </c>
      <c r="G267" s="33">
        <f>+(Tabla2[[#This Row],[Coches por Tren Día Hábil]]*Tabla2[[#This Row],[Trenes Corridos]]+Tabla9[[#This Row],[Coches por Tren Día Hábil]]*Tabla9[[#This Row],[Trenes Corridos]]+Tabla10[[#This Row],[Coches por Tren Día Hábil]]*Tabla10[[#This Row],[Trenes Corridos]])/SARM[[#This Row],[Trenes Corridos]]</f>
        <v>0</v>
      </c>
      <c r="H267" s="16">
        <f t="shared" si="133"/>
        <v>8049</v>
      </c>
      <c r="I267" s="16">
        <f t="shared" si="119"/>
        <v>1276</v>
      </c>
      <c r="J267" s="16">
        <f t="shared" si="86"/>
        <v>6773</v>
      </c>
      <c r="K267" s="16">
        <f t="shared" si="134"/>
        <v>5395</v>
      </c>
      <c r="L267" s="16">
        <f t="shared" si="120"/>
        <v>1378</v>
      </c>
      <c r="M267" s="16"/>
      <c r="N267" s="17"/>
      <c r="O267" s="96">
        <v>2014</v>
      </c>
      <c r="P267" s="97" t="s">
        <v>45</v>
      </c>
      <c r="Q267" s="15">
        <f t="shared" si="121"/>
        <v>0.86983403839895868</v>
      </c>
      <c r="R267" s="15">
        <f t="shared" si="122"/>
        <v>0.92283790781978248</v>
      </c>
      <c r="S267" s="15">
        <f t="shared" si="123"/>
        <v>0.94256426944354055</v>
      </c>
      <c r="T267" s="16"/>
      <c r="U267" s="16"/>
      <c r="V267" s="16">
        <v>6146</v>
      </c>
      <c r="W267" s="16">
        <f>V267-X267</f>
        <v>353</v>
      </c>
      <c r="X267" s="16">
        <v>5793</v>
      </c>
      <c r="Y267" s="16">
        <v>5346</v>
      </c>
      <c r="Z267" s="16">
        <f t="shared" si="114"/>
        <v>447</v>
      </c>
      <c r="AA267" s="16"/>
      <c r="AB267" s="17"/>
      <c r="AC267" s="96">
        <v>2014</v>
      </c>
      <c r="AD267" s="97" t="s">
        <v>45</v>
      </c>
      <c r="AE267" s="15">
        <f t="shared" si="124"/>
        <v>4.8371174728529122E-2</v>
      </c>
      <c r="AF267" s="15">
        <f t="shared" si="125"/>
        <v>9.1588785046728974E-2</v>
      </c>
      <c r="AG267" s="15">
        <f t="shared" si="126"/>
        <v>0.5281342546890424</v>
      </c>
      <c r="AH267" s="16"/>
      <c r="AI267" s="16"/>
      <c r="AJ267" s="16">
        <v>1013</v>
      </c>
      <c r="AK267" s="16">
        <f>AJ267-AL267</f>
        <v>478</v>
      </c>
      <c r="AL267" s="16">
        <v>535</v>
      </c>
      <c r="AM267" s="16">
        <v>49</v>
      </c>
      <c r="AN267" s="16">
        <f t="shared" si="116"/>
        <v>486</v>
      </c>
      <c r="AO267" s="16"/>
      <c r="AP267" s="17"/>
      <c r="AQ267" s="96">
        <v>2014</v>
      </c>
      <c r="AR267" s="97" t="s">
        <v>45</v>
      </c>
      <c r="AS267" s="15">
        <f t="shared" si="127"/>
        <v>0</v>
      </c>
      <c r="AT267" s="15">
        <f t="shared" si="128"/>
        <v>0</v>
      </c>
      <c r="AU267" s="15">
        <f t="shared" si="129"/>
        <v>0.5</v>
      </c>
      <c r="AV267" s="16"/>
      <c r="AW267" s="16"/>
      <c r="AX267" s="16">
        <v>890</v>
      </c>
      <c r="AY267" s="16">
        <f>AX267-AZ267</f>
        <v>445</v>
      </c>
      <c r="AZ267" s="16">
        <v>445</v>
      </c>
      <c r="BA267" s="16">
        <v>0</v>
      </c>
      <c r="BB267" s="16">
        <f t="shared" si="118"/>
        <v>445</v>
      </c>
    </row>
    <row r="268" spans="1:54" s="18" customFormat="1" ht="15" customHeight="1">
      <c r="A268" s="94">
        <v>2014</v>
      </c>
      <c r="B268" s="95" t="s">
        <v>46</v>
      </c>
      <c r="C268" s="15">
        <f t="shared" si="130"/>
        <v>0.62548562548562547</v>
      </c>
      <c r="D268" s="15">
        <f t="shared" si="131"/>
        <v>0.76972111553784861</v>
      </c>
      <c r="E268" s="15">
        <f t="shared" si="132"/>
        <v>0.8126133126133126</v>
      </c>
      <c r="F268" s="16">
        <f>+Tabla2[[#This Row],[Trenes Programados por Día Hábil]]+Tabla9[[#This Row],[Trenes Programados por Día Hábil]]+Tabla10[[#This Row],[Trenes Programados por Día Hábil]]</f>
        <v>0</v>
      </c>
      <c r="G268" s="33">
        <f>+(Tabla2[[#This Row],[Coches por Tren Día Hábil]]*Tabla2[[#This Row],[Trenes Corridos]]+Tabla9[[#This Row],[Coches por Tren Día Hábil]]*Tabla9[[#This Row],[Trenes Corridos]]+Tabla10[[#This Row],[Coches por Tren Día Hábil]]*Tabla10[[#This Row],[Trenes Corridos]])/SARM[[#This Row],[Trenes Corridos]]</f>
        <v>0</v>
      </c>
      <c r="H268" s="16">
        <f t="shared" si="133"/>
        <v>7722</v>
      </c>
      <c r="I268" s="16">
        <f t="shared" si="119"/>
        <v>1447</v>
      </c>
      <c r="J268" s="16">
        <f t="shared" ref="J268:J331" si="135">+X268+AL268+AZ268</f>
        <v>6275</v>
      </c>
      <c r="K268" s="16">
        <f t="shared" si="134"/>
        <v>4830</v>
      </c>
      <c r="L268" s="16">
        <f t="shared" si="120"/>
        <v>1445</v>
      </c>
      <c r="M268" s="16"/>
      <c r="N268" s="17"/>
      <c r="O268" s="94">
        <v>2014</v>
      </c>
      <c r="P268" s="95" t="s">
        <v>46</v>
      </c>
      <c r="Q268" s="15">
        <f t="shared" si="121"/>
        <v>0.80821452817379502</v>
      </c>
      <c r="R268" s="15">
        <f t="shared" si="122"/>
        <v>0.89059285580699454</v>
      </c>
      <c r="S268" s="15">
        <f t="shared" si="123"/>
        <v>0.90750169721656482</v>
      </c>
      <c r="T268" s="16"/>
      <c r="U268" s="16"/>
      <c r="V268" s="16">
        <v>5892</v>
      </c>
      <c r="W268" s="16">
        <f>V268-X268</f>
        <v>545</v>
      </c>
      <c r="X268" s="16">
        <v>5347</v>
      </c>
      <c r="Y268" s="16">
        <v>4762</v>
      </c>
      <c r="Z268" s="16">
        <f t="shared" si="114"/>
        <v>585</v>
      </c>
      <c r="AA268" s="16"/>
      <c r="AB268" s="17"/>
      <c r="AC268" s="94">
        <v>2014</v>
      </c>
      <c r="AD268" s="95" t="s">
        <v>46</v>
      </c>
      <c r="AE268" s="15">
        <f t="shared" si="124"/>
        <v>6.9529652351738247E-2</v>
      </c>
      <c r="AF268" s="15">
        <f t="shared" si="125"/>
        <v>0.12927756653992395</v>
      </c>
      <c r="AG268" s="15">
        <f t="shared" si="126"/>
        <v>0.53783231083844585</v>
      </c>
      <c r="AH268" s="16"/>
      <c r="AI268" s="16"/>
      <c r="AJ268" s="16">
        <v>978</v>
      </c>
      <c r="AK268" s="16">
        <f>AJ268-AL268</f>
        <v>452</v>
      </c>
      <c r="AL268" s="16">
        <v>526</v>
      </c>
      <c r="AM268" s="16">
        <v>68</v>
      </c>
      <c r="AN268" s="16">
        <f t="shared" si="116"/>
        <v>458</v>
      </c>
      <c r="AO268" s="16"/>
      <c r="AP268" s="17"/>
      <c r="AQ268" s="94">
        <v>2014</v>
      </c>
      <c r="AR268" s="95" t="s">
        <v>46</v>
      </c>
      <c r="AS268" s="15">
        <f t="shared" si="127"/>
        <v>0</v>
      </c>
      <c r="AT268" s="15">
        <f t="shared" si="128"/>
        <v>0</v>
      </c>
      <c r="AU268" s="15">
        <f t="shared" si="129"/>
        <v>0.47183098591549294</v>
      </c>
      <c r="AV268" s="16"/>
      <c r="AW268" s="16"/>
      <c r="AX268" s="16">
        <v>852</v>
      </c>
      <c r="AY268" s="16">
        <f>AX268-AZ268</f>
        <v>450</v>
      </c>
      <c r="AZ268" s="16">
        <v>402</v>
      </c>
      <c r="BA268" s="16">
        <v>0</v>
      </c>
      <c r="BB268" s="16">
        <f t="shared" si="118"/>
        <v>402</v>
      </c>
    </row>
    <row r="269" spans="1:54" s="18" customFormat="1" ht="15" customHeight="1">
      <c r="A269" s="96">
        <v>2014</v>
      </c>
      <c r="B269" s="97" t="s">
        <v>47</v>
      </c>
      <c r="C269" s="15">
        <f t="shared" si="130"/>
        <v>0.66191856800705917</v>
      </c>
      <c r="D269" s="15">
        <f t="shared" si="131"/>
        <v>0.80388854868340476</v>
      </c>
      <c r="E269" s="15">
        <f t="shared" si="132"/>
        <v>0.82339594100592461</v>
      </c>
      <c r="F269" s="16">
        <f>+Tabla2[[#This Row],[Trenes Programados por Día Hábil]]+Tabla9[[#This Row],[Trenes Programados por Día Hábil]]+Tabla10[[#This Row],[Trenes Programados por Día Hábil]]</f>
        <v>0</v>
      </c>
      <c r="G269" s="33">
        <f>+(Tabla2[[#This Row],[Coches por Tren Día Hábil]]*Tabla2[[#This Row],[Trenes Corridos]]+Tabla9[[#This Row],[Coches por Tren Día Hábil]]*Tabla9[[#This Row],[Trenes Corridos]]+Tabla10[[#This Row],[Coches por Tren Día Hábil]]*Tabla10[[#This Row],[Trenes Corridos]])/SARM[[#This Row],[Trenes Corridos]]</f>
        <v>0</v>
      </c>
      <c r="H269" s="16">
        <f t="shared" si="133"/>
        <v>7933</v>
      </c>
      <c r="I269" s="16">
        <f t="shared" si="119"/>
        <v>1401</v>
      </c>
      <c r="J269" s="16">
        <f t="shared" si="135"/>
        <v>6532</v>
      </c>
      <c r="K269" s="16">
        <f t="shared" si="134"/>
        <v>5251</v>
      </c>
      <c r="L269" s="16">
        <f t="shared" si="120"/>
        <v>1281</v>
      </c>
      <c r="M269" s="16"/>
      <c r="N269" s="25"/>
      <c r="O269" s="96">
        <v>2014</v>
      </c>
      <c r="P269" s="97" t="s">
        <v>47</v>
      </c>
      <c r="Q269" s="15">
        <f t="shared" si="121"/>
        <v>0.8542148760330579</v>
      </c>
      <c r="R269" s="15">
        <f t="shared" si="122"/>
        <v>0.92533572068039394</v>
      </c>
      <c r="S269" s="15">
        <f t="shared" si="123"/>
        <v>0.92314049586776858</v>
      </c>
      <c r="T269" s="16"/>
      <c r="U269" s="16"/>
      <c r="V269" s="16">
        <v>6050</v>
      </c>
      <c r="W269" s="16">
        <f>V269-X269</f>
        <v>465</v>
      </c>
      <c r="X269" s="16">
        <v>5585</v>
      </c>
      <c r="Y269" s="16">
        <v>5168</v>
      </c>
      <c r="Z269" s="16">
        <f t="shared" si="114"/>
        <v>417</v>
      </c>
      <c r="AA269" s="16"/>
      <c r="AB269" s="17"/>
      <c r="AC269" s="96">
        <v>2014</v>
      </c>
      <c r="AD269" s="97" t="s">
        <v>47</v>
      </c>
      <c r="AE269" s="15">
        <f t="shared" si="124"/>
        <v>8.2259663032705654E-2</v>
      </c>
      <c r="AF269" s="15">
        <f t="shared" si="125"/>
        <v>0.15090909090909091</v>
      </c>
      <c r="AG269" s="15">
        <f t="shared" si="126"/>
        <v>0.54509415262636274</v>
      </c>
      <c r="AH269" s="16"/>
      <c r="AI269" s="16"/>
      <c r="AJ269" s="16">
        <v>1009</v>
      </c>
      <c r="AK269" s="16">
        <f>AJ269-AL269</f>
        <v>459</v>
      </c>
      <c r="AL269" s="16">
        <v>550</v>
      </c>
      <c r="AM269" s="16">
        <v>83</v>
      </c>
      <c r="AN269" s="16">
        <f t="shared" si="116"/>
        <v>467</v>
      </c>
      <c r="AO269" s="16"/>
      <c r="AP269" s="17"/>
      <c r="AQ269" s="96">
        <v>2014</v>
      </c>
      <c r="AR269" s="97" t="s">
        <v>47</v>
      </c>
      <c r="AS269" s="15">
        <f t="shared" si="127"/>
        <v>0</v>
      </c>
      <c r="AT269" s="15">
        <f t="shared" si="128"/>
        <v>0</v>
      </c>
      <c r="AU269" s="15">
        <f t="shared" si="129"/>
        <v>0.45423340961098396</v>
      </c>
      <c r="AV269" s="16"/>
      <c r="AW269" s="16"/>
      <c r="AX269" s="16">
        <v>874</v>
      </c>
      <c r="AY269" s="16">
        <f>AX269-AZ269</f>
        <v>477</v>
      </c>
      <c r="AZ269" s="16">
        <v>397</v>
      </c>
      <c r="BA269" s="16">
        <v>0</v>
      </c>
      <c r="BB269" s="16">
        <f t="shared" si="118"/>
        <v>397</v>
      </c>
    </row>
    <row r="270" spans="1:54" s="18" customFormat="1" ht="15" customHeight="1">
      <c r="A270" s="94">
        <v>2015</v>
      </c>
      <c r="B270" s="95" t="s">
        <v>36</v>
      </c>
      <c r="C270" s="15">
        <f t="shared" si="130"/>
        <v>0.62305876506398306</v>
      </c>
      <c r="D270" s="15">
        <f t="shared" si="131"/>
        <v>0.78777882500785423</v>
      </c>
      <c r="E270" s="15">
        <f t="shared" si="132"/>
        <v>0.79090570257174808</v>
      </c>
      <c r="F270" s="16">
        <f>+Tabla2[[#This Row],[Trenes Programados por Día Hábil]]+Tabla9[[#This Row],[Trenes Programados por Día Hábil]]+Tabla10[[#This Row],[Trenes Programados por Día Hábil]]</f>
        <v>0</v>
      </c>
      <c r="G270" s="33">
        <f>+(Tabla2[[#This Row],[Coches por Tren Día Hábil]]*Tabla2[[#This Row],[Trenes Corridos]]+Tabla9[[#This Row],[Coches por Tren Día Hábil]]*Tabla9[[#This Row],[Trenes Corridos]]+Tabla10[[#This Row],[Coches por Tren Día Hábil]]*Tabla10[[#This Row],[Trenes Corridos]])/SARM[[#This Row],[Trenes Corridos]]</f>
        <v>0</v>
      </c>
      <c r="H270" s="16">
        <f t="shared" si="133"/>
        <v>8049</v>
      </c>
      <c r="I270" s="16">
        <f t="shared" si="119"/>
        <v>1683</v>
      </c>
      <c r="J270" s="16">
        <f t="shared" si="135"/>
        <v>6366</v>
      </c>
      <c r="K270" s="16">
        <f t="shared" si="134"/>
        <v>5015</v>
      </c>
      <c r="L270" s="16">
        <f t="shared" si="120"/>
        <v>1351</v>
      </c>
      <c r="M270" s="16"/>
      <c r="N270" s="17"/>
      <c r="O270" s="94">
        <v>2015</v>
      </c>
      <c r="P270" s="95" t="s">
        <v>36</v>
      </c>
      <c r="Q270" s="15">
        <f t="shared" si="121"/>
        <v>0.80719166937845754</v>
      </c>
      <c r="R270" s="15">
        <f t="shared" si="122"/>
        <v>0.89694449466642556</v>
      </c>
      <c r="S270" s="15">
        <f t="shared" si="123"/>
        <v>0.89993491701919948</v>
      </c>
      <c r="T270" s="16"/>
      <c r="U270" s="16"/>
      <c r="V270" s="16">
        <v>6146</v>
      </c>
      <c r="W270" s="16">
        <f t="shared" ref="W270:W277" si="136">V270-X270</f>
        <v>615</v>
      </c>
      <c r="X270" s="16">
        <v>5531</v>
      </c>
      <c r="Y270" s="16">
        <v>4961</v>
      </c>
      <c r="Z270" s="16">
        <f t="shared" ref="Z270:Z281" si="137">X270-Y270</f>
        <v>570</v>
      </c>
      <c r="AA270" s="16"/>
      <c r="AB270" s="17"/>
      <c r="AC270" s="94">
        <v>2015</v>
      </c>
      <c r="AD270" s="95" t="s">
        <v>36</v>
      </c>
      <c r="AE270" s="15">
        <f t="shared" si="124"/>
        <v>5.3307008884501482E-2</v>
      </c>
      <c r="AF270" s="15">
        <f t="shared" si="125"/>
        <v>0.10305343511450382</v>
      </c>
      <c r="AG270" s="15">
        <f t="shared" si="126"/>
        <v>0.51727541954590328</v>
      </c>
      <c r="AH270" s="16"/>
      <c r="AI270" s="16"/>
      <c r="AJ270" s="16">
        <v>1013</v>
      </c>
      <c r="AK270" s="16">
        <f t="shared" ref="AK270:AK277" si="138">AJ270-AL270</f>
        <v>489</v>
      </c>
      <c r="AL270" s="16">
        <v>524</v>
      </c>
      <c r="AM270" s="16">
        <v>54</v>
      </c>
      <c r="AN270" s="16">
        <f t="shared" ref="AN270:AN281" si="139">AL270-AM270</f>
        <v>470</v>
      </c>
      <c r="AO270" s="16"/>
      <c r="AP270" s="17"/>
      <c r="AQ270" s="94">
        <v>2015</v>
      </c>
      <c r="AR270" s="95" t="s">
        <v>36</v>
      </c>
      <c r="AS270" s="15">
        <f t="shared" si="127"/>
        <v>0</v>
      </c>
      <c r="AT270" s="15">
        <f t="shared" si="128"/>
        <v>0</v>
      </c>
      <c r="AU270" s="15">
        <f t="shared" si="129"/>
        <v>0.34943820224719102</v>
      </c>
      <c r="AV270" s="16"/>
      <c r="AW270" s="16"/>
      <c r="AX270" s="16">
        <v>890</v>
      </c>
      <c r="AY270" s="16">
        <f t="shared" ref="AY270:AY277" si="140">AX270-AZ270</f>
        <v>579</v>
      </c>
      <c r="AZ270" s="16">
        <v>311</v>
      </c>
      <c r="BA270" s="16">
        <v>0</v>
      </c>
      <c r="BB270" s="16">
        <f t="shared" ref="BB270:BB281" si="141">AZ270-BA270</f>
        <v>311</v>
      </c>
    </row>
    <row r="271" spans="1:54" s="18" customFormat="1" ht="15" customHeight="1">
      <c r="A271" s="96">
        <v>2015</v>
      </c>
      <c r="B271" s="97" t="s">
        <v>37</v>
      </c>
      <c r="C271" s="15">
        <f t="shared" si="130"/>
        <v>0.59940699126092389</v>
      </c>
      <c r="D271" s="15">
        <f t="shared" si="131"/>
        <v>0.77082079068834031</v>
      </c>
      <c r="E271" s="15">
        <f t="shared" si="132"/>
        <v>0.77762172284644193</v>
      </c>
      <c r="F271" s="16">
        <f>+Tabla2[[#This Row],[Trenes Programados por Día Hábil]]+Tabla9[[#This Row],[Trenes Programados por Día Hábil]]+Tabla10[[#This Row],[Trenes Programados por Día Hábil]]</f>
        <v>0</v>
      </c>
      <c r="G271" s="33">
        <f>+(Tabla2[[#This Row],[Coches por Tren Día Hábil]]*Tabla2[[#This Row],[Trenes Corridos]]+Tabla9[[#This Row],[Coches por Tren Día Hábil]]*Tabla9[[#This Row],[Trenes Corridos]]+Tabla10[[#This Row],[Coches por Tren Día Hábil]]*Tabla10[[#This Row],[Trenes Corridos]])/SARM[[#This Row],[Trenes Corridos]]</f>
        <v>0</v>
      </c>
      <c r="H271" s="16">
        <f t="shared" si="133"/>
        <v>6408</v>
      </c>
      <c r="I271" s="16">
        <f t="shared" si="119"/>
        <v>1425</v>
      </c>
      <c r="J271" s="16">
        <f t="shared" si="135"/>
        <v>4983</v>
      </c>
      <c r="K271" s="16">
        <f t="shared" si="134"/>
        <v>3841</v>
      </c>
      <c r="L271" s="16">
        <f t="shared" si="120"/>
        <v>1142</v>
      </c>
      <c r="M271" s="16"/>
      <c r="N271" s="17"/>
      <c r="O271" s="96">
        <v>2015</v>
      </c>
      <c r="P271" s="97" t="s">
        <v>37</v>
      </c>
      <c r="Q271" s="15">
        <f t="shared" si="121"/>
        <v>0.81228741496598644</v>
      </c>
      <c r="R271" s="15">
        <f t="shared" si="122"/>
        <v>0.90160453043888622</v>
      </c>
      <c r="S271" s="15">
        <f t="shared" si="123"/>
        <v>0.90093537414965985</v>
      </c>
      <c r="T271" s="16"/>
      <c r="U271" s="16"/>
      <c r="V271" s="16">
        <v>4704</v>
      </c>
      <c r="W271" s="16">
        <f t="shared" si="136"/>
        <v>466</v>
      </c>
      <c r="X271" s="16">
        <v>4238</v>
      </c>
      <c r="Y271" s="16">
        <v>3821</v>
      </c>
      <c r="Z271" s="16">
        <f t="shared" si="137"/>
        <v>417</v>
      </c>
      <c r="AA271" s="16"/>
      <c r="AB271" s="17"/>
      <c r="AC271" s="96">
        <v>2015</v>
      </c>
      <c r="AD271" s="97" t="s">
        <v>37</v>
      </c>
      <c r="AE271" s="15">
        <f t="shared" si="124"/>
        <v>2.1929824561403508E-2</v>
      </c>
      <c r="AF271" s="15">
        <f t="shared" si="125"/>
        <v>4.2283298097251586E-2</v>
      </c>
      <c r="AG271" s="15">
        <f t="shared" si="126"/>
        <v>0.51864035087719296</v>
      </c>
      <c r="AH271" s="16"/>
      <c r="AI271" s="16"/>
      <c r="AJ271" s="16">
        <v>912</v>
      </c>
      <c r="AK271" s="16">
        <f t="shared" si="138"/>
        <v>439</v>
      </c>
      <c r="AL271" s="16">
        <v>473</v>
      </c>
      <c r="AM271" s="16">
        <v>20</v>
      </c>
      <c r="AN271" s="16">
        <f t="shared" si="139"/>
        <v>453</v>
      </c>
      <c r="AO271" s="16"/>
      <c r="AP271" s="17"/>
      <c r="AQ271" s="96">
        <v>2015</v>
      </c>
      <c r="AR271" s="97" t="s">
        <v>37</v>
      </c>
      <c r="AS271" s="15">
        <f t="shared" si="127"/>
        <v>0</v>
      </c>
      <c r="AT271" s="15">
        <f t="shared" si="128"/>
        <v>0</v>
      </c>
      <c r="AU271" s="15">
        <f t="shared" si="129"/>
        <v>0.34343434343434343</v>
      </c>
      <c r="AV271" s="16"/>
      <c r="AW271" s="16"/>
      <c r="AX271" s="16">
        <v>792</v>
      </c>
      <c r="AY271" s="16">
        <f t="shared" si="140"/>
        <v>520</v>
      </c>
      <c r="AZ271" s="16">
        <v>272</v>
      </c>
      <c r="BA271" s="16">
        <v>0</v>
      </c>
      <c r="BB271" s="16">
        <f t="shared" si="141"/>
        <v>272</v>
      </c>
    </row>
    <row r="272" spans="1:54" s="18" customFormat="1" ht="15" customHeight="1">
      <c r="A272" s="94">
        <v>2015</v>
      </c>
      <c r="B272" s="95" t="s">
        <v>38</v>
      </c>
      <c r="C272" s="15">
        <f t="shared" si="130"/>
        <v>0.57588836138685084</v>
      </c>
      <c r="D272" s="15">
        <f t="shared" si="131"/>
        <v>0.76276676829268297</v>
      </c>
      <c r="E272" s="15">
        <f t="shared" si="132"/>
        <v>0.75499928067903899</v>
      </c>
      <c r="F272" s="16">
        <f>+Tabla2[[#This Row],[Trenes Programados por Día Hábil]]+Tabla9[[#This Row],[Trenes Programados por Día Hábil]]+Tabla10[[#This Row],[Trenes Programados por Día Hábil]]</f>
        <v>0</v>
      </c>
      <c r="G272" s="33">
        <f>+(Tabla2[[#This Row],[Coches por Tren Día Hábil]]*Tabla2[[#This Row],[Trenes Corridos]]+Tabla9[[#This Row],[Coches por Tren Día Hábil]]*Tabla9[[#This Row],[Trenes Corridos]]+Tabla10[[#This Row],[Coches por Tren Día Hábil]]*Tabla10[[#This Row],[Trenes Corridos]])/SARM[[#This Row],[Trenes Corridos]]</f>
        <v>0</v>
      </c>
      <c r="H272" s="16">
        <f t="shared" si="133"/>
        <v>6951</v>
      </c>
      <c r="I272" s="16">
        <f t="shared" si="119"/>
        <v>1703</v>
      </c>
      <c r="J272" s="16">
        <f t="shared" si="135"/>
        <v>5248</v>
      </c>
      <c r="K272" s="16">
        <f t="shared" si="134"/>
        <v>4003</v>
      </c>
      <c r="L272" s="16">
        <f t="shared" si="120"/>
        <v>1245</v>
      </c>
      <c r="M272" s="16"/>
      <c r="N272" s="17"/>
      <c r="O272" s="94">
        <v>2015</v>
      </c>
      <c r="P272" s="95" t="s">
        <v>38</v>
      </c>
      <c r="Q272" s="15">
        <f t="shared" si="121"/>
        <v>0.78512233622730865</v>
      </c>
      <c r="R272" s="15">
        <f t="shared" si="122"/>
        <v>0.87489006156552329</v>
      </c>
      <c r="S272" s="15">
        <f t="shared" si="123"/>
        <v>0.89739542225730073</v>
      </c>
      <c r="T272" s="16"/>
      <c r="U272" s="16"/>
      <c r="V272" s="16">
        <v>5068</v>
      </c>
      <c r="W272" s="16">
        <f t="shared" si="136"/>
        <v>520</v>
      </c>
      <c r="X272" s="16">
        <v>4548</v>
      </c>
      <c r="Y272" s="16">
        <v>3979</v>
      </c>
      <c r="Z272" s="16">
        <f t="shared" si="137"/>
        <v>569</v>
      </c>
      <c r="AA272" s="16"/>
      <c r="AB272" s="17"/>
      <c r="AC272" s="94">
        <v>2015</v>
      </c>
      <c r="AD272" s="95" t="s">
        <v>38</v>
      </c>
      <c r="AE272" s="15">
        <f t="shared" si="124"/>
        <v>2.3785926660059464E-2</v>
      </c>
      <c r="AF272" s="15">
        <f t="shared" si="125"/>
        <v>5.8679706601466992E-2</v>
      </c>
      <c r="AG272" s="15">
        <f t="shared" si="126"/>
        <v>0.40535183349851339</v>
      </c>
      <c r="AH272" s="16"/>
      <c r="AI272" s="16"/>
      <c r="AJ272" s="16">
        <v>1009</v>
      </c>
      <c r="AK272" s="16">
        <f t="shared" si="138"/>
        <v>600</v>
      </c>
      <c r="AL272" s="16">
        <v>409</v>
      </c>
      <c r="AM272" s="16">
        <v>24</v>
      </c>
      <c r="AN272" s="16">
        <f t="shared" si="139"/>
        <v>385</v>
      </c>
      <c r="AO272" s="16"/>
      <c r="AP272" s="17"/>
      <c r="AQ272" s="94">
        <v>2015</v>
      </c>
      <c r="AR272" s="95" t="s">
        <v>38</v>
      </c>
      <c r="AS272" s="15">
        <f t="shared" si="127"/>
        <v>0</v>
      </c>
      <c r="AT272" s="15">
        <f t="shared" si="128"/>
        <v>0</v>
      </c>
      <c r="AU272" s="15">
        <f t="shared" si="129"/>
        <v>0.33295194508009152</v>
      </c>
      <c r="AV272" s="16"/>
      <c r="AW272" s="16"/>
      <c r="AX272" s="16">
        <v>874</v>
      </c>
      <c r="AY272" s="16">
        <f t="shared" si="140"/>
        <v>583</v>
      </c>
      <c r="AZ272" s="16">
        <v>291</v>
      </c>
      <c r="BA272" s="16">
        <v>0</v>
      </c>
      <c r="BB272" s="16">
        <f t="shared" si="141"/>
        <v>291</v>
      </c>
    </row>
    <row r="273" spans="1:54" s="18" customFormat="1" ht="15" customHeight="1">
      <c r="A273" s="96">
        <v>2015</v>
      </c>
      <c r="B273" s="97" t="s">
        <v>39</v>
      </c>
      <c r="C273" s="15">
        <f t="shared" si="130"/>
        <v>0.62699333140040592</v>
      </c>
      <c r="D273" s="15">
        <f t="shared" si="131"/>
        <v>0.77467311481282464</v>
      </c>
      <c r="E273" s="15">
        <f t="shared" si="132"/>
        <v>0.80936503334299792</v>
      </c>
      <c r="F273" s="16">
        <f>+Tabla2[[#This Row],[Trenes Programados por Día Hábil]]+Tabla9[[#This Row],[Trenes Programados por Día Hábil]]+Tabla10[[#This Row],[Trenes Programados por Día Hábil]]</f>
        <v>0</v>
      </c>
      <c r="G273" s="33">
        <f>+(Tabla2[[#This Row],[Coches por Tren Día Hábil]]*Tabla2[[#This Row],[Trenes Corridos]]+Tabla9[[#This Row],[Coches por Tren Día Hábil]]*Tabla9[[#This Row],[Trenes Corridos]]+Tabla10[[#This Row],[Coches por Tren Día Hábil]]*Tabla10[[#This Row],[Trenes Corridos]])/SARM[[#This Row],[Trenes Corridos]]</f>
        <v>0</v>
      </c>
      <c r="H273" s="16">
        <f t="shared" si="133"/>
        <v>6898</v>
      </c>
      <c r="I273" s="16">
        <f t="shared" si="119"/>
        <v>1315</v>
      </c>
      <c r="J273" s="16">
        <f t="shared" si="135"/>
        <v>5583</v>
      </c>
      <c r="K273" s="16">
        <f t="shared" si="134"/>
        <v>4325</v>
      </c>
      <c r="L273" s="16">
        <f t="shared" si="120"/>
        <v>1258</v>
      </c>
      <c r="M273" s="16"/>
      <c r="N273" s="17"/>
      <c r="O273" s="96">
        <v>2015</v>
      </c>
      <c r="P273" s="97" t="s">
        <v>39</v>
      </c>
      <c r="Q273" s="15">
        <f t="shared" si="121"/>
        <v>0.84984214680347281</v>
      </c>
      <c r="R273" s="15">
        <f t="shared" si="122"/>
        <v>0.88767518549051938</v>
      </c>
      <c r="S273" s="15">
        <f t="shared" si="123"/>
        <v>0.95737963693764794</v>
      </c>
      <c r="T273" s="16"/>
      <c r="U273" s="16"/>
      <c r="V273" s="16">
        <v>5068</v>
      </c>
      <c r="W273" s="16">
        <f t="shared" si="136"/>
        <v>216</v>
      </c>
      <c r="X273" s="16">
        <v>4852</v>
      </c>
      <c r="Y273" s="16">
        <v>4307</v>
      </c>
      <c r="Z273" s="16">
        <f t="shared" si="137"/>
        <v>545</v>
      </c>
      <c r="AA273" s="16"/>
      <c r="AB273" s="17"/>
      <c r="AC273" s="96">
        <v>2015</v>
      </c>
      <c r="AD273" s="97" t="s">
        <v>39</v>
      </c>
      <c r="AE273" s="15">
        <f t="shared" si="124"/>
        <v>1.8404907975460124E-2</v>
      </c>
      <c r="AF273" s="15">
        <f t="shared" si="125"/>
        <v>4.3795620437956206E-2</v>
      </c>
      <c r="AG273" s="15">
        <f t="shared" si="126"/>
        <v>0.42024539877300615</v>
      </c>
      <c r="AH273" s="16"/>
      <c r="AI273" s="16"/>
      <c r="AJ273" s="16">
        <v>978</v>
      </c>
      <c r="AK273" s="16">
        <f t="shared" si="138"/>
        <v>567</v>
      </c>
      <c r="AL273" s="16">
        <v>411</v>
      </c>
      <c r="AM273" s="16">
        <v>18</v>
      </c>
      <c r="AN273" s="16">
        <f t="shared" si="139"/>
        <v>393</v>
      </c>
      <c r="AO273" s="16"/>
      <c r="AP273" s="17"/>
      <c r="AQ273" s="96">
        <v>2015</v>
      </c>
      <c r="AR273" s="97" t="s">
        <v>39</v>
      </c>
      <c r="AS273" s="15">
        <f t="shared" si="127"/>
        <v>0</v>
      </c>
      <c r="AT273" s="15">
        <f t="shared" si="128"/>
        <v>0</v>
      </c>
      <c r="AU273" s="15">
        <f t="shared" si="129"/>
        <v>0.37558685446009388</v>
      </c>
      <c r="AV273" s="16"/>
      <c r="AW273" s="16"/>
      <c r="AX273" s="16">
        <v>852</v>
      </c>
      <c r="AY273" s="16">
        <f t="shared" si="140"/>
        <v>532</v>
      </c>
      <c r="AZ273" s="16">
        <v>320</v>
      </c>
      <c r="BA273" s="16">
        <v>0</v>
      </c>
      <c r="BB273" s="16">
        <f t="shared" si="141"/>
        <v>320</v>
      </c>
    </row>
    <row r="274" spans="1:54" s="18" customFormat="1" ht="15" customHeight="1">
      <c r="A274" s="94">
        <v>2015</v>
      </c>
      <c r="B274" s="95" t="s">
        <v>40</v>
      </c>
      <c r="C274" s="15">
        <f t="shared" si="130"/>
        <v>0.63131971606547876</v>
      </c>
      <c r="D274" s="15">
        <f t="shared" si="131"/>
        <v>0.77752007136485279</v>
      </c>
      <c r="E274" s="15">
        <f t="shared" si="132"/>
        <v>0.81196581196581197</v>
      </c>
      <c r="F274" s="16">
        <f>+Tabla2[[#This Row],[Trenes Programados por Día Hábil]]+Tabla9[[#This Row],[Trenes Programados por Día Hábil]]+Tabla10[[#This Row],[Trenes Programados por Día Hábil]]</f>
        <v>0</v>
      </c>
      <c r="G274" s="33">
        <f>+(Tabla2[[#This Row],[Coches por Tren Día Hábil]]*Tabla2[[#This Row],[Trenes Corridos]]+Tabla9[[#This Row],[Coches por Tren Día Hábil]]*Tabla9[[#This Row],[Trenes Corridos]]+Tabla10[[#This Row],[Coches por Tren Día Hábil]]*Tabla10[[#This Row],[Trenes Corridos]])/SARM[[#This Row],[Trenes Corridos]]</f>
        <v>0</v>
      </c>
      <c r="H274" s="16">
        <f t="shared" si="133"/>
        <v>6903</v>
      </c>
      <c r="I274" s="16">
        <f t="shared" si="119"/>
        <v>1298</v>
      </c>
      <c r="J274" s="16">
        <f t="shared" si="135"/>
        <v>5605</v>
      </c>
      <c r="K274" s="16">
        <f t="shared" si="134"/>
        <v>4358</v>
      </c>
      <c r="L274" s="16">
        <f t="shared" si="120"/>
        <v>1247</v>
      </c>
      <c r="M274" s="16"/>
      <c r="N274" s="17"/>
      <c r="O274" s="94">
        <v>2015</v>
      </c>
      <c r="P274" s="95" t="s">
        <v>40</v>
      </c>
      <c r="Q274" s="15">
        <f t="shared" si="121"/>
        <v>0.86454183266932272</v>
      </c>
      <c r="R274" s="15">
        <f t="shared" si="122"/>
        <v>0.8855335645786574</v>
      </c>
      <c r="S274" s="15">
        <f t="shared" si="123"/>
        <v>0.97629482071713147</v>
      </c>
      <c r="T274" s="16"/>
      <c r="U274" s="16"/>
      <c r="V274" s="16">
        <v>5020</v>
      </c>
      <c r="W274" s="16">
        <f t="shared" si="136"/>
        <v>119</v>
      </c>
      <c r="X274" s="16">
        <v>4901</v>
      </c>
      <c r="Y274" s="16">
        <v>4340</v>
      </c>
      <c r="Z274" s="16">
        <f t="shared" si="137"/>
        <v>561</v>
      </c>
      <c r="AA274" s="16"/>
      <c r="AB274" s="17"/>
      <c r="AC274" s="94">
        <v>2015</v>
      </c>
      <c r="AD274" s="95" t="s">
        <v>40</v>
      </c>
      <c r="AE274" s="15">
        <f t="shared" si="124"/>
        <v>1.7839444995044598E-2</v>
      </c>
      <c r="AF274" s="15">
        <f t="shared" si="125"/>
        <v>4.3902439024390241E-2</v>
      </c>
      <c r="AG274" s="15">
        <f t="shared" si="126"/>
        <v>0.40634291377601583</v>
      </c>
      <c r="AH274" s="16"/>
      <c r="AI274" s="16"/>
      <c r="AJ274" s="16">
        <v>1009</v>
      </c>
      <c r="AK274" s="16">
        <f t="shared" si="138"/>
        <v>599</v>
      </c>
      <c r="AL274" s="16">
        <v>410</v>
      </c>
      <c r="AM274" s="16">
        <v>18</v>
      </c>
      <c r="AN274" s="16">
        <f t="shared" si="139"/>
        <v>392</v>
      </c>
      <c r="AO274" s="16"/>
      <c r="AP274" s="17"/>
      <c r="AQ274" s="94">
        <v>2015</v>
      </c>
      <c r="AR274" s="95" t="s">
        <v>40</v>
      </c>
      <c r="AS274" s="15">
        <f t="shared" si="127"/>
        <v>0</v>
      </c>
      <c r="AT274" s="15">
        <f t="shared" si="128"/>
        <v>0</v>
      </c>
      <c r="AU274" s="15">
        <f t="shared" si="129"/>
        <v>0.33638443935926776</v>
      </c>
      <c r="AV274" s="16"/>
      <c r="AW274" s="16"/>
      <c r="AX274" s="16">
        <v>874</v>
      </c>
      <c r="AY274" s="16">
        <f t="shared" si="140"/>
        <v>580</v>
      </c>
      <c r="AZ274" s="16">
        <v>294</v>
      </c>
      <c r="BA274" s="16">
        <v>0</v>
      </c>
      <c r="BB274" s="16">
        <f t="shared" si="141"/>
        <v>294</v>
      </c>
    </row>
    <row r="275" spans="1:54" s="18" customFormat="1" ht="15" customHeight="1">
      <c r="A275" s="96">
        <v>2015</v>
      </c>
      <c r="B275" s="97" t="s">
        <v>41</v>
      </c>
      <c r="C275" s="15">
        <f t="shared" si="130"/>
        <v>0.625</v>
      </c>
      <c r="D275" s="15">
        <f t="shared" si="131"/>
        <v>0.80506993006993011</v>
      </c>
      <c r="E275" s="15">
        <f t="shared" si="132"/>
        <v>0.77633007600434312</v>
      </c>
      <c r="F275" s="16">
        <f>+Tabla2[[#This Row],[Trenes Programados por Día Hábil]]+Tabla9[[#This Row],[Trenes Programados por Día Hábil]]+Tabla10[[#This Row],[Trenes Programados por Día Hábil]]</f>
        <v>0</v>
      </c>
      <c r="G275" s="33">
        <f>+(Tabla2[[#This Row],[Coches por Tren Día Hábil]]*Tabla2[[#This Row],[Trenes Corridos]]+Tabla9[[#This Row],[Coches por Tren Día Hábil]]*Tabla9[[#This Row],[Trenes Corridos]]+Tabla10[[#This Row],[Coches por Tren Día Hábil]]*Tabla10[[#This Row],[Trenes Corridos]])/SARM[[#This Row],[Trenes Corridos]]</f>
        <v>0</v>
      </c>
      <c r="H275" s="16">
        <f t="shared" si="133"/>
        <v>7368</v>
      </c>
      <c r="I275" s="16">
        <f t="shared" si="119"/>
        <v>1648</v>
      </c>
      <c r="J275" s="16">
        <f t="shared" si="135"/>
        <v>5720</v>
      </c>
      <c r="K275" s="16">
        <f t="shared" si="134"/>
        <v>4605</v>
      </c>
      <c r="L275" s="16">
        <f t="shared" si="120"/>
        <v>1115</v>
      </c>
      <c r="M275" s="16"/>
      <c r="N275" s="17"/>
      <c r="O275" s="96">
        <v>2015</v>
      </c>
      <c r="P275" s="97" t="s">
        <v>41</v>
      </c>
      <c r="Q275" s="15">
        <f t="shared" si="121"/>
        <v>0.83158465991316932</v>
      </c>
      <c r="R275" s="15">
        <f t="shared" si="122"/>
        <v>0.88745173745173744</v>
      </c>
      <c r="S275" s="15">
        <f t="shared" si="123"/>
        <v>0.93704775687409547</v>
      </c>
      <c r="T275" s="16"/>
      <c r="U275" s="16"/>
      <c r="V275" s="16">
        <v>5528</v>
      </c>
      <c r="W275" s="16">
        <f t="shared" si="136"/>
        <v>348</v>
      </c>
      <c r="X275" s="16">
        <v>5180</v>
      </c>
      <c r="Y275" s="16">
        <v>4597</v>
      </c>
      <c r="Z275" s="16">
        <f t="shared" si="137"/>
        <v>583</v>
      </c>
      <c r="AA275" s="16"/>
      <c r="AB275" s="17"/>
      <c r="AC275" s="96">
        <v>2015</v>
      </c>
      <c r="AD275" s="97" t="s">
        <v>41</v>
      </c>
      <c r="AE275" s="15">
        <f t="shared" si="124"/>
        <v>8.1632653061224497E-3</v>
      </c>
      <c r="AF275" s="15">
        <f t="shared" si="125"/>
        <v>3.3613445378151259E-2</v>
      </c>
      <c r="AG275" s="15">
        <f t="shared" si="126"/>
        <v>0.24285714285714285</v>
      </c>
      <c r="AH275" s="16"/>
      <c r="AI275" s="16"/>
      <c r="AJ275" s="16">
        <v>980</v>
      </c>
      <c r="AK275" s="16">
        <f t="shared" si="138"/>
        <v>742</v>
      </c>
      <c r="AL275" s="16">
        <v>238</v>
      </c>
      <c r="AM275" s="16">
        <v>8</v>
      </c>
      <c r="AN275" s="16">
        <f t="shared" si="139"/>
        <v>230</v>
      </c>
      <c r="AO275" s="16"/>
      <c r="AP275" s="17"/>
      <c r="AQ275" s="96">
        <v>2015</v>
      </c>
      <c r="AR275" s="97" t="s">
        <v>41</v>
      </c>
      <c r="AS275" s="15">
        <f t="shared" si="127"/>
        <v>0</v>
      </c>
      <c r="AT275" s="15">
        <f t="shared" si="128"/>
        <v>0</v>
      </c>
      <c r="AU275" s="15">
        <f t="shared" si="129"/>
        <v>0.35116279069767442</v>
      </c>
      <c r="AV275" s="16"/>
      <c r="AW275" s="16"/>
      <c r="AX275" s="16">
        <v>860</v>
      </c>
      <c r="AY275" s="16">
        <f t="shared" si="140"/>
        <v>558</v>
      </c>
      <c r="AZ275" s="16">
        <v>302</v>
      </c>
      <c r="BA275" s="16">
        <v>0</v>
      </c>
      <c r="BB275" s="16">
        <f t="shared" si="141"/>
        <v>302</v>
      </c>
    </row>
    <row r="276" spans="1:54" s="18" customFormat="1" ht="15" customHeight="1">
      <c r="A276" s="94">
        <v>2015</v>
      </c>
      <c r="B276" s="95" t="s">
        <v>42</v>
      </c>
      <c r="C276" s="15">
        <f t="shared" si="130"/>
        <v>0.59411106969809913</v>
      </c>
      <c r="D276" s="15">
        <f t="shared" si="131"/>
        <v>0.73693943596856215</v>
      </c>
      <c r="E276" s="15">
        <f t="shared" si="132"/>
        <v>0.80618710398807303</v>
      </c>
      <c r="F276" s="16">
        <f>+Tabla2[[#This Row],[Trenes Programados por Día Hábil]]+Tabla9[[#This Row],[Trenes Programados por Día Hábil]]+Tabla10[[#This Row],[Trenes Programados por Día Hábil]]</f>
        <v>0</v>
      </c>
      <c r="G276" s="33">
        <f>+(Tabla2[[#This Row],[Coches por Tren Día Hábil]]*Tabla2[[#This Row],[Trenes Corridos]]+Tabla9[[#This Row],[Coches por Tren Día Hábil]]*Tabla9[[#This Row],[Trenes Corridos]]+Tabla10[[#This Row],[Coches por Tren Día Hábil]]*Tabla10[[#This Row],[Trenes Corridos]])/SARM[[#This Row],[Trenes Corridos]]</f>
        <v>0</v>
      </c>
      <c r="H276" s="16">
        <f t="shared" si="133"/>
        <v>8049</v>
      </c>
      <c r="I276" s="16">
        <f t="shared" si="119"/>
        <v>1560</v>
      </c>
      <c r="J276" s="16">
        <f t="shared" si="135"/>
        <v>6489</v>
      </c>
      <c r="K276" s="16">
        <f t="shared" si="134"/>
        <v>4782</v>
      </c>
      <c r="L276" s="16">
        <f t="shared" si="120"/>
        <v>1707</v>
      </c>
      <c r="M276" s="16"/>
      <c r="N276" s="17"/>
      <c r="O276" s="94">
        <v>2015</v>
      </c>
      <c r="P276" s="95" t="s">
        <v>42</v>
      </c>
      <c r="Q276" s="15">
        <f t="shared" si="121"/>
        <v>0.77741620566221936</v>
      </c>
      <c r="R276" s="15">
        <f t="shared" si="122"/>
        <v>0.82592912705272259</v>
      </c>
      <c r="S276" s="15">
        <f t="shared" si="123"/>
        <v>0.94126260982753007</v>
      </c>
      <c r="T276" s="16"/>
      <c r="U276" s="16"/>
      <c r="V276" s="16">
        <v>6146</v>
      </c>
      <c r="W276" s="16">
        <f t="shared" si="136"/>
        <v>361</v>
      </c>
      <c r="X276" s="16">
        <v>5785</v>
      </c>
      <c r="Y276" s="16">
        <v>4778</v>
      </c>
      <c r="Z276" s="16">
        <f t="shared" si="137"/>
        <v>1007</v>
      </c>
      <c r="AA276" s="16"/>
      <c r="AB276" s="17"/>
      <c r="AC276" s="94">
        <v>2015</v>
      </c>
      <c r="AD276" s="95" t="s">
        <v>42</v>
      </c>
      <c r="AE276" s="15">
        <f t="shared" si="124"/>
        <v>3.9486673247778872E-3</v>
      </c>
      <c r="AF276" s="15">
        <f t="shared" si="125"/>
        <v>1.1527377521613832E-2</v>
      </c>
      <c r="AG276" s="15">
        <f t="shared" si="126"/>
        <v>0.34254689042448172</v>
      </c>
      <c r="AH276" s="16"/>
      <c r="AI276" s="16"/>
      <c r="AJ276" s="16">
        <v>1013</v>
      </c>
      <c r="AK276" s="16">
        <f t="shared" si="138"/>
        <v>666</v>
      </c>
      <c r="AL276" s="16">
        <v>347</v>
      </c>
      <c r="AM276" s="16">
        <v>4</v>
      </c>
      <c r="AN276" s="16">
        <f t="shared" si="139"/>
        <v>343</v>
      </c>
      <c r="AO276" s="16"/>
      <c r="AP276" s="17"/>
      <c r="AQ276" s="94">
        <v>2015</v>
      </c>
      <c r="AR276" s="95" t="s">
        <v>42</v>
      </c>
      <c r="AS276" s="15">
        <f t="shared" si="127"/>
        <v>0</v>
      </c>
      <c r="AT276" s="15">
        <f t="shared" si="128"/>
        <v>0</v>
      </c>
      <c r="AU276" s="15">
        <f t="shared" si="129"/>
        <v>0.40112359550561799</v>
      </c>
      <c r="AV276" s="16"/>
      <c r="AW276" s="16"/>
      <c r="AX276" s="16">
        <v>890</v>
      </c>
      <c r="AY276" s="16">
        <f t="shared" si="140"/>
        <v>533</v>
      </c>
      <c r="AZ276" s="16">
        <v>357</v>
      </c>
      <c r="BA276" s="16">
        <v>0</v>
      </c>
      <c r="BB276" s="16">
        <f t="shared" si="141"/>
        <v>357</v>
      </c>
    </row>
    <row r="277" spans="1:54" s="18" customFormat="1" ht="15" customHeight="1">
      <c r="A277" s="96">
        <v>2015</v>
      </c>
      <c r="B277" s="97" t="s">
        <v>43</v>
      </c>
      <c r="C277" s="15">
        <f t="shared" si="130"/>
        <v>0.58490802152421473</v>
      </c>
      <c r="D277" s="15">
        <f t="shared" si="131"/>
        <v>0.74855861627162079</v>
      </c>
      <c r="E277" s="15">
        <f t="shared" si="132"/>
        <v>0.78137905143286202</v>
      </c>
      <c r="F277" s="16">
        <f>+Tabla2[[#This Row],[Trenes Programados por Día Hábil]]+Tabla9[[#This Row],[Trenes Programados por Día Hábil]]+Tabla10[[#This Row],[Trenes Programados por Día Hábil]]</f>
        <v>0</v>
      </c>
      <c r="G277" s="33">
        <f>+(Tabla2[[#This Row],[Coches por Tren Día Hábil]]*Tabla2[[#This Row],[Trenes Corridos]]+Tabla9[[#This Row],[Coches por Tren Día Hábil]]*Tabla9[[#This Row],[Trenes Corridos]]+Tabla10[[#This Row],[Coches por Tren Día Hábil]]*Tabla10[[#This Row],[Trenes Corridos]])/SARM[[#This Row],[Trenes Corridos]]</f>
        <v>0</v>
      </c>
      <c r="H277" s="16">
        <f t="shared" si="133"/>
        <v>7991</v>
      </c>
      <c r="I277" s="16">
        <f t="shared" si="119"/>
        <v>1747</v>
      </c>
      <c r="J277" s="16">
        <f t="shared" si="135"/>
        <v>6244</v>
      </c>
      <c r="K277" s="16">
        <f t="shared" si="134"/>
        <v>4674</v>
      </c>
      <c r="L277" s="16">
        <f t="shared" si="120"/>
        <v>1570</v>
      </c>
      <c r="M277" s="16"/>
      <c r="N277" s="17"/>
      <c r="O277" s="96">
        <v>2015</v>
      </c>
      <c r="P277" s="97" t="s">
        <v>43</v>
      </c>
      <c r="Q277" s="15">
        <f t="shared" si="121"/>
        <v>0.76402099048868477</v>
      </c>
      <c r="R277" s="15">
        <f t="shared" si="122"/>
        <v>0.83554519368723101</v>
      </c>
      <c r="S277" s="15">
        <f t="shared" si="123"/>
        <v>0.91439816333224011</v>
      </c>
      <c r="T277" s="16"/>
      <c r="U277" s="16"/>
      <c r="V277" s="16">
        <v>6098</v>
      </c>
      <c r="W277" s="16">
        <f t="shared" si="136"/>
        <v>522</v>
      </c>
      <c r="X277" s="16">
        <v>5576</v>
      </c>
      <c r="Y277" s="16">
        <v>4659</v>
      </c>
      <c r="Z277" s="16">
        <f t="shared" si="137"/>
        <v>917</v>
      </c>
      <c r="AA277" s="16"/>
      <c r="AB277" s="17"/>
      <c r="AC277" s="96">
        <v>2015</v>
      </c>
      <c r="AD277" s="97" t="s">
        <v>43</v>
      </c>
      <c r="AE277" s="15">
        <f t="shared" si="124"/>
        <v>1.483679525222552E-2</v>
      </c>
      <c r="AF277" s="15">
        <f t="shared" si="125"/>
        <v>4.0322580645161289E-2</v>
      </c>
      <c r="AG277" s="15">
        <f t="shared" si="126"/>
        <v>0.36795252225519287</v>
      </c>
      <c r="AH277" s="16"/>
      <c r="AI277" s="16"/>
      <c r="AJ277" s="16">
        <v>1011</v>
      </c>
      <c r="AK277" s="16">
        <f t="shared" si="138"/>
        <v>639</v>
      </c>
      <c r="AL277" s="16">
        <v>372</v>
      </c>
      <c r="AM277" s="16">
        <v>15</v>
      </c>
      <c r="AN277" s="16">
        <f t="shared" si="139"/>
        <v>357</v>
      </c>
      <c r="AO277" s="16"/>
      <c r="AP277" s="17"/>
      <c r="AQ277" s="96">
        <v>2015</v>
      </c>
      <c r="AR277" s="97" t="s">
        <v>43</v>
      </c>
      <c r="AS277" s="15">
        <f t="shared" si="127"/>
        <v>0</v>
      </c>
      <c r="AT277" s="15">
        <f t="shared" si="128"/>
        <v>0</v>
      </c>
      <c r="AU277" s="15">
        <f t="shared" si="129"/>
        <v>0.33560090702947848</v>
      </c>
      <c r="AV277" s="16"/>
      <c r="AW277" s="16"/>
      <c r="AX277" s="16">
        <v>882</v>
      </c>
      <c r="AY277" s="16">
        <f t="shared" si="140"/>
        <v>586</v>
      </c>
      <c r="AZ277" s="16">
        <v>296</v>
      </c>
      <c r="BA277" s="16">
        <v>0</v>
      </c>
      <c r="BB277" s="16">
        <f t="shared" si="141"/>
        <v>296</v>
      </c>
    </row>
    <row r="278" spans="1:54" s="18" customFormat="1" ht="15" customHeight="1">
      <c r="A278" s="94">
        <v>2015</v>
      </c>
      <c r="B278" s="95" t="s">
        <v>44</v>
      </c>
      <c r="C278" s="15">
        <f t="shared" si="130"/>
        <v>0.5407858741606566</v>
      </c>
      <c r="D278" s="15">
        <f t="shared" si="131"/>
        <v>0.66023986640352206</v>
      </c>
      <c r="E278" s="15">
        <f t="shared" si="132"/>
        <v>0.81907485700074611</v>
      </c>
      <c r="F278" s="16">
        <f>+Tabla2[[#This Row],[Trenes Programados por Día Hábil]]+Tabla9[[#This Row],[Trenes Programados por Día Hábil]]+Tabla10[[#This Row],[Trenes Programados por Día Hábil]]</f>
        <v>0</v>
      </c>
      <c r="G278" s="33">
        <f>+(Tabla2[[#This Row],[Coches por Tren Día Hábil]]*Tabla2[[#This Row],[Trenes Corridos]]+Tabla9[[#This Row],[Coches por Tren Día Hábil]]*Tabla9[[#This Row],[Trenes Corridos]]+Tabla10[[#This Row],[Coches por Tren Día Hábil]]*Tabla10[[#This Row],[Trenes Corridos]])/SARM[[#This Row],[Trenes Corridos]]</f>
        <v>0</v>
      </c>
      <c r="H278" s="16">
        <f t="shared" si="133"/>
        <v>8042</v>
      </c>
      <c r="I278" s="16">
        <f t="shared" si="119"/>
        <v>1455</v>
      </c>
      <c r="J278" s="16">
        <f t="shared" si="135"/>
        <v>6587</v>
      </c>
      <c r="K278" s="16">
        <f t="shared" si="134"/>
        <v>4349</v>
      </c>
      <c r="L278" s="16">
        <f t="shared" si="120"/>
        <v>2238</v>
      </c>
      <c r="M278" s="16"/>
      <c r="N278" s="17"/>
      <c r="O278" s="94">
        <v>2015</v>
      </c>
      <c r="P278" s="95" t="s">
        <v>44</v>
      </c>
      <c r="Q278" s="15">
        <f t="shared" si="121"/>
        <v>0.66698966408268734</v>
      </c>
      <c r="R278" s="15">
        <f t="shared" si="122"/>
        <v>0.73987817986384807</v>
      </c>
      <c r="S278" s="15">
        <f t="shared" si="123"/>
        <v>0.90148578811369506</v>
      </c>
      <c r="T278" s="16"/>
      <c r="U278" s="16"/>
      <c r="V278" s="16">
        <v>6192</v>
      </c>
      <c r="W278" s="16">
        <f>V278-X278</f>
        <v>610</v>
      </c>
      <c r="X278" s="16">
        <v>5582</v>
      </c>
      <c r="Y278" s="16">
        <v>4130</v>
      </c>
      <c r="Z278" s="16">
        <f t="shared" si="137"/>
        <v>1452</v>
      </c>
      <c r="AA278" s="16"/>
      <c r="AB278" s="17"/>
      <c r="AC278" s="94">
        <v>2015</v>
      </c>
      <c r="AD278" s="95" t="s">
        <v>44</v>
      </c>
      <c r="AE278" s="15">
        <f t="shared" si="124"/>
        <v>3.8696537678207736E-2</v>
      </c>
      <c r="AF278" s="15">
        <f t="shared" si="125"/>
        <v>9.1127098321342928E-2</v>
      </c>
      <c r="AG278" s="15">
        <f t="shared" si="126"/>
        <v>0.42464358452138495</v>
      </c>
      <c r="AH278" s="16"/>
      <c r="AI278" s="16"/>
      <c r="AJ278" s="16">
        <v>982</v>
      </c>
      <c r="AK278" s="16">
        <f>AJ278-AL278</f>
        <v>565</v>
      </c>
      <c r="AL278" s="16">
        <v>417</v>
      </c>
      <c r="AM278" s="16">
        <v>38</v>
      </c>
      <c r="AN278" s="16">
        <f t="shared" si="139"/>
        <v>379</v>
      </c>
      <c r="AO278" s="16"/>
      <c r="AP278" s="17"/>
      <c r="AQ278" s="94">
        <v>2015</v>
      </c>
      <c r="AR278" s="95" t="s">
        <v>44</v>
      </c>
      <c r="AS278" s="15">
        <f t="shared" si="127"/>
        <v>0.20852534562211983</v>
      </c>
      <c r="AT278" s="15">
        <f t="shared" si="128"/>
        <v>0.30782312925170069</v>
      </c>
      <c r="AU278" s="15">
        <f t="shared" si="129"/>
        <v>0.67741935483870963</v>
      </c>
      <c r="AV278" s="16"/>
      <c r="AW278" s="16"/>
      <c r="AX278" s="16">
        <v>868</v>
      </c>
      <c r="AY278" s="16">
        <f>AX278-AZ278</f>
        <v>280</v>
      </c>
      <c r="AZ278" s="16">
        <v>588</v>
      </c>
      <c r="BA278" s="16">
        <v>181</v>
      </c>
      <c r="BB278" s="16">
        <f t="shared" si="141"/>
        <v>407</v>
      </c>
    </row>
    <row r="279" spans="1:54" s="18" customFormat="1" ht="15" customHeight="1">
      <c r="A279" s="96">
        <v>2015</v>
      </c>
      <c r="B279" s="97" t="s">
        <v>45</v>
      </c>
      <c r="C279" s="15">
        <f t="shared" si="130"/>
        <v>0.56850433253798816</v>
      </c>
      <c r="D279" s="15">
        <f t="shared" si="131"/>
        <v>0.7014254725751472</v>
      </c>
      <c r="E279" s="15">
        <f t="shared" si="132"/>
        <v>0.81049855582067065</v>
      </c>
      <c r="F279" s="16">
        <f>+Tabla2[[#This Row],[Trenes Programados por Día Hábil]]+Tabla9[[#This Row],[Trenes Programados por Día Hábil]]+Tabla10[[#This Row],[Trenes Programados por Día Hábil]]</f>
        <v>0</v>
      </c>
      <c r="G279" s="33">
        <f>+(Tabla2[[#This Row],[Coches por Tren Día Hábil]]*Tabla2[[#This Row],[Trenes Corridos]]+Tabla9[[#This Row],[Coches por Tren Día Hábil]]*Tabla9[[#This Row],[Trenes Corridos]]+Tabla10[[#This Row],[Coches por Tren Día Hábil]]*Tabla10[[#This Row],[Trenes Corridos]])/SARM[[#This Row],[Trenes Corridos]]</f>
        <v>0</v>
      </c>
      <c r="H279" s="16">
        <f t="shared" si="133"/>
        <v>7963</v>
      </c>
      <c r="I279" s="16">
        <f t="shared" si="119"/>
        <v>1509</v>
      </c>
      <c r="J279" s="16">
        <f t="shared" si="135"/>
        <v>6454</v>
      </c>
      <c r="K279" s="16">
        <f t="shared" si="134"/>
        <v>4527</v>
      </c>
      <c r="L279" s="16">
        <f t="shared" si="120"/>
        <v>1927</v>
      </c>
      <c r="M279" s="16"/>
      <c r="N279" s="17"/>
      <c r="O279" s="96">
        <v>2015</v>
      </c>
      <c r="P279" s="97" t="s">
        <v>45</v>
      </c>
      <c r="Q279" s="15">
        <f t="shared" si="121"/>
        <v>0.69306930693069302</v>
      </c>
      <c r="R279" s="15">
        <f t="shared" si="122"/>
        <v>0.79066265060240959</v>
      </c>
      <c r="S279" s="15">
        <f t="shared" si="123"/>
        <v>0.87656765676567661</v>
      </c>
      <c r="T279" s="16"/>
      <c r="U279" s="16"/>
      <c r="V279" s="16">
        <v>6060</v>
      </c>
      <c r="W279" s="16">
        <f>V279-X279</f>
        <v>748</v>
      </c>
      <c r="X279" s="16">
        <v>5312</v>
      </c>
      <c r="Y279" s="16">
        <v>4200</v>
      </c>
      <c r="Z279" s="16">
        <f t="shared" si="137"/>
        <v>1112</v>
      </c>
      <c r="AA279" s="16"/>
      <c r="AB279" s="17"/>
      <c r="AC279" s="96">
        <v>2015</v>
      </c>
      <c r="AD279" s="97" t="s">
        <v>45</v>
      </c>
      <c r="AE279" s="15">
        <f t="shared" si="124"/>
        <v>0.10266535044422508</v>
      </c>
      <c r="AF279" s="15">
        <f t="shared" si="125"/>
        <v>0.22174840085287847</v>
      </c>
      <c r="AG279" s="15">
        <f t="shared" si="126"/>
        <v>0.46298124383020728</v>
      </c>
      <c r="AH279" s="16"/>
      <c r="AI279" s="16"/>
      <c r="AJ279" s="16">
        <v>1013</v>
      </c>
      <c r="AK279" s="16">
        <f>AJ279-AL279</f>
        <v>544</v>
      </c>
      <c r="AL279" s="16">
        <v>469</v>
      </c>
      <c r="AM279" s="16">
        <v>104</v>
      </c>
      <c r="AN279" s="16">
        <f t="shared" si="139"/>
        <v>365</v>
      </c>
      <c r="AO279" s="16"/>
      <c r="AP279" s="17"/>
      <c r="AQ279" s="96">
        <v>2015</v>
      </c>
      <c r="AR279" s="97" t="s">
        <v>45</v>
      </c>
      <c r="AS279" s="15">
        <f t="shared" si="127"/>
        <v>0.25056179775280901</v>
      </c>
      <c r="AT279" s="15">
        <f t="shared" si="128"/>
        <v>0.3313521545319465</v>
      </c>
      <c r="AU279" s="15">
        <f t="shared" si="129"/>
        <v>0.75617977528089886</v>
      </c>
      <c r="AV279" s="16"/>
      <c r="AW279" s="16"/>
      <c r="AX279" s="16">
        <v>890</v>
      </c>
      <c r="AY279" s="16">
        <f>AX279-AZ279</f>
        <v>217</v>
      </c>
      <c r="AZ279" s="16">
        <v>673</v>
      </c>
      <c r="BA279" s="16">
        <v>223</v>
      </c>
      <c r="BB279" s="16">
        <f t="shared" si="141"/>
        <v>450</v>
      </c>
    </row>
    <row r="280" spans="1:54" s="18" customFormat="1" ht="15" customHeight="1">
      <c r="A280" s="94">
        <v>2015</v>
      </c>
      <c r="B280" s="95" t="s">
        <v>46</v>
      </c>
      <c r="C280" s="15">
        <f t="shared" si="130"/>
        <v>0.58037825059101655</v>
      </c>
      <c r="D280" s="15">
        <f t="shared" si="131"/>
        <v>0.71504854368932036</v>
      </c>
      <c r="E280" s="15">
        <f t="shared" si="132"/>
        <v>0.81166272655634353</v>
      </c>
      <c r="F280" s="16">
        <f>+Tabla2[[#This Row],[Trenes Programados por Día Hábil]]+Tabla9[[#This Row],[Trenes Programados por Día Hábil]]+Tabla10[[#This Row],[Trenes Programados por Día Hábil]]</f>
        <v>0</v>
      </c>
      <c r="G280" s="33">
        <f>+(Tabla2[[#This Row],[Coches por Tren Día Hábil]]*Tabla2[[#This Row],[Trenes Corridos]]+Tabla9[[#This Row],[Coches por Tren Día Hábil]]*Tabla9[[#This Row],[Trenes Corridos]]+Tabla10[[#This Row],[Coches por Tren Día Hábil]]*Tabla10[[#This Row],[Trenes Corridos]])/SARM[[#This Row],[Trenes Corridos]]</f>
        <v>0</v>
      </c>
      <c r="H280" s="16">
        <f t="shared" si="133"/>
        <v>7614</v>
      </c>
      <c r="I280" s="16">
        <f t="shared" si="119"/>
        <v>1434</v>
      </c>
      <c r="J280" s="16">
        <f t="shared" si="135"/>
        <v>6180</v>
      </c>
      <c r="K280" s="16">
        <f t="shared" si="134"/>
        <v>4419</v>
      </c>
      <c r="L280" s="16">
        <f t="shared" si="120"/>
        <v>1761</v>
      </c>
      <c r="M280" s="16"/>
      <c r="N280" s="17"/>
      <c r="O280" s="94">
        <v>2015</v>
      </c>
      <c r="P280" s="95" t="s">
        <v>46</v>
      </c>
      <c r="Q280" s="15">
        <f t="shared" si="121"/>
        <v>0.71317427385892118</v>
      </c>
      <c r="R280" s="15">
        <f t="shared" si="122"/>
        <v>0.81312832643406263</v>
      </c>
      <c r="S280" s="15">
        <f t="shared" si="123"/>
        <v>0.87707468879668049</v>
      </c>
      <c r="T280" s="16"/>
      <c r="U280" s="16"/>
      <c r="V280" s="16">
        <v>5784</v>
      </c>
      <c r="W280" s="16">
        <f>V280-X280</f>
        <v>711</v>
      </c>
      <c r="X280" s="16">
        <v>5073</v>
      </c>
      <c r="Y280" s="16">
        <v>4125</v>
      </c>
      <c r="Z280" s="16">
        <f t="shared" si="137"/>
        <v>948</v>
      </c>
      <c r="AA280" s="16"/>
      <c r="AB280" s="17"/>
      <c r="AC280" s="94">
        <v>2015</v>
      </c>
      <c r="AD280" s="95" t="s">
        <v>46</v>
      </c>
      <c r="AE280" s="15">
        <f t="shared" si="124"/>
        <v>7.9754601226993863E-2</v>
      </c>
      <c r="AF280" s="15">
        <f t="shared" si="125"/>
        <v>0.17449664429530201</v>
      </c>
      <c r="AG280" s="15">
        <f t="shared" si="126"/>
        <v>0.45705521472392641</v>
      </c>
      <c r="AH280" s="16"/>
      <c r="AI280" s="16"/>
      <c r="AJ280" s="16">
        <v>978</v>
      </c>
      <c r="AK280" s="16">
        <f>AJ280-AL280</f>
        <v>531</v>
      </c>
      <c r="AL280" s="16">
        <v>447</v>
      </c>
      <c r="AM280" s="16">
        <v>78</v>
      </c>
      <c r="AN280" s="16">
        <f t="shared" si="139"/>
        <v>369</v>
      </c>
      <c r="AO280" s="16"/>
      <c r="AP280" s="17"/>
      <c r="AQ280" s="94">
        <v>2015</v>
      </c>
      <c r="AR280" s="95" t="s">
        <v>46</v>
      </c>
      <c r="AS280" s="15">
        <f t="shared" si="127"/>
        <v>0.25352112676056338</v>
      </c>
      <c r="AT280" s="15">
        <f t="shared" si="128"/>
        <v>0.32727272727272727</v>
      </c>
      <c r="AU280" s="15">
        <f t="shared" si="129"/>
        <v>0.77464788732394363</v>
      </c>
      <c r="AV280" s="16"/>
      <c r="AW280" s="16"/>
      <c r="AX280" s="16">
        <v>852</v>
      </c>
      <c r="AY280" s="16">
        <f>AX280-AZ280</f>
        <v>192</v>
      </c>
      <c r="AZ280" s="16">
        <v>660</v>
      </c>
      <c r="BA280" s="16">
        <v>216</v>
      </c>
      <c r="BB280" s="16">
        <f t="shared" si="141"/>
        <v>444</v>
      </c>
    </row>
    <row r="281" spans="1:54" s="18" customFormat="1" ht="15" customHeight="1">
      <c r="A281" s="96">
        <v>2015</v>
      </c>
      <c r="B281" s="97" t="s">
        <v>47</v>
      </c>
      <c r="C281" s="15">
        <f t="shared" si="130"/>
        <v>0.61251442492627262</v>
      </c>
      <c r="D281" s="15">
        <f t="shared" si="131"/>
        <v>0.74524180967238685</v>
      </c>
      <c r="E281" s="15">
        <f t="shared" si="132"/>
        <v>0.82190024362097702</v>
      </c>
      <c r="F281" s="16">
        <f>+Tabla2[[#This Row],[Trenes Programados por Día Hábil]]+Tabla9[[#This Row],[Trenes Programados por Día Hábil]]+Tabla10[[#This Row],[Trenes Programados por Día Hábil]]</f>
        <v>0</v>
      </c>
      <c r="G281" s="33">
        <f>+(Tabla2[[#This Row],[Coches por Tren Día Hábil]]*Tabla2[[#This Row],[Trenes Corridos]]+Tabla9[[#This Row],[Coches por Tren Día Hábil]]*Tabla9[[#This Row],[Trenes Corridos]]+Tabla10[[#This Row],[Coches por Tren Día Hábil]]*Tabla10[[#This Row],[Trenes Corridos]])/SARM[[#This Row],[Trenes Corridos]]</f>
        <v>0</v>
      </c>
      <c r="H281" s="16">
        <f t="shared" si="133"/>
        <v>7799</v>
      </c>
      <c r="I281" s="16">
        <f t="shared" si="119"/>
        <v>1389</v>
      </c>
      <c r="J281" s="16">
        <f t="shared" si="135"/>
        <v>6410</v>
      </c>
      <c r="K281" s="16">
        <f t="shared" si="134"/>
        <v>4777</v>
      </c>
      <c r="L281" s="16">
        <f t="shared" si="120"/>
        <v>1633</v>
      </c>
      <c r="M281" s="16"/>
      <c r="N281" s="25"/>
      <c r="O281" s="96">
        <v>2015</v>
      </c>
      <c r="P281" s="97" t="s">
        <v>47</v>
      </c>
      <c r="Q281" s="15">
        <f t="shared" si="121"/>
        <v>0.71991210277214335</v>
      </c>
      <c r="R281" s="15">
        <f t="shared" si="122"/>
        <v>0.82379110251450682</v>
      </c>
      <c r="S281" s="15">
        <f t="shared" si="123"/>
        <v>0.87390128465179173</v>
      </c>
      <c r="T281" s="16"/>
      <c r="U281" s="16"/>
      <c r="V281" s="16">
        <v>5916</v>
      </c>
      <c r="W281" s="16">
        <f>V281-X281</f>
        <v>746</v>
      </c>
      <c r="X281" s="16">
        <v>5170</v>
      </c>
      <c r="Y281" s="16">
        <v>4259</v>
      </c>
      <c r="Z281" s="16">
        <f t="shared" si="137"/>
        <v>911</v>
      </c>
      <c r="AA281" s="16"/>
      <c r="AB281" s="17"/>
      <c r="AC281" s="96">
        <v>2015</v>
      </c>
      <c r="AD281" s="97" t="s">
        <v>47</v>
      </c>
      <c r="AE281" s="15">
        <f t="shared" si="124"/>
        <v>0.15857284440039643</v>
      </c>
      <c r="AF281" s="15">
        <f t="shared" si="125"/>
        <v>0.30769230769230771</v>
      </c>
      <c r="AG281" s="15">
        <f t="shared" si="126"/>
        <v>0.51536174430128845</v>
      </c>
      <c r="AH281" s="16"/>
      <c r="AI281" s="16"/>
      <c r="AJ281" s="16">
        <v>1009</v>
      </c>
      <c r="AK281" s="16">
        <f>AJ281-AL281</f>
        <v>489</v>
      </c>
      <c r="AL281" s="16">
        <v>520</v>
      </c>
      <c r="AM281" s="16">
        <v>160</v>
      </c>
      <c r="AN281" s="16">
        <f t="shared" si="139"/>
        <v>360</v>
      </c>
      <c r="AO281" s="16"/>
      <c r="AP281" s="17"/>
      <c r="AQ281" s="96">
        <v>2015</v>
      </c>
      <c r="AR281" s="97" t="s">
        <v>47</v>
      </c>
      <c r="AS281" s="15">
        <f t="shared" si="127"/>
        <v>0.40961098398169338</v>
      </c>
      <c r="AT281" s="15">
        <f t="shared" si="128"/>
        <v>0.49722222222222223</v>
      </c>
      <c r="AU281" s="15">
        <f t="shared" si="129"/>
        <v>0.82379862700228834</v>
      </c>
      <c r="AV281" s="16"/>
      <c r="AW281" s="16"/>
      <c r="AX281" s="16">
        <v>874</v>
      </c>
      <c r="AY281" s="16">
        <f>AX281-AZ281</f>
        <v>154</v>
      </c>
      <c r="AZ281" s="16">
        <v>720</v>
      </c>
      <c r="BA281" s="16">
        <v>358</v>
      </c>
      <c r="BB281" s="16">
        <f t="shared" si="141"/>
        <v>362</v>
      </c>
    </row>
    <row r="282" spans="1:54" s="18" customFormat="1" ht="15" customHeight="1">
      <c r="A282" s="94">
        <v>2016</v>
      </c>
      <c r="B282" s="95" t="s">
        <v>36</v>
      </c>
      <c r="C282" s="15">
        <f t="shared" si="130"/>
        <v>0.66412698412698412</v>
      </c>
      <c r="D282" s="15">
        <f t="shared" si="131"/>
        <v>0.81642210427724005</v>
      </c>
      <c r="E282" s="15">
        <f t="shared" si="132"/>
        <v>0.81346031746031744</v>
      </c>
      <c r="F282" s="16">
        <f>+Tabla2[[#This Row],[Trenes Programados por Día Hábil]]+Tabla9[[#This Row],[Trenes Programados por Día Hábil]]+Tabla10[[#This Row],[Trenes Programados por Día Hábil]]</f>
        <v>0</v>
      </c>
      <c r="G282" s="33">
        <f>+(Tabla2[[#This Row],[Coches por Tren Día Hábil]]*Tabla2[[#This Row],[Trenes Corridos]]+Tabla9[[#This Row],[Coches por Tren Día Hábil]]*Tabla9[[#This Row],[Trenes Corridos]]+Tabla10[[#This Row],[Coches por Tren Día Hábil]]*Tabla10[[#This Row],[Trenes Corridos]])/SARM[[#This Row],[Trenes Corridos]]</f>
        <v>0</v>
      </c>
      <c r="H282" s="16">
        <f t="shared" si="133"/>
        <v>7875</v>
      </c>
      <c r="I282" s="16">
        <f t="shared" si="119"/>
        <v>1469</v>
      </c>
      <c r="J282" s="16">
        <f t="shared" si="135"/>
        <v>6406</v>
      </c>
      <c r="K282" s="16">
        <f t="shared" si="134"/>
        <v>5230</v>
      </c>
      <c r="L282" s="16">
        <f t="shared" si="120"/>
        <v>1176</v>
      </c>
      <c r="M282" s="16"/>
      <c r="N282" s="17"/>
      <c r="O282" s="94">
        <v>2016</v>
      </c>
      <c r="P282" s="95" t="s">
        <v>36</v>
      </c>
      <c r="Q282" s="15">
        <f t="shared" si="121"/>
        <v>0.78151120026746912</v>
      </c>
      <c r="R282" s="15">
        <f t="shared" si="122"/>
        <v>0.89422341239479719</v>
      </c>
      <c r="S282" s="15">
        <f t="shared" si="123"/>
        <v>0.87395519893012374</v>
      </c>
      <c r="T282" s="16"/>
      <c r="U282" s="16"/>
      <c r="V282" s="16">
        <v>5982</v>
      </c>
      <c r="W282" s="16">
        <f t="shared" ref="W282:W293" si="142">V282-X282</f>
        <v>754</v>
      </c>
      <c r="X282" s="16">
        <v>5228</v>
      </c>
      <c r="Y282" s="16">
        <v>4675</v>
      </c>
      <c r="Z282" s="16">
        <f t="shared" ref="Z282:Z293" si="143">X282-Y282</f>
        <v>553</v>
      </c>
      <c r="AA282" s="16"/>
      <c r="AB282" s="17"/>
      <c r="AC282" s="94">
        <v>2016</v>
      </c>
      <c r="AD282" s="95" t="s">
        <v>36</v>
      </c>
      <c r="AE282" s="15">
        <f t="shared" si="124"/>
        <v>0.15727002967359049</v>
      </c>
      <c r="AF282" s="15">
        <f t="shared" si="125"/>
        <v>0.31115459882583169</v>
      </c>
      <c r="AG282" s="15">
        <f t="shared" si="126"/>
        <v>0.50544015825914934</v>
      </c>
      <c r="AH282" s="16"/>
      <c r="AI282" s="16"/>
      <c r="AJ282" s="16">
        <v>1011</v>
      </c>
      <c r="AK282" s="16">
        <f t="shared" ref="AK282:AK292" si="144">AJ282-AL282</f>
        <v>500</v>
      </c>
      <c r="AL282" s="16">
        <v>511</v>
      </c>
      <c r="AM282" s="16">
        <v>159</v>
      </c>
      <c r="AN282" s="16">
        <f t="shared" ref="AN282:AN293" si="145">AL282-AM282</f>
        <v>352</v>
      </c>
      <c r="AO282" s="16"/>
      <c r="AP282" s="17"/>
      <c r="AQ282" s="94">
        <v>2016</v>
      </c>
      <c r="AR282" s="95" t="s">
        <v>36</v>
      </c>
      <c r="AS282" s="15">
        <f t="shared" si="127"/>
        <v>0.44897959183673469</v>
      </c>
      <c r="AT282" s="15">
        <f t="shared" si="128"/>
        <v>0.59370314842578709</v>
      </c>
      <c r="AU282" s="15">
        <f t="shared" si="129"/>
        <v>0.75623582766439912</v>
      </c>
      <c r="AV282" s="16"/>
      <c r="AW282" s="16"/>
      <c r="AX282" s="16">
        <v>882</v>
      </c>
      <c r="AY282" s="16">
        <f t="shared" ref="AY282:AY292" si="146">AX282-AZ282</f>
        <v>215</v>
      </c>
      <c r="AZ282" s="16">
        <v>667</v>
      </c>
      <c r="BA282" s="16">
        <v>396</v>
      </c>
      <c r="BB282" s="16">
        <f t="shared" ref="BB282:BB293" si="147">AZ282-BA282</f>
        <v>271</v>
      </c>
    </row>
    <row r="283" spans="1:54" s="18" customFormat="1" ht="15" customHeight="1">
      <c r="A283" s="96">
        <v>2016</v>
      </c>
      <c r="B283" s="97" t="s">
        <v>37</v>
      </c>
      <c r="C283" s="15">
        <f t="shared" si="130"/>
        <v>0.67334150660672931</v>
      </c>
      <c r="D283" s="15">
        <f t="shared" si="131"/>
        <v>0.82109634551495014</v>
      </c>
      <c r="E283" s="15">
        <f t="shared" si="132"/>
        <v>0.82005176406484126</v>
      </c>
      <c r="F283" s="16">
        <f>+Tabla2[[#This Row],[Trenes Programados por Día Hábil]]+Tabla9[[#This Row],[Trenes Programados por Día Hábil]]+Tabla10[[#This Row],[Trenes Programados por Día Hábil]]</f>
        <v>0</v>
      </c>
      <c r="G283" s="33">
        <f>+(Tabla2[[#This Row],[Coches por Tren Día Hábil]]*Tabla2[[#This Row],[Trenes Corridos]]+Tabla9[[#This Row],[Coches por Tren Día Hábil]]*Tabla9[[#This Row],[Trenes Corridos]]+Tabla10[[#This Row],[Coches por Tren Día Hábil]]*Tabla10[[#This Row],[Trenes Corridos]])/SARM[[#This Row],[Trenes Corridos]]</f>
        <v>0</v>
      </c>
      <c r="H283" s="16">
        <f t="shared" si="133"/>
        <v>7341</v>
      </c>
      <c r="I283" s="16">
        <f t="shared" si="119"/>
        <v>1321</v>
      </c>
      <c r="J283" s="16">
        <f t="shared" si="135"/>
        <v>6020</v>
      </c>
      <c r="K283" s="16">
        <f t="shared" si="134"/>
        <v>4943</v>
      </c>
      <c r="L283" s="16">
        <f t="shared" si="120"/>
        <v>1077</v>
      </c>
      <c r="M283" s="16"/>
      <c r="N283" s="17"/>
      <c r="O283" s="96">
        <v>2016</v>
      </c>
      <c r="P283" s="97" t="s">
        <v>37</v>
      </c>
      <c r="Q283" s="15">
        <f t="shared" si="121"/>
        <v>0.78704700394689631</v>
      </c>
      <c r="R283" s="15">
        <f t="shared" si="122"/>
        <v>0.88501109542061729</v>
      </c>
      <c r="S283" s="15">
        <f t="shared" si="123"/>
        <v>0.88930749910297813</v>
      </c>
      <c r="T283" s="16"/>
      <c r="U283" s="16"/>
      <c r="V283" s="16">
        <v>5574</v>
      </c>
      <c r="W283" s="16">
        <f t="shared" si="142"/>
        <v>617</v>
      </c>
      <c r="X283" s="16">
        <v>4957</v>
      </c>
      <c r="Y283" s="16">
        <v>4387</v>
      </c>
      <c r="Z283" s="16">
        <f t="shared" si="143"/>
        <v>570</v>
      </c>
      <c r="AA283" s="16"/>
      <c r="AB283" s="17"/>
      <c r="AC283" s="96">
        <v>2016</v>
      </c>
      <c r="AD283" s="97" t="s">
        <v>37</v>
      </c>
      <c r="AE283" s="15">
        <f t="shared" si="124"/>
        <v>0.18518518518518517</v>
      </c>
      <c r="AF283" s="15">
        <f t="shared" si="125"/>
        <v>0.34722222222222221</v>
      </c>
      <c r="AG283" s="15">
        <f t="shared" si="126"/>
        <v>0.53333333333333333</v>
      </c>
      <c r="AH283" s="16"/>
      <c r="AI283" s="16"/>
      <c r="AJ283" s="16">
        <v>945</v>
      </c>
      <c r="AK283" s="16">
        <f t="shared" si="144"/>
        <v>441</v>
      </c>
      <c r="AL283" s="16">
        <v>504</v>
      </c>
      <c r="AM283" s="16">
        <v>175</v>
      </c>
      <c r="AN283" s="16">
        <f t="shared" si="145"/>
        <v>329</v>
      </c>
      <c r="AO283" s="16"/>
      <c r="AP283" s="17"/>
      <c r="AQ283" s="96">
        <v>2016</v>
      </c>
      <c r="AR283" s="97" t="s">
        <v>37</v>
      </c>
      <c r="AS283" s="15">
        <f t="shared" si="127"/>
        <v>0.46350364963503649</v>
      </c>
      <c r="AT283" s="15">
        <f t="shared" si="128"/>
        <v>0.68157423971377462</v>
      </c>
      <c r="AU283" s="15">
        <f t="shared" si="129"/>
        <v>0.68004866180048662</v>
      </c>
      <c r="AV283" s="16"/>
      <c r="AW283" s="16"/>
      <c r="AX283" s="16">
        <v>822</v>
      </c>
      <c r="AY283" s="16">
        <f t="shared" si="146"/>
        <v>263</v>
      </c>
      <c r="AZ283" s="16">
        <v>559</v>
      </c>
      <c r="BA283" s="16">
        <v>381</v>
      </c>
      <c r="BB283" s="16">
        <f t="shared" si="147"/>
        <v>178</v>
      </c>
    </row>
    <row r="284" spans="1:54" s="18" customFormat="1" ht="15" customHeight="1">
      <c r="A284" s="94">
        <v>2016</v>
      </c>
      <c r="B284" s="95" t="s">
        <v>38</v>
      </c>
      <c r="C284" s="15">
        <f t="shared" si="130"/>
        <v>0.70216812476226698</v>
      </c>
      <c r="D284" s="15">
        <f t="shared" si="131"/>
        <v>0.83203125</v>
      </c>
      <c r="E284" s="15">
        <f t="shared" si="132"/>
        <v>0.8439203753011284</v>
      </c>
      <c r="F284" s="16">
        <f>+Tabla2[[#This Row],[Trenes Programados por Día Hábil]]+Tabla9[[#This Row],[Trenes Programados por Día Hábil]]+Tabla10[[#This Row],[Trenes Programados por Día Hábil]]</f>
        <v>0</v>
      </c>
      <c r="G284" s="33">
        <f>+(Tabla2[[#This Row],[Coches por Tren Día Hábil]]*Tabla2[[#This Row],[Trenes Corridos]]+Tabla9[[#This Row],[Coches por Tren Día Hábil]]*Tabla9[[#This Row],[Trenes Corridos]]+Tabla10[[#This Row],[Coches por Tren Día Hábil]]*Tabla10[[#This Row],[Trenes Corridos]])/SARM[[#This Row],[Trenes Corridos]]</f>
        <v>0</v>
      </c>
      <c r="H284" s="16">
        <f t="shared" si="133"/>
        <v>7887</v>
      </c>
      <c r="I284" s="16">
        <f t="shared" si="119"/>
        <v>1231</v>
      </c>
      <c r="J284" s="16">
        <f t="shared" si="135"/>
        <v>6656</v>
      </c>
      <c r="K284" s="16">
        <f t="shared" si="134"/>
        <v>5538</v>
      </c>
      <c r="L284" s="16">
        <f t="shared" si="120"/>
        <v>1118</v>
      </c>
      <c r="M284" s="16"/>
      <c r="N284" s="17"/>
      <c r="O284" s="94">
        <v>2016</v>
      </c>
      <c r="P284" s="95" t="s">
        <v>38</v>
      </c>
      <c r="Q284" s="15">
        <f t="shared" si="121"/>
        <v>0.80130130130130128</v>
      </c>
      <c r="R284" s="15">
        <f t="shared" si="122"/>
        <v>0.90759637188208619</v>
      </c>
      <c r="S284" s="15">
        <f t="shared" si="123"/>
        <v>0.88288288288288286</v>
      </c>
      <c r="T284" s="16"/>
      <c r="U284" s="16"/>
      <c r="V284" s="16">
        <v>5994</v>
      </c>
      <c r="W284" s="16">
        <f t="shared" si="142"/>
        <v>702</v>
      </c>
      <c r="X284" s="16">
        <v>5292</v>
      </c>
      <c r="Y284" s="16">
        <v>4803</v>
      </c>
      <c r="Z284" s="16">
        <f t="shared" si="143"/>
        <v>489</v>
      </c>
      <c r="AA284" s="16"/>
      <c r="AB284" s="17"/>
      <c r="AC284" s="94">
        <v>2016</v>
      </c>
      <c r="AD284" s="95" t="s">
        <v>38</v>
      </c>
      <c r="AE284" s="15">
        <f t="shared" si="124"/>
        <v>0.22354104846686448</v>
      </c>
      <c r="AF284" s="15">
        <f t="shared" si="125"/>
        <v>0.36628849270664504</v>
      </c>
      <c r="AG284" s="15">
        <f t="shared" si="126"/>
        <v>0.61028684470820971</v>
      </c>
      <c r="AH284" s="16"/>
      <c r="AI284" s="16"/>
      <c r="AJ284" s="16">
        <v>1011</v>
      </c>
      <c r="AK284" s="16">
        <f t="shared" si="144"/>
        <v>394</v>
      </c>
      <c r="AL284" s="16">
        <v>617</v>
      </c>
      <c r="AM284" s="16">
        <v>226</v>
      </c>
      <c r="AN284" s="16">
        <f t="shared" si="145"/>
        <v>391</v>
      </c>
      <c r="AO284" s="16"/>
      <c r="AP284" s="17"/>
      <c r="AQ284" s="94">
        <v>2016</v>
      </c>
      <c r="AR284" s="95" t="s">
        <v>38</v>
      </c>
      <c r="AS284" s="15">
        <f t="shared" si="127"/>
        <v>0.57709750566893425</v>
      </c>
      <c r="AT284" s="15">
        <f t="shared" si="128"/>
        <v>0.68139223560910311</v>
      </c>
      <c r="AU284" s="15">
        <f t="shared" si="129"/>
        <v>0.84693877551020413</v>
      </c>
      <c r="AV284" s="16"/>
      <c r="AW284" s="16"/>
      <c r="AX284" s="16">
        <v>882</v>
      </c>
      <c r="AY284" s="16">
        <f t="shared" si="146"/>
        <v>135</v>
      </c>
      <c r="AZ284" s="16">
        <v>747</v>
      </c>
      <c r="BA284" s="16">
        <v>509</v>
      </c>
      <c r="BB284" s="16">
        <f t="shared" si="147"/>
        <v>238</v>
      </c>
    </row>
    <row r="285" spans="1:54" s="18" customFormat="1" ht="15" customHeight="1">
      <c r="A285" s="96">
        <v>2016</v>
      </c>
      <c r="B285" s="97" t="s">
        <v>39</v>
      </c>
      <c r="C285" s="15">
        <f t="shared" si="130"/>
        <v>0.71228252401973513</v>
      </c>
      <c r="D285" s="15">
        <f t="shared" si="131"/>
        <v>0.81819537658463837</v>
      </c>
      <c r="E285" s="15">
        <f t="shared" si="132"/>
        <v>0.87055310309010647</v>
      </c>
      <c r="F285" s="16">
        <f>+Tabla2[[#This Row],[Trenes Programados por Día Hábil]]+Tabla9[[#This Row],[Trenes Programados por Día Hábil]]+Tabla10[[#This Row],[Trenes Programados por Día Hábil]]</f>
        <v>0</v>
      </c>
      <c r="G285" s="33">
        <f>+(Tabla2[[#This Row],[Coches por Tren Día Hábil]]*Tabla2[[#This Row],[Trenes Corridos]]+Tabla9[[#This Row],[Coches por Tren Día Hábil]]*Tabla9[[#This Row],[Trenes Corridos]]+Tabla10[[#This Row],[Coches por Tren Día Hábil]]*Tabla10[[#This Row],[Trenes Corridos]])/SARM[[#This Row],[Trenes Corridos]]</f>
        <v>0</v>
      </c>
      <c r="H285" s="16">
        <f t="shared" si="133"/>
        <v>7702</v>
      </c>
      <c r="I285" s="16">
        <f t="shared" si="119"/>
        <v>997</v>
      </c>
      <c r="J285" s="16">
        <f t="shared" si="135"/>
        <v>6705</v>
      </c>
      <c r="K285" s="16">
        <f t="shared" si="134"/>
        <v>5486</v>
      </c>
      <c r="L285" s="16">
        <f t="shared" si="120"/>
        <v>1219</v>
      </c>
      <c r="M285" s="16"/>
      <c r="N285" s="17"/>
      <c r="O285" s="96">
        <v>2016</v>
      </c>
      <c r="P285" s="97" t="s">
        <v>39</v>
      </c>
      <c r="Q285" s="15">
        <f t="shared" si="121"/>
        <v>0.7804503582395087</v>
      </c>
      <c r="R285" s="15">
        <f t="shared" si="122"/>
        <v>0.89635579937304077</v>
      </c>
      <c r="S285" s="15">
        <f t="shared" si="123"/>
        <v>0.87069259638348684</v>
      </c>
      <c r="T285" s="16"/>
      <c r="U285" s="16"/>
      <c r="V285" s="16">
        <v>5862</v>
      </c>
      <c r="W285" s="16">
        <f t="shared" si="142"/>
        <v>758</v>
      </c>
      <c r="X285" s="16">
        <v>5104</v>
      </c>
      <c r="Y285" s="16">
        <v>4575</v>
      </c>
      <c r="Z285" s="16">
        <f t="shared" si="143"/>
        <v>529</v>
      </c>
      <c r="AA285" s="16"/>
      <c r="AB285" s="17"/>
      <c r="AC285" s="96">
        <v>2016</v>
      </c>
      <c r="AD285" s="97" t="s">
        <v>39</v>
      </c>
      <c r="AE285" s="15">
        <f t="shared" si="124"/>
        <v>0.41122448979591836</v>
      </c>
      <c r="AF285" s="15">
        <f t="shared" si="125"/>
        <v>0.5050125313283208</v>
      </c>
      <c r="AG285" s="15">
        <f t="shared" si="126"/>
        <v>0.81428571428571428</v>
      </c>
      <c r="AH285" s="16"/>
      <c r="AI285" s="16"/>
      <c r="AJ285" s="16">
        <v>980</v>
      </c>
      <c r="AK285" s="16">
        <f t="shared" si="144"/>
        <v>182</v>
      </c>
      <c r="AL285" s="16">
        <v>798</v>
      </c>
      <c r="AM285" s="16">
        <v>403</v>
      </c>
      <c r="AN285" s="16">
        <f t="shared" si="145"/>
        <v>395</v>
      </c>
      <c r="AO285" s="16"/>
      <c r="AP285" s="17"/>
      <c r="AQ285" s="96">
        <v>2016</v>
      </c>
      <c r="AR285" s="97" t="s">
        <v>39</v>
      </c>
      <c r="AS285" s="15">
        <f t="shared" si="127"/>
        <v>0.59069767441860466</v>
      </c>
      <c r="AT285" s="15">
        <f t="shared" si="128"/>
        <v>0.63262764632627644</v>
      </c>
      <c r="AU285" s="15">
        <f t="shared" si="129"/>
        <v>0.93372093023255809</v>
      </c>
      <c r="AV285" s="16"/>
      <c r="AW285" s="16"/>
      <c r="AX285" s="16">
        <v>860</v>
      </c>
      <c r="AY285" s="16">
        <f t="shared" si="146"/>
        <v>57</v>
      </c>
      <c r="AZ285" s="16">
        <v>803</v>
      </c>
      <c r="BA285" s="16">
        <v>508</v>
      </c>
      <c r="BB285" s="16">
        <f t="shared" si="147"/>
        <v>295</v>
      </c>
    </row>
    <row r="286" spans="1:54" s="18" customFormat="1" ht="15" customHeight="1">
      <c r="A286" s="94">
        <v>2016</v>
      </c>
      <c r="B286" s="95" t="s">
        <v>40</v>
      </c>
      <c r="C286" s="15">
        <f t="shared" si="130"/>
        <v>0.73931786484087736</v>
      </c>
      <c r="D286" s="15">
        <f t="shared" si="131"/>
        <v>0.82744430254008794</v>
      </c>
      <c r="E286" s="15">
        <f t="shared" si="132"/>
        <v>0.89349562571319896</v>
      </c>
      <c r="F286" s="16">
        <f>+Tabla2[[#This Row],[Trenes Programados por Día Hábil]]+Tabla9[[#This Row],[Trenes Programados por Día Hábil]]+Tabla10[[#This Row],[Trenes Programados por Día Hábil]]</f>
        <v>0</v>
      </c>
      <c r="G286" s="33">
        <f>+(Tabla2[[#This Row],[Coches por Tren Día Hábil]]*Tabla2[[#This Row],[Trenes Corridos]]+Tabla9[[#This Row],[Coches por Tren Día Hábil]]*Tabla9[[#This Row],[Trenes Corridos]]+Tabla10[[#This Row],[Coches por Tren Día Hábil]]*Tabla10[[#This Row],[Trenes Corridos]])/SARM[[#This Row],[Trenes Corridos]]</f>
        <v>0</v>
      </c>
      <c r="H286" s="16">
        <f t="shared" si="133"/>
        <v>7887</v>
      </c>
      <c r="I286" s="16">
        <f t="shared" si="119"/>
        <v>840</v>
      </c>
      <c r="J286" s="16">
        <f t="shared" si="135"/>
        <v>7047</v>
      </c>
      <c r="K286" s="16">
        <f t="shared" si="134"/>
        <v>5831</v>
      </c>
      <c r="L286" s="16">
        <f t="shared" si="120"/>
        <v>1216</v>
      </c>
      <c r="M286" s="16"/>
      <c r="N286" s="17"/>
      <c r="O286" s="94">
        <v>2016</v>
      </c>
      <c r="P286" s="95" t="s">
        <v>40</v>
      </c>
      <c r="Q286" s="15">
        <f t="shared" si="121"/>
        <v>0.78895562228895566</v>
      </c>
      <c r="R286" s="15">
        <f t="shared" si="122"/>
        <v>0.89058380414312621</v>
      </c>
      <c r="S286" s="15">
        <f t="shared" si="123"/>
        <v>0.8858858858858859</v>
      </c>
      <c r="T286" s="16"/>
      <c r="U286" s="16"/>
      <c r="V286" s="16">
        <v>5994</v>
      </c>
      <c r="W286" s="16">
        <f t="shared" si="142"/>
        <v>684</v>
      </c>
      <c r="X286" s="16">
        <v>5310</v>
      </c>
      <c r="Y286" s="16">
        <v>4729</v>
      </c>
      <c r="Z286" s="16">
        <f t="shared" si="143"/>
        <v>581</v>
      </c>
      <c r="AA286" s="16"/>
      <c r="AB286" s="17"/>
      <c r="AC286" s="94">
        <v>2016</v>
      </c>
      <c r="AD286" s="95" t="s">
        <v>40</v>
      </c>
      <c r="AE286" s="15">
        <f t="shared" si="124"/>
        <v>0.58456973293768544</v>
      </c>
      <c r="AF286" s="15">
        <f t="shared" si="125"/>
        <v>0.64731653888280394</v>
      </c>
      <c r="AG286" s="15">
        <f t="shared" si="126"/>
        <v>0.90306627101879322</v>
      </c>
      <c r="AH286" s="16"/>
      <c r="AI286" s="16"/>
      <c r="AJ286" s="16">
        <v>1011</v>
      </c>
      <c r="AK286" s="16">
        <f t="shared" si="144"/>
        <v>98</v>
      </c>
      <c r="AL286" s="16">
        <v>913</v>
      </c>
      <c r="AM286" s="16">
        <v>591</v>
      </c>
      <c r="AN286" s="16">
        <f t="shared" si="145"/>
        <v>322</v>
      </c>
      <c r="AO286" s="16"/>
      <c r="AP286" s="17"/>
      <c r="AQ286" s="94">
        <v>2016</v>
      </c>
      <c r="AR286" s="95" t="s">
        <v>40</v>
      </c>
      <c r="AS286" s="15">
        <f t="shared" si="127"/>
        <v>0.57936507936507942</v>
      </c>
      <c r="AT286" s="15">
        <f t="shared" si="128"/>
        <v>0.62014563106796117</v>
      </c>
      <c r="AU286" s="15">
        <f t="shared" si="129"/>
        <v>0.93424036281179135</v>
      </c>
      <c r="AV286" s="16"/>
      <c r="AW286" s="16"/>
      <c r="AX286" s="16">
        <v>882</v>
      </c>
      <c r="AY286" s="16">
        <f t="shared" si="146"/>
        <v>58</v>
      </c>
      <c r="AZ286" s="16">
        <v>824</v>
      </c>
      <c r="BA286" s="16">
        <v>511</v>
      </c>
      <c r="BB286" s="16">
        <f t="shared" si="147"/>
        <v>313</v>
      </c>
    </row>
    <row r="287" spans="1:54" s="18" customFormat="1" ht="15" customHeight="1">
      <c r="A287" s="96">
        <v>2016</v>
      </c>
      <c r="B287" s="97" t="s">
        <v>41</v>
      </c>
      <c r="C287" s="15">
        <f t="shared" si="130"/>
        <v>0.74110620618021295</v>
      </c>
      <c r="D287" s="15">
        <f t="shared" si="131"/>
        <v>0.8266473569876901</v>
      </c>
      <c r="E287" s="15">
        <f t="shared" si="132"/>
        <v>0.89652038431576209</v>
      </c>
      <c r="F287" s="16">
        <f>+Tabla2[[#This Row],[Trenes Programados por Día Hábil]]+Tabla9[[#This Row],[Trenes Programados por Día Hábil]]+Tabla10[[#This Row],[Trenes Programados por Día Hábil]]</f>
        <v>0</v>
      </c>
      <c r="G287" s="33">
        <f>+(Tabla2[[#This Row],[Coches por Tren Día Hábil]]*Tabla2[[#This Row],[Trenes Corridos]]+Tabla9[[#This Row],[Coches por Tren Día Hábil]]*Tabla9[[#This Row],[Trenes Corridos]]+Tabla10[[#This Row],[Coches por Tren Día Hábil]]*Tabla10[[#This Row],[Trenes Corridos]])/SARM[[#This Row],[Trenes Corridos]]</f>
        <v>0</v>
      </c>
      <c r="H287" s="16">
        <f t="shared" si="133"/>
        <v>7702</v>
      </c>
      <c r="I287" s="16">
        <f t="shared" si="119"/>
        <v>797</v>
      </c>
      <c r="J287" s="16">
        <f t="shared" si="135"/>
        <v>6905</v>
      </c>
      <c r="K287" s="16">
        <f t="shared" si="134"/>
        <v>5708</v>
      </c>
      <c r="L287" s="16">
        <f t="shared" si="120"/>
        <v>1197</v>
      </c>
      <c r="M287" s="16"/>
      <c r="N287" s="17"/>
      <c r="O287" s="96">
        <v>2016</v>
      </c>
      <c r="P287" s="97" t="s">
        <v>41</v>
      </c>
      <c r="Q287" s="15">
        <f t="shared" si="121"/>
        <v>0.78915046059365401</v>
      </c>
      <c r="R287" s="15">
        <f t="shared" si="122"/>
        <v>0.88876080691642656</v>
      </c>
      <c r="S287" s="15">
        <f t="shared" si="123"/>
        <v>0.88792221084953937</v>
      </c>
      <c r="T287" s="16"/>
      <c r="U287" s="16"/>
      <c r="V287" s="16">
        <v>5862</v>
      </c>
      <c r="W287" s="16">
        <f t="shared" si="142"/>
        <v>657</v>
      </c>
      <c r="X287" s="16">
        <v>5205</v>
      </c>
      <c r="Y287" s="16">
        <v>4626</v>
      </c>
      <c r="Z287" s="16">
        <f t="shared" si="143"/>
        <v>579</v>
      </c>
      <c r="AA287" s="16"/>
      <c r="AB287" s="17"/>
      <c r="AC287" s="96">
        <v>2016</v>
      </c>
      <c r="AD287" s="97" t="s">
        <v>41</v>
      </c>
      <c r="AE287" s="15">
        <f t="shared" si="124"/>
        <v>0.56326530612244896</v>
      </c>
      <c r="AF287" s="15">
        <f t="shared" si="125"/>
        <v>0.62232243517474639</v>
      </c>
      <c r="AG287" s="15">
        <f t="shared" si="126"/>
        <v>0.9051020408163265</v>
      </c>
      <c r="AH287" s="16"/>
      <c r="AI287" s="16"/>
      <c r="AJ287" s="16">
        <v>980</v>
      </c>
      <c r="AK287" s="16">
        <f t="shared" si="144"/>
        <v>93</v>
      </c>
      <c r="AL287" s="16">
        <v>887</v>
      </c>
      <c r="AM287" s="16">
        <v>552</v>
      </c>
      <c r="AN287" s="16">
        <f t="shared" si="145"/>
        <v>335</v>
      </c>
      <c r="AO287" s="16"/>
      <c r="AP287" s="17"/>
      <c r="AQ287" s="96">
        <v>2016</v>
      </c>
      <c r="AR287" s="97" t="s">
        <v>41</v>
      </c>
      <c r="AS287" s="15">
        <f t="shared" si="127"/>
        <v>0.61627906976744184</v>
      </c>
      <c r="AT287" s="15">
        <f t="shared" si="128"/>
        <v>0.6519065190651907</v>
      </c>
      <c r="AU287" s="15">
        <f t="shared" si="129"/>
        <v>0.9453488372093023</v>
      </c>
      <c r="AV287" s="16"/>
      <c r="AW287" s="16"/>
      <c r="AX287" s="16">
        <v>860</v>
      </c>
      <c r="AY287" s="16">
        <f t="shared" si="146"/>
        <v>47</v>
      </c>
      <c r="AZ287" s="16">
        <v>813</v>
      </c>
      <c r="BA287" s="16">
        <v>530</v>
      </c>
      <c r="BB287" s="16">
        <f t="shared" si="147"/>
        <v>283</v>
      </c>
    </row>
    <row r="288" spans="1:54" s="18" customFormat="1" ht="15" customHeight="1">
      <c r="A288" s="94">
        <v>2016</v>
      </c>
      <c r="B288" s="95" t="s">
        <v>42</v>
      </c>
      <c r="C288" s="15">
        <f t="shared" si="130"/>
        <v>0.75484036414924993</v>
      </c>
      <c r="D288" s="15">
        <f t="shared" si="131"/>
        <v>0.84692849949647531</v>
      </c>
      <c r="E288" s="15">
        <f t="shared" si="132"/>
        <v>0.89126811129632</v>
      </c>
      <c r="F288" s="16">
        <f>+Tabla2[[#This Row],[Trenes Programados por Día Hábil]]+Tabla9[[#This Row],[Trenes Programados por Día Hábil]]+Tabla10[[#This Row],[Trenes Programados por Día Hábil]]</f>
        <v>0</v>
      </c>
      <c r="G288" s="33">
        <f>+(Tabla2[[#This Row],[Coches por Tren Día Hábil]]*Tabla2[[#This Row],[Trenes Corridos]]+Tabla9[[#This Row],[Coches por Tren Día Hábil]]*Tabla9[[#This Row],[Trenes Corridos]]+Tabla10[[#This Row],[Coches por Tren Día Hábil]]*Tabla10[[#This Row],[Trenes Corridos]])/SARM[[#This Row],[Trenes Corridos]]</f>
        <v>0</v>
      </c>
      <c r="H288" s="16">
        <f t="shared" si="133"/>
        <v>7799</v>
      </c>
      <c r="I288" s="16">
        <f t="shared" si="119"/>
        <v>848</v>
      </c>
      <c r="J288" s="16">
        <f t="shared" si="135"/>
        <v>6951</v>
      </c>
      <c r="K288" s="16">
        <f t="shared" si="134"/>
        <v>5887</v>
      </c>
      <c r="L288" s="16">
        <f t="shared" si="120"/>
        <v>1064</v>
      </c>
      <c r="M288" s="16"/>
      <c r="N288" s="17"/>
      <c r="O288" s="94">
        <v>2016</v>
      </c>
      <c r="P288" s="95" t="s">
        <v>42</v>
      </c>
      <c r="Q288" s="15">
        <f t="shared" si="121"/>
        <v>0.7861730899256254</v>
      </c>
      <c r="R288" s="15">
        <f t="shared" si="122"/>
        <v>0.88844317096466097</v>
      </c>
      <c r="S288" s="15">
        <f t="shared" si="123"/>
        <v>0.88488843813387419</v>
      </c>
      <c r="T288" s="16"/>
      <c r="U288" s="16"/>
      <c r="V288" s="16">
        <v>5916</v>
      </c>
      <c r="W288" s="16">
        <f t="shared" si="142"/>
        <v>681</v>
      </c>
      <c r="X288" s="16">
        <v>5235</v>
      </c>
      <c r="Y288" s="16">
        <v>4651</v>
      </c>
      <c r="Z288" s="16">
        <f t="shared" si="143"/>
        <v>584</v>
      </c>
      <c r="AA288" s="16"/>
      <c r="AB288" s="17"/>
      <c r="AC288" s="94">
        <v>2016</v>
      </c>
      <c r="AD288" s="95" t="s">
        <v>42</v>
      </c>
      <c r="AE288" s="15">
        <f t="shared" si="124"/>
        <v>0.65113974231912786</v>
      </c>
      <c r="AF288" s="15">
        <f t="shared" si="125"/>
        <v>0.73407821229050274</v>
      </c>
      <c r="AG288" s="15">
        <f t="shared" si="126"/>
        <v>0.8870168483647175</v>
      </c>
      <c r="AH288" s="16"/>
      <c r="AI288" s="16"/>
      <c r="AJ288" s="16">
        <v>1009</v>
      </c>
      <c r="AK288" s="16">
        <f t="shared" si="144"/>
        <v>114</v>
      </c>
      <c r="AL288" s="16">
        <v>895</v>
      </c>
      <c r="AM288" s="16">
        <v>657</v>
      </c>
      <c r="AN288" s="16">
        <f t="shared" si="145"/>
        <v>238</v>
      </c>
      <c r="AO288" s="16"/>
      <c r="AP288" s="17"/>
      <c r="AQ288" s="94">
        <v>2016</v>
      </c>
      <c r="AR288" s="95" t="s">
        <v>42</v>
      </c>
      <c r="AS288" s="15">
        <f t="shared" si="127"/>
        <v>0.6624713958810069</v>
      </c>
      <c r="AT288" s="15">
        <f t="shared" si="128"/>
        <v>0.70523751522533495</v>
      </c>
      <c r="AU288" s="15">
        <f t="shared" si="129"/>
        <v>0.9393592677345538</v>
      </c>
      <c r="AV288" s="16"/>
      <c r="AW288" s="16"/>
      <c r="AX288" s="16">
        <v>874</v>
      </c>
      <c r="AY288" s="16">
        <f t="shared" si="146"/>
        <v>53</v>
      </c>
      <c r="AZ288" s="16">
        <v>821</v>
      </c>
      <c r="BA288" s="16">
        <v>579</v>
      </c>
      <c r="BB288" s="16">
        <f t="shared" si="147"/>
        <v>242</v>
      </c>
    </row>
    <row r="289" spans="1:54" s="18" customFormat="1" ht="15" customHeight="1">
      <c r="A289" s="96">
        <v>2016</v>
      </c>
      <c r="B289" s="97" t="s">
        <v>43</v>
      </c>
      <c r="C289" s="15">
        <f t="shared" si="130"/>
        <v>0.85191222570532921</v>
      </c>
      <c r="D289" s="15">
        <f t="shared" si="131"/>
        <v>0.87191991786447642</v>
      </c>
      <c r="E289" s="15">
        <f t="shared" si="132"/>
        <v>0.97705329153605014</v>
      </c>
      <c r="F289" s="16">
        <f>+Tabla2[[#This Row],[Trenes Programados por Día Hábil]]+Tabla9[[#This Row],[Trenes Programados por Día Hábil]]+Tabla10[[#This Row],[Trenes Programados por Día Hábil]]</f>
        <v>0</v>
      </c>
      <c r="G289" s="33">
        <f>+(Tabla2[[#This Row],[Coches por Tren Día Hábil]]*Tabla2[[#This Row],[Trenes Corridos]]+Tabla9[[#This Row],[Coches por Tren Día Hábil]]*Tabla9[[#This Row],[Trenes Corridos]]+Tabla10[[#This Row],[Coches por Tren Día Hábil]]*Tabla10[[#This Row],[Trenes Corridos]])/SARM[[#This Row],[Trenes Corridos]]</f>
        <v>0</v>
      </c>
      <c r="H289" s="16">
        <f t="shared" si="133"/>
        <v>7975</v>
      </c>
      <c r="I289" s="16">
        <f t="shared" si="119"/>
        <v>183</v>
      </c>
      <c r="J289" s="16">
        <f t="shared" si="135"/>
        <v>7792</v>
      </c>
      <c r="K289" s="16">
        <f t="shared" si="134"/>
        <v>6794</v>
      </c>
      <c r="L289" s="16">
        <f t="shared" si="120"/>
        <v>998</v>
      </c>
      <c r="M289" s="16"/>
      <c r="N289" s="17"/>
      <c r="O289" s="96">
        <v>2016</v>
      </c>
      <c r="P289" s="97" t="s">
        <v>43</v>
      </c>
      <c r="Q289" s="15">
        <f t="shared" si="121"/>
        <v>0.88010540184453223</v>
      </c>
      <c r="R289" s="15">
        <f t="shared" si="122"/>
        <v>0.89424364123159306</v>
      </c>
      <c r="S289" s="15">
        <f t="shared" si="123"/>
        <v>0.98418972332015808</v>
      </c>
      <c r="T289" s="16"/>
      <c r="U289" s="16"/>
      <c r="V289" s="16">
        <v>6072</v>
      </c>
      <c r="W289" s="16">
        <f t="shared" si="142"/>
        <v>96</v>
      </c>
      <c r="X289" s="16">
        <v>5976</v>
      </c>
      <c r="Y289" s="16">
        <v>5344</v>
      </c>
      <c r="Z289" s="16">
        <f t="shared" si="143"/>
        <v>632</v>
      </c>
      <c r="AA289" s="16"/>
      <c r="AB289" s="17"/>
      <c r="AC289" s="96">
        <v>2016</v>
      </c>
      <c r="AD289" s="97" t="s">
        <v>43</v>
      </c>
      <c r="AE289" s="15">
        <f t="shared" si="124"/>
        <v>0.85192497532082923</v>
      </c>
      <c r="AF289" s="15">
        <f t="shared" si="125"/>
        <v>0.890608875128999</v>
      </c>
      <c r="AG289" s="15">
        <f t="shared" si="126"/>
        <v>0.95656465942744329</v>
      </c>
      <c r="AH289" s="16"/>
      <c r="AI289" s="16"/>
      <c r="AJ289" s="16">
        <v>1013</v>
      </c>
      <c r="AK289" s="16">
        <f t="shared" si="144"/>
        <v>44</v>
      </c>
      <c r="AL289" s="16">
        <v>969</v>
      </c>
      <c r="AM289" s="16">
        <v>863</v>
      </c>
      <c r="AN289" s="16">
        <f t="shared" si="145"/>
        <v>106</v>
      </c>
      <c r="AO289" s="16"/>
      <c r="AP289" s="17"/>
      <c r="AQ289" s="96">
        <v>2016</v>
      </c>
      <c r="AR289" s="97" t="s">
        <v>43</v>
      </c>
      <c r="AS289" s="15">
        <f t="shared" si="127"/>
        <v>0.65955056179775284</v>
      </c>
      <c r="AT289" s="15">
        <f t="shared" si="128"/>
        <v>0.69303423848878398</v>
      </c>
      <c r="AU289" s="15">
        <f t="shared" si="129"/>
        <v>0.95168539325842694</v>
      </c>
      <c r="AV289" s="16"/>
      <c r="AW289" s="16"/>
      <c r="AX289" s="16">
        <v>890</v>
      </c>
      <c r="AY289" s="16">
        <f t="shared" si="146"/>
        <v>43</v>
      </c>
      <c r="AZ289" s="16">
        <v>847</v>
      </c>
      <c r="BA289" s="16">
        <v>587</v>
      </c>
      <c r="BB289" s="16">
        <f t="shared" si="147"/>
        <v>260</v>
      </c>
    </row>
    <row r="290" spans="1:54" s="18" customFormat="1" ht="15" customHeight="1">
      <c r="A290" s="94">
        <v>2016</v>
      </c>
      <c r="B290" s="95" t="s">
        <v>44</v>
      </c>
      <c r="C290" s="15">
        <f t="shared" si="130"/>
        <v>0.86931964056482669</v>
      </c>
      <c r="D290" s="15">
        <f t="shared" si="131"/>
        <v>0.8905839032088374</v>
      </c>
      <c r="E290" s="15">
        <f t="shared" si="132"/>
        <v>0.97612323491655972</v>
      </c>
      <c r="F290" s="16">
        <f>+Tabla2[[#This Row],[Trenes Programados por Día Hábil]]+Tabla9[[#This Row],[Trenes Programados por Día Hábil]]+Tabla10[[#This Row],[Trenes Programados por Día Hábil]]</f>
        <v>0</v>
      </c>
      <c r="G290" s="33">
        <f>+(Tabla2[[#This Row],[Coches por Tren Día Hábil]]*Tabla2[[#This Row],[Trenes Corridos]]+Tabla9[[#This Row],[Coches por Tren Día Hábil]]*Tabla9[[#This Row],[Trenes Corridos]]+Tabla10[[#This Row],[Coches por Tren Día Hábil]]*Tabla10[[#This Row],[Trenes Corridos]])/SARM[[#This Row],[Trenes Corridos]]</f>
        <v>0</v>
      </c>
      <c r="H290" s="16">
        <f t="shared" si="133"/>
        <v>7790</v>
      </c>
      <c r="I290" s="16">
        <f t="shared" si="119"/>
        <v>186</v>
      </c>
      <c r="J290" s="16">
        <f t="shared" si="135"/>
        <v>7604</v>
      </c>
      <c r="K290" s="16">
        <f t="shared" si="134"/>
        <v>6772</v>
      </c>
      <c r="L290" s="16">
        <f t="shared" si="120"/>
        <v>832</v>
      </c>
      <c r="M290" s="16"/>
      <c r="N290" s="17"/>
      <c r="O290" s="94">
        <v>2016</v>
      </c>
      <c r="P290" s="95" t="s">
        <v>44</v>
      </c>
      <c r="Q290" s="15">
        <f t="shared" si="121"/>
        <v>0.87962962962962965</v>
      </c>
      <c r="R290" s="15">
        <f t="shared" si="122"/>
        <v>0.89838376891334248</v>
      </c>
      <c r="S290" s="15">
        <f t="shared" si="123"/>
        <v>0.97912457912457918</v>
      </c>
      <c r="T290" s="16"/>
      <c r="U290" s="16"/>
      <c r="V290" s="16">
        <v>5940</v>
      </c>
      <c r="W290" s="16">
        <f t="shared" si="142"/>
        <v>124</v>
      </c>
      <c r="X290" s="16">
        <v>5816</v>
      </c>
      <c r="Y290" s="16">
        <v>5225</v>
      </c>
      <c r="Z290" s="16">
        <f t="shared" si="143"/>
        <v>591</v>
      </c>
      <c r="AA290" s="16"/>
      <c r="AB290" s="17"/>
      <c r="AC290" s="94">
        <v>2016</v>
      </c>
      <c r="AD290" s="95" t="s">
        <v>44</v>
      </c>
      <c r="AE290" s="15">
        <f t="shared" si="124"/>
        <v>0.87270875763747457</v>
      </c>
      <c r="AF290" s="15">
        <f t="shared" si="125"/>
        <v>0.91073326248671627</v>
      </c>
      <c r="AG290" s="15">
        <f t="shared" si="126"/>
        <v>0.9582484725050916</v>
      </c>
      <c r="AH290" s="16"/>
      <c r="AI290" s="16"/>
      <c r="AJ290" s="16">
        <v>982</v>
      </c>
      <c r="AK290" s="16">
        <f t="shared" si="144"/>
        <v>41</v>
      </c>
      <c r="AL290" s="16">
        <v>941</v>
      </c>
      <c r="AM290" s="16">
        <v>857</v>
      </c>
      <c r="AN290" s="16">
        <f t="shared" si="145"/>
        <v>84</v>
      </c>
      <c r="AO290" s="16"/>
      <c r="AP290" s="17"/>
      <c r="AQ290" s="94">
        <v>2016</v>
      </c>
      <c r="AR290" s="95" t="s">
        <v>44</v>
      </c>
      <c r="AS290" s="15">
        <f t="shared" si="127"/>
        <v>0.79493087557603692</v>
      </c>
      <c r="AT290" s="15">
        <f t="shared" si="128"/>
        <v>0.81463990554899646</v>
      </c>
      <c r="AU290" s="15">
        <f t="shared" si="129"/>
        <v>0.97580645161290325</v>
      </c>
      <c r="AV290" s="16"/>
      <c r="AW290" s="16"/>
      <c r="AX290" s="16">
        <v>868</v>
      </c>
      <c r="AY290" s="16">
        <f t="shared" si="146"/>
        <v>21</v>
      </c>
      <c r="AZ290" s="16">
        <v>847</v>
      </c>
      <c r="BA290" s="16">
        <v>690</v>
      </c>
      <c r="BB290" s="16">
        <f t="shared" si="147"/>
        <v>157</v>
      </c>
    </row>
    <row r="291" spans="1:54" s="18" customFormat="1" ht="15" customHeight="1">
      <c r="A291" s="96">
        <v>2016</v>
      </c>
      <c r="B291" s="97" t="s">
        <v>45</v>
      </c>
      <c r="C291" s="15">
        <f t="shared" si="130"/>
        <v>0.84101587301587299</v>
      </c>
      <c r="D291" s="15">
        <f t="shared" si="131"/>
        <v>0.89330995414081471</v>
      </c>
      <c r="E291" s="15">
        <f t="shared" si="132"/>
        <v>0.94146031746031744</v>
      </c>
      <c r="F291" s="16">
        <f>+Tabla2[[#This Row],[Trenes Programados por Día Hábil]]+Tabla9[[#This Row],[Trenes Programados por Día Hábil]]+Tabla10[[#This Row],[Trenes Programados por Día Hábil]]</f>
        <v>0</v>
      </c>
      <c r="G291" s="33">
        <f>+(Tabla2[[#This Row],[Coches por Tren Día Hábil]]*Tabla2[[#This Row],[Trenes Corridos]]+Tabla9[[#This Row],[Coches por Tren Día Hábil]]*Tabla9[[#This Row],[Trenes Corridos]]+Tabla10[[#This Row],[Coches por Tren Día Hábil]]*Tabla10[[#This Row],[Trenes Corridos]])/SARM[[#This Row],[Trenes Corridos]]</f>
        <v>0</v>
      </c>
      <c r="H291" s="16">
        <f t="shared" si="133"/>
        <v>7875</v>
      </c>
      <c r="I291" s="16">
        <f t="shared" si="119"/>
        <v>461</v>
      </c>
      <c r="J291" s="16">
        <f t="shared" si="135"/>
        <v>7414</v>
      </c>
      <c r="K291" s="16">
        <f t="shared" si="134"/>
        <v>6623</v>
      </c>
      <c r="L291" s="16">
        <f t="shared" si="120"/>
        <v>791</v>
      </c>
      <c r="M291" s="16"/>
      <c r="N291" s="17"/>
      <c r="O291" s="96">
        <v>2016</v>
      </c>
      <c r="P291" s="97" t="s">
        <v>45</v>
      </c>
      <c r="Q291" s="15">
        <f t="shared" si="121"/>
        <v>0.85289200936141762</v>
      </c>
      <c r="R291" s="15">
        <f t="shared" si="122"/>
        <v>0.90863757791629562</v>
      </c>
      <c r="S291" s="15">
        <f t="shared" si="123"/>
        <v>0.93864928117686397</v>
      </c>
      <c r="T291" s="16"/>
      <c r="U291" s="16"/>
      <c r="V291" s="16">
        <v>5982</v>
      </c>
      <c r="W291" s="16">
        <f t="shared" si="142"/>
        <v>367</v>
      </c>
      <c r="X291" s="16">
        <v>5615</v>
      </c>
      <c r="Y291" s="16">
        <v>5102</v>
      </c>
      <c r="Z291" s="16">
        <f t="shared" si="143"/>
        <v>513</v>
      </c>
      <c r="AA291" s="16"/>
      <c r="AB291" s="17"/>
      <c r="AC291" s="96">
        <v>2016</v>
      </c>
      <c r="AD291" s="97" t="s">
        <v>45</v>
      </c>
      <c r="AE291" s="15">
        <f t="shared" si="124"/>
        <v>0.89020771513353114</v>
      </c>
      <c r="AF291" s="15">
        <f t="shared" si="125"/>
        <v>0.9375</v>
      </c>
      <c r="AG291" s="15">
        <f t="shared" si="126"/>
        <v>0.94955489614243327</v>
      </c>
      <c r="AH291" s="16"/>
      <c r="AI291" s="16"/>
      <c r="AJ291" s="16">
        <v>1011</v>
      </c>
      <c r="AK291" s="16">
        <f t="shared" si="144"/>
        <v>51</v>
      </c>
      <c r="AL291" s="16">
        <v>960</v>
      </c>
      <c r="AM291" s="16">
        <v>900</v>
      </c>
      <c r="AN291" s="16">
        <f t="shared" si="145"/>
        <v>60</v>
      </c>
      <c r="AO291" s="16"/>
      <c r="AP291" s="17"/>
      <c r="AQ291" s="96">
        <v>2016</v>
      </c>
      <c r="AR291" s="97" t="s">
        <v>45</v>
      </c>
      <c r="AS291" s="15">
        <f t="shared" si="127"/>
        <v>0.70408163265306123</v>
      </c>
      <c r="AT291" s="15">
        <f t="shared" si="128"/>
        <v>0.74016686531585218</v>
      </c>
      <c r="AU291" s="15">
        <f t="shared" si="129"/>
        <v>0.9512471655328798</v>
      </c>
      <c r="AV291" s="16"/>
      <c r="AW291" s="16"/>
      <c r="AX291" s="16">
        <v>882</v>
      </c>
      <c r="AY291" s="16">
        <f t="shared" si="146"/>
        <v>43</v>
      </c>
      <c r="AZ291" s="16">
        <v>839</v>
      </c>
      <c r="BA291" s="16">
        <v>621</v>
      </c>
      <c r="BB291" s="16">
        <f t="shared" si="147"/>
        <v>218</v>
      </c>
    </row>
    <row r="292" spans="1:54" s="18" customFormat="1" ht="15" customHeight="1">
      <c r="A292" s="94">
        <v>2016</v>
      </c>
      <c r="B292" s="95" t="s">
        <v>46</v>
      </c>
      <c r="C292" s="15">
        <f t="shared" si="130"/>
        <v>0.85510257076084129</v>
      </c>
      <c r="D292" s="15">
        <f t="shared" si="131"/>
        <v>0.88154196225404902</v>
      </c>
      <c r="E292" s="15">
        <f t="shared" si="132"/>
        <v>0.97000779018436767</v>
      </c>
      <c r="F292" s="16">
        <f>+Tabla2[[#This Row],[Trenes Programados por Día Hábil]]+Tabla9[[#This Row],[Trenes Programados por Día Hábil]]+Tabla10[[#This Row],[Trenes Programados por Día Hábil]]</f>
        <v>0</v>
      </c>
      <c r="G292" s="33">
        <f>+(Tabla2[[#This Row],[Coches por Tren Día Hábil]]*Tabla2[[#This Row],[Trenes Corridos]]+Tabla9[[#This Row],[Coches por Tren Día Hábil]]*Tabla9[[#This Row],[Trenes Corridos]]+Tabla10[[#This Row],[Coches por Tren Día Hábil]]*Tabla10[[#This Row],[Trenes Corridos]])/SARM[[#This Row],[Trenes Corridos]]</f>
        <v>0</v>
      </c>
      <c r="H292" s="16">
        <f t="shared" si="133"/>
        <v>7702</v>
      </c>
      <c r="I292" s="16">
        <f t="shared" si="119"/>
        <v>231</v>
      </c>
      <c r="J292" s="16">
        <f t="shared" si="135"/>
        <v>7471</v>
      </c>
      <c r="K292" s="16">
        <f t="shared" si="134"/>
        <v>6586</v>
      </c>
      <c r="L292" s="16">
        <f t="shared" si="120"/>
        <v>885</v>
      </c>
      <c r="M292" s="16"/>
      <c r="N292" s="17"/>
      <c r="O292" s="94">
        <v>2016</v>
      </c>
      <c r="P292" s="95" t="s">
        <v>46</v>
      </c>
      <c r="Q292" s="15">
        <f t="shared" si="121"/>
        <v>0.86745138178096215</v>
      </c>
      <c r="R292" s="15">
        <f t="shared" si="122"/>
        <v>0.88820960698689955</v>
      </c>
      <c r="S292" s="15">
        <f t="shared" si="123"/>
        <v>0.97662913681337427</v>
      </c>
      <c r="T292" s="16"/>
      <c r="U292" s="16"/>
      <c r="V292" s="16">
        <v>5862</v>
      </c>
      <c r="W292" s="16">
        <f t="shared" si="142"/>
        <v>137</v>
      </c>
      <c r="X292" s="16">
        <v>5725</v>
      </c>
      <c r="Y292" s="16">
        <v>5085</v>
      </c>
      <c r="Z292" s="16">
        <f t="shared" si="143"/>
        <v>640</v>
      </c>
      <c r="AA292" s="16"/>
      <c r="AB292" s="17"/>
      <c r="AC292" s="94">
        <v>2016</v>
      </c>
      <c r="AD292" s="95" t="s">
        <v>46</v>
      </c>
      <c r="AE292" s="15">
        <f t="shared" si="124"/>
        <v>0.90612244897959182</v>
      </c>
      <c r="AF292" s="15">
        <f t="shared" si="125"/>
        <v>0.95792880258899671</v>
      </c>
      <c r="AG292" s="15">
        <f t="shared" si="126"/>
        <v>0.94591836734693879</v>
      </c>
      <c r="AH292" s="16"/>
      <c r="AI292" s="16"/>
      <c r="AJ292" s="16">
        <v>980</v>
      </c>
      <c r="AK292" s="16">
        <f t="shared" si="144"/>
        <v>53</v>
      </c>
      <c r="AL292" s="16">
        <v>927</v>
      </c>
      <c r="AM292" s="16">
        <v>888</v>
      </c>
      <c r="AN292" s="16">
        <f t="shared" si="145"/>
        <v>39</v>
      </c>
      <c r="AO292" s="16"/>
      <c r="AP292" s="17"/>
      <c r="AQ292" s="94">
        <v>2016</v>
      </c>
      <c r="AR292" s="95" t="s">
        <v>46</v>
      </c>
      <c r="AS292" s="15">
        <f t="shared" si="127"/>
        <v>0.71279069767441861</v>
      </c>
      <c r="AT292" s="15">
        <f t="shared" si="128"/>
        <v>0.74847374847374848</v>
      </c>
      <c r="AU292" s="15">
        <f t="shared" si="129"/>
        <v>0.95232558139534884</v>
      </c>
      <c r="AV292" s="16"/>
      <c r="AW292" s="16"/>
      <c r="AX292" s="16">
        <v>860</v>
      </c>
      <c r="AY292" s="16">
        <f t="shared" si="146"/>
        <v>41</v>
      </c>
      <c r="AZ292" s="16">
        <v>819</v>
      </c>
      <c r="BA292" s="16">
        <v>613</v>
      </c>
      <c r="BB292" s="16">
        <f t="shared" si="147"/>
        <v>206</v>
      </c>
    </row>
    <row r="293" spans="1:54" s="18" customFormat="1" ht="15" customHeight="1">
      <c r="A293" s="96">
        <v>2016</v>
      </c>
      <c r="B293" s="97" t="s">
        <v>47</v>
      </c>
      <c r="C293" s="15">
        <f t="shared" si="130"/>
        <v>0.86171428571428577</v>
      </c>
      <c r="D293" s="15">
        <f t="shared" si="131"/>
        <v>0.91517194875252861</v>
      </c>
      <c r="E293" s="15">
        <f t="shared" si="132"/>
        <v>0.94158730158730164</v>
      </c>
      <c r="F293" s="16">
        <f>+Tabla2[[#This Row],[Trenes Programados por Día Hábil]]+Tabla9[[#This Row],[Trenes Programados por Día Hábil]]+Tabla10[[#This Row],[Trenes Programados por Día Hábil]]</f>
        <v>0</v>
      </c>
      <c r="G293" s="33">
        <f>+(Tabla2[[#This Row],[Coches por Tren Día Hábil]]*Tabla2[[#This Row],[Trenes Corridos]]+Tabla9[[#This Row],[Coches por Tren Día Hábil]]*Tabla9[[#This Row],[Trenes Corridos]]+Tabla10[[#This Row],[Coches por Tren Día Hábil]]*Tabla10[[#This Row],[Trenes Corridos]])/SARM[[#This Row],[Trenes Corridos]]</f>
        <v>0</v>
      </c>
      <c r="H293" s="16">
        <f t="shared" si="133"/>
        <v>7875</v>
      </c>
      <c r="I293" s="16">
        <f t="shared" si="119"/>
        <v>460</v>
      </c>
      <c r="J293" s="16">
        <f t="shared" si="135"/>
        <v>7415</v>
      </c>
      <c r="K293" s="16">
        <f t="shared" si="134"/>
        <v>6786</v>
      </c>
      <c r="L293" s="16">
        <f t="shared" si="120"/>
        <v>629</v>
      </c>
      <c r="M293" s="16"/>
      <c r="N293" s="25"/>
      <c r="O293" s="96">
        <v>2016</v>
      </c>
      <c r="P293" s="97" t="s">
        <v>47</v>
      </c>
      <c r="Q293" s="15">
        <f t="shared" si="121"/>
        <v>0.87545971247074561</v>
      </c>
      <c r="R293" s="15">
        <f t="shared" si="122"/>
        <v>0.91828862002454847</v>
      </c>
      <c r="S293" s="15">
        <f t="shared" si="123"/>
        <v>0.95336008024072216</v>
      </c>
      <c r="T293" s="16"/>
      <c r="U293" s="16"/>
      <c r="V293" s="16">
        <v>5982</v>
      </c>
      <c r="W293" s="16">
        <f t="shared" si="142"/>
        <v>279</v>
      </c>
      <c r="X293" s="16">
        <v>5703</v>
      </c>
      <c r="Y293" s="16">
        <v>5237</v>
      </c>
      <c r="Z293" s="16">
        <f t="shared" si="143"/>
        <v>466</v>
      </c>
      <c r="AA293" s="16"/>
      <c r="AB293" s="17"/>
      <c r="AC293" s="96">
        <v>2016</v>
      </c>
      <c r="AD293" s="97" t="s">
        <v>47</v>
      </c>
      <c r="AE293" s="15">
        <f t="shared" si="124"/>
        <v>0.86350148367952517</v>
      </c>
      <c r="AF293" s="15">
        <f t="shared" si="125"/>
        <v>0.96251378169790514</v>
      </c>
      <c r="AG293" s="15">
        <f t="shared" si="126"/>
        <v>0.89713155291790303</v>
      </c>
      <c r="AH293" s="16"/>
      <c r="AI293" s="16"/>
      <c r="AJ293" s="16">
        <v>1011</v>
      </c>
      <c r="AK293" s="16">
        <f>AJ293-AL293</f>
        <v>104</v>
      </c>
      <c r="AL293" s="16">
        <v>907</v>
      </c>
      <c r="AM293" s="16">
        <v>873</v>
      </c>
      <c r="AN293" s="16">
        <f t="shared" si="145"/>
        <v>34</v>
      </c>
      <c r="AO293" s="16"/>
      <c r="AP293" s="17"/>
      <c r="AQ293" s="96">
        <v>2016</v>
      </c>
      <c r="AR293" s="97" t="s">
        <v>47</v>
      </c>
      <c r="AS293" s="15">
        <f t="shared" si="127"/>
        <v>0.76643990929705219</v>
      </c>
      <c r="AT293" s="15">
        <f t="shared" si="128"/>
        <v>0.83975155279503111</v>
      </c>
      <c r="AU293" s="15">
        <f t="shared" si="129"/>
        <v>0.91269841269841268</v>
      </c>
      <c r="AV293" s="16"/>
      <c r="AW293" s="16"/>
      <c r="AX293" s="16">
        <v>882</v>
      </c>
      <c r="AY293" s="16">
        <f>AX293-AZ293</f>
        <v>77</v>
      </c>
      <c r="AZ293" s="16">
        <v>805</v>
      </c>
      <c r="BA293" s="16">
        <v>676</v>
      </c>
      <c r="BB293" s="16">
        <f t="shared" si="147"/>
        <v>129</v>
      </c>
    </row>
    <row r="294" spans="1:54" s="18" customFormat="1" ht="15" customHeight="1">
      <c r="A294" s="94">
        <v>2017</v>
      </c>
      <c r="B294" s="95" t="s">
        <v>36</v>
      </c>
      <c r="C294" s="15">
        <f t="shared" si="130"/>
        <v>0.90445141065830725</v>
      </c>
      <c r="D294" s="15">
        <f t="shared" si="131"/>
        <v>0.93323845258118776</v>
      </c>
      <c r="E294" s="15">
        <f t="shared" si="132"/>
        <v>0.96915360501567394</v>
      </c>
      <c r="F294" s="16">
        <f>+Tabla2[[#This Row],[Trenes Programados por Día Hábil]]+Tabla9[[#This Row],[Trenes Programados por Día Hábil]]+Tabla10[[#This Row],[Trenes Programados por Día Hábil]]</f>
        <v>0</v>
      </c>
      <c r="G294" s="33">
        <f>+(Tabla2[[#This Row],[Coches por Tren Día Hábil]]*Tabla2[[#This Row],[Trenes Corridos]]+Tabla9[[#This Row],[Coches por Tren Día Hábil]]*Tabla9[[#This Row],[Trenes Corridos]]+Tabla10[[#This Row],[Coches por Tren Día Hábil]]*Tabla10[[#This Row],[Trenes Corridos]])/SARM[[#This Row],[Trenes Corridos]]</f>
        <v>0</v>
      </c>
      <c r="H294" s="16">
        <f t="shared" si="133"/>
        <v>7975</v>
      </c>
      <c r="I294" s="16">
        <f t="shared" si="119"/>
        <v>246</v>
      </c>
      <c r="J294" s="16">
        <f t="shared" si="135"/>
        <v>7729</v>
      </c>
      <c r="K294" s="16">
        <f t="shared" si="134"/>
        <v>7213</v>
      </c>
      <c r="L294" s="16">
        <f t="shared" si="120"/>
        <v>516</v>
      </c>
      <c r="M294" s="16"/>
      <c r="N294" s="17"/>
      <c r="O294" s="94">
        <v>2017</v>
      </c>
      <c r="P294" s="95" t="s">
        <v>36</v>
      </c>
      <c r="Q294" s="15">
        <f t="shared" si="121"/>
        <v>0.92177206851119897</v>
      </c>
      <c r="R294" s="15">
        <f t="shared" si="122"/>
        <v>0.93893642006374767</v>
      </c>
      <c r="S294" s="15">
        <f t="shared" si="123"/>
        <v>0.98171936758893286</v>
      </c>
      <c r="T294" s="16"/>
      <c r="U294" s="16"/>
      <c r="V294" s="16">
        <v>6072</v>
      </c>
      <c r="W294" s="16">
        <f t="shared" ref="W294:W305" si="148">V294-X294</f>
        <v>111</v>
      </c>
      <c r="X294" s="16">
        <v>5961</v>
      </c>
      <c r="Y294" s="16">
        <v>5597</v>
      </c>
      <c r="Z294" s="16">
        <f t="shared" ref="Z294:Z305" si="149">X294-Y294</f>
        <v>364</v>
      </c>
      <c r="AA294" s="16"/>
      <c r="AB294" s="17"/>
      <c r="AC294" s="94">
        <v>2017</v>
      </c>
      <c r="AD294" s="95" t="s">
        <v>36</v>
      </c>
      <c r="AE294" s="15">
        <f t="shared" si="124"/>
        <v>0.87166831194471861</v>
      </c>
      <c r="AF294" s="15">
        <f t="shared" si="125"/>
        <v>0.95770065075921906</v>
      </c>
      <c r="AG294" s="15">
        <f t="shared" si="126"/>
        <v>0.910167818361303</v>
      </c>
      <c r="AH294" s="16"/>
      <c r="AI294" s="16"/>
      <c r="AJ294" s="16">
        <v>1013</v>
      </c>
      <c r="AK294" s="16">
        <f t="shared" ref="AK294:AK305" si="150">AJ294-AL294</f>
        <v>91</v>
      </c>
      <c r="AL294" s="16">
        <v>922</v>
      </c>
      <c r="AM294" s="16">
        <v>883</v>
      </c>
      <c r="AN294" s="16">
        <f t="shared" ref="AN294:AN305" si="151">AL294-AM294</f>
        <v>39</v>
      </c>
      <c r="AO294" s="16"/>
      <c r="AP294" s="17"/>
      <c r="AQ294" s="94">
        <v>2017</v>
      </c>
      <c r="AR294" s="95" t="s">
        <v>36</v>
      </c>
      <c r="AS294" s="15">
        <f t="shared" si="127"/>
        <v>0.82359550561797756</v>
      </c>
      <c r="AT294" s="15">
        <f t="shared" si="128"/>
        <v>0.8664302600472813</v>
      </c>
      <c r="AU294" s="15">
        <f t="shared" si="129"/>
        <v>0.95056179775280902</v>
      </c>
      <c r="AV294" s="16"/>
      <c r="AW294" s="16"/>
      <c r="AX294" s="16">
        <v>890</v>
      </c>
      <c r="AY294" s="16">
        <f t="shared" ref="AY294:AY305" si="152">AX294-AZ294</f>
        <v>44</v>
      </c>
      <c r="AZ294" s="16">
        <v>846</v>
      </c>
      <c r="BA294" s="16">
        <v>733</v>
      </c>
      <c r="BB294" s="16">
        <f t="shared" ref="BB294:BB305" si="153">AZ294-BA294</f>
        <v>113</v>
      </c>
    </row>
    <row r="295" spans="1:54" s="18" customFormat="1" ht="15" customHeight="1">
      <c r="A295" s="96">
        <v>2017</v>
      </c>
      <c r="B295" s="97" t="s">
        <v>37</v>
      </c>
      <c r="C295" s="15">
        <f t="shared" si="130"/>
        <v>0.86700622524052062</v>
      </c>
      <c r="D295" s="15">
        <f t="shared" si="131"/>
        <v>0.91421751454572575</v>
      </c>
      <c r="E295" s="15">
        <f t="shared" si="132"/>
        <v>0.94835880022637242</v>
      </c>
      <c r="F295" s="16">
        <f>+Tabla2[[#This Row],[Trenes Programados por Día Hábil]]+Tabla9[[#This Row],[Trenes Programados por Día Hábil]]+Tabla10[[#This Row],[Trenes Programados por Día Hábil]]</f>
        <v>0</v>
      </c>
      <c r="G295" s="33">
        <f>+(Tabla2[[#This Row],[Coches por Tren Día Hábil]]*Tabla2[[#This Row],[Trenes Corridos]]+Tabla9[[#This Row],[Coches por Tren Día Hábil]]*Tabla9[[#This Row],[Trenes Corridos]]+Tabla10[[#This Row],[Coches por Tren Día Hábil]]*Tabla10[[#This Row],[Trenes Corridos]])/SARM[[#This Row],[Trenes Corridos]]</f>
        <v>0</v>
      </c>
      <c r="H295" s="16">
        <f t="shared" si="133"/>
        <v>7068</v>
      </c>
      <c r="I295" s="16">
        <f t="shared" si="119"/>
        <v>365</v>
      </c>
      <c r="J295" s="16">
        <f t="shared" si="135"/>
        <v>6703</v>
      </c>
      <c r="K295" s="16">
        <f t="shared" si="134"/>
        <v>6128</v>
      </c>
      <c r="L295" s="16">
        <f t="shared" si="120"/>
        <v>575</v>
      </c>
      <c r="M295" s="16"/>
      <c r="N295" s="17"/>
      <c r="O295" s="96">
        <v>2017</v>
      </c>
      <c r="P295" s="97" t="s">
        <v>37</v>
      </c>
      <c r="Q295" s="15">
        <f t="shared" si="121"/>
        <v>0.913124533929903</v>
      </c>
      <c r="R295" s="15">
        <f t="shared" si="122"/>
        <v>0.94083749519784865</v>
      </c>
      <c r="S295" s="15">
        <f t="shared" si="123"/>
        <v>0.9705443698732289</v>
      </c>
      <c r="T295" s="16"/>
      <c r="U295" s="16"/>
      <c r="V295" s="16">
        <v>5364</v>
      </c>
      <c r="W295" s="16">
        <f t="shared" si="148"/>
        <v>158</v>
      </c>
      <c r="X295" s="16">
        <v>5206</v>
      </c>
      <c r="Y295" s="16">
        <v>4898</v>
      </c>
      <c r="Z295" s="16">
        <f t="shared" si="149"/>
        <v>308</v>
      </c>
      <c r="AA295" s="16"/>
      <c r="AB295" s="17"/>
      <c r="AC295" s="96">
        <v>2017</v>
      </c>
      <c r="AD295" s="97" t="s">
        <v>37</v>
      </c>
      <c r="AE295" s="15">
        <f t="shared" si="124"/>
        <v>0.76315789473684215</v>
      </c>
      <c r="AF295" s="15">
        <f t="shared" si="125"/>
        <v>0.86674968866749691</v>
      </c>
      <c r="AG295" s="15">
        <f t="shared" si="126"/>
        <v>0.88048245614035092</v>
      </c>
      <c r="AH295" s="16"/>
      <c r="AI295" s="16"/>
      <c r="AJ295" s="16">
        <v>912</v>
      </c>
      <c r="AK295" s="16">
        <f t="shared" si="150"/>
        <v>109</v>
      </c>
      <c r="AL295" s="16">
        <v>803</v>
      </c>
      <c r="AM295" s="16">
        <v>696</v>
      </c>
      <c r="AN295" s="16">
        <f t="shared" si="151"/>
        <v>107</v>
      </c>
      <c r="AO295" s="16"/>
      <c r="AP295" s="17"/>
      <c r="AQ295" s="96">
        <v>2017</v>
      </c>
      <c r="AR295" s="97" t="s">
        <v>37</v>
      </c>
      <c r="AS295" s="15">
        <f t="shared" si="127"/>
        <v>0.6742424242424242</v>
      </c>
      <c r="AT295" s="15">
        <f t="shared" si="128"/>
        <v>0.7694524495677233</v>
      </c>
      <c r="AU295" s="15">
        <f t="shared" si="129"/>
        <v>0.8762626262626263</v>
      </c>
      <c r="AV295" s="16"/>
      <c r="AW295" s="16"/>
      <c r="AX295" s="16">
        <v>792</v>
      </c>
      <c r="AY295" s="16">
        <f t="shared" si="152"/>
        <v>98</v>
      </c>
      <c r="AZ295" s="16">
        <v>694</v>
      </c>
      <c r="BA295" s="16">
        <v>534</v>
      </c>
      <c r="BB295" s="16">
        <f t="shared" si="153"/>
        <v>160</v>
      </c>
    </row>
    <row r="296" spans="1:54" s="18" customFormat="1" ht="15" customHeight="1">
      <c r="A296" s="94">
        <v>2017</v>
      </c>
      <c r="B296" s="95" t="s">
        <v>38</v>
      </c>
      <c r="C296" s="15">
        <f t="shared" si="130"/>
        <v>0.84827586206896555</v>
      </c>
      <c r="D296" s="15">
        <f t="shared" si="131"/>
        <v>0.88154808444096955</v>
      </c>
      <c r="E296" s="15">
        <f t="shared" si="132"/>
        <v>0.9622570532915361</v>
      </c>
      <c r="F296" s="16">
        <f>+Tabla2[[#This Row],[Trenes Programados por Día Hábil]]+Tabla9[[#This Row],[Trenes Programados por Día Hábil]]+Tabla10[[#This Row],[Trenes Programados por Día Hábil]]</f>
        <v>0</v>
      </c>
      <c r="G296" s="33">
        <f>+(Tabla2[[#This Row],[Coches por Tren Día Hábil]]*Tabla2[[#This Row],[Trenes Corridos]]+Tabla9[[#This Row],[Coches por Tren Día Hábil]]*Tabla9[[#This Row],[Trenes Corridos]]+Tabla10[[#This Row],[Coches por Tren Día Hábil]]*Tabla10[[#This Row],[Trenes Corridos]])/SARM[[#This Row],[Trenes Corridos]]</f>
        <v>0</v>
      </c>
      <c r="H296" s="16">
        <f t="shared" si="133"/>
        <v>7975</v>
      </c>
      <c r="I296" s="16">
        <f t="shared" si="119"/>
        <v>301</v>
      </c>
      <c r="J296" s="16">
        <f t="shared" si="135"/>
        <v>7674</v>
      </c>
      <c r="K296" s="16">
        <f t="shared" si="134"/>
        <v>6765</v>
      </c>
      <c r="L296" s="16">
        <f t="shared" si="120"/>
        <v>909</v>
      </c>
      <c r="M296" s="16"/>
      <c r="N296" s="17"/>
      <c r="O296" s="94">
        <v>2017</v>
      </c>
      <c r="P296" s="95" t="s">
        <v>38</v>
      </c>
      <c r="Q296" s="15">
        <f t="shared" si="121"/>
        <v>0.87994071146245056</v>
      </c>
      <c r="R296" s="15">
        <f t="shared" si="122"/>
        <v>0.9077471967380224</v>
      </c>
      <c r="S296" s="15">
        <f t="shared" si="123"/>
        <v>0.96936758893280628</v>
      </c>
      <c r="T296" s="16"/>
      <c r="U296" s="16"/>
      <c r="V296" s="16">
        <v>6072</v>
      </c>
      <c r="W296" s="16">
        <f t="shared" si="148"/>
        <v>186</v>
      </c>
      <c r="X296" s="16">
        <v>5886</v>
      </c>
      <c r="Y296" s="16">
        <v>5343</v>
      </c>
      <c r="Z296" s="16">
        <f t="shared" si="149"/>
        <v>543</v>
      </c>
      <c r="AA296" s="16"/>
      <c r="AB296" s="17"/>
      <c r="AC296" s="94">
        <v>2017</v>
      </c>
      <c r="AD296" s="95" t="s">
        <v>38</v>
      </c>
      <c r="AE296" s="15">
        <f t="shared" si="124"/>
        <v>0.79368213228035533</v>
      </c>
      <c r="AF296" s="15">
        <f t="shared" si="125"/>
        <v>0.8454258675078864</v>
      </c>
      <c r="AG296" s="15">
        <f t="shared" si="126"/>
        <v>0.93879565646594276</v>
      </c>
      <c r="AH296" s="16"/>
      <c r="AI296" s="16"/>
      <c r="AJ296" s="16">
        <v>1013</v>
      </c>
      <c r="AK296" s="16">
        <f t="shared" si="150"/>
        <v>62</v>
      </c>
      <c r="AL296" s="16">
        <v>951</v>
      </c>
      <c r="AM296" s="16">
        <v>804</v>
      </c>
      <c r="AN296" s="16">
        <f t="shared" si="151"/>
        <v>147</v>
      </c>
      <c r="AO296" s="16"/>
      <c r="AP296" s="17"/>
      <c r="AQ296" s="94">
        <v>2017</v>
      </c>
      <c r="AR296" s="95" t="s">
        <v>38</v>
      </c>
      <c r="AS296" s="15">
        <f t="shared" si="127"/>
        <v>0.69438202247191017</v>
      </c>
      <c r="AT296" s="15">
        <f t="shared" si="128"/>
        <v>0.73835125448028671</v>
      </c>
      <c r="AU296" s="15">
        <f t="shared" si="129"/>
        <v>0.94044943820224725</v>
      </c>
      <c r="AV296" s="16"/>
      <c r="AW296" s="16"/>
      <c r="AX296" s="16">
        <v>890</v>
      </c>
      <c r="AY296" s="16">
        <f t="shared" si="152"/>
        <v>53</v>
      </c>
      <c r="AZ296" s="16">
        <v>837</v>
      </c>
      <c r="BA296" s="16">
        <v>618</v>
      </c>
      <c r="BB296" s="16">
        <f t="shared" si="153"/>
        <v>219</v>
      </c>
    </row>
    <row r="297" spans="1:54" s="18" customFormat="1" ht="15" customHeight="1">
      <c r="A297" s="96">
        <v>2017</v>
      </c>
      <c r="B297" s="97" t="s">
        <v>39</v>
      </c>
      <c r="C297" s="15">
        <f t="shared" si="130"/>
        <v>0.80329380764163372</v>
      </c>
      <c r="D297" s="15">
        <f t="shared" si="131"/>
        <v>0.87827715355805247</v>
      </c>
      <c r="E297" s="15">
        <f t="shared" si="132"/>
        <v>0.9146245059288538</v>
      </c>
      <c r="F297" s="16">
        <f>+Tabla2[[#This Row],[Trenes Programados por Día Hábil]]+Tabla9[[#This Row],[Trenes Programados por Día Hábil]]+Tabla10[[#This Row],[Trenes Programados por Día Hábil]]</f>
        <v>0</v>
      </c>
      <c r="G297" s="33">
        <f>+(Tabla2[[#This Row],[Coches por Tren Día Hábil]]*Tabla2[[#This Row],[Trenes Corridos]]+Tabla9[[#This Row],[Coches por Tren Día Hábil]]*Tabla9[[#This Row],[Trenes Corridos]]+Tabla10[[#This Row],[Coches por Tren Día Hábil]]*Tabla10[[#This Row],[Trenes Corridos]])/SARM[[#This Row],[Trenes Corridos]]</f>
        <v>0</v>
      </c>
      <c r="H297" s="16">
        <f t="shared" si="133"/>
        <v>7590</v>
      </c>
      <c r="I297" s="16">
        <f t="shared" si="119"/>
        <v>648</v>
      </c>
      <c r="J297" s="16">
        <f t="shared" si="135"/>
        <v>6942</v>
      </c>
      <c r="K297" s="16">
        <f t="shared" si="134"/>
        <v>6097</v>
      </c>
      <c r="L297" s="16">
        <f t="shared" si="120"/>
        <v>845</v>
      </c>
      <c r="M297" s="16"/>
      <c r="N297" s="17"/>
      <c r="O297" s="96">
        <v>2017</v>
      </c>
      <c r="P297" s="97" t="s">
        <v>39</v>
      </c>
      <c r="Q297" s="15">
        <f t="shared" si="121"/>
        <v>0.83159722222222221</v>
      </c>
      <c r="R297" s="15">
        <f t="shared" si="122"/>
        <v>0.90326230435602484</v>
      </c>
      <c r="S297" s="15">
        <f t="shared" si="123"/>
        <v>0.92065972222222225</v>
      </c>
      <c r="T297" s="16"/>
      <c r="U297" s="16"/>
      <c r="V297" s="16">
        <v>5760</v>
      </c>
      <c r="W297" s="16">
        <f t="shared" si="148"/>
        <v>457</v>
      </c>
      <c r="X297" s="16">
        <v>5303</v>
      </c>
      <c r="Y297" s="16">
        <v>4790</v>
      </c>
      <c r="Z297" s="16">
        <f t="shared" si="149"/>
        <v>513</v>
      </c>
      <c r="AA297" s="16"/>
      <c r="AB297" s="17"/>
      <c r="AC297" s="96">
        <v>2017</v>
      </c>
      <c r="AD297" s="97" t="s">
        <v>39</v>
      </c>
      <c r="AE297" s="15">
        <f t="shared" si="124"/>
        <v>0.745398773006135</v>
      </c>
      <c r="AF297" s="15">
        <f t="shared" si="125"/>
        <v>0.83505154639175261</v>
      </c>
      <c r="AG297" s="15">
        <f t="shared" si="126"/>
        <v>0.8926380368098159</v>
      </c>
      <c r="AH297" s="16"/>
      <c r="AI297" s="16"/>
      <c r="AJ297" s="16">
        <v>978</v>
      </c>
      <c r="AK297" s="16">
        <f t="shared" si="150"/>
        <v>105</v>
      </c>
      <c r="AL297" s="16">
        <v>873</v>
      </c>
      <c r="AM297" s="16">
        <v>729</v>
      </c>
      <c r="AN297" s="16">
        <f t="shared" si="151"/>
        <v>144</v>
      </c>
      <c r="AO297" s="16"/>
      <c r="AP297" s="17"/>
      <c r="AQ297" s="96">
        <v>2017</v>
      </c>
      <c r="AR297" s="97" t="s">
        <v>39</v>
      </c>
      <c r="AS297" s="15">
        <f t="shared" si="127"/>
        <v>0.67840375586854462</v>
      </c>
      <c r="AT297" s="15">
        <f t="shared" si="128"/>
        <v>0.75456919060052219</v>
      </c>
      <c r="AU297" s="15">
        <f t="shared" si="129"/>
        <v>0.89906103286384975</v>
      </c>
      <c r="AV297" s="16"/>
      <c r="AW297" s="16"/>
      <c r="AX297" s="16">
        <v>852</v>
      </c>
      <c r="AY297" s="16">
        <f t="shared" si="152"/>
        <v>86</v>
      </c>
      <c r="AZ297" s="16">
        <v>766</v>
      </c>
      <c r="BA297" s="16">
        <v>578</v>
      </c>
      <c r="BB297" s="16">
        <f t="shared" si="153"/>
        <v>188</v>
      </c>
    </row>
    <row r="298" spans="1:54" s="18" customFormat="1" ht="15" customHeight="1">
      <c r="A298" s="94">
        <v>2017</v>
      </c>
      <c r="B298" s="95" t="s">
        <v>40</v>
      </c>
      <c r="C298" s="15">
        <f t="shared" si="130"/>
        <v>0.63623684544186632</v>
      </c>
      <c r="D298" s="15">
        <f t="shared" si="131"/>
        <v>0.68834019204389574</v>
      </c>
      <c r="E298" s="15">
        <f t="shared" si="132"/>
        <v>0.92430581970330927</v>
      </c>
      <c r="F298" s="16">
        <f>+Tabla2[[#This Row],[Trenes Programados por Día Hábil]]+Tabla9[[#This Row],[Trenes Programados por Día Hábil]]+Tabla10[[#This Row],[Trenes Programados por Día Hábil]]</f>
        <v>0</v>
      </c>
      <c r="G298" s="33">
        <f>+(Tabla2[[#This Row],[Coches por Tren Día Hábil]]*Tabla2[[#This Row],[Trenes Corridos]]+Tabla9[[#This Row],[Coches por Tren Día Hábil]]*Tabla9[[#This Row],[Trenes Corridos]]+Tabla10[[#This Row],[Coches por Tren Día Hábil]]*Tabla10[[#This Row],[Trenes Corridos]])/SARM[[#This Row],[Trenes Corridos]]</f>
        <v>0</v>
      </c>
      <c r="H298" s="16">
        <f t="shared" ref="H298:H334" si="154">+V298+AJ298+AX298</f>
        <v>7887</v>
      </c>
      <c r="I298" s="16">
        <f t="shared" si="119"/>
        <v>597</v>
      </c>
      <c r="J298" s="16">
        <f t="shared" si="135"/>
        <v>7290</v>
      </c>
      <c r="K298" s="16">
        <f t="shared" ref="K298:K334" si="155">+Y298+AM298+BA298</f>
        <v>5018</v>
      </c>
      <c r="L298" s="16">
        <f t="shared" si="120"/>
        <v>2272</v>
      </c>
      <c r="M298" s="16"/>
      <c r="N298" s="17"/>
      <c r="O298" s="94">
        <v>2017</v>
      </c>
      <c r="P298" s="95" t="s">
        <v>40</v>
      </c>
      <c r="Q298" s="15">
        <f t="shared" si="121"/>
        <v>0.62362362362362367</v>
      </c>
      <c r="R298" s="15">
        <f t="shared" si="122"/>
        <v>0.67460747157552792</v>
      </c>
      <c r="S298" s="15">
        <f t="shared" si="123"/>
        <v>0.92442442442442441</v>
      </c>
      <c r="T298" s="16"/>
      <c r="U298" s="16"/>
      <c r="V298" s="16">
        <v>5994</v>
      </c>
      <c r="W298" s="16">
        <f t="shared" si="148"/>
        <v>453</v>
      </c>
      <c r="X298" s="16">
        <v>5541</v>
      </c>
      <c r="Y298" s="16">
        <v>3738</v>
      </c>
      <c r="Z298" s="16">
        <f t="shared" si="149"/>
        <v>1803</v>
      </c>
      <c r="AA298" s="16"/>
      <c r="AB298" s="17"/>
      <c r="AC298" s="94">
        <v>2017</v>
      </c>
      <c r="AD298" s="95" t="s">
        <v>40</v>
      </c>
      <c r="AE298" s="15">
        <f t="shared" si="124"/>
        <v>0.7675568743818002</v>
      </c>
      <c r="AF298" s="15">
        <f t="shared" si="125"/>
        <v>0.83620689655172409</v>
      </c>
      <c r="AG298" s="15">
        <f t="shared" si="126"/>
        <v>0.91790306627101881</v>
      </c>
      <c r="AH298" s="16"/>
      <c r="AI298" s="16"/>
      <c r="AJ298" s="16">
        <v>1011</v>
      </c>
      <c r="AK298" s="16">
        <f t="shared" si="150"/>
        <v>83</v>
      </c>
      <c r="AL298" s="16">
        <v>928</v>
      </c>
      <c r="AM298" s="16">
        <v>776</v>
      </c>
      <c r="AN298" s="16">
        <f t="shared" si="151"/>
        <v>152</v>
      </c>
      <c r="AO298" s="16"/>
      <c r="AP298" s="17"/>
      <c r="AQ298" s="94">
        <v>2017</v>
      </c>
      <c r="AR298" s="95" t="s">
        <v>40</v>
      </c>
      <c r="AS298" s="15">
        <f t="shared" si="127"/>
        <v>0.5714285714285714</v>
      </c>
      <c r="AT298" s="15">
        <f t="shared" si="128"/>
        <v>0.61388550548112053</v>
      </c>
      <c r="AU298" s="15">
        <f t="shared" si="129"/>
        <v>0.93083900226757366</v>
      </c>
      <c r="AV298" s="16"/>
      <c r="AW298" s="16"/>
      <c r="AX298" s="16">
        <v>882</v>
      </c>
      <c r="AY298" s="16">
        <f t="shared" si="152"/>
        <v>61</v>
      </c>
      <c r="AZ298" s="16">
        <v>821</v>
      </c>
      <c r="BA298" s="16">
        <v>504</v>
      </c>
      <c r="BB298" s="16">
        <f t="shared" si="153"/>
        <v>317</v>
      </c>
    </row>
    <row r="299" spans="1:54" s="18" customFormat="1" ht="15" customHeight="1">
      <c r="A299" s="96">
        <v>2017</v>
      </c>
      <c r="B299" s="97" t="s">
        <v>41</v>
      </c>
      <c r="C299" s="15">
        <f t="shared" si="130"/>
        <v>0.58549698400209804</v>
      </c>
      <c r="D299" s="15">
        <f t="shared" si="131"/>
        <v>0.61765112740351358</v>
      </c>
      <c r="E299" s="15">
        <f t="shared" si="132"/>
        <v>0.9479412536060845</v>
      </c>
      <c r="F299" s="16">
        <f>+Tabla2[[#This Row],[Trenes Programados por Día Hábil]]+Tabla9[[#This Row],[Trenes Programados por Día Hábil]]+Tabla10[[#This Row],[Trenes Programados por Día Hábil]]</f>
        <v>0</v>
      </c>
      <c r="G299" s="33">
        <f>+(Tabla2[[#This Row],[Coches por Tren Día Hábil]]*Tabla2[[#This Row],[Trenes Corridos]]+Tabla9[[#This Row],[Coches por Tren Día Hábil]]*Tabla9[[#This Row],[Trenes Corridos]]+Tabla10[[#This Row],[Coches por Tren Día Hábil]]*Tabla10[[#This Row],[Trenes Corridos]])/SARM[[#This Row],[Trenes Corridos]]</f>
        <v>0</v>
      </c>
      <c r="H299" s="16">
        <f t="shared" si="154"/>
        <v>7626</v>
      </c>
      <c r="I299" s="16">
        <f t="shared" si="119"/>
        <v>397</v>
      </c>
      <c r="J299" s="16">
        <f t="shared" si="135"/>
        <v>7229</v>
      </c>
      <c r="K299" s="16">
        <f t="shared" si="155"/>
        <v>4465</v>
      </c>
      <c r="L299" s="16">
        <f t="shared" si="120"/>
        <v>2764</v>
      </c>
      <c r="M299" s="16"/>
      <c r="N299" s="17"/>
      <c r="O299" s="96">
        <v>2017</v>
      </c>
      <c r="P299" s="97" t="s">
        <v>41</v>
      </c>
      <c r="Q299" s="15">
        <f t="shared" si="121"/>
        <v>0.58109040717736371</v>
      </c>
      <c r="R299" s="15">
        <f t="shared" si="122"/>
        <v>0.61403828623518686</v>
      </c>
      <c r="S299" s="15">
        <f t="shared" si="123"/>
        <v>0.94634230503795724</v>
      </c>
      <c r="T299" s="16"/>
      <c r="U299" s="16"/>
      <c r="V299" s="16">
        <v>5796</v>
      </c>
      <c r="W299" s="16">
        <f t="shared" si="148"/>
        <v>311</v>
      </c>
      <c r="X299" s="16">
        <v>5485</v>
      </c>
      <c r="Y299" s="16">
        <v>3368</v>
      </c>
      <c r="Z299" s="16">
        <f t="shared" si="149"/>
        <v>2117</v>
      </c>
      <c r="AA299" s="16"/>
      <c r="AB299" s="17"/>
      <c r="AC299" s="96">
        <v>2017</v>
      </c>
      <c r="AD299" s="97" t="s">
        <v>41</v>
      </c>
      <c r="AE299" s="15">
        <f t="shared" si="124"/>
        <v>0.74744376278118607</v>
      </c>
      <c r="AF299" s="15">
        <f t="shared" si="125"/>
        <v>0.77600849256900217</v>
      </c>
      <c r="AG299" s="15">
        <f t="shared" si="126"/>
        <v>0.96319018404907975</v>
      </c>
      <c r="AH299" s="16"/>
      <c r="AI299" s="16"/>
      <c r="AJ299" s="16">
        <v>978</v>
      </c>
      <c r="AK299" s="16">
        <f t="shared" si="150"/>
        <v>36</v>
      </c>
      <c r="AL299" s="16">
        <v>942</v>
      </c>
      <c r="AM299" s="16">
        <v>731</v>
      </c>
      <c r="AN299" s="16">
        <f t="shared" si="151"/>
        <v>211</v>
      </c>
      <c r="AO299" s="16"/>
      <c r="AP299" s="17"/>
      <c r="AQ299" s="96">
        <v>2017</v>
      </c>
      <c r="AR299" s="97" t="s">
        <v>41</v>
      </c>
      <c r="AS299" s="15">
        <f t="shared" si="127"/>
        <v>0.42957746478873238</v>
      </c>
      <c r="AT299" s="15">
        <f t="shared" si="128"/>
        <v>0.45635910224438903</v>
      </c>
      <c r="AU299" s="15">
        <f t="shared" si="129"/>
        <v>0.94131455399061037</v>
      </c>
      <c r="AV299" s="16"/>
      <c r="AW299" s="16"/>
      <c r="AX299" s="16">
        <v>852</v>
      </c>
      <c r="AY299" s="16">
        <f t="shared" si="152"/>
        <v>50</v>
      </c>
      <c r="AZ299" s="16">
        <v>802</v>
      </c>
      <c r="BA299" s="16">
        <v>366</v>
      </c>
      <c r="BB299" s="16">
        <f t="shared" si="153"/>
        <v>436</v>
      </c>
    </row>
    <row r="300" spans="1:54" s="18" customFormat="1" ht="15" customHeight="1">
      <c r="A300" s="94">
        <v>2017</v>
      </c>
      <c r="B300" s="95" t="s">
        <v>42</v>
      </c>
      <c r="C300" s="15">
        <f t="shared" si="130"/>
        <v>0.74607559964837378</v>
      </c>
      <c r="D300" s="15">
        <f t="shared" si="131"/>
        <v>0.77005832793259887</v>
      </c>
      <c r="E300" s="15">
        <f t="shared" si="132"/>
        <v>0.96885595880949393</v>
      </c>
      <c r="F300" s="16">
        <f>+Tabla2[[#This Row],[Trenes Programados por Día Hábil]]+Tabla9[[#This Row],[Trenes Programados por Día Hábil]]+Tabla10[[#This Row],[Trenes Programados por Día Hábil]]</f>
        <v>0</v>
      </c>
      <c r="G300" s="33">
        <f>+(Tabla2[[#This Row],[Coches por Tren Día Hábil]]*Tabla2[[#This Row],[Trenes Corridos]]+Tabla9[[#This Row],[Coches por Tren Día Hábil]]*Tabla9[[#This Row],[Trenes Corridos]]+Tabla10[[#This Row],[Coches por Tren Día Hábil]]*Tabla10[[#This Row],[Trenes Corridos]])/SARM[[#This Row],[Trenes Corridos]]</f>
        <v>0</v>
      </c>
      <c r="H300" s="16">
        <f t="shared" si="154"/>
        <v>7963</v>
      </c>
      <c r="I300" s="16">
        <f t="shared" si="119"/>
        <v>248</v>
      </c>
      <c r="J300" s="16">
        <f t="shared" si="135"/>
        <v>7715</v>
      </c>
      <c r="K300" s="16">
        <f t="shared" si="155"/>
        <v>5941</v>
      </c>
      <c r="L300" s="16">
        <f t="shared" si="120"/>
        <v>1774</v>
      </c>
      <c r="M300" s="16"/>
      <c r="N300" s="17"/>
      <c r="O300" s="94">
        <v>2017</v>
      </c>
      <c r="P300" s="95" t="s">
        <v>42</v>
      </c>
      <c r="Q300" s="15">
        <f t="shared" si="121"/>
        <v>0.80462046204620463</v>
      </c>
      <c r="R300" s="15">
        <f t="shared" si="122"/>
        <v>0.82560108364375207</v>
      </c>
      <c r="S300" s="15">
        <f t="shared" si="123"/>
        <v>0.9745874587458746</v>
      </c>
      <c r="T300" s="16"/>
      <c r="U300" s="16"/>
      <c r="V300" s="16">
        <v>6060</v>
      </c>
      <c r="W300" s="16">
        <f t="shared" si="148"/>
        <v>154</v>
      </c>
      <c r="X300" s="16">
        <v>5906</v>
      </c>
      <c r="Y300" s="16">
        <v>4876</v>
      </c>
      <c r="Z300" s="16">
        <f t="shared" si="149"/>
        <v>1030</v>
      </c>
      <c r="AA300" s="16"/>
      <c r="AB300" s="17"/>
      <c r="AC300" s="94">
        <v>2017</v>
      </c>
      <c r="AD300" s="95" t="s">
        <v>42</v>
      </c>
      <c r="AE300" s="15">
        <f t="shared" si="124"/>
        <v>0.72161895360315897</v>
      </c>
      <c r="AF300" s="15">
        <f t="shared" si="125"/>
        <v>0.75283213182286302</v>
      </c>
      <c r="AG300" s="15">
        <f t="shared" si="126"/>
        <v>0.95853899308983215</v>
      </c>
      <c r="AH300" s="16"/>
      <c r="AI300" s="16"/>
      <c r="AJ300" s="16">
        <v>1013</v>
      </c>
      <c r="AK300" s="16">
        <f t="shared" si="150"/>
        <v>42</v>
      </c>
      <c r="AL300" s="16">
        <v>971</v>
      </c>
      <c r="AM300" s="16">
        <v>731</v>
      </c>
      <c r="AN300" s="16">
        <f t="shared" si="151"/>
        <v>240</v>
      </c>
      <c r="AO300" s="16"/>
      <c r="AP300" s="17"/>
      <c r="AQ300" s="94">
        <v>2017</v>
      </c>
      <c r="AR300" s="95" t="s">
        <v>42</v>
      </c>
      <c r="AS300" s="15">
        <f t="shared" si="127"/>
        <v>0.37528089887640448</v>
      </c>
      <c r="AT300" s="15">
        <f t="shared" si="128"/>
        <v>0.39856801909307876</v>
      </c>
      <c r="AU300" s="15">
        <f t="shared" si="129"/>
        <v>0.94157303370786516</v>
      </c>
      <c r="AV300" s="16"/>
      <c r="AW300" s="16"/>
      <c r="AX300" s="16">
        <v>890</v>
      </c>
      <c r="AY300" s="16">
        <f t="shared" si="152"/>
        <v>52</v>
      </c>
      <c r="AZ300" s="16">
        <v>838</v>
      </c>
      <c r="BA300" s="16">
        <v>334</v>
      </c>
      <c r="BB300" s="16">
        <f t="shared" si="153"/>
        <v>504</v>
      </c>
    </row>
    <row r="301" spans="1:54" s="18" customFormat="1" ht="15" customHeight="1">
      <c r="A301" s="96">
        <v>2017</v>
      </c>
      <c r="B301" s="97" t="s">
        <v>43</v>
      </c>
      <c r="C301" s="15">
        <f t="shared" si="130"/>
        <v>0.84501567398119126</v>
      </c>
      <c r="D301" s="15">
        <f t="shared" si="131"/>
        <v>0.86077404521650269</v>
      </c>
      <c r="E301" s="15">
        <f t="shared" si="132"/>
        <v>0.98169278996865206</v>
      </c>
      <c r="F301" s="16">
        <f>+Tabla2[[#This Row],[Trenes Programados por Día Hábil]]+Tabla9[[#This Row],[Trenes Programados por Día Hábil]]+Tabla10[[#This Row],[Trenes Programados por Día Hábil]]</f>
        <v>0</v>
      </c>
      <c r="G301" s="33">
        <f>+(Tabla2[[#This Row],[Coches por Tren Día Hábil]]*Tabla2[[#This Row],[Trenes Corridos]]+Tabla9[[#This Row],[Coches por Tren Día Hábil]]*Tabla9[[#This Row],[Trenes Corridos]]+Tabla10[[#This Row],[Coches por Tren Día Hábil]]*Tabla10[[#This Row],[Trenes Corridos]])/SARM[[#This Row],[Trenes Corridos]]</f>
        <v>0</v>
      </c>
      <c r="H301" s="16">
        <f t="shared" si="154"/>
        <v>7975</v>
      </c>
      <c r="I301" s="16">
        <f t="shared" si="119"/>
        <v>146</v>
      </c>
      <c r="J301" s="16">
        <f t="shared" si="135"/>
        <v>7829</v>
      </c>
      <c r="K301" s="16">
        <f t="shared" si="155"/>
        <v>6739</v>
      </c>
      <c r="L301" s="16">
        <f t="shared" si="120"/>
        <v>1090</v>
      </c>
      <c r="M301" s="16"/>
      <c r="N301" s="17"/>
      <c r="O301" s="96">
        <v>2017</v>
      </c>
      <c r="P301" s="97" t="s">
        <v>43</v>
      </c>
      <c r="Q301" s="15">
        <f t="shared" si="121"/>
        <v>0.90151515151515149</v>
      </c>
      <c r="R301" s="15">
        <f t="shared" si="122"/>
        <v>0.91202932355881372</v>
      </c>
      <c r="S301" s="15">
        <f t="shared" si="123"/>
        <v>0.98847167325428198</v>
      </c>
      <c r="T301" s="16"/>
      <c r="U301" s="16"/>
      <c r="V301" s="16">
        <v>6072</v>
      </c>
      <c r="W301" s="16">
        <f t="shared" si="148"/>
        <v>70</v>
      </c>
      <c r="X301" s="16">
        <v>6002</v>
      </c>
      <c r="Y301" s="16">
        <v>5474</v>
      </c>
      <c r="Z301" s="16">
        <f t="shared" si="149"/>
        <v>528</v>
      </c>
      <c r="AA301" s="16"/>
      <c r="AB301" s="17"/>
      <c r="AC301" s="96">
        <v>2017</v>
      </c>
      <c r="AD301" s="97" t="s">
        <v>43</v>
      </c>
      <c r="AE301" s="15">
        <f t="shared" si="124"/>
        <v>0.7838104639684107</v>
      </c>
      <c r="AF301" s="15">
        <f t="shared" si="125"/>
        <v>0.81186094069529657</v>
      </c>
      <c r="AG301" s="15">
        <f t="shared" si="126"/>
        <v>0.96544916090819344</v>
      </c>
      <c r="AH301" s="16"/>
      <c r="AI301" s="16"/>
      <c r="AJ301" s="16">
        <v>1013</v>
      </c>
      <c r="AK301" s="16">
        <f t="shared" si="150"/>
        <v>35</v>
      </c>
      <c r="AL301" s="16">
        <v>978</v>
      </c>
      <c r="AM301" s="16">
        <v>794</v>
      </c>
      <c r="AN301" s="16">
        <f t="shared" si="151"/>
        <v>184</v>
      </c>
      <c r="AO301" s="16"/>
      <c r="AP301" s="17"/>
      <c r="AQ301" s="96">
        <v>2017</v>
      </c>
      <c r="AR301" s="97" t="s">
        <v>43</v>
      </c>
      <c r="AS301" s="15">
        <f t="shared" si="127"/>
        <v>0.52921348314606742</v>
      </c>
      <c r="AT301" s="15">
        <f t="shared" si="128"/>
        <v>0.55477031802120136</v>
      </c>
      <c r="AU301" s="15">
        <f t="shared" si="129"/>
        <v>0.95393258426966288</v>
      </c>
      <c r="AV301" s="16"/>
      <c r="AW301" s="16"/>
      <c r="AX301" s="16">
        <v>890</v>
      </c>
      <c r="AY301" s="16">
        <f t="shared" si="152"/>
        <v>41</v>
      </c>
      <c r="AZ301" s="16">
        <v>849</v>
      </c>
      <c r="BA301" s="16">
        <v>471</v>
      </c>
      <c r="BB301" s="16">
        <f t="shared" si="153"/>
        <v>378</v>
      </c>
    </row>
    <row r="302" spans="1:54" s="18" customFormat="1" ht="15" customHeight="1">
      <c r="A302" s="94">
        <v>2017</v>
      </c>
      <c r="B302" s="95" t="s">
        <v>44</v>
      </c>
      <c r="C302" s="15">
        <f t="shared" si="130"/>
        <v>0.79724865003857037</v>
      </c>
      <c r="D302" s="15">
        <f t="shared" si="131"/>
        <v>0.82165098714721085</v>
      </c>
      <c r="E302" s="15">
        <f t="shared" si="132"/>
        <v>0.97030084854718435</v>
      </c>
      <c r="F302" s="16">
        <f>+Tabla2[[#This Row],[Trenes Programados por Día Hábil]]+Tabla9[[#This Row],[Trenes Programados por Día Hábil]]+Tabla10[[#This Row],[Trenes Programados por Día Hábil]]</f>
        <v>0</v>
      </c>
      <c r="G302" s="33">
        <f>+(Tabla2[[#This Row],[Coches por Tren Día Hábil]]*Tabla2[[#This Row],[Trenes Corridos]]+Tabla9[[#This Row],[Coches por Tren Día Hábil]]*Tabla9[[#This Row],[Trenes Corridos]]+Tabla10[[#This Row],[Coches por Tren Día Hábil]]*Tabla10[[#This Row],[Trenes Corridos]])/SARM[[#This Row],[Trenes Corridos]]</f>
        <v>0</v>
      </c>
      <c r="H302" s="16">
        <f t="shared" si="154"/>
        <v>7778</v>
      </c>
      <c r="I302" s="16">
        <f t="shared" si="119"/>
        <v>231</v>
      </c>
      <c r="J302" s="16">
        <f t="shared" si="135"/>
        <v>7547</v>
      </c>
      <c r="K302" s="16">
        <f t="shared" si="155"/>
        <v>6201</v>
      </c>
      <c r="L302" s="16">
        <f t="shared" si="120"/>
        <v>1346</v>
      </c>
      <c r="M302" s="16"/>
      <c r="N302" s="17"/>
      <c r="O302" s="94">
        <v>2017</v>
      </c>
      <c r="P302" s="95" t="s">
        <v>44</v>
      </c>
      <c r="Q302" s="15">
        <f t="shared" si="121"/>
        <v>0.83451417004048578</v>
      </c>
      <c r="R302" s="15">
        <f t="shared" si="122"/>
        <v>0.85736568457538997</v>
      </c>
      <c r="S302" s="15">
        <f t="shared" si="123"/>
        <v>0.97334682860998656</v>
      </c>
      <c r="T302" s="16"/>
      <c r="U302" s="16"/>
      <c r="V302" s="16">
        <v>5928</v>
      </c>
      <c r="W302" s="16">
        <f t="shared" si="148"/>
        <v>158</v>
      </c>
      <c r="X302" s="16">
        <v>5770</v>
      </c>
      <c r="Y302" s="16">
        <v>4947</v>
      </c>
      <c r="Z302" s="16">
        <f t="shared" si="149"/>
        <v>823</v>
      </c>
      <c r="AA302" s="16"/>
      <c r="AB302" s="17"/>
      <c r="AC302" s="94">
        <v>2017</v>
      </c>
      <c r="AD302" s="95" t="s">
        <v>44</v>
      </c>
      <c r="AE302" s="15">
        <f t="shared" si="124"/>
        <v>0.77189409368635442</v>
      </c>
      <c r="AF302" s="15">
        <f t="shared" si="125"/>
        <v>0.80638297872340425</v>
      </c>
      <c r="AG302" s="15">
        <f t="shared" si="126"/>
        <v>0.95723014256619143</v>
      </c>
      <c r="AH302" s="16"/>
      <c r="AI302" s="16"/>
      <c r="AJ302" s="16">
        <v>982</v>
      </c>
      <c r="AK302" s="16">
        <f t="shared" si="150"/>
        <v>42</v>
      </c>
      <c r="AL302" s="16">
        <v>940</v>
      </c>
      <c r="AM302" s="16">
        <v>758</v>
      </c>
      <c r="AN302" s="16">
        <f t="shared" si="151"/>
        <v>182</v>
      </c>
      <c r="AO302" s="16"/>
      <c r="AP302" s="17"/>
      <c r="AQ302" s="94">
        <v>2017</v>
      </c>
      <c r="AR302" s="95" t="s">
        <v>44</v>
      </c>
      <c r="AS302" s="15">
        <f t="shared" si="127"/>
        <v>0.5714285714285714</v>
      </c>
      <c r="AT302" s="15">
        <f t="shared" si="128"/>
        <v>0.59259259259259256</v>
      </c>
      <c r="AU302" s="15">
        <f t="shared" si="129"/>
        <v>0.9642857142857143</v>
      </c>
      <c r="AV302" s="16"/>
      <c r="AW302" s="16"/>
      <c r="AX302" s="16">
        <v>868</v>
      </c>
      <c r="AY302" s="16">
        <f t="shared" si="152"/>
        <v>31</v>
      </c>
      <c r="AZ302" s="16">
        <v>837</v>
      </c>
      <c r="BA302" s="16">
        <v>496</v>
      </c>
      <c r="BB302" s="16">
        <f t="shared" si="153"/>
        <v>341</v>
      </c>
    </row>
    <row r="303" spans="1:54" s="18" customFormat="1" ht="15" customHeight="1">
      <c r="A303" s="96">
        <v>2017</v>
      </c>
      <c r="B303" s="97" t="s">
        <v>45</v>
      </c>
      <c r="C303" s="15">
        <f t="shared" si="130"/>
        <v>0.78889311525294792</v>
      </c>
      <c r="D303" s="15">
        <f t="shared" si="131"/>
        <v>0.8153584064998034</v>
      </c>
      <c r="E303" s="15">
        <f t="shared" si="132"/>
        <v>0.96754152402687965</v>
      </c>
      <c r="F303" s="16">
        <f>+Tabla2[[#This Row],[Trenes Programados por Día Hábil]]+Tabla9[[#This Row],[Trenes Programados por Día Hábil]]+Tabla10[[#This Row],[Trenes Programados por Día Hábil]]</f>
        <v>0</v>
      </c>
      <c r="G303" s="33">
        <f>+(Tabla2[[#This Row],[Coches por Tren Día Hábil]]*Tabla2[[#This Row],[Trenes Corridos]]+Tabla9[[#This Row],[Coches por Tren Día Hábil]]*Tabla9[[#This Row],[Trenes Corridos]]+Tabla10[[#This Row],[Coches por Tren Día Hábil]]*Tabla10[[#This Row],[Trenes Corridos]])/SARM[[#This Row],[Trenes Corridos]]</f>
        <v>0</v>
      </c>
      <c r="H303" s="16">
        <f t="shared" si="154"/>
        <v>7887</v>
      </c>
      <c r="I303" s="16">
        <f t="shared" si="119"/>
        <v>256</v>
      </c>
      <c r="J303" s="16">
        <f t="shared" si="135"/>
        <v>7631</v>
      </c>
      <c r="K303" s="16">
        <f t="shared" si="155"/>
        <v>6222</v>
      </c>
      <c r="L303" s="16">
        <f t="shared" si="120"/>
        <v>1409</v>
      </c>
      <c r="M303" s="16"/>
      <c r="N303" s="17"/>
      <c r="O303" s="96">
        <v>2017</v>
      </c>
      <c r="P303" s="97" t="s">
        <v>45</v>
      </c>
      <c r="Q303" s="15">
        <f t="shared" si="121"/>
        <v>0.85168501835168497</v>
      </c>
      <c r="R303" s="15">
        <f t="shared" si="122"/>
        <v>0.87145783543871624</v>
      </c>
      <c r="S303" s="15">
        <f t="shared" si="123"/>
        <v>0.9773106439773106</v>
      </c>
      <c r="T303" s="16"/>
      <c r="U303" s="16"/>
      <c r="V303" s="16">
        <v>5994</v>
      </c>
      <c r="W303" s="16">
        <f t="shared" si="148"/>
        <v>136</v>
      </c>
      <c r="X303" s="16">
        <v>5858</v>
      </c>
      <c r="Y303" s="16">
        <v>5105</v>
      </c>
      <c r="Z303" s="16">
        <f t="shared" si="149"/>
        <v>753</v>
      </c>
      <c r="AA303" s="16"/>
      <c r="AB303" s="17"/>
      <c r="AC303" s="96">
        <v>2017</v>
      </c>
      <c r="AD303" s="97" t="s">
        <v>45</v>
      </c>
      <c r="AE303" s="15">
        <f t="shared" si="124"/>
        <v>0.71810089020771517</v>
      </c>
      <c r="AF303" s="15">
        <f t="shared" si="125"/>
        <v>0.77481323372465316</v>
      </c>
      <c r="AG303" s="15">
        <f t="shared" si="126"/>
        <v>0.92680514342235409</v>
      </c>
      <c r="AH303" s="16"/>
      <c r="AI303" s="16"/>
      <c r="AJ303" s="16">
        <v>1011</v>
      </c>
      <c r="AK303" s="16">
        <f t="shared" si="150"/>
        <v>74</v>
      </c>
      <c r="AL303" s="16">
        <v>937</v>
      </c>
      <c r="AM303" s="16">
        <v>726</v>
      </c>
      <c r="AN303" s="16">
        <f t="shared" si="151"/>
        <v>211</v>
      </c>
      <c r="AO303" s="16"/>
      <c r="AP303" s="17"/>
      <c r="AQ303" s="96">
        <v>2017</v>
      </c>
      <c r="AR303" s="97" t="s">
        <v>45</v>
      </c>
      <c r="AS303" s="15">
        <f t="shared" si="127"/>
        <v>0.44331065759637189</v>
      </c>
      <c r="AT303" s="15">
        <f t="shared" si="128"/>
        <v>0.46770334928229668</v>
      </c>
      <c r="AU303" s="15">
        <f t="shared" si="129"/>
        <v>0.94784580498866211</v>
      </c>
      <c r="AV303" s="16"/>
      <c r="AW303" s="16"/>
      <c r="AX303" s="16">
        <v>882</v>
      </c>
      <c r="AY303" s="16">
        <f t="shared" si="152"/>
        <v>46</v>
      </c>
      <c r="AZ303" s="16">
        <v>836</v>
      </c>
      <c r="BA303" s="16">
        <v>391</v>
      </c>
      <c r="BB303" s="16">
        <f t="shared" si="153"/>
        <v>445</v>
      </c>
    </row>
    <row r="304" spans="1:54" s="18" customFormat="1" ht="15" customHeight="1">
      <c r="A304" s="94">
        <v>2017</v>
      </c>
      <c r="B304" s="95" t="s">
        <v>46</v>
      </c>
      <c r="C304" s="15">
        <f t="shared" si="130"/>
        <v>0.75932977913175936</v>
      </c>
      <c r="D304" s="15">
        <f t="shared" si="131"/>
        <v>0.78257456828885397</v>
      </c>
      <c r="E304" s="15">
        <f t="shared" si="132"/>
        <v>0.97029702970297027</v>
      </c>
      <c r="F304" s="16">
        <f>+Tabla2[[#This Row],[Trenes Programados por Día Hábil]]+Tabla9[[#This Row],[Trenes Programados por Día Hábil]]+Tabla10[[#This Row],[Trenes Programados por Día Hábil]]</f>
        <v>0</v>
      </c>
      <c r="G304" s="33">
        <f>+(Tabla2[[#This Row],[Coches por Tren Día Hábil]]*Tabla2[[#This Row],[Trenes Corridos]]+Tabla9[[#This Row],[Coches por Tren Día Hábil]]*Tabla9[[#This Row],[Trenes Corridos]]+Tabla10[[#This Row],[Coches por Tren Día Hábil]]*Tabla10[[#This Row],[Trenes Corridos]])/SARM[[#This Row],[Trenes Corridos]]</f>
        <v>0</v>
      </c>
      <c r="H304" s="16">
        <f t="shared" si="154"/>
        <v>7878</v>
      </c>
      <c r="I304" s="16">
        <f t="shared" si="119"/>
        <v>234</v>
      </c>
      <c r="J304" s="16">
        <f t="shared" si="135"/>
        <v>7644</v>
      </c>
      <c r="K304" s="16">
        <f t="shared" si="155"/>
        <v>5982</v>
      </c>
      <c r="L304" s="16">
        <f t="shared" si="120"/>
        <v>1662</v>
      </c>
      <c r="M304" s="16"/>
      <c r="N304" s="17"/>
      <c r="O304" s="94">
        <v>2017</v>
      </c>
      <c r="P304" s="95" t="s">
        <v>46</v>
      </c>
      <c r="Q304" s="15">
        <f t="shared" si="121"/>
        <v>0.79205049471170252</v>
      </c>
      <c r="R304" s="15">
        <f t="shared" si="122"/>
        <v>0.81327728148537393</v>
      </c>
      <c r="S304" s="15">
        <f t="shared" si="123"/>
        <v>0.97389969293756395</v>
      </c>
      <c r="T304" s="16"/>
      <c r="U304" s="16"/>
      <c r="V304" s="16">
        <v>5862</v>
      </c>
      <c r="W304" s="16">
        <f t="shared" si="148"/>
        <v>153</v>
      </c>
      <c r="X304" s="16">
        <v>5709</v>
      </c>
      <c r="Y304" s="16">
        <v>4643</v>
      </c>
      <c r="Z304" s="16">
        <f t="shared" si="149"/>
        <v>1066</v>
      </c>
      <c r="AA304" s="16"/>
      <c r="AB304" s="17"/>
      <c r="AC304" s="94">
        <v>2017</v>
      </c>
      <c r="AD304" s="95" t="s">
        <v>46</v>
      </c>
      <c r="AE304" s="15">
        <f t="shared" si="124"/>
        <v>0.80363321799307963</v>
      </c>
      <c r="AF304" s="15">
        <f t="shared" si="125"/>
        <v>0.83468104222821204</v>
      </c>
      <c r="AG304" s="15">
        <f t="shared" si="126"/>
        <v>0.96280276816609001</v>
      </c>
      <c r="AH304" s="16"/>
      <c r="AI304" s="16"/>
      <c r="AJ304" s="16">
        <v>1156</v>
      </c>
      <c r="AK304" s="16">
        <f t="shared" si="150"/>
        <v>43</v>
      </c>
      <c r="AL304" s="16">
        <v>1113</v>
      </c>
      <c r="AM304" s="16">
        <v>929</v>
      </c>
      <c r="AN304" s="16">
        <f t="shared" si="151"/>
        <v>184</v>
      </c>
      <c r="AO304" s="16"/>
      <c r="AP304" s="17"/>
      <c r="AQ304" s="94">
        <v>2017</v>
      </c>
      <c r="AR304" s="95" t="s">
        <v>46</v>
      </c>
      <c r="AS304" s="15">
        <f t="shared" si="127"/>
        <v>0.47674418604651164</v>
      </c>
      <c r="AT304" s="15">
        <f t="shared" si="128"/>
        <v>0.49878345498783455</v>
      </c>
      <c r="AU304" s="15">
        <f t="shared" si="129"/>
        <v>0.95581395348837206</v>
      </c>
      <c r="AV304" s="16"/>
      <c r="AW304" s="16"/>
      <c r="AX304" s="16">
        <v>860</v>
      </c>
      <c r="AY304" s="16">
        <f t="shared" si="152"/>
        <v>38</v>
      </c>
      <c r="AZ304" s="16">
        <v>822</v>
      </c>
      <c r="BA304" s="16">
        <v>410</v>
      </c>
      <c r="BB304" s="16">
        <f t="shared" si="153"/>
        <v>412</v>
      </c>
    </row>
    <row r="305" spans="1:54" s="18" customFormat="1" ht="15" customHeight="1">
      <c r="A305" s="96">
        <v>2017</v>
      </c>
      <c r="B305" s="97" t="s">
        <v>47</v>
      </c>
      <c r="C305" s="15">
        <f t="shared" si="130"/>
        <v>0.70653907496012758</v>
      </c>
      <c r="D305" s="15">
        <f t="shared" si="131"/>
        <v>0.78169901688933707</v>
      </c>
      <c r="E305" s="15">
        <f t="shared" si="132"/>
        <v>0.90385053542948279</v>
      </c>
      <c r="F305" s="16">
        <f>+Tabla2[[#This Row],[Trenes Programados por Día Hábil]]+Tabla9[[#This Row],[Trenes Programados por Día Hábil]]+Tabla10[[#This Row],[Trenes Programados por Día Hábil]]</f>
        <v>0</v>
      </c>
      <c r="G305" s="33">
        <f>+(Tabla2[[#This Row],[Coches por Tren Día Hábil]]*Tabla2[[#This Row],[Trenes Corridos]]+Tabla9[[#This Row],[Coches por Tren Día Hábil]]*Tabla9[[#This Row],[Trenes Corridos]]+Tabla10[[#This Row],[Coches por Tren Día Hábil]]*Tabla10[[#This Row],[Trenes Corridos]])/SARM[[#This Row],[Trenes Corridos]]</f>
        <v>0</v>
      </c>
      <c r="H305" s="16">
        <f t="shared" si="154"/>
        <v>8778</v>
      </c>
      <c r="I305" s="16">
        <f t="shared" si="119"/>
        <v>844</v>
      </c>
      <c r="J305" s="16">
        <f t="shared" si="135"/>
        <v>7934</v>
      </c>
      <c r="K305" s="16">
        <f t="shared" si="155"/>
        <v>6202</v>
      </c>
      <c r="L305" s="16">
        <f t="shared" si="120"/>
        <v>1732</v>
      </c>
      <c r="M305" s="16"/>
      <c r="N305" s="25"/>
      <c r="O305" s="96">
        <v>2017</v>
      </c>
      <c r="P305" s="97" t="s">
        <v>47</v>
      </c>
      <c r="Q305" s="15">
        <f t="shared" si="121"/>
        <v>0.73828125</v>
      </c>
      <c r="R305" s="15">
        <f t="shared" si="122"/>
        <v>0.80623461853978673</v>
      </c>
      <c r="S305" s="15">
        <f t="shared" si="123"/>
        <v>0.91571514423076927</v>
      </c>
      <c r="T305" s="16"/>
      <c r="U305" s="16"/>
      <c r="V305" s="16">
        <v>6656</v>
      </c>
      <c r="W305" s="16">
        <f t="shared" si="148"/>
        <v>561</v>
      </c>
      <c r="X305" s="16">
        <v>6095</v>
      </c>
      <c r="Y305" s="16">
        <v>4914</v>
      </c>
      <c r="Z305" s="16">
        <f t="shared" si="149"/>
        <v>1181</v>
      </c>
      <c r="AA305" s="16"/>
      <c r="AB305" s="17"/>
      <c r="AC305" s="96">
        <v>2017</v>
      </c>
      <c r="AD305" s="97" t="s">
        <v>47</v>
      </c>
      <c r="AE305" s="15">
        <f t="shared" si="124"/>
        <v>0.58556891766882513</v>
      </c>
      <c r="AF305" s="15">
        <f t="shared" si="125"/>
        <v>0.67845659163987138</v>
      </c>
      <c r="AG305" s="15">
        <f t="shared" si="126"/>
        <v>0.86308973172987979</v>
      </c>
      <c r="AH305" s="16"/>
      <c r="AI305" s="16"/>
      <c r="AJ305" s="16">
        <v>1081</v>
      </c>
      <c r="AK305" s="16">
        <f t="shared" si="150"/>
        <v>148</v>
      </c>
      <c r="AL305" s="16">
        <v>933</v>
      </c>
      <c r="AM305" s="16">
        <v>633</v>
      </c>
      <c r="AN305" s="16">
        <f t="shared" si="151"/>
        <v>300</v>
      </c>
      <c r="AO305" s="16"/>
      <c r="AP305" s="17"/>
      <c r="AQ305" s="96">
        <v>2017</v>
      </c>
      <c r="AR305" s="97" t="s">
        <v>47</v>
      </c>
      <c r="AS305" s="15">
        <f t="shared" si="127"/>
        <v>0.62920268972142168</v>
      </c>
      <c r="AT305" s="15">
        <f t="shared" si="128"/>
        <v>0.72295805739514352</v>
      </c>
      <c r="AU305" s="15">
        <f t="shared" si="129"/>
        <v>0.87031700288184433</v>
      </c>
      <c r="AV305" s="16"/>
      <c r="AW305" s="16"/>
      <c r="AX305" s="16">
        <v>1041</v>
      </c>
      <c r="AY305" s="16">
        <f t="shared" si="152"/>
        <v>135</v>
      </c>
      <c r="AZ305" s="16">
        <v>906</v>
      </c>
      <c r="BA305" s="16">
        <v>655</v>
      </c>
      <c r="BB305" s="16">
        <f t="shared" si="153"/>
        <v>251</v>
      </c>
    </row>
    <row r="306" spans="1:54" s="18" customFormat="1" ht="15" customHeight="1">
      <c r="A306" s="94">
        <v>2018</v>
      </c>
      <c r="B306" s="95" t="s">
        <v>36</v>
      </c>
      <c r="C306" s="15">
        <f t="shared" si="130"/>
        <v>0.83204275275384443</v>
      </c>
      <c r="D306" s="15">
        <f t="shared" si="131"/>
        <v>0.8824754193175246</v>
      </c>
      <c r="E306" s="15">
        <f t="shared" si="132"/>
        <v>0.94285091067728211</v>
      </c>
      <c r="F306" s="16">
        <f>+Tabla2[[#This Row],[Trenes Programados por Día Hábil]]+Tabla9[[#This Row],[Trenes Programados por Día Hábil]]+Tabla10[[#This Row],[Trenes Programados por Día Hábil]]</f>
        <v>0</v>
      </c>
      <c r="G306" s="33">
        <f>+(Tabla2[[#This Row],[Coches por Tren Día Hábil]]*Tabla2[[#This Row],[Trenes Corridos]]+Tabla9[[#This Row],[Coches por Tren Día Hábil]]*Tabla9[[#This Row],[Trenes Corridos]]+Tabla10[[#This Row],[Coches por Tren Día Hábil]]*Tabla10[[#This Row],[Trenes Corridos]])/SARM[[#This Row],[Trenes Corridos]]</f>
        <v>0</v>
      </c>
      <c r="H306" s="16">
        <f t="shared" si="154"/>
        <v>9169</v>
      </c>
      <c r="I306" s="16">
        <f t="shared" si="119"/>
        <v>524</v>
      </c>
      <c r="J306" s="16">
        <f t="shared" si="135"/>
        <v>8645</v>
      </c>
      <c r="K306" s="16">
        <f t="shared" si="155"/>
        <v>7629</v>
      </c>
      <c r="L306" s="16">
        <f t="shared" si="120"/>
        <v>1016</v>
      </c>
      <c r="M306" s="16"/>
      <c r="N306" s="17"/>
      <c r="O306" s="94">
        <v>2018</v>
      </c>
      <c r="P306" s="95" t="s">
        <v>36</v>
      </c>
      <c r="Q306" s="15">
        <f t="shared" si="121"/>
        <v>0.86965842503930257</v>
      </c>
      <c r="R306" s="15">
        <f t="shared" si="122"/>
        <v>0.91229385307346322</v>
      </c>
      <c r="S306" s="15">
        <f t="shared" si="123"/>
        <v>0.95326568529369726</v>
      </c>
      <c r="T306" s="16"/>
      <c r="U306" s="16"/>
      <c r="V306" s="16">
        <v>6997</v>
      </c>
      <c r="W306" s="16">
        <f t="shared" ref="W306:W317" si="156">V306-X306</f>
        <v>327</v>
      </c>
      <c r="X306" s="16">
        <v>6670</v>
      </c>
      <c r="Y306" s="16">
        <v>6085</v>
      </c>
      <c r="Z306" s="16">
        <f t="shared" ref="Z306:Z317" si="157">X306-Y306</f>
        <v>585</v>
      </c>
      <c r="AA306" s="16"/>
      <c r="AB306" s="17"/>
      <c r="AC306" s="94">
        <v>2018</v>
      </c>
      <c r="AD306" s="95" t="s">
        <v>36</v>
      </c>
      <c r="AE306" s="15">
        <f t="shared" si="124"/>
        <v>0.67609489051094895</v>
      </c>
      <c r="AF306" s="15">
        <f t="shared" si="125"/>
        <v>0.74174174174174179</v>
      </c>
      <c r="AG306" s="15">
        <f t="shared" si="126"/>
        <v>0.91149635036496346</v>
      </c>
      <c r="AH306" s="16"/>
      <c r="AI306" s="16"/>
      <c r="AJ306" s="16">
        <v>1096</v>
      </c>
      <c r="AK306" s="16">
        <f t="shared" ref="AK306:AK317" si="158">AJ306-AL306</f>
        <v>97</v>
      </c>
      <c r="AL306" s="16">
        <v>999</v>
      </c>
      <c r="AM306" s="16">
        <v>741</v>
      </c>
      <c r="AN306" s="16">
        <f t="shared" ref="AN306:AN317" si="159">AL306-AM306</f>
        <v>258</v>
      </c>
      <c r="AO306" s="16"/>
      <c r="AP306" s="17"/>
      <c r="AQ306" s="94">
        <v>2018</v>
      </c>
      <c r="AR306" s="95" t="s">
        <v>36</v>
      </c>
      <c r="AS306" s="15">
        <f t="shared" si="127"/>
        <v>0.74628252788104088</v>
      </c>
      <c r="AT306" s="15">
        <f t="shared" si="128"/>
        <v>0.82274590163934425</v>
      </c>
      <c r="AU306" s="15">
        <f t="shared" si="129"/>
        <v>0.90706319702602234</v>
      </c>
      <c r="AV306" s="16"/>
      <c r="AW306" s="16"/>
      <c r="AX306" s="16">
        <v>1076</v>
      </c>
      <c r="AY306" s="16">
        <f t="shared" ref="AY306:AY317" si="160">AX306-AZ306</f>
        <v>100</v>
      </c>
      <c r="AZ306" s="16">
        <v>976</v>
      </c>
      <c r="BA306" s="16">
        <v>803</v>
      </c>
      <c r="BB306" s="16">
        <f t="shared" ref="BB306:BB317" si="161">AZ306-BA306</f>
        <v>173</v>
      </c>
    </row>
    <row r="307" spans="1:54" s="18" customFormat="1" ht="15" customHeight="1">
      <c r="A307" s="96">
        <v>2018</v>
      </c>
      <c r="B307" s="97" t="s">
        <v>37</v>
      </c>
      <c r="C307" s="15">
        <f t="shared" si="130"/>
        <v>0.80918114143920594</v>
      </c>
      <c r="D307" s="15">
        <f t="shared" si="131"/>
        <v>0.86948406879082785</v>
      </c>
      <c r="E307" s="15">
        <f t="shared" si="132"/>
        <v>0.9306451612903226</v>
      </c>
      <c r="F307" s="16">
        <f>+Tabla2[[#This Row],[Trenes Programados por Día Hábil]]+Tabla9[[#This Row],[Trenes Programados por Día Hábil]]+Tabla10[[#This Row],[Trenes Programados por Día Hábil]]</f>
        <v>0</v>
      </c>
      <c r="G307" s="33">
        <f>+(Tabla2[[#This Row],[Coches por Tren Día Hábil]]*Tabla2[[#This Row],[Trenes Corridos]]+Tabla9[[#This Row],[Coches por Tren Día Hábil]]*Tabla9[[#This Row],[Trenes Corridos]]+Tabla10[[#This Row],[Coches por Tren Día Hábil]]*Tabla10[[#This Row],[Trenes Corridos]])/SARM[[#This Row],[Trenes Corridos]]</f>
        <v>0</v>
      </c>
      <c r="H307" s="16">
        <f t="shared" si="154"/>
        <v>8060</v>
      </c>
      <c r="I307" s="16">
        <f t="shared" si="119"/>
        <v>559</v>
      </c>
      <c r="J307" s="16">
        <f t="shared" si="135"/>
        <v>7501</v>
      </c>
      <c r="K307" s="16">
        <f t="shared" si="155"/>
        <v>6522</v>
      </c>
      <c r="L307" s="16">
        <f t="shared" si="120"/>
        <v>979</v>
      </c>
      <c r="M307" s="16"/>
      <c r="N307" s="17"/>
      <c r="O307" s="96">
        <v>2018</v>
      </c>
      <c r="P307" s="97" t="s">
        <v>37</v>
      </c>
      <c r="Q307" s="15">
        <f t="shared" si="121"/>
        <v>0.8485938521909745</v>
      </c>
      <c r="R307" s="15">
        <f t="shared" si="122"/>
        <v>0.90292275574112735</v>
      </c>
      <c r="S307" s="15">
        <f t="shared" si="123"/>
        <v>0.9398299542184434</v>
      </c>
      <c r="T307" s="16"/>
      <c r="U307" s="16"/>
      <c r="V307" s="16">
        <v>6116</v>
      </c>
      <c r="W307" s="16">
        <f t="shared" si="156"/>
        <v>368</v>
      </c>
      <c r="X307" s="16">
        <v>5748</v>
      </c>
      <c r="Y307" s="16">
        <v>5190</v>
      </c>
      <c r="Z307" s="16">
        <f t="shared" si="157"/>
        <v>558</v>
      </c>
      <c r="AA307" s="16"/>
      <c r="AB307" s="17"/>
      <c r="AC307" s="96">
        <v>2018</v>
      </c>
      <c r="AD307" s="97" t="s">
        <v>37</v>
      </c>
      <c r="AE307" s="15">
        <f t="shared" si="124"/>
        <v>0.64939024390243905</v>
      </c>
      <c r="AF307" s="15">
        <f t="shared" si="125"/>
        <v>0.73448275862068968</v>
      </c>
      <c r="AG307" s="15">
        <f t="shared" si="126"/>
        <v>0.88414634146341464</v>
      </c>
      <c r="AH307" s="16"/>
      <c r="AI307" s="16"/>
      <c r="AJ307" s="16">
        <v>984</v>
      </c>
      <c r="AK307" s="16">
        <f t="shared" si="158"/>
        <v>114</v>
      </c>
      <c r="AL307" s="16">
        <v>870</v>
      </c>
      <c r="AM307" s="16">
        <v>639</v>
      </c>
      <c r="AN307" s="16">
        <f t="shared" si="159"/>
        <v>231</v>
      </c>
      <c r="AO307" s="16"/>
      <c r="AP307" s="17"/>
      <c r="AQ307" s="96">
        <v>2018</v>
      </c>
      <c r="AR307" s="97" t="s">
        <v>37</v>
      </c>
      <c r="AS307" s="15">
        <f t="shared" si="127"/>
        <v>0.72187500000000004</v>
      </c>
      <c r="AT307" s="15">
        <f t="shared" si="128"/>
        <v>0.78482446206115519</v>
      </c>
      <c r="AU307" s="15">
        <f t="shared" si="129"/>
        <v>0.91979166666666667</v>
      </c>
      <c r="AV307" s="16"/>
      <c r="AW307" s="16"/>
      <c r="AX307" s="16">
        <v>960</v>
      </c>
      <c r="AY307" s="16">
        <f t="shared" si="160"/>
        <v>77</v>
      </c>
      <c r="AZ307" s="16">
        <v>883</v>
      </c>
      <c r="BA307" s="16">
        <v>693</v>
      </c>
      <c r="BB307" s="16">
        <f t="shared" si="161"/>
        <v>190</v>
      </c>
    </row>
    <row r="308" spans="1:54" s="18" customFormat="1" ht="15" customHeight="1">
      <c r="A308" s="94">
        <v>2018</v>
      </c>
      <c r="B308" s="95" t="s">
        <v>38</v>
      </c>
      <c r="C308" s="15">
        <f t="shared" si="130"/>
        <v>0.85766707439119316</v>
      </c>
      <c r="D308" s="15">
        <f t="shared" si="131"/>
        <v>0.88502581755593801</v>
      </c>
      <c r="E308" s="15">
        <f t="shared" si="132"/>
        <v>0.96908706771933728</v>
      </c>
      <c r="F308" s="16">
        <f>+Tabla2[[#This Row],[Trenes Programados por Día Hábil]]+Tabla9[[#This Row],[Trenes Programados por Día Hábil]]+Tabla10[[#This Row],[Trenes Programados por Día Hábil]]</f>
        <v>0</v>
      </c>
      <c r="G308" s="33">
        <f>+(Tabla2[[#This Row],[Coches por Tren Día Hábil]]*Tabla2[[#This Row],[Trenes Corridos]]+Tabla9[[#This Row],[Coches por Tren Día Hábil]]*Tabla9[[#This Row],[Trenes Corridos]]+Tabla10[[#This Row],[Coches por Tren Día Hábil]]*Tabla10[[#This Row],[Trenes Corridos]])/SARM[[#This Row],[Trenes Corridos]]</f>
        <v>0</v>
      </c>
      <c r="H308" s="16">
        <f t="shared" si="154"/>
        <v>8993</v>
      </c>
      <c r="I308" s="16">
        <f t="shared" si="119"/>
        <v>278</v>
      </c>
      <c r="J308" s="16">
        <f t="shared" si="135"/>
        <v>8715</v>
      </c>
      <c r="K308" s="16">
        <f t="shared" si="155"/>
        <v>7713</v>
      </c>
      <c r="L308" s="16">
        <f t="shared" si="120"/>
        <v>1002</v>
      </c>
      <c r="M308" s="16"/>
      <c r="N308" s="17"/>
      <c r="O308" s="94">
        <v>2018</v>
      </c>
      <c r="P308" s="95" t="s">
        <v>38</v>
      </c>
      <c r="Q308" s="15">
        <f t="shared" si="121"/>
        <v>0.89477535489536075</v>
      </c>
      <c r="R308" s="15">
        <f t="shared" si="122"/>
        <v>0.92022877784467183</v>
      </c>
      <c r="S308" s="15">
        <f t="shared" si="123"/>
        <v>0.9723401141519098</v>
      </c>
      <c r="T308" s="16"/>
      <c r="U308" s="16"/>
      <c r="V308" s="16">
        <v>6833</v>
      </c>
      <c r="W308" s="16">
        <f t="shared" si="156"/>
        <v>189</v>
      </c>
      <c r="X308" s="16">
        <v>6644</v>
      </c>
      <c r="Y308" s="16">
        <v>6114</v>
      </c>
      <c r="Z308" s="16">
        <f t="shared" si="157"/>
        <v>530</v>
      </c>
      <c r="AA308" s="16"/>
      <c r="AB308" s="17"/>
      <c r="AC308" s="94">
        <v>2018</v>
      </c>
      <c r="AD308" s="95" t="s">
        <v>38</v>
      </c>
      <c r="AE308" s="15">
        <f t="shared" si="124"/>
        <v>0.73076923076923073</v>
      </c>
      <c r="AF308" s="15">
        <f t="shared" si="125"/>
        <v>0.77853658536585368</v>
      </c>
      <c r="AG308" s="15">
        <f t="shared" si="126"/>
        <v>0.93864468864468864</v>
      </c>
      <c r="AH308" s="16"/>
      <c r="AI308" s="16"/>
      <c r="AJ308" s="16">
        <v>1092</v>
      </c>
      <c r="AK308" s="16">
        <f t="shared" si="158"/>
        <v>67</v>
      </c>
      <c r="AL308" s="16">
        <v>1025</v>
      </c>
      <c r="AM308" s="16">
        <v>798</v>
      </c>
      <c r="AN308" s="16">
        <f t="shared" si="159"/>
        <v>227</v>
      </c>
      <c r="AO308" s="16"/>
      <c r="AP308" s="17"/>
      <c r="AQ308" s="94">
        <v>2018</v>
      </c>
      <c r="AR308" s="95" t="s">
        <v>38</v>
      </c>
      <c r="AS308" s="15">
        <f t="shared" si="127"/>
        <v>0.75</v>
      </c>
      <c r="AT308" s="15">
        <f t="shared" si="128"/>
        <v>0.76577437858508601</v>
      </c>
      <c r="AU308" s="15">
        <f t="shared" si="129"/>
        <v>0.97940074906367036</v>
      </c>
      <c r="AV308" s="16"/>
      <c r="AW308" s="16"/>
      <c r="AX308" s="16">
        <v>1068</v>
      </c>
      <c r="AY308" s="16">
        <f t="shared" si="160"/>
        <v>22</v>
      </c>
      <c r="AZ308" s="16">
        <v>1046</v>
      </c>
      <c r="BA308" s="16">
        <v>801</v>
      </c>
      <c r="BB308" s="16">
        <f t="shared" si="161"/>
        <v>245</v>
      </c>
    </row>
    <row r="309" spans="1:54" s="18" customFormat="1" ht="15" customHeight="1">
      <c r="A309" s="96">
        <v>2018</v>
      </c>
      <c r="B309" s="97" t="s">
        <v>39</v>
      </c>
      <c r="C309" s="15">
        <f t="shared" si="130"/>
        <v>0.86189586738267565</v>
      </c>
      <c r="D309" s="15">
        <f t="shared" si="131"/>
        <v>0.89948830409356728</v>
      </c>
      <c r="E309" s="15">
        <f t="shared" si="132"/>
        <v>0.95820686434742008</v>
      </c>
      <c r="F309" s="16">
        <f>+Tabla2[[#This Row],[Trenes Programados por Día Hábil]]+Tabla9[[#This Row],[Trenes Programados por Día Hábil]]+Tabla10[[#This Row],[Trenes Programados por Día Hábil]]</f>
        <v>0</v>
      </c>
      <c r="G309" s="33">
        <f>+(Tabla2[[#This Row],[Coches por Tren Día Hábil]]*Tabla2[[#This Row],[Trenes Corridos]]+Tabla9[[#This Row],[Coches por Tren Día Hábil]]*Tabla9[[#This Row],[Trenes Corridos]]+Tabla10[[#This Row],[Coches por Tren Día Hábil]]*Tabla10[[#This Row],[Trenes Corridos]])/SARM[[#This Row],[Trenes Corridos]]</f>
        <v>0</v>
      </c>
      <c r="H309" s="16">
        <f t="shared" si="154"/>
        <v>8566</v>
      </c>
      <c r="I309" s="16">
        <f t="shared" si="119"/>
        <v>358</v>
      </c>
      <c r="J309" s="16">
        <f t="shared" si="135"/>
        <v>8208</v>
      </c>
      <c r="K309" s="16">
        <f t="shared" si="155"/>
        <v>7383</v>
      </c>
      <c r="L309" s="16">
        <f t="shared" si="120"/>
        <v>825</v>
      </c>
      <c r="M309" s="16"/>
      <c r="N309" s="17"/>
      <c r="O309" s="96">
        <v>2018</v>
      </c>
      <c r="P309" s="97" t="s">
        <v>39</v>
      </c>
      <c r="Q309" s="15">
        <f t="shared" si="121"/>
        <v>0.89568567026194146</v>
      </c>
      <c r="R309" s="15">
        <f t="shared" si="122"/>
        <v>0.93216805644644007</v>
      </c>
      <c r="S309" s="15">
        <f t="shared" si="123"/>
        <v>0.96086286594761172</v>
      </c>
      <c r="T309" s="16"/>
      <c r="U309" s="16"/>
      <c r="V309" s="16">
        <v>6490</v>
      </c>
      <c r="W309" s="16">
        <f t="shared" si="156"/>
        <v>254</v>
      </c>
      <c r="X309" s="16">
        <v>6236</v>
      </c>
      <c r="Y309" s="16">
        <v>5813</v>
      </c>
      <c r="Z309" s="16">
        <f t="shared" si="157"/>
        <v>423</v>
      </c>
      <c r="AA309" s="16"/>
      <c r="AB309" s="17"/>
      <c r="AC309" s="96">
        <v>2018</v>
      </c>
      <c r="AD309" s="97" t="s">
        <v>39</v>
      </c>
      <c r="AE309" s="15">
        <f t="shared" si="124"/>
        <v>0.74049429657794674</v>
      </c>
      <c r="AF309" s="15">
        <f t="shared" si="125"/>
        <v>0.79489795918367345</v>
      </c>
      <c r="AG309" s="15">
        <f t="shared" si="126"/>
        <v>0.9315589353612167</v>
      </c>
      <c r="AH309" s="16"/>
      <c r="AI309" s="16"/>
      <c r="AJ309" s="16">
        <v>1052</v>
      </c>
      <c r="AK309" s="16">
        <f t="shared" si="158"/>
        <v>72</v>
      </c>
      <c r="AL309" s="16">
        <v>980</v>
      </c>
      <c r="AM309" s="16">
        <v>779</v>
      </c>
      <c r="AN309" s="16">
        <f t="shared" si="159"/>
        <v>201</v>
      </c>
      <c r="AO309" s="16"/>
      <c r="AP309" s="17"/>
      <c r="AQ309" s="96">
        <v>2018</v>
      </c>
      <c r="AR309" s="97" t="s">
        <v>39</v>
      </c>
      <c r="AS309" s="15">
        <f t="shared" si="127"/>
        <v>0.7724609375</v>
      </c>
      <c r="AT309" s="15">
        <f t="shared" si="128"/>
        <v>0.7973790322580645</v>
      </c>
      <c r="AU309" s="15">
        <f t="shared" si="129"/>
        <v>0.96875</v>
      </c>
      <c r="AV309" s="16"/>
      <c r="AW309" s="16"/>
      <c r="AX309" s="16">
        <v>1024</v>
      </c>
      <c r="AY309" s="16">
        <f t="shared" si="160"/>
        <v>32</v>
      </c>
      <c r="AZ309" s="16">
        <v>992</v>
      </c>
      <c r="BA309" s="16">
        <v>791</v>
      </c>
      <c r="BB309" s="16">
        <f t="shared" si="161"/>
        <v>201</v>
      </c>
    </row>
    <row r="310" spans="1:54" s="18" customFormat="1" ht="15" customHeight="1">
      <c r="A310" s="94">
        <v>2018</v>
      </c>
      <c r="B310" s="95" t="s">
        <v>40</v>
      </c>
      <c r="C310" s="15">
        <f t="shared" si="130"/>
        <v>0.86576586554435708</v>
      </c>
      <c r="D310" s="15">
        <f t="shared" si="131"/>
        <v>0.88688450192874968</v>
      </c>
      <c r="E310" s="15">
        <f t="shared" si="132"/>
        <v>0.97618783918484886</v>
      </c>
      <c r="F310" s="16">
        <f>+Tabla2[[#This Row],[Trenes Programados por Día Hábil]]+Tabla9[[#This Row],[Trenes Programados por Día Hábil]]+Tabla10[[#This Row],[Trenes Programados por Día Hábil]]</f>
        <v>0</v>
      </c>
      <c r="G310" s="33">
        <f>+(Tabla2[[#This Row],[Coches por Tren Día Hábil]]*Tabla2[[#This Row],[Trenes Corridos]]+Tabla9[[#This Row],[Coches por Tren Día Hábil]]*Tabla9[[#This Row],[Trenes Corridos]]+Tabla10[[#This Row],[Coches por Tren Día Hábil]]*Tabla10[[#This Row],[Trenes Corridos]])/SARM[[#This Row],[Trenes Corridos]]</f>
        <v>0</v>
      </c>
      <c r="H310" s="16">
        <f t="shared" si="154"/>
        <v>9029</v>
      </c>
      <c r="I310" s="16">
        <f t="shared" si="119"/>
        <v>215</v>
      </c>
      <c r="J310" s="16">
        <f t="shared" si="135"/>
        <v>8814</v>
      </c>
      <c r="K310" s="16">
        <f t="shared" si="155"/>
        <v>7817</v>
      </c>
      <c r="L310" s="16">
        <f t="shared" si="120"/>
        <v>997</v>
      </c>
      <c r="M310" s="16"/>
      <c r="N310" s="17"/>
      <c r="O310" s="94">
        <v>2018</v>
      </c>
      <c r="P310" s="95" t="s">
        <v>40</v>
      </c>
      <c r="Q310" s="15">
        <f t="shared" si="121"/>
        <v>0.91847430484786718</v>
      </c>
      <c r="R310" s="15">
        <f t="shared" si="122"/>
        <v>0.93328402366863905</v>
      </c>
      <c r="S310" s="15">
        <f t="shared" si="123"/>
        <v>0.98413160576503134</v>
      </c>
      <c r="T310" s="16"/>
      <c r="U310" s="16"/>
      <c r="V310" s="16">
        <v>6869</v>
      </c>
      <c r="W310" s="16">
        <f t="shared" si="156"/>
        <v>109</v>
      </c>
      <c r="X310" s="16">
        <v>6760</v>
      </c>
      <c r="Y310" s="16">
        <v>6309</v>
      </c>
      <c r="Z310" s="16">
        <f t="shared" si="157"/>
        <v>451</v>
      </c>
      <c r="AA310" s="16"/>
      <c r="AB310" s="17"/>
      <c r="AC310" s="94">
        <v>2018</v>
      </c>
      <c r="AD310" s="95" t="s">
        <v>40</v>
      </c>
      <c r="AE310" s="15">
        <f t="shared" si="124"/>
        <v>0.77289377289377292</v>
      </c>
      <c r="AF310" s="15">
        <f t="shared" si="125"/>
        <v>0.80611270296084048</v>
      </c>
      <c r="AG310" s="15">
        <f t="shared" si="126"/>
        <v>0.95879120879120883</v>
      </c>
      <c r="AH310" s="16"/>
      <c r="AI310" s="16"/>
      <c r="AJ310" s="16">
        <v>1092</v>
      </c>
      <c r="AK310" s="16">
        <f t="shared" si="158"/>
        <v>45</v>
      </c>
      <c r="AL310" s="16">
        <v>1047</v>
      </c>
      <c r="AM310" s="16">
        <v>844</v>
      </c>
      <c r="AN310" s="16">
        <f t="shared" si="159"/>
        <v>203</v>
      </c>
      <c r="AO310" s="16"/>
      <c r="AP310" s="17"/>
      <c r="AQ310" s="94">
        <v>2018</v>
      </c>
      <c r="AR310" s="95" t="s">
        <v>40</v>
      </c>
      <c r="AS310" s="15">
        <f t="shared" si="127"/>
        <v>0.62172284644194753</v>
      </c>
      <c r="AT310" s="15">
        <f t="shared" si="128"/>
        <v>0.65938430983118168</v>
      </c>
      <c r="AU310" s="15">
        <f t="shared" si="129"/>
        <v>0.94288389513108617</v>
      </c>
      <c r="AV310" s="16"/>
      <c r="AW310" s="16"/>
      <c r="AX310" s="16">
        <v>1068</v>
      </c>
      <c r="AY310" s="16">
        <f t="shared" si="160"/>
        <v>61</v>
      </c>
      <c r="AZ310" s="16">
        <v>1007</v>
      </c>
      <c r="BA310" s="16">
        <v>664</v>
      </c>
      <c r="BB310" s="16">
        <f t="shared" si="161"/>
        <v>343</v>
      </c>
    </row>
    <row r="311" spans="1:54" s="18" customFormat="1" ht="15" customHeight="1">
      <c r="A311" s="96">
        <v>2018</v>
      </c>
      <c r="B311" s="97" t="s">
        <v>41</v>
      </c>
      <c r="C311" s="15">
        <f t="shared" si="130"/>
        <v>0.81691259931895577</v>
      </c>
      <c r="D311" s="15">
        <f t="shared" si="131"/>
        <v>0.87109658678286128</v>
      </c>
      <c r="E311" s="15">
        <f t="shared" si="132"/>
        <v>0.93779795686719636</v>
      </c>
      <c r="F311" s="16">
        <f>+Tabla2[[#This Row],[Trenes Programados por Día Hábil]]+Tabla9[[#This Row],[Trenes Programados por Día Hábil]]+Tabla10[[#This Row],[Trenes Programados por Día Hábil]]</f>
        <v>0</v>
      </c>
      <c r="G311" s="33">
        <f>+(Tabla2[[#This Row],[Coches por Tren Día Hábil]]*Tabla2[[#This Row],[Trenes Corridos]]+Tabla9[[#This Row],[Coches por Tren Día Hábil]]*Tabla9[[#This Row],[Trenes Corridos]]+Tabla10[[#This Row],[Coches por Tren Día Hábil]]*Tabla10[[#This Row],[Trenes Corridos]])/SARM[[#This Row],[Trenes Corridos]]</f>
        <v>0</v>
      </c>
      <c r="H311" s="16">
        <f t="shared" si="154"/>
        <v>8810</v>
      </c>
      <c r="I311" s="16">
        <f t="shared" si="119"/>
        <v>548</v>
      </c>
      <c r="J311" s="16">
        <f t="shared" si="135"/>
        <v>8262</v>
      </c>
      <c r="K311" s="16">
        <f t="shared" si="155"/>
        <v>7197</v>
      </c>
      <c r="L311" s="16">
        <f t="shared" si="120"/>
        <v>1065</v>
      </c>
      <c r="M311" s="16"/>
      <c r="N311" s="17"/>
      <c r="O311" s="96">
        <v>2018</v>
      </c>
      <c r="P311" s="97" t="s">
        <v>41</v>
      </c>
      <c r="Q311" s="15">
        <f t="shared" si="121"/>
        <v>0.85737704918032787</v>
      </c>
      <c r="R311" s="15">
        <f t="shared" si="122"/>
        <v>0.91071711255342724</v>
      </c>
      <c r="S311" s="15">
        <f t="shared" si="123"/>
        <v>0.94143070044709387</v>
      </c>
      <c r="T311" s="16"/>
      <c r="U311" s="16"/>
      <c r="V311" s="16">
        <v>6710</v>
      </c>
      <c r="W311" s="16">
        <f t="shared" si="156"/>
        <v>393</v>
      </c>
      <c r="X311" s="16">
        <v>6317</v>
      </c>
      <c r="Y311" s="16">
        <v>5753</v>
      </c>
      <c r="Z311" s="16">
        <f t="shared" si="157"/>
        <v>564</v>
      </c>
      <c r="AA311" s="16"/>
      <c r="AB311" s="17"/>
      <c r="AC311" s="96">
        <v>2018</v>
      </c>
      <c r="AD311" s="97" t="s">
        <v>41</v>
      </c>
      <c r="AE311" s="15">
        <f t="shared" si="124"/>
        <v>0.7584905660377359</v>
      </c>
      <c r="AF311" s="15">
        <f t="shared" si="125"/>
        <v>0.81458966565349544</v>
      </c>
      <c r="AG311" s="15">
        <f t="shared" si="126"/>
        <v>0.93113207547169807</v>
      </c>
      <c r="AH311" s="16"/>
      <c r="AI311" s="16"/>
      <c r="AJ311" s="16">
        <v>1060</v>
      </c>
      <c r="AK311" s="16">
        <f t="shared" si="158"/>
        <v>73</v>
      </c>
      <c r="AL311" s="16">
        <v>987</v>
      </c>
      <c r="AM311" s="16">
        <v>804</v>
      </c>
      <c r="AN311" s="16">
        <f t="shared" si="159"/>
        <v>183</v>
      </c>
      <c r="AO311" s="16"/>
      <c r="AP311" s="17"/>
      <c r="AQ311" s="96">
        <v>2018</v>
      </c>
      <c r="AR311" s="97" t="s">
        <v>41</v>
      </c>
      <c r="AS311" s="15">
        <f t="shared" si="127"/>
        <v>0.61538461538461542</v>
      </c>
      <c r="AT311" s="15">
        <f t="shared" si="128"/>
        <v>0.66805845511482254</v>
      </c>
      <c r="AU311" s="15">
        <f t="shared" si="129"/>
        <v>0.9211538461538461</v>
      </c>
      <c r="AV311" s="16"/>
      <c r="AW311" s="16"/>
      <c r="AX311" s="16">
        <v>1040</v>
      </c>
      <c r="AY311" s="16">
        <f t="shared" si="160"/>
        <v>82</v>
      </c>
      <c r="AZ311" s="16">
        <v>958</v>
      </c>
      <c r="BA311" s="16">
        <v>640</v>
      </c>
      <c r="BB311" s="16">
        <f t="shared" si="161"/>
        <v>318</v>
      </c>
    </row>
    <row r="312" spans="1:54" s="18" customFormat="1" ht="15" customHeight="1">
      <c r="A312" s="94">
        <v>2018</v>
      </c>
      <c r="B312" s="95" t="s">
        <v>42</v>
      </c>
      <c r="C312" s="15">
        <f t="shared" si="130"/>
        <v>0.87086056041643589</v>
      </c>
      <c r="D312" s="15">
        <f t="shared" si="131"/>
        <v>0.89504837791690384</v>
      </c>
      <c r="E312" s="15">
        <f t="shared" si="132"/>
        <v>0.97297596633071215</v>
      </c>
      <c r="F312" s="16">
        <f>+Tabla2[[#This Row],[Trenes Programados por Día Hábil]]+Tabla9[[#This Row],[Trenes Programados por Día Hábil]]+Tabla10[[#This Row],[Trenes Programados por Día Hábil]]</f>
        <v>0</v>
      </c>
      <c r="G312" s="33">
        <f>+(Tabla2[[#This Row],[Coches por Tren Día Hábil]]*Tabla2[[#This Row],[Trenes Corridos]]+Tabla9[[#This Row],[Coches por Tren Día Hábil]]*Tabla9[[#This Row],[Trenes Corridos]]+Tabla10[[#This Row],[Coches por Tren Día Hábil]]*Tabla10[[#This Row],[Trenes Corridos]])/SARM[[#This Row],[Trenes Corridos]]</f>
        <v>0</v>
      </c>
      <c r="H312" s="16">
        <f t="shared" si="154"/>
        <v>9029</v>
      </c>
      <c r="I312" s="16">
        <f t="shared" si="119"/>
        <v>244</v>
      </c>
      <c r="J312" s="16">
        <f t="shared" si="135"/>
        <v>8785</v>
      </c>
      <c r="K312" s="16">
        <f t="shared" si="155"/>
        <v>7863</v>
      </c>
      <c r="L312" s="16">
        <f t="shared" si="120"/>
        <v>922</v>
      </c>
      <c r="M312" s="16"/>
      <c r="N312" s="17"/>
      <c r="O312" s="94">
        <v>2018</v>
      </c>
      <c r="P312" s="95" t="s">
        <v>42</v>
      </c>
      <c r="Q312" s="15">
        <f t="shared" si="121"/>
        <v>0.92269617120395986</v>
      </c>
      <c r="R312" s="15">
        <f t="shared" si="122"/>
        <v>0.9361890694239291</v>
      </c>
      <c r="S312" s="15">
        <f t="shared" si="123"/>
        <v>0.98558742174989078</v>
      </c>
      <c r="T312" s="16"/>
      <c r="U312" s="16"/>
      <c r="V312" s="16">
        <v>6869</v>
      </c>
      <c r="W312" s="16">
        <f t="shared" si="156"/>
        <v>99</v>
      </c>
      <c r="X312" s="16">
        <v>6770</v>
      </c>
      <c r="Y312" s="16">
        <v>6338</v>
      </c>
      <c r="Z312" s="16">
        <f t="shared" si="157"/>
        <v>432</v>
      </c>
      <c r="AA312" s="16"/>
      <c r="AB312" s="17"/>
      <c r="AC312" s="94">
        <v>2018</v>
      </c>
      <c r="AD312" s="95" t="s">
        <v>42</v>
      </c>
      <c r="AE312" s="15">
        <f t="shared" si="124"/>
        <v>0.7216117216117216</v>
      </c>
      <c r="AF312" s="15">
        <f t="shared" si="125"/>
        <v>0.77406679764243613</v>
      </c>
      <c r="AG312" s="15">
        <f t="shared" si="126"/>
        <v>0.93223443223443225</v>
      </c>
      <c r="AH312" s="16"/>
      <c r="AI312" s="16"/>
      <c r="AJ312" s="16">
        <v>1092</v>
      </c>
      <c r="AK312" s="16">
        <f t="shared" si="158"/>
        <v>74</v>
      </c>
      <c r="AL312" s="16">
        <v>1018</v>
      </c>
      <c r="AM312" s="16">
        <v>788</v>
      </c>
      <c r="AN312" s="16">
        <f t="shared" si="159"/>
        <v>230</v>
      </c>
      <c r="AO312" s="16"/>
      <c r="AP312" s="17"/>
      <c r="AQ312" s="94">
        <v>2018</v>
      </c>
      <c r="AR312" s="95" t="s">
        <v>42</v>
      </c>
      <c r="AS312" s="15">
        <f t="shared" si="127"/>
        <v>0.69007490636704116</v>
      </c>
      <c r="AT312" s="15">
        <f t="shared" si="128"/>
        <v>0.73921765295887665</v>
      </c>
      <c r="AU312" s="15">
        <f t="shared" si="129"/>
        <v>0.93352059925093633</v>
      </c>
      <c r="AV312" s="16"/>
      <c r="AW312" s="16"/>
      <c r="AX312" s="16">
        <v>1068</v>
      </c>
      <c r="AY312" s="16">
        <f t="shared" si="160"/>
        <v>71</v>
      </c>
      <c r="AZ312" s="16">
        <v>997</v>
      </c>
      <c r="BA312" s="16">
        <v>737</v>
      </c>
      <c r="BB312" s="16">
        <f t="shared" si="161"/>
        <v>260</v>
      </c>
    </row>
    <row r="313" spans="1:54" s="18" customFormat="1" ht="15" customHeight="1">
      <c r="A313" s="96">
        <v>2018</v>
      </c>
      <c r="B313" s="97" t="s">
        <v>43</v>
      </c>
      <c r="C313" s="15">
        <f t="shared" si="130"/>
        <v>0.8597447922347039</v>
      </c>
      <c r="D313" s="15">
        <f t="shared" si="131"/>
        <v>0.87960276723945552</v>
      </c>
      <c r="E313" s="15">
        <f t="shared" si="132"/>
        <v>0.97742392845457515</v>
      </c>
      <c r="F313" s="16">
        <f>+Tabla2[[#This Row],[Trenes Programados por Día Hábil]]+Tabla9[[#This Row],[Trenes Programados por Día Hábil]]+Tabla10[[#This Row],[Trenes Programados por Día Hábil]]</f>
        <v>0</v>
      </c>
      <c r="G313" s="33">
        <f>+(Tabla2[[#This Row],[Coches por Tren Día Hábil]]*Tabla2[[#This Row],[Trenes Corridos]]+Tabla9[[#This Row],[Coches por Tren Día Hábil]]*Tabla9[[#This Row],[Trenes Corridos]]+Tabla10[[#This Row],[Coches por Tren Día Hábil]]*Tabla10[[#This Row],[Trenes Corridos]])/SARM[[#This Row],[Trenes Corridos]]</f>
        <v>0</v>
      </c>
      <c r="H313" s="16">
        <f t="shared" si="154"/>
        <v>9169</v>
      </c>
      <c r="I313" s="16">
        <f t="shared" si="119"/>
        <v>207</v>
      </c>
      <c r="J313" s="16">
        <f t="shared" si="135"/>
        <v>8962</v>
      </c>
      <c r="K313" s="16">
        <f t="shared" si="155"/>
        <v>7883</v>
      </c>
      <c r="L313" s="16">
        <f t="shared" si="120"/>
        <v>1079</v>
      </c>
      <c r="M313" s="16"/>
      <c r="N313" s="17"/>
      <c r="O313" s="96">
        <v>2018</v>
      </c>
      <c r="P313" s="97" t="s">
        <v>43</v>
      </c>
      <c r="Q313" s="15">
        <f t="shared" si="121"/>
        <v>0.88952408174932118</v>
      </c>
      <c r="R313" s="15">
        <f t="shared" si="122"/>
        <v>0.90874580230690616</v>
      </c>
      <c r="S313" s="15">
        <f t="shared" si="123"/>
        <v>0.97884807774760607</v>
      </c>
      <c r="T313" s="16"/>
      <c r="U313" s="16"/>
      <c r="V313" s="16">
        <v>6997</v>
      </c>
      <c r="W313" s="16">
        <f t="shared" si="156"/>
        <v>148</v>
      </c>
      <c r="X313" s="16">
        <v>6849</v>
      </c>
      <c r="Y313" s="16">
        <v>6224</v>
      </c>
      <c r="Z313" s="16">
        <f t="shared" si="157"/>
        <v>625</v>
      </c>
      <c r="AA313" s="16"/>
      <c r="AB313" s="17"/>
      <c r="AC313" s="96">
        <v>2018</v>
      </c>
      <c r="AD313" s="97" t="s">
        <v>43</v>
      </c>
      <c r="AE313" s="15">
        <f t="shared" si="124"/>
        <v>0.8029197080291971</v>
      </c>
      <c r="AF313" s="15">
        <f t="shared" si="125"/>
        <v>0.82706766917293228</v>
      </c>
      <c r="AG313" s="15">
        <f t="shared" si="126"/>
        <v>0.97080291970802923</v>
      </c>
      <c r="AH313" s="16"/>
      <c r="AI313" s="16"/>
      <c r="AJ313" s="16">
        <v>1096</v>
      </c>
      <c r="AK313" s="16">
        <f t="shared" si="158"/>
        <v>32</v>
      </c>
      <c r="AL313" s="16">
        <v>1064</v>
      </c>
      <c r="AM313" s="16">
        <v>880</v>
      </c>
      <c r="AN313" s="16">
        <f t="shared" si="159"/>
        <v>184</v>
      </c>
      <c r="AO313" s="16"/>
      <c r="AP313" s="17"/>
      <c r="AQ313" s="96">
        <v>2018</v>
      </c>
      <c r="AR313" s="97" t="s">
        <v>43</v>
      </c>
      <c r="AS313" s="15">
        <f t="shared" si="127"/>
        <v>0.72397769516728627</v>
      </c>
      <c r="AT313" s="15">
        <f t="shared" si="128"/>
        <v>0.7426120114394662</v>
      </c>
      <c r="AU313" s="15">
        <f t="shared" si="129"/>
        <v>0.97490706319702602</v>
      </c>
      <c r="AV313" s="16"/>
      <c r="AW313" s="16"/>
      <c r="AX313" s="16">
        <v>1076</v>
      </c>
      <c r="AY313" s="16">
        <f t="shared" si="160"/>
        <v>27</v>
      </c>
      <c r="AZ313" s="16">
        <v>1049</v>
      </c>
      <c r="BA313" s="16">
        <v>779</v>
      </c>
      <c r="BB313" s="16">
        <f t="shared" si="161"/>
        <v>270</v>
      </c>
    </row>
    <row r="314" spans="1:54" s="18" customFormat="1" ht="15" customHeight="1">
      <c r="A314" s="94">
        <v>2018</v>
      </c>
      <c r="B314" s="95" t="s">
        <v>44</v>
      </c>
      <c r="C314" s="15">
        <f t="shared" si="130"/>
        <v>0.83530751708428241</v>
      </c>
      <c r="D314" s="15">
        <f t="shared" si="131"/>
        <v>0.88628398791540786</v>
      </c>
      <c r="E314" s="15">
        <f t="shared" si="132"/>
        <v>0.94248291571753984</v>
      </c>
      <c r="F314" s="16">
        <f>+Tabla2[[#This Row],[Trenes Programados por Día Hábil]]+Tabla9[[#This Row],[Trenes Programados por Día Hábil]]+Tabla10[[#This Row],[Trenes Programados por Día Hábil]]</f>
        <v>0</v>
      </c>
      <c r="G314" s="33">
        <f>+(Tabla2[[#This Row],[Coches por Tren Día Hábil]]*Tabla2[[#This Row],[Trenes Corridos]]+Tabla9[[#This Row],[Coches por Tren Día Hábil]]*Tabla9[[#This Row],[Trenes Corridos]]+Tabla10[[#This Row],[Coches por Tren Día Hábil]]*Tabla10[[#This Row],[Trenes Corridos]])/SARM[[#This Row],[Trenes Corridos]]</f>
        <v>0</v>
      </c>
      <c r="H314" s="16">
        <f t="shared" si="154"/>
        <v>8780</v>
      </c>
      <c r="I314" s="16">
        <f t="shared" si="119"/>
        <v>505</v>
      </c>
      <c r="J314" s="16">
        <f t="shared" si="135"/>
        <v>8275</v>
      </c>
      <c r="K314" s="16">
        <f t="shared" si="155"/>
        <v>7334</v>
      </c>
      <c r="L314" s="16">
        <f t="shared" si="120"/>
        <v>941</v>
      </c>
      <c r="M314" s="16"/>
      <c r="N314" s="17"/>
      <c r="O314" s="94">
        <v>2018</v>
      </c>
      <c r="P314" s="95" t="s">
        <v>44</v>
      </c>
      <c r="Q314" s="15">
        <f t="shared" si="121"/>
        <v>0.86721556886227547</v>
      </c>
      <c r="R314" s="15">
        <f t="shared" si="122"/>
        <v>0.91285849353923731</v>
      </c>
      <c r="S314" s="15">
        <f t="shared" si="123"/>
        <v>0.95</v>
      </c>
      <c r="T314" s="16"/>
      <c r="U314" s="16"/>
      <c r="V314" s="16">
        <v>6680</v>
      </c>
      <c r="W314" s="16">
        <f t="shared" si="156"/>
        <v>334</v>
      </c>
      <c r="X314" s="16">
        <v>6346</v>
      </c>
      <c r="Y314" s="16">
        <v>5793</v>
      </c>
      <c r="Z314" s="16">
        <f t="shared" si="157"/>
        <v>553</v>
      </c>
      <c r="AA314" s="16"/>
      <c r="AB314" s="17"/>
      <c r="AC314" s="94">
        <v>2018</v>
      </c>
      <c r="AD314" s="95" t="s">
        <v>44</v>
      </c>
      <c r="AE314" s="15">
        <f t="shared" si="124"/>
        <v>0.78113207547169816</v>
      </c>
      <c r="AF314" s="15">
        <f t="shared" si="125"/>
        <v>0.83132530120481929</v>
      </c>
      <c r="AG314" s="15">
        <f t="shared" si="126"/>
        <v>0.93962264150943398</v>
      </c>
      <c r="AH314" s="16"/>
      <c r="AI314" s="16"/>
      <c r="AJ314" s="16">
        <v>1060</v>
      </c>
      <c r="AK314" s="16">
        <f t="shared" si="158"/>
        <v>64</v>
      </c>
      <c r="AL314" s="16">
        <v>996</v>
      </c>
      <c r="AM314" s="16">
        <v>828</v>
      </c>
      <c r="AN314" s="16">
        <f t="shared" si="159"/>
        <v>168</v>
      </c>
      <c r="AO314" s="16"/>
      <c r="AP314" s="17"/>
      <c r="AQ314" s="94">
        <v>2018</v>
      </c>
      <c r="AR314" s="95" t="s">
        <v>44</v>
      </c>
      <c r="AS314" s="15">
        <f t="shared" si="127"/>
        <v>0.68557692307692308</v>
      </c>
      <c r="AT314" s="15">
        <f t="shared" si="128"/>
        <v>0.76420150053590563</v>
      </c>
      <c r="AU314" s="15">
        <f t="shared" si="129"/>
        <v>0.89711538461538465</v>
      </c>
      <c r="AV314" s="16"/>
      <c r="AW314" s="16"/>
      <c r="AX314" s="16">
        <v>1040</v>
      </c>
      <c r="AY314" s="16">
        <f t="shared" si="160"/>
        <v>107</v>
      </c>
      <c r="AZ314" s="16">
        <v>933</v>
      </c>
      <c r="BA314" s="16">
        <v>713</v>
      </c>
      <c r="BB314" s="16">
        <f t="shared" si="161"/>
        <v>220</v>
      </c>
    </row>
    <row r="315" spans="1:54" s="18" customFormat="1" ht="15" customHeight="1">
      <c r="A315" s="96">
        <v>2018</v>
      </c>
      <c r="B315" s="97" t="s">
        <v>45</v>
      </c>
      <c r="C315" s="15">
        <f t="shared" si="130"/>
        <v>0.85570945577489366</v>
      </c>
      <c r="D315" s="15">
        <f t="shared" si="131"/>
        <v>0.87772681507998662</v>
      </c>
      <c r="E315" s="15">
        <f t="shared" si="132"/>
        <v>0.97491547606063911</v>
      </c>
      <c r="F315" s="16">
        <f>+Tabla2[[#This Row],[Trenes Programados por Día Hábil]]+Tabla9[[#This Row],[Trenes Programados por Día Hábil]]+Tabla10[[#This Row],[Trenes Programados por Día Hábil]]</f>
        <v>0</v>
      </c>
      <c r="G315" s="33">
        <f>+(Tabla2[[#This Row],[Coches por Tren Día Hábil]]*Tabla2[[#This Row],[Trenes Corridos]]+Tabla9[[#This Row],[Coches por Tren Día Hábil]]*Tabla9[[#This Row],[Trenes Corridos]]+Tabla10[[#This Row],[Coches por Tren Día Hábil]]*Tabla10[[#This Row],[Trenes Corridos]])/SARM[[#This Row],[Trenes Corridos]]</f>
        <v>0</v>
      </c>
      <c r="H315" s="16">
        <f t="shared" si="154"/>
        <v>9169</v>
      </c>
      <c r="I315" s="16">
        <f t="shared" si="119"/>
        <v>230</v>
      </c>
      <c r="J315" s="16">
        <f t="shared" si="135"/>
        <v>8939</v>
      </c>
      <c r="K315" s="16">
        <f t="shared" si="155"/>
        <v>7846</v>
      </c>
      <c r="L315" s="16">
        <f t="shared" si="120"/>
        <v>1093</v>
      </c>
      <c r="M315" s="16"/>
      <c r="N315" s="17"/>
      <c r="O315" s="96">
        <v>2018</v>
      </c>
      <c r="P315" s="97" t="s">
        <v>45</v>
      </c>
      <c r="Q315" s="15">
        <f t="shared" si="121"/>
        <v>0.86122623981706448</v>
      </c>
      <c r="R315" s="15">
        <f t="shared" si="122"/>
        <v>0.8807366267173341</v>
      </c>
      <c r="S315" s="15">
        <f t="shared" si="123"/>
        <v>0.97784764899242538</v>
      </c>
      <c r="T315" s="16"/>
      <c r="U315" s="16"/>
      <c r="V315" s="16">
        <v>6997</v>
      </c>
      <c r="W315" s="16">
        <f t="shared" si="156"/>
        <v>155</v>
      </c>
      <c r="X315" s="16">
        <v>6842</v>
      </c>
      <c r="Y315" s="16">
        <v>6026</v>
      </c>
      <c r="Z315" s="16">
        <f t="shared" si="157"/>
        <v>816</v>
      </c>
      <c r="AA315" s="16"/>
      <c r="AB315" s="17"/>
      <c r="AC315" s="96">
        <v>2018</v>
      </c>
      <c r="AD315" s="97" t="s">
        <v>45</v>
      </c>
      <c r="AE315" s="15">
        <f t="shared" si="124"/>
        <v>0.8521897810218978</v>
      </c>
      <c r="AF315" s="15">
        <f t="shared" si="125"/>
        <v>0.87535145267104031</v>
      </c>
      <c r="AG315" s="15">
        <f t="shared" si="126"/>
        <v>0.97354014598540151</v>
      </c>
      <c r="AH315" s="16"/>
      <c r="AI315" s="16"/>
      <c r="AJ315" s="16">
        <v>1096</v>
      </c>
      <c r="AK315" s="16">
        <f t="shared" si="158"/>
        <v>29</v>
      </c>
      <c r="AL315" s="16">
        <v>1067</v>
      </c>
      <c r="AM315" s="16">
        <v>934</v>
      </c>
      <c r="AN315" s="16">
        <f t="shared" si="159"/>
        <v>133</v>
      </c>
      <c r="AO315" s="16"/>
      <c r="AP315" s="17"/>
      <c r="AQ315" s="96">
        <v>2018</v>
      </c>
      <c r="AR315" s="97" t="s">
        <v>45</v>
      </c>
      <c r="AS315" s="15">
        <f t="shared" si="127"/>
        <v>0.82342007434944242</v>
      </c>
      <c r="AT315" s="15">
        <f t="shared" si="128"/>
        <v>0.86019417475728155</v>
      </c>
      <c r="AU315" s="15">
        <f t="shared" si="129"/>
        <v>0.95724907063197029</v>
      </c>
      <c r="AV315" s="16"/>
      <c r="AW315" s="16"/>
      <c r="AX315" s="16">
        <v>1076</v>
      </c>
      <c r="AY315" s="16">
        <f t="shared" si="160"/>
        <v>46</v>
      </c>
      <c r="AZ315" s="16">
        <v>1030</v>
      </c>
      <c r="BA315" s="16">
        <v>886</v>
      </c>
      <c r="BB315" s="16">
        <f t="shared" si="161"/>
        <v>144</v>
      </c>
    </row>
    <row r="316" spans="1:54" s="18" customFormat="1" ht="15" customHeight="1">
      <c r="A316" s="94">
        <v>2018</v>
      </c>
      <c r="B316" s="95" t="s">
        <v>46</v>
      </c>
      <c r="C316" s="15">
        <f t="shared" si="130"/>
        <v>0.79821388198055621</v>
      </c>
      <c r="D316" s="15">
        <f t="shared" si="131"/>
        <v>0.87194368979995063</v>
      </c>
      <c r="E316" s="15">
        <f t="shared" si="132"/>
        <v>0.91544200768709016</v>
      </c>
      <c r="F316" s="16">
        <f>+Tabla2[[#This Row],[Trenes Programados por Día Hábil]]+Tabla9[[#This Row],[Trenes Programados por Día Hábil]]+Tabla10[[#This Row],[Trenes Programados por Día Hábil]]</f>
        <v>0</v>
      </c>
      <c r="G316" s="33">
        <f>+(Tabla2[[#This Row],[Coches por Tren Día Hábil]]*Tabla2[[#This Row],[Trenes Corridos]]+Tabla9[[#This Row],[Coches por Tren Día Hábil]]*Tabla9[[#This Row],[Trenes Corridos]]+Tabla10[[#This Row],[Coches por Tren Día Hábil]]*Tabla10[[#This Row],[Trenes Corridos]])/SARM[[#This Row],[Trenes Corridos]]</f>
        <v>0</v>
      </c>
      <c r="H316" s="16">
        <f t="shared" si="154"/>
        <v>8846</v>
      </c>
      <c r="I316" s="16">
        <f t="shared" si="119"/>
        <v>748</v>
      </c>
      <c r="J316" s="16">
        <f t="shared" si="135"/>
        <v>8098</v>
      </c>
      <c r="K316" s="16">
        <f t="shared" si="155"/>
        <v>7061</v>
      </c>
      <c r="L316" s="16">
        <f t="shared" si="120"/>
        <v>1037</v>
      </c>
      <c r="M316" s="16"/>
      <c r="N316" s="17"/>
      <c r="O316" s="94">
        <v>2018</v>
      </c>
      <c r="P316" s="95" t="s">
        <v>46</v>
      </c>
      <c r="Q316" s="15">
        <f t="shared" si="121"/>
        <v>0.82908390157130152</v>
      </c>
      <c r="R316" s="15">
        <f t="shared" si="122"/>
        <v>0.88834180432020327</v>
      </c>
      <c r="S316" s="15">
        <f t="shared" si="123"/>
        <v>0.93329380373554705</v>
      </c>
      <c r="T316" s="16"/>
      <c r="U316" s="16"/>
      <c r="V316" s="16">
        <v>6746</v>
      </c>
      <c r="W316" s="16">
        <f t="shared" si="156"/>
        <v>450</v>
      </c>
      <c r="X316" s="16">
        <v>6296</v>
      </c>
      <c r="Y316" s="16">
        <v>5593</v>
      </c>
      <c r="Z316" s="16">
        <f t="shared" si="157"/>
        <v>703</v>
      </c>
      <c r="AA316" s="16"/>
      <c r="AB316" s="17"/>
      <c r="AC316" s="94">
        <v>2018</v>
      </c>
      <c r="AD316" s="95" t="s">
        <v>46</v>
      </c>
      <c r="AE316" s="15">
        <f t="shared" si="124"/>
        <v>0.81603773584905659</v>
      </c>
      <c r="AF316" s="15">
        <f t="shared" si="125"/>
        <v>0.87550607287449389</v>
      </c>
      <c r="AG316" s="15">
        <f t="shared" si="126"/>
        <v>0.93207547169811322</v>
      </c>
      <c r="AH316" s="16"/>
      <c r="AI316" s="16"/>
      <c r="AJ316" s="16">
        <v>1060</v>
      </c>
      <c r="AK316" s="16">
        <f t="shared" si="158"/>
        <v>72</v>
      </c>
      <c r="AL316" s="16">
        <v>988</v>
      </c>
      <c r="AM316" s="16">
        <v>865</v>
      </c>
      <c r="AN316" s="16">
        <f t="shared" si="159"/>
        <v>123</v>
      </c>
      <c r="AO316" s="16"/>
      <c r="AP316" s="17"/>
      <c r="AQ316" s="94">
        <v>2018</v>
      </c>
      <c r="AR316" s="95" t="s">
        <v>46</v>
      </c>
      <c r="AS316" s="15">
        <f t="shared" si="127"/>
        <v>0.57980769230769236</v>
      </c>
      <c r="AT316" s="15">
        <f t="shared" si="128"/>
        <v>0.74078624078624078</v>
      </c>
      <c r="AU316" s="15">
        <f t="shared" si="129"/>
        <v>0.78269230769230769</v>
      </c>
      <c r="AV316" s="16"/>
      <c r="AW316" s="16"/>
      <c r="AX316" s="16">
        <v>1040</v>
      </c>
      <c r="AY316" s="16">
        <f t="shared" si="160"/>
        <v>226</v>
      </c>
      <c r="AZ316" s="16">
        <v>814</v>
      </c>
      <c r="BA316" s="16">
        <v>603</v>
      </c>
      <c r="BB316" s="16">
        <f t="shared" si="161"/>
        <v>211</v>
      </c>
    </row>
    <row r="317" spans="1:54" s="18" customFormat="1" ht="15" customHeight="1">
      <c r="A317" s="96">
        <v>2018</v>
      </c>
      <c r="B317" s="97" t="s">
        <v>47</v>
      </c>
      <c r="C317" s="15">
        <f t="shared" si="130"/>
        <v>0.80696381989338772</v>
      </c>
      <c r="D317" s="15">
        <f t="shared" si="131"/>
        <v>0.86252879136865079</v>
      </c>
      <c r="E317" s="15">
        <f t="shared" si="132"/>
        <v>0.93557899512305776</v>
      </c>
      <c r="F317" s="16">
        <f>+Tabla2[[#This Row],[Trenes Programados por Día Hábil]]+Tabla9[[#This Row],[Trenes Programados por Día Hábil]]+Tabla10[[#This Row],[Trenes Programados por Día Hábil]]</f>
        <v>0</v>
      </c>
      <c r="G317" s="33">
        <f>+(Tabla2[[#This Row],[Coches por Tren Día Hábil]]*Tabla2[[#This Row],[Trenes Corridos]]+Tabla9[[#This Row],[Coches por Tren Día Hábil]]*Tabla9[[#This Row],[Trenes Corridos]]+Tabla10[[#This Row],[Coches por Tren Día Hábil]]*Tabla10[[#This Row],[Trenes Corridos]])/SARM[[#This Row],[Trenes Corridos]]</f>
        <v>0</v>
      </c>
      <c r="H317" s="16">
        <f t="shared" si="154"/>
        <v>8817</v>
      </c>
      <c r="I317" s="16">
        <f t="shared" si="119"/>
        <v>568</v>
      </c>
      <c r="J317" s="16">
        <f t="shared" si="135"/>
        <v>8249</v>
      </c>
      <c r="K317" s="16">
        <f t="shared" si="155"/>
        <v>7115</v>
      </c>
      <c r="L317" s="16">
        <f t="shared" si="120"/>
        <v>1134</v>
      </c>
      <c r="M317" s="16"/>
      <c r="N317" s="25"/>
      <c r="O317" s="96">
        <v>2018</v>
      </c>
      <c r="P317" s="97" t="s">
        <v>47</v>
      </c>
      <c r="Q317" s="15">
        <f t="shared" si="121"/>
        <v>0.82231219073324335</v>
      </c>
      <c r="R317" s="15">
        <f t="shared" si="122"/>
        <v>0.8726925525143221</v>
      </c>
      <c r="S317" s="15">
        <f t="shared" si="123"/>
        <v>0.94227020542810014</v>
      </c>
      <c r="T317" s="16"/>
      <c r="U317" s="16"/>
      <c r="V317" s="16">
        <v>6669</v>
      </c>
      <c r="W317" s="16">
        <f t="shared" si="156"/>
        <v>385</v>
      </c>
      <c r="X317" s="16">
        <v>6284</v>
      </c>
      <c r="Y317" s="16">
        <v>5484</v>
      </c>
      <c r="Z317" s="16">
        <f t="shared" si="157"/>
        <v>800</v>
      </c>
      <c r="AA317" s="16"/>
      <c r="AB317" s="17"/>
      <c r="AC317" s="96">
        <v>2018</v>
      </c>
      <c r="AD317" s="97" t="s">
        <v>47</v>
      </c>
      <c r="AE317" s="15">
        <f t="shared" si="124"/>
        <v>0.77641509433962264</v>
      </c>
      <c r="AF317" s="15">
        <f t="shared" si="125"/>
        <v>0.84583761562178827</v>
      </c>
      <c r="AG317" s="15">
        <f t="shared" si="126"/>
        <v>0.91792452830188676</v>
      </c>
      <c r="AH317" s="16"/>
      <c r="AI317" s="16"/>
      <c r="AJ317" s="16">
        <v>1060</v>
      </c>
      <c r="AK317" s="16">
        <f t="shared" si="158"/>
        <v>87</v>
      </c>
      <c r="AL317" s="16">
        <v>973</v>
      </c>
      <c r="AM317" s="16">
        <v>823</v>
      </c>
      <c r="AN317" s="16">
        <f t="shared" si="159"/>
        <v>150</v>
      </c>
      <c r="AO317" s="16"/>
      <c r="AP317" s="17"/>
      <c r="AQ317" s="96">
        <v>2018</v>
      </c>
      <c r="AR317" s="97" t="s">
        <v>47</v>
      </c>
      <c r="AS317" s="15">
        <f t="shared" si="127"/>
        <v>0.74264705882352944</v>
      </c>
      <c r="AT317" s="15">
        <f t="shared" si="128"/>
        <v>0.81451612903225812</v>
      </c>
      <c r="AU317" s="15">
        <f t="shared" si="129"/>
        <v>0.91176470588235292</v>
      </c>
      <c r="AV317" s="16"/>
      <c r="AW317" s="16"/>
      <c r="AX317" s="16">
        <v>1088</v>
      </c>
      <c r="AY317" s="16">
        <f t="shared" si="160"/>
        <v>96</v>
      </c>
      <c r="AZ317" s="16">
        <v>992</v>
      </c>
      <c r="BA317" s="16">
        <v>808</v>
      </c>
      <c r="BB317" s="16">
        <f t="shared" si="161"/>
        <v>184</v>
      </c>
    </row>
    <row r="318" spans="1:54" s="18" customFormat="1" ht="15" customHeight="1">
      <c r="A318" s="94">
        <v>2019</v>
      </c>
      <c r="B318" s="95" t="s">
        <v>36</v>
      </c>
      <c r="C318" s="15">
        <f t="shared" si="130"/>
        <v>0.8547278874468317</v>
      </c>
      <c r="D318" s="15">
        <f t="shared" si="131"/>
        <v>0.88503670242800681</v>
      </c>
      <c r="E318" s="15">
        <f t="shared" si="132"/>
        <v>0.96575417166539423</v>
      </c>
      <c r="F318" s="16">
        <f>+Tabla2[[#This Row],[Trenes Programados por Día Hábil]]+Tabla9[[#This Row],[Trenes Programados por Día Hábil]]+Tabla10[[#This Row],[Trenes Programados por Día Hábil]]</f>
        <v>0</v>
      </c>
      <c r="G318" s="33">
        <f>+(Tabla2[[#This Row],[Coches por Tren Día Hábil]]*Tabla2[[#This Row],[Trenes Corridos]]+Tabla9[[#This Row],[Coches por Tren Día Hábil]]*Tabla9[[#This Row],[Trenes Corridos]]+Tabla10[[#This Row],[Coches por Tren Día Hábil]]*Tabla10[[#This Row],[Trenes Corridos]])/SARM[[#This Row],[Trenes Corridos]]</f>
        <v>0</v>
      </c>
      <c r="H318" s="16">
        <f t="shared" si="154"/>
        <v>9169</v>
      </c>
      <c r="I318" s="16">
        <f t="shared" si="119"/>
        <v>314</v>
      </c>
      <c r="J318" s="16">
        <f t="shared" si="135"/>
        <v>8855</v>
      </c>
      <c r="K318" s="16">
        <f t="shared" si="155"/>
        <v>7837</v>
      </c>
      <c r="L318" s="16">
        <f t="shared" si="120"/>
        <v>1018</v>
      </c>
      <c r="M318" s="16"/>
      <c r="N318" s="17"/>
      <c r="O318" s="94">
        <v>2019</v>
      </c>
      <c r="P318" s="95" t="s">
        <v>36</v>
      </c>
      <c r="Q318" s="15">
        <f t="shared" si="121"/>
        <v>0.88109189652708308</v>
      </c>
      <c r="R318" s="15">
        <f t="shared" si="122"/>
        <v>0.90795287187039764</v>
      </c>
      <c r="S318" s="15">
        <f t="shared" si="123"/>
        <v>0.97041589252536797</v>
      </c>
      <c r="T318" s="16"/>
      <c r="U318" s="16"/>
      <c r="V318" s="16">
        <v>6997</v>
      </c>
      <c r="W318" s="16">
        <f t="shared" ref="W318:W334" si="162">V318-X318</f>
        <v>207</v>
      </c>
      <c r="X318" s="16">
        <v>6790</v>
      </c>
      <c r="Y318" s="16">
        <v>6165</v>
      </c>
      <c r="Z318" s="16">
        <f t="shared" ref="Z318:Z334" si="163">X318-Y318</f>
        <v>625</v>
      </c>
      <c r="AA318" s="16"/>
      <c r="AB318" s="17"/>
      <c r="AC318" s="94">
        <v>2019</v>
      </c>
      <c r="AD318" s="95" t="s">
        <v>36</v>
      </c>
      <c r="AE318" s="15">
        <f t="shared" si="124"/>
        <v>0.73266423357664234</v>
      </c>
      <c r="AF318" s="15">
        <f t="shared" si="125"/>
        <v>0.7781007751937985</v>
      </c>
      <c r="AG318" s="15">
        <f t="shared" si="126"/>
        <v>0.94160583941605835</v>
      </c>
      <c r="AH318" s="16"/>
      <c r="AI318" s="16"/>
      <c r="AJ318" s="16">
        <v>1096</v>
      </c>
      <c r="AK318" s="16">
        <f t="shared" ref="AK318:AK334" si="164">AJ318-AL318</f>
        <v>64</v>
      </c>
      <c r="AL318" s="16">
        <v>1032</v>
      </c>
      <c r="AM318" s="16">
        <v>803</v>
      </c>
      <c r="AN318" s="16">
        <f t="shared" ref="AN318:AN334" si="165">AL318-AM318</f>
        <v>229</v>
      </c>
      <c r="AO318" s="16"/>
      <c r="AP318" s="17"/>
      <c r="AQ318" s="94">
        <v>2019</v>
      </c>
      <c r="AR318" s="95" t="s">
        <v>36</v>
      </c>
      <c r="AS318" s="15">
        <f t="shared" si="127"/>
        <v>0.80762081784386619</v>
      </c>
      <c r="AT318" s="15">
        <f t="shared" si="128"/>
        <v>0.84123910939012581</v>
      </c>
      <c r="AU318" s="15">
        <f t="shared" si="129"/>
        <v>0.96003717472118955</v>
      </c>
      <c r="AV318" s="16"/>
      <c r="AW318" s="16"/>
      <c r="AX318" s="16">
        <v>1076</v>
      </c>
      <c r="AY318" s="16">
        <f t="shared" ref="AY318:AY334" si="166">AX318-AZ318</f>
        <v>43</v>
      </c>
      <c r="AZ318" s="16">
        <v>1033</v>
      </c>
      <c r="BA318" s="16">
        <v>869</v>
      </c>
      <c r="BB318" s="16">
        <f t="shared" ref="BB318:BB334" si="167">AZ318-BA318</f>
        <v>164</v>
      </c>
    </row>
    <row r="319" spans="1:54" s="18" customFormat="1" ht="15" customHeight="1">
      <c r="A319" s="96">
        <v>2019</v>
      </c>
      <c r="B319" s="97" t="s">
        <v>37</v>
      </c>
      <c r="C319" s="15">
        <f t="shared" si="130"/>
        <v>0.85911270983213428</v>
      </c>
      <c r="D319" s="15">
        <f t="shared" si="131"/>
        <v>0.88413129318854888</v>
      </c>
      <c r="E319" s="15">
        <f t="shared" si="132"/>
        <v>0.97170263788968825</v>
      </c>
      <c r="F319" s="16">
        <f>+Tabla2[[#This Row],[Trenes Programados por Día Hábil]]+Tabla9[[#This Row],[Trenes Programados por Día Hábil]]+Tabla10[[#This Row],[Trenes Programados por Día Hábil]]</f>
        <v>0</v>
      </c>
      <c r="G319" s="33">
        <f>+(Tabla2[[#This Row],[Coches por Tren Día Hábil]]*Tabla2[[#This Row],[Trenes Corridos]]+Tabla9[[#This Row],[Coches por Tren Día Hábil]]*Tabla9[[#This Row],[Trenes Corridos]]+Tabla10[[#This Row],[Coches por Tren Día Hábil]]*Tabla10[[#This Row],[Trenes Corridos]])/SARM[[#This Row],[Trenes Corridos]]</f>
        <v>0</v>
      </c>
      <c r="H319" s="16">
        <f t="shared" si="154"/>
        <v>8340</v>
      </c>
      <c r="I319" s="16">
        <f t="shared" si="119"/>
        <v>236</v>
      </c>
      <c r="J319" s="16">
        <f t="shared" si="135"/>
        <v>8104</v>
      </c>
      <c r="K319" s="16">
        <f t="shared" si="155"/>
        <v>7165</v>
      </c>
      <c r="L319" s="16">
        <f t="shared" si="120"/>
        <v>939</v>
      </c>
      <c r="M319" s="16"/>
      <c r="N319" s="17"/>
      <c r="O319" s="96">
        <v>2019</v>
      </c>
      <c r="P319" s="97" t="s">
        <v>37</v>
      </c>
      <c r="Q319" s="15">
        <f t="shared" si="121"/>
        <v>0.90175768989328309</v>
      </c>
      <c r="R319" s="15">
        <f t="shared" si="122"/>
        <v>0.91715881883479644</v>
      </c>
      <c r="S319" s="15">
        <f t="shared" si="123"/>
        <v>0.98320778405524167</v>
      </c>
      <c r="T319" s="16"/>
      <c r="U319" s="16"/>
      <c r="V319" s="16">
        <v>6372</v>
      </c>
      <c r="W319" s="16">
        <f t="shared" si="162"/>
        <v>107</v>
      </c>
      <c r="X319" s="16">
        <v>6265</v>
      </c>
      <c r="Y319" s="16">
        <v>5746</v>
      </c>
      <c r="Z319" s="16">
        <f t="shared" si="163"/>
        <v>519</v>
      </c>
      <c r="AA319" s="16"/>
      <c r="AB319" s="17"/>
      <c r="AC319" s="96">
        <v>2019</v>
      </c>
      <c r="AD319" s="97" t="s">
        <v>37</v>
      </c>
      <c r="AE319" s="15">
        <f t="shared" si="124"/>
        <v>0.69354838709677424</v>
      </c>
      <c r="AF319" s="15">
        <f t="shared" si="125"/>
        <v>0.74782608695652175</v>
      </c>
      <c r="AG319" s="15">
        <f t="shared" si="126"/>
        <v>0.92741935483870963</v>
      </c>
      <c r="AH319" s="16"/>
      <c r="AI319" s="16"/>
      <c r="AJ319" s="16">
        <v>992</v>
      </c>
      <c r="AK319" s="16">
        <f t="shared" si="164"/>
        <v>72</v>
      </c>
      <c r="AL319" s="16">
        <v>920</v>
      </c>
      <c r="AM319" s="16">
        <v>688</v>
      </c>
      <c r="AN319" s="16">
        <f t="shared" si="165"/>
        <v>232</v>
      </c>
      <c r="AO319" s="16"/>
      <c r="AP319" s="17"/>
      <c r="AQ319" s="96">
        <v>2019</v>
      </c>
      <c r="AR319" s="97" t="s">
        <v>37</v>
      </c>
      <c r="AS319" s="15">
        <f t="shared" si="127"/>
        <v>0.74897540983606559</v>
      </c>
      <c r="AT319" s="15">
        <f t="shared" si="128"/>
        <v>0.79542981501632204</v>
      </c>
      <c r="AU319" s="15">
        <f t="shared" si="129"/>
        <v>0.94159836065573765</v>
      </c>
      <c r="AV319" s="16"/>
      <c r="AW319" s="16"/>
      <c r="AX319" s="16">
        <v>976</v>
      </c>
      <c r="AY319" s="16">
        <f t="shared" si="166"/>
        <v>57</v>
      </c>
      <c r="AZ319" s="16">
        <v>919</v>
      </c>
      <c r="BA319" s="16">
        <v>731</v>
      </c>
      <c r="BB319" s="16">
        <f t="shared" si="167"/>
        <v>188</v>
      </c>
    </row>
    <row r="320" spans="1:54" s="18" customFormat="1" ht="15" customHeight="1">
      <c r="A320" s="94">
        <v>2019</v>
      </c>
      <c r="B320" s="95" t="s">
        <v>38</v>
      </c>
      <c r="C320" s="15">
        <f t="shared" si="130"/>
        <v>0.63365487674169341</v>
      </c>
      <c r="D320" s="15">
        <f t="shared" si="131"/>
        <v>0.67868212604752609</v>
      </c>
      <c r="E320" s="15">
        <f t="shared" si="132"/>
        <v>0.93365487674169345</v>
      </c>
      <c r="F320" s="16">
        <f>+Tabla2[[#This Row],[Trenes Programados por Día Hábil]]+Tabla9[[#This Row],[Trenes Programados por Día Hábil]]+Tabla10[[#This Row],[Trenes Programados por Día Hábil]]</f>
        <v>0</v>
      </c>
      <c r="G320" s="33">
        <f>+(Tabla2[[#This Row],[Coches por Tren Día Hábil]]*Tabla2[[#This Row],[Trenes Corridos]]+Tabla9[[#This Row],[Coches por Tren Día Hábil]]*Tabla9[[#This Row],[Trenes Corridos]]+Tabla10[[#This Row],[Coches por Tren Día Hábil]]*Tabla10[[#This Row],[Trenes Corridos]])/SARM[[#This Row],[Trenes Corridos]]</f>
        <v>0</v>
      </c>
      <c r="H320" s="16">
        <f t="shared" si="154"/>
        <v>9330</v>
      </c>
      <c r="I320" s="16">
        <f t="shared" si="119"/>
        <v>619</v>
      </c>
      <c r="J320" s="16">
        <f t="shared" si="135"/>
        <v>8711</v>
      </c>
      <c r="K320" s="16">
        <f t="shared" si="155"/>
        <v>5912</v>
      </c>
      <c r="L320" s="16">
        <f t="shared" si="120"/>
        <v>2799</v>
      </c>
      <c r="M320" s="16"/>
      <c r="N320" s="17"/>
      <c r="O320" s="94">
        <v>2019</v>
      </c>
      <c r="P320" s="95" t="s">
        <v>38</v>
      </c>
      <c r="Q320" s="15">
        <f t="shared" si="121"/>
        <v>0.62057922584238379</v>
      </c>
      <c r="R320" s="15">
        <f t="shared" si="122"/>
        <v>0.66294808865089994</v>
      </c>
      <c r="S320" s="15">
        <f t="shared" si="123"/>
        <v>0.93609022556390975</v>
      </c>
      <c r="T320" s="16"/>
      <c r="U320" s="16"/>
      <c r="V320" s="16">
        <v>7182</v>
      </c>
      <c r="W320" s="16">
        <f t="shared" si="162"/>
        <v>459</v>
      </c>
      <c r="X320" s="16">
        <v>6723</v>
      </c>
      <c r="Y320" s="16">
        <v>4457</v>
      </c>
      <c r="Z320" s="16">
        <f t="shared" si="163"/>
        <v>2266</v>
      </c>
      <c r="AA320" s="16"/>
      <c r="AB320" s="17"/>
      <c r="AC320" s="94">
        <v>2019</v>
      </c>
      <c r="AD320" s="95" t="s">
        <v>38</v>
      </c>
      <c r="AE320" s="15">
        <f t="shared" si="124"/>
        <v>0.6654411764705882</v>
      </c>
      <c r="AF320" s="15">
        <f t="shared" si="125"/>
        <v>0.72255489021956087</v>
      </c>
      <c r="AG320" s="15">
        <f t="shared" si="126"/>
        <v>0.92095588235294112</v>
      </c>
      <c r="AH320" s="16"/>
      <c r="AI320" s="16"/>
      <c r="AJ320" s="16">
        <v>1088</v>
      </c>
      <c r="AK320" s="16">
        <f t="shared" si="164"/>
        <v>86</v>
      </c>
      <c r="AL320" s="16">
        <v>1002</v>
      </c>
      <c r="AM320" s="16">
        <v>724</v>
      </c>
      <c r="AN320" s="16">
        <f t="shared" si="165"/>
        <v>278</v>
      </c>
      <c r="AO320" s="16"/>
      <c r="AP320" s="17"/>
      <c r="AQ320" s="94">
        <v>2019</v>
      </c>
      <c r="AR320" s="95" t="s">
        <v>38</v>
      </c>
      <c r="AS320" s="15">
        <f t="shared" si="127"/>
        <v>0.68962264150943398</v>
      </c>
      <c r="AT320" s="15">
        <f t="shared" si="128"/>
        <v>0.74137931034482762</v>
      </c>
      <c r="AU320" s="15">
        <f t="shared" si="129"/>
        <v>0.93018867924528303</v>
      </c>
      <c r="AV320" s="16"/>
      <c r="AW320" s="16"/>
      <c r="AX320" s="16">
        <v>1060</v>
      </c>
      <c r="AY320" s="16">
        <f t="shared" si="166"/>
        <v>74</v>
      </c>
      <c r="AZ320" s="16">
        <v>986</v>
      </c>
      <c r="BA320" s="16">
        <v>731</v>
      </c>
      <c r="BB320" s="16">
        <f t="shared" si="167"/>
        <v>255</v>
      </c>
    </row>
    <row r="321" spans="1:55" s="18" customFormat="1" ht="15" customHeight="1">
      <c r="A321" s="96">
        <v>2019</v>
      </c>
      <c r="B321" s="97" t="s">
        <v>39</v>
      </c>
      <c r="C321" s="15">
        <f t="shared" si="130"/>
        <v>0.67919389978213507</v>
      </c>
      <c r="D321" s="15">
        <f t="shared" si="131"/>
        <v>0.72847295244771582</v>
      </c>
      <c r="E321" s="15">
        <f t="shared" si="132"/>
        <v>0.93235294117647061</v>
      </c>
      <c r="F321" s="16">
        <f>+Tabla2[[#This Row],[Trenes Programados por Día Hábil]]+Tabla9[[#This Row],[Trenes Programados por Día Hábil]]+Tabla10[[#This Row],[Trenes Programados por Día Hábil]]</f>
        <v>0</v>
      </c>
      <c r="G321" s="33">
        <f>+(Tabla2[[#This Row],[Coches por Tren Día Hábil]]*Tabla2[[#This Row],[Trenes Corridos]]+Tabla9[[#This Row],[Coches por Tren Día Hábil]]*Tabla9[[#This Row],[Trenes Corridos]]+Tabla10[[#This Row],[Coches por Tren Día Hábil]]*Tabla10[[#This Row],[Trenes Corridos]])/SARM[[#This Row],[Trenes Corridos]]</f>
        <v>0</v>
      </c>
      <c r="H321" s="16">
        <f t="shared" si="154"/>
        <v>9180</v>
      </c>
      <c r="I321" s="16">
        <f t="shared" si="119"/>
        <v>621</v>
      </c>
      <c r="J321" s="16">
        <f t="shared" si="135"/>
        <v>8559</v>
      </c>
      <c r="K321" s="16">
        <f t="shared" si="155"/>
        <v>6235</v>
      </c>
      <c r="L321" s="16">
        <f t="shared" si="120"/>
        <v>2324</v>
      </c>
      <c r="M321" s="16"/>
      <c r="N321" s="17"/>
      <c r="O321" s="96">
        <v>2019</v>
      </c>
      <c r="P321" s="97" t="s">
        <v>39</v>
      </c>
      <c r="Q321" s="15">
        <f t="shared" si="121"/>
        <v>0.69106034968979135</v>
      </c>
      <c r="R321" s="15">
        <f t="shared" si="122"/>
        <v>0.74134019059143852</v>
      </c>
      <c r="S321" s="15">
        <f t="shared" si="123"/>
        <v>0.93217710095882689</v>
      </c>
      <c r="T321" s="16"/>
      <c r="U321" s="16"/>
      <c r="V321" s="16">
        <v>7092</v>
      </c>
      <c r="W321" s="16">
        <f t="shared" si="162"/>
        <v>481</v>
      </c>
      <c r="X321" s="16">
        <v>6611</v>
      </c>
      <c r="Y321" s="16">
        <v>4901</v>
      </c>
      <c r="Z321" s="16">
        <f t="shared" si="163"/>
        <v>1710</v>
      </c>
      <c r="AA321" s="16"/>
      <c r="AB321" s="17"/>
      <c r="AC321" s="96">
        <v>2019</v>
      </c>
      <c r="AD321" s="97" t="s">
        <v>39</v>
      </c>
      <c r="AE321" s="15">
        <f t="shared" si="124"/>
        <v>0.56060606060606055</v>
      </c>
      <c r="AF321" s="15">
        <f t="shared" si="125"/>
        <v>0.60223804679552395</v>
      </c>
      <c r="AG321" s="15">
        <f t="shared" si="126"/>
        <v>0.93087121212121215</v>
      </c>
      <c r="AH321" s="16"/>
      <c r="AI321" s="16"/>
      <c r="AJ321" s="16">
        <v>1056</v>
      </c>
      <c r="AK321" s="16">
        <f t="shared" si="164"/>
        <v>73</v>
      </c>
      <c r="AL321" s="16">
        <v>983</v>
      </c>
      <c r="AM321" s="16">
        <v>592</v>
      </c>
      <c r="AN321" s="16">
        <f t="shared" si="165"/>
        <v>391</v>
      </c>
      <c r="AO321" s="16"/>
      <c r="AP321" s="17"/>
      <c r="AQ321" s="96">
        <v>2019</v>
      </c>
      <c r="AR321" s="97" t="s">
        <v>39</v>
      </c>
      <c r="AS321" s="15">
        <f t="shared" si="127"/>
        <v>0.71899224806201545</v>
      </c>
      <c r="AT321" s="15">
        <f t="shared" si="128"/>
        <v>0.76891191709844564</v>
      </c>
      <c r="AU321" s="15">
        <f t="shared" si="129"/>
        <v>0.93507751937984496</v>
      </c>
      <c r="AV321" s="16"/>
      <c r="AW321" s="16"/>
      <c r="AX321" s="16">
        <v>1032</v>
      </c>
      <c r="AY321" s="16">
        <f t="shared" si="166"/>
        <v>67</v>
      </c>
      <c r="AZ321" s="16">
        <v>965</v>
      </c>
      <c r="BA321" s="16">
        <v>742</v>
      </c>
      <c r="BB321" s="16">
        <f t="shared" si="167"/>
        <v>223</v>
      </c>
    </row>
    <row r="322" spans="1:55" s="18" customFormat="1" ht="15" customHeight="1">
      <c r="A322" s="94">
        <v>2019</v>
      </c>
      <c r="B322" s="95" t="s">
        <v>40</v>
      </c>
      <c r="C322" s="15">
        <f t="shared" si="130"/>
        <v>0.62550628310312595</v>
      </c>
      <c r="D322" s="15">
        <f t="shared" si="131"/>
        <v>0.69662271570668521</v>
      </c>
      <c r="E322" s="15">
        <f t="shared" si="132"/>
        <v>0.89791255582095753</v>
      </c>
      <c r="F322" s="16">
        <f>+Tabla2[[#This Row],[Trenes Programados por Día Hábil]]+Tabla9[[#This Row],[Trenes Programados por Día Hábil]]+Tabla10[[#This Row],[Trenes Programados por Día Hábil]]</f>
        <v>0</v>
      </c>
      <c r="G322" s="33">
        <f>+(Tabla2[[#This Row],[Coches por Tren Día Hábil]]*Tabla2[[#This Row],[Trenes Corridos]]+Tabla9[[#This Row],[Coches por Tren Día Hábil]]*Tabla9[[#This Row],[Trenes Corridos]]+Tabla10[[#This Row],[Coches por Tren Día Hábil]]*Tabla10[[#This Row],[Trenes Corridos]])/SARM[[#This Row],[Trenes Corridos]]</f>
        <v>0</v>
      </c>
      <c r="H322" s="16">
        <f t="shared" si="154"/>
        <v>9629</v>
      </c>
      <c r="I322" s="16">
        <f t="shared" si="119"/>
        <v>983</v>
      </c>
      <c r="J322" s="16">
        <f t="shared" si="135"/>
        <v>8646</v>
      </c>
      <c r="K322" s="16">
        <f t="shared" si="155"/>
        <v>6023</v>
      </c>
      <c r="L322" s="16">
        <f t="shared" si="120"/>
        <v>2623</v>
      </c>
      <c r="M322" s="16"/>
      <c r="N322" s="17"/>
      <c r="O322" s="94">
        <v>2019</v>
      </c>
      <c r="P322" s="95" t="s">
        <v>40</v>
      </c>
      <c r="Q322" s="15">
        <f t="shared" si="121"/>
        <v>0.62672379167224523</v>
      </c>
      <c r="R322" s="15">
        <f t="shared" si="122"/>
        <v>0.69823985680190925</v>
      </c>
      <c r="S322" s="15">
        <f t="shared" si="123"/>
        <v>0.8975766501539697</v>
      </c>
      <c r="T322" s="16"/>
      <c r="U322" s="16"/>
      <c r="V322" s="16">
        <v>7469</v>
      </c>
      <c r="W322" s="16">
        <f t="shared" si="162"/>
        <v>765</v>
      </c>
      <c r="X322" s="16">
        <v>6704</v>
      </c>
      <c r="Y322" s="16">
        <v>4681</v>
      </c>
      <c r="Z322" s="16">
        <f t="shared" si="163"/>
        <v>2023</v>
      </c>
      <c r="AA322" s="16"/>
      <c r="AB322" s="17"/>
      <c r="AC322" s="94">
        <v>2019</v>
      </c>
      <c r="AD322" s="95" t="s">
        <v>40</v>
      </c>
      <c r="AE322" s="15">
        <f t="shared" si="124"/>
        <v>0.58150183150183155</v>
      </c>
      <c r="AF322" s="15">
        <f t="shared" si="125"/>
        <v>0.6401209677419355</v>
      </c>
      <c r="AG322" s="15">
        <f t="shared" si="126"/>
        <v>0.90842490842490842</v>
      </c>
      <c r="AH322" s="16"/>
      <c r="AI322" s="16"/>
      <c r="AJ322" s="16">
        <v>1092</v>
      </c>
      <c r="AK322" s="16">
        <f t="shared" si="164"/>
        <v>100</v>
      </c>
      <c r="AL322" s="16">
        <v>992</v>
      </c>
      <c r="AM322" s="16">
        <v>635</v>
      </c>
      <c r="AN322" s="16">
        <f t="shared" si="165"/>
        <v>357</v>
      </c>
      <c r="AO322" s="16"/>
      <c r="AP322" s="17"/>
      <c r="AQ322" s="94">
        <v>2019</v>
      </c>
      <c r="AR322" s="95" t="s">
        <v>40</v>
      </c>
      <c r="AS322" s="15">
        <f t="shared" si="127"/>
        <v>0.66198501872659177</v>
      </c>
      <c r="AT322" s="15">
        <f t="shared" si="128"/>
        <v>0.74421052631578943</v>
      </c>
      <c r="AU322" s="15">
        <f t="shared" si="129"/>
        <v>0.88951310861423216</v>
      </c>
      <c r="AV322" s="16"/>
      <c r="AW322" s="16"/>
      <c r="AX322" s="16">
        <v>1068</v>
      </c>
      <c r="AY322" s="16">
        <f t="shared" si="166"/>
        <v>118</v>
      </c>
      <c r="AZ322" s="16">
        <v>950</v>
      </c>
      <c r="BA322" s="16">
        <v>707</v>
      </c>
      <c r="BB322" s="16">
        <f t="shared" si="167"/>
        <v>243</v>
      </c>
    </row>
    <row r="323" spans="1:55" s="18" customFormat="1" ht="15" customHeight="1">
      <c r="A323" s="96">
        <v>2019</v>
      </c>
      <c r="B323" s="97" t="s">
        <v>41</v>
      </c>
      <c r="C323" s="15">
        <f t="shared" si="130"/>
        <v>0.71026379960097541</v>
      </c>
      <c r="D323" s="15">
        <f t="shared" si="131"/>
        <v>0.74209612044006945</v>
      </c>
      <c r="E323" s="15">
        <f t="shared" si="132"/>
        <v>0.95710485479937935</v>
      </c>
      <c r="F323" s="16">
        <f>+Tabla2[[#This Row],[Trenes Programados por Día Hábil]]+Tabla9[[#This Row],[Trenes Programados por Día Hábil]]+Tabla10[[#This Row],[Trenes Programados por Día Hábil]]</f>
        <v>0</v>
      </c>
      <c r="G323" s="33">
        <f>+(Tabla2[[#This Row],[Coches por Tren Día Hábil]]*Tabla2[[#This Row],[Trenes Corridos]]+Tabla9[[#This Row],[Coches por Tren Día Hábil]]*Tabla9[[#This Row],[Trenes Corridos]]+Tabla10[[#This Row],[Coches por Tren Día Hábil]]*Tabla10[[#This Row],[Trenes Corridos]])/SARM[[#This Row],[Trenes Corridos]]</f>
        <v>0</v>
      </c>
      <c r="H323" s="16">
        <f t="shared" si="154"/>
        <v>9022</v>
      </c>
      <c r="I323" s="16">
        <f t="shared" si="119"/>
        <v>387</v>
      </c>
      <c r="J323" s="16">
        <f t="shared" si="135"/>
        <v>8635</v>
      </c>
      <c r="K323" s="16">
        <f t="shared" si="155"/>
        <v>6408</v>
      </c>
      <c r="L323" s="16">
        <f t="shared" si="120"/>
        <v>2227</v>
      </c>
      <c r="M323" s="16"/>
      <c r="N323" s="17"/>
      <c r="O323" s="96">
        <v>2019</v>
      </c>
      <c r="P323" s="97" t="s">
        <v>41</v>
      </c>
      <c r="Q323" s="15">
        <f t="shared" si="121"/>
        <v>0.72876475669450047</v>
      </c>
      <c r="R323" s="15">
        <f t="shared" si="122"/>
        <v>0.75204278710444217</v>
      </c>
      <c r="S323" s="15">
        <f t="shared" si="123"/>
        <v>0.96904693348689896</v>
      </c>
      <c r="T323" s="16"/>
      <c r="U323" s="16"/>
      <c r="V323" s="16">
        <v>6946</v>
      </c>
      <c r="W323" s="16">
        <f t="shared" si="162"/>
        <v>215</v>
      </c>
      <c r="X323" s="16">
        <v>6731</v>
      </c>
      <c r="Y323" s="16">
        <v>5062</v>
      </c>
      <c r="Z323" s="16">
        <f t="shared" si="163"/>
        <v>1669</v>
      </c>
      <c r="AA323" s="16"/>
      <c r="AB323" s="17"/>
      <c r="AC323" s="96">
        <v>2019</v>
      </c>
      <c r="AD323" s="97" t="s">
        <v>41</v>
      </c>
      <c r="AE323" s="15">
        <f t="shared" si="124"/>
        <v>0.61692015209125473</v>
      </c>
      <c r="AF323" s="15">
        <f t="shared" si="125"/>
        <v>0.66700924974306264</v>
      </c>
      <c r="AG323" s="15">
        <f t="shared" si="126"/>
        <v>0.92490494296577952</v>
      </c>
      <c r="AH323" s="16"/>
      <c r="AI323" s="16"/>
      <c r="AJ323" s="16">
        <v>1052</v>
      </c>
      <c r="AK323" s="16">
        <f t="shared" si="164"/>
        <v>79</v>
      </c>
      <c r="AL323" s="16">
        <v>973</v>
      </c>
      <c r="AM323" s="16">
        <v>649</v>
      </c>
      <c r="AN323" s="16">
        <f t="shared" si="165"/>
        <v>324</v>
      </c>
      <c r="AO323" s="16"/>
      <c r="AP323" s="17"/>
      <c r="AQ323" s="96">
        <v>2019</v>
      </c>
      <c r="AR323" s="97" t="s">
        <v>41</v>
      </c>
      <c r="AS323" s="15">
        <f t="shared" si="127"/>
        <v>0.6806640625</v>
      </c>
      <c r="AT323" s="15">
        <f t="shared" si="128"/>
        <v>0.74865735767991404</v>
      </c>
      <c r="AU323" s="15">
        <f t="shared" si="129"/>
        <v>0.9091796875</v>
      </c>
      <c r="AV323" s="16"/>
      <c r="AW323" s="16"/>
      <c r="AX323" s="16">
        <v>1024</v>
      </c>
      <c r="AY323" s="16">
        <f t="shared" si="166"/>
        <v>93</v>
      </c>
      <c r="AZ323" s="16">
        <v>931</v>
      </c>
      <c r="BA323" s="16">
        <v>697</v>
      </c>
      <c r="BB323" s="16">
        <f t="shared" si="167"/>
        <v>234</v>
      </c>
    </row>
    <row r="324" spans="1:55" s="18" customFormat="1" ht="15" customHeight="1">
      <c r="A324" s="94">
        <v>2019</v>
      </c>
      <c r="B324" s="95" t="s">
        <v>42</v>
      </c>
      <c r="C324" s="15">
        <f t="shared" si="130"/>
        <v>0.7801381870681654</v>
      </c>
      <c r="D324" s="15">
        <f t="shared" si="131"/>
        <v>0.80667519727020687</v>
      </c>
      <c r="E324" s="15">
        <f t="shared" si="132"/>
        <v>0.96710322780241309</v>
      </c>
      <c r="F324" s="16">
        <f>+Tabla2[[#This Row],[Trenes Programados por Día Hábil]]+Tabla9[[#This Row],[Trenes Programados por Día Hábil]]+Tabla10[[#This Row],[Trenes Programados por Día Hábil]]</f>
        <v>327</v>
      </c>
      <c r="G324" s="33">
        <f>+(Tabla2[[#This Row],[Coches por Tren Día Hábil]]*Tabla2[[#This Row],[Trenes Corridos]]+Tabla9[[#This Row],[Coches por Tren Día Hábil]]*Tabla9[[#This Row],[Trenes Corridos]]+Tabla10[[#This Row],[Coches por Tren Día Hábil]]*Tabla10[[#This Row],[Trenes Corridos]])/SARM[[#This Row],[Trenes Corridos]]</f>
        <v>7.6609085092770313</v>
      </c>
      <c r="H324" s="16">
        <f t="shared" si="154"/>
        <v>9697</v>
      </c>
      <c r="I324" s="16">
        <f t="shared" si="119"/>
        <v>319</v>
      </c>
      <c r="J324" s="16">
        <f t="shared" si="135"/>
        <v>9378</v>
      </c>
      <c r="K324" s="16">
        <f t="shared" si="155"/>
        <v>7565</v>
      </c>
      <c r="L324" s="16">
        <f t="shared" si="120"/>
        <v>1813</v>
      </c>
      <c r="M324" s="16"/>
      <c r="N324" s="17"/>
      <c r="O324" s="82">
        <v>2019</v>
      </c>
      <c r="P324" s="83" t="s">
        <v>42</v>
      </c>
      <c r="Q324" s="15">
        <f t="shared" si="121"/>
        <v>0.79627906976744189</v>
      </c>
      <c r="R324" s="15">
        <f t="shared" si="122"/>
        <v>0.82251201098146876</v>
      </c>
      <c r="S324" s="15">
        <f t="shared" si="123"/>
        <v>0.96810631229235877</v>
      </c>
      <c r="T324" s="16">
        <v>275</v>
      </c>
      <c r="U324" s="16">
        <v>9</v>
      </c>
      <c r="V324" s="16">
        <v>7525</v>
      </c>
      <c r="W324" s="16">
        <f t="shared" si="162"/>
        <v>240</v>
      </c>
      <c r="X324" s="16">
        <v>7285</v>
      </c>
      <c r="Y324" s="16">
        <v>5992</v>
      </c>
      <c r="Z324" s="16">
        <f t="shared" si="163"/>
        <v>1293</v>
      </c>
      <c r="AA324" s="16"/>
      <c r="AB324" s="17"/>
      <c r="AC324" s="94">
        <v>2019</v>
      </c>
      <c r="AD324" s="95" t="s">
        <v>42</v>
      </c>
      <c r="AE324" s="15">
        <f t="shared" si="124"/>
        <v>0.73175182481751821</v>
      </c>
      <c r="AF324" s="15">
        <f t="shared" si="125"/>
        <v>0.75093632958801493</v>
      </c>
      <c r="AG324" s="15">
        <f t="shared" si="126"/>
        <v>0.97445255474452552</v>
      </c>
      <c r="AH324" s="16">
        <v>36</v>
      </c>
      <c r="AI324" s="16">
        <v>3</v>
      </c>
      <c r="AJ324" s="16">
        <v>1096</v>
      </c>
      <c r="AK324" s="16">
        <f t="shared" si="164"/>
        <v>28</v>
      </c>
      <c r="AL324" s="16">
        <v>1068</v>
      </c>
      <c r="AM324" s="16">
        <v>802</v>
      </c>
      <c r="AN324" s="16">
        <f t="shared" si="165"/>
        <v>266</v>
      </c>
      <c r="AO324" s="16"/>
      <c r="AP324" s="17"/>
      <c r="AQ324" s="94">
        <v>2019</v>
      </c>
      <c r="AR324" s="95" t="s">
        <v>42</v>
      </c>
      <c r="AS324" s="15">
        <f t="shared" si="127"/>
        <v>0.71654275092936803</v>
      </c>
      <c r="AT324" s="15">
        <f t="shared" si="128"/>
        <v>0.75219512195121951</v>
      </c>
      <c r="AU324" s="15">
        <f t="shared" si="129"/>
        <v>0.95260223048327142</v>
      </c>
      <c r="AV324" s="16">
        <v>16</v>
      </c>
      <c r="AW324" s="16">
        <v>3</v>
      </c>
      <c r="AX324" s="16">
        <v>1076</v>
      </c>
      <c r="AY324" s="16">
        <f t="shared" si="166"/>
        <v>51</v>
      </c>
      <c r="AZ324" s="16">
        <v>1025</v>
      </c>
      <c r="BA324" s="16">
        <v>771</v>
      </c>
      <c r="BB324" s="16">
        <f t="shared" si="167"/>
        <v>254</v>
      </c>
    </row>
    <row r="325" spans="1:55" s="18" customFormat="1" ht="15" customHeight="1">
      <c r="A325" s="96">
        <v>2019</v>
      </c>
      <c r="B325" s="97" t="s">
        <v>43</v>
      </c>
      <c r="C325" s="15">
        <f t="shared" si="130"/>
        <v>0.79251314839641129</v>
      </c>
      <c r="D325" s="15">
        <f t="shared" si="131"/>
        <v>0.82306950840741133</v>
      </c>
      <c r="E325" s="15">
        <f t="shared" si="132"/>
        <v>0.96287511601526243</v>
      </c>
      <c r="F325" s="16">
        <f>+Tabla2[[#This Row],[Trenes Programados por Día Hábil]]+Tabla9[[#This Row],[Trenes Programados por Día Hábil]]+Tabla10[[#This Row],[Trenes Programados por Día Hábil]]</f>
        <v>327</v>
      </c>
      <c r="G325" s="33">
        <f>+(Tabla2[[#This Row],[Coches por Tren Día Hábil]]*Tabla2[[#This Row],[Trenes Corridos]]+Tabla9[[#This Row],[Coches por Tren Día Hábil]]*Tabla9[[#This Row],[Trenes Corridos]]+Tabla10[[#This Row],[Coches por Tren Día Hábil]]*Tabla10[[#This Row],[Trenes Corridos]])/SARM[[#This Row],[Trenes Corridos]]</f>
        <v>7.6338224269037163</v>
      </c>
      <c r="H325" s="16">
        <f t="shared" si="154"/>
        <v>9697</v>
      </c>
      <c r="I325" s="16">
        <f t="shared" si="119"/>
        <v>360</v>
      </c>
      <c r="J325" s="16">
        <f t="shared" si="135"/>
        <v>9337</v>
      </c>
      <c r="K325" s="16">
        <f t="shared" si="155"/>
        <v>7685</v>
      </c>
      <c r="L325" s="16">
        <f t="shared" si="120"/>
        <v>1652</v>
      </c>
      <c r="M325" s="16"/>
      <c r="N325" s="17"/>
      <c r="O325" s="82">
        <v>2019</v>
      </c>
      <c r="P325" s="83" t="s">
        <v>43</v>
      </c>
      <c r="Q325" s="15">
        <f t="shared" si="121"/>
        <v>0.81129568106312289</v>
      </c>
      <c r="R325" s="15">
        <f t="shared" si="122"/>
        <v>0.84662321453335188</v>
      </c>
      <c r="S325" s="15">
        <f t="shared" si="123"/>
        <v>0.95827242524916945</v>
      </c>
      <c r="T325" s="16">
        <v>275</v>
      </c>
      <c r="U325" s="16">
        <v>9</v>
      </c>
      <c r="V325" s="16">
        <v>7525</v>
      </c>
      <c r="W325" s="16">
        <f t="shared" si="162"/>
        <v>314</v>
      </c>
      <c r="X325" s="16">
        <v>7211</v>
      </c>
      <c r="Y325" s="16">
        <v>6105</v>
      </c>
      <c r="Z325" s="16">
        <f t="shared" si="163"/>
        <v>1106</v>
      </c>
      <c r="AA325" s="16"/>
      <c r="AB325" s="17"/>
      <c r="AC325" s="96">
        <v>2019</v>
      </c>
      <c r="AD325" s="97" t="s">
        <v>43</v>
      </c>
      <c r="AE325" s="15">
        <f t="shared" si="124"/>
        <v>0.59306569343065696</v>
      </c>
      <c r="AF325" s="15">
        <f t="shared" si="125"/>
        <v>0.61090225563909772</v>
      </c>
      <c r="AG325" s="15">
        <f t="shared" si="126"/>
        <v>0.97080291970802923</v>
      </c>
      <c r="AH325" s="16">
        <v>36</v>
      </c>
      <c r="AI325" s="16">
        <v>3</v>
      </c>
      <c r="AJ325" s="16">
        <v>1096</v>
      </c>
      <c r="AK325" s="16">
        <f t="shared" si="164"/>
        <v>32</v>
      </c>
      <c r="AL325" s="16">
        <v>1064</v>
      </c>
      <c r="AM325" s="16">
        <v>650</v>
      </c>
      <c r="AN325" s="16">
        <f t="shared" si="165"/>
        <v>414</v>
      </c>
      <c r="AO325" s="16"/>
      <c r="AP325" s="17"/>
      <c r="AQ325" s="96">
        <v>2019</v>
      </c>
      <c r="AR325" s="97" t="s">
        <v>43</v>
      </c>
      <c r="AS325" s="15">
        <f t="shared" si="127"/>
        <v>0.86431226765799252</v>
      </c>
      <c r="AT325" s="15">
        <f t="shared" si="128"/>
        <v>0.87570621468926557</v>
      </c>
      <c r="AU325" s="15">
        <f t="shared" si="129"/>
        <v>0.98698884758364314</v>
      </c>
      <c r="AV325" s="16">
        <v>16</v>
      </c>
      <c r="AW325" s="16">
        <v>3</v>
      </c>
      <c r="AX325" s="16">
        <v>1076</v>
      </c>
      <c r="AY325" s="16">
        <f t="shared" si="166"/>
        <v>14</v>
      </c>
      <c r="AZ325" s="16">
        <v>1062</v>
      </c>
      <c r="BA325" s="16">
        <v>930</v>
      </c>
      <c r="BB325" s="16">
        <f t="shared" si="167"/>
        <v>132</v>
      </c>
    </row>
    <row r="326" spans="1:55" s="18" customFormat="1" ht="15" customHeight="1">
      <c r="A326" s="94">
        <v>2019</v>
      </c>
      <c r="B326" s="95" t="s">
        <v>44</v>
      </c>
      <c r="C326" s="15">
        <f t="shared" si="130"/>
        <v>0.79101936582251542</v>
      </c>
      <c r="D326" s="15">
        <f t="shared" si="131"/>
        <v>0.82362065145136276</v>
      </c>
      <c r="E326" s="15">
        <f t="shared" si="132"/>
        <v>0.96041711002340924</v>
      </c>
      <c r="F326" s="16">
        <f>+Tabla2[[#This Row],[Trenes Programados por Día Hábil]]+Tabla9[[#This Row],[Trenes Programados por Día Hábil]]+Tabla10[[#This Row],[Trenes Programados por Día Hábil]]</f>
        <v>327</v>
      </c>
      <c r="G326" s="33">
        <f>+(Tabla2[[#This Row],[Coches por Tren Día Hábil]]*Tabla2[[#This Row],[Trenes Corridos]]+Tabla9[[#This Row],[Coches por Tren Día Hábil]]*Tabla9[[#This Row],[Trenes Corridos]]+Tabla10[[#This Row],[Coches por Tren Día Hábil]]*Tabla10[[#This Row],[Trenes Corridos]])/SARM[[#This Row],[Trenes Corridos]]</f>
        <v>7.7196986483492136</v>
      </c>
      <c r="H326" s="16">
        <f t="shared" si="154"/>
        <v>9398</v>
      </c>
      <c r="I326" s="16">
        <f t="shared" ref="I326:I334" si="168">H326-J326</f>
        <v>372</v>
      </c>
      <c r="J326" s="16">
        <f t="shared" si="135"/>
        <v>9026</v>
      </c>
      <c r="K326" s="16">
        <f t="shared" si="155"/>
        <v>7434</v>
      </c>
      <c r="L326" s="16">
        <f t="shared" ref="L326:L334" si="169">J326-K326</f>
        <v>1592</v>
      </c>
      <c r="M326" s="16"/>
      <c r="N326" s="17"/>
      <c r="O326" s="82">
        <v>2019</v>
      </c>
      <c r="P326" s="83" t="s">
        <v>44</v>
      </c>
      <c r="Q326" s="15">
        <f t="shared" ref="Q326:Q334" si="170">Y326/V326</f>
        <v>0.84173746231844337</v>
      </c>
      <c r="R326" s="15">
        <f t="shared" ref="R326:R334" si="171">Y326/X326</f>
        <v>0.86521126760563383</v>
      </c>
      <c r="S326" s="15">
        <f t="shared" ref="S326:S334" si="172">X326/V326</f>
        <v>0.97286927925459032</v>
      </c>
      <c r="T326" s="16">
        <v>275</v>
      </c>
      <c r="U326" s="16">
        <v>9</v>
      </c>
      <c r="V326" s="16">
        <v>7298</v>
      </c>
      <c r="W326" s="16">
        <f t="shared" si="162"/>
        <v>198</v>
      </c>
      <c r="X326" s="16">
        <v>7100</v>
      </c>
      <c r="Y326" s="16">
        <v>6143</v>
      </c>
      <c r="Z326" s="16">
        <f t="shared" si="163"/>
        <v>957</v>
      </c>
      <c r="AA326" s="16"/>
      <c r="AB326" s="17"/>
      <c r="AC326" s="94">
        <v>2019</v>
      </c>
      <c r="AD326" s="95" t="s">
        <v>44</v>
      </c>
      <c r="AE326" s="15">
        <f t="shared" ref="AE326:AE334" si="173">AM326/AJ326</f>
        <v>0.41037735849056606</v>
      </c>
      <c r="AF326" s="15">
        <f t="shared" ref="AF326:AF334" si="174">AM326/AL326</f>
        <v>0.4662379421221865</v>
      </c>
      <c r="AG326" s="15">
        <f t="shared" ref="AG326:AG334" si="175">AL326/AJ326</f>
        <v>0.88018867924528299</v>
      </c>
      <c r="AH326" s="16">
        <v>36</v>
      </c>
      <c r="AI326" s="16">
        <v>3</v>
      </c>
      <c r="AJ326" s="16">
        <v>1060</v>
      </c>
      <c r="AK326" s="16">
        <f t="shared" si="164"/>
        <v>127</v>
      </c>
      <c r="AL326" s="16">
        <v>933</v>
      </c>
      <c r="AM326" s="16">
        <v>435</v>
      </c>
      <c r="AN326" s="16">
        <f t="shared" si="165"/>
        <v>498</v>
      </c>
      <c r="AO326" s="16"/>
      <c r="AP326" s="17"/>
      <c r="AQ326" s="94">
        <v>2019</v>
      </c>
      <c r="AR326" s="95" t="s">
        <v>44</v>
      </c>
      <c r="AS326" s="15">
        <f t="shared" ref="AS326:AS334" si="176">BA326/AX326</f>
        <v>0.82307692307692304</v>
      </c>
      <c r="AT326" s="15">
        <f t="shared" ref="AT326:AT334" si="177">BA326/AZ326</f>
        <v>0.86203423967774417</v>
      </c>
      <c r="AU326" s="15">
        <f t="shared" ref="AU326:AU334" si="178">AZ326/AX326</f>
        <v>0.95480769230769236</v>
      </c>
      <c r="AV326" s="16">
        <v>16</v>
      </c>
      <c r="AW326" s="16">
        <v>3</v>
      </c>
      <c r="AX326" s="16">
        <v>1040</v>
      </c>
      <c r="AY326" s="16">
        <f t="shared" si="166"/>
        <v>47</v>
      </c>
      <c r="AZ326" s="16">
        <v>993</v>
      </c>
      <c r="BA326" s="16">
        <v>856</v>
      </c>
      <c r="BB326" s="16">
        <f t="shared" si="167"/>
        <v>137</v>
      </c>
    </row>
    <row r="327" spans="1:55" s="18" customFormat="1" ht="15" customHeight="1">
      <c r="A327" s="96">
        <v>2019</v>
      </c>
      <c r="B327" s="97" t="s">
        <v>45</v>
      </c>
      <c r="C327" s="15">
        <f t="shared" si="130"/>
        <v>0.78337609030271937</v>
      </c>
      <c r="D327" s="15">
        <f t="shared" si="131"/>
        <v>0.82699599176687244</v>
      </c>
      <c r="E327" s="15">
        <f t="shared" si="132"/>
        <v>0.94725500256541817</v>
      </c>
      <c r="F327" s="16">
        <f>+Tabla2[[#This Row],[Trenes Programados por Día Hábil]]+Tabla9[[#This Row],[Trenes Programados por Día Hábil]]+Tabla10[[#This Row],[Trenes Programados por Día Hábil]]</f>
        <v>327</v>
      </c>
      <c r="G327" s="33">
        <f>+(Tabla2[[#This Row],[Coches por Tren Día Hábil]]*Tabla2[[#This Row],[Trenes Corridos]]+Tabla9[[#This Row],[Coches por Tren Día Hábil]]*Tabla9[[#This Row],[Trenes Corridos]]+Tabla10[[#This Row],[Coches por Tren Día Hábil]]*Tabla10[[#This Row],[Trenes Corridos]])/SARM[[#This Row],[Trenes Corridos]]</f>
        <v>7.8215794605134867</v>
      </c>
      <c r="H327" s="16">
        <f t="shared" si="154"/>
        <v>9745</v>
      </c>
      <c r="I327" s="16">
        <f t="shared" si="168"/>
        <v>514</v>
      </c>
      <c r="J327" s="16">
        <f t="shared" si="135"/>
        <v>9231</v>
      </c>
      <c r="K327" s="16">
        <f t="shared" si="155"/>
        <v>7634</v>
      </c>
      <c r="L327" s="16">
        <f t="shared" si="169"/>
        <v>1597</v>
      </c>
      <c r="M327" s="16"/>
      <c r="N327" s="17"/>
      <c r="O327" s="82">
        <v>2019</v>
      </c>
      <c r="P327" s="83" t="s">
        <v>45</v>
      </c>
      <c r="Q327" s="15">
        <f t="shared" si="170"/>
        <v>0.83163871649280341</v>
      </c>
      <c r="R327" s="15">
        <f t="shared" si="171"/>
        <v>0.84901590725262877</v>
      </c>
      <c r="S327" s="15">
        <f t="shared" si="172"/>
        <v>0.97953254984814475</v>
      </c>
      <c r="T327" s="16">
        <v>275</v>
      </c>
      <c r="U327" s="16">
        <v>9</v>
      </c>
      <c r="V327" s="16">
        <v>7573</v>
      </c>
      <c r="W327" s="16">
        <f t="shared" si="162"/>
        <v>155</v>
      </c>
      <c r="X327" s="16">
        <v>7418</v>
      </c>
      <c r="Y327" s="16">
        <v>6298</v>
      </c>
      <c r="Z327" s="16">
        <f t="shared" si="163"/>
        <v>1120</v>
      </c>
      <c r="AA327" s="16"/>
      <c r="AB327" s="17"/>
      <c r="AC327" s="96">
        <v>2019</v>
      </c>
      <c r="AD327" s="97" t="s">
        <v>45</v>
      </c>
      <c r="AE327" s="15">
        <f t="shared" si="173"/>
        <v>0.76733576642335766</v>
      </c>
      <c r="AF327" s="15">
        <f t="shared" si="174"/>
        <v>0.83432539682539686</v>
      </c>
      <c r="AG327" s="15">
        <f t="shared" si="175"/>
        <v>0.91970802919708028</v>
      </c>
      <c r="AH327" s="16">
        <v>36</v>
      </c>
      <c r="AI327" s="16">
        <v>3</v>
      </c>
      <c r="AJ327" s="16">
        <v>1096</v>
      </c>
      <c r="AK327" s="16">
        <f t="shared" si="164"/>
        <v>88</v>
      </c>
      <c r="AL327" s="16">
        <v>1008</v>
      </c>
      <c r="AM327" s="16">
        <v>841</v>
      </c>
      <c r="AN327" s="16">
        <f t="shared" si="165"/>
        <v>167</v>
      </c>
      <c r="AO327" s="16"/>
      <c r="AP327" s="17"/>
      <c r="AQ327" s="96">
        <v>2019</v>
      </c>
      <c r="AR327" s="97" t="s">
        <v>45</v>
      </c>
      <c r="AS327" s="15">
        <f t="shared" si="176"/>
        <v>0.4600371747211896</v>
      </c>
      <c r="AT327" s="15">
        <f t="shared" si="177"/>
        <v>0.6149068322981367</v>
      </c>
      <c r="AU327" s="15">
        <f t="shared" si="178"/>
        <v>0.7481412639405205</v>
      </c>
      <c r="AV327" s="16">
        <v>16</v>
      </c>
      <c r="AW327" s="16">
        <v>3</v>
      </c>
      <c r="AX327" s="16">
        <v>1076</v>
      </c>
      <c r="AY327" s="16">
        <f t="shared" si="166"/>
        <v>271</v>
      </c>
      <c r="AZ327" s="16">
        <v>805</v>
      </c>
      <c r="BA327" s="16">
        <v>495</v>
      </c>
      <c r="BB327" s="16">
        <f t="shared" si="167"/>
        <v>310</v>
      </c>
    </row>
    <row r="328" spans="1:55" s="18" customFormat="1" ht="15" customHeight="1">
      <c r="A328" s="94">
        <v>2019</v>
      </c>
      <c r="B328" s="95" t="s">
        <v>46</v>
      </c>
      <c r="C328" s="15">
        <f t="shared" si="130"/>
        <v>0.7751259032187432</v>
      </c>
      <c r="D328" s="15">
        <f t="shared" si="131"/>
        <v>0.84125475285171103</v>
      </c>
      <c r="E328" s="15">
        <f t="shared" si="132"/>
        <v>0.92139259908035909</v>
      </c>
      <c r="F328" s="16">
        <f>+Tabla2[[#This Row],[Trenes Programados por Día Hábil]]+Tabla9[[#This Row],[Trenes Programados por Día Hábil]]+Tabla10[[#This Row],[Trenes Programados por Día Hábil]]</f>
        <v>327</v>
      </c>
      <c r="G328" s="33">
        <f>+(Tabla2[[#This Row],[Coches por Tren Día Hábil]]*Tabla2[[#This Row],[Trenes Corridos]]+Tabla9[[#This Row],[Coches por Tren Día Hábil]]*Tabla9[[#This Row],[Trenes Corridos]]+Tabla10[[#This Row],[Coches por Tren Día Hábil]]*Tabla10[[#This Row],[Trenes Corridos]])/SARM[[#This Row],[Trenes Corridos]]</f>
        <v>7.9070817490494294</v>
      </c>
      <c r="H328" s="16">
        <f t="shared" si="154"/>
        <v>9134</v>
      </c>
      <c r="I328" s="16">
        <f t="shared" si="168"/>
        <v>718</v>
      </c>
      <c r="J328" s="16">
        <f t="shared" si="135"/>
        <v>8416</v>
      </c>
      <c r="K328" s="16">
        <f t="shared" si="155"/>
        <v>7080</v>
      </c>
      <c r="L328" s="16">
        <f t="shared" si="169"/>
        <v>1336</v>
      </c>
      <c r="M328" s="16"/>
      <c r="N328" s="17"/>
      <c r="O328" s="82">
        <v>2019</v>
      </c>
      <c r="P328" s="83" t="s">
        <v>46</v>
      </c>
      <c r="Q328" s="15">
        <f t="shared" si="170"/>
        <v>0.80206896551724138</v>
      </c>
      <c r="R328" s="15">
        <f t="shared" si="171"/>
        <v>0.84483510097341274</v>
      </c>
      <c r="S328" s="15">
        <f t="shared" si="172"/>
        <v>0.94937931034482759</v>
      </c>
      <c r="T328" s="16">
        <v>275</v>
      </c>
      <c r="U328" s="16">
        <v>9</v>
      </c>
      <c r="V328" s="16">
        <v>7250</v>
      </c>
      <c r="W328" s="16">
        <f t="shared" si="162"/>
        <v>367</v>
      </c>
      <c r="X328" s="16">
        <v>6883</v>
      </c>
      <c r="Y328" s="16">
        <v>5815</v>
      </c>
      <c r="Z328" s="16">
        <f t="shared" si="163"/>
        <v>1068</v>
      </c>
      <c r="AA328" s="16"/>
      <c r="AB328" s="17"/>
      <c r="AC328" s="94">
        <v>2019</v>
      </c>
      <c r="AD328" s="95" t="s">
        <v>46</v>
      </c>
      <c r="AE328" s="15">
        <f t="shared" si="173"/>
        <v>0.70283018867924529</v>
      </c>
      <c r="AF328" s="15">
        <f t="shared" si="174"/>
        <v>0.82229580573951433</v>
      </c>
      <c r="AG328" s="15">
        <f t="shared" si="175"/>
        <v>0.8547169811320755</v>
      </c>
      <c r="AH328" s="16">
        <v>36</v>
      </c>
      <c r="AI328" s="16">
        <v>3</v>
      </c>
      <c r="AJ328" s="16">
        <v>1060</v>
      </c>
      <c r="AK328" s="16">
        <f t="shared" si="164"/>
        <v>154</v>
      </c>
      <c r="AL328" s="16">
        <v>906</v>
      </c>
      <c r="AM328" s="16">
        <v>745</v>
      </c>
      <c r="AN328" s="16">
        <f t="shared" si="165"/>
        <v>161</v>
      </c>
      <c r="AO328" s="16"/>
      <c r="AP328" s="17"/>
      <c r="AQ328" s="94">
        <v>2019</v>
      </c>
      <c r="AR328" s="95" t="s">
        <v>46</v>
      </c>
      <c r="AS328" s="15">
        <f t="shared" si="176"/>
        <v>0.6310679611650486</v>
      </c>
      <c r="AT328" s="15">
        <f t="shared" si="177"/>
        <v>0.82934609250398728</v>
      </c>
      <c r="AU328" s="15">
        <f t="shared" si="178"/>
        <v>0.76092233009708743</v>
      </c>
      <c r="AV328" s="16">
        <v>16</v>
      </c>
      <c r="AW328" s="16">
        <v>3</v>
      </c>
      <c r="AX328" s="16">
        <v>824</v>
      </c>
      <c r="AY328" s="16">
        <f t="shared" si="166"/>
        <v>197</v>
      </c>
      <c r="AZ328" s="16">
        <v>627</v>
      </c>
      <c r="BA328" s="16">
        <v>520</v>
      </c>
      <c r="BB328" s="16">
        <f t="shared" si="167"/>
        <v>107</v>
      </c>
    </row>
    <row r="329" spans="1:55" s="18" customFormat="1" ht="15" customHeight="1">
      <c r="A329" s="96">
        <v>2019</v>
      </c>
      <c r="B329" s="97" t="s">
        <v>47</v>
      </c>
      <c r="C329" s="15">
        <f t="shared" si="130"/>
        <v>0.73205586229295228</v>
      </c>
      <c r="D329" s="15">
        <f t="shared" si="131"/>
        <v>0.82003395585738537</v>
      </c>
      <c r="E329" s="15">
        <f t="shared" si="132"/>
        <v>0.89271408465952151</v>
      </c>
      <c r="F329" s="16">
        <f>+Tabla2[[#This Row],[Trenes Programados por Día Hábil]]+Tabla9[[#This Row],[Trenes Programados por Día Hábil]]+Tabla10[[#This Row],[Trenes Programados por Día Hábil]]</f>
        <v>327</v>
      </c>
      <c r="G329" s="33">
        <f>+(Tabla2[[#This Row],[Coches por Tren Día Hábil]]*Tabla2[[#This Row],[Trenes Corridos]]+Tabla9[[#This Row],[Coches por Tren Día Hábil]]*Tabla9[[#This Row],[Trenes Corridos]]+Tabla10[[#This Row],[Coches por Tren Día Hábil]]*Tabla10[[#This Row],[Trenes Corridos]])/SARM[[#This Row],[Trenes Corridos]]</f>
        <v>7.8750909531894253</v>
      </c>
      <c r="H329" s="16">
        <f t="shared" si="154"/>
        <v>9237</v>
      </c>
      <c r="I329" s="16">
        <f t="shared" si="168"/>
        <v>991</v>
      </c>
      <c r="J329" s="16">
        <f t="shared" si="135"/>
        <v>8246</v>
      </c>
      <c r="K329" s="16">
        <f t="shared" si="155"/>
        <v>6762</v>
      </c>
      <c r="L329" s="16">
        <f t="shared" si="169"/>
        <v>1484</v>
      </c>
      <c r="M329" s="16"/>
      <c r="N329" s="25"/>
      <c r="O329" s="82">
        <v>2019</v>
      </c>
      <c r="P329" s="83" t="s">
        <v>47</v>
      </c>
      <c r="Q329" s="15">
        <f t="shared" si="170"/>
        <v>0.74389078498293515</v>
      </c>
      <c r="R329" s="15">
        <f t="shared" si="171"/>
        <v>0.8132835820895522</v>
      </c>
      <c r="S329" s="15">
        <f t="shared" si="172"/>
        <v>0.91467576791808869</v>
      </c>
      <c r="T329" s="16">
        <v>275</v>
      </c>
      <c r="U329" s="16">
        <v>9</v>
      </c>
      <c r="V329" s="16">
        <v>7325</v>
      </c>
      <c r="W329" s="16">
        <f t="shared" si="162"/>
        <v>625</v>
      </c>
      <c r="X329" s="16">
        <v>6700</v>
      </c>
      <c r="Y329" s="16">
        <v>5449</v>
      </c>
      <c r="Z329" s="16">
        <f t="shared" si="163"/>
        <v>1251</v>
      </c>
      <c r="AA329" s="16"/>
      <c r="AB329" s="17"/>
      <c r="AC329" s="96">
        <v>2019</v>
      </c>
      <c r="AD329" s="97" t="s">
        <v>47</v>
      </c>
      <c r="AE329" s="15">
        <f t="shared" si="173"/>
        <v>0.66575091575091572</v>
      </c>
      <c r="AF329" s="15">
        <f t="shared" si="174"/>
        <v>0.7945355191256831</v>
      </c>
      <c r="AG329" s="15">
        <f t="shared" si="175"/>
        <v>0.83791208791208793</v>
      </c>
      <c r="AH329" s="16">
        <v>36</v>
      </c>
      <c r="AI329" s="16">
        <v>3</v>
      </c>
      <c r="AJ329" s="16">
        <v>1092</v>
      </c>
      <c r="AK329" s="16">
        <f t="shared" si="164"/>
        <v>177</v>
      </c>
      <c r="AL329" s="16">
        <v>915</v>
      </c>
      <c r="AM329" s="16">
        <v>727</v>
      </c>
      <c r="AN329" s="16">
        <f t="shared" si="165"/>
        <v>188</v>
      </c>
      <c r="AO329" s="16"/>
      <c r="AP329" s="17"/>
      <c r="AQ329" s="96">
        <v>2019</v>
      </c>
      <c r="AR329" s="97" t="s">
        <v>47</v>
      </c>
      <c r="AS329" s="15">
        <f t="shared" si="176"/>
        <v>0.71463414634146338</v>
      </c>
      <c r="AT329" s="15">
        <f t="shared" si="177"/>
        <v>0.92868462757527737</v>
      </c>
      <c r="AU329" s="15">
        <f t="shared" si="178"/>
        <v>0.76951219512195124</v>
      </c>
      <c r="AV329" s="16">
        <v>16</v>
      </c>
      <c r="AW329" s="16">
        <v>3</v>
      </c>
      <c r="AX329" s="16">
        <v>820</v>
      </c>
      <c r="AY329" s="16">
        <f t="shared" si="166"/>
        <v>189</v>
      </c>
      <c r="AZ329" s="16">
        <v>631</v>
      </c>
      <c r="BA329" s="16">
        <v>586</v>
      </c>
      <c r="BB329" s="16">
        <f t="shared" si="167"/>
        <v>45</v>
      </c>
    </row>
    <row r="330" spans="1:55" s="18" customFormat="1" ht="15" customHeight="1">
      <c r="A330" s="94">
        <v>2020</v>
      </c>
      <c r="B330" s="95" t="s">
        <v>36</v>
      </c>
      <c r="C330" s="15">
        <f t="shared" ref="C330:C364" si="179">K330/H330</f>
        <v>0.83858060440138993</v>
      </c>
      <c r="D330" s="15">
        <f t="shared" ref="D330:D364" si="180">K330/J330</f>
        <v>0.87238470807317336</v>
      </c>
      <c r="E330" s="15">
        <f t="shared" ref="E330:E364" si="181">J330/H330</f>
        <v>0.96125092134358214</v>
      </c>
      <c r="F330" s="16">
        <f>+Tabla2[[#This Row],[Trenes Programados por Día Hábil]]+Tabla9[[#This Row],[Trenes Programados por Día Hábil]]+Tabla10[[#This Row],[Trenes Programados por Día Hábil]]</f>
        <v>327</v>
      </c>
      <c r="G330" s="33">
        <f>+(Tabla2[[#This Row],[Coches por Tren Día Hábil]]*Tabla2[[#This Row],[Trenes Corridos]]+Tabla9[[#This Row],[Coches por Tren Día Hábil]]*Tabla9[[#This Row],[Trenes Corridos]]+Tabla10[[#This Row],[Coches por Tren Día Hábil]]*Tabla10[[#This Row],[Trenes Corridos]])/SARM[[#This Row],[Trenes Corridos]]</f>
        <v>7.8504765034505422</v>
      </c>
      <c r="H330" s="16">
        <f t="shared" si="154"/>
        <v>9497</v>
      </c>
      <c r="I330" s="16">
        <f t="shared" si="168"/>
        <v>368</v>
      </c>
      <c r="J330" s="16">
        <f t="shared" si="135"/>
        <v>9129</v>
      </c>
      <c r="K330" s="16">
        <f t="shared" si="155"/>
        <v>7964</v>
      </c>
      <c r="L330" s="16">
        <f t="shared" si="169"/>
        <v>1165</v>
      </c>
      <c r="M330" s="16"/>
      <c r="N330" s="17"/>
      <c r="O330" s="82">
        <v>2020</v>
      </c>
      <c r="P330" s="83" t="s">
        <v>36</v>
      </c>
      <c r="Q330" s="15">
        <f t="shared" si="170"/>
        <v>0.85567146441304631</v>
      </c>
      <c r="R330" s="15">
        <f t="shared" si="171"/>
        <v>0.87804878048780488</v>
      </c>
      <c r="S330" s="15">
        <f t="shared" si="172"/>
        <v>0.97451472335930278</v>
      </c>
      <c r="T330" s="16">
        <v>275</v>
      </c>
      <c r="U330" s="16">
        <v>9</v>
      </c>
      <c r="V330" s="16">
        <v>7573</v>
      </c>
      <c r="W330" s="16">
        <f t="shared" si="162"/>
        <v>193</v>
      </c>
      <c r="X330" s="16">
        <v>7380</v>
      </c>
      <c r="Y330" s="16">
        <v>6480</v>
      </c>
      <c r="Z330" s="16">
        <f t="shared" si="163"/>
        <v>900</v>
      </c>
      <c r="AA330" s="16"/>
      <c r="AB330" s="17"/>
      <c r="AC330" s="94">
        <v>2020</v>
      </c>
      <c r="AD330" s="95" t="s">
        <v>36</v>
      </c>
      <c r="AE330" s="15">
        <f t="shared" si="173"/>
        <v>0.78375912408759119</v>
      </c>
      <c r="AF330" s="15">
        <f t="shared" si="174"/>
        <v>0.82200956937799041</v>
      </c>
      <c r="AG330" s="15">
        <f t="shared" si="175"/>
        <v>0.95346715328467158</v>
      </c>
      <c r="AH330" s="16">
        <v>36</v>
      </c>
      <c r="AI330" s="16">
        <v>3</v>
      </c>
      <c r="AJ330" s="16">
        <v>1096</v>
      </c>
      <c r="AK330" s="16">
        <f t="shared" si="164"/>
        <v>51</v>
      </c>
      <c r="AL330" s="16">
        <v>1045</v>
      </c>
      <c r="AM330" s="16">
        <v>859</v>
      </c>
      <c r="AN330" s="16">
        <f t="shared" si="165"/>
        <v>186</v>
      </c>
      <c r="AO330" s="16"/>
      <c r="AP330" s="17"/>
      <c r="AQ330" s="94">
        <v>2020</v>
      </c>
      <c r="AR330" s="95" t="s">
        <v>36</v>
      </c>
      <c r="AS330" s="15">
        <f t="shared" si="176"/>
        <v>0.75483091787439616</v>
      </c>
      <c r="AT330" s="15">
        <f t="shared" si="177"/>
        <v>0.88778409090909094</v>
      </c>
      <c r="AU330" s="15">
        <f t="shared" si="178"/>
        <v>0.85024154589371981</v>
      </c>
      <c r="AV330" s="16">
        <v>16</v>
      </c>
      <c r="AW330" s="16">
        <v>3</v>
      </c>
      <c r="AX330" s="16">
        <v>828</v>
      </c>
      <c r="AY330" s="16">
        <f t="shared" si="166"/>
        <v>124</v>
      </c>
      <c r="AZ330" s="16">
        <v>704</v>
      </c>
      <c r="BA330" s="16">
        <v>625</v>
      </c>
      <c r="BB330" s="16">
        <f t="shared" si="167"/>
        <v>79</v>
      </c>
    </row>
    <row r="331" spans="1:55" s="18" customFormat="1" ht="15" customHeight="1">
      <c r="A331" s="96">
        <v>2020</v>
      </c>
      <c r="B331" s="97" t="s">
        <v>37</v>
      </c>
      <c r="C331" s="15">
        <f t="shared" si="179"/>
        <v>0.8450098756825839</v>
      </c>
      <c r="D331" s="15">
        <f t="shared" si="180"/>
        <v>0.8878173828125</v>
      </c>
      <c r="E331" s="15">
        <f t="shared" si="181"/>
        <v>0.95178343209015914</v>
      </c>
      <c r="F331" s="16">
        <f>+Tabla2[[#This Row],[Trenes Programados por Día Hábil]]+Tabla9[[#This Row],[Trenes Programados por Día Hábil]]+Tabla10[[#This Row],[Trenes Programados por Día Hábil]]</f>
        <v>327</v>
      </c>
      <c r="G331" s="33">
        <f>+(Tabla2[[#This Row],[Coches por Tren Día Hábil]]*Tabla2[[#This Row],[Trenes Corridos]]+Tabla9[[#This Row],[Coches por Tren Día Hábil]]*Tabla9[[#This Row],[Trenes Corridos]]+Tabla10[[#This Row],[Coches por Tren Día Hábil]]*Tabla10[[#This Row],[Trenes Corridos]])/SARM[[#This Row],[Trenes Corridos]]</f>
        <v>7.8896484375</v>
      </c>
      <c r="H331" s="16">
        <f t="shared" si="154"/>
        <v>8607</v>
      </c>
      <c r="I331" s="16">
        <f t="shared" si="168"/>
        <v>415</v>
      </c>
      <c r="J331" s="16">
        <f t="shared" si="135"/>
        <v>8192</v>
      </c>
      <c r="K331" s="16">
        <f t="shared" si="155"/>
        <v>7273</v>
      </c>
      <c r="L331" s="16">
        <f t="shared" si="169"/>
        <v>919</v>
      </c>
      <c r="M331" s="16"/>
      <c r="N331" s="17"/>
      <c r="O331" s="82">
        <v>2020</v>
      </c>
      <c r="P331" s="83" t="s">
        <v>37</v>
      </c>
      <c r="Q331" s="15">
        <f t="shared" si="170"/>
        <v>0.87879232009380037</v>
      </c>
      <c r="R331" s="15">
        <f t="shared" si="171"/>
        <v>0.89814260035949667</v>
      </c>
      <c r="S331" s="15">
        <f t="shared" si="172"/>
        <v>0.97845522497435145</v>
      </c>
      <c r="T331" s="16">
        <v>275</v>
      </c>
      <c r="U331" s="16">
        <v>9</v>
      </c>
      <c r="V331" s="16">
        <v>6823</v>
      </c>
      <c r="W331" s="16">
        <f t="shared" si="162"/>
        <v>147</v>
      </c>
      <c r="X331" s="16">
        <v>6676</v>
      </c>
      <c r="Y331" s="16">
        <v>5996</v>
      </c>
      <c r="Z331" s="16">
        <f t="shared" si="163"/>
        <v>680</v>
      </c>
      <c r="AA331" s="16"/>
      <c r="AB331" s="17"/>
      <c r="AC331" s="96">
        <v>2020</v>
      </c>
      <c r="AD331" s="97" t="s">
        <v>37</v>
      </c>
      <c r="AE331" s="15">
        <f t="shared" si="173"/>
        <v>0.71470588235294119</v>
      </c>
      <c r="AF331" s="15">
        <f t="shared" si="174"/>
        <v>0.80730897009966773</v>
      </c>
      <c r="AG331" s="15">
        <f t="shared" si="175"/>
        <v>0.88529411764705879</v>
      </c>
      <c r="AH331" s="16">
        <v>36</v>
      </c>
      <c r="AI331" s="16">
        <v>3</v>
      </c>
      <c r="AJ331" s="16">
        <v>1020</v>
      </c>
      <c r="AK331" s="16">
        <f t="shared" si="164"/>
        <v>117</v>
      </c>
      <c r="AL331" s="16">
        <v>903</v>
      </c>
      <c r="AM331" s="16">
        <v>729</v>
      </c>
      <c r="AN331" s="16">
        <f t="shared" si="165"/>
        <v>174</v>
      </c>
      <c r="AO331" s="16"/>
      <c r="AP331" s="17"/>
      <c r="AQ331" s="96">
        <v>2020</v>
      </c>
      <c r="AR331" s="97" t="s">
        <v>37</v>
      </c>
      <c r="AS331" s="15">
        <f t="shared" si="176"/>
        <v>0.7172774869109948</v>
      </c>
      <c r="AT331" s="15">
        <f t="shared" si="177"/>
        <v>0.89396411092985317</v>
      </c>
      <c r="AU331" s="15">
        <f t="shared" si="178"/>
        <v>0.80235602094240843</v>
      </c>
      <c r="AV331" s="16">
        <v>16</v>
      </c>
      <c r="AW331" s="16">
        <v>3</v>
      </c>
      <c r="AX331" s="16">
        <v>764</v>
      </c>
      <c r="AY331" s="16">
        <f t="shared" si="166"/>
        <v>151</v>
      </c>
      <c r="AZ331" s="16">
        <v>613</v>
      </c>
      <c r="BA331" s="16">
        <v>548</v>
      </c>
      <c r="BB331" s="16">
        <f t="shared" si="167"/>
        <v>65</v>
      </c>
    </row>
    <row r="332" spans="1:55" s="18" customFormat="1" ht="15" customHeight="1">
      <c r="A332" s="82">
        <v>2020</v>
      </c>
      <c r="B332" s="83" t="s">
        <v>38</v>
      </c>
      <c r="C332" s="15">
        <f t="shared" si="179"/>
        <v>0.72811178054095627</v>
      </c>
      <c r="D332" s="15">
        <f t="shared" si="180"/>
        <v>0.87103205029903386</v>
      </c>
      <c r="E332" s="15">
        <f t="shared" si="181"/>
        <v>0.83591847199077041</v>
      </c>
      <c r="F332" s="16">
        <f>+Tabla2[[#This Row],[Trenes Programados por Día Hábil]]+Tabla9[[#This Row],[Trenes Programados por Día Hábil]]+Tabla10[[#This Row],[Trenes Programados por Día Hábil]]</f>
        <v>327</v>
      </c>
      <c r="G332" s="33">
        <f>+(Tabla2[[#This Row],[Coches por Tren Día Hábil]]*Tabla2[[#This Row],[Trenes Corridos]]+Tabla9[[#This Row],[Coches por Tren Día Hábil]]*Tabla9[[#This Row],[Trenes Corridos]]+Tabla10[[#This Row],[Coches por Tren Día Hábil]]*Tabla10[[#This Row],[Trenes Corridos]])/SARM[[#This Row],[Trenes Corridos]]</f>
        <v>7.7946633951847879</v>
      </c>
      <c r="H332" s="16">
        <f t="shared" si="154"/>
        <v>7801</v>
      </c>
      <c r="I332" s="16">
        <f t="shared" si="168"/>
        <v>1280</v>
      </c>
      <c r="J332" s="16">
        <f t="shared" ref="J332:J356" si="182">+X332+AL332+AZ332</f>
        <v>6521</v>
      </c>
      <c r="K332" s="16">
        <f t="shared" si="155"/>
        <v>5680</v>
      </c>
      <c r="L332" s="16">
        <f t="shared" si="169"/>
        <v>841</v>
      </c>
      <c r="M332" s="16"/>
      <c r="N332" s="16"/>
      <c r="O332" s="82">
        <v>2020</v>
      </c>
      <c r="P332" s="83" t="s">
        <v>38</v>
      </c>
      <c r="Q332" s="15">
        <f t="shared" si="170"/>
        <v>0.75987993996998504</v>
      </c>
      <c r="R332" s="15">
        <f t="shared" si="171"/>
        <v>0.87449625791594698</v>
      </c>
      <c r="S332" s="15">
        <f t="shared" si="172"/>
        <v>0.86893446723361678</v>
      </c>
      <c r="T332" s="16">
        <v>275</v>
      </c>
      <c r="U332" s="16">
        <v>9</v>
      </c>
      <c r="V332" s="16">
        <v>5997</v>
      </c>
      <c r="W332" s="16">
        <f t="shared" si="162"/>
        <v>786</v>
      </c>
      <c r="X332" s="16">
        <v>5211</v>
      </c>
      <c r="Y332" s="16">
        <v>4557</v>
      </c>
      <c r="Z332" s="16">
        <f t="shared" si="163"/>
        <v>654</v>
      </c>
      <c r="AA332" s="16"/>
      <c r="AB332" s="16"/>
      <c r="AC332" s="82">
        <v>2020</v>
      </c>
      <c r="AD332" s="83" t="s">
        <v>38</v>
      </c>
      <c r="AE332" s="15">
        <f t="shared" si="173"/>
        <v>0.59753787878787878</v>
      </c>
      <c r="AF332" s="15">
        <f t="shared" si="174"/>
        <v>0.82699868938401044</v>
      </c>
      <c r="AG332" s="15">
        <f t="shared" si="175"/>
        <v>0.72253787878787878</v>
      </c>
      <c r="AH332" s="16">
        <v>36</v>
      </c>
      <c r="AI332" s="16">
        <v>3</v>
      </c>
      <c r="AJ332" s="16">
        <v>1056</v>
      </c>
      <c r="AK332" s="16">
        <f t="shared" si="164"/>
        <v>293</v>
      </c>
      <c r="AL332" s="16">
        <v>763</v>
      </c>
      <c r="AM332" s="16">
        <v>631</v>
      </c>
      <c r="AN332" s="16">
        <f t="shared" si="165"/>
        <v>132</v>
      </c>
      <c r="AO332" s="16"/>
      <c r="AP332" s="16"/>
      <c r="AQ332" s="82">
        <v>2020</v>
      </c>
      <c r="AR332" s="83" t="s">
        <v>38</v>
      </c>
      <c r="AS332" s="15">
        <f t="shared" si="176"/>
        <v>0.65775401069518713</v>
      </c>
      <c r="AT332" s="15">
        <f t="shared" si="177"/>
        <v>0.89945155393053011</v>
      </c>
      <c r="AU332" s="15">
        <f t="shared" si="178"/>
        <v>0.73128342245989308</v>
      </c>
      <c r="AV332" s="16">
        <v>16</v>
      </c>
      <c r="AW332" s="16">
        <v>3</v>
      </c>
      <c r="AX332" s="16">
        <v>748</v>
      </c>
      <c r="AY332" s="16">
        <f t="shared" si="166"/>
        <v>201</v>
      </c>
      <c r="AZ332" s="16">
        <v>547</v>
      </c>
      <c r="BA332" s="16">
        <v>492</v>
      </c>
      <c r="BB332" s="16">
        <f t="shared" si="167"/>
        <v>55</v>
      </c>
    </row>
    <row r="333" spans="1:55" s="18" customFormat="1" ht="15" customHeight="1">
      <c r="A333" s="82">
        <v>2020</v>
      </c>
      <c r="B333" s="83" t="s">
        <v>39</v>
      </c>
      <c r="C333" s="15">
        <f t="shared" si="179"/>
        <v>0.68894044856921888</v>
      </c>
      <c r="D333" s="15">
        <f t="shared" si="180"/>
        <v>0.91345365053322392</v>
      </c>
      <c r="E333" s="15">
        <f t="shared" si="181"/>
        <v>0.75421500386697604</v>
      </c>
      <c r="F333" s="16">
        <f>+Tabla2[[#This Row],[Trenes Programados por Día Hábil]]+Tabla9[[#This Row],[Trenes Programados por Día Hábil]]+Tabla10[[#This Row],[Trenes Programados por Día Hábil]]</f>
        <v>327</v>
      </c>
      <c r="G333" s="33">
        <f>+(Tabla2[[#This Row],[Coches por Tren Día Hábil]]*Tabla2[[#This Row],[Trenes Corridos]]+Tabla9[[#This Row],[Coches por Tren Día Hábil]]*Tabla9[[#This Row],[Trenes Corridos]]+Tabla10[[#This Row],[Coches por Tren Día Hábil]]*Tabla10[[#This Row],[Trenes Corridos]])/SARM[[#This Row],[Trenes Corridos]]</f>
        <v>7.9762100082034451</v>
      </c>
      <c r="H333" s="16">
        <f t="shared" si="154"/>
        <v>6465</v>
      </c>
      <c r="I333" s="16">
        <f t="shared" si="168"/>
        <v>1589</v>
      </c>
      <c r="J333" s="16">
        <f t="shared" si="182"/>
        <v>4876</v>
      </c>
      <c r="K333" s="16">
        <f t="shared" si="155"/>
        <v>4454</v>
      </c>
      <c r="L333" s="16">
        <f t="shared" si="169"/>
        <v>422</v>
      </c>
      <c r="M333" s="16"/>
      <c r="N333" s="16"/>
      <c r="O333" s="82">
        <v>2020</v>
      </c>
      <c r="P333" s="83" t="s">
        <v>39</v>
      </c>
      <c r="Q333" s="15">
        <f t="shared" si="170"/>
        <v>0.69729225023342667</v>
      </c>
      <c r="R333" s="15">
        <f t="shared" si="171"/>
        <v>0.92334322453016815</v>
      </c>
      <c r="S333" s="15">
        <f t="shared" si="172"/>
        <v>0.75518207282913163</v>
      </c>
      <c r="T333" s="16">
        <v>275</v>
      </c>
      <c r="U333" s="16">
        <v>9</v>
      </c>
      <c r="V333" s="16">
        <v>5355</v>
      </c>
      <c r="W333" s="16">
        <f t="shared" si="162"/>
        <v>1311</v>
      </c>
      <c r="X333" s="16">
        <v>4044</v>
      </c>
      <c r="Y333" s="16">
        <v>3734</v>
      </c>
      <c r="Z333" s="16">
        <f t="shared" si="163"/>
        <v>310</v>
      </c>
      <c r="AA333" s="16"/>
      <c r="AB333" s="16"/>
      <c r="AC333" s="82">
        <v>2020</v>
      </c>
      <c r="AD333" s="83" t="s">
        <v>39</v>
      </c>
      <c r="AE333" s="15">
        <f t="shared" si="173"/>
        <v>0.7803921568627451</v>
      </c>
      <c r="AF333" s="15">
        <f t="shared" si="174"/>
        <v>0.90045248868778283</v>
      </c>
      <c r="AG333" s="15">
        <f t="shared" si="175"/>
        <v>0.8666666666666667</v>
      </c>
      <c r="AH333" s="16">
        <v>36</v>
      </c>
      <c r="AI333" s="16">
        <v>3</v>
      </c>
      <c r="AJ333" s="16">
        <v>510</v>
      </c>
      <c r="AK333" s="16">
        <f t="shared" si="164"/>
        <v>68</v>
      </c>
      <c r="AL333" s="16">
        <v>442</v>
      </c>
      <c r="AM333" s="16">
        <v>398</v>
      </c>
      <c r="AN333" s="16">
        <f t="shared" si="165"/>
        <v>44</v>
      </c>
      <c r="AO333" s="19" t="s">
        <v>80</v>
      </c>
      <c r="AP333" s="16"/>
      <c r="AQ333" s="82">
        <v>2020</v>
      </c>
      <c r="AR333" s="83" t="s">
        <v>39</v>
      </c>
      <c r="AS333" s="15">
        <f t="shared" si="176"/>
        <v>0.53666666666666663</v>
      </c>
      <c r="AT333" s="15">
        <f t="shared" si="177"/>
        <v>0.82564102564102559</v>
      </c>
      <c r="AU333" s="15">
        <f t="shared" si="178"/>
        <v>0.65</v>
      </c>
      <c r="AV333" s="16">
        <v>16</v>
      </c>
      <c r="AW333" s="16">
        <v>3</v>
      </c>
      <c r="AX333" s="16">
        <v>600</v>
      </c>
      <c r="AY333" s="16">
        <f t="shared" si="166"/>
        <v>210</v>
      </c>
      <c r="AZ333" s="16">
        <v>390</v>
      </c>
      <c r="BA333" s="16">
        <v>322</v>
      </c>
      <c r="BB333" s="16">
        <f t="shared" si="167"/>
        <v>68</v>
      </c>
      <c r="BC333" s="19" t="s">
        <v>80</v>
      </c>
    </row>
    <row r="334" spans="1:55" s="18" customFormat="1" ht="15" customHeight="1">
      <c r="A334" s="82">
        <v>2020</v>
      </c>
      <c r="B334" s="83" t="s">
        <v>40</v>
      </c>
      <c r="C334" s="15">
        <f t="shared" si="179"/>
        <v>0.74144960362400902</v>
      </c>
      <c r="D334" s="15">
        <f t="shared" si="180"/>
        <v>0.88700718059883488</v>
      </c>
      <c r="E334" s="15">
        <f t="shared" si="181"/>
        <v>0.83590033975084943</v>
      </c>
      <c r="F334" s="16">
        <f>+Tabla2[[#This Row],[Trenes Programados por Día Hábil]]+Tabla9[[#This Row],[Trenes Programados por Día Hábil]]+Tabla10[[#This Row],[Trenes Programados por Día Hábil]]</f>
        <v>327</v>
      </c>
      <c r="G334" s="33">
        <f>+(Tabla2[[#This Row],[Coches por Tren Día Hábil]]*Tabla2[[#This Row],[Trenes Corridos]]+Tabla9[[#This Row],[Coches por Tren Día Hábil]]*Tabla9[[#This Row],[Trenes Corridos]]+Tabla10[[#This Row],[Coches por Tren Día Hábil]]*Tabla10[[#This Row],[Trenes Corridos]])/SARM[[#This Row],[Trenes Corridos]]</f>
        <v>8.3610621866955697</v>
      </c>
      <c r="H334" s="16">
        <f t="shared" si="154"/>
        <v>8830</v>
      </c>
      <c r="I334" s="16">
        <f t="shared" si="168"/>
        <v>1449</v>
      </c>
      <c r="J334" s="16">
        <f t="shared" si="182"/>
        <v>7381</v>
      </c>
      <c r="K334" s="16">
        <f t="shared" si="155"/>
        <v>6547</v>
      </c>
      <c r="L334" s="16">
        <f t="shared" si="169"/>
        <v>834</v>
      </c>
      <c r="M334" s="16"/>
      <c r="N334" s="16"/>
      <c r="O334" s="82">
        <v>2020</v>
      </c>
      <c r="P334" s="83" t="s">
        <v>40</v>
      </c>
      <c r="Q334" s="15">
        <f t="shared" si="170"/>
        <v>0.81282903851482402</v>
      </c>
      <c r="R334" s="15">
        <f t="shared" si="171"/>
        <v>0.88961334344200149</v>
      </c>
      <c r="S334" s="15">
        <f t="shared" si="172"/>
        <v>0.91368800221668056</v>
      </c>
      <c r="T334" s="16">
        <v>275</v>
      </c>
      <c r="U334" s="16">
        <v>9</v>
      </c>
      <c r="V334" s="16">
        <v>7218</v>
      </c>
      <c r="W334" s="16">
        <f t="shared" si="162"/>
        <v>623</v>
      </c>
      <c r="X334" s="16">
        <v>6595</v>
      </c>
      <c r="Y334" s="16">
        <v>5867</v>
      </c>
      <c r="Z334" s="16">
        <f t="shared" si="163"/>
        <v>728</v>
      </c>
      <c r="AA334" s="16"/>
      <c r="AB334" s="16"/>
      <c r="AC334" s="82">
        <v>2020</v>
      </c>
      <c r="AD334" s="83" t="s">
        <v>40</v>
      </c>
      <c r="AE334" s="15">
        <f t="shared" si="173"/>
        <v>0.35181451612903225</v>
      </c>
      <c r="AF334" s="15">
        <f t="shared" si="174"/>
        <v>0.85121951219512193</v>
      </c>
      <c r="AG334" s="15">
        <f t="shared" si="175"/>
        <v>0.41330645161290325</v>
      </c>
      <c r="AH334" s="16">
        <v>36</v>
      </c>
      <c r="AI334" s="16">
        <v>3</v>
      </c>
      <c r="AJ334" s="16">
        <v>992</v>
      </c>
      <c r="AK334" s="16">
        <f t="shared" si="164"/>
        <v>582</v>
      </c>
      <c r="AL334" s="16">
        <v>410</v>
      </c>
      <c r="AM334" s="16">
        <v>349</v>
      </c>
      <c r="AN334" s="16">
        <f t="shared" si="165"/>
        <v>61</v>
      </c>
      <c r="AO334" s="19" t="s">
        <v>80</v>
      </c>
      <c r="AP334" s="16"/>
      <c r="AQ334" s="82">
        <v>2020</v>
      </c>
      <c r="AR334" s="83" t="s">
        <v>40</v>
      </c>
      <c r="AS334" s="15">
        <f t="shared" si="176"/>
        <v>0.53387096774193543</v>
      </c>
      <c r="AT334" s="15">
        <f t="shared" si="177"/>
        <v>0.88031914893617025</v>
      </c>
      <c r="AU334" s="15">
        <f t="shared" si="178"/>
        <v>0.6064516129032258</v>
      </c>
      <c r="AV334" s="16">
        <v>16</v>
      </c>
      <c r="AW334" s="16">
        <v>3</v>
      </c>
      <c r="AX334" s="16">
        <v>620</v>
      </c>
      <c r="AY334" s="16">
        <f t="shared" si="166"/>
        <v>244</v>
      </c>
      <c r="AZ334" s="16">
        <v>376</v>
      </c>
      <c r="BA334" s="16">
        <v>331</v>
      </c>
      <c r="BB334" s="16">
        <f t="shared" si="167"/>
        <v>45</v>
      </c>
      <c r="BC334" s="19" t="s">
        <v>80</v>
      </c>
    </row>
    <row r="335" spans="1:55" s="18" customFormat="1" ht="15" customHeight="1">
      <c r="A335" s="82">
        <v>2020</v>
      </c>
      <c r="B335" s="83" t="s">
        <v>41</v>
      </c>
      <c r="C335" s="15">
        <f t="shared" si="179"/>
        <v>0.75148859678687785</v>
      </c>
      <c r="D335" s="15">
        <f t="shared" si="180"/>
        <v>0.92735338971301817</v>
      </c>
      <c r="E335" s="15">
        <f t="shared" si="181"/>
        <v>0.81035838669812377</v>
      </c>
      <c r="F335" s="16">
        <f>+Tabla2[[#This Row],[Trenes Programados por Día Hábil]]+Tabla9[[#This Row],[Trenes Programados por Día Hábil]]+Tabla10[[#This Row],[Trenes Programados por Día Hábil]]</f>
        <v>327</v>
      </c>
      <c r="G335" s="33">
        <f>+(Tabla2[[#This Row],[Coches por Tren Día Hábil]]*Tabla2[[#This Row],[Trenes Corridos]]+Tabla9[[#This Row],[Coches por Tren Día Hábil]]*Tabla9[[#This Row],[Trenes Corridos]]+Tabla10[[#This Row],[Coches por Tren Día Hábil]]*Tabla10[[#This Row],[Trenes Corridos]])/SARM[[#This Row],[Trenes Corridos]]</f>
        <v>8.3278802162761671</v>
      </c>
      <c r="H335" s="16">
        <f t="shared" ref="H335:H362" si="183">+V335+AJ335+AX335</f>
        <v>8901</v>
      </c>
      <c r="I335" s="16">
        <f t="shared" ref="I335:I365" si="184">H335-J335</f>
        <v>1688</v>
      </c>
      <c r="J335" s="16">
        <f t="shared" si="182"/>
        <v>7213</v>
      </c>
      <c r="K335" s="16">
        <f t="shared" ref="K335:K355" si="185">+Y335+AM335+BA335</f>
        <v>6689</v>
      </c>
      <c r="L335" s="16">
        <f t="shared" ref="L335:L365" si="186">J335-K335</f>
        <v>524</v>
      </c>
      <c r="M335" s="16"/>
      <c r="O335" s="82">
        <v>2020</v>
      </c>
      <c r="P335" s="83" t="s">
        <v>41</v>
      </c>
      <c r="Q335" s="15">
        <f>Y335/V335</f>
        <v>0.81637379103664354</v>
      </c>
      <c r="R335" s="15">
        <f>Y335/X335</f>
        <v>0.93567525370804061</v>
      </c>
      <c r="S335" s="15">
        <f>X335/V335</f>
        <v>0.87249693502247649</v>
      </c>
      <c r="T335" s="16">
        <v>275</v>
      </c>
      <c r="U335" s="16">
        <v>9</v>
      </c>
      <c r="V335" s="16">
        <f>7193+148</f>
        <v>7341</v>
      </c>
      <c r="W335" s="16">
        <f t="shared" ref="W335:W341" si="187">V335-X335</f>
        <v>936</v>
      </c>
      <c r="X335" s="16">
        <v>6405</v>
      </c>
      <c r="Y335" s="16">
        <v>5993</v>
      </c>
      <c r="Z335" s="16">
        <f t="shared" ref="Z335:Z341" si="188">X335-Y335</f>
        <v>412</v>
      </c>
      <c r="AA335" s="16"/>
      <c r="AC335" s="82">
        <v>2020</v>
      </c>
      <c r="AD335" s="83" t="s">
        <v>41</v>
      </c>
      <c r="AE335" s="15">
        <f>AM335/AJ335</f>
        <v>0.35</v>
      </c>
      <c r="AF335" s="15">
        <f>AM335/AL335</f>
        <v>0.87728459530026115</v>
      </c>
      <c r="AG335" s="15">
        <f>AL335/AJ335</f>
        <v>0.39895833333333336</v>
      </c>
      <c r="AH335" s="16">
        <v>36</v>
      </c>
      <c r="AI335" s="16">
        <v>3</v>
      </c>
      <c r="AJ335" s="16">
        <v>960</v>
      </c>
      <c r="AK335" s="16">
        <f t="shared" ref="AK335:AK341" si="189">AJ335-AL335</f>
        <v>577</v>
      </c>
      <c r="AL335" s="16">
        <v>383</v>
      </c>
      <c r="AM335" s="16">
        <v>336</v>
      </c>
      <c r="AN335" s="16">
        <f t="shared" ref="AN335:AN341" si="190">AL335-AM335</f>
        <v>47</v>
      </c>
      <c r="AO335" s="19" t="s">
        <v>80</v>
      </c>
      <c r="AQ335" s="82">
        <v>2020</v>
      </c>
      <c r="AR335" s="83" t="s">
        <v>41</v>
      </c>
      <c r="AS335" s="15">
        <f>BA335/AX335</f>
        <v>0.6</v>
      </c>
      <c r="AT335" s="15">
        <f>BA335/AZ335</f>
        <v>0.84705882352941175</v>
      </c>
      <c r="AU335" s="15">
        <f>AZ335/AX335</f>
        <v>0.70833333333333337</v>
      </c>
      <c r="AV335" s="16">
        <v>16</v>
      </c>
      <c r="AW335" s="16">
        <v>3</v>
      </c>
      <c r="AX335" s="16">
        <v>600</v>
      </c>
      <c r="AY335" s="16">
        <f t="shared" ref="AY335:AY341" si="191">AX335-AZ335</f>
        <v>175</v>
      </c>
      <c r="AZ335" s="16">
        <v>425</v>
      </c>
      <c r="BA335" s="16">
        <v>360</v>
      </c>
      <c r="BB335" s="16">
        <f t="shared" ref="BB335:BB341" si="192">AZ335-BA335</f>
        <v>65</v>
      </c>
      <c r="BC335" s="19" t="s">
        <v>80</v>
      </c>
    </row>
    <row r="336" spans="1:55" s="18" customFormat="1" ht="15" customHeight="1">
      <c r="A336" s="82">
        <v>2020</v>
      </c>
      <c r="B336" s="83" t="s">
        <v>42</v>
      </c>
      <c r="C336" s="15">
        <f t="shared" si="179"/>
        <v>0.67791685292802861</v>
      </c>
      <c r="D336" s="15">
        <f t="shared" si="180"/>
        <v>0.91396715383456384</v>
      </c>
      <c r="E336" s="15">
        <f t="shared" si="181"/>
        <v>0.74172999552972729</v>
      </c>
      <c r="F336" s="16">
        <f>+Tabla2[[#This Row],[Trenes Programados por Día Hábil]]+Tabla9[[#This Row],[Trenes Programados por Día Hábil]]+Tabla10[[#This Row],[Trenes Programados por Día Hábil]]</f>
        <v>327</v>
      </c>
      <c r="G336" s="33">
        <f>+(Tabla2[[#This Row],[Coches por Tren Día Hábil]]*Tabla2[[#This Row],[Trenes Corridos]]+Tabla9[[#This Row],[Coches por Tren Día Hábil]]*Tabla9[[#This Row],[Trenes Corridos]]+Tabla10[[#This Row],[Coches por Tren Día Hábil]]*Tabla10[[#This Row],[Trenes Corridos]])/SARM[[#This Row],[Trenes Corridos]]</f>
        <v>8.2659334036462262</v>
      </c>
      <c r="H336" s="16">
        <f t="shared" si="183"/>
        <v>8948</v>
      </c>
      <c r="I336" s="16">
        <f t="shared" si="184"/>
        <v>2311</v>
      </c>
      <c r="J336" s="16">
        <f t="shared" si="182"/>
        <v>6637</v>
      </c>
      <c r="K336" s="16">
        <f t="shared" si="185"/>
        <v>6066</v>
      </c>
      <c r="L336" s="16">
        <f t="shared" si="186"/>
        <v>571</v>
      </c>
      <c r="M336" s="16"/>
      <c r="O336" s="82">
        <v>2020</v>
      </c>
      <c r="P336" s="83" t="s">
        <v>42</v>
      </c>
      <c r="Q336" s="44">
        <f t="shared" ref="Q336:Q341" si="193">Y336/V336</f>
        <v>0.72216216216216211</v>
      </c>
      <c r="R336" s="44">
        <f t="shared" ref="R336:R341" si="194">Y336/X336</f>
        <v>0.91742489270386263</v>
      </c>
      <c r="S336" s="44">
        <f t="shared" ref="S336:S341" si="195">X336/V336</f>
        <v>0.78716216216216217</v>
      </c>
      <c r="T336" s="16">
        <v>275</v>
      </c>
      <c r="U336" s="16">
        <v>9</v>
      </c>
      <c r="V336" s="16">
        <v>7400</v>
      </c>
      <c r="W336" s="16">
        <f t="shared" si="187"/>
        <v>1575</v>
      </c>
      <c r="X336" s="16">
        <v>5825</v>
      </c>
      <c r="Y336" s="16">
        <v>5344</v>
      </c>
      <c r="Z336" s="16">
        <f t="shared" si="188"/>
        <v>481</v>
      </c>
      <c r="AA336" s="16"/>
      <c r="AC336" s="82">
        <v>2020</v>
      </c>
      <c r="AD336" s="83" t="s">
        <v>41</v>
      </c>
      <c r="AE336" s="44">
        <f t="shared" ref="AE336:AE341" si="196">AM336/AJ336</f>
        <v>0.39415322580645162</v>
      </c>
      <c r="AF336" s="44">
        <f t="shared" ref="AF336:AF341" si="197">AM336/AL336</f>
        <v>0.89473684210526316</v>
      </c>
      <c r="AG336" s="44">
        <f t="shared" ref="AG336:AG341" si="198">AL336/AJ336</f>
        <v>0.44052419354838712</v>
      </c>
      <c r="AH336" s="16">
        <v>36</v>
      </c>
      <c r="AI336" s="16">
        <v>3</v>
      </c>
      <c r="AJ336" s="16">
        <v>992</v>
      </c>
      <c r="AK336" s="16">
        <f t="shared" si="189"/>
        <v>555</v>
      </c>
      <c r="AL336" s="16">
        <v>437</v>
      </c>
      <c r="AM336" s="16">
        <v>391</v>
      </c>
      <c r="AN336" s="16">
        <f t="shared" si="190"/>
        <v>46</v>
      </c>
      <c r="AO336" s="19" t="s">
        <v>80</v>
      </c>
      <c r="AQ336" s="82">
        <v>2020</v>
      </c>
      <c r="AR336" s="83" t="s">
        <v>42</v>
      </c>
      <c r="AS336" s="44">
        <f t="shared" ref="AS336:AS341" si="199">BA336/AX336</f>
        <v>0.59532374100719421</v>
      </c>
      <c r="AT336" s="44">
        <f t="shared" ref="AT336:AT341" si="200">BA336/AZ336</f>
        <v>0.88266666666666671</v>
      </c>
      <c r="AU336" s="44">
        <f t="shared" ref="AU336:AU341" si="201">AZ336/AX336</f>
        <v>0.67446043165467628</v>
      </c>
      <c r="AV336" s="16">
        <v>16</v>
      </c>
      <c r="AW336" s="16">
        <v>3</v>
      </c>
      <c r="AX336" s="16">
        <v>556</v>
      </c>
      <c r="AY336" s="16">
        <f t="shared" si="191"/>
        <v>181</v>
      </c>
      <c r="AZ336" s="16">
        <v>375</v>
      </c>
      <c r="BA336" s="16">
        <v>331</v>
      </c>
      <c r="BB336" s="16">
        <f t="shared" si="192"/>
        <v>44</v>
      </c>
      <c r="BC336" s="19" t="s">
        <v>80</v>
      </c>
    </row>
    <row r="337" spans="1:55" s="18" customFormat="1" ht="15" customHeight="1">
      <c r="A337" s="82">
        <v>2020</v>
      </c>
      <c r="B337" s="83" t="s">
        <v>43</v>
      </c>
      <c r="C337" s="15">
        <f t="shared" si="179"/>
        <v>0.6357743097238896</v>
      </c>
      <c r="D337" s="15">
        <f t="shared" si="180"/>
        <v>0.91215983465380646</v>
      </c>
      <c r="E337" s="15">
        <f t="shared" si="181"/>
        <v>0.69699879951980792</v>
      </c>
      <c r="F337" s="16">
        <f>+Tabla2[[#This Row],[Trenes Programados por Día Hábil]]+Tabla9[[#This Row],[Trenes Programados por Día Hábil]]+Tabla10[[#This Row],[Trenes Programados por Día Hábil]]</f>
        <v>327</v>
      </c>
      <c r="G337" s="33">
        <f>+(Tabla2[[#This Row],[Coches por Tren Día Hábil]]*Tabla2[[#This Row],[Trenes Corridos]]+Tabla9[[#This Row],[Coches por Tren Día Hábil]]*Tabla9[[#This Row],[Trenes Corridos]]+Tabla10[[#This Row],[Coches por Tren Día Hábil]]*Tabla10[[#This Row],[Trenes Corridos]])/SARM[[#This Row],[Trenes Corridos]]</f>
        <v>8.3644505683775403</v>
      </c>
      <c r="H337" s="16">
        <f t="shared" si="183"/>
        <v>8330</v>
      </c>
      <c r="I337" s="16">
        <f t="shared" si="184"/>
        <v>2524</v>
      </c>
      <c r="J337" s="16">
        <f t="shared" si="182"/>
        <v>5806</v>
      </c>
      <c r="K337" s="16">
        <f t="shared" si="185"/>
        <v>5296</v>
      </c>
      <c r="L337" s="16">
        <f t="shared" si="186"/>
        <v>510</v>
      </c>
      <c r="M337" s="16"/>
      <c r="O337" s="82">
        <v>2020</v>
      </c>
      <c r="P337" s="83" t="s">
        <v>43</v>
      </c>
      <c r="Q337" s="44">
        <f t="shared" si="193"/>
        <v>0.69473684210526321</v>
      </c>
      <c r="R337" s="44">
        <f t="shared" si="194"/>
        <v>0.91543055287998454</v>
      </c>
      <c r="S337" s="44">
        <f t="shared" si="195"/>
        <v>0.75891812865497077</v>
      </c>
      <c r="T337" s="16">
        <v>275</v>
      </c>
      <c r="U337" s="16">
        <v>9</v>
      </c>
      <c r="V337" s="16">
        <v>6840</v>
      </c>
      <c r="W337" s="16">
        <f t="shared" si="187"/>
        <v>1649</v>
      </c>
      <c r="X337" s="16">
        <v>5191</v>
      </c>
      <c r="Y337" s="16">
        <v>4752</v>
      </c>
      <c r="Z337" s="16">
        <f t="shared" si="188"/>
        <v>439</v>
      </c>
      <c r="AA337" s="16"/>
      <c r="AC337" s="82">
        <v>2020</v>
      </c>
      <c r="AD337" s="83" t="s">
        <v>43</v>
      </c>
      <c r="AE337" s="44">
        <f t="shared" si="196"/>
        <v>0.33870967741935482</v>
      </c>
      <c r="AF337" s="44">
        <f t="shared" si="197"/>
        <v>0.88421052631578945</v>
      </c>
      <c r="AG337" s="44">
        <f t="shared" si="198"/>
        <v>0.38306451612903225</v>
      </c>
      <c r="AH337" s="16">
        <v>36</v>
      </c>
      <c r="AI337" s="16">
        <v>3</v>
      </c>
      <c r="AJ337" s="16">
        <v>992</v>
      </c>
      <c r="AK337" s="16">
        <f t="shared" si="189"/>
        <v>612</v>
      </c>
      <c r="AL337" s="16">
        <v>380</v>
      </c>
      <c r="AM337" s="16">
        <v>336</v>
      </c>
      <c r="AN337" s="16">
        <f t="shared" si="190"/>
        <v>44</v>
      </c>
      <c r="AO337" s="19" t="s">
        <v>80</v>
      </c>
      <c r="AQ337" s="82">
        <v>2020</v>
      </c>
      <c r="AR337" s="83" t="s">
        <v>43</v>
      </c>
      <c r="AS337" s="44">
        <f t="shared" si="199"/>
        <v>0.41767068273092367</v>
      </c>
      <c r="AT337" s="44">
        <f t="shared" si="200"/>
        <v>0.88510638297872335</v>
      </c>
      <c r="AU337" s="44">
        <f t="shared" si="201"/>
        <v>0.4718875502008032</v>
      </c>
      <c r="AV337" s="16">
        <v>16</v>
      </c>
      <c r="AW337" s="16">
        <v>3</v>
      </c>
      <c r="AX337" s="16">
        <v>498</v>
      </c>
      <c r="AY337" s="16">
        <f t="shared" si="191"/>
        <v>263</v>
      </c>
      <c r="AZ337" s="16">
        <v>235</v>
      </c>
      <c r="BA337" s="16">
        <v>208</v>
      </c>
      <c r="BB337" s="16">
        <f t="shared" si="192"/>
        <v>27</v>
      </c>
      <c r="BC337" s="19" t="s">
        <v>80</v>
      </c>
    </row>
    <row r="338" spans="1:55" s="18" customFormat="1" ht="15" customHeight="1">
      <c r="A338" s="82">
        <v>2020</v>
      </c>
      <c r="B338" s="83" t="s">
        <v>44</v>
      </c>
      <c r="C338" s="15">
        <f t="shared" si="179"/>
        <v>0.76102539181144457</v>
      </c>
      <c r="D338" s="15">
        <f t="shared" si="180"/>
        <v>0.90116529995684069</v>
      </c>
      <c r="E338" s="15">
        <f t="shared" si="181"/>
        <v>0.84449034139229739</v>
      </c>
      <c r="F338" s="16">
        <f>+Tabla2[[#This Row],[Trenes Programados por Día Hábil]]+Tabla9[[#This Row],[Trenes Programados por Día Hábil]]+Tabla10[[#This Row],[Trenes Programados por Día Hábil]]</f>
        <v>327</v>
      </c>
      <c r="G338" s="33">
        <f>+(Tabla2[[#This Row],[Coches por Tren Día Hábil]]*Tabla2[[#This Row],[Trenes Corridos]]+Tabla9[[#This Row],[Coches por Tren Día Hábil]]*Tabla9[[#This Row],[Trenes Corridos]]+Tabla10[[#This Row],[Coches por Tren Día Hábil]]*Tabla10[[#This Row],[Trenes Corridos]])/SARM[[#This Row],[Trenes Corridos]]</f>
        <v>8.2119119551143722</v>
      </c>
      <c r="H338" s="16">
        <f t="shared" si="183"/>
        <v>8231</v>
      </c>
      <c r="I338" s="16">
        <f t="shared" si="184"/>
        <v>1280</v>
      </c>
      <c r="J338" s="16">
        <f t="shared" si="182"/>
        <v>6951</v>
      </c>
      <c r="K338" s="16">
        <f t="shared" si="185"/>
        <v>6264</v>
      </c>
      <c r="L338" s="16">
        <f t="shared" si="186"/>
        <v>687</v>
      </c>
      <c r="M338" s="16"/>
      <c r="O338" s="82">
        <v>2020</v>
      </c>
      <c r="P338" s="83" t="s">
        <v>44</v>
      </c>
      <c r="Q338" s="44">
        <f t="shared" si="193"/>
        <v>0.80468404772425983</v>
      </c>
      <c r="R338" s="44">
        <f t="shared" si="194"/>
        <v>0.90476979132162971</v>
      </c>
      <c r="S338" s="44">
        <f t="shared" si="195"/>
        <v>0.8893798792163794</v>
      </c>
      <c r="T338" s="16">
        <v>275</v>
      </c>
      <c r="U338" s="16">
        <v>9</v>
      </c>
      <c r="V338" s="16">
        <v>6789</v>
      </c>
      <c r="W338" s="16">
        <f t="shared" si="187"/>
        <v>751</v>
      </c>
      <c r="X338" s="16">
        <v>6038</v>
      </c>
      <c r="Y338" s="16">
        <v>5463</v>
      </c>
      <c r="Z338" s="16">
        <f t="shared" si="188"/>
        <v>575</v>
      </c>
      <c r="AA338" s="16"/>
      <c r="AC338" s="82">
        <v>2020</v>
      </c>
      <c r="AD338" s="83" t="s">
        <v>44</v>
      </c>
      <c r="AE338" s="44">
        <f t="shared" si="196"/>
        <v>0.49062499999999998</v>
      </c>
      <c r="AF338" s="44">
        <f t="shared" si="197"/>
        <v>0.86422018348623852</v>
      </c>
      <c r="AG338" s="44">
        <f t="shared" si="198"/>
        <v>0.56770833333333337</v>
      </c>
      <c r="AH338" s="16">
        <v>36</v>
      </c>
      <c r="AI338" s="16">
        <v>3</v>
      </c>
      <c r="AJ338" s="16">
        <v>960</v>
      </c>
      <c r="AK338" s="16">
        <f t="shared" si="189"/>
        <v>415</v>
      </c>
      <c r="AL338" s="16">
        <v>545</v>
      </c>
      <c r="AM338" s="16">
        <v>471</v>
      </c>
      <c r="AN338" s="16">
        <f t="shared" si="190"/>
        <v>74</v>
      </c>
      <c r="AO338" s="19" t="s">
        <v>80</v>
      </c>
      <c r="AQ338" s="82">
        <v>2020</v>
      </c>
      <c r="AR338" s="83" t="s">
        <v>44</v>
      </c>
      <c r="AS338" s="44">
        <f t="shared" si="199"/>
        <v>0.68464730290456433</v>
      </c>
      <c r="AT338" s="44">
        <f t="shared" si="200"/>
        <v>0.89673913043478259</v>
      </c>
      <c r="AU338" s="44">
        <f t="shared" si="201"/>
        <v>0.76348547717842319</v>
      </c>
      <c r="AV338" s="16">
        <v>16</v>
      </c>
      <c r="AW338" s="16">
        <v>3</v>
      </c>
      <c r="AX338" s="16">
        <v>482</v>
      </c>
      <c r="AY338" s="16">
        <f t="shared" si="191"/>
        <v>114</v>
      </c>
      <c r="AZ338" s="16">
        <v>368</v>
      </c>
      <c r="BA338" s="16">
        <v>330</v>
      </c>
      <c r="BB338" s="16">
        <f t="shared" si="192"/>
        <v>38</v>
      </c>
      <c r="BC338" s="19" t="s">
        <v>80</v>
      </c>
    </row>
    <row r="339" spans="1:55" s="18" customFormat="1" ht="15" customHeight="1">
      <c r="A339" s="82">
        <v>2020</v>
      </c>
      <c r="B339" s="83" t="s">
        <v>45</v>
      </c>
      <c r="C339" s="15">
        <f t="shared" si="179"/>
        <v>0.73052530812492522</v>
      </c>
      <c r="D339" s="15">
        <f t="shared" si="180"/>
        <v>0.83653055631679907</v>
      </c>
      <c r="E339" s="15">
        <f t="shared" si="181"/>
        <v>0.87327988512624144</v>
      </c>
      <c r="F339" s="16">
        <f>+Tabla2[[#This Row],[Trenes Programados por Día Hábil]]+Tabla9[[#This Row],[Trenes Programados por Día Hábil]]+Tabla10[[#This Row],[Trenes Programados por Día Hábil]]</f>
        <v>327</v>
      </c>
      <c r="G339" s="33">
        <f>+(Tabla2[[#This Row],[Coches por Tren Día Hábil]]*Tabla2[[#This Row],[Trenes Corridos]]+Tabla9[[#This Row],[Coches por Tren Día Hábil]]*Tabla9[[#This Row],[Trenes Corridos]]+Tabla10[[#This Row],[Coches por Tren Día Hábil]]*Tabla10[[#This Row],[Trenes Corridos]])/SARM[[#This Row],[Trenes Corridos]]</f>
        <v>8.1482597972047142</v>
      </c>
      <c r="H339" s="16">
        <f t="shared" si="183"/>
        <v>8357</v>
      </c>
      <c r="I339" s="16">
        <f t="shared" si="184"/>
        <v>1059</v>
      </c>
      <c r="J339" s="16">
        <f t="shared" si="182"/>
        <v>7298</v>
      </c>
      <c r="K339" s="16">
        <f t="shared" si="185"/>
        <v>6105</v>
      </c>
      <c r="L339" s="16">
        <f t="shared" si="186"/>
        <v>1193</v>
      </c>
      <c r="M339" s="16"/>
      <c r="O339" s="82">
        <v>2020</v>
      </c>
      <c r="P339" s="83" t="s">
        <v>45</v>
      </c>
      <c r="Q339" s="44">
        <f t="shared" si="193"/>
        <v>0.75658756733148935</v>
      </c>
      <c r="R339" s="44">
        <f t="shared" si="194"/>
        <v>0.82992654104120089</v>
      </c>
      <c r="S339" s="44">
        <f t="shared" si="195"/>
        <v>0.91163196971902749</v>
      </c>
      <c r="T339" s="16">
        <v>275</v>
      </c>
      <c r="U339" s="16">
        <v>9</v>
      </c>
      <c r="V339" s="16">
        <v>6869</v>
      </c>
      <c r="W339" s="16">
        <f t="shared" si="187"/>
        <v>607</v>
      </c>
      <c r="X339" s="16">
        <v>6262</v>
      </c>
      <c r="Y339" s="16">
        <v>5197</v>
      </c>
      <c r="Z339" s="16">
        <f t="shared" si="188"/>
        <v>1065</v>
      </c>
      <c r="AA339" s="16"/>
      <c r="AC339" s="82">
        <v>2020</v>
      </c>
      <c r="AD339" s="83" t="s">
        <v>45</v>
      </c>
      <c r="AE339" s="44">
        <f t="shared" si="196"/>
        <v>0.53427419354838712</v>
      </c>
      <c r="AF339" s="44">
        <f t="shared" si="197"/>
        <v>0.87458745874587462</v>
      </c>
      <c r="AG339" s="44">
        <f t="shared" si="198"/>
        <v>0.61088709677419351</v>
      </c>
      <c r="AH339" s="16">
        <v>36</v>
      </c>
      <c r="AI339" s="16">
        <v>3</v>
      </c>
      <c r="AJ339" s="16">
        <v>992</v>
      </c>
      <c r="AK339" s="16">
        <f t="shared" si="189"/>
        <v>386</v>
      </c>
      <c r="AL339" s="16">
        <v>606</v>
      </c>
      <c r="AM339" s="16">
        <v>530</v>
      </c>
      <c r="AN339" s="16">
        <f t="shared" si="190"/>
        <v>76</v>
      </c>
      <c r="AO339" s="19" t="s">
        <v>80</v>
      </c>
      <c r="AQ339" s="82">
        <v>2020</v>
      </c>
      <c r="AR339" s="83" t="s">
        <v>45</v>
      </c>
      <c r="AS339" s="44">
        <f t="shared" si="199"/>
        <v>0.76209677419354838</v>
      </c>
      <c r="AT339" s="44">
        <f t="shared" si="200"/>
        <v>0.87906976744186049</v>
      </c>
      <c r="AU339" s="44">
        <f t="shared" si="201"/>
        <v>0.86693548387096775</v>
      </c>
      <c r="AV339" s="16">
        <v>16</v>
      </c>
      <c r="AW339" s="16">
        <v>3</v>
      </c>
      <c r="AX339" s="16">
        <v>496</v>
      </c>
      <c r="AY339" s="16">
        <f t="shared" si="191"/>
        <v>66</v>
      </c>
      <c r="AZ339" s="16">
        <v>430</v>
      </c>
      <c r="BA339" s="16">
        <v>378</v>
      </c>
      <c r="BB339" s="16">
        <f t="shared" si="192"/>
        <v>52</v>
      </c>
      <c r="BC339" s="19" t="s">
        <v>80</v>
      </c>
    </row>
    <row r="340" spans="1:55" s="18" customFormat="1" ht="15" customHeight="1">
      <c r="A340" s="82">
        <v>2020</v>
      </c>
      <c r="B340" s="83" t="s">
        <v>46</v>
      </c>
      <c r="C340" s="15">
        <f t="shared" si="179"/>
        <v>0.75307094509902228</v>
      </c>
      <c r="D340" s="15">
        <f t="shared" si="180"/>
        <v>0.86984218908353839</v>
      </c>
      <c r="E340" s="15">
        <f t="shared" si="181"/>
        <v>0.86575582852845323</v>
      </c>
      <c r="F340" s="16">
        <f>+Tabla2[[#This Row],[Trenes Programados por Día Hábil]]+Tabla9[[#This Row],[Trenes Programados por Día Hábil]]+Tabla10[[#This Row],[Trenes Programados por Día Hábil]]</f>
        <v>327</v>
      </c>
      <c r="G340" s="33">
        <f>+(Tabla2[[#This Row],[Coches por Tren Día Hábil]]*Tabla2[[#This Row],[Trenes Corridos]]+Tabla9[[#This Row],[Coches por Tren Día Hábil]]*Tabla9[[#This Row],[Trenes Corridos]]+Tabla10[[#This Row],[Coches por Tren Día Hábil]]*Tabla10[[#This Row],[Trenes Corridos]])/SARM[[#This Row],[Trenes Corridos]]</f>
        <v>8.0713768640509631</v>
      </c>
      <c r="H340" s="16">
        <f t="shared" si="183"/>
        <v>7978</v>
      </c>
      <c r="I340" s="16">
        <f t="shared" si="184"/>
        <v>1071</v>
      </c>
      <c r="J340" s="16">
        <f t="shared" si="182"/>
        <v>6907</v>
      </c>
      <c r="K340" s="16">
        <f t="shared" si="185"/>
        <v>6008</v>
      </c>
      <c r="L340" s="16">
        <f t="shared" si="186"/>
        <v>899</v>
      </c>
      <c r="M340" s="16"/>
      <c r="O340" s="82">
        <v>2020</v>
      </c>
      <c r="P340" s="83" t="s">
        <v>46</v>
      </c>
      <c r="Q340" s="44">
        <f t="shared" si="193"/>
        <v>0.77929030284490675</v>
      </c>
      <c r="R340" s="44">
        <f t="shared" si="194"/>
        <v>0.87273038711887629</v>
      </c>
      <c r="S340" s="44">
        <f t="shared" si="195"/>
        <v>0.89293361884368305</v>
      </c>
      <c r="T340" s="16">
        <v>275</v>
      </c>
      <c r="U340" s="16">
        <v>9</v>
      </c>
      <c r="V340" s="16">
        <v>6538</v>
      </c>
      <c r="W340" s="16">
        <f t="shared" si="187"/>
        <v>700</v>
      </c>
      <c r="X340" s="16">
        <v>5838</v>
      </c>
      <c r="Y340" s="16">
        <v>5095</v>
      </c>
      <c r="Z340" s="16">
        <f t="shared" si="188"/>
        <v>743</v>
      </c>
      <c r="AA340" s="16"/>
      <c r="AC340" s="82">
        <v>2020</v>
      </c>
      <c r="AD340" s="83" t="s">
        <v>46</v>
      </c>
      <c r="AE340" s="44">
        <f t="shared" si="196"/>
        <v>0.55312499999999998</v>
      </c>
      <c r="AF340" s="44">
        <f t="shared" si="197"/>
        <v>0.82071097372488411</v>
      </c>
      <c r="AG340" s="44">
        <f t="shared" si="198"/>
        <v>0.67395833333333333</v>
      </c>
      <c r="AH340" s="16">
        <v>36</v>
      </c>
      <c r="AI340" s="16">
        <v>3</v>
      </c>
      <c r="AJ340" s="16">
        <v>960</v>
      </c>
      <c r="AK340" s="16">
        <f t="shared" si="189"/>
        <v>313</v>
      </c>
      <c r="AL340" s="16">
        <v>647</v>
      </c>
      <c r="AM340" s="16">
        <v>531</v>
      </c>
      <c r="AN340" s="16">
        <f t="shared" si="190"/>
        <v>116</v>
      </c>
      <c r="AO340" s="19" t="s">
        <v>80</v>
      </c>
      <c r="AQ340" s="82">
        <v>2020</v>
      </c>
      <c r="AR340" s="83" t="s">
        <v>46</v>
      </c>
      <c r="AS340" s="44">
        <f t="shared" si="199"/>
        <v>0.79583333333333328</v>
      </c>
      <c r="AT340" s="44">
        <f t="shared" si="200"/>
        <v>0.90521327014218012</v>
      </c>
      <c r="AU340" s="44">
        <f t="shared" si="201"/>
        <v>0.87916666666666665</v>
      </c>
      <c r="AV340" s="16">
        <v>16</v>
      </c>
      <c r="AW340" s="16">
        <v>3</v>
      </c>
      <c r="AX340" s="16">
        <v>480</v>
      </c>
      <c r="AY340" s="16">
        <f t="shared" si="191"/>
        <v>58</v>
      </c>
      <c r="AZ340" s="16">
        <v>422</v>
      </c>
      <c r="BA340" s="16">
        <v>382</v>
      </c>
      <c r="BB340" s="16">
        <f t="shared" si="192"/>
        <v>40</v>
      </c>
      <c r="BC340" s="19" t="s">
        <v>80</v>
      </c>
    </row>
    <row r="341" spans="1:55" s="18" customFormat="1" ht="15" customHeight="1">
      <c r="A341" s="82">
        <v>2020</v>
      </c>
      <c r="B341" s="83" t="s">
        <v>47</v>
      </c>
      <c r="C341" s="15">
        <f t="shared" si="179"/>
        <v>0.75248547449967718</v>
      </c>
      <c r="D341" s="15">
        <f t="shared" si="180"/>
        <v>0.85567464395830273</v>
      </c>
      <c r="E341" s="15">
        <f t="shared" si="181"/>
        <v>0.87940606843124591</v>
      </c>
      <c r="F341" s="16">
        <f>+Tabla2[[#This Row],[Trenes Programados por Día Hábil]]+Tabla9[[#This Row],[Trenes Programados por Día Hábil]]+Tabla10[[#This Row],[Trenes Programados por Día Hábil]]</f>
        <v>327</v>
      </c>
      <c r="G341" s="33">
        <f>+(Tabla2[[#This Row],[Coches por Tren Día Hábil]]*Tabla2[[#This Row],[Trenes Corridos]]+Tabla9[[#This Row],[Coches por Tren Día Hábil]]*Tabla9[[#This Row],[Trenes Corridos]]+Tabla10[[#This Row],[Coches por Tren Día Hábil]]*Tabla10[[#This Row],[Trenes Corridos]])/SARM[[#This Row],[Trenes Corridos]]</f>
        <v>7.8856261929232128</v>
      </c>
      <c r="H341" s="16">
        <f t="shared" si="183"/>
        <v>7745</v>
      </c>
      <c r="I341" s="16">
        <f t="shared" si="184"/>
        <v>934</v>
      </c>
      <c r="J341" s="16">
        <f t="shared" si="182"/>
        <v>6811</v>
      </c>
      <c r="K341" s="16">
        <f t="shared" si="185"/>
        <v>5828</v>
      </c>
      <c r="L341" s="16">
        <f t="shared" si="186"/>
        <v>983</v>
      </c>
      <c r="M341" s="16"/>
      <c r="O341" s="82">
        <v>2020</v>
      </c>
      <c r="P341" s="83" t="s">
        <v>47</v>
      </c>
      <c r="Q341" s="44">
        <f t="shared" si="193"/>
        <v>0.77846757065838912</v>
      </c>
      <c r="R341" s="44">
        <f t="shared" si="194"/>
        <v>0.85917778579156145</v>
      </c>
      <c r="S341" s="44">
        <f t="shared" si="195"/>
        <v>0.90606110112726679</v>
      </c>
      <c r="T341" s="16">
        <v>275</v>
      </c>
      <c r="U341" s="16">
        <v>9</v>
      </c>
      <c r="V341" s="16">
        <v>6121</v>
      </c>
      <c r="W341" s="16">
        <f t="shared" si="187"/>
        <v>575</v>
      </c>
      <c r="X341" s="16">
        <v>5546</v>
      </c>
      <c r="Y341" s="16">
        <v>4765</v>
      </c>
      <c r="Z341" s="16">
        <f t="shared" si="188"/>
        <v>781</v>
      </c>
      <c r="AA341" s="16"/>
      <c r="AC341" s="82">
        <v>2020</v>
      </c>
      <c r="AD341" s="83" t="s">
        <v>47</v>
      </c>
      <c r="AE341" s="44">
        <f t="shared" si="196"/>
        <v>0.61787072243346008</v>
      </c>
      <c r="AF341" s="44">
        <f t="shared" si="197"/>
        <v>0.80346106304079112</v>
      </c>
      <c r="AG341" s="44">
        <f t="shared" si="198"/>
        <v>0.76901140684410652</v>
      </c>
      <c r="AH341" s="16">
        <v>36</v>
      </c>
      <c r="AI341" s="16">
        <v>3</v>
      </c>
      <c r="AJ341" s="16">
        <v>1052</v>
      </c>
      <c r="AK341" s="16">
        <f t="shared" si="189"/>
        <v>243</v>
      </c>
      <c r="AL341" s="16">
        <v>809</v>
      </c>
      <c r="AM341" s="16">
        <v>650</v>
      </c>
      <c r="AN341" s="16">
        <f t="shared" si="190"/>
        <v>159</v>
      </c>
      <c r="AO341" s="16"/>
      <c r="AQ341" s="82">
        <v>2020</v>
      </c>
      <c r="AR341" s="83" t="s">
        <v>47</v>
      </c>
      <c r="AS341" s="44">
        <f t="shared" si="199"/>
        <v>0.72202797202797198</v>
      </c>
      <c r="AT341" s="44">
        <f t="shared" si="200"/>
        <v>0.9057017543859649</v>
      </c>
      <c r="AU341" s="44">
        <f t="shared" si="201"/>
        <v>0.79720279720279719</v>
      </c>
      <c r="AV341" s="16">
        <v>16</v>
      </c>
      <c r="AW341" s="16">
        <v>3</v>
      </c>
      <c r="AX341" s="16">
        <v>572</v>
      </c>
      <c r="AY341" s="16">
        <f t="shared" si="191"/>
        <v>116</v>
      </c>
      <c r="AZ341" s="16">
        <v>456</v>
      </c>
      <c r="BA341" s="16">
        <v>413</v>
      </c>
      <c r="BB341" s="16">
        <f t="shared" si="192"/>
        <v>43</v>
      </c>
      <c r="BC341" s="19" t="s">
        <v>80</v>
      </c>
    </row>
    <row r="342" spans="1:55" s="18" customFormat="1" ht="15" customHeight="1">
      <c r="A342" s="82">
        <v>2021</v>
      </c>
      <c r="B342" s="83" t="s">
        <v>36</v>
      </c>
      <c r="C342" s="15">
        <f t="shared" si="179"/>
        <v>0.81638491547464243</v>
      </c>
      <c r="D342" s="15">
        <f t="shared" si="180"/>
        <v>0.87620376831821356</v>
      </c>
      <c r="E342" s="15">
        <f t="shared" si="181"/>
        <v>0.93172951885565669</v>
      </c>
      <c r="F342" s="16">
        <f>+Tabla2[[#This Row],[Trenes Programados por Día Hábil]]+Tabla9[[#This Row],[Trenes Programados por Día Hábil]]+Tabla10[[#This Row],[Trenes Programados por Día Hábil]]</f>
        <v>273</v>
      </c>
      <c r="G342" s="33">
        <f>+(Tabla2[[#This Row],[Coches por Tren Día Hábil]]*Tabla2[[#This Row],[Trenes Corridos]]+Tabla9[[#This Row],[Coches por Tren Día Hábil]]*Tabla9[[#This Row],[Trenes Corridos]]+Tabla10[[#This Row],[Coches por Tren Día Hábil]]*Tabla10[[#This Row],[Trenes Corridos]])/SARM[[#This Row],[Trenes Corridos]]</f>
        <v>7.7983251919050938</v>
      </c>
      <c r="H342" s="16">
        <f t="shared" si="183"/>
        <v>7690</v>
      </c>
      <c r="I342" s="16">
        <f t="shared" si="184"/>
        <v>525</v>
      </c>
      <c r="J342" s="16">
        <f t="shared" si="182"/>
        <v>7165</v>
      </c>
      <c r="K342" s="16">
        <f t="shared" si="185"/>
        <v>6278</v>
      </c>
      <c r="L342" s="16">
        <f t="shared" si="186"/>
        <v>887</v>
      </c>
      <c r="M342" s="16"/>
      <c r="O342" s="82">
        <v>2021</v>
      </c>
      <c r="P342" s="83" t="s">
        <v>36</v>
      </c>
      <c r="Q342" s="44">
        <f t="shared" ref="Q342:Q347" si="202">Y342/V342</f>
        <v>0.83857477417196391</v>
      </c>
      <c r="R342" s="44">
        <f t="shared" ref="R342:R347" si="203">Y342/X342</f>
        <v>0.874869109947644</v>
      </c>
      <c r="S342" s="44">
        <f t="shared" ref="S342:S347" si="204">X342/V342</f>
        <v>0.95851455336232849</v>
      </c>
      <c r="T342" s="16">
        <v>217</v>
      </c>
      <c r="U342" s="16">
        <v>9</v>
      </c>
      <c r="V342" s="16">
        <v>5978</v>
      </c>
      <c r="W342" s="16">
        <f t="shared" ref="W342:W349" si="205">V342-X342</f>
        <v>248</v>
      </c>
      <c r="X342" s="16">
        <v>5730</v>
      </c>
      <c r="Y342" s="16">
        <v>5013</v>
      </c>
      <c r="Z342" s="16">
        <f t="shared" ref="Z342:Z347" si="206">X342-Y342</f>
        <v>717</v>
      </c>
      <c r="AA342" s="16"/>
      <c r="AC342" s="82">
        <v>2021</v>
      </c>
      <c r="AD342" s="83" t="s">
        <v>36</v>
      </c>
      <c r="AE342" s="44">
        <f t="shared" ref="AE342:AE347" si="207">AM342/AJ342</f>
        <v>0.73443223443223449</v>
      </c>
      <c r="AF342" s="44">
        <f t="shared" ref="AF342:AF347" si="208">AM342/AL342</f>
        <v>0.87938596491228072</v>
      </c>
      <c r="AG342" s="44">
        <f t="shared" ref="AG342:AG347" si="209">AL342/AJ342</f>
        <v>0.8351648351648352</v>
      </c>
      <c r="AH342" s="16">
        <v>36</v>
      </c>
      <c r="AI342" s="16">
        <v>3</v>
      </c>
      <c r="AJ342" s="16">
        <v>1092</v>
      </c>
      <c r="AK342" s="16">
        <f t="shared" ref="AK342:AK349" si="210">AJ342-AL342</f>
        <v>180</v>
      </c>
      <c r="AL342" s="16">
        <v>912</v>
      </c>
      <c r="AM342" s="16">
        <v>802</v>
      </c>
      <c r="AN342" s="16">
        <f t="shared" ref="AN342:AN347" si="211">AL342-AM342</f>
        <v>110</v>
      </c>
      <c r="AO342" s="16"/>
      <c r="AQ342" s="82">
        <v>2021</v>
      </c>
      <c r="AR342" s="83" t="s">
        <v>36</v>
      </c>
      <c r="AS342" s="44">
        <f t="shared" ref="AS342:AS347" si="212">BA342/AX342</f>
        <v>0.74677419354838714</v>
      </c>
      <c r="AT342" s="44">
        <f t="shared" ref="AT342:AT347" si="213">BA342/AZ342</f>
        <v>0.88527724665391971</v>
      </c>
      <c r="AU342" s="44">
        <f t="shared" ref="AU342:AU347" si="214">AZ342/AX342</f>
        <v>0.84354838709677415</v>
      </c>
      <c r="AV342" s="16">
        <v>20</v>
      </c>
      <c r="AW342" s="16">
        <v>3</v>
      </c>
      <c r="AX342" s="16">
        <v>620</v>
      </c>
      <c r="AY342" s="16">
        <f t="shared" ref="AY342:AY349" si="215">AX342-AZ342</f>
        <v>97</v>
      </c>
      <c r="AZ342" s="16">
        <v>523</v>
      </c>
      <c r="BA342" s="16">
        <v>463</v>
      </c>
      <c r="BB342" s="16">
        <f t="shared" ref="BB342:BB347" si="216">AZ342-BA342</f>
        <v>60</v>
      </c>
      <c r="BC342" s="19" t="s">
        <v>80</v>
      </c>
    </row>
    <row r="343" spans="1:55" s="18" customFormat="1" ht="15" customHeight="1">
      <c r="A343" s="82">
        <v>2021</v>
      </c>
      <c r="B343" s="83" t="s">
        <v>37</v>
      </c>
      <c r="C343" s="15">
        <f t="shared" si="179"/>
        <v>0.75086855819339893</v>
      </c>
      <c r="D343" s="15">
        <f t="shared" si="180"/>
        <v>0.80806979280261726</v>
      </c>
      <c r="E343" s="15">
        <f t="shared" si="181"/>
        <v>0.92921250723798499</v>
      </c>
      <c r="F343" s="16">
        <f>+Tabla2[[#This Row],[Trenes Programados por Día Hábil]]+Tabla9[[#This Row],[Trenes Programados por Día Hábil]]+Tabla10[[#This Row],[Trenes Programados por Día Hábil]]</f>
        <v>273</v>
      </c>
      <c r="G343" s="33">
        <f>+(Tabla2[[#This Row],[Coches por Tren Día Hábil]]*Tabla2[[#This Row],[Trenes Corridos]]+Tabla9[[#This Row],[Coches por Tren Día Hábil]]*Tabla9[[#This Row],[Trenes Corridos]]+Tabla10[[#This Row],[Coches por Tren Día Hábil]]*Tabla10[[#This Row],[Trenes Corridos]])/SARM[[#This Row],[Trenes Corridos]]</f>
        <v>7.7418601028197536</v>
      </c>
      <c r="H343" s="16">
        <f t="shared" si="183"/>
        <v>6908</v>
      </c>
      <c r="I343" s="16">
        <f t="shared" si="184"/>
        <v>489</v>
      </c>
      <c r="J343" s="16">
        <f t="shared" si="182"/>
        <v>6419</v>
      </c>
      <c r="K343" s="16">
        <f t="shared" si="185"/>
        <v>5187</v>
      </c>
      <c r="L343" s="16">
        <f t="shared" si="186"/>
        <v>1232</v>
      </c>
      <c r="M343" s="16"/>
      <c r="O343" s="82">
        <v>2021</v>
      </c>
      <c r="P343" s="83" t="s">
        <v>37</v>
      </c>
      <c r="Q343" s="44">
        <f t="shared" si="202"/>
        <v>0.75335570469798663</v>
      </c>
      <c r="R343" s="44">
        <f t="shared" si="203"/>
        <v>0.79657007687758719</v>
      </c>
      <c r="S343" s="44">
        <f t="shared" si="204"/>
        <v>0.94574944071588363</v>
      </c>
      <c r="T343" s="16">
        <v>217</v>
      </c>
      <c r="U343" s="16">
        <v>9</v>
      </c>
      <c r="V343" s="16">
        <v>5364</v>
      </c>
      <c r="W343" s="16">
        <f t="shared" si="205"/>
        <v>291</v>
      </c>
      <c r="X343" s="16">
        <v>5073</v>
      </c>
      <c r="Y343" s="16">
        <v>4041</v>
      </c>
      <c r="Z343" s="16">
        <f t="shared" si="206"/>
        <v>1032</v>
      </c>
      <c r="AA343" s="16"/>
      <c r="AC343" s="82">
        <v>2021</v>
      </c>
      <c r="AD343" s="83" t="s">
        <v>37</v>
      </c>
      <c r="AE343" s="44">
        <f t="shared" si="207"/>
        <v>0.74695121951219512</v>
      </c>
      <c r="AF343" s="44">
        <f t="shared" si="208"/>
        <v>0.8428899082568807</v>
      </c>
      <c r="AG343" s="44">
        <f t="shared" si="209"/>
        <v>0.88617886178861793</v>
      </c>
      <c r="AH343" s="16">
        <v>36</v>
      </c>
      <c r="AI343" s="16">
        <v>3</v>
      </c>
      <c r="AJ343" s="16">
        <v>984</v>
      </c>
      <c r="AK343" s="16">
        <f t="shared" si="210"/>
        <v>112</v>
      </c>
      <c r="AL343" s="16">
        <v>872</v>
      </c>
      <c r="AM343" s="16">
        <v>735</v>
      </c>
      <c r="AN343" s="16">
        <f t="shared" si="211"/>
        <v>137</v>
      </c>
      <c r="AO343" s="16"/>
      <c r="AQ343" s="82">
        <v>2021</v>
      </c>
      <c r="AR343" s="83" t="s">
        <v>37</v>
      </c>
      <c r="AS343" s="44">
        <f t="shared" si="212"/>
        <v>0.73392857142857137</v>
      </c>
      <c r="AT343" s="44">
        <f t="shared" si="213"/>
        <v>0.86708860759493667</v>
      </c>
      <c r="AU343" s="44">
        <f t="shared" si="214"/>
        <v>0.84642857142857142</v>
      </c>
      <c r="AV343" s="16">
        <v>20</v>
      </c>
      <c r="AW343" s="16">
        <v>3</v>
      </c>
      <c r="AX343" s="16">
        <v>560</v>
      </c>
      <c r="AY343" s="16">
        <f t="shared" si="215"/>
        <v>86</v>
      </c>
      <c r="AZ343" s="16">
        <v>474</v>
      </c>
      <c r="BA343" s="16">
        <v>411</v>
      </c>
      <c r="BB343" s="16">
        <f t="shared" si="216"/>
        <v>63</v>
      </c>
      <c r="BC343" s="19" t="s">
        <v>80</v>
      </c>
    </row>
    <row r="344" spans="1:55" s="18" customFormat="1" ht="15" customHeight="1">
      <c r="A344" s="82">
        <v>2021</v>
      </c>
      <c r="B344" s="83" t="s">
        <v>38</v>
      </c>
      <c r="C344" s="15">
        <f t="shared" si="179"/>
        <v>0.78525193552481276</v>
      </c>
      <c r="D344" s="15">
        <f t="shared" si="180"/>
        <v>0.82570399039103159</v>
      </c>
      <c r="E344" s="15">
        <f t="shared" si="181"/>
        <v>0.95100901129584969</v>
      </c>
      <c r="F344" s="16">
        <f>+Tabla2[[#This Row],[Trenes Programados por Día Hábil]]+Tabla9[[#This Row],[Trenes Programados por Día Hábil]]+Tabla10[[#This Row],[Trenes Programados por Día Hábil]]</f>
        <v>273</v>
      </c>
      <c r="G344" s="33">
        <f>+(Tabla2[[#This Row],[Coches por Tren Día Hábil]]*Tabla2[[#This Row],[Trenes Corridos]]+Tabla9[[#This Row],[Coches por Tren Día Hábil]]*Tabla9[[#This Row],[Trenes Corridos]]+Tabla10[[#This Row],[Coches por Tren Día Hábil]]*Tabla10[[#This Row],[Trenes Corridos]])/SARM[[#This Row],[Trenes Corridos]]</f>
        <v>7.7700520485786733</v>
      </c>
      <c r="H344" s="16">
        <f t="shared" si="183"/>
        <v>7879</v>
      </c>
      <c r="I344" s="16">
        <f t="shared" si="184"/>
        <v>386</v>
      </c>
      <c r="J344" s="16">
        <f t="shared" si="182"/>
        <v>7493</v>
      </c>
      <c r="K344" s="16">
        <f t="shared" si="185"/>
        <v>6187</v>
      </c>
      <c r="L344" s="16">
        <f t="shared" si="186"/>
        <v>1306</v>
      </c>
      <c r="M344" s="16"/>
      <c r="O344" s="82">
        <v>2021</v>
      </c>
      <c r="P344" s="83" t="s">
        <v>38</v>
      </c>
      <c r="Q344" s="44">
        <f t="shared" si="202"/>
        <v>0.80545189031315922</v>
      </c>
      <c r="R344" s="44">
        <f t="shared" si="203"/>
        <v>0.83330535504448544</v>
      </c>
      <c r="S344" s="44">
        <f t="shared" si="204"/>
        <v>0.96657472010384549</v>
      </c>
      <c r="T344" s="16">
        <v>217</v>
      </c>
      <c r="U344" s="16">
        <v>9</v>
      </c>
      <c r="V344" s="16">
        <v>6163</v>
      </c>
      <c r="W344" s="16">
        <f t="shared" si="205"/>
        <v>206</v>
      </c>
      <c r="X344" s="16">
        <v>5957</v>
      </c>
      <c r="Y344" s="16">
        <v>4964</v>
      </c>
      <c r="Z344" s="16">
        <f t="shared" si="206"/>
        <v>993</v>
      </c>
      <c r="AA344" s="16"/>
      <c r="AC344" s="82">
        <v>2021</v>
      </c>
      <c r="AD344" s="83" t="s">
        <v>38</v>
      </c>
      <c r="AE344" s="44">
        <f t="shared" si="207"/>
        <v>0.68156934306569339</v>
      </c>
      <c r="AF344" s="44">
        <f t="shared" si="208"/>
        <v>0.76224489795918371</v>
      </c>
      <c r="AG344" s="44">
        <f t="shared" si="209"/>
        <v>0.8941605839416058</v>
      </c>
      <c r="AH344" s="16">
        <v>36</v>
      </c>
      <c r="AI344" s="16">
        <v>3</v>
      </c>
      <c r="AJ344" s="16">
        <v>1096</v>
      </c>
      <c r="AK344" s="16">
        <f t="shared" si="210"/>
        <v>116</v>
      </c>
      <c r="AL344" s="16">
        <v>980</v>
      </c>
      <c r="AM344" s="16">
        <v>747</v>
      </c>
      <c r="AN344" s="16">
        <f t="shared" si="211"/>
        <v>233</v>
      </c>
      <c r="AO344" s="16"/>
      <c r="AQ344" s="82">
        <v>2021</v>
      </c>
      <c r="AR344" s="83" t="s">
        <v>38</v>
      </c>
      <c r="AS344" s="44">
        <f t="shared" si="212"/>
        <v>0.76774193548387093</v>
      </c>
      <c r="AT344" s="44">
        <f t="shared" si="213"/>
        <v>0.85611510791366907</v>
      </c>
      <c r="AU344" s="44">
        <f t="shared" si="214"/>
        <v>0.89677419354838706</v>
      </c>
      <c r="AV344" s="16">
        <v>20</v>
      </c>
      <c r="AW344" s="16">
        <v>3</v>
      </c>
      <c r="AX344" s="16">
        <v>620</v>
      </c>
      <c r="AY344" s="16">
        <f t="shared" si="215"/>
        <v>64</v>
      </c>
      <c r="AZ344" s="16">
        <v>556</v>
      </c>
      <c r="BA344" s="16">
        <v>476</v>
      </c>
      <c r="BB344" s="16">
        <f t="shared" si="216"/>
        <v>80</v>
      </c>
      <c r="BC344" s="19" t="s">
        <v>80</v>
      </c>
    </row>
    <row r="345" spans="1:55" s="18" customFormat="1" ht="15" customHeight="1">
      <c r="A345" s="82">
        <v>2021</v>
      </c>
      <c r="B345" s="83" t="s">
        <v>39</v>
      </c>
      <c r="C345" s="15">
        <f t="shared" si="179"/>
        <v>0.73370577281191807</v>
      </c>
      <c r="D345" s="15">
        <f t="shared" si="180"/>
        <v>0.83533568904593636</v>
      </c>
      <c r="E345" s="15">
        <f t="shared" si="181"/>
        <v>0.87833643699565489</v>
      </c>
      <c r="F345" s="16">
        <f>+Tabla2[[#This Row],[Trenes Programados por Día Hábil]]+Tabla9[[#This Row],[Trenes Programados por Día Hábil]]+Tabla10[[#This Row],[Trenes Programados por Día Hábil]]</f>
        <v>273</v>
      </c>
      <c r="G345" s="33">
        <f>+(Tabla2[[#This Row],[Coches por Tren Día Hábil]]*Tabla2[[#This Row],[Trenes Corridos]]+Tabla9[[#This Row],[Coches por Tren Día Hábil]]*Tabla9[[#This Row],[Trenes Corridos]]+Tabla10[[#This Row],[Coches por Tren Día Hábil]]*Tabla10[[#This Row],[Trenes Corridos]])/SARM[[#This Row],[Trenes Corridos]]</f>
        <v>7.8279858657243819</v>
      </c>
      <c r="H345" s="16">
        <f t="shared" si="183"/>
        <v>8055</v>
      </c>
      <c r="I345" s="16">
        <f t="shared" si="184"/>
        <v>980</v>
      </c>
      <c r="J345" s="16">
        <f t="shared" si="182"/>
        <v>7075</v>
      </c>
      <c r="K345" s="16">
        <f t="shared" si="185"/>
        <v>5910</v>
      </c>
      <c r="L345" s="16">
        <f t="shared" si="186"/>
        <v>1165</v>
      </c>
      <c r="M345" s="16"/>
      <c r="O345" s="82">
        <v>2021</v>
      </c>
      <c r="P345" s="83" t="s">
        <v>39</v>
      </c>
      <c r="Q345" s="44">
        <f t="shared" si="202"/>
        <v>0.74698983580922595</v>
      </c>
      <c r="R345" s="44">
        <f t="shared" si="203"/>
        <v>0.83910064992095557</v>
      </c>
      <c r="S345" s="44">
        <f t="shared" si="204"/>
        <v>0.89022673964034404</v>
      </c>
      <c r="T345" s="16">
        <v>217</v>
      </c>
      <c r="U345" s="16">
        <v>9</v>
      </c>
      <c r="V345" s="16">
        <v>6395</v>
      </c>
      <c r="W345" s="16">
        <f t="shared" si="205"/>
        <v>702</v>
      </c>
      <c r="X345" s="16">
        <v>5693</v>
      </c>
      <c r="Y345" s="16">
        <v>4777</v>
      </c>
      <c r="Z345" s="16">
        <f t="shared" si="206"/>
        <v>916</v>
      </c>
      <c r="AA345" s="16"/>
      <c r="AC345" s="82">
        <v>2021</v>
      </c>
      <c r="AD345" s="83" t="s">
        <v>39</v>
      </c>
      <c r="AE345" s="44">
        <f t="shared" si="207"/>
        <v>0.68018867924528303</v>
      </c>
      <c r="AF345" s="44">
        <f t="shared" si="208"/>
        <v>0.80829596412556048</v>
      </c>
      <c r="AG345" s="44">
        <f t="shared" si="209"/>
        <v>0.84150943396226419</v>
      </c>
      <c r="AH345" s="16">
        <v>36</v>
      </c>
      <c r="AI345" s="16">
        <v>3</v>
      </c>
      <c r="AJ345" s="16">
        <v>1060</v>
      </c>
      <c r="AK345" s="16">
        <f t="shared" si="210"/>
        <v>168</v>
      </c>
      <c r="AL345" s="16">
        <v>892</v>
      </c>
      <c r="AM345" s="16">
        <v>721</v>
      </c>
      <c r="AN345" s="16">
        <f t="shared" si="211"/>
        <v>171</v>
      </c>
      <c r="AO345" s="16"/>
      <c r="AQ345" s="82">
        <v>2021</v>
      </c>
      <c r="AR345" s="83" t="s">
        <v>39</v>
      </c>
      <c r="AS345" s="44">
        <f t="shared" si="212"/>
        <v>0.68666666666666665</v>
      </c>
      <c r="AT345" s="44">
        <f t="shared" si="213"/>
        <v>0.84081632653061222</v>
      </c>
      <c r="AU345" s="44">
        <f t="shared" si="214"/>
        <v>0.81666666666666665</v>
      </c>
      <c r="AV345" s="16">
        <v>20</v>
      </c>
      <c r="AW345" s="16">
        <v>3</v>
      </c>
      <c r="AX345" s="16">
        <v>600</v>
      </c>
      <c r="AY345" s="16">
        <f t="shared" si="215"/>
        <v>110</v>
      </c>
      <c r="AZ345" s="16">
        <v>490</v>
      </c>
      <c r="BA345" s="16">
        <v>412</v>
      </c>
      <c r="BB345" s="16">
        <f t="shared" si="216"/>
        <v>78</v>
      </c>
      <c r="BC345" s="19" t="s">
        <v>80</v>
      </c>
    </row>
    <row r="346" spans="1:55" s="18" customFormat="1" ht="15" customHeight="1">
      <c r="A346" s="82">
        <v>2021</v>
      </c>
      <c r="B346" s="83" t="s">
        <v>40</v>
      </c>
      <c r="C346" s="15">
        <f t="shared" si="179"/>
        <v>0.76393890475599158</v>
      </c>
      <c r="D346" s="15">
        <f t="shared" si="180"/>
        <v>0.85184159512600388</v>
      </c>
      <c r="E346" s="15">
        <f t="shared" si="181"/>
        <v>0.89680864274183536</v>
      </c>
      <c r="F346" s="16">
        <f>+Tabla2[[#This Row],[Trenes Programados por Día Hábil]]+Tabla9[[#This Row],[Trenes Programados por Día Hábil]]+Tabla10[[#This Row],[Trenes Programados por Día Hábil]]</f>
        <v>273</v>
      </c>
      <c r="G346" s="33">
        <f>+(Tabla2[[#This Row],[Coches por Tren Día Hábil]]*Tabla2[[#This Row],[Trenes Corridos]]+Tabla9[[#This Row],[Coches por Tren Día Hábil]]*Tabla9[[#This Row],[Trenes Corridos]]+Tabla10[[#This Row],[Coches por Tren Día Hábil]]*Tabla10[[#This Row],[Trenes Corridos]])/SARM[[#This Row],[Trenes Corridos]]</f>
        <v>7.7189144281362507</v>
      </c>
      <c r="H346" s="16">
        <f t="shared" si="183"/>
        <v>8053</v>
      </c>
      <c r="I346" s="16">
        <f t="shared" si="184"/>
        <v>831</v>
      </c>
      <c r="J346" s="16">
        <f t="shared" si="182"/>
        <v>7222</v>
      </c>
      <c r="K346" s="16">
        <f t="shared" si="185"/>
        <v>6152</v>
      </c>
      <c r="L346" s="16">
        <f t="shared" si="186"/>
        <v>1070</v>
      </c>
      <c r="M346" s="16"/>
      <c r="O346" s="82">
        <v>2021</v>
      </c>
      <c r="P346" s="83" t="s">
        <v>40</v>
      </c>
      <c r="Q346" s="44">
        <f t="shared" si="202"/>
        <v>0.74547172783115456</v>
      </c>
      <c r="R346" s="44">
        <f t="shared" si="203"/>
        <v>0.83327464788732397</v>
      </c>
      <c r="S346" s="44">
        <f t="shared" si="204"/>
        <v>0.89462907544495196</v>
      </c>
      <c r="T346" s="16">
        <v>217</v>
      </c>
      <c r="U346" s="16">
        <v>9</v>
      </c>
      <c r="V346" s="16">
        <v>6349</v>
      </c>
      <c r="W346" s="16">
        <f t="shared" si="205"/>
        <v>669</v>
      </c>
      <c r="X346" s="16">
        <v>5680</v>
      </c>
      <c r="Y346" s="16">
        <v>4733</v>
      </c>
      <c r="Z346" s="16">
        <f t="shared" si="206"/>
        <v>947</v>
      </c>
      <c r="AA346" s="16"/>
      <c r="AC346" s="82">
        <v>2021</v>
      </c>
      <c r="AD346" s="83" t="s">
        <v>40</v>
      </c>
      <c r="AE346" s="44">
        <f t="shared" si="207"/>
        <v>0.82472324723247237</v>
      </c>
      <c r="AF346" s="44">
        <f t="shared" si="208"/>
        <v>0.90030211480362543</v>
      </c>
      <c r="AG346" s="44">
        <f t="shared" si="209"/>
        <v>0.91605166051660514</v>
      </c>
      <c r="AH346" s="16">
        <v>36</v>
      </c>
      <c r="AI346" s="16">
        <v>3</v>
      </c>
      <c r="AJ346" s="16">
        <v>1084</v>
      </c>
      <c r="AK346" s="16">
        <f t="shared" si="210"/>
        <v>91</v>
      </c>
      <c r="AL346" s="16">
        <v>993</v>
      </c>
      <c r="AM346" s="16">
        <v>894</v>
      </c>
      <c r="AN346" s="16">
        <f t="shared" si="211"/>
        <v>99</v>
      </c>
      <c r="AO346" s="16"/>
      <c r="AQ346" s="82">
        <v>2021</v>
      </c>
      <c r="AR346" s="83" t="s">
        <v>40</v>
      </c>
      <c r="AS346" s="44">
        <f t="shared" si="212"/>
        <v>0.84677419354838712</v>
      </c>
      <c r="AT346" s="44">
        <f t="shared" si="213"/>
        <v>0.95628415300546443</v>
      </c>
      <c r="AU346" s="44">
        <f t="shared" si="214"/>
        <v>0.88548387096774195</v>
      </c>
      <c r="AV346" s="16">
        <v>20</v>
      </c>
      <c r="AW346" s="16">
        <v>3</v>
      </c>
      <c r="AX346" s="16">
        <v>620</v>
      </c>
      <c r="AY346" s="16">
        <f t="shared" si="215"/>
        <v>71</v>
      </c>
      <c r="AZ346" s="16">
        <v>549</v>
      </c>
      <c r="BA346" s="16">
        <v>525</v>
      </c>
      <c r="BB346" s="16">
        <f t="shared" si="216"/>
        <v>24</v>
      </c>
      <c r="BC346" s="19" t="s">
        <v>80</v>
      </c>
    </row>
    <row r="347" spans="1:55" s="18" customFormat="1" ht="15" customHeight="1">
      <c r="A347" s="82">
        <v>2021</v>
      </c>
      <c r="B347" s="83" t="s">
        <v>41</v>
      </c>
      <c r="C347" s="15">
        <f t="shared" si="179"/>
        <v>0.71354679802955667</v>
      </c>
      <c r="D347" s="15">
        <f t="shared" si="180"/>
        <v>0.81410706758465645</v>
      </c>
      <c r="E347" s="15">
        <f t="shared" si="181"/>
        <v>0.87647783251231526</v>
      </c>
      <c r="F347" s="16">
        <f>+Tabla2[[#This Row],[Trenes Programados por Día Hábil]]+Tabla9[[#This Row],[Trenes Programados por Día Hábil]]+Tabla10[[#This Row],[Trenes Programados por Día Hábil]]</f>
        <v>273</v>
      </c>
      <c r="G347" s="33">
        <f>+(Tabla2[[#This Row],[Coches por Tren Día Hábil]]*Tabla2[[#This Row],[Trenes Corridos]]+Tabla9[[#This Row],[Coches por Tren Día Hábil]]*Tabla9[[#This Row],[Trenes Corridos]]+Tabla10[[#This Row],[Coches por Tren Día Hábil]]*Tabla10[[#This Row],[Trenes Corridos]])/SARM[[#This Row],[Trenes Corridos]]</f>
        <v>7.7851622874806798</v>
      </c>
      <c r="H347" s="16">
        <f t="shared" si="183"/>
        <v>8120</v>
      </c>
      <c r="I347" s="16">
        <f t="shared" si="184"/>
        <v>1003</v>
      </c>
      <c r="J347" s="16">
        <f t="shared" si="182"/>
        <v>7117</v>
      </c>
      <c r="K347" s="16">
        <f t="shared" si="185"/>
        <v>5794</v>
      </c>
      <c r="L347" s="16">
        <f t="shared" si="186"/>
        <v>1323</v>
      </c>
      <c r="M347" s="16"/>
      <c r="O347" s="82">
        <v>2021</v>
      </c>
      <c r="P347" s="83" t="s">
        <v>41</v>
      </c>
      <c r="Q347" s="44">
        <f t="shared" si="202"/>
        <v>0.70448916408668727</v>
      </c>
      <c r="R347" s="44">
        <f t="shared" si="203"/>
        <v>0.80179704016913322</v>
      </c>
      <c r="S347" s="44">
        <f t="shared" si="204"/>
        <v>0.87863777089783279</v>
      </c>
      <c r="T347" s="16">
        <v>217</v>
      </c>
      <c r="U347" s="16">
        <v>9</v>
      </c>
      <c r="V347" s="16">
        <v>6460</v>
      </c>
      <c r="W347" s="16">
        <f t="shared" si="205"/>
        <v>784</v>
      </c>
      <c r="X347" s="16">
        <v>5676</v>
      </c>
      <c r="Y347" s="16">
        <v>4551</v>
      </c>
      <c r="Z347" s="16">
        <f t="shared" si="206"/>
        <v>1125</v>
      </c>
      <c r="AA347" s="16"/>
      <c r="AC347" s="82">
        <v>2021</v>
      </c>
      <c r="AD347" s="83" t="s">
        <v>41</v>
      </c>
      <c r="AE347" s="44">
        <f t="shared" si="207"/>
        <v>0.73207547169811316</v>
      </c>
      <c r="AF347" s="44">
        <f t="shared" si="208"/>
        <v>0.84164859002169201</v>
      </c>
      <c r="AG347" s="44">
        <f t="shared" si="209"/>
        <v>0.86981132075471701</v>
      </c>
      <c r="AH347" s="16">
        <v>36</v>
      </c>
      <c r="AI347" s="16">
        <v>3</v>
      </c>
      <c r="AJ347" s="16">
        <v>1060</v>
      </c>
      <c r="AK347" s="16">
        <f t="shared" si="210"/>
        <v>138</v>
      </c>
      <c r="AL347" s="16">
        <v>922</v>
      </c>
      <c r="AM347" s="16">
        <v>776</v>
      </c>
      <c r="AN347" s="16">
        <f t="shared" si="211"/>
        <v>146</v>
      </c>
      <c r="AO347" s="16"/>
      <c r="AQ347" s="82">
        <v>2021</v>
      </c>
      <c r="AR347" s="83" t="s">
        <v>41</v>
      </c>
      <c r="AS347" s="44">
        <f t="shared" si="212"/>
        <v>0.77833333333333332</v>
      </c>
      <c r="AT347" s="44">
        <f t="shared" si="213"/>
        <v>0.89980732177263967</v>
      </c>
      <c r="AU347" s="44">
        <f t="shared" si="214"/>
        <v>0.86499999999999999</v>
      </c>
      <c r="AV347" s="16">
        <v>20</v>
      </c>
      <c r="AW347" s="16">
        <v>3</v>
      </c>
      <c r="AX347" s="16">
        <v>600</v>
      </c>
      <c r="AY347" s="16">
        <f t="shared" si="215"/>
        <v>81</v>
      </c>
      <c r="AZ347" s="16">
        <v>519</v>
      </c>
      <c r="BA347" s="16">
        <v>467</v>
      </c>
      <c r="BB347" s="16">
        <f t="shared" si="216"/>
        <v>52</v>
      </c>
      <c r="BC347" s="19" t="s">
        <v>80</v>
      </c>
    </row>
    <row r="348" spans="1:55" s="18" customFormat="1" ht="15" customHeight="1">
      <c r="A348" s="82">
        <v>2021</v>
      </c>
      <c r="B348" s="83" t="s">
        <v>42</v>
      </c>
      <c r="C348" s="15">
        <f t="shared" si="179"/>
        <v>0.73934957398295931</v>
      </c>
      <c r="D348" s="15">
        <f t="shared" si="180"/>
        <v>0.80504377368352276</v>
      </c>
      <c r="E348" s="15">
        <f t="shared" si="181"/>
        <v>0.91839673586943482</v>
      </c>
      <c r="F348" s="16">
        <f>+Tabla2[[#This Row],[Trenes Programados por Día Hábil]]+Tabla9[[#This Row],[Trenes Programados por Día Hábil]]+Tabla10[[#This Row],[Trenes Programados por Día Hábil]]</f>
        <v>300</v>
      </c>
      <c r="G348" s="33">
        <f>+(Tabla2[[#This Row],[Coches por Tren Día Hábil]]*Tabla2[[#This Row],[Trenes Corridos]]+Tabla9[[#This Row],[Coches por Tren Día Hábil]]*Tabla9[[#This Row],[Trenes Corridos]]+Tabla10[[#This Row],[Coches por Tren Día Hábil]]*Tabla10[[#This Row],[Trenes Corridos]])/SARM[[#This Row],[Trenes Corridos]]</f>
        <v>7.7926303410427282</v>
      </c>
      <c r="H348" s="16">
        <f t="shared" si="183"/>
        <v>8333</v>
      </c>
      <c r="I348" s="16">
        <f t="shared" si="184"/>
        <v>680</v>
      </c>
      <c r="J348" s="16">
        <f t="shared" si="182"/>
        <v>7653</v>
      </c>
      <c r="K348" s="16">
        <f t="shared" si="185"/>
        <v>6161</v>
      </c>
      <c r="L348" s="16">
        <f t="shared" si="186"/>
        <v>1492</v>
      </c>
      <c r="M348" s="16"/>
      <c r="O348" s="82">
        <v>2021</v>
      </c>
      <c r="P348" s="83" t="s">
        <v>42</v>
      </c>
      <c r="Q348" s="44">
        <f t="shared" ref="Q348:Q353" si="217">Y348/V348</f>
        <v>0.72398735130251468</v>
      </c>
      <c r="R348" s="44">
        <f t="shared" ref="R348:R353" si="218">Y348/X348</f>
        <v>0.78652053001799449</v>
      </c>
      <c r="S348" s="44">
        <f t="shared" ref="S348:S353" si="219">X348/V348</f>
        <v>0.92049390152085531</v>
      </c>
      <c r="T348" s="16">
        <v>244</v>
      </c>
      <c r="U348" s="16">
        <v>9</v>
      </c>
      <c r="V348" s="16">
        <v>6641</v>
      </c>
      <c r="W348" s="16">
        <f t="shared" si="205"/>
        <v>528</v>
      </c>
      <c r="X348" s="16">
        <v>6113</v>
      </c>
      <c r="Y348" s="16">
        <v>4808</v>
      </c>
      <c r="Z348" s="16">
        <f t="shared" ref="Z348:Z353" si="220">X348-Y348</f>
        <v>1305</v>
      </c>
      <c r="AA348" s="16"/>
      <c r="AC348" s="82">
        <v>2021</v>
      </c>
      <c r="AD348" s="83" t="s">
        <v>42</v>
      </c>
      <c r="AE348" s="44">
        <f t="shared" ref="AE348:AE353" si="221">AM348/AJ348</f>
        <v>0.75915750915750912</v>
      </c>
      <c r="AF348" s="44">
        <f t="shared" ref="AF348:AF353" si="222">AM348/AL348</f>
        <v>0.84505606523955146</v>
      </c>
      <c r="AG348" s="44">
        <f t="shared" ref="AG348:AG353" si="223">AL348/AJ348</f>
        <v>0.89835164835164838</v>
      </c>
      <c r="AH348" s="16">
        <v>36</v>
      </c>
      <c r="AI348" s="16">
        <v>3</v>
      </c>
      <c r="AJ348" s="16">
        <v>1092</v>
      </c>
      <c r="AK348" s="16">
        <f t="shared" si="210"/>
        <v>111</v>
      </c>
      <c r="AL348" s="16">
        <v>981</v>
      </c>
      <c r="AM348" s="16">
        <v>829</v>
      </c>
      <c r="AN348" s="16">
        <f t="shared" ref="AN348:AN353" si="224">AL348-AM348</f>
        <v>152</v>
      </c>
      <c r="AO348" s="16"/>
      <c r="AQ348" s="82">
        <v>2021</v>
      </c>
      <c r="AR348" s="83" t="s">
        <v>42</v>
      </c>
      <c r="AS348" s="44">
        <f t="shared" ref="AS348:AS353" si="225">BA348/AX348</f>
        <v>0.87333333333333329</v>
      </c>
      <c r="AT348" s="44">
        <f t="shared" ref="AT348:AT353" si="226">BA348/AZ348</f>
        <v>0.93738819320214672</v>
      </c>
      <c r="AU348" s="44">
        <f t="shared" ref="AU348:AU353" si="227">AZ348/AX348</f>
        <v>0.93166666666666664</v>
      </c>
      <c r="AV348" s="16">
        <v>20</v>
      </c>
      <c r="AW348" s="16">
        <v>3</v>
      </c>
      <c r="AX348" s="16">
        <v>600</v>
      </c>
      <c r="AY348" s="16">
        <f t="shared" si="215"/>
        <v>41</v>
      </c>
      <c r="AZ348" s="16">
        <v>559</v>
      </c>
      <c r="BA348" s="16">
        <v>524</v>
      </c>
      <c r="BB348" s="16">
        <f t="shared" ref="BB348:BB353" si="228">AZ348-BA348</f>
        <v>35</v>
      </c>
      <c r="BC348" s="19" t="s">
        <v>80</v>
      </c>
    </row>
    <row r="349" spans="1:55" s="18" customFormat="1" ht="15" customHeight="1">
      <c r="A349" s="82">
        <v>2021</v>
      </c>
      <c r="B349" s="83" t="s">
        <v>43</v>
      </c>
      <c r="C349" s="15">
        <f t="shared" si="179"/>
        <v>0.68274448329916793</v>
      </c>
      <c r="D349" s="15">
        <f t="shared" si="180"/>
        <v>0.74716283979941933</v>
      </c>
      <c r="E349" s="15">
        <f t="shared" si="181"/>
        <v>0.91378270830821173</v>
      </c>
      <c r="F349" s="16">
        <f>+Tabla2[[#This Row],[Trenes Programados por Día Hábil]]+Tabla9[[#This Row],[Trenes Programados por Día Hábil]]+Tabla10[[#This Row],[Trenes Programados por Día Hábil]]</f>
        <v>300</v>
      </c>
      <c r="G349" s="33">
        <f>+(Tabla2[[#This Row],[Coches por Tren Día Hábil]]*Tabla2[[#This Row],[Trenes Corridos]]+Tabla9[[#This Row],[Coches por Tren Día Hábil]]*Tabla9[[#This Row],[Trenes Corridos]]+Tabla10[[#This Row],[Coches por Tren Día Hábil]]*Tabla10[[#This Row],[Trenes Corridos]])/SARM[[#This Row],[Trenes Corridos]]</f>
        <v>7.771179730799683</v>
      </c>
      <c r="H349" s="16">
        <f t="shared" si="183"/>
        <v>8293</v>
      </c>
      <c r="I349" s="16">
        <f t="shared" si="184"/>
        <v>715</v>
      </c>
      <c r="J349" s="16">
        <f t="shared" si="182"/>
        <v>7578</v>
      </c>
      <c r="K349" s="16">
        <f t="shared" si="185"/>
        <v>5662</v>
      </c>
      <c r="L349" s="16">
        <f t="shared" si="186"/>
        <v>1916</v>
      </c>
      <c r="M349" s="16"/>
      <c r="O349" s="82">
        <v>2021</v>
      </c>
      <c r="P349" s="83" t="s">
        <v>43</v>
      </c>
      <c r="Q349" s="44">
        <f t="shared" si="217"/>
        <v>0.64744270754287447</v>
      </c>
      <c r="R349" s="44">
        <f t="shared" si="218"/>
        <v>0.70793229339528707</v>
      </c>
      <c r="S349" s="44">
        <f t="shared" si="219"/>
        <v>0.91455456063135532</v>
      </c>
      <c r="T349" s="16">
        <v>244</v>
      </c>
      <c r="U349" s="16">
        <v>9</v>
      </c>
      <c r="V349" s="16">
        <v>6589</v>
      </c>
      <c r="W349" s="16">
        <f t="shared" si="205"/>
        <v>563</v>
      </c>
      <c r="X349" s="16">
        <v>6026</v>
      </c>
      <c r="Y349" s="16">
        <v>4266</v>
      </c>
      <c r="Z349" s="16">
        <f t="shared" si="220"/>
        <v>1760</v>
      </c>
      <c r="AA349" s="16"/>
      <c r="AC349" s="82">
        <v>2021</v>
      </c>
      <c r="AD349" s="83" t="s">
        <v>43</v>
      </c>
      <c r="AE349" s="44">
        <f t="shared" si="221"/>
        <v>0.75738007380073802</v>
      </c>
      <c r="AF349" s="44">
        <f t="shared" si="222"/>
        <v>0.85878661087866104</v>
      </c>
      <c r="AG349" s="44">
        <f t="shared" si="223"/>
        <v>0.88191881918819193</v>
      </c>
      <c r="AH349" s="16">
        <v>36</v>
      </c>
      <c r="AI349" s="16">
        <v>3</v>
      </c>
      <c r="AJ349" s="16">
        <v>1084</v>
      </c>
      <c r="AK349" s="16">
        <f t="shared" si="210"/>
        <v>128</v>
      </c>
      <c r="AL349" s="16">
        <v>956</v>
      </c>
      <c r="AM349" s="16">
        <v>821</v>
      </c>
      <c r="AN349" s="16">
        <f t="shared" si="224"/>
        <v>135</v>
      </c>
      <c r="AO349" s="16"/>
      <c r="AQ349" s="82">
        <v>2021</v>
      </c>
      <c r="AR349" s="83" t="s">
        <v>43</v>
      </c>
      <c r="AS349" s="44">
        <f t="shared" si="225"/>
        <v>0.92741935483870963</v>
      </c>
      <c r="AT349" s="44">
        <f t="shared" si="226"/>
        <v>0.96476510067114096</v>
      </c>
      <c r="AU349" s="44">
        <f t="shared" si="227"/>
        <v>0.96129032258064517</v>
      </c>
      <c r="AV349" s="16">
        <v>20</v>
      </c>
      <c r="AW349" s="16">
        <v>3</v>
      </c>
      <c r="AX349" s="16">
        <v>620</v>
      </c>
      <c r="AY349" s="16">
        <f t="shared" si="215"/>
        <v>24</v>
      </c>
      <c r="AZ349" s="16">
        <v>596</v>
      </c>
      <c r="BA349" s="16">
        <v>575</v>
      </c>
      <c r="BB349" s="16">
        <f t="shared" si="228"/>
        <v>21</v>
      </c>
      <c r="BC349" s="19" t="s">
        <v>80</v>
      </c>
    </row>
    <row r="350" spans="1:55" s="18" customFormat="1" ht="15" customHeight="1">
      <c r="A350" s="82">
        <v>2021</v>
      </c>
      <c r="B350" s="83" t="s">
        <v>44</v>
      </c>
      <c r="C350" s="15">
        <f t="shared" si="179"/>
        <v>0.68787252159104728</v>
      </c>
      <c r="D350" s="15">
        <f t="shared" si="180"/>
        <v>0.75259515570934254</v>
      </c>
      <c r="E350" s="15">
        <f t="shared" si="181"/>
        <v>0.91400072983821923</v>
      </c>
      <c r="F350" s="16">
        <f>+Tabla2[[#This Row],[Trenes Programados por Día Hábil]]+Tabla9[[#This Row],[Trenes Programados por Día Hábil]]+Tabla10[[#This Row],[Trenes Programados por Día Hábil]]</f>
        <v>300</v>
      </c>
      <c r="G350" s="33">
        <f>+(Tabla2[[#This Row],[Coches por Tren Día Hábil]]*Tabla2[[#This Row],[Trenes Corridos]]+Tabla9[[#This Row],[Coches por Tren Día Hábil]]*Tabla9[[#This Row],[Trenes Corridos]]+Tabla10[[#This Row],[Coches por Tren Día Hábil]]*Tabla10[[#This Row],[Trenes Corridos]])/SARM[[#This Row],[Trenes Corridos]]</f>
        <v>7.822198562682992</v>
      </c>
      <c r="H350" s="16">
        <f t="shared" si="183"/>
        <v>8221</v>
      </c>
      <c r="I350" s="16">
        <f t="shared" si="184"/>
        <v>707</v>
      </c>
      <c r="J350" s="16">
        <f t="shared" si="182"/>
        <v>7514</v>
      </c>
      <c r="K350" s="16">
        <f t="shared" si="185"/>
        <v>5655</v>
      </c>
      <c r="L350" s="16">
        <f t="shared" si="186"/>
        <v>1859</v>
      </c>
      <c r="M350" s="16"/>
      <c r="O350" s="82">
        <v>2021</v>
      </c>
      <c r="P350" s="83" t="s">
        <v>44</v>
      </c>
      <c r="Q350" s="44">
        <f t="shared" si="217"/>
        <v>0.66285975331201463</v>
      </c>
      <c r="R350" s="44">
        <f t="shared" si="218"/>
        <v>0.72081470442126183</v>
      </c>
      <c r="S350" s="44">
        <f t="shared" si="219"/>
        <v>0.91959798994974873</v>
      </c>
      <c r="T350" s="16">
        <v>244</v>
      </c>
      <c r="U350" s="16">
        <v>9</v>
      </c>
      <c r="V350" s="16">
        <v>6567</v>
      </c>
      <c r="W350" s="16">
        <f t="shared" ref="W350:W356" si="229">V350-X350</f>
        <v>528</v>
      </c>
      <c r="X350" s="16">
        <v>6039</v>
      </c>
      <c r="Y350" s="16">
        <v>4353</v>
      </c>
      <c r="Z350" s="16">
        <f t="shared" si="220"/>
        <v>1686</v>
      </c>
      <c r="AA350" s="16"/>
      <c r="AC350" s="82">
        <v>2021</v>
      </c>
      <c r="AD350" s="83" t="s">
        <v>44</v>
      </c>
      <c r="AE350" s="44">
        <f t="shared" si="221"/>
        <v>0.71347248576850097</v>
      </c>
      <c r="AF350" s="44">
        <f t="shared" si="222"/>
        <v>0.8392857142857143</v>
      </c>
      <c r="AG350" s="44">
        <f t="shared" si="223"/>
        <v>0.85009487666034156</v>
      </c>
      <c r="AH350" s="16">
        <v>36</v>
      </c>
      <c r="AI350" s="16">
        <v>3</v>
      </c>
      <c r="AJ350" s="16">
        <v>1054</v>
      </c>
      <c r="AK350" s="16">
        <f t="shared" ref="AK350:AK356" si="230">AJ350-AL350</f>
        <v>158</v>
      </c>
      <c r="AL350" s="16">
        <v>896</v>
      </c>
      <c r="AM350" s="16">
        <v>752</v>
      </c>
      <c r="AN350" s="16">
        <f t="shared" si="224"/>
        <v>144</v>
      </c>
      <c r="AO350" s="16"/>
      <c r="AQ350" s="82">
        <v>2021</v>
      </c>
      <c r="AR350" s="83" t="s">
        <v>44</v>
      </c>
      <c r="AS350" s="44">
        <f t="shared" si="225"/>
        <v>0.91666666666666663</v>
      </c>
      <c r="AT350" s="44">
        <f t="shared" si="226"/>
        <v>0.94991364421416236</v>
      </c>
      <c r="AU350" s="44">
        <f t="shared" si="227"/>
        <v>0.96499999999999997</v>
      </c>
      <c r="AV350" s="16">
        <v>20</v>
      </c>
      <c r="AW350" s="16">
        <v>3</v>
      </c>
      <c r="AX350" s="16">
        <v>600</v>
      </c>
      <c r="AY350" s="16">
        <f t="shared" ref="AY350:AY356" si="231">AX350-AZ350</f>
        <v>21</v>
      </c>
      <c r="AZ350" s="16">
        <v>579</v>
      </c>
      <c r="BA350" s="16">
        <v>550</v>
      </c>
      <c r="BB350" s="16">
        <f t="shared" si="228"/>
        <v>29</v>
      </c>
      <c r="BC350" s="19" t="s">
        <v>80</v>
      </c>
    </row>
    <row r="351" spans="1:55" s="18" customFormat="1" ht="15" customHeight="1">
      <c r="A351" s="82">
        <v>2021</v>
      </c>
      <c r="B351" s="83" t="s">
        <v>45</v>
      </c>
      <c r="C351" s="15">
        <f t="shared" si="179"/>
        <v>0.63926091269841268</v>
      </c>
      <c r="D351" s="15">
        <f t="shared" si="180"/>
        <v>0.68861875500935077</v>
      </c>
      <c r="E351" s="15">
        <f t="shared" si="181"/>
        <v>0.92832341269841268</v>
      </c>
      <c r="F351" s="16">
        <f>+Tabla2[[#This Row],[Trenes Programados por Día Hábil]]+Tabla9[[#This Row],[Trenes Programados por Día Hábil]]+Tabla10[[#This Row],[Trenes Programados por Día Hábil]]</f>
        <v>300</v>
      </c>
      <c r="G351" s="33">
        <f>+(Tabla2[[#This Row],[Coches por Tren Día Hábil]]*Tabla2[[#This Row],[Trenes Corridos]]+Tabla9[[#This Row],[Coches por Tren Día Hábil]]*Tabla9[[#This Row],[Trenes Corridos]]+Tabla10[[#This Row],[Coches por Tren Día Hábil]]*Tabla10[[#This Row],[Trenes Corridos]])/SARM[[#This Row],[Trenes Corridos]]</f>
        <v>7.7769169115682608</v>
      </c>
      <c r="H351" s="16">
        <f t="shared" si="183"/>
        <v>8064</v>
      </c>
      <c r="I351" s="16">
        <f t="shared" si="184"/>
        <v>578</v>
      </c>
      <c r="J351" s="16">
        <f t="shared" si="182"/>
        <v>7486</v>
      </c>
      <c r="K351" s="16">
        <f t="shared" si="185"/>
        <v>5155</v>
      </c>
      <c r="L351" s="16">
        <f t="shared" si="186"/>
        <v>2331</v>
      </c>
      <c r="M351" s="16"/>
      <c r="O351" s="82">
        <v>2021</v>
      </c>
      <c r="P351" s="83" t="s">
        <v>45</v>
      </c>
      <c r="Q351" s="44">
        <f t="shared" si="217"/>
        <v>0.62435516648428946</v>
      </c>
      <c r="R351" s="44">
        <f t="shared" si="218"/>
        <v>0.67013422818791946</v>
      </c>
      <c r="S351" s="44">
        <f t="shared" si="219"/>
        <v>0.93168672815382214</v>
      </c>
      <c r="T351" s="16">
        <v>244</v>
      </c>
      <c r="U351" s="16">
        <v>9</v>
      </c>
      <c r="V351" s="16">
        <v>6397</v>
      </c>
      <c r="W351" s="16">
        <f t="shared" si="229"/>
        <v>437</v>
      </c>
      <c r="X351" s="16">
        <v>5960</v>
      </c>
      <c r="Y351" s="16">
        <v>3994</v>
      </c>
      <c r="Z351" s="16">
        <f t="shared" si="220"/>
        <v>1966</v>
      </c>
      <c r="AA351" s="16"/>
      <c r="AC351" s="82">
        <v>2021</v>
      </c>
      <c r="AD351" s="83" t="s">
        <v>45</v>
      </c>
      <c r="AE351" s="44">
        <f t="shared" si="221"/>
        <v>0.59312320916905448</v>
      </c>
      <c r="AF351" s="44">
        <f t="shared" si="222"/>
        <v>0.66134185303514381</v>
      </c>
      <c r="AG351" s="44">
        <f t="shared" si="223"/>
        <v>0.8968481375358166</v>
      </c>
      <c r="AH351" s="16">
        <v>36</v>
      </c>
      <c r="AI351" s="16">
        <v>3</v>
      </c>
      <c r="AJ351" s="16">
        <v>1047</v>
      </c>
      <c r="AK351" s="16">
        <f t="shared" si="230"/>
        <v>108</v>
      </c>
      <c r="AL351" s="16">
        <v>939</v>
      </c>
      <c r="AM351" s="16">
        <v>621</v>
      </c>
      <c r="AN351" s="16">
        <f t="shared" si="224"/>
        <v>318</v>
      </c>
      <c r="AO351" s="16"/>
      <c r="AQ351" s="82">
        <v>2021</v>
      </c>
      <c r="AR351" s="83" t="s">
        <v>45</v>
      </c>
      <c r="AS351" s="44">
        <f t="shared" si="225"/>
        <v>0.87096774193548387</v>
      </c>
      <c r="AT351" s="44">
        <f t="shared" si="226"/>
        <v>0.91993185689948898</v>
      </c>
      <c r="AU351" s="44">
        <f t="shared" si="227"/>
        <v>0.9467741935483871</v>
      </c>
      <c r="AV351" s="16">
        <v>20</v>
      </c>
      <c r="AW351" s="16">
        <v>3</v>
      </c>
      <c r="AX351" s="16">
        <v>620</v>
      </c>
      <c r="AY351" s="16">
        <f t="shared" si="231"/>
        <v>33</v>
      </c>
      <c r="AZ351" s="16">
        <v>587</v>
      </c>
      <c r="BA351" s="16">
        <v>540</v>
      </c>
      <c r="BB351" s="16">
        <f t="shared" si="228"/>
        <v>47</v>
      </c>
      <c r="BC351" s="19" t="s">
        <v>80</v>
      </c>
    </row>
    <row r="352" spans="1:55" s="18" customFormat="1" ht="15" customHeight="1">
      <c r="A352" s="82">
        <v>2021</v>
      </c>
      <c r="B352" s="83" t="s">
        <v>46</v>
      </c>
      <c r="C352" s="15">
        <f t="shared" si="179"/>
        <v>0.6954624781849913</v>
      </c>
      <c r="D352" s="15">
        <f t="shared" si="180"/>
        <v>0.74946265448683502</v>
      </c>
      <c r="E352" s="15">
        <f t="shared" si="181"/>
        <v>0.92794814260782843</v>
      </c>
      <c r="F352" s="16">
        <f>+Tabla2[[#This Row],[Trenes Programados por Día Hábil]]+Tabla9[[#This Row],[Trenes Programados por Día Hábil]]+Tabla10[[#This Row],[Trenes Programados por Día Hábil]]</f>
        <v>300</v>
      </c>
      <c r="G352" s="33">
        <f>+(Tabla2[[#This Row],[Coches por Tren Día Hábil]]*Tabla2[[#This Row],[Trenes Corridos]]+Tabla9[[#This Row],[Coches por Tren Día Hábil]]*Tabla9[[#This Row],[Trenes Corridos]]+Tabla10[[#This Row],[Coches por Tren Día Hábil]]*Tabla10[[#This Row],[Trenes Corridos]])/SARM[[#This Row],[Trenes Corridos]]</f>
        <v>7.7780763030628695</v>
      </c>
      <c r="H352" s="16">
        <f t="shared" si="183"/>
        <v>8022</v>
      </c>
      <c r="I352" s="16">
        <f t="shared" si="184"/>
        <v>578</v>
      </c>
      <c r="J352" s="16">
        <f t="shared" si="182"/>
        <v>7444</v>
      </c>
      <c r="K352" s="16">
        <f t="shared" si="185"/>
        <v>5579</v>
      </c>
      <c r="L352" s="16">
        <f t="shared" si="186"/>
        <v>1865</v>
      </c>
      <c r="M352" s="16"/>
      <c r="O352" s="82">
        <v>2021</v>
      </c>
      <c r="P352" s="83" t="s">
        <v>46</v>
      </c>
      <c r="Q352" s="44">
        <f t="shared" si="217"/>
        <v>0.68681661980631048</v>
      </c>
      <c r="R352" s="44">
        <f t="shared" si="218"/>
        <v>0.74173414304993257</v>
      </c>
      <c r="S352" s="44">
        <f t="shared" si="219"/>
        <v>0.92596063730084344</v>
      </c>
      <c r="T352" s="16">
        <v>244</v>
      </c>
      <c r="U352" s="16">
        <v>9</v>
      </c>
      <c r="V352" s="16">
        <v>6402</v>
      </c>
      <c r="W352" s="16">
        <f t="shared" si="229"/>
        <v>474</v>
      </c>
      <c r="X352" s="16">
        <v>5928</v>
      </c>
      <c r="Y352" s="16">
        <v>4397</v>
      </c>
      <c r="Z352" s="16">
        <f t="shared" si="220"/>
        <v>1531</v>
      </c>
      <c r="AA352" s="16"/>
      <c r="AC352" s="82">
        <v>2021</v>
      </c>
      <c r="AD352" s="83" t="s">
        <v>46</v>
      </c>
      <c r="AE352" s="44">
        <f t="shared" si="221"/>
        <v>0.62352941176470589</v>
      </c>
      <c r="AF352" s="44">
        <f t="shared" si="222"/>
        <v>0.68167202572347263</v>
      </c>
      <c r="AG352" s="44">
        <f t="shared" si="223"/>
        <v>0.91470588235294115</v>
      </c>
      <c r="AH352" s="16">
        <v>36</v>
      </c>
      <c r="AI352" s="16">
        <v>3</v>
      </c>
      <c r="AJ352" s="16">
        <v>1020</v>
      </c>
      <c r="AK352" s="16">
        <f t="shared" si="230"/>
        <v>87</v>
      </c>
      <c r="AL352" s="16">
        <v>933</v>
      </c>
      <c r="AM352" s="16">
        <v>636</v>
      </c>
      <c r="AN352" s="16">
        <f t="shared" si="224"/>
        <v>297</v>
      </c>
      <c r="AO352" s="16"/>
      <c r="AQ352" s="82">
        <v>2021</v>
      </c>
      <c r="AR352" s="83" t="s">
        <v>46</v>
      </c>
      <c r="AS352" s="44">
        <f t="shared" si="225"/>
        <v>0.91</v>
      </c>
      <c r="AT352" s="44">
        <f t="shared" si="226"/>
        <v>0.93653516295025729</v>
      </c>
      <c r="AU352" s="44">
        <f t="shared" si="227"/>
        <v>0.97166666666666668</v>
      </c>
      <c r="AV352" s="16">
        <v>20</v>
      </c>
      <c r="AW352" s="16">
        <v>3</v>
      </c>
      <c r="AX352" s="16">
        <v>600</v>
      </c>
      <c r="AY352" s="16">
        <f t="shared" si="231"/>
        <v>17</v>
      </c>
      <c r="AZ352" s="16">
        <v>583</v>
      </c>
      <c r="BA352" s="16">
        <v>546</v>
      </c>
      <c r="BB352" s="16">
        <f t="shared" si="228"/>
        <v>37</v>
      </c>
      <c r="BC352" s="19" t="s">
        <v>80</v>
      </c>
    </row>
    <row r="353" spans="1:55" s="18" customFormat="1" ht="15" customHeight="1">
      <c r="A353" s="82">
        <v>2021</v>
      </c>
      <c r="B353" s="83" t="s">
        <v>47</v>
      </c>
      <c r="C353" s="15">
        <f t="shared" si="179"/>
        <v>0.72512265693797961</v>
      </c>
      <c r="D353" s="15">
        <f t="shared" si="180"/>
        <v>0.77213663764233087</v>
      </c>
      <c r="E353" s="15">
        <f t="shared" si="181"/>
        <v>0.9391118379670399</v>
      </c>
      <c r="F353" s="16">
        <f>+Tabla2[[#This Row],[Trenes Programados por Día Hábil]]+Tabla9[[#This Row],[Trenes Programados por Día Hábil]]+Tabla10[[#This Row],[Trenes Programados por Día Hábil]]</f>
        <v>300</v>
      </c>
      <c r="G353" s="33">
        <f>+(Tabla2[[#This Row],[Coches por Tren Día Hábil]]*Tabla2[[#This Row],[Trenes Corridos]]+Tabla9[[#This Row],[Coches por Tren Día Hábil]]*Tabla9[[#This Row],[Trenes Corridos]]+Tabla10[[#This Row],[Coches por Tren Día Hábil]]*Tabla10[[#This Row],[Trenes Corridos]])/SARM[[#This Row],[Trenes Corridos]]</f>
        <v>7.8032150033489618</v>
      </c>
      <c r="H353" s="16">
        <f t="shared" si="183"/>
        <v>7949</v>
      </c>
      <c r="I353" s="16">
        <f t="shared" si="184"/>
        <v>484</v>
      </c>
      <c r="J353" s="16">
        <f t="shared" si="182"/>
        <v>7465</v>
      </c>
      <c r="K353" s="16">
        <f t="shared" si="185"/>
        <v>5764</v>
      </c>
      <c r="L353" s="16">
        <f t="shared" si="186"/>
        <v>1701</v>
      </c>
      <c r="M353" s="16"/>
      <c r="O353" s="82">
        <v>2021</v>
      </c>
      <c r="P353" s="83" t="s">
        <v>47</v>
      </c>
      <c r="Q353" s="44">
        <f t="shared" si="217"/>
        <v>0.7189490445859873</v>
      </c>
      <c r="R353" s="44">
        <f t="shared" si="218"/>
        <v>0.75552208835341361</v>
      </c>
      <c r="S353" s="44">
        <f t="shared" si="219"/>
        <v>0.9515923566878981</v>
      </c>
      <c r="T353" s="16">
        <v>244</v>
      </c>
      <c r="U353" s="16">
        <v>9</v>
      </c>
      <c r="V353" s="16">
        <v>6280</v>
      </c>
      <c r="W353" s="16">
        <f t="shared" si="229"/>
        <v>304</v>
      </c>
      <c r="X353" s="16">
        <v>5976</v>
      </c>
      <c r="Y353" s="16">
        <v>4515</v>
      </c>
      <c r="Z353" s="16">
        <f t="shared" si="220"/>
        <v>1461</v>
      </c>
      <c r="AA353" s="16"/>
      <c r="AC353" s="82">
        <v>2021</v>
      </c>
      <c r="AD353" s="83" t="s">
        <v>47</v>
      </c>
      <c r="AE353" s="44">
        <f t="shared" si="221"/>
        <v>0.69780743565300285</v>
      </c>
      <c r="AF353" s="44">
        <f t="shared" si="222"/>
        <v>0.80263157894736847</v>
      </c>
      <c r="AG353" s="44">
        <f t="shared" si="223"/>
        <v>0.86939942802669212</v>
      </c>
      <c r="AH353" s="16">
        <v>36</v>
      </c>
      <c r="AI353" s="16">
        <v>3</v>
      </c>
      <c r="AJ353" s="16">
        <v>1049</v>
      </c>
      <c r="AK353" s="16">
        <f t="shared" si="230"/>
        <v>137</v>
      </c>
      <c r="AL353" s="16">
        <v>912</v>
      </c>
      <c r="AM353" s="16">
        <v>732</v>
      </c>
      <c r="AN353" s="16">
        <f t="shared" si="224"/>
        <v>180</v>
      </c>
      <c r="AO353" s="16"/>
      <c r="AQ353" s="82">
        <v>2021</v>
      </c>
      <c r="AR353" s="83" t="s">
        <v>47</v>
      </c>
      <c r="AS353" s="44">
        <f t="shared" si="225"/>
        <v>0.83387096774193548</v>
      </c>
      <c r="AT353" s="44">
        <f t="shared" si="226"/>
        <v>0.89601386481802425</v>
      </c>
      <c r="AU353" s="44">
        <f t="shared" si="227"/>
        <v>0.9306451612903226</v>
      </c>
      <c r="AV353" s="16">
        <v>20</v>
      </c>
      <c r="AW353" s="16">
        <v>3</v>
      </c>
      <c r="AX353" s="16">
        <v>620</v>
      </c>
      <c r="AY353" s="16">
        <f t="shared" si="231"/>
        <v>43</v>
      </c>
      <c r="AZ353" s="16">
        <v>577</v>
      </c>
      <c r="BA353" s="16">
        <v>517</v>
      </c>
      <c r="BB353" s="16">
        <f t="shared" si="228"/>
        <v>60</v>
      </c>
      <c r="BC353" s="19" t="s">
        <v>80</v>
      </c>
    </row>
    <row r="354" spans="1:55" s="18" customFormat="1" ht="15" customHeight="1">
      <c r="A354" s="82">
        <v>2022</v>
      </c>
      <c r="B354" s="83" t="s">
        <v>36</v>
      </c>
      <c r="C354" s="15">
        <f t="shared" si="179"/>
        <v>0.56371432399839205</v>
      </c>
      <c r="D354" s="15">
        <f t="shared" si="180"/>
        <v>0.71052187130552269</v>
      </c>
      <c r="E354" s="15">
        <f t="shared" si="181"/>
        <v>0.79338067801152357</v>
      </c>
      <c r="F354" s="26">
        <f>+Tabla2[[#This Row],[Trenes Programados por Día Hábil]]+Tabla9[[#This Row],[Trenes Programados por Día Hábil]]+Tabla10[[#This Row],[Trenes Programados por Día Hábil]]</f>
        <v>300</v>
      </c>
      <c r="G354" s="34">
        <f>+(Tabla2[[#This Row],[Coches por Tren Día Hábil]]*Tabla2[[#This Row],[Trenes Corridos]]+Tabla9[[#This Row],[Coches por Tren Día Hábil]]*Tabla9[[#This Row],[Trenes Corridos]]+Tabla10[[#This Row],[Coches por Tren Día Hábil]]*Tabla10[[#This Row],[Trenes Corridos]])/SARM[[#This Row],[Trenes Corridos]]</f>
        <v>7.5762540111467658</v>
      </c>
      <c r="H354" s="16">
        <f t="shared" si="183"/>
        <v>7463</v>
      </c>
      <c r="I354" s="16">
        <f t="shared" si="184"/>
        <v>1542</v>
      </c>
      <c r="J354" s="16">
        <f t="shared" si="182"/>
        <v>5921</v>
      </c>
      <c r="K354" s="16">
        <f t="shared" si="185"/>
        <v>4207</v>
      </c>
      <c r="L354" s="16">
        <f t="shared" si="186"/>
        <v>1714</v>
      </c>
      <c r="M354" s="16"/>
      <c r="O354" s="82">
        <v>2022</v>
      </c>
      <c r="P354" s="83" t="s">
        <v>36</v>
      </c>
      <c r="Q354" s="44">
        <f t="shared" ref="Q354:Q359" si="232">Y354/V354</f>
        <v>0.58186978889480223</v>
      </c>
      <c r="R354" s="44">
        <f t="shared" ref="R354:R359" si="233">Y354/X354</f>
        <v>0.7263064658990257</v>
      </c>
      <c r="S354" s="44">
        <f t="shared" ref="S354:S359" si="234">X354/V354</f>
        <v>0.80113535568564842</v>
      </c>
      <c r="T354" s="16">
        <v>244</v>
      </c>
      <c r="U354" s="16">
        <v>9</v>
      </c>
      <c r="V354" s="16">
        <v>5637</v>
      </c>
      <c r="W354" s="16">
        <f t="shared" si="229"/>
        <v>1121</v>
      </c>
      <c r="X354" s="16">
        <v>4516</v>
      </c>
      <c r="Y354" s="16">
        <v>3280</v>
      </c>
      <c r="Z354" s="16">
        <f t="shared" ref="Z354:Z359" si="235">X354-Y354</f>
        <v>1236</v>
      </c>
      <c r="AA354" s="16"/>
      <c r="AC354" s="82">
        <v>2022</v>
      </c>
      <c r="AD354" s="83" t="s">
        <v>36</v>
      </c>
      <c r="AE354" s="44">
        <f t="shared" ref="AE354:AE359" si="236">AM354/AJ354</f>
        <v>0.49572649572649574</v>
      </c>
      <c r="AF354" s="44">
        <f t="shared" ref="AF354:AF359" si="237">AM354/AL354</f>
        <v>0.65660377358490563</v>
      </c>
      <c r="AG354" s="44">
        <f t="shared" ref="AG354:AG359" si="238">AL354/AJ354</f>
        <v>0.75498575498575493</v>
      </c>
      <c r="AH354" s="16">
        <v>36</v>
      </c>
      <c r="AI354" s="16">
        <v>3</v>
      </c>
      <c r="AJ354" s="16">
        <v>1053</v>
      </c>
      <c r="AK354" s="16">
        <f t="shared" si="230"/>
        <v>258</v>
      </c>
      <c r="AL354" s="16">
        <v>795</v>
      </c>
      <c r="AM354" s="16">
        <v>522</v>
      </c>
      <c r="AN354" s="16">
        <f t="shared" ref="AN354:AN359" si="239">AL354-AM354</f>
        <v>273</v>
      </c>
      <c r="AO354" s="16"/>
      <c r="AQ354" s="82">
        <v>2022</v>
      </c>
      <c r="AR354" s="83" t="s">
        <v>36</v>
      </c>
      <c r="AS354" s="44">
        <f t="shared" ref="AS354:AS359" si="240">BA354/AX354</f>
        <v>0.52393272962483828</v>
      </c>
      <c r="AT354" s="44">
        <f t="shared" ref="AT354:AT359" si="241">BA354/AZ354</f>
        <v>0.66393442622950816</v>
      </c>
      <c r="AU354" s="44">
        <f t="shared" ref="AU354:AU359" si="242">AZ354/AX354</f>
        <v>0.78913324708926258</v>
      </c>
      <c r="AV354" s="16">
        <v>20</v>
      </c>
      <c r="AW354" s="16">
        <v>3</v>
      </c>
      <c r="AX354" s="16">
        <v>773</v>
      </c>
      <c r="AY354" s="16">
        <f t="shared" si="231"/>
        <v>163</v>
      </c>
      <c r="AZ354" s="16">
        <v>610</v>
      </c>
      <c r="BA354" s="16">
        <v>405</v>
      </c>
      <c r="BB354" s="16">
        <f t="shared" ref="BB354:BB359" si="243">AZ354-BA354</f>
        <v>205</v>
      </c>
      <c r="BC354" s="19" t="s">
        <v>80</v>
      </c>
    </row>
    <row r="355" spans="1:55" s="18" customFormat="1" ht="15" customHeight="1">
      <c r="A355" s="82">
        <v>2022</v>
      </c>
      <c r="B355" s="83" t="s">
        <v>37</v>
      </c>
      <c r="C355" s="15">
        <f t="shared" si="179"/>
        <v>0.66544616219148356</v>
      </c>
      <c r="D355" s="15">
        <f t="shared" si="180"/>
        <v>0.76183822387827982</v>
      </c>
      <c r="E355" s="15">
        <f t="shared" si="181"/>
        <v>0.87347436940602119</v>
      </c>
      <c r="F355" s="26">
        <f>+Tabla2[[#This Row],[Trenes Programados por Día Hábil]]+Tabla9[[#This Row],[Trenes Programados por Día Hábil]]+Tabla10[[#This Row],[Trenes Programados por Día Hábil]]</f>
        <v>300</v>
      </c>
      <c r="G355" s="34">
        <f>+(Tabla2[[#This Row],[Coches por Tren Día Hábil]]*Tabla2[[#This Row],[Trenes Corridos]]+Tabla9[[#This Row],[Coches por Tren Día Hábil]]*Tabla9[[#This Row],[Trenes Corridos]]+Tabla10[[#This Row],[Coches por Tren Día Hábil]]*Tabla10[[#This Row],[Trenes Corridos]])/SARM[[#This Row],[Trenes Corridos]]</f>
        <v>7.5197950628784351</v>
      </c>
      <c r="H355" s="16">
        <f t="shared" si="183"/>
        <v>7374</v>
      </c>
      <c r="I355" s="16">
        <f t="shared" si="184"/>
        <v>933</v>
      </c>
      <c r="J355" s="16">
        <f t="shared" si="182"/>
        <v>6441</v>
      </c>
      <c r="K355" s="16">
        <f t="shared" si="185"/>
        <v>4907</v>
      </c>
      <c r="L355" s="16">
        <f t="shared" si="186"/>
        <v>1534</v>
      </c>
      <c r="M355" s="16"/>
      <c r="O355" s="82">
        <v>2022</v>
      </c>
      <c r="P355" s="83" t="s">
        <v>37</v>
      </c>
      <c r="Q355" s="44">
        <f t="shared" si="232"/>
        <v>0.73368342085521376</v>
      </c>
      <c r="R355" s="44">
        <f t="shared" si="233"/>
        <v>0.80626545754328116</v>
      </c>
      <c r="S355" s="44">
        <f t="shared" si="234"/>
        <v>0.90997749437359343</v>
      </c>
      <c r="T355" s="16">
        <v>244</v>
      </c>
      <c r="U355" s="16">
        <v>9</v>
      </c>
      <c r="V355" s="16">
        <v>5332</v>
      </c>
      <c r="W355" s="16">
        <f t="shared" si="229"/>
        <v>480</v>
      </c>
      <c r="X355" s="16">
        <v>4852</v>
      </c>
      <c r="Y355" s="16">
        <v>3912</v>
      </c>
      <c r="Z355" s="16">
        <f t="shared" si="235"/>
        <v>940</v>
      </c>
      <c r="AA355" s="16"/>
      <c r="AC355" s="82">
        <v>2022</v>
      </c>
      <c r="AD355" s="83" t="s">
        <v>37</v>
      </c>
      <c r="AE355" s="44">
        <f t="shared" si="236"/>
        <v>0.63445378151260501</v>
      </c>
      <c r="AF355" s="44">
        <f t="shared" si="237"/>
        <v>0.72946859903381644</v>
      </c>
      <c r="AG355" s="44">
        <f t="shared" si="238"/>
        <v>0.86974789915966388</v>
      </c>
      <c r="AH355" s="16">
        <v>36</v>
      </c>
      <c r="AI355" s="16">
        <v>3</v>
      </c>
      <c r="AJ355" s="16">
        <v>952</v>
      </c>
      <c r="AK355" s="16">
        <f t="shared" si="230"/>
        <v>124</v>
      </c>
      <c r="AL355" s="16">
        <v>828</v>
      </c>
      <c r="AM355" s="16">
        <v>604</v>
      </c>
      <c r="AN355" s="16">
        <f t="shared" si="239"/>
        <v>224</v>
      </c>
      <c r="AO355" s="16"/>
      <c r="AQ355" s="82">
        <v>2022</v>
      </c>
      <c r="AR355" s="83" t="s">
        <v>37</v>
      </c>
      <c r="AS355" s="44">
        <f t="shared" si="240"/>
        <v>0.35871559633027522</v>
      </c>
      <c r="AT355" s="44">
        <f t="shared" si="241"/>
        <v>0.51379763469119577</v>
      </c>
      <c r="AU355" s="44">
        <f t="shared" si="242"/>
        <v>0.69816513761467891</v>
      </c>
      <c r="AV355" s="16">
        <v>20</v>
      </c>
      <c r="AW355" s="16">
        <v>3</v>
      </c>
      <c r="AX355" s="16">
        <v>1090</v>
      </c>
      <c r="AY355" s="16">
        <f t="shared" si="231"/>
        <v>329</v>
      </c>
      <c r="AZ355" s="16">
        <v>761</v>
      </c>
      <c r="BA355" s="16">
        <v>391</v>
      </c>
      <c r="BB355" s="16">
        <f t="shared" si="243"/>
        <v>370</v>
      </c>
      <c r="BC355" s="45"/>
    </row>
    <row r="356" spans="1:55" s="18" customFormat="1" ht="15" customHeight="1">
      <c r="A356" s="94">
        <v>2022</v>
      </c>
      <c r="B356" s="95" t="s">
        <v>38</v>
      </c>
      <c r="C356" s="15">
        <f t="shared" si="179"/>
        <v>0.60527838870239614</v>
      </c>
      <c r="D356" s="15">
        <f t="shared" si="180"/>
        <v>0.67926734216679652</v>
      </c>
      <c r="E356" s="15">
        <f t="shared" si="181"/>
        <v>0.89107535594397502</v>
      </c>
      <c r="F356" s="26">
        <f>+Tabla2[[#This Row],[Trenes Programados por Día Hábil]]+Tabla9[[#This Row],[Trenes Programados por Día Hábil]]+Tabla10[[#This Row],[Trenes Programados por Día Hábil]]</f>
        <v>300</v>
      </c>
      <c r="G356" s="34">
        <f>+(Tabla2[[#This Row],[Coches por Tren Día Hábil]]*Tabla2[[#This Row],[Trenes Corridos]]+Tabla9[[#This Row],[Coches por Tren Día Hábil]]*Tabla9[[#This Row],[Trenes Corridos]]+Tabla10[[#This Row],[Coches por Tren Día Hábil]]*Tabla10[[#This Row],[Trenes Corridos]])/SARM[[#This Row],[Trenes Corridos]]</f>
        <v>7.5978176149649261</v>
      </c>
      <c r="H356" s="16">
        <f t="shared" si="183"/>
        <v>8639</v>
      </c>
      <c r="I356" s="16">
        <f t="shared" si="184"/>
        <v>941</v>
      </c>
      <c r="J356" s="16">
        <f t="shared" si="182"/>
        <v>7698</v>
      </c>
      <c r="K356" s="16">
        <f t="shared" ref="K356:K365" si="244">+Y356+AM356+BA356</f>
        <v>5229</v>
      </c>
      <c r="L356" s="16">
        <f t="shared" si="186"/>
        <v>2469</v>
      </c>
      <c r="M356" s="16"/>
      <c r="O356" s="94">
        <v>2022</v>
      </c>
      <c r="P356" s="95" t="s">
        <v>38</v>
      </c>
      <c r="Q356" s="44">
        <f t="shared" si="232"/>
        <v>0.64824120603015079</v>
      </c>
      <c r="R356" s="44">
        <f t="shared" si="233"/>
        <v>0.69977962366502799</v>
      </c>
      <c r="S356" s="44">
        <f t="shared" si="234"/>
        <v>0.92635050251256279</v>
      </c>
      <c r="T356" s="16">
        <v>244</v>
      </c>
      <c r="U356" s="16">
        <v>9</v>
      </c>
      <c r="V356" s="16">
        <v>6368</v>
      </c>
      <c r="W356" s="16">
        <f t="shared" si="229"/>
        <v>469</v>
      </c>
      <c r="X356" s="16">
        <v>5899</v>
      </c>
      <c r="Y356" s="16">
        <v>4128</v>
      </c>
      <c r="Z356" s="16">
        <f t="shared" si="235"/>
        <v>1771</v>
      </c>
      <c r="AA356" s="16"/>
      <c r="AC356" s="94">
        <v>2022</v>
      </c>
      <c r="AD356" s="95" t="s">
        <v>38</v>
      </c>
      <c r="AE356" s="44">
        <f t="shared" si="236"/>
        <v>0.64577397910731249</v>
      </c>
      <c r="AF356" s="44">
        <f t="shared" si="237"/>
        <v>0.7288317256162915</v>
      </c>
      <c r="AG356" s="44">
        <f t="shared" si="238"/>
        <v>0.88603988603988604</v>
      </c>
      <c r="AH356" s="16">
        <v>36</v>
      </c>
      <c r="AI356" s="16">
        <v>3</v>
      </c>
      <c r="AJ356" s="16">
        <v>1053</v>
      </c>
      <c r="AK356" s="16">
        <f t="shared" si="230"/>
        <v>120</v>
      </c>
      <c r="AL356" s="16">
        <v>933</v>
      </c>
      <c r="AM356" s="16">
        <v>680</v>
      </c>
      <c r="AN356" s="16">
        <f t="shared" si="239"/>
        <v>253</v>
      </c>
      <c r="AO356" s="16"/>
      <c r="AQ356" s="94">
        <v>2022</v>
      </c>
      <c r="AR356" s="95" t="s">
        <v>38</v>
      </c>
      <c r="AS356" s="44">
        <f t="shared" si="240"/>
        <v>0.34564860426929395</v>
      </c>
      <c r="AT356" s="44">
        <f t="shared" si="241"/>
        <v>0.48614318706697457</v>
      </c>
      <c r="AU356" s="44">
        <f t="shared" si="242"/>
        <v>0.71100164203612481</v>
      </c>
      <c r="AV356" s="16">
        <v>20</v>
      </c>
      <c r="AW356" s="16">
        <v>3</v>
      </c>
      <c r="AX356" s="16">
        <v>1218</v>
      </c>
      <c r="AY356" s="16">
        <f t="shared" si="231"/>
        <v>352</v>
      </c>
      <c r="AZ356" s="16">
        <v>866</v>
      </c>
      <c r="BA356" s="16">
        <v>421</v>
      </c>
      <c r="BB356" s="16">
        <f t="shared" si="243"/>
        <v>445</v>
      </c>
    </row>
    <row r="357" spans="1:55" s="18" customFormat="1" ht="15" customHeight="1">
      <c r="A357" s="82">
        <v>2022</v>
      </c>
      <c r="B357" s="83" t="s">
        <v>39</v>
      </c>
      <c r="C357" s="15">
        <f t="shared" si="179"/>
        <v>0.63176743206235519</v>
      </c>
      <c r="D357" s="15">
        <f t="shared" si="180"/>
        <v>0.69695561236346737</v>
      </c>
      <c r="E357" s="15">
        <f t="shared" si="181"/>
        <v>0.90646724246892774</v>
      </c>
      <c r="F357" s="26">
        <f>+Tabla2[[#This Row],[Trenes Programados por Día Hábil]]+Tabla9[[#This Row],[Trenes Programados por Día Hábil]]+Tabla10[[#This Row],[Trenes Programados por Día Hábil]]</f>
        <v>300</v>
      </c>
      <c r="G357" s="34">
        <f>+(Tabla2[[#This Row],[Coches por Tren Día Hábil]]*Tabla2[[#This Row],[Trenes Corridos]]+Tabla9[[#This Row],[Coches por Tren Día Hábil]]*Tabla9[[#This Row],[Trenes Corridos]]+Tabla10[[#This Row],[Coches por Tren Día Hábil]]*Tabla10[[#This Row],[Trenes Corridos]])/SARM[[#This Row],[Trenes Corridos]]</f>
        <v>7.5847083430165005</v>
      </c>
      <c r="H357" s="16">
        <f t="shared" si="183"/>
        <v>9494</v>
      </c>
      <c r="I357" s="16">
        <f t="shared" si="184"/>
        <v>888</v>
      </c>
      <c r="J357" s="16">
        <f t="shared" ref="J357:J365" si="245">+X357+AL357+AZ357</f>
        <v>8606</v>
      </c>
      <c r="K357" s="16">
        <f t="shared" si="244"/>
        <v>5998</v>
      </c>
      <c r="L357" s="16">
        <f t="shared" si="186"/>
        <v>2608</v>
      </c>
      <c r="M357" s="16"/>
      <c r="O357" s="82">
        <v>2022</v>
      </c>
      <c r="P357" s="83" t="s">
        <v>39</v>
      </c>
      <c r="Q357" s="44">
        <f t="shared" si="232"/>
        <v>0.66417082640044367</v>
      </c>
      <c r="R357" s="44">
        <f t="shared" si="233"/>
        <v>0.7284063260340633</v>
      </c>
      <c r="S357" s="44">
        <f t="shared" si="234"/>
        <v>0.91181364392678865</v>
      </c>
      <c r="T357" s="16">
        <v>244</v>
      </c>
      <c r="U357" s="16">
        <v>9</v>
      </c>
      <c r="V357" s="16">
        <v>7212</v>
      </c>
      <c r="W357" s="16">
        <f t="shared" ref="W357:W365" si="246">V357-X357</f>
        <v>636</v>
      </c>
      <c r="X357" s="16">
        <v>6576</v>
      </c>
      <c r="Y357" s="16">
        <v>4790</v>
      </c>
      <c r="Z357" s="16">
        <f t="shared" si="235"/>
        <v>1786</v>
      </c>
      <c r="AA357" s="16"/>
      <c r="AC357" s="82">
        <v>2022</v>
      </c>
      <c r="AD357" s="83" t="s">
        <v>39</v>
      </c>
      <c r="AE357" s="44">
        <f t="shared" si="236"/>
        <v>0.61281070745697896</v>
      </c>
      <c r="AF357" s="44">
        <f t="shared" si="237"/>
        <v>0.67616033755274263</v>
      </c>
      <c r="AG357" s="44">
        <f t="shared" si="238"/>
        <v>0.90630975143403447</v>
      </c>
      <c r="AH357" s="16">
        <v>36</v>
      </c>
      <c r="AI357" s="16">
        <v>3</v>
      </c>
      <c r="AJ357" s="16">
        <v>1046</v>
      </c>
      <c r="AK357" s="16">
        <f t="shared" ref="AK357:AK365" si="247">AJ357-AL357</f>
        <v>98</v>
      </c>
      <c r="AL357" s="16">
        <v>948</v>
      </c>
      <c r="AM357" s="16">
        <v>641</v>
      </c>
      <c r="AN357" s="16">
        <f t="shared" si="239"/>
        <v>307</v>
      </c>
      <c r="AO357" s="16"/>
      <c r="AQ357" s="82">
        <v>2022</v>
      </c>
      <c r="AR357" s="83" t="s">
        <v>39</v>
      </c>
      <c r="AS357" s="44">
        <f t="shared" si="240"/>
        <v>0.45873786407766992</v>
      </c>
      <c r="AT357" s="44">
        <f t="shared" si="241"/>
        <v>0.52402957486136781</v>
      </c>
      <c r="AU357" s="44">
        <f t="shared" si="242"/>
        <v>0.87540453074433655</v>
      </c>
      <c r="AV357" s="16">
        <v>20</v>
      </c>
      <c r="AW357" s="16">
        <v>3</v>
      </c>
      <c r="AX357" s="16">
        <v>1236</v>
      </c>
      <c r="AY357" s="16">
        <f t="shared" ref="AY357:AY365" si="248">AX357-AZ357</f>
        <v>154</v>
      </c>
      <c r="AZ357" s="16">
        <v>1082</v>
      </c>
      <c r="BA357" s="16">
        <v>567</v>
      </c>
      <c r="BB357" s="16">
        <f t="shared" si="243"/>
        <v>515</v>
      </c>
    </row>
    <row r="358" spans="1:55" s="18" customFormat="1" ht="15" customHeight="1">
      <c r="A358" s="82">
        <v>2022</v>
      </c>
      <c r="B358" s="83" t="s">
        <v>40</v>
      </c>
      <c r="C358" s="15">
        <f t="shared" si="179"/>
        <v>0.70510725229826354</v>
      </c>
      <c r="D358" s="15">
        <f t="shared" si="180"/>
        <v>0.76369067374709587</v>
      </c>
      <c r="E358" s="15">
        <f t="shared" si="181"/>
        <v>0.92328907048008169</v>
      </c>
      <c r="F358" s="26">
        <f>+Tabla2[[#This Row],[Trenes Programados por Día Hábil]]+Tabla9[[#This Row],[Trenes Programados por Día Hábil]]+Tabla10[[#This Row],[Trenes Programados por Día Hábil]]</f>
        <v>300</v>
      </c>
      <c r="G358" s="34">
        <f>+(Tabla2[[#This Row],[Coches por Tren Día Hábil]]*Tabla2[[#This Row],[Trenes Corridos]]+Tabla9[[#This Row],[Coches por Tren Día Hábil]]*Tabla9[[#This Row],[Trenes Corridos]]+Tabla10[[#This Row],[Coches por Tren Día Hábil]]*Tabla10[[#This Row],[Trenes Corridos]])/SARM[[#This Row],[Trenes Corridos]]</f>
        <v>7.6053767009624957</v>
      </c>
      <c r="H358" s="16">
        <f t="shared" si="183"/>
        <v>9790</v>
      </c>
      <c r="I358" s="16">
        <f t="shared" si="184"/>
        <v>751</v>
      </c>
      <c r="J358" s="16">
        <f t="shared" si="245"/>
        <v>9039</v>
      </c>
      <c r="K358" s="16">
        <f t="shared" si="244"/>
        <v>6903</v>
      </c>
      <c r="L358" s="16">
        <f t="shared" si="186"/>
        <v>2136</v>
      </c>
      <c r="M358" s="16"/>
      <c r="O358" s="82">
        <v>2022</v>
      </c>
      <c r="P358" s="83" t="s">
        <v>40</v>
      </c>
      <c r="Q358" s="44">
        <f t="shared" si="232"/>
        <v>0.75322754168908013</v>
      </c>
      <c r="R358" s="44">
        <f t="shared" si="233"/>
        <v>0.80729316805995965</v>
      </c>
      <c r="S358" s="44">
        <f t="shared" si="234"/>
        <v>0.93302850995158693</v>
      </c>
      <c r="T358" s="16">
        <v>244</v>
      </c>
      <c r="U358" s="16">
        <v>9</v>
      </c>
      <c r="V358" s="16">
        <v>7436</v>
      </c>
      <c r="W358" s="16">
        <f t="shared" si="246"/>
        <v>498</v>
      </c>
      <c r="X358" s="16">
        <v>6938</v>
      </c>
      <c r="Y358" s="16">
        <v>5601</v>
      </c>
      <c r="Z358" s="16">
        <f t="shared" si="235"/>
        <v>1337</v>
      </c>
      <c r="AA358" s="16"/>
      <c r="AC358" s="82">
        <v>2022</v>
      </c>
      <c r="AD358" s="83" t="s">
        <v>40</v>
      </c>
      <c r="AE358" s="44">
        <f t="shared" si="236"/>
        <v>0.53148148148148144</v>
      </c>
      <c r="AF358" s="44">
        <f t="shared" si="237"/>
        <v>0.62459194776931448</v>
      </c>
      <c r="AG358" s="44">
        <f t="shared" si="238"/>
        <v>0.85092592592592597</v>
      </c>
      <c r="AH358" s="16">
        <v>36</v>
      </c>
      <c r="AI358" s="16">
        <v>3</v>
      </c>
      <c r="AJ358" s="16">
        <v>1080</v>
      </c>
      <c r="AK358" s="16">
        <f t="shared" si="247"/>
        <v>161</v>
      </c>
      <c r="AL358" s="16">
        <v>919</v>
      </c>
      <c r="AM358" s="16">
        <v>574</v>
      </c>
      <c r="AN358" s="16">
        <f t="shared" si="239"/>
        <v>345</v>
      </c>
      <c r="AO358" s="16"/>
      <c r="AQ358" s="82">
        <v>2022</v>
      </c>
      <c r="AR358" s="83" t="s">
        <v>40</v>
      </c>
      <c r="AS358" s="44">
        <f t="shared" si="240"/>
        <v>0.5714285714285714</v>
      </c>
      <c r="AT358" s="44">
        <f t="shared" si="241"/>
        <v>0.61590524534686975</v>
      </c>
      <c r="AU358" s="44">
        <f t="shared" si="242"/>
        <v>0.92778649921507061</v>
      </c>
      <c r="AV358" s="16">
        <v>20</v>
      </c>
      <c r="AW358" s="16">
        <v>3</v>
      </c>
      <c r="AX358" s="16">
        <v>1274</v>
      </c>
      <c r="AY358" s="16">
        <f t="shared" si="248"/>
        <v>92</v>
      </c>
      <c r="AZ358" s="16">
        <v>1182</v>
      </c>
      <c r="BA358" s="16">
        <v>728</v>
      </c>
      <c r="BB358" s="16">
        <f t="shared" si="243"/>
        <v>454</v>
      </c>
    </row>
    <row r="359" spans="1:55" s="18" customFormat="1" ht="15" customHeight="1">
      <c r="A359" s="82">
        <v>2022</v>
      </c>
      <c r="B359" s="83" t="s">
        <v>41</v>
      </c>
      <c r="C359" s="15">
        <f t="shared" si="179"/>
        <v>0.7061532021766429</v>
      </c>
      <c r="D359" s="15">
        <f t="shared" si="180"/>
        <v>0.78877849210987727</v>
      </c>
      <c r="E359" s="15">
        <f t="shared" si="181"/>
        <v>0.89524905818334033</v>
      </c>
      <c r="F359" s="26">
        <f>+Tabla2[[#This Row],[Trenes Programados por Día Hábil]]+Tabla9[[#This Row],[Trenes Programados por Día Hábil]]+Tabla10[[#This Row],[Trenes Programados por Día Hábil]]</f>
        <v>300</v>
      </c>
      <c r="G359" s="34">
        <f>+(Tabla2[[#This Row],[Coches por Tren Día Hábil]]*Tabla2[[#This Row],[Trenes Corridos]]+Tabla9[[#This Row],[Coches por Tren Día Hábil]]*Tabla9[[#This Row],[Trenes Corridos]]+Tabla10[[#This Row],[Coches por Tren Día Hábil]]*Tabla10[[#This Row],[Trenes Corridos]])/SARM[[#This Row],[Trenes Corridos]]</f>
        <v>7.8252483927527763</v>
      </c>
      <c r="H359" s="16">
        <f t="shared" si="183"/>
        <v>9556</v>
      </c>
      <c r="I359" s="16">
        <f t="shared" si="184"/>
        <v>1001</v>
      </c>
      <c r="J359" s="16">
        <f t="shared" si="245"/>
        <v>8555</v>
      </c>
      <c r="K359" s="16">
        <f t="shared" si="244"/>
        <v>6748</v>
      </c>
      <c r="L359" s="16">
        <f t="shared" si="186"/>
        <v>1807</v>
      </c>
      <c r="M359" s="16"/>
      <c r="O359" s="82">
        <v>2022</v>
      </c>
      <c r="P359" s="83" t="s">
        <v>41</v>
      </c>
      <c r="Q359" s="44">
        <f t="shared" si="232"/>
        <v>0.83319581958195821</v>
      </c>
      <c r="R359" s="44">
        <f t="shared" si="233"/>
        <v>0.88066860465116281</v>
      </c>
      <c r="S359" s="44">
        <f t="shared" si="234"/>
        <v>0.94609460946094615</v>
      </c>
      <c r="T359" s="16">
        <v>244</v>
      </c>
      <c r="U359" s="16">
        <v>9</v>
      </c>
      <c r="V359" s="16">
        <v>7272</v>
      </c>
      <c r="W359" s="16">
        <f t="shared" si="246"/>
        <v>392</v>
      </c>
      <c r="X359" s="16">
        <v>6880</v>
      </c>
      <c r="Y359" s="16">
        <v>6059</v>
      </c>
      <c r="Z359" s="16">
        <f t="shared" si="235"/>
        <v>821</v>
      </c>
      <c r="AA359" s="16"/>
      <c r="AC359" s="82">
        <v>2022</v>
      </c>
      <c r="AD359" s="83" t="s">
        <v>41</v>
      </c>
      <c r="AE359" s="44">
        <f t="shared" si="236"/>
        <v>0.26431297709923662</v>
      </c>
      <c r="AF359" s="44">
        <f t="shared" si="237"/>
        <v>0.43759873617693523</v>
      </c>
      <c r="AG359" s="44">
        <f t="shared" si="238"/>
        <v>0.60400763358778631</v>
      </c>
      <c r="AH359" s="16">
        <v>36</v>
      </c>
      <c r="AI359" s="16">
        <v>3</v>
      </c>
      <c r="AJ359" s="16">
        <v>1048</v>
      </c>
      <c r="AK359" s="16">
        <f t="shared" si="247"/>
        <v>415</v>
      </c>
      <c r="AL359" s="16">
        <v>633</v>
      </c>
      <c r="AM359" s="16">
        <v>277</v>
      </c>
      <c r="AN359" s="16">
        <f t="shared" si="239"/>
        <v>356</v>
      </c>
      <c r="AO359" s="16"/>
      <c r="AQ359" s="82">
        <v>2022</v>
      </c>
      <c r="AR359" s="83" t="s">
        <v>41</v>
      </c>
      <c r="AS359" s="44">
        <f t="shared" si="240"/>
        <v>0.33333333333333331</v>
      </c>
      <c r="AT359" s="44">
        <f t="shared" si="241"/>
        <v>0.39539347408829173</v>
      </c>
      <c r="AU359" s="44">
        <f t="shared" si="242"/>
        <v>0.84304207119741104</v>
      </c>
      <c r="AV359" s="16">
        <v>20</v>
      </c>
      <c r="AW359" s="16">
        <v>3</v>
      </c>
      <c r="AX359" s="16">
        <v>1236</v>
      </c>
      <c r="AY359" s="16">
        <f t="shared" si="248"/>
        <v>194</v>
      </c>
      <c r="AZ359" s="16">
        <v>1042</v>
      </c>
      <c r="BA359" s="16">
        <v>412</v>
      </c>
      <c r="BB359" s="16">
        <f t="shared" si="243"/>
        <v>630</v>
      </c>
    </row>
    <row r="360" spans="1:55" s="18" customFormat="1" ht="15" customHeight="1">
      <c r="A360" s="18">
        <v>2022</v>
      </c>
      <c r="B360" s="21" t="s">
        <v>42</v>
      </c>
      <c r="C360" s="15">
        <f t="shared" si="179"/>
        <v>0.73571356326489334</v>
      </c>
      <c r="D360" s="15">
        <f t="shared" si="180"/>
        <v>0.79013686726048227</v>
      </c>
      <c r="E360" s="15">
        <f t="shared" si="181"/>
        <v>0.93112167492667142</v>
      </c>
      <c r="F360" s="26">
        <f>+Tabla2[[#This Row],[Trenes Programados por Día Hábil]]+Tabla9[[#This Row],[Trenes Programados por Día Hábil]]+Tabla10[[#This Row],[Trenes Programados por Día Hábil]]</f>
        <v>300</v>
      </c>
      <c r="G360" s="34">
        <f>+(Tabla2[[#This Row],[Coches por Tren Día Hábil]]*Tabla2[[#This Row],[Trenes Corridos]]+Tabla9[[#This Row],[Coches por Tren Día Hábil]]*Tabla9[[#This Row],[Trenes Corridos]]+Tabla10[[#This Row],[Coches por Tren Día Hábil]]*Tabla10[[#This Row],[Trenes Corridos]])/SARM[[#This Row],[Trenes Corridos]]</f>
        <v>7.6332826417553772</v>
      </c>
      <c r="H360" s="16">
        <f t="shared" si="183"/>
        <v>9887</v>
      </c>
      <c r="I360" s="16">
        <f t="shared" si="184"/>
        <v>681</v>
      </c>
      <c r="J360" s="16">
        <f t="shared" si="245"/>
        <v>9206</v>
      </c>
      <c r="K360" s="16">
        <f t="shared" si="244"/>
        <v>7274</v>
      </c>
      <c r="L360" s="16">
        <f t="shared" si="186"/>
        <v>1932</v>
      </c>
      <c r="M360" s="16"/>
      <c r="O360" s="18">
        <v>2022</v>
      </c>
      <c r="P360" s="21" t="s">
        <v>42</v>
      </c>
      <c r="Q360" s="44">
        <f t="shared" ref="Q360:Q365" si="249">Y360/V360</f>
        <v>0.81874751754269826</v>
      </c>
      <c r="R360" s="44">
        <f t="shared" ref="R360:R365" si="250">Y360/X360</f>
        <v>0.86988324658883109</v>
      </c>
      <c r="S360" s="44">
        <f t="shared" ref="S360:S365" si="251">X360/V360</f>
        <v>0.94121541109492912</v>
      </c>
      <c r="T360" s="16">
        <v>244</v>
      </c>
      <c r="U360" s="16">
        <v>9</v>
      </c>
      <c r="V360" s="16">
        <v>7553</v>
      </c>
      <c r="W360" s="16">
        <f t="shared" si="246"/>
        <v>444</v>
      </c>
      <c r="X360" s="16">
        <v>7109</v>
      </c>
      <c r="Y360" s="16">
        <v>6184</v>
      </c>
      <c r="Z360" s="16">
        <f t="shared" ref="Z360:Z365" si="252">X360-Y360</f>
        <v>925</v>
      </c>
      <c r="AA360" s="16"/>
      <c r="AC360" s="18">
        <v>2022</v>
      </c>
      <c r="AD360" s="21" t="s">
        <v>42</v>
      </c>
      <c r="AE360" s="44">
        <f t="shared" ref="AE360:AE365" si="253">AM360/AJ360</f>
        <v>0.64109848484848486</v>
      </c>
      <c r="AF360" s="44">
        <f t="shared" ref="AF360:AF365" si="254">AM360/AL360</f>
        <v>0.69793814432989687</v>
      </c>
      <c r="AG360" s="44">
        <f t="shared" ref="AG360:AG365" si="255">AL360/AJ360</f>
        <v>0.91856060606060608</v>
      </c>
      <c r="AH360" s="16">
        <v>36</v>
      </c>
      <c r="AI360" s="16">
        <v>3</v>
      </c>
      <c r="AJ360" s="16">
        <v>1056</v>
      </c>
      <c r="AK360" s="16">
        <f t="shared" si="247"/>
        <v>86</v>
      </c>
      <c r="AL360" s="16">
        <v>970</v>
      </c>
      <c r="AM360" s="16">
        <v>677</v>
      </c>
      <c r="AN360" s="16">
        <f t="shared" ref="AN360:AN365" si="256">AL360-AM360</f>
        <v>293</v>
      </c>
      <c r="AO360" s="16"/>
      <c r="AQ360" s="18">
        <v>2022</v>
      </c>
      <c r="AR360" s="21" t="s">
        <v>42</v>
      </c>
      <c r="AS360" s="44">
        <f t="shared" ref="AS360:AS365" si="257">BA360/AX360</f>
        <v>0.32316118935837246</v>
      </c>
      <c r="AT360" s="44">
        <f t="shared" ref="AT360:AT365" si="258">BA360/AZ360</f>
        <v>0.36645962732919257</v>
      </c>
      <c r="AU360" s="44">
        <f t="shared" ref="AU360:AU365" si="259">AZ360/AX360</f>
        <v>0.88184663536776209</v>
      </c>
      <c r="AV360" s="16">
        <v>20</v>
      </c>
      <c r="AW360" s="16">
        <v>3</v>
      </c>
      <c r="AX360" s="16">
        <v>1278</v>
      </c>
      <c r="AY360" s="16">
        <f t="shared" si="248"/>
        <v>151</v>
      </c>
      <c r="AZ360" s="16">
        <v>1127</v>
      </c>
      <c r="BA360" s="16">
        <v>413</v>
      </c>
      <c r="BB360" s="16">
        <f t="shared" ref="BB360:BB365" si="260">AZ360-BA360</f>
        <v>714</v>
      </c>
    </row>
    <row r="361" spans="1:55" s="18" customFormat="1" ht="15" customHeight="1">
      <c r="A361" s="18">
        <v>2022</v>
      </c>
      <c r="B361" s="21" t="s">
        <v>43</v>
      </c>
      <c r="C361" s="15">
        <f t="shared" si="179"/>
        <v>0.79903971191357404</v>
      </c>
      <c r="D361" s="15">
        <f t="shared" si="180"/>
        <v>0.85442293293400362</v>
      </c>
      <c r="E361" s="15">
        <f t="shared" si="181"/>
        <v>0.9351805541662499</v>
      </c>
      <c r="F361" s="26">
        <f>+Tabla2[[#This Row],[Trenes Programados por Día Hábil]]+Tabla9[[#This Row],[Trenes Programados por Día Hábil]]+Tabla10[[#This Row],[Trenes Programados por Día Hábil]]</f>
        <v>300</v>
      </c>
      <c r="G361" s="34">
        <f>+(Tabla2[[#This Row],[Coches por Tren Día Hábil]]*Tabla2[[#This Row],[Trenes Corridos]]+Tabla9[[#This Row],[Coches por Tren Día Hábil]]*Tabla9[[#This Row],[Trenes Corridos]]+Tabla10[[#This Row],[Coches por Tren Día Hábil]]*Tabla10[[#This Row],[Trenes Corridos]])/SARM[[#This Row],[Trenes Corridos]]</f>
        <v>7.6971868649053379</v>
      </c>
      <c r="H361" s="16">
        <f t="shared" si="183"/>
        <v>9997</v>
      </c>
      <c r="I361" s="16">
        <f t="shared" si="184"/>
        <v>648</v>
      </c>
      <c r="J361" s="16">
        <f t="shared" si="245"/>
        <v>9349</v>
      </c>
      <c r="K361" s="16">
        <f t="shared" si="244"/>
        <v>7988</v>
      </c>
      <c r="L361" s="16">
        <f t="shared" si="186"/>
        <v>1361</v>
      </c>
      <c r="M361" s="16"/>
      <c r="O361" s="18">
        <v>2022</v>
      </c>
      <c r="P361" s="21" t="s">
        <v>43</v>
      </c>
      <c r="Q361" s="44">
        <f t="shared" si="249"/>
        <v>0.861295789336462</v>
      </c>
      <c r="R361" s="44">
        <f t="shared" si="250"/>
        <v>0.90271895067632191</v>
      </c>
      <c r="S361" s="44">
        <f t="shared" si="251"/>
        <v>0.95411289271281452</v>
      </c>
      <c r="T361" s="16">
        <v>244</v>
      </c>
      <c r="U361" s="16">
        <v>9</v>
      </c>
      <c r="V361" s="16">
        <v>7671</v>
      </c>
      <c r="W361" s="16">
        <f t="shared" si="246"/>
        <v>352</v>
      </c>
      <c r="X361" s="16">
        <v>7319</v>
      </c>
      <c r="Y361" s="16">
        <v>6607</v>
      </c>
      <c r="Z361" s="16">
        <f t="shared" si="252"/>
        <v>712</v>
      </c>
      <c r="AA361" s="16"/>
      <c r="AC361" s="18">
        <v>2022</v>
      </c>
      <c r="AD361" s="21" t="s">
        <v>43</v>
      </c>
      <c r="AE361" s="44">
        <f t="shared" si="253"/>
        <v>0.73371647509578541</v>
      </c>
      <c r="AF361" s="44">
        <f t="shared" si="254"/>
        <v>0.8029350104821803</v>
      </c>
      <c r="AG361" s="44">
        <f t="shared" si="255"/>
        <v>0.91379310344827591</v>
      </c>
      <c r="AH361" s="16">
        <v>36</v>
      </c>
      <c r="AI361" s="16">
        <v>3</v>
      </c>
      <c r="AJ361" s="16">
        <v>1044</v>
      </c>
      <c r="AK361" s="16">
        <f t="shared" si="247"/>
        <v>90</v>
      </c>
      <c r="AL361" s="16">
        <v>954</v>
      </c>
      <c r="AM361" s="16">
        <v>766</v>
      </c>
      <c r="AN361" s="16">
        <f t="shared" si="256"/>
        <v>188</v>
      </c>
      <c r="AO361" s="16"/>
      <c r="AQ361" s="18">
        <v>2022</v>
      </c>
      <c r="AR361" s="21" t="s">
        <v>43</v>
      </c>
      <c r="AS361" s="44">
        <f t="shared" si="257"/>
        <v>0.47971918876755071</v>
      </c>
      <c r="AT361" s="44">
        <f t="shared" si="258"/>
        <v>0.57156133828996281</v>
      </c>
      <c r="AU361" s="44">
        <f t="shared" si="259"/>
        <v>0.83931357254290173</v>
      </c>
      <c r="AV361" s="16">
        <v>20</v>
      </c>
      <c r="AW361" s="16">
        <v>3</v>
      </c>
      <c r="AX361" s="16">
        <v>1282</v>
      </c>
      <c r="AY361" s="16">
        <f t="shared" si="248"/>
        <v>206</v>
      </c>
      <c r="AZ361" s="16">
        <v>1076</v>
      </c>
      <c r="BA361" s="16">
        <v>615</v>
      </c>
      <c r="BB361" s="16">
        <f t="shared" si="260"/>
        <v>461</v>
      </c>
    </row>
    <row r="362" spans="1:55" s="18" customFormat="1" ht="15" customHeight="1">
      <c r="A362" s="94">
        <v>2022</v>
      </c>
      <c r="B362" s="95" t="s">
        <v>44</v>
      </c>
      <c r="C362" s="15">
        <f t="shared" si="179"/>
        <v>0.7758763741962249</v>
      </c>
      <c r="D362" s="15">
        <f t="shared" si="180"/>
        <v>0.82281126264848214</v>
      </c>
      <c r="E362" s="15">
        <f t="shared" si="181"/>
        <v>0.94295789255341211</v>
      </c>
      <c r="F362" s="26">
        <f>+Tabla2[[#This Row],[Trenes Programados por Día Hábil]]+Tabla9[[#This Row],[Trenes Programados por Día Hábil]]+Tabla10[[#This Row],[Trenes Programados por Día Hábil]]</f>
        <v>300</v>
      </c>
      <c r="G362" s="34">
        <f>+(Tabla2[[#This Row],[Coches por Tren Día Hábil]]*Tabla2[[#This Row],[Trenes Corridos]]+Tabla9[[#This Row],[Coches por Tren Día Hábil]]*Tabla9[[#This Row],[Trenes Corridos]]+Tabla10[[#This Row],[Coches por Tren Día Hábil]]*Tabla10[[#This Row],[Trenes Corridos]])/SARM[[#This Row],[Trenes Corridos]]</f>
        <v>7.6352837659480866</v>
      </c>
      <c r="H362" s="16">
        <f t="shared" si="183"/>
        <v>9642</v>
      </c>
      <c r="I362" s="16">
        <f t="shared" si="184"/>
        <v>550</v>
      </c>
      <c r="J362" s="16">
        <f t="shared" si="245"/>
        <v>9092</v>
      </c>
      <c r="K362" s="16">
        <f t="shared" si="244"/>
        <v>7481</v>
      </c>
      <c r="L362" s="16">
        <f t="shared" si="186"/>
        <v>1611</v>
      </c>
      <c r="M362" s="16"/>
      <c r="O362" s="94">
        <v>2022</v>
      </c>
      <c r="P362" s="95" t="s">
        <v>44</v>
      </c>
      <c r="Q362" s="44">
        <f t="shared" si="249"/>
        <v>0.79799891833423475</v>
      </c>
      <c r="R362" s="44">
        <f t="shared" si="250"/>
        <v>0.84026195899772205</v>
      </c>
      <c r="S362" s="44">
        <f t="shared" si="251"/>
        <v>0.94970254191454839</v>
      </c>
      <c r="T362" s="16">
        <v>244</v>
      </c>
      <c r="U362" s="16">
        <v>9</v>
      </c>
      <c r="V362" s="16">
        <v>7396</v>
      </c>
      <c r="W362" s="16">
        <f t="shared" si="246"/>
        <v>372</v>
      </c>
      <c r="X362" s="16">
        <v>7024</v>
      </c>
      <c r="Y362" s="16">
        <v>5902</v>
      </c>
      <c r="Z362" s="16">
        <f t="shared" si="252"/>
        <v>1122</v>
      </c>
      <c r="AA362" s="16"/>
      <c r="AC362" s="94">
        <v>2022</v>
      </c>
      <c r="AD362" s="95" t="s">
        <v>44</v>
      </c>
      <c r="AE362" s="44">
        <f t="shared" si="253"/>
        <v>0.72962226640159045</v>
      </c>
      <c r="AF362" s="44">
        <f t="shared" si="254"/>
        <v>0.80837004405286339</v>
      </c>
      <c r="AG362" s="44">
        <f t="shared" si="255"/>
        <v>0.90258449304174948</v>
      </c>
      <c r="AH362" s="16">
        <v>36</v>
      </c>
      <c r="AI362" s="16">
        <v>3</v>
      </c>
      <c r="AJ362" s="16">
        <v>1006</v>
      </c>
      <c r="AK362" s="16">
        <f t="shared" si="247"/>
        <v>98</v>
      </c>
      <c r="AL362" s="16">
        <v>908</v>
      </c>
      <c r="AM362" s="16">
        <v>734</v>
      </c>
      <c r="AN362" s="16">
        <f t="shared" si="256"/>
        <v>174</v>
      </c>
      <c r="AO362" s="16"/>
      <c r="AQ362" s="94">
        <v>2022</v>
      </c>
      <c r="AR362" s="95" t="s">
        <v>44</v>
      </c>
      <c r="AS362" s="44">
        <f t="shared" si="257"/>
        <v>0.68145161290322576</v>
      </c>
      <c r="AT362" s="44">
        <f t="shared" si="258"/>
        <v>0.72844827586206895</v>
      </c>
      <c r="AU362" s="44">
        <f t="shared" si="259"/>
        <v>0.93548387096774188</v>
      </c>
      <c r="AV362" s="16">
        <v>20</v>
      </c>
      <c r="AW362" s="16">
        <v>3</v>
      </c>
      <c r="AX362" s="16">
        <v>1240</v>
      </c>
      <c r="AY362" s="16">
        <f t="shared" si="248"/>
        <v>80</v>
      </c>
      <c r="AZ362" s="16">
        <v>1160</v>
      </c>
      <c r="BA362" s="16">
        <v>845</v>
      </c>
      <c r="BB362" s="16">
        <f t="shared" si="260"/>
        <v>315</v>
      </c>
    </row>
    <row r="363" spans="1:55" s="18" customFormat="1" ht="15" customHeight="1">
      <c r="A363" s="18">
        <v>2022</v>
      </c>
      <c r="B363" s="21" t="s">
        <v>45</v>
      </c>
      <c r="C363" s="15">
        <f t="shared" si="179"/>
        <v>0.7330372818341423</v>
      </c>
      <c r="D363" s="15">
        <f t="shared" si="180"/>
        <v>0.79218750000000004</v>
      </c>
      <c r="E363" s="15">
        <f t="shared" si="181"/>
        <v>0.92533305793658993</v>
      </c>
      <c r="F363" s="26">
        <f>+Tabla2[[#This Row],[Trenes Programados por Día Hábil]]+Tabla9[[#This Row],[Trenes Programados por Día Hábil]]+Tabla10[[#This Row],[Trenes Programados por Día Hábil]]</f>
        <v>300</v>
      </c>
      <c r="G363" s="34">
        <f>+(Tabla2[[#This Row],[Coches por Tren Día Hábil]]*Tabla2[[#This Row],[Trenes Corridos]]+Tabla9[[#This Row],[Coches por Tren Día Hábil]]*Tabla9[[#This Row],[Trenes Corridos]]+Tabla10[[#This Row],[Coches por Tren Día Hábil]]*Tabla10[[#This Row],[Trenes Corridos]])/SARM[[#This Row],[Trenes Corridos]]</f>
        <v>7.6145089285714285</v>
      </c>
      <c r="H363" s="16">
        <f t="shared" ref="H363:H368" si="261">+V363+AJ363+AX363</f>
        <v>9683</v>
      </c>
      <c r="I363" s="16">
        <f t="shared" si="184"/>
        <v>723</v>
      </c>
      <c r="J363" s="16">
        <f t="shared" si="245"/>
        <v>8960</v>
      </c>
      <c r="K363" s="16">
        <f t="shared" si="244"/>
        <v>7098</v>
      </c>
      <c r="L363" s="16">
        <f t="shared" si="186"/>
        <v>1862</v>
      </c>
      <c r="M363" s="16"/>
      <c r="O363" s="18">
        <v>2022</v>
      </c>
      <c r="P363" s="21" t="s">
        <v>45</v>
      </c>
      <c r="Q363" s="44">
        <f t="shared" si="249"/>
        <v>0.74623422445379295</v>
      </c>
      <c r="R363" s="44">
        <f t="shared" si="250"/>
        <v>0.79799738789725727</v>
      </c>
      <c r="S363" s="44">
        <f t="shared" si="251"/>
        <v>0.9351336680689375</v>
      </c>
      <c r="T363" s="16">
        <v>244</v>
      </c>
      <c r="U363" s="16">
        <v>9</v>
      </c>
      <c r="V363" s="16">
        <v>7369</v>
      </c>
      <c r="W363" s="16">
        <f t="shared" si="246"/>
        <v>478</v>
      </c>
      <c r="X363" s="16">
        <v>6891</v>
      </c>
      <c r="Y363" s="16">
        <v>5499</v>
      </c>
      <c r="Z363" s="16">
        <f t="shared" si="252"/>
        <v>1392</v>
      </c>
      <c r="AA363" s="16"/>
      <c r="AC363" s="18">
        <v>2022</v>
      </c>
      <c r="AD363" s="21" t="s">
        <v>45</v>
      </c>
      <c r="AE363" s="44">
        <f t="shared" si="253"/>
        <v>0.76346153846153841</v>
      </c>
      <c r="AF363" s="44">
        <f t="shared" si="254"/>
        <v>0.8556034482758621</v>
      </c>
      <c r="AG363" s="44">
        <f t="shared" si="255"/>
        <v>0.89230769230769236</v>
      </c>
      <c r="AH363" s="16">
        <v>36</v>
      </c>
      <c r="AI363" s="16">
        <v>3</v>
      </c>
      <c r="AJ363" s="16">
        <v>1040</v>
      </c>
      <c r="AK363" s="16">
        <f t="shared" si="247"/>
        <v>112</v>
      </c>
      <c r="AL363" s="16">
        <v>928</v>
      </c>
      <c r="AM363" s="16">
        <v>794</v>
      </c>
      <c r="AN363" s="16">
        <f t="shared" si="256"/>
        <v>134</v>
      </c>
      <c r="AO363" s="16"/>
      <c r="AQ363" s="18">
        <v>2022</v>
      </c>
      <c r="AR363" s="21" t="s">
        <v>45</v>
      </c>
      <c r="AS363" s="44">
        <f t="shared" si="257"/>
        <v>0.63186813186813184</v>
      </c>
      <c r="AT363" s="44">
        <f t="shared" si="258"/>
        <v>0.70552147239263807</v>
      </c>
      <c r="AU363" s="44">
        <f t="shared" si="259"/>
        <v>0.89560439560439564</v>
      </c>
      <c r="AV363" s="16">
        <v>20</v>
      </c>
      <c r="AW363" s="16">
        <v>3</v>
      </c>
      <c r="AX363" s="16">
        <v>1274</v>
      </c>
      <c r="AY363" s="16">
        <f t="shared" si="248"/>
        <v>133</v>
      </c>
      <c r="AZ363" s="16">
        <v>1141</v>
      </c>
      <c r="BA363" s="16">
        <v>805</v>
      </c>
      <c r="BB363" s="16">
        <f t="shared" si="260"/>
        <v>336</v>
      </c>
    </row>
    <row r="364" spans="1:55" s="18" customFormat="1" ht="15" customHeight="1">
      <c r="A364" s="82">
        <v>2022</v>
      </c>
      <c r="B364" s="83" t="s">
        <v>46</v>
      </c>
      <c r="C364" s="15">
        <f t="shared" si="179"/>
        <v>0.63145345220816917</v>
      </c>
      <c r="D364" s="15">
        <f t="shared" si="180"/>
        <v>0.73982752338151347</v>
      </c>
      <c r="E364" s="15">
        <f t="shared" si="181"/>
        <v>0.85351441011818374</v>
      </c>
      <c r="F364" s="26">
        <f>+Tabla2[[#This Row],[Trenes Programados por Día Hábil]]+Tabla9[[#This Row],[Trenes Programados por Día Hábil]]+Tabla10[[#This Row],[Trenes Programados por Día Hábil]]</f>
        <v>300</v>
      </c>
      <c r="G364" s="34">
        <f>+(Tabla2[[#This Row],[Coches por Tren Día Hábil]]*Tabla2[[#This Row],[Trenes Corridos]]+Tabla9[[#This Row],[Coches por Tren Día Hábil]]*Tabla9[[#This Row],[Trenes Corridos]]+Tabla10[[#This Row],[Coches por Tren Día Hábil]]*Tabla10[[#This Row],[Trenes Corridos]])/SARM[[#This Row],[Trenes Corridos]]</f>
        <v>7.8128264302198467</v>
      </c>
      <c r="H364" s="16">
        <f t="shared" si="261"/>
        <v>9646</v>
      </c>
      <c r="I364" s="16">
        <f t="shared" si="184"/>
        <v>1413</v>
      </c>
      <c r="J364" s="16">
        <f t="shared" si="245"/>
        <v>8233</v>
      </c>
      <c r="K364" s="16">
        <f t="shared" si="244"/>
        <v>6091</v>
      </c>
      <c r="L364" s="16">
        <f t="shared" si="186"/>
        <v>2142</v>
      </c>
      <c r="M364" s="16"/>
      <c r="O364" s="82">
        <v>2022</v>
      </c>
      <c r="P364" s="83" t="s">
        <v>46</v>
      </c>
      <c r="Q364" s="44">
        <f t="shared" si="249"/>
        <v>0.66373715521903731</v>
      </c>
      <c r="R364" s="44">
        <f t="shared" si="250"/>
        <v>0.74333737129012722</v>
      </c>
      <c r="S364" s="44">
        <f t="shared" si="251"/>
        <v>0.89291508923742569</v>
      </c>
      <c r="T364" s="16">
        <v>244</v>
      </c>
      <c r="U364" s="16">
        <v>9</v>
      </c>
      <c r="V364" s="16">
        <v>7396</v>
      </c>
      <c r="W364" s="16">
        <f t="shared" si="246"/>
        <v>792</v>
      </c>
      <c r="X364" s="16">
        <v>6604</v>
      </c>
      <c r="Y364" s="16">
        <v>4909</v>
      </c>
      <c r="Z364" s="16">
        <f t="shared" si="252"/>
        <v>1695</v>
      </c>
      <c r="AA364" s="16"/>
      <c r="AC364" s="82">
        <v>2022</v>
      </c>
      <c r="AD364" s="83" t="s">
        <v>46</v>
      </c>
      <c r="AE364" s="44">
        <f t="shared" si="253"/>
        <v>0.5326732673267327</v>
      </c>
      <c r="AF364" s="44">
        <f t="shared" si="254"/>
        <v>0.76312056737588652</v>
      </c>
      <c r="AG364" s="44">
        <f t="shared" si="255"/>
        <v>0.69801980198019797</v>
      </c>
      <c r="AH364" s="16">
        <v>36</v>
      </c>
      <c r="AI364" s="16">
        <v>3</v>
      </c>
      <c r="AJ364" s="16">
        <v>1010</v>
      </c>
      <c r="AK364" s="16">
        <f t="shared" si="247"/>
        <v>305</v>
      </c>
      <c r="AL364" s="16">
        <v>705</v>
      </c>
      <c r="AM364" s="16">
        <v>538</v>
      </c>
      <c r="AN364" s="16">
        <f t="shared" si="256"/>
        <v>167</v>
      </c>
      <c r="AO364" s="16"/>
      <c r="AQ364" s="82">
        <v>2022</v>
      </c>
      <c r="AR364" s="83" t="s">
        <v>46</v>
      </c>
      <c r="AS364" s="44">
        <f t="shared" si="257"/>
        <v>0.51935483870967747</v>
      </c>
      <c r="AT364" s="44">
        <f t="shared" si="258"/>
        <v>0.69696969696969702</v>
      </c>
      <c r="AU364" s="44">
        <f t="shared" si="259"/>
        <v>0.74516129032258061</v>
      </c>
      <c r="AV364" s="16">
        <v>20</v>
      </c>
      <c r="AW364" s="16">
        <v>3</v>
      </c>
      <c r="AX364" s="16">
        <v>1240</v>
      </c>
      <c r="AY364" s="16">
        <f t="shared" si="248"/>
        <v>316</v>
      </c>
      <c r="AZ364" s="16">
        <v>924</v>
      </c>
      <c r="BA364" s="16">
        <v>644</v>
      </c>
      <c r="BB364" s="16">
        <f t="shared" si="260"/>
        <v>280</v>
      </c>
    </row>
    <row r="365" spans="1:55" s="18" customFormat="1" ht="15" customHeight="1">
      <c r="A365" s="18">
        <v>2022</v>
      </c>
      <c r="B365" s="21" t="s">
        <v>47</v>
      </c>
      <c r="C365" s="15">
        <f t="shared" ref="C365:C370" si="262">K365/H365</f>
        <v>0.56848459616985847</v>
      </c>
      <c r="D365" s="15">
        <f t="shared" ref="D365:D370" si="263">K365/J365</f>
        <v>0.70178594372349989</v>
      </c>
      <c r="E365" s="15">
        <f t="shared" ref="E365:E370" si="264">J365/H365</f>
        <v>0.81005412156536216</v>
      </c>
      <c r="F365" s="26">
        <f>+Tabla2[[#This Row],[Trenes Programados por Día Hábil]]+Tabla9[[#This Row],[Trenes Programados por Día Hábil]]+Tabla10[[#This Row],[Trenes Programados por Día Hábil]]</f>
        <v>300</v>
      </c>
      <c r="G365" s="34">
        <f>+(Tabla2[[#This Row],[Coches por Tren Día Hábil]]*Tabla2[[#This Row],[Trenes Corridos]]+Tabla9[[#This Row],[Coches por Tren Día Hábil]]*Tabla9[[#This Row],[Trenes Corridos]]+Tabla10[[#This Row],[Coches por Tren Día Hábil]]*Tabla10[[#This Row],[Trenes Corridos]])/SARM[[#This Row],[Trenes Corridos]]</f>
        <v>7.771167930104073</v>
      </c>
      <c r="H365" s="16">
        <f t="shared" si="261"/>
        <v>9608</v>
      </c>
      <c r="I365" s="16">
        <f t="shared" si="184"/>
        <v>1825</v>
      </c>
      <c r="J365" s="16">
        <f t="shared" si="245"/>
        <v>7783</v>
      </c>
      <c r="K365" s="16">
        <f t="shared" si="244"/>
        <v>5462</v>
      </c>
      <c r="L365" s="16">
        <f t="shared" si="186"/>
        <v>2321</v>
      </c>
      <c r="M365" s="16"/>
      <c r="O365" s="18">
        <v>2022</v>
      </c>
      <c r="P365" s="21" t="s">
        <v>47</v>
      </c>
      <c r="Q365" s="44">
        <f t="shared" si="249"/>
        <v>0.59843814221126179</v>
      </c>
      <c r="R365" s="44">
        <f t="shared" si="250"/>
        <v>0.70576829859428014</v>
      </c>
      <c r="S365" s="44">
        <f t="shared" si="251"/>
        <v>0.84792437320180847</v>
      </c>
      <c r="T365" s="16">
        <v>244</v>
      </c>
      <c r="U365" s="16">
        <v>9</v>
      </c>
      <c r="V365" s="16">
        <v>7299</v>
      </c>
      <c r="W365" s="16">
        <f t="shared" si="246"/>
        <v>1110</v>
      </c>
      <c r="X365" s="16">
        <v>6189</v>
      </c>
      <c r="Y365" s="16">
        <v>4368</v>
      </c>
      <c r="Z365" s="16">
        <f t="shared" si="252"/>
        <v>1821</v>
      </c>
      <c r="AA365" s="16"/>
      <c r="AC365" s="18">
        <v>2022</v>
      </c>
      <c r="AD365" s="21" t="s">
        <v>47</v>
      </c>
      <c r="AE365" s="44">
        <f t="shared" si="253"/>
        <v>0.56425120772946857</v>
      </c>
      <c r="AF365" s="44">
        <f t="shared" si="254"/>
        <v>0.80551724137931036</v>
      </c>
      <c r="AG365" s="44">
        <f t="shared" si="255"/>
        <v>0.70048309178743962</v>
      </c>
      <c r="AH365" s="16">
        <v>36</v>
      </c>
      <c r="AI365" s="16">
        <v>3</v>
      </c>
      <c r="AJ365" s="16">
        <v>1035</v>
      </c>
      <c r="AK365" s="16">
        <f t="shared" si="247"/>
        <v>310</v>
      </c>
      <c r="AL365" s="16">
        <v>725</v>
      </c>
      <c r="AM365" s="16">
        <v>584</v>
      </c>
      <c r="AN365" s="16">
        <f t="shared" si="256"/>
        <v>141</v>
      </c>
      <c r="AO365" s="16"/>
      <c r="AQ365" s="18">
        <v>2022</v>
      </c>
      <c r="AR365" s="21" t="s">
        <v>47</v>
      </c>
      <c r="AS365" s="44">
        <f t="shared" si="257"/>
        <v>0.40031397174254318</v>
      </c>
      <c r="AT365" s="44">
        <f t="shared" si="258"/>
        <v>0.58688147295742232</v>
      </c>
      <c r="AU365" s="44">
        <f t="shared" si="259"/>
        <v>0.68210361067503922</v>
      </c>
      <c r="AV365" s="16">
        <v>20</v>
      </c>
      <c r="AW365" s="16">
        <v>3</v>
      </c>
      <c r="AX365" s="16">
        <v>1274</v>
      </c>
      <c r="AY365" s="16">
        <f t="shared" si="248"/>
        <v>405</v>
      </c>
      <c r="AZ365" s="16">
        <v>869</v>
      </c>
      <c r="BA365" s="16">
        <v>510</v>
      </c>
      <c r="BB365" s="16">
        <f t="shared" si="260"/>
        <v>359</v>
      </c>
    </row>
    <row r="366" spans="1:55" s="18" customFormat="1" ht="15" customHeight="1">
      <c r="A366" s="18">
        <v>2023</v>
      </c>
      <c r="B366" s="21" t="s">
        <v>36</v>
      </c>
      <c r="C366" s="15">
        <f t="shared" si="262"/>
        <v>0.71560940841054888</v>
      </c>
      <c r="D366" s="15">
        <f t="shared" si="263"/>
        <v>0.78586604047858666</v>
      </c>
      <c r="E366" s="15">
        <f t="shared" si="264"/>
        <v>0.91059973526117499</v>
      </c>
      <c r="F366" s="26">
        <f>+Tabla2[[#This Row],[Trenes Programados por Día Hábil]]+Tabla9[[#This Row],[Trenes Programados por Día Hábil]]+Tabla10[[#This Row],[Trenes Programados por Día Hábil]]</f>
        <v>300</v>
      </c>
      <c r="G366" s="34">
        <f>+(Tabla2[[#This Row],[Coches por Tren Día Hábil]]*Tabla2[[#This Row],[Trenes Corridos]]+Tabla9[[#This Row],[Coches por Tren Día Hábil]]*Tabla9[[#This Row],[Trenes Corridos]]+Tabla10[[#This Row],[Coches por Tren Día Hábil]]*Tabla10[[#This Row],[Trenes Corridos]])/SARM[[#This Row],[Trenes Corridos]]</f>
        <v>7.7138544112713854</v>
      </c>
      <c r="H366" s="16">
        <f t="shared" si="261"/>
        <v>9821</v>
      </c>
      <c r="I366" s="16">
        <f t="shared" ref="I366:I371" si="265">H366-J366</f>
        <v>878</v>
      </c>
      <c r="J366" s="16">
        <f t="shared" ref="J366:K368" si="266">+X366+AL366+AZ366</f>
        <v>8943</v>
      </c>
      <c r="K366" s="16">
        <f t="shared" si="266"/>
        <v>7028</v>
      </c>
      <c r="L366" s="16">
        <f t="shared" ref="L366:L371" si="267">J366-K366</f>
        <v>1915</v>
      </c>
      <c r="M366" s="16"/>
      <c r="O366" s="18">
        <v>2023</v>
      </c>
      <c r="P366" s="21" t="s">
        <v>36</v>
      </c>
      <c r="Q366" s="44">
        <f t="shared" ref="Q366:Q371" si="268">Y366/V366</f>
        <v>0.7585056704469646</v>
      </c>
      <c r="R366" s="44">
        <f t="shared" ref="R366:R371" si="269">Y366/X366</f>
        <v>0.80913748932536289</v>
      </c>
      <c r="S366" s="44">
        <f t="shared" ref="S366:S371" si="270">X366/V366</f>
        <v>0.93742494996664438</v>
      </c>
      <c r="T366" s="16">
        <v>244</v>
      </c>
      <c r="U366" s="16">
        <v>9</v>
      </c>
      <c r="V366" s="16">
        <v>7495</v>
      </c>
      <c r="W366" s="16">
        <f t="shared" ref="W366:W371" si="271">V366-X366</f>
        <v>469</v>
      </c>
      <c r="X366" s="16">
        <v>7026</v>
      </c>
      <c r="Y366" s="16">
        <v>5685</v>
      </c>
      <c r="Z366" s="16">
        <f t="shared" ref="Z366:Z371" si="272">X366-Y366</f>
        <v>1341</v>
      </c>
      <c r="AA366" s="16"/>
      <c r="AC366" s="18">
        <v>2023</v>
      </c>
      <c r="AD366" s="21" t="s">
        <v>36</v>
      </c>
      <c r="AE366" s="44">
        <f t="shared" ref="AE366:AE371" si="273">AM366/AJ366</f>
        <v>0.72030651340996166</v>
      </c>
      <c r="AF366" s="44">
        <f t="shared" ref="AF366:AF371" si="274">AM366/AL366</f>
        <v>0.83462819089900109</v>
      </c>
      <c r="AG366" s="44">
        <f t="shared" ref="AG366:AG371" si="275">AL366/AJ366</f>
        <v>0.8630268199233716</v>
      </c>
      <c r="AH366" s="16">
        <v>36</v>
      </c>
      <c r="AI366" s="16">
        <v>3</v>
      </c>
      <c r="AJ366" s="16">
        <v>1044</v>
      </c>
      <c r="AK366" s="16">
        <f t="shared" ref="AK366:AK371" si="276">AJ366-AL366</f>
        <v>143</v>
      </c>
      <c r="AL366" s="16">
        <v>901</v>
      </c>
      <c r="AM366" s="16">
        <v>752</v>
      </c>
      <c r="AN366" s="16">
        <f t="shared" ref="AN366:AN371" si="277">AL366-AM366</f>
        <v>149</v>
      </c>
      <c r="AO366" s="16"/>
      <c r="AQ366" s="18">
        <v>2023</v>
      </c>
      <c r="AR366" s="21" t="s">
        <v>36</v>
      </c>
      <c r="AS366" s="44">
        <f t="shared" ref="AS366:AS372" si="278">BA366/AX366</f>
        <v>0.46099843993759748</v>
      </c>
      <c r="AT366" s="44">
        <f t="shared" ref="AT366:AT372" si="279">BA366/AZ366</f>
        <v>0.58169291338582674</v>
      </c>
      <c r="AU366" s="44">
        <f t="shared" ref="AU366:AU372" si="280">AZ366/AX366</f>
        <v>0.79251170046801878</v>
      </c>
      <c r="AV366" s="16">
        <v>20</v>
      </c>
      <c r="AW366" s="16">
        <v>3</v>
      </c>
      <c r="AX366" s="16">
        <v>1282</v>
      </c>
      <c r="AY366" s="16">
        <f t="shared" ref="AY366:AY386" si="281">AX366-AZ366</f>
        <v>266</v>
      </c>
      <c r="AZ366" s="16">
        <v>1016</v>
      </c>
      <c r="BA366" s="16">
        <v>591</v>
      </c>
      <c r="BB366" s="16">
        <f t="shared" ref="BB366:BB372" si="282">AZ366-BA366</f>
        <v>425</v>
      </c>
    </row>
    <row r="367" spans="1:55" s="18" customFormat="1" ht="15" customHeight="1">
      <c r="A367" s="18">
        <v>2023</v>
      </c>
      <c r="B367" s="21" t="s">
        <v>37</v>
      </c>
      <c r="C367" s="15">
        <f t="shared" si="262"/>
        <v>0.72706316274781002</v>
      </c>
      <c r="D367" s="15">
        <f t="shared" si="263"/>
        <v>0.79136871157947564</v>
      </c>
      <c r="E367" s="15">
        <f t="shared" si="264"/>
        <v>0.91874135546334712</v>
      </c>
      <c r="F367" s="26">
        <f>+Tabla2[[#This Row],[Trenes Programados por Día Hábil]]+Tabla9[[#This Row],[Trenes Programados por Día Hábil]]+Tabla10[[#This Row],[Trenes Programados por Día Hábil]]</f>
        <v>300</v>
      </c>
      <c r="G367" s="34">
        <f>+(Tabla2[[#This Row],[Coches por Tren Día Hábil]]*Tabla2[[#This Row],[Trenes Corridos]]+Tabla9[[#This Row],[Coches por Tren Día Hábil]]*Tabla9[[#This Row],[Trenes Corridos]]+Tabla10[[#This Row],[Coches por Tren Día Hábil]]*Tabla10[[#This Row],[Trenes Corridos]])/SARM[[#This Row],[Trenes Corridos]]</f>
        <v>7.7083176514866389</v>
      </c>
      <c r="H367" s="16">
        <f t="shared" si="261"/>
        <v>8676</v>
      </c>
      <c r="I367" s="16">
        <f t="shared" si="265"/>
        <v>705</v>
      </c>
      <c r="J367" s="16">
        <f t="shared" si="266"/>
        <v>7971</v>
      </c>
      <c r="K367" s="16">
        <f t="shared" si="266"/>
        <v>6308</v>
      </c>
      <c r="L367" s="16">
        <f t="shared" si="267"/>
        <v>1663</v>
      </c>
      <c r="M367" s="16"/>
      <c r="O367" s="18">
        <v>2023</v>
      </c>
      <c r="P367" s="21" t="s">
        <v>37</v>
      </c>
      <c r="Q367" s="44">
        <f t="shared" si="268"/>
        <v>0.76063183475091134</v>
      </c>
      <c r="R367" s="44">
        <f t="shared" si="269"/>
        <v>0.80063948840927257</v>
      </c>
      <c r="S367" s="44">
        <f t="shared" si="270"/>
        <v>0.95003037667071688</v>
      </c>
      <c r="T367" s="16">
        <v>244</v>
      </c>
      <c r="U367" s="16">
        <v>9</v>
      </c>
      <c r="V367" s="16">
        <v>6584</v>
      </c>
      <c r="W367" s="16">
        <f t="shared" si="271"/>
        <v>329</v>
      </c>
      <c r="X367" s="16">
        <v>6255</v>
      </c>
      <c r="Y367" s="16">
        <v>5008</v>
      </c>
      <c r="Z367" s="16">
        <f t="shared" si="272"/>
        <v>1247</v>
      </c>
      <c r="AA367" s="16"/>
      <c r="AC367" s="18">
        <v>2023</v>
      </c>
      <c r="AD367" s="21" t="s">
        <v>37</v>
      </c>
      <c r="AE367" s="44">
        <f t="shared" si="273"/>
        <v>0.71808510638297873</v>
      </c>
      <c r="AF367" s="44">
        <f t="shared" si="274"/>
        <v>0.88350785340314131</v>
      </c>
      <c r="AG367" s="44">
        <f t="shared" si="275"/>
        <v>0.81276595744680846</v>
      </c>
      <c r="AH367" s="16">
        <v>36</v>
      </c>
      <c r="AI367" s="16">
        <v>3</v>
      </c>
      <c r="AJ367" s="16">
        <v>940</v>
      </c>
      <c r="AK367" s="16">
        <f t="shared" si="276"/>
        <v>176</v>
      </c>
      <c r="AL367" s="16">
        <v>764</v>
      </c>
      <c r="AM367" s="16">
        <v>675</v>
      </c>
      <c r="AN367" s="16">
        <f t="shared" si="277"/>
        <v>89</v>
      </c>
      <c r="AO367" s="16"/>
      <c r="AQ367" s="18">
        <v>2023</v>
      </c>
      <c r="AR367" s="21" t="s">
        <v>37</v>
      </c>
      <c r="AS367" s="44">
        <f t="shared" si="278"/>
        <v>0.54253472222222221</v>
      </c>
      <c r="AT367" s="44">
        <f t="shared" si="279"/>
        <v>0.65651260504201681</v>
      </c>
      <c r="AU367" s="44">
        <f t="shared" si="280"/>
        <v>0.82638888888888884</v>
      </c>
      <c r="AV367" s="16">
        <v>20</v>
      </c>
      <c r="AW367" s="16">
        <v>3</v>
      </c>
      <c r="AX367" s="16">
        <v>1152</v>
      </c>
      <c r="AY367" s="16">
        <f t="shared" si="281"/>
        <v>200</v>
      </c>
      <c r="AZ367" s="16">
        <v>952</v>
      </c>
      <c r="BA367" s="16">
        <v>625</v>
      </c>
      <c r="BB367" s="16">
        <f t="shared" si="282"/>
        <v>327</v>
      </c>
    </row>
    <row r="368" spans="1:55" s="18" customFormat="1" ht="15" customHeight="1">
      <c r="A368" s="105">
        <v>2023</v>
      </c>
      <c r="B368" s="83" t="s">
        <v>38</v>
      </c>
      <c r="C368" s="15">
        <f t="shared" si="262"/>
        <v>0.64260367028287535</v>
      </c>
      <c r="D368" s="15">
        <f t="shared" si="263"/>
        <v>0.7018826135105205</v>
      </c>
      <c r="E368" s="15">
        <f t="shared" si="264"/>
        <v>0.91554293825408095</v>
      </c>
      <c r="F368" s="26">
        <f>+Tabla2[[#This Row],[Trenes Programados por Día Hábil]]+Tabla9[[#This Row],[Trenes Programados por Día Hábil]]+Tabla10[[#This Row],[Trenes Programados por Día Hábil]]</f>
        <v>337</v>
      </c>
      <c r="G368" s="34">
        <f>+(Tabla2[[#This Row],[Coches por Tren Día Hábil]]*Tabla2[[#This Row],[Trenes Corridos]]+Tabla9[[#This Row],[Coches por Tren Día Hábil]]*Tabla9[[#This Row],[Trenes Corridos]]+Tabla10[[#This Row],[Coches por Tren Día Hábil]]*Tabla10[[#This Row],[Trenes Corridos]])/SARM[[#This Row],[Trenes Corridos]]</f>
        <v>7.691029900332226</v>
      </c>
      <c r="H368" s="16">
        <f t="shared" si="261"/>
        <v>9863</v>
      </c>
      <c r="I368" s="16">
        <f t="shared" si="265"/>
        <v>833</v>
      </c>
      <c r="J368" s="16">
        <f t="shared" si="266"/>
        <v>9030</v>
      </c>
      <c r="K368" s="16">
        <f t="shared" si="266"/>
        <v>6338</v>
      </c>
      <c r="L368" s="16">
        <f t="shared" si="267"/>
        <v>2692</v>
      </c>
      <c r="M368" s="16"/>
      <c r="O368" s="105">
        <v>2023</v>
      </c>
      <c r="P368" s="83" t="s">
        <v>38</v>
      </c>
      <c r="Q368" s="44">
        <f t="shared" si="268"/>
        <v>0.62299569808369182</v>
      </c>
      <c r="R368" s="44">
        <f t="shared" si="269"/>
        <v>0.67691218130311614</v>
      </c>
      <c r="S368" s="44">
        <f t="shared" si="270"/>
        <v>0.92034936774866383</v>
      </c>
      <c r="T368" s="16">
        <v>271</v>
      </c>
      <c r="U368" s="16">
        <v>9</v>
      </c>
      <c r="V368" s="16">
        <v>7671</v>
      </c>
      <c r="W368" s="16">
        <f t="shared" si="271"/>
        <v>611</v>
      </c>
      <c r="X368" s="16">
        <v>7060</v>
      </c>
      <c r="Y368" s="16">
        <v>4779</v>
      </c>
      <c r="Z368" s="16">
        <f t="shared" si="272"/>
        <v>2281</v>
      </c>
      <c r="AA368" s="16"/>
      <c r="AC368" s="105">
        <v>2023</v>
      </c>
      <c r="AD368" s="83" t="s">
        <v>38</v>
      </c>
      <c r="AE368" s="44">
        <f t="shared" si="273"/>
        <v>0.62012480499219969</v>
      </c>
      <c r="AF368" s="44">
        <f t="shared" si="274"/>
        <v>0.69920844327176779</v>
      </c>
      <c r="AG368" s="44">
        <f t="shared" si="275"/>
        <v>0.88689547581903272</v>
      </c>
      <c r="AH368" s="16">
        <v>36</v>
      </c>
      <c r="AI368" s="16">
        <v>3</v>
      </c>
      <c r="AJ368" s="16">
        <v>1282</v>
      </c>
      <c r="AK368" s="16">
        <f t="shared" si="276"/>
        <v>145</v>
      </c>
      <c r="AL368" s="16">
        <v>1137</v>
      </c>
      <c r="AM368" s="16">
        <v>795</v>
      </c>
      <c r="AN368" s="16">
        <f t="shared" si="277"/>
        <v>342</v>
      </c>
      <c r="AO368" s="19" t="s">
        <v>125</v>
      </c>
      <c r="AQ368" s="105">
        <v>2023</v>
      </c>
      <c r="AR368" s="83" t="s">
        <v>38</v>
      </c>
      <c r="AS368" s="44">
        <f t="shared" si="278"/>
        <v>0.83956043956043958</v>
      </c>
      <c r="AT368" s="44">
        <f t="shared" si="279"/>
        <v>0.91716686674669867</v>
      </c>
      <c r="AU368" s="44">
        <f t="shared" si="280"/>
        <v>0.91538461538461535</v>
      </c>
      <c r="AV368" s="16">
        <v>30</v>
      </c>
      <c r="AW368" s="16">
        <v>3</v>
      </c>
      <c r="AX368" s="16">
        <v>910</v>
      </c>
      <c r="AY368" s="16">
        <f t="shared" si="281"/>
        <v>77</v>
      </c>
      <c r="AZ368" s="16">
        <v>833</v>
      </c>
      <c r="BA368" s="16">
        <v>764</v>
      </c>
      <c r="BB368" s="16">
        <f t="shared" si="282"/>
        <v>69</v>
      </c>
      <c r="BC368" s="18" t="s">
        <v>128</v>
      </c>
    </row>
    <row r="369" spans="1:55" s="18" customFormat="1" ht="15" customHeight="1">
      <c r="A369" s="107">
        <v>2023</v>
      </c>
      <c r="B369" s="108" t="s">
        <v>39</v>
      </c>
      <c r="C369" s="15">
        <f t="shared" si="262"/>
        <v>0.68229447985308411</v>
      </c>
      <c r="D369" s="15">
        <f t="shared" si="263"/>
        <v>0.74798673614400757</v>
      </c>
      <c r="E369" s="15">
        <f t="shared" si="264"/>
        <v>0.91217457059522522</v>
      </c>
      <c r="F369" s="26">
        <f>+Tabla2[[#This Row],[Trenes Programados por Día Hábil]]+Tabla9[[#This Row],[Trenes Programados por Día Hábil]]+Tabla10[[#This Row],[Trenes Programados por Día Hábil]]</f>
        <v>337</v>
      </c>
      <c r="G369" s="34">
        <f>+(Tabla2[[#This Row],[Coches por Tren Día Hábil]]*Tabla2[[#This Row],[Trenes Corridos]]+Tabla9[[#This Row],[Coches por Tren Día Hábil]]*Tabla9[[#This Row],[Trenes Corridos]]+Tabla10[[#This Row],[Coches por Tren Día Hábil]]*Tabla10[[#This Row],[Trenes Corridos]])/SARM[[#This Row],[Trenes Corridos]]</f>
        <v>7.592373282804358</v>
      </c>
      <c r="H369" s="16">
        <f t="shared" ref="H369:H374" si="283">+V369+AJ369+AX369</f>
        <v>9257</v>
      </c>
      <c r="I369" s="16">
        <f t="shared" si="265"/>
        <v>813</v>
      </c>
      <c r="J369" s="16">
        <f t="shared" ref="J369:K371" si="284">+X369+AL369+AZ369</f>
        <v>8444</v>
      </c>
      <c r="K369" s="16">
        <f t="shared" si="284"/>
        <v>6316</v>
      </c>
      <c r="L369" s="16">
        <f t="shared" si="267"/>
        <v>2128</v>
      </c>
      <c r="M369" s="16"/>
      <c r="O369" s="107">
        <v>2023</v>
      </c>
      <c r="P369" s="108" t="s">
        <v>39</v>
      </c>
      <c r="Q369" s="44">
        <f t="shared" si="268"/>
        <v>0.6568229531140658</v>
      </c>
      <c r="R369" s="44">
        <f t="shared" si="269"/>
        <v>0.72613337459384186</v>
      </c>
      <c r="S369" s="44">
        <f t="shared" si="270"/>
        <v>0.90454863540937713</v>
      </c>
      <c r="T369" s="16">
        <v>271</v>
      </c>
      <c r="U369" s="16">
        <v>9</v>
      </c>
      <c r="V369" s="16">
        <v>7145</v>
      </c>
      <c r="W369" s="16">
        <f t="shared" si="271"/>
        <v>682</v>
      </c>
      <c r="X369" s="16">
        <v>6463</v>
      </c>
      <c r="Y369" s="16">
        <v>4693</v>
      </c>
      <c r="Z369" s="16">
        <f t="shared" si="272"/>
        <v>1770</v>
      </c>
      <c r="AA369" s="16"/>
      <c r="AC369" s="107">
        <v>2023</v>
      </c>
      <c r="AD369" s="108" t="s">
        <v>39</v>
      </c>
      <c r="AE369" s="44">
        <f t="shared" si="273"/>
        <v>0.75161812297734631</v>
      </c>
      <c r="AF369" s="44">
        <f t="shared" si="274"/>
        <v>0.80712423979148562</v>
      </c>
      <c r="AG369" s="44">
        <f t="shared" si="275"/>
        <v>0.93122977346278313</v>
      </c>
      <c r="AH369" s="16">
        <v>36</v>
      </c>
      <c r="AI369" s="16">
        <v>3</v>
      </c>
      <c r="AJ369" s="16">
        <v>1236</v>
      </c>
      <c r="AK369" s="16">
        <f t="shared" si="276"/>
        <v>85</v>
      </c>
      <c r="AL369" s="16">
        <v>1151</v>
      </c>
      <c r="AM369" s="16">
        <v>929</v>
      </c>
      <c r="AN369" s="16">
        <f t="shared" si="277"/>
        <v>222</v>
      </c>
      <c r="AO369" s="16"/>
      <c r="AQ369" s="107">
        <v>2023</v>
      </c>
      <c r="AR369" s="108" t="s">
        <v>39</v>
      </c>
      <c r="AS369" s="44">
        <f t="shared" si="278"/>
        <v>0.79223744292237441</v>
      </c>
      <c r="AT369" s="44">
        <f t="shared" si="279"/>
        <v>0.83614457831325306</v>
      </c>
      <c r="AU369" s="44">
        <f t="shared" si="280"/>
        <v>0.94748858447488582</v>
      </c>
      <c r="AV369" s="16">
        <v>30</v>
      </c>
      <c r="AW369" s="16">
        <v>3</v>
      </c>
      <c r="AX369" s="16">
        <v>876</v>
      </c>
      <c r="AY369" s="16">
        <f t="shared" si="281"/>
        <v>46</v>
      </c>
      <c r="AZ369" s="16">
        <v>830</v>
      </c>
      <c r="BA369" s="16">
        <v>694</v>
      </c>
      <c r="BB369" s="16">
        <f t="shared" si="282"/>
        <v>136</v>
      </c>
      <c r="BC369" s="18" t="s">
        <v>128</v>
      </c>
    </row>
    <row r="370" spans="1:55" s="18" customFormat="1" ht="15" customHeight="1">
      <c r="A370" s="122">
        <v>2023</v>
      </c>
      <c r="B370" s="123" t="s">
        <v>40</v>
      </c>
      <c r="C370" s="15">
        <f t="shared" si="262"/>
        <v>0.63937155342836338</v>
      </c>
      <c r="D370" s="15">
        <f t="shared" si="263"/>
        <v>0.70405591200733275</v>
      </c>
      <c r="E370" s="15">
        <f t="shared" si="264"/>
        <v>0.90812610550410988</v>
      </c>
      <c r="F370" s="26">
        <f>+Tabla2[[#This Row],[Trenes Programados por Día Hábil]]+Tabla9[[#This Row],[Trenes Programados por Día Hábil]]+Tabla10[[#This Row],[Trenes Programados por Día Hábil]]</f>
        <v>337</v>
      </c>
      <c r="G370" s="34">
        <f>+(Tabla2[[#This Row],[Coches por Tren Día Hábil]]*Tabla2[[#This Row],[Trenes Corridos]]+Tabla9[[#This Row],[Coches por Tren Día Hábil]]*Tabla9[[#This Row],[Trenes Corridos]]+Tabla10[[#This Row],[Coches por Tren Día Hábil]]*Tabla10[[#This Row],[Trenes Corridos]])/SARM[[#This Row],[Trenes Corridos]]</f>
        <v>7.6491750687442712</v>
      </c>
      <c r="H370" s="16">
        <f t="shared" si="283"/>
        <v>9611</v>
      </c>
      <c r="I370" s="16">
        <f t="shared" si="265"/>
        <v>883</v>
      </c>
      <c r="J370" s="16">
        <f t="shared" si="284"/>
        <v>8728</v>
      </c>
      <c r="K370" s="16">
        <f t="shared" si="284"/>
        <v>6145</v>
      </c>
      <c r="L370" s="16">
        <f t="shared" si="267"/>
        <v>2583</v>
      </c>
      <c r="M370" s="16"/>
      <c r="O370" s="122">
        <v>2023</v>
      </c>
      <c r="P370" s="123" t="s">
        <v>40</v>
      </c>
      <c r="Q370" s="44">
        <f t="shared" si="268"/>
        <v>0.62353732347007396</v>
      </c>
      <c r="R370" s="44">
        <f t="shared" si="269"/>
        <v>0.68549460298684017</v>
      </c>
      <c r="S370" s="44">
        <f t="shared" si="270"/>
        <v>0.90961667787491596</v>
      </c>
      <c r="T370" s="16">
        <v>271</v>
      </c>
      <c r="U370" s="16">
        <v>9</v>
      </c>
      <c r="V370" s="16">
        <v>7435</v>
      </c>
      <c r="W370" s="16">
        <f t="shared" si="271"/>
        <v>672</v>
      </c>
      <c r="X370" s="16">
        <v>6763</v>
      </c>
      <c r="Y370" s="16">
        <v>4636</v>
      </c>
      <c r="Z370" s="16">
        <f t="shared" si="272"/>
        <v>2127</v>
      </c>
      <c r="AA370" s="16"/>
      <c r="AC370" s="122">
        <v>2023</v>
      </c>
      <c r="AD370" s="123" t="s">
        <v>40</v>
      </c>
      <c r="AE370" s="44">
        <f t="shared" si="273"/>
        <v>0.62637362637362637</v>
      </c>
      <c r="AF370" s="44">
        <f t="shared" si="274"/>
        <v>0.69270833333333337</v>
      </c>
      <c r="AG370" s="44">
        <f t="shared" si="275"/>
        <v>0.90423861852433285</v>
      </c>
      <c r="AH370" s="16">
        <v>36</v>
      </c>
      <c r="AI370" s="16">
        <v>3</v>
      </c>
      <c r="AJ370" s="16">
        <v>1274</v>
      </c>
      <c r="AK370" s="16">
        <f t="shared" si="276"/>
        <v>122</v>
      </c>
      <c r="AL370" s="16">
        <v>1152</v>
      </c>
      <c r="AM370" s="16">
        <v>798</v>
      </c>
      <c r="AN370" s="16">
        <f t="shared" si="277"/>
        <v>354</v>
      </c>
      <c r="AO370" s="16"/>
      <c r="AQ370" s="122">
        <v>2023</v>
      </c>
      <c r="AR370" s="123" t="s">
        <v>40</v>
      </c>
      <c r="AS370" s="44">
        <f t="shared" si="278"/>
        <v>0.7882483370288248</v>
      </c>
      <c r="AT370" s="44">
        <f t="shared" si="279"/>
        <v>0.87453874538745391</v>
      </c>
      <c r="AU370" s="44">
        <f t="shared" si="280"/>
        <v>0.90133037694013307</v>
      </c>
      <c r="AV370" s="16">
        <v>30</v>
      </c>
      <c r="AW370" s="16">
        <v>3</v>
      </c>
      <c r="AX370" s="16">
        <v>902</v>
      </c>
      <c r="AY370" s="16">
        <f t="shared" si="281"/>
        <v>89</v>
      </c>
      <c r="AZ370" s="16">
        <v>813</v>
      </c>
      <c r="BA370" s="16">
        <v>711</v>
      </c>
      <c r="BB370" s="16">
        <f t="shared" si="282"/>
        <v>102</v>
      </c>
      <c r="BC370" s="18" t="s">
        <v>128</v>
      </c>
    </row>
    <row r="371" spans="1:55" s="18" customFormat="1" ht="15" customHeight="1">
      <c r="A371" s="107">
        <v>2023</v>
      </c>
      <c r="B371" s="108" t="s">
        <v>41</v>
      </c>
      <c r="C371" s="15">
        <f t="shared" ref="C371" si="285">K371/H371</f>
        <v>0.64362272240085749</v>
      </c>
      <c r="D371" s="15">
        <f t="shared" ref="D371" si="286">K371/J371</f>
        <v>0.70688640376692169</v>
      </c>
      <c r="E371" s="15">
        <f t="shared" ref="E371" si="287">J371/H371</f>
        <v>0.91050375133976424</v>
      </c>
      <c r="F371" s="26">
        <f>+Tabla2[[#This Row],[Trenes Programados por Día Hábil]]+Tabla9[[#This Row],[Trenes Programados por Día Hábil]]+Tabla10[[#This Row],[Trenes Programados por Día Hábil]]</f>
        <v>337</v>
      </c>
      <c r="G371" s="34">
        <f>+(Tabla2[[#This Row],[Coches por Tren Día Hábil]]*Tabla2[[#This Row],[Trenes Corridos]]+Tabla9[[#This Row],[Coches por Tren Día Hábil]]*Tabla9[[#This Row],[Trenes Corridos]]+Tabla10[[#This Row],[Coches por Tren Día Hábil]]*Tabla10[[#This Row],[Trenes Corridos]])/SARM[[#This Row],[Trenes Corridos]]</f>
        <v>7.6347263095938791</v>
      </c>
      <c r="H371" s="16">
        <f t="shared" si="283"/>
        <v>9330</v>
      </c>
      <c r="I371" s="16">
        <f t="shared" si="265"/>
        <v>835</v>
      </c>
      <c r="J371" s="16">
        <f t="shared" si="284"/>
        <v>8495</v>
      </c>
      <c r="K371" s="16">
        <f t="shared" si="284"/>
        <v>6005</v>
      </c>
      <c r="L371" s="16">
        <f t="shared" si="267"/>
        <v>2490</v>
      </c>
      <c r="M371" s="16"/>
      <c r="O371" s="107">
        <v>2023</v>
      </c>
      <c r="P371" s="108" t="s">
        <v>41</v>
      </c>
      <c r="Q371" s="44">
        <f t="shared" si="268"/>
        <v>0.61223360088569057</v>
      </c>
      <c r="R371" s="44">
        <f t="shared" si="269"/>
        <v>0.67418469978665041</v>
      </c>
      <c r="S371" s="44">
        <f t="shared" si="270"/>
        <v>0.90810960420703013</v>
      </c>
      <c r="T371" s="16">
        <v>271</v>
      </c>
      <c r="U371" s="16">
        <v>9</v>
      </c>
      <c r="V371" s="16">
        <v>7226</v>
      </c>
      <c r="W371" s="16">
        <f t="shared" si="271"/>
        <v>664</v>
      </c>
      <c r="X371" s="16">
        <v>6562</v>
      </c>
      <c r="Y371" s="16">
        <v>4424</v>
      </c>
      <c r="Z371" s="16">
        <f t="shared" si="272"/>
        <v>2138</v>
      </c>
      <c r="AA371" s="16"/>
      <c r="AC371" s="107">
        <v>2023</v>
      </c>
      <c r="AD371" s="108" t="s">
        <v>41</v>
      </c>
      <c r="AE371" s="44">
        <f t="shared" si="273"/>
        <v>0.69237012987012991</v>
      </c>
      <c r="AF371" s="44">
        <f t="shared" si="274"/>
        <v>0.76228775692582662</v>
      </c>
      <c r="AG371" s="44">
        <f t="shared" si="275"/>
        <v>0.90827922077922074</v>
      </c>
      <c r="AH371" s="16">
        <v>36</v>
      </c>
      <c r="AI371" s="16">
        <v>3</v>
      </c>
      <c r="AJ371" s="16">
        <v>1232</v>
      </c>
      <c r="AK371" s="16">
        <f t="shared" si="276"/>
        <v>113</v>
      </c>
      <c r="AL371" s="16">
        <v>1119</v>
      </c>
      <c r="AM371" s="16">
        <v>853</v>
      </c>
      <c r="AN371" s="16">
        <f t="shared" si="277"/>
        <v>266</v>
      </c>
      <c r="AO371" s="16"/>
      <c r="AQ371" s="107">
        <v>2023</v>
      </c>
      <c r="AR371" s="108" t="s">
        <v>41</v>
      </c>
      <c r="AS371" s="44">
        <f t="shared" si="278"/>
        <v>0.83486238532110091</v>
      </c>
      <c r="AT371" s="44">
        <f t="shared" si="279"/>
        <v>0.89434889434889431</v>
      </c>
      <c r="AU371" s="44">
        <f t="shared" si="280"/>
        <v>0.9334862385321101</v>
      </c>
      <c r="AV371" s="16">
        <v>30</v>
      </c>
      <c r="AW371" s="16">
        <v>3</v>
      </c>
      <c r="AX371" s="16">
        <v>872</v>
      </c>
      <c r="AY371" s="16">
        <f t="shared" si="281"/>
        <v>58</v>
      </c>
      <c r="AZ371" s="16">
        <v>814</v>
      </c>
      <c r="BA371" s="16">
        <v>728</v>
      </c>
      <c r="BB371" s="16">
        <f t="shared" si="282"/>
        <v>86</v>
      </c>
      <c r="BC371" s="18" t="s">
        <v>128</v>
      </c>
    </row>
    <row r="372" spans="1:55" s="18" customFormat="1" ht="15" customHeight="1">
      <c r="A372" s="136">
        <v>2023</v>
      </c>
      <c r="B372" s="137" t="s">
        <v>42</v>
      </c>
      <c r="C372" s="15">
        <f t="shared" ref="C372" si="288">K372/H372</f>
        <v>0.61976883220406531</v>
      </c>
      <c r="D372" s="15">
        <f t="shared" ref="D372" si="289">K372/J372</f>
        <v>0.71791320406278858</v>
      </c>
      <c r="E372" s="15">
        <f t="shared" ref="E372" si="290">J372/H372</f>
        <v>0.86329214826624157</v>
      </c>
      <c r="F372" s="26">
        <f>+Tabla2[[#This Row],[Trenes Programados por Día Hábil]]+Tabla9[[#This Row],[Trenes Programados por Día Hábil]]+Tabla10[[#This Row],[Trenes Programados por Día Hábil]]</f>
        <v>327</v>
      </c>
      <c r="G372" s="34">
        <f>+(Tabla2[[#This Row],[Coches por Tren Día Hábil]]*Tabla2[[#This Row],[Trenes Corridos]]+Tabla9[[#This Row],[Coches por Tren Día Hábil]]*Tabla9[[#This Row],[Trenes Corridos]]+Tabla10[[#This Row],[Coches por Tren Día Hábil]]*Tabla10[[#This Row],[Trenes Corridos]])/SARM[[#This Row],[Trenes Corridos]]</f>
        <v>7.5131578947368425</v>
      </c>
      <c r="H372" s="16">
        <f t="shared" si="283"/>
        <v>10036</v>
      </c>
      <c r="I372" s="16">
        <f t="shared" ref="I372:I377" si="291">H372-J372</f>
        <v>1372</v>
      </c>
      <c r="J372" s="16">
        <f t="shared" ref="J372:K374" si="292">+X372+AL372+AZ372</f>
        <v>8664</v>
      </c>
      <c r="K372" s="16">
        <f t="shared" si="292"/>
        <v>6220</v>
      </c>
      <c r="L372" s="16">
        <f t="shared" ref="L372:L377" si="293">J372-K372</f>
        <v>2444</v>
      </c>
      <c r="M372" s="16"/>
      <c r="O372" s="136">
        <v>2023</v>
      </c>
      <c r="P372" s="137" t="s">
        <v>42</v>
      </c>
      <c r="Q372" s="44">
        <f t="shared" ref="Q372:Q377" si="294">Y372/V372</f>
        <v>0.59720758693361431</v>
      </c>
      <c r="R372" s="44">
        <f t="shared" ref="R372:R377" si="295">Y372/X372</f>
        <v>0.69571888905938317</v>
      </c>
      <c r="S372" s="44">
        <f t="shared" ref="S372:S377" si="296">X372/V372</f>
        <v>0.85840358271865125</v>
      </c>
      <c r="T372" s="16">
        <v>271</v>
      </c>
      <c r="U372" s="16">
        <v>9</v>
      </c>
      <c r="V372" s="16">
        <v>7592</v>
      </c>
      <c r="W372" s="16">
        <f t="shared" ref="W372:W386" si="297">V372-X372</f>
        <v>1075</v>
      </c>
      <c r="X372" s="16">
        <v>6517</v>
      </c>
      <c r="Y372" s="16">
        <v>4534</v>
      </c>
      <c r="Z372" s="16">
        <f t="shared" ref="Z372:Z377" si="298">X372-Y372</f>
        <v>1983</v>
      </c>
      <c r="AA372" s="16"/>
      <c r="AC372" s="136">
        <v>2023</v>
      </c>
      <c r="AD372" s="137" t="s">
        <v>42</v>
      </c>
      <c r="AE372" s="44">
        <f t="shared" ref="AE372:AE377" si="299">AM372/AJ372</f>
        <v>0.63572542901716067</v>
      </c>
      <c r="AF372" s="44">
        <f t="shared" ref="AF372:AF377" si="300">AM372/AL372</f>
        <v>0.72963294538943602</v>
      </c>
      <c r="AG372" s="44">
        <f t="shared" ref="AG372:AG377" si="301">AL372/AJ372</f>
        <v>0.87129485179407173</v>
      </c>
      <c r="AH372" s="16">
        <v>36</v>
      </c>
      <c r="AI372" s="16">
        <v>3</v>
      </c>
      <c r="AJ372" s="16">
        <v>1282</v>
      </c>
      <c r="AK372" s="16">
        <f t="shared" ref="AK372:AK386" si="302">AJ372-AL372</f>
        <v>165</v>
      </c>
      <c r="AL372" s="16">
        <v>1117</v>
      </c>
      <c r="AM372" s="16">
        <v>815</v>
      </c>
      <c r="AN372" s="16">
        <f t="shared" ref="AN372:AN377" si="303">AL372-AM372</f>
        <v>302</v>
      </c>
      <c r="AO372" s="16"/>
      <c r="AQ372" s="136">
        <v>2023</v>
      </c>
      <c r="AR372" s="137" t="s">
        <v>42</v>
      </c>
      <c r="AS372" s="44">
        <f t="shared" si="278"/>
        <v>0.74956970740103268</v>
      </c>
      <c r="AT372" s="44">
        <f t="shared" si="279"/>
        <v>0.84563106796116505</v>
      </c>
      <c r="AU372" s="44">
        <f t="shared" si="280"/>
        <v>0.88640275387263334</v>
      </c>
      <c r="AV372" s="16">
        <v>20</v>
      </c>
      <c r="AW372" s="16">
        <v>3</v>
      </c>
      <c r="AX372" s="16">
        <v>1162</v>
      </c>
      <c r="AY372" s="16">
        <f t="shared" si="281"/>
        <v>132</v>
      </c>
      <c r="AZ372" s="16">
        <v>1030</v>
      </c>
      <c r="BA372" s="16">
        <v>871</v>
      </c>
      <c r="BB372" s="16">
        <f t="shared" si="282"/>
        <v>159</v>
      </c>
      <c r="BC372" s="18" t="s">
        <v>150</v>
      </c>
    </row>
    <row r="373" spans="1:55" s="18" customFormat="1" ht="15" customHeight="1">
      <c r="A373" s="157">
        <v>2023</v>
      </c>
      <c r="B373" s="158" t="s">
        <v>43</v>
      </c>
      <c r="C373" s="15">
        <f t="shared" ref="C373" si="304">K373/H373</f>
        <v>0.69553650605971029</v>
      </c>
      <c r="D373" s="15">
        <f t="shared" ref="D373" si="305">K373/J373</f>
        <v>0.74864778873687554</v>
      </c>
      <c r="E373" s="15">
        <f t="shared" ref="E373" si="306">J373/H373</f>
        <v>0.92905704995566063</v>
      </c>
      <c r="F373" s="26">
        <f>+Tabla2[[#This Row],[Trenes Programados por Día Hábil]]+Tabla9[[#This Row],[Trenes Programados por Día Hábil]]+Tabla10[[#This Row],[Trenes Programados por Día Hábil]]</f>
        <v>327</v>
      </c>
      <c r="G373" s="34">
        <f>+(Tabla2[[#This Row],[Coches por Tren Día Hábil]]*Tabla2[[#This Row],[Trenes Corridos]]+Tabla9[[#This Row],[Coches por Tren Día Hábil]]*Tabla9[[#This Row],[Trenes Corridos]]+Tabla10[[#This Row],[Coches por Tren Día Hábil]]*Tabla10[[#This Row],[Trenes Corridos]])/SARM[[#This Row],[Trenes Corridos]]</f>
        <v>7.5612472160356345</v>
      </c>
      <c r="H373" s="16">
        <f t="shared" si="283"/>
        <v>10149</v>
      </c>
      <c r="I373" s="16">
        <f t="shared" si="291"/>
        <v>720</v>
      </c>
      <c r="J373" s="16">
        <f t="shared" si="292"/>
        <v>9429</v>
      </c>
      <c r="K373" s="16">
        <f t="shared" si="292"/>
        <v>7059</v>
      </c>
      <c r="L373" s="16">
        <f t="shared" si="293"/>
        <v>2370</v>
      </c>
      <c r="M373" s="156"/>
      <c r="O373" s="157">
        <v>2023</v>
      </c>
      <c r="P373" s="158" t="s">
        <v>43</v>
      </c>
      <c r="Q373" s="153">
        <f t="shared" si="294"/>
        <v>0.67852952678920608</v>
      </c>
      <c r="R373" s="153">
        <f t="shared" si="295"/>
        <v>0.7261439732142857</v>
      </c>
      <c r="S373" s="153">
        <f t="shared" si="296"/>
        <v>0.93442836657541395</v>
      </c>
      <c r="T373" s="156">
        <v>271</v>
      </c>
      <c r="U373" s="156">
        <v>9</v>
      </c>
      <c r="V373" s="156">
        <v>7671</v>
      </c>
      <c r="W373" s="16">
        <f t="shared" si="297"/>
        <v>503</v>
      </c>
      <c r="X373" s="156">
        <v>7168</v>
      </c>
      <c r="Y373" s="156">
        <v>5205</v>
      </c>
      <c r="Z373" s="156">
        <f t="shared" si="298"/>
        <v>1963</v>
      </c>
      <c r="AA373" s="156"/>
      <c r="AC373" s="157">
        <v>2023</v>
      </c>
      <c r="AD373" s="158" t="s">
        <v>43</v>
      </c>
      <c r="AE373" s="153">
        <f t="shared" si="299"/>
        <v>0.74258970358814358</v>
      </c>
      <c r="AF373" s="153">
        <f t="shared" si="300"/>
        <v>0.80269814502529513</v>
      </c>
      <c r="AG373" s="153">
        <f t="shared" si="301"/>
        <v>0.9251170046801872</v>
      </c>
      <c r="AH373" s="156">
        <v>36</v>
      </c>
      <c r="AI373" s="156">
        <v>3</v>
      </c>
      <c r="AJ373" s="156">
        <v>1282</v>
      </c>
      <c r="AK373" s="16">
        <f t="shared" si="302"/>
        <v>96</v>
      </c>
      <c r="AL373" s="156">
        <v>1186</v>
      </c>
      <c r="AM373" s="156">
        <v>952</v>
      </c>
      <c r="AN373" s="156">
        <f t="shared" si="303"/>
        <v>234</v>
      </c>
      <c r="AO373" s="156"/>
      <c r="AQ373" s="157">
        <v>2023</v>
      </c>
      <c r="AR373" s="158" t="s">
        <v>43</v>
      </c>
      <c r="AS373" s="153">
        <f t="shared" ref="AS373:AS378" si="307">BA373/AX373</f>
        <v>0.75418060200668902</v>
      </c>
      <c r="AT373" s="153">
        <f t="shared" ref="AT373:AT378" si="308">BA373/AZ373</f>
        <v>0.83906976744186046</v>
      </c>
      <c r="AU373" s="153">
        <f t="shared" ref="AU373:AU378" si="309">AZ373/AX373</f>
        <v>0.8988294314381271</v>
      </c>
      <c r="AV373" s="156">
        <v>20</v>
      </c>
      <c r="AW373" s="156">
        <v>3</v>
      </c>
      <c r="AX373" s="156">
        <v>1196</v>
      </c>
      <c r="AY373" s="16">
        <f t="shared" si="281"/>
        <v>121</v>
      </c>
      <c r="AZ373" s="156">
        <v>1075</v>
      </c>
      <c r="BA373" s="156">
        <v>902</v>
      </c>
      <c r="BB373" s="156">
        <f t="shared" ref="BB373:BB378" si="310">AZ373-BA373</f>
        <v>173</v>
      </c>
      <c r="BC373" s="151"/>
    </row>
    <row r="374" spans="1:55" s="18" customFormat="1" ht="15" customHeight="1">
      <c r="A374" s="173">
        <v>2023</v>
      </c>
      <c r="B374" s="174" t="s">
        <v>44</v>
      </c>
      <c r="C374" s="15">
        <f t="shared" ref="C374" si="311">K374/H374</f>
        <v>0.68805287239450941</v>
      </c>
      <c r="D374" s="15">
        <f t="shared" ref="D374" si="312">K374/J374</f>
        <v>0.73722627737226276</v>
      </c>
      <c r="E374" s="15">
        <f t="shared" ref="E374" si="313">J374/H374</f>
        <v>0.9332994407727504</v>
      </c>
      <c r="F374" s="26">
        <f>+Tabla2[[#This Row],[Trenes Programados por Día Hábil]]+Tabla9[[#This Row],[Trenes Programados por Día Hábil]]+Tabla10[[#This Row],[Trenes Programados por Día Hábil]]</f>
        <v>327</v>
      </c>
      <c r="G374" s="34">
        <f>+(Tabla2[[#This Row],[Coches por Tren Día Hábil]]*Tabla2[[#This Row],[Trenes Corridos]]+Tabla9[[#This Row],[Coches por Tren Día Hábil]]*Tabla9[[#This Row],[Trenes Corridos]]+Tabla10[[#This Row],[Coches por Tren Día Hábil]]*Tabla10[[#This Row],[Trenes Corridos]])/SARM[[#This Row],[Trenes Corridos]]</f>
        <v>7.5240222246432076</v>
      </c>
      <c r="H374" s="16">
        <f t="shared" si="283"/>
        <v>9835</v>
      </c>
      <c r="I374" s="16">
        <f t="shared" si="291"/>
        <v>656</v>
      </c>
      <c r="J374" s="16">
        <f t="shared" si="292"/>
        <v>9179</v>
      </c>
      <c r="K374" s="16">
        <f t="shared" si="292"/>
        <v>6767</v>
      </c>
      <c r="L374" s="16">
        <f t="shared" si="293"/>
        <v>2412</v>
      </c>
      <c r="M374" s="168"/>
      <c r="O374" s="173">
        <v>2023</v>
      </c>
      <c r="P374" s="174" t="s">
        <v>44</v>
      </c>
      <c r="Q374" s="169">
        <f t="shared" si="294"/>
        <v>0.66401724370200732</v>
      </c>
      <c r="R374" s="169">
        <f t="shared" si="295"/>
        <v>0.7121803207628955</v>
      </c>
      <c r="S374" s="169">
        <f t="shared" si="296"/>
        <v>0.93237235619021963</v>
      </c>
      <c r="T374" s="168">
        <v>271</v>
      </c>
      <c r="U374" s="168">
        <v>9</v>
      </c>
      <c r="V374" s="168">
        <v>7423</v>
      </c>
      <c r="W374" s="16">
        <f t="shared" si="297"/>
        <v>502</v>
      </c>
      <c r="X374" s="168">
        <v>6921</v>
      </c>
      <c r="Y374" s="168">
        <v>4929</v>
      </c>
      <c r="Z374" s="168">
        <f t="shared" si="298"/>
        <v>1992</v>
      </c>
      <c r="AA374" s="168"/>
      <c r="AC374" s="173">
        <v>2023</v>
      </c>
      <c r="AD374" s="174" t="s">
        <v>44</v>
      </c>
      <c r="AE374" s="169">
        <f t="shared" si="299"/>
        <v>0.71141479099678462</v>
      </c>
      <c r="AF374" s="169">
        <f t="shared" si="300"/>
        <v>0.76030927835051543</v>
      </c>
      <c r="AG374" s="169">
        <f t="shared" si="301"/>
        <v>0.93569131832797425</v>
      </c>
      <c r="AH374" s="168">
        <v>36</v>
      </c>
      <c r="AI374" s="168">
        <v>3</v>
      </c>
      <c r="AJ374" s="168">
        <v>1244</v>
      </c>
      <c r="AK374" s="16">
        <f t="shared" si="302"/>
        <v>80</v>
      </c>
      <c r="AL374" s="168">
        <v>1164</v>
      </c>
      <c r="AM374" s="168">
        <v>885</v>
      </c>
      <c r="AN374" s="168">
        <f t="shared" si="303"/>
        <v>279</v>
      </c>
      <c r="AO374" s="168"/>
      <c r="AQ374" s="173">
        <v>2023</v>
      </c>
      <c r="AR374" s="174" t="s">
        <v>44</v>
      </c>
      <c r="AS374" s="169">
        <f t="shared" si="307"/>
        <v>0.81592465753424659</v>
      </c>
      <c r="AT374" s="169">
        <f t="shared" si="308"/>
        <v>0.87111517367458868</v>
      </c>
      <c r="AU374" s="169">
        <f t="shared" si="309"/>
        <v>0.93664383561643838</v>
      </c>
      <c r="AV374" s="168">
        <v>20</v>
      </c>
      <c r="AW374" s="168">
        <v>3</v>
      </c>
      <c r="AX374" s="168">
        <v>1168</v>
      </c>
      <c r="AY374" s="16">
        <f t="shared" si="281"/>
        <v>74</v>
      </c>
      <c r="AZ374" s="168">
        <v>1094</v>
      </c>
      <c r="BA374" s="168">
        <v>953</v>
      </c>
      <c r="BB374" s="168">
        <f t="shared" si="310"/>
        <v>141</v>
      </c>
      <c r="BC374" s="167"/>
    </row>
    <row r="375" spans="1:55" s="18" customFormat="1" ht="15" customHeight="1">
      <c r="A375" s="157">
        <v>2023</v>
      </c>
      <c r="B375" s="158" t="s">
        <v>45</v>
      </c>
      <c r="C375" s="15">
        <f t="shared" ref="C375" si="314">K375/H375</f>
        <v>0.73776471780322217</v>
      </c>
      <c r="D375" s="15">
        <f t="shared" ref="D375" si="315">K375/J375</f>
        <v>0.79756818928688789</v>
      </c>
      <c r="E375" s="15">
        <f t="shared" ref="E375" si="316">J375/H375</f>
        <v>0.92501773229303885</v>
      </c>
      <c r="F375" s="26">
        <f>+Tabla2[[#This Row],[Trenes Programados por Día Hábil]]+Tabla9[[#This Row],[Trenes Programados por Día Hábil]]+Tabla10[[#This Row],[Trenes Programados por Día Hábil]]</f>
        <v>327</v>
      </c>
      <c r="G375" s="34">
        <f>+(Tabla2[[#This Row],[Coches por Tren Día Hábil]]*Tabla2[[#This Row],[Trenes Corridos]]+Tabla9[[#This Row],[Coches por Tren Día Hábil]]*Tabla9[[#This Row],[Trenes Corridos]]+Tabla10[[#This Row],[Coches por Tren Día Hábil]]*Tabla10[[#This Row],[Trenes Corridos]])/SARM[[#This Row],[Trenes Corridos]]</f>
        <v>7.5290831416365425</v>
      </c>
      <c r="H375" s="16">
        <f t="shared" ref="H375" si="317">+V375+AJ375+AX375</f>
        <v>9869</v>
      </c>
      <c r="I375" s="16">
        <f t="shared" si="291"/>
        <v>740</v>
      </c>
      <c r="J375" s="16">
        <f t="shared" ref="J375" si="318">+X375+AL375+AZ375</f>
        <v>9129</v>
      </c>
      <c r="K375" s="16">
        <f t="shared" ref="K375" si="319">+Y375+AM375+BA375</f>
        <v>7281</v>
      </c>
      <c r="L375" s="16">
        <f t="shared" si="293"/>
        <v>1848</v>
      </c>
      <c r="M375" s="168"/>
      <c r="O375" s="157">
        <v>2023</v>
      </c>
      <c r="P375" s="158" t="s">
        <v>45</v>
      </c>
      <c r="Q375" s="169">
        <f t="shared" si="294"/>
        <v>0.72938802958977811</v>
      </c>
      <c r="R375" s="169">
        <f t="shared" si="295"/>
        <v>0.78696850965026843</v>
      </c>
      <c r="S375" s="169">
        <f t="shared" si="296"/>
        <v>0.92683254875588428</v>
      </c>
      <c r="T375" s="168">
        <v>271</v>
      </c>
      <c r="U375" s="168">
        <v>9</v>
      </c>
      <c r="V375" s="168">
        <v>7435</v>
      </c>
      <c r="W375" s="16">
        <f t="shared" si="297"/>
        <v>544</v>
      </c>
      <c r="X375" s="168">
        <v>6891</v>
      </c>
      <c r="Y375" s="168">
        <v>5423</v>
      </c>
      <c r="Z375" s="168">
        <f t="shared" si="298"/>
        <v>1468</v>
      </c>
      <c r="AA375" s="168"/>
      <c r="AC375" s="157">
        <v>2023</v>
      </c>
      <c r="AD375" s="158" t="s">
        <v>45</v>
      </c>
      <c r="AE375" s="169">
        <f t="shared" si="299"/>
        <v>0.72998430141287285</v>
      </c>
      <c r="AF375" s="169">
        <f t="shared" si="300"/>
        <v>0.79148936170212769</v>
      </c>
      <c r="AG375" s="169">
        <f t="shared" si="301"/>
        <v>0.92229199372056514</v>
      </c>
      <c r="AH375" s="168">
        <v>36</v>
      </c>
      <c r="AI375" s="168">
        <v>3</v>
      </c>
      <c r="AJ375" s="168">
        <v>1274</v>
      </c>
      <c r="AK375" s="16">
        <f t="shared" si="302"/>
        <v>99</v>
      </c>
      <c r="AL375" s="168">
        <v>1175</v>
      </c>
      <c r="AM375" s="168">
        <v>930</v>
      </c>
      <c r="AN375" s="168">
        <f t="shared" si="303"/>
        <v>245</v>
      </c>
      <c r="AO375" s="168"/>
      <c r="AQ375" s="157">
        <v>2023</v>
      </c>
      <c r="AR375" s="158" t="s">
        <v>45</v>
      </c>
      <c r="AS375" s="169">
        <f t="shared" si="307"/>
        <v>0.8</v>
      </c>
      <c r="AT375" s="169">
        <f t="shared" si="308"/>
        <v>0.87300094073377232</v>
      </c>
      <c r="AU375" s="169">
        <f t="shared" si="309"/>
        <v>0.91637931034482756</v>
      </c>
      <c r="AV375" s="168">
        <v>20</v>
      </c>
      <c r="AW375" s="168">
        <v>3</v>
      </c>
      <c r="AX375" s="168">
        <v>1160</v>
      </c>
      <c r="AY375" s="16">
        <f t="shared" si="281"/>
        <v>97</v>
      </c>
      <c r="AZ375" s="168">
        <v>1063</v>
      </c>
      <c r="BA375" s="168">
        <v>928</v>
      </c>
      <c r="BB375" s="168">
        <f t="shared" si="310"/>
        <v>135</v>
      </c>
      <c r="BC375" s="167"/>
    </row>
    <row r="376" spans="1:55" s="18" customFormat="1" ht="15" customHeight="1">
      <c r="A376" s="199">
        <v>2023</v>
      </c>
      <c r="B376" s="200" t="s">
        <v>46</v>
      </c>
      <c r="C376" s="15">
        <f t="shared" ref="C376" si="320">K376/H376</f>
        <v>0.75495403472931566</v>
      </c>
      <c r="D376" s="15">
        <f t="shared" ref="D376" si="321">K376/J376</f>
        <v>0.81641444824919918</v>
      </c>
      <c r="E376" s="15">
        <f t="shared" ref="E376" si="322">J376/H376</f>
        <v>0.92471910112359545</v>
      </c>
      <c r="F376" s="26">
        <f>+Tabla2[[#This Row],[Trenes Programados por Día Hábil]]+Tabla9[[#This Row],[Trenes Programados por Día Hábil]]+Tabla10[[#This Row],[Trenes Programados por Día Hábil]]</f>
        <v>327</v>
      </c>
      <c r="G376" s="34">
        <f>+(Tabla2[[#This Row],[Coches por Tren Día Hábil]]*Tabla2[[#This Row],[Trenes Corridos]]+Tabla9[[#This Row],[Coches por Tren Día Hábil]]*Tabla9[[#This Row],[Trenes Corridos]]+Tabla10[[#This Row],[Coches por Tren Día Hábil]]*Tabla10[[#This Row],[Trenes Corridos]])/SARM[[#This Row],[Trenes Corridos]]</f>
        <v>7.5664420634043967</v>
      </c>
      <c r="H376" s="16">
        <f t="shared" ref="H376" si="323">+V376+AJ376+AX376</f>
        <v>9790</v>
      </c>
      <c r="I376" s="16">
        <f t="shared" si="291"/>
        <v>737</v>
      </c>
      <c r="J376" s="16">
        <f t="shared" ref="J376" si="324">+X376+AL376+AZ376</f>
        <v>9053</v>
      </c>
      <c r="K376" s="16">
        <f t="shared" ref="K376" si="325">+Y376+AM376+BA376</f>
        <v>7391</v>
      </c>
      <c r="L376" s="16">
        <f t="shared" si="293"/>
        <v>1662</v>
      </c>
      <c r="M376" s="16"/>
      <c r="O376" s="199">
        <v>2023</v>
      </c>
      <c r="P376" s="200" t="s">
        <v>46</v>
      </c>
      <c r="Q376" s="15">
        <f t="shared" si="294"/>
        <v>0.76176311519740403</v>
      </c>
      <c r="R376" s="15">
        <f t="shared" si="295"/>
        <v>0.81770682148040641</v>
      </c>
      <c r="S376" s="15">
        <f t="shared" si="296"/>
        <v>0.93158464034613309</v>
      </c>
      <c r="T376" s="16">
        <v>271</v>
      </c>
      <c r="U376" s="16">
        <v>9</v>
      </c>
      <c r="V376" s="16">
        <v>7396</v>
      </c>
      <c r="W376" s="16">
        <f t="shared" si="297"/>
        <v>506</v>
      </c>
      <c r="X376" s="16">
        <v>6890</v>
      </c>
      <c r="Y376" s="16">
        <v>5634</v>
      </c>
      <c r="Z376" s="16">
        <f t="shared" si="298"/>
        <v>1256</v>
      </c>
      <c r="AA376" s="16"/>
      <c r="AC376" s="199">
        <v>2023</v>
      </c>
      <c r="AD376" s="200" t="s">
        <v>46</v>
      </c>
      <c r="AE376" s="15">
        <f t="shared" si="299"/>
        <v>0.69516129032258067</v>
      </c>
      <c r="AF376" s="15">
        <f t="shared" si="300"/>
        <v>0.74956521739130433</v>
      </c>
      <c r="AG376" s="15">
        <f t="shared" si="301"/>
        <v>0.92741935483870963</v>
      </c>
      <c r="AH376" s="16">
        <v>36</v>
      </c>
      <c r="AI376" s="16">
        <v>3</v>
      </c>
      <c r="AJ376" s="16">
        <v>1240</v>
      </c>
      <c r="AK376" s="16">
        <f t="shared" si="302"/>
        <v>90</v>
      </c>
      <c r="AL376" s="16">
        <v>1150</v>
      </c>
      <c r="AM376" s="16">
        <v>862</v>
      </c>
      <c r="AN376" s="16">
        <f t="shared" si="303"/>
        <v>288</v>
      </c>
      <c r="AO376" s="16"/>
      <c r="AQ376" s="199">
        <v>2023</v>
      </c>
      <c r="AR376" s="200" t="s">
        <v>46</v>
      </c>
      <c r="AS376" s="15">
        <f t="shared" si="307"/>
        <v>0.77556325823223571</v>
      </c>
      <c r="AT376" s="15">
        <f t="shared" si="308"/>
        <v>0.88351431391905233</v>
      </c>
      <c r="AU376" s="15">
        <f t="shared" si="309"/>
        <v>0.87781629116117854</v>
      </c>
      <c r="AV376" s="16">
        <v>20</v>
      </c>
      <c r="AW376" s="16">
        <v>3</v>
      </c>
      <c r="AX376" s="16">
        <v>1154</v>
      </c>
      <c r="AY376" s="16">
        <f t="shared" si="281"/>
        <v>141</v>
      </c>
      <c r="AZ376" s="16">
        <v>1013</v>
      </c>
      <c r="BA376" s="16">
        <v>895</v>
      </c>
      <c r="BB376" s="16">
        <f t="shared" si="310"/>
        <v>118</v>
      </c>
    </row>
    <row r="377" spans="1:55" s="18" customFormat="1" ht="15" customHeight="1">
      <c r="A377" s="157">
        <v>2023</v>
      </c>
      <c r="B377" s="204" t="s">
        <v>47</v>
      </c>
      <c r="C377" s="15">
        <f t="shared" ref="C377" si="326">K377/H377</f>
        <v>0.69128341698248486</v>
      </c>
      <c r="D377" s="15">
        <f t="shared" ref="D377" si="327">K377/J377</f>
        <v>0.76087936865839911</v>
      </c>
      <c r="E377" s="15">
        <f t="shared" ref="E377" si="328">J377/H377</f>
        <v>0.90853221345897772</v>
      </c>
      <c r="F377" s="26">
        <f>+Tabla2[[#This Row],[Trenes Programados por Día Hábil]]+Tabla9[[#This Row],[Trenes Programados por Día Hábil]]+Tabla10[[#This Row],[Trenes Programados por Día Hábil]]</f>
        <v>327</v>
      </c>
      <c r="G377" s="34">
        <f>+(Tabla2[[#This Row],[Coches por Tren Día Hábil]]*Tabla2[[#This Row],[Trenes Corridos]]+Tabla9[[#This Row],[Coches por Tren Día Hábil]]*Tabla9[[#This Row],[Trenes Corridos]]+Tabla10[[#This Row],[Coches por Tren Día Hábil]]*Tabla10[[#This Row],[Trenes Corridos]])/SARM[[#This Row],[Trenes Corridos]]</f>
        <v>7.5226606538895151</v>
      </c>
      <c r="H377" s="16">
        <f t="shared" ref="H377:H382" si="329">+V377+AJ377+AX377</f>
        <v>9763</v>
      </c>
      <c r="I377" s="16">
        <f t="shared" si="291"/>
        <v>893</v>
      </c>
      <c r="J377" s="16">
        <f t="shared" ref="J377:K379" si="330">+X377+AL377+AZ377</f>
        <v>8870</v>
      </c>
      <c r="K377" s="16">
        <f t="shared" si="330"/>
        <v>6749</v>
      </c>
      <c r="L377" s="16">
        <f t="shared" si="293"/>
        <v>2121</v>
      </c>
      <c r="M377" s="16"/>
      <c r="O377" s="157">
        <v>2023</v>
      </c>
      <c r="P377" s="204" t="s">
        <v>47</v>
      </c>
      <c r="Q377" s="15">
        <f t="shared" si="294"/>
        <v>0.67982038372567699</v>
      </c>
      <c r="R377" s="15">
        <f t="shared" si="295"/>
        <v>0.74723302422973381</v>
      </c>
      <c r="S377" s="15">
        <f t="shared" si="296"/>
        <v>0.90978364403320178</v>
      </c>
      <c r="T377" s="16">
        <v>271</v>
      </c>
      <c r="U377" s="16">
        <v>9</v>
      </c>
      <c r="V377" s="16">
        <v>7349</v>
      </c>
      <c r="W377" s="16">
        <f t="shared" si="297"/>
        <v>663</v>
      </c>
      <c r="X377" s="16">
        <v>6686</v>
      </c>
      <c r="Y377" s="16">
        <v>4996</v>
      </c>
      <c r="Z377" s="16">
        <f t="shared" si="298"/>
        <v>1690</v>
      </c>
      <c r="AA377" s="16"/>
      <c r="AC377" s="157">
        <v>2023</v>
      </c>
      <c r="AD377" s="204" t="s">
        <v>47</v>
      </c>
      <c r="AE377" s="15">
        <f t="shared" si="299"/>
        <v>0.627373417721519</v>
      </c>
      <c r="AF377" s="15">
        <f t="shared" si="300"/>
        <v>0.70114942528735635</v>
      </c>
      <c r="AG377" s="15">
        <f t="shared" si="301"/>
        <v>0.89477848101265822</v>
      </c>
      <c r="AH377" s="16">
        <v>36</v>
      </c>
      <c r="AI377" s="16">
        <v>3</v>
      </c>
      <c r="AJ377" s="16">
        <v>1264</v>
      </c>
      <c r="AK377" s="16">
        <f t="shared" si="302"/>
        <v>133</v>
      </c>
      <c r="AL377" s="16">
        <v>1131</v>
      </c>
      <c r="AM377" s="16">
        <v>793</v>
      </c>
      <c r="AN377" s="16">
        <f t="shared" si="303"/>
        <v>338</v>
      </c>
      <c r="AO377" s="16"/>
      <c r="AQ377" s="157">
        <v>2023</v>
      </c>
      <c r="AR377" s="204" t="s">
        <v>47</v>
      </c>
      <c r="AS377" s="15">
        <f t="shared" si="307"/>
        <v>0.83478260869565213</v>
      </c>
      <c r="AT377" s="15">
        <f t="shared" si="308"/>
        <v>0.9116809116809117</v>
      </c>
      <c r="AU377" s="15">
        <f t="shared" si="309"/>
        <v>0.91565217391304343</v>
      </c>
      <c r="AV377" s="16">
        <v>20</v>
      </c>
      <c r="AW377" s="16">
        <v>3</v>
      </c>
      <c r="AX377" s="16">
        <v>1150</v>
      </c>
      <c r="AY377" s="16">
        <f t="shared" si="281"/>
        <v>97</v>
      </c>
      <c r="AZ377" s="16">
        <v>1053</v>
      </c>
      <c r="BA377" s="16">
        <v>960</v>
      </c>
      <c r="BB377" s="16">
        <f t="shared" si="310"/>
        <v>93</v>
      </c>
    </row>
    <row r="378" spans="1:55" s="18" customFormat="1" ht="15" customHeight="1">
      <c r="A378" s="157">
        <v>2024</v>
      </c>
      <c r="B378" s="204" t="s">
        <v>36</v>
      </c>
      <c r="C378" s="15">
        <f t="shared" ref="C378" si="331">K378/H378</f>
        <v>0.7365652398143373</v>
      </c>
      <c r="D378" s="15">
        <f t="shared" ref="D378" si="332">K378/J378</f>
        <v>0.81323311695706635</v>
      </c>
      <c r="E378" s="15">
        <f t="shared" ref="E378" si="333">J378/H378</f>
        <v>0.9057246003094378</v>
      </c>
      <c r="F378" s="26">
        <f>+Tabla2[[#This Row],[Trenes Programados por Día Hábil]]+Tabla9[[#This Row],[Trenes Programados por Día Hábil]]+Tabla10[[#This Row],[Trenes Programados por Día Hábil]]</f>
        <v>302</v>
      </c>
      <c r="G378" s="34">
        <f>+(Tabla2[[#This Row],[Coches por Tren Día Hábil]]*Tabla2[[#This Row],[Trenes Corridos]]+Tabla9[[#This Row],[Coches por Tren Día Hábil]]*Tabla9[[#This Row],[Trenes Corridos]]+Tabla10[[#This Row],[Coches por Tren Día Hábil]]*Tabla10[[#This Row],[Trenes Corridos]])/SARM[[#This Row],[Trenes Corridos]]</f>
        <v>7.7311240177656302</v>
      </c>
      <c r="H378" s="16">
        <f t="shared" si="329"/>
        <v>9695</v>
      </c>
      <c r="I378" s="16">
        <f t="shared" ref="I378:I384" si="334">H378-J378</f>
        <v>914</v>
      </c>
      <c r="J378" s="16">
        <f t="shared" si="330"/>
        <v>8781</v>
      </c>
      <c r="K378" s="16">
        <f t="shared" si="330"/>
        <v>7141</v>
      </c>
      <c r="L378" s="16">
        <f t="shared" ref="L378:L383" si="335">J378-K378</f>
        <v>1640</v>
      </c>
      <c r="M378" s="205" t="s">
        <v>177</v>
      </c>
      <c r="O378" s="157">
        <v>2024</v>
      </c>
      <c r="P378" s="204" t="s">
        <v>36</v>
      </c>
      <c r="Q378" s="15">
        <f t="shared" ref="Q378:Q383" si="336">Y378/V378</f>
        <v>0.81027558509901676</v>
      </c>
      <c r="R378" s="15">
        <f t="shared" ref="R378:R383" si="337">Y378/X378</f>
        <v>0.84503177354130565</v>
      </c>
      <c r="S378" s="15">
        <f t="shared" ref="S378:S383" si="338">X378/V378</f>
        <v>0.95886996260905688</v>
      </c>
      <c r="T378" s="16">
        <v>250</v>
      </c>
      <c r="U378" s="16">
        <v>9</v>
      </c>
      <c r="V378" s="16">
        <v>7221</v>
      </c>
      <c r="W378" s="16">
        <f t="shared" si="297"/>
        <v>297</v>
      </c>
      <c r="X378" s="16">
        <v>6924</v>
      </c>
      <c r="Y378" s="16">
        <v>5851</v>
      </c>
      <c r="Z378" s="16">
        <f t="shared" ref="Z378:Z383" si="339">X378-Y378</f>
        <v>1073</v>
      </c>
      <c r="AA378" s="205" t="s">
        <v>177</v>
      </c>
      <c r="AC378" s="157">
        <v>2024</v>
      </c>
      <c r="AD378" s="204" t="s">
        <v>36</v>
      </c>
      <c r="AE378" s="15">
        <f t="shared" ref="AE378:AE383" si="340">AM378/AJ378</f>
        <v>0.44913928012519561</v>
      </c>
      <c r="AF378" s="15">
        <f t="shared" ref="AF378:AF383" si="341">AM378/AL378</f>
        <v>0.59605399792315683</v>
      </c>
      <c r="AG378" s="15">
        <f t="shared" ref="AG378:AG383" si="342">AL378/AJ378</f>
        <v>0.75352112676056338</v>
      </c>
      <c r="AH378" s="16">
        <v>28</v>
      </c>
      <c r="AI378" s="16">
        <v>3</v>
      </c>
      <c r="AJ378" s="16">
        <v>1278</v>
      </c>
      <c r="AK378" s="16">
        <f t="shared" si="302"/>
        <v>315</v>
      </c>
      <c r="AL378" s="16">
        <v>963</v>
      </c>
      <c r="AM378" s="16">
        <v>574</v>
      </c>
      <c r="AN378" s="16">
        <f t="shared" ref="AN378:AN383" si="343">AL378-AM378</f>
        <v>389</v>
      </c>
      <c r="AO378" s="205" t="s">
        <v>177</v>
      </c>
      <c r="AQ378" s="157">
        <v>2024</v>
      </c>
      <c r="AR378" s="204" t="s">
        <v>36</v>
      </c>
      <c r="AS378" s="15">
        <f t="shared" si="307"/>
        <v>0.59866220735785958</v>
      </c>
      <c r="AT378" s="15">
        <f t="shared" si="308"/>
        <v>0.80089485458612975</v>
      </c>
      <c r="AU378" s="15">
        <f t="shared" si="309"/>
        <v>0.74749163879598657</v>
      </c>
      <c r="AV378" s="16">
        <v>24</v>
      </c>
      <c r="AW378" s="16">
        <v>3</v>
      </c>
      <c r="AX378" s="16">
        <v>1196</v>
      </c>
      <c r="AY378" s="16">
        <f t="shared" si="281"/>
        <v>302</v>
      </c>
      <c r="AZ378" s="16">
        <v>894</v>
      </c>
      <c r="BA378" s="16">
        <v>716</v>
      </c>
      <c r="BB378" s="16">
        <f t="shared" si="310"/>
        <v>178</v>
      </c>
      <c r="BC378" s="205" t="s">
        <v>177</v>
      </c>
    </row>
    <row r="379" spans="1:55" s="18" customFormat="1" ht="15" customHeight="1">
      <c r="A379" s="18">
        <v>2024</v>
      </c>
      <c r="B379" s="21" t="s">
        <v>37</v>
      </c>
      <c r="C379" s="15">
        <f t="shared" ref="C379" si="344">K379/H379</f>
        <v>0.66776315789473684</v>
      </c>
      <c r="D379" s="15">
        <f t="shared" ref="D379" si="345">K379/J379</f>
        <v>0.80149761742682102</v>
      </c>
      <c r="E379" s="15">
        <f t="shared" ref="E379" si="346">J379/H379</f>
        <v>0.83314428312159705</v>
      </c>
      <c r="F379" s="26">
        <f>+Tabla2[[#This Row],[Trenes Programados por Día Hábil]]+Tabla9[[#This Row],[Trenes Programados por Día Hábil]]+Tabla10[[#This Row],[Trenes Programados por Día Hábil]]</f>
        <v>302</v>
      </c>
      <c r="G379" s="34">
        <f>+(Tabla2[[#This Row],[Coches por Tren Día Hábil]]*Tabla2[[#This Row],[Trenes Corridos]]+Tabla9[[#This Row],[Coches por Tren Día Hábil]]*Tabla9[[#This Row],[Trenes Corridos]]+Tabla10[[#This Row],[Coches por Tren Día Hábil]]*Tabla10[[#This Row],[Trenes Corridos]])/SARM[[#This Row],[Trenes Corridos]]</f>
        <v>7.8988427501701839</v>
      </c>
      <c r="H379" s="16">
        <f t="shared" si="329"/>
        <v>8816</v>
      </c>
      <c r="I379" s="16">
        <f t="shared" si="334"/>
        <v>1471</v>
      </c>
      <c r="J379" s="16">
        <f t="shared" si="330"/>
        <v>7345</v>
      </c>
      <c r="K379" s="16">
        <f t="shared" si="330"/>
        <v>5887</v>
      </c>
      <c r="L379" s="16">
        <f t="shared" si="335"/>
        <v>1458</v>
      </c>
      <c r="M379" s="217"/>
      <c r="O379" s="18">
        <v>2024</v>
      </c>
      <c r="P379" s="21" t="s">
        <v>37</v>
      </c>
      <c r="Q379" s="218">
        <f t="shared" si="336"/>
        <v>0.77787990196078427</v>
      </c>
      <c r="R379" s="218">
        <f t="shared" si="337"/>
        <v>0.84675671168917788</v>
      </c>
      <c r="S379" s="218">
        <f t="shared" si="338"/>
        <v>0.91865808823529416</v>
      </c>
      <c r="T379" s="217">
        <v>250</v>
      </c>
      <c r="U379" s="217">
        <v>9</v>
      </c>
      <c r="V379" s="217">
        <v>6528</v>
      </c>
      <c r="W379" s="16">
        <f t="shared" si="297"/>
        <v>531</v>
      </c>
      <c r="X379" s="217">
        <v>5997</v>
      </c>
      <c r="Y379" s="217">
        <v>5078</v>
      </c>
      <c r="Z379" s="217">
        <f t="shared" si="339"/>
        <v>919</v>
      </c>
      <c r="AA379" s="217"/>
      <c r="AC379" s="18">
        <v>2024</v>
      </c>
      <c r="AD379" s="21" t="s">
        <v>37</v>
      </c>
      <c r="AE379" s="218">
        <f t="shared" si="340"/>
        <v>0.29313232830820768</v>
      </c>
      <c r="AF379" s="218">
        <f t="shared" si="341"/>
        <v>0.49645390070921985</v>
      </c>
      <c r="AG379" s="218">
        <f t="shared" si="342"/>
        <v>0.59045226130653261</v>
      </c>
      <c r="AH379" s="217">
        <v>28</v>
      </c>
      <c r="AI379" s="217">
        <v>3</v>
      </c>
      <c r="AJ379" s="217">
        <v>1194</v>
      </c>
      <c r="AK379" s="16">
        <f t="shared" si="302"/>
        <v>489</v>
      </c>
      <c r="AL379" s="217">
        <v>705</v>
      </c>
      <c r="AM379" s="217">
        <v>350</v>
      </c>
      <c r="AN379" s="217">
        <f t="shared" si="343"/>
        <v>355</v>
      </c>
      <c r="AO379" s="217"/>
      <c r="AQ379" s="18">
        <v>2024</v>
      </c>
      <c r="AR379" s="21" t="s">
        <v>37</v>
      </c>
      <c r="AS379" s="218">
        <f t="shared" ref="AS379:AS385" si="347">BA379/AX379</f>
        <v>0.41956124314442411</v>
      </c>
      <c r="AT379" s="218">
        <f t="shared" ref="AT379:AT385" si="348">BA379/AZ379</f>
        <v>0.713841368584759</v>
      </c>
      <c r="AU379" s="218">
        <f t="shared" ref="AU379:AU385" si="349">AZ379/AX379</f>
        <v>0.58775137111517373</v>
      </c>
      <c r="AV379" s="217">
        <v>24</v>
      </c>
      <c r="AW379" s="217">
        <v>3</v>
      </c>
      <c r="AX379" s="217">
        <v>1094</v>
      </c>
      <c r="AY379" s="16">
        <f t="shared" si="281"/>
        <v>451</v>
      </c>
      <c r="AZ379" s="217">
        <v>643</v>
      </c>
      <c r="BA379" s="217">
        <v>459</v>
      </c>
      <c r="BB379" s="217">
        <f t="shared" ref="BB379:BB384" si="350">AZ379-BA379</f>
        <v>184</v>
      </c>
      <c r="BC379" s="216"/>
    </row>
    <row r="380" spans="1:55" s="18" customFormat="1" ht="15" customHeight="1">
      <c r="A380" s="18">
        <v>2024</v>
      </c>
      <c r="B380" s="21" t="s">
        <v>38</v>
      </c>
      <c r="C380" s="15">
        <f t="shared" ref="C380" si="351">K380/H380</f>
        <v>0.63215686274509808</v>
      </c>
      <c r="D380" s="15">
        <f t="shared" ref="D380" si="352">K380/J380</f>
        <v>0.70017374038222879</v>
      </c>
      <c r="E380" s="15">
        <f t="shared" ref="E380" si="353">J380/H380</f>
        <v>0.9028571428571428</v>
      </c>
      <c r="F380" s="26">
        <f>+Tabla2[[#This Row],[Trenes Programados por Día Hábil]]+Tabla9[[#This Row],[Trenes Programados por Día Hábil]]+Tabla10[[#This Row],[Trenes Programados por Día Hábil]]</f>
        <v>302</v>
      </c>
      <c r="G380" s="34">
        <f>+(Tabla2[[#This Row],[Coches por Tren Día Hábil]]*Tabla2[[#This Row],[Trenes Corridos]]+Tabla9[[#This Row],[Coches por Tren Día Hábil]]*Tabla9[[#This Row],[Trenes Corridos]]+Tabla10[[#This Row],[Coches por Tren Día Hábil]]*Tabla10[[#This Row],[Trenes Corridos]])/SARM[[#This Row],[Trenes Corridos]]</f>
        <v>7.8726731198808642</v>
      </c>
      <c r="H380" s="16">
        <f t="shared" si="329"/>
        <v>8925</v>
      </c>
      <c r="I380" s="16">
        <f t="shared" si="334"/>
        <v>867</v>
      </c>
      <c r="J380" s="16">
        <f t="shared" ref="J380" si="354">+X380+AL380+AZ380</f>
        <v>8058</v>
      </c>
      <c r="K380" s="16">
        <f t="shared" ref="K380" si="355">+Y380+AM380+BA380</f>
        <v>5642</v>
      </c>
      <c r="L380" s="16">
        <f t="shared" si="335"/>
        <v>2416</v>
      </c>
      <c r="M380" s="217"/>
      <c r="O380" s="18">
        <v>2024</v>
      </c>
      <c r="P380" s="21" t="s">
        <v>38</v>
      </c>
      <c r="Q380" s="218">
        <f t="shared" si="336"/>
        <v>0.69128381279519102</v>
      </c>
      <c r="R380" s="218">
        <f t="shared" si="337"/>
        <v>0.73808068459657705</v>
      </c>
      <c r="S380" s="218">
        <f t="shared" si="338"/>
        <v>0.93659653642478891</v>
      </c>
      <c r="T380" s="217">
        <v>250</v>
      </c>
      <c r="U380" s="217">
        <v>9</v>
      </c>
      <c r="V380" s="217">
        <v>6987</v>
      </c>
      <c r="W380" s="16">
        <f t="shared" si="297"/>
        <v>443</v>
      </c>
      <c r="X380" s="217">
        <v>6544</v>
      </c>
      <c r="Y380" s="217">
        <v>4830</v>
      </c>
      <c r="Z380" s="217">
        <f t="shared" si="339"/>
        <v>1714</v>
      </c>
      <c r="AA380" s="217"/>
      <c r="AC380" s="18">
        <v>2024</v>
      </c>
      <c r="AD380" s="21" t="s">
        <v>38</v>
      </c>
      <c r="AE380" s="218">
        <f t="shared" si="340"/>
        <v>0.36272545090180358</v>
      </c>
      <c r="AF380" s="218">
        <f t="shared" si="341"/>
        <v>0.46055979643765904</v>
      </c>
      <c r="AG380" s="218">
        <f t="shared" si="342"/>
        <v>0.78757515030060121</v>
      </c>
      <c r="AH380" s="217">
        <v>28</v>
      </c>
      <c r="AI380" s="217">
        <v>3</v>
      </c>
      <c r="AJ380" s="217">
        <v>998</v>
      </c>
      <c r="AK380" s="16">
        <f t="shared" si="302"/>
        <v>212</v>
      </c>
      <c r="AL380" s="217">
        <v>786</v>
      </c>
      <c r="AM380" s="217">
        <v>362</v>
      </c>
      <c r="AN380" s="217">
        <f t="shared" si="343"/>
        <v>424</v>
      </c>
      <c r="AO380" s="217"/>
      <c r="AQ380" s="18">
        <v>2024</v>
      </c>
      <c r="AR380" s="21" t="s">
        <v>38</v>
      </c>
      <c r="AS380" s="218">
        <f t="shared" si="347"/>
        <v>0.47872340425531917</v>
      </c>
      <c r="AT380" s="218">
        <f t="shared" si="348"/>
        <v>0.61813186813186816</v>
      </c>
      <c r="AU380" s="218">
        <f t="shared" si="349"/>
        <v>0.77446808510638299</v>
      </c>
      <c r="AV380" s="217">
        <v>24</v>
      </c>
      <c r="AW380" s="217">
        <v>3</v>
      </c>
      <c r="AX380" s="217">
        <v>940</v>
      </c>
      <c r="AY380" s="16">
        <f t="shared" si="281"/>
        <v>212</v>
      </c>
      <c r="AZ380" s="217">
        <v>728</v>
      </c>
      <c r="BA380" s="217">
        <v>450</v>
      </c>
      <c r="BB380" s="217">
        <f t="shared" si="350"/>
        <v>278</v>
      </c>
      <c r="BC380" s="216"/>
    </row>
    <row r="381" spans="1:55" s="18" customFormat="1" ht="15" customHeight="1">
      <c r="A381" s="18">
        <v>2024</v>
      </c>
      <c r="B381" s="21" t="s">
        <v>39</v>
      </c>
      <c r="C381" s="15">
        <f t="shared" ref="C381" si="356">K381/H381</f>
        <v>0.58074981975486661</v>
      </c>
      <c r="D381" s="15">
        <f t="shared" ref="D381" si="357">K381/J381</f>
        <v>0.6211283896671379</v>
      </c>
      <c r="E381" s="15">
        <f t="shared" ref="E381" si="358">J381/H381</f>
        <v>0.93499158856044218</v>
      </c>
      <c r="F381" s="26">
        <f>+Tabla2[[#This Row],[Trenes Programados por Día Hábil]]+Tabla9[[#This Row],[Trenes Programados por Día Hábil]]+Tabla10[[#This Row],[Trenes Programados por Día Hábil]]</f>
        <v>302</v>
      </c>
      <c r="G381" s="34">
        <f>+(Tabla2[[#This Row],[Coches por Tren Día Hábil]]*Tabla2[[#This Row],[Trenes Corridos]]+Tabla9[[#This Row],[Coches por Tren Día Hábil]]*Tabla9[[#This Row],[Trenes Corridos]]+Tabla10[[#This Row],[Coches por Tren Día Hábil]]*Tabla10[[#This Row],[Trenes Corridos]])/SARM[[#This Row],[Trenes Corridos]]</f>
        <v>7.9212183523968642</v>
      </c>
      <c r="H381" s="16">
        <f t="shared" si="329"/>
        <v>8322</v>
      </c>
      <c r="I381" s="16">
        <f t="shared" si="334"/>
        <v>541</v>
      </c>
      <c r="J381" s="16">
        <f t="shared" ref="J381" si="359">+X381+AL381+AZ381</f>
        <v>7781</v>
      </c>
      <c r="K381" s="16">
        <f t="shared" ref="K381" si="360">+Y381+AM381+BA381</f>
        <v>4833</v>
      </c>
      <c r="L381" s="16">
        <f t="shared" si="335"/>
        <v>2948</v>
      </c>
      <c r="M381" s="217"/>
      <c r="O381" s="18">
        <v>2024</v>
      </c>
      <c r="P381" s="21" t="s">
        <v>39</v>
      </c>
      <c r="Q381" s="218">
        <f t="shared" si="336"/>
        <v>0.62643847742696956</v>
      </c>
      <c r="R381" s="218">
        <f t="shared" si="337"/>
        <v>0.66530868066436855</v>
      </c>
      <c r="S381" s="218">
        <f t="shared" si="338"/>
        <v>0.94157568604308051</v>
      </c>
      <c r="T381" s="217">
        <v>250</v>
      </c>
      <c r="U381" s="217">
        <v>9</v>
      </c>
      <c r="V381" s="217">
        <v>6778</v>
      </c>
      <c r="W381" s="16">
        <f t="shared" si="297"/>
        <v>396</v>
      </c>
      <c r="X381" s="217">
        <v>6382</v>
      </c>
      <c r="Y381" s="217">
        <v>4246</v>
      </c>
      <c r="Z381" s="217">
        <f t="shared" si="339"/>
        <v>2136</v>
      </c>
      <c r="AA381" s="217"/>
      <c r="AC381" s="18">
        <v>2024</v>
      </c>
      <c r="AD381" s="21" t="s">
        <v>39</v>
      </c>
      <c r="AE381" s="218">
        <f t="shared" si="340"/>
        <v>0.38112745098039214</v>
      </c>
      <c r="AF381" s="218">
        <f t="shared" si="341"/>
        <v>0.4248633879781421</v>
      </c>
      <c r="AG381" s="218">
        <f t="shared" si="342"/>
        <v>0.8970588235294118</v>
      </c>
      <c r="AH381" s="217">
        <v>28</v>
      </c>
      <c r="AI381" s="217">
        <v>3</v>
      </c>
      <c r="AJ381" s="217">
        <v>816</v>
      </c>
      <c r="AK381" s="16">
        <f t="shared" si="302"/>
        <v>84</v>
      </c>
      <c r="AL381" s="217">
        <v>732</v>
      </c>
      <c r="AM381" s="217">
        <v>311</v>
      </c>
      <c r="AN381" s="217">
        <f t="shared" si="343"/>
        <v>421</v>
      </c>
      <c r="AO381" s="217"/>
      <c r="AQ381" s="18">
        <v>2024</v>
      </c>
      <c r="AR381" s="21" t="s">
        <v>39</v>
      </c>
      <c r="AS381" s="218">
        <f t="shared" si="347"/>
        <v>0.37912087912087911</v>
      </c>
      <c r="AT381" s="218">
        <f t="shared" si="348"/>
        <v>0.41379310344827586</v>
      </c>
      <c r="AU381" s="218">
        <f t="shared" si="349"/>
        <v>0.91620879120879117</v>
      </c>
      <c r="AV381" s="217">
        <v>24</v>
      </c>
      <c r="AW381" s="217">
        <v>3</v>
      </c>
      <c r="AX381" s="217">
        <v>728</v>
      </c>
      <c r="AY381" s="16">
        <f t="shared" si="281"/>
        <v>61</v>
      </c>
      <c r="AZ381" s="217">
        <v>667</v>
      </c>
      <c r="BA381" s="217">
        <v>276</v>
      </c>
      <c r="BB381" s="217">
        <f t="shared" si="350"/>
        <v>391</v>
      </c>
      <c r="BC381" s="216"/>
    </row>
    <row r="382" spans="1:55" s="18" customFormat="1" ht="15" customHeight="1">
      <c r="A382" s="232">
        <v>2024</v>
      </c>
      <c r="B382" s="233" t="s">
        <v>40</v>
      </c>
      <c r="C382" s="15">
        <f t="shared" ref="C382" si="361">K382/H382</f>
        <v>0.49555581207433913</v>
      </c>
      <c r="D382" s="15">
        <f t="shared" ref="D382" si="362">K382/J382</f>
        <v>0.57110549421311696</v>
      </c>
      <c r="E382" s="15">
        <f t="shared" ref="E382" si="363">J382/H382</f>
        <v>0.86771326330370546</v>
      </c>
      <c r="F382" s="209">
        <f>+Tabla2[[#This Row],[Trenes Programados por Día Hábil]]+Tabla9[[#This Row],[Trenes Programados por Día Hábil]]+Tabla10[[#This Row],[Trenes Programados por Día Hábil]]</f>
        <v>302</v>
      </c>
      <c r="G382" s="219">
        <f>+(Tabla2[[#This Row],[Coches por Tren Día Hábil]]*Tabla2[[#This Row],[Trenes Corridos]]+Tabla9[[#This Row],[Coches por Tren Día Hábil]]*Tabla9[[#This Row],[Trenes Corridos]]+Tabla10[[#This Row],[Coches por Tren Día Hábil]]*Tabla10[[#This Row],[Trenes Corridos]])/SARM[[#This Row],[Trenes Corridos]]</f>
        <v>7.8937075961154717</v>
      </c>
      <c r="H382" s="217">
        <f t="shared" si="329"/>
        <v>8663</v>
      </c>
      <c r="I382" s="217">
        <f t="shared" si="334"/>
        <v>1146</v>
      </c>
      <c r="J382" s="217">
        <f t="shared" ref="J382:K384" si="364">+X382+AL382+AZ382</f>
        <v>7517</v>
      </c>
      <c r="K382" s="217">
        <f t="shared" si="364"/>
        <v>4293</v>
      </c>
      <c r="L382" s="217">
        <f t="shared" si="335"/>
        <v>3224</v>
      </c>
      <c r="M382" s="217"/>
      <c r="O382" s="232">
        <v>2024</v>
      </c>
      <c r="P382" s="233" t="s">
        <v>40</v>
      </c>
      <c r="Q382" s="218">
        <f t="shared" si="336"/>
        <v>0.52624133540812001</v>
      </c>
      <c r="R382" s="218">
        <f t="shared" si="337"/>
        <v>0.60675256891208607</v>
      </c>
      <c r="S382" s="218">
        <f t="shared" si="338"/>
        <v>0.86730796435139346</v>
      </c>
      <c r="T382" s="217">
        <v>250</v>
      </c>
      <c r="U382" s="217">
        <v>9</v>
      </c>
      <c r="V382" s="217">
        <v>7069</v>
      </c>
      <c r="W382" s="16">
        <f t="shared" si="297"/>
        <v>938</v>
      </c>
      <c r="X382" s="217">
        <v>6131</v>
      </c>
      <c r="Y382" s="217">
        <v>3720</v>
      </c>
      <c r="Z382" s="217">
        <f t="shared" si="339"/>
        <v>2411</v>
      </c>
      <c r="AA382" s="217"/>
      <c r="AC382" s="232">
        <v>2024</v>
      </c>
      <c r="AD382" s="233" t="s">
        <v>40</v>
      </c>
      <c r="AE382" s="218">
        <f t="shared" si="340"/>
        <v>0.29857819905213268</v>
      </c>
      <c r="AF382" s="218">
        <f t="shared" si="341"/>
        <v>0.35294117647058826</v>
      </c>
      <c r="AG382" s="218">
        <f t="shared" si="342"/>
        <v>0.84597156398104267</v>
      </c>
      <c r="AH382" s="217">
        <v>28</v>
      </c>
      <c r="AI382" s="217">
        <v>3</v>
      </c>
      <c r="AJ382" s="217">
        <v>844</v>
      </c>
      <c r="AK382" s="16">
        <f t="shared" si="302"/>
        <v>130</v>
      </c>
      <c r="AL382" s="217">
        <v>714</v>
      </c>
      <c r="AM382" s="217">
        <v>252</v>
      </c>
      <c r="AN382" s="217">
        <f t="shared" si="343"/>
        <v>462</v>
      </c>
      <c r="AO382" s="217"/>
      <c r="AQ382" s="232">
        <v>2024</v>
      </c>
      <c r="AR382" s="233" t="s">
        <v>40</v>
      </c>
      <c r="AS382" s="218">
        <f t="shared" si="347"/>
        <v>0.42799999999999999</v>
      </c>
      <c r="AT382" s="218">
        <f t="shared" si="348"/>
        <v>0.47767857142857145</v>
      </c>
      <c r="AU382" s="218">
        <f t="shared" si="349"/>
        <v>0.89600000000000002</v>
      </c>
      <c r="AV382" s="217">
        <v>24</v>
      </c>
      <c r="AW382" s="217">
        <v>3</v>
      </c>
      <c r="AX382" s="217">
        <v>750</v>
      </c>
      <c r="AY382" s="16">
        <f t="shared" si="281"/>
        <v>78</v>
      </c>
      <c r="AZ382" s="217">
        <v>672</v>
      </c>
      <c r="BA382" s="217">
        <v>321</v>
      </c>
      <c r="BB382" s="217">
        <f t="shared" si="350"/>
        <v>351</v>
      </c>
      <c r="BC382" s="216"/>
    </row>
    <row r="383" spans="1:55" s="18" customFormat="1" ht="15" customHeight="1">
      <c r="A383" s="18">
        <v>2024</v>
      </c>
      <c r="B383" s="21" t="s">
        <v>41</v>
      </c>
      <c r="C383" s="15">
        <f t="shared" ref="C383" si="365">K383/H383</f>
        <v>0.60007417480529113</v>
      </c>
      <c r="D383" s="15">
        <f t="shared" ref="D383" si="366">K383/J383</f>
        <v>0.63977856860419136</v>
      </c>
      <c r="E383" s="15">
        <f t="shared" ref="E383" si="367">J383/H383</f>
        <v>0.93794041290641617</v>
      </c>
      <c r="F383" s="209">
        <f>+Tabla2[[#This Row],[Trenes Programados por Día Hábil]]+Tabla9[[#This Row],[Trenes Programados por Día Hábil]]+Tabla10[[#This Row],[Trenes Programados por Día Hábil]]</f>
        <v>302</v>
      </c>
      <c r="G383" s="219">
        <f>+(Tabla2[[#This Row],[Coches por Tren Día Hábil]]*Tabla2[[#This Row],[Trenes Corridos]]+Tabla9[[#This Row],[Coches por Tren Día Hábil]]*Tabla9[[#This Row],[Trenes Corridos]]+Tabla10[[#This Row],[Coches por Tren Día Hábil]]*Tabla10[[#This Row],[Trenes Corridos]])/SARM[[#This Row],[Trenes Corridos]]</f>
        <v>7.8359035191775401</v>
      </c>
      <c r="H383" s="217">
        <f t="shared" ref="H383" si="368">+V383+AJ383+AX383</f>
        <v>8089</v>
      </c>
      <c r="I383" s="217">
        <f t="shared" si="334"/>
        <v>502</v>
      </c>
      <c r="J383" s="217">
        <f t="shared" si="364"/>
        <v>7587</v>
      </c>
      <c r="K383" s="217">
        <f t="shared" si="364"/>
        <v>4854</v>
      </c>
      <c r="L383" s="217">
        <f t="shared" si="335"/>
        <v>2733</v>
      </c>
      <c r="M383" s="217"/>
      <c r="O383" s="18">
        <v>2024</v>
      </c>
      <c r="P383" s="21" t="s">
        <v>41</v>
      </c>
      <c r="Q383" s="218">
        <f t="shared" si="336"/>
        <v>0.64280262555335066</v>
      </c>
      <c r="R383" s="218">
        <f t="shared" si="337"/>
        <v>0.68863450531479964</v>
      </c>
      <c r="S383" s="218">
        <f t="shared" si="338"/>
        <v>0.93344527553045331</v>
      </c>
      <c r="T383" s="217">
        <v>250</v>
      </c>
      <c r="U383" s="217">
        <v>9</v>
      </c>
      <c r="V383" s="217">
        <v>6551</v>
      </c>
      <c r="W383" s="16">
        <f t="shared" si="297"/>
        <v>436</v>
      </c>
      <c r="X383" s="217">
        <v>6115</v>
      </c>
      <c r="Y383" s="217">
        <v>4211</v>
      </c>
      <c r="Z383" s="217">
        <f t="shared" si="339"/>
        <v>1904</v>
      </c>
      <c r="AA383" s="217"/>
      <c r="AC383" s="18">
        <v>2024</v>
      </c>
      <c r="AD383" s="21" t="s">
        <v>41</v>
      </c>
      <c r="AE383" s="218">
        <f t="shared" si="340"/>
        <v>0.375</v>
      </c>
      <c r="AF383" s="218">
        <f t="shared" si="341"/>
        <v>0.38946015424164526</v>
      </c>
      <c r="AG383" s="218">
        <f t="shared" si="342"/>
        <v>0.96287128712871284</v>
      </c>
      <c r="AH383" s="217">
        <v>28</v>
      </c>
      <c r="AI383" s="217">
        <v>3</v>
      </c>
      <c r="AJ383" s="217">
        <v>808</v>
      </c>
      <c r="AK383" s="16">
        <f t="shared" si="302"/>
        <v>30</v>
      </c>
      <c r="AL383" s="217">
        <v>778</v>
      </c>
      <c r="AM383" s="217">
        <v>303</v>
      </c>
      <c r="AN383" s="217">
        <f t="shared" si="343"/>
        <v>475</v>
      </c>
      <c r="AO383" s="217"/>
      <c r="AQ383" s="18">
        <v>2024</v>
      </c>
      <c r="AR383" s="21" t="s">
        <v>41</v>
      </c>
      <c r="AS383" s="218">
        <f t="shared" si="347"/>
        <v>0.46575342465753422</v>
      </c>
      <c r="AT383" s="218">
        <f t="shared" si="348"/>
        <v>0.48991354466858789</v>
      </c>
      <c r="AU383" s="218">
        <f t="shared" si="349"/>
        <v>0.9506849315068493</v>
      </c>
      <c r="AV383" s="217">
        <v>24</v>
      </c>
      <c r="AW383" s="217">
        <v>3</v>
      </c>
      <c r="AX383" s="217">
        <v>730</v>
      </c>
      <c r="AY383" s="16">
        <f t="shared" si="281"/>
        <v>36</v>
      </c>
      <c r="AZ383" s="217">
        <v>694</v>
      </c>
      <c r="BA383" s="217">
        <v>340</v>
      </c>
      <c r="BB383" s="217">
        <f t="shared" si="350"/>
        <v>354</v>
      </c>
      <c r="BC383" s="216"/>
    </row>
    <row r="384" spans="1:55" s="18" customFormat="1" ht="15" customHeight="1">
      <c r="A384" s="244">
        <v>2024</v>
      </c>
      <c r="B384" s="245" t="s">
        <v>42</v>
      </c>
      <c r="C384" s="15">
        <f t="shared" ref="C384:C385" si="369">K384/H384</f>
        <v>0.38172227955509691</v>
      </c>
      <c r="D384" s="15">
        <f t="shared" ref="D384:D385" si="370">K384/J384</f>
        <v>0.42723305954825463</v>
      </c>
      <c r="E384" s="15">
        <f t="shared" ref="E384:E385" si="371">J384/H384</f>
        <v>0.89347551886251575</v>
      </c>
      <c r="F384" s="209">
        <f>+Tabla2[[#This Row],[Trenes Programados por Día Hábil]]+Tabla9[[#This Row],[Trenes Programados por Día Hábil]]+Tabla10[[#This Row],[Trenes Programados por Día Hábil]]</f>
        <v>302</v>
      </c>
      <c r="G384" s="219">
        <f>+(Tabla2[[#This Row],[Coches por Tren Día Hábil]]*Tabla2[[#This Row],[Trenes Corridos]]+Tabla9[[#This Row],[Coches por Tren Día Hábil]]*Tabla9[[#This Row],[Trenes Corridos]]+Tabla10[[#This Row],[Coches por Tren Día Hábil]]*Tabla10[[#This Row],[Trenes Corridos]])/SARM[[#This Row],[Trenes Corridos]]</f>
        <v>7.8249486652977414</v>
      </c>
      <c r="H384" s="217">
        <f t="shared" ref="H384" si="372">+V384+AJ384+AX384</f>
        <v>8721</v>
      </c>
      <c r="I384" s="217">
        <f t="shared" si="334"/>
        <v>929</v>
      </c>
      <c r="J384" s="217">
        <f t="shared" si="364"/>
        <v>7792</v>
      </c>
      <c r="K384" s="217">
        <f t="shared" si="364"/>
        <v>3329</v>
      </c>
      <c r="L384" s="217">
        <f t="shared" ref="L384" si="373">J384-K384</f>
        <v>4463</v>
      </c>
      <c r="M384" s="217"/>
      <c r="O384" s="244">
        <v>2024</v>
      </c>
      <c r="P384" s="245" t="s">
        <v>42</v>
      </c>
      <c r="Q384" s="218">
        <f>Y384/V384</f>
        <v>0.38295183260777982</v>
      </c>
      <c r="R384" s="218">
        <f>Y384/X384</f>
        <v>0.43520587296520907</v>
      </c>
      <c r="S384" s="218">
        <f>X384/V384</f>
        <v>0.87993259373683475</v>
      </c>
      <c r="T384" s="217">
        <v>250</v>
      </c>
      <c r="U384" s="217">
        <v>9</v>
      </c>
      <c r="V384" s="217">
        <v>7121</v>
      </c>
      <c r="W384" s="16">
        <f t="shared" si="297"/>
        <v>855</v>
      </c>
      <c r="X384" s="217">
        <v>6266</v>
      </c>
      <c r="Y384" s="217">
        <v>2727</v>
      </c>
      <c r="Z384" s="217">
        <f>X384-Y384</f>
        <v>3539</v>
      </c>
      <c r="AA384" s="217"/>
      <c r="AC384" s="244">
        <v>2024</v>
      </c>
      <c r="AD384" s="245" t="s">
        <v>42</v>
      </c>
      <c r="AE384" s="218">
        <f>AM384/AJ384</f>
        <v>0.36438679245283018</v>
      </c>
      <c r="AF384" s="218">
        <f>AM384/AL384</f>
        <v>0.37728937728937728</v>
      </c>
      <c r="AG384" s="218">
        <f>AL384/AJ384</f>
        <v>0.96580188679245282</v>
      </c>
      <c r="AH384" s="217">
        <v>28</v>
      </c>
      <c r="AI384" s="217">
        <v>3</v>
      </c>
      <c r="AJ384" s="217">
        <v>848</v>
      </c>
      <c r="AK384" s="16">
        <f t="shared" si="302"/>
        <v>29</v>
      </c>
      <c r="AL384" s="217">
        <v>819</v>
      </c>
      <c r="AM384" s="217">
        <v>309</v>
      </c>
      <c r="AN384" s="217">
        <f>AL384-AM384</f>
        <v>510</v>
      </c>
      <c r="AO384" s="217"/>
      <c r="AQ384" s="244">
        <v>2024</v>
      </c>
      <c r="AR384" s="245" t="s">
        <v>42</v>
      </c>
      <c r="AS384" s="218">
        <f t="shared" si="347"/>
        <v>0.3896276595744681</v>
      </c>
      <c r="AT384" s="218">
        <f t="shared" si="348"/>
        <v>0.41442715700141441</v>
      </c>
      <c r="AU384" s="218">
        <f t="shared" si="349"/>
        <v>0.94015957446808507</v>
      </c>
      <c r="AV384" s="217">
        <v>24</v>
      </c>
      <c r="AW384" s="217">
        <v>3</v>
      </c>
      <c r="AX384" s="217">
        <v>752</v>
      </c>
      <c r="AY384" s="16">
        <f t="shared" si="281"/>
        <v>45</v>
      </c>
      <c r="AZ384" s="217">
        <v>707</v>
      </c>
      <c r="BA384" s="217">
        <v>293</v>
      </c>
      <c r="BB384" s="217">
        <f t="shared" si="350"/>
        <v>414</v>
      </c>
      <c r="BC384" s="216"/>
    </row>
    <row r="385" spans="1:55" s="18" customFormat="1" ht="15" customHeight="1">
      <c r="A385" s="272">
        <v>2024</v>
      </c>
      <c r="B385" s="273" t="s">
        <v>43</v>
      </c>
      <c r="C385" s="15">
        <f t="shared" si="369"/>
        <v>0.6111756505576208</v>
      </c>
      <c r="D385" s="15">
        <f t="shared" si="370"/>
        <v>0.66068064799698611</v>
      </c>
      <c r="E385" s="15">
        <f t="shared" si="371"/>
        <v>0.92506970260223054</v>
      </c>
      <c r="F385" s="209">
        <f>+Tabla2[[#This Row],[Trenes Programados por Día Hábil]]+Tabla9[[#This Row],[Trenes Programados por Día Hábil]]+Tabla10[[#This Row],[Trenes Programados por Día Hábil]]</f>
        <v>302</v>
      </c>
      <c r="G385" s="219">
        <f>+(Tabla2[[#This Row],[Coches por Tren Día Hábil]]*Tabla2[[#This Row],[Trenes Corridos]]+Tabla9[[#This Row],[Coches por Tren Día Hábil]]*Tabla9[[#This Row],[Trenes Corridos]]+Tabla10[[#This Row],[Coches por Tren Día Hábil]]*Tabla10[[#This Row],[Trenes Corridos]])/SARM[[#This Row],[Trenes Corridos]]</f>
        <v>7.8840889112143664</v>
      </c>
      <c r="H385" s="217">
        <f t="shared" ref="H385" si="374">+V385+AJ385+AX385</f>
        <v>8608</v>
      </c>
      <c r="I385" s="217">
        <f t="shared" ref="I385" si="375">H385-J385</f>
        <v>645</v>
      </c>
      <c r="J385" s="217">
        <f t="shared" ref="J385" si="376">+X385+AL385+AZ385</f>
        <v>7963</v>
      </c>
      <c r="K385" s="217">
        <f t="shared" ref="K385" si="377">+Y385+AM385+BA385</f>
        <v>5261</v>
      </c>
      <c r="L385" s="217">
        <f t="shared" ref="L385" si="378">J385-K385</f>
        <v>2702</v>
      </c>
      <c r="M385" s="217"/>
      <c r="O385" s="272">
        <v>2024</v>
      </c>
      <c r="P385" s="273" t="s">
        <v>43</v>
      </c>
      <c r="Q385" s="15">
        <f t="shared" ref="Q385" si="379">Y385/V385</f>
        <v>0.58901783187093126</v>
      </c>
      <c r="R385" s="15">
        <f t="shared" ref="R385" si="380">Y385/X385</f>
        <v>0.64208577599506322</v>
      </c>
      <c r="S385" s="15">
        <f t="shared" ref="S385" si="381">X385/V385</f>
        <v>0.91735069346164733</v>
      </c>
      <c r="T385" s="217">
        <v>250</v>
      </c>
      <c r="U385" s="217">
        <v>9</v>
      </c>
      <c r="V385" s="217">
        <v>7066</v>
      </c>
      <c r="W385" s="16">
        <f t="shared" si="297"/>
        <v>584</v>
      </c>
      <c r="X385" s="217">
        <v>6482</v>
      </c>
      <c r="Y385" s="217">
        <v>4162</v>
      </c>
      <c r="Z385" s="217">
        <f>X385-Y385</f>
        <v>2320</v>
      </c>
      <c r="AA385" s="217"/>
      <c r="AC385" s="272">
        <v>2024</v>
      </c>
      <c r="AD385" s="273" t="s">
        <v>43</v>
      </c>
      <c r="AE385" s="15">
        <f t="shared" ref="AE385" si="382">AM385/AJ385</f>
        <v>0.69900497512437809</v>
      </c>
      <c r="AF385" s="15">
        <f t="shared" ref="AF385" si="383">AM385/AL385</f>
        <v>0.73560209424083767</v>
      </c>
      <c r="AG385" s="15">
        <f t="shared" ref="AG385" si="384">AL385/AJ385</f>
        <v>0.95024875621890548</v>
      </c>
      <c r="AH385" s="217">
        <v>28</v>
      </c>
      <c r="AI385" s="217">
        <v>3</v>
      </c>
      <c r="AJ385" s="217">
        <v>804</v>
      </c>
      <c r="AK385" s="16">
        <f t="shared" si="302"/>
        <v>40</v>
      </c>
      <c r="AL385" s="217">
        <v>764</v>
      </c>
      <c r="AM385" s="217">
        <v>562</v>
      </c>
      <c r="AN385" s="217">
        <f>AL385-AM385</f>
        <v>202</v>
      </c>
      <c r="AO385" s="217"/>
      <c r="AQ385" s="272">
        <v>2024</v>
      </c>
      <c r="AR385" s="273" t="s">
        <v>43</v>
      </c>
      <c r="AS385" s="15">
        <f t="shared" si="347"/>
        <v>0.72764227642276424</v>
      </c>
      <c r="AT385" s="15">
        <f t="shared" si="348"/>
        <v>0.7489539748953975</v>
      </c>
      <c r="AU385" s="15">
        <f t="shared" si="349"/>
        <v>0.97154471544715448</v>
      </c>
      <c r="AV385" s="217">
        <v>24</v>
      </c>
      <c r="AW385" s="217">
        <v>3</v>
      </c>
      <c r="AX385" s="217">
        <v>738</v>
      </c>
      <c r="AY385" s="16">
        <f t="shared" si="281"/>
        <v>21</v>
      </c>
      <c r="AZ385" s="217">
        <v>717</v>
      </c>
      <c r="BA385" s="217">
        <v>537</v>
      </c>
      <c r="BB385" s="217">
        <f>AZ385-BA385</f>
        <v>180</v>
      </c>
      <c r="BC385" s="216"/>
    </row>
    <row r="386" spans="1:55" s="18" customFormat="1" ht="15" customHeight="1">
      <c r="A386" s="288">
        <v>2024</v>
      </c>
      <c r="B386" s="289" t="s">
        <v>44</v>
      </c>
      <c r="C386" s="15">
        <f t="shared" ref="C386" si="385">K386/H386</f>
        <v>0.84154589371980681</v>
      </c>
      <c r="D386" s="15">
        <f t="shared" ref="D386" si="386">K386/J386</f>
        <v>0.86494538232373386</v>
      </c>
      <c r="E386" s="15">
        <f t="shared" ref="E386" si="387">J386/H386</f>
        <v>0.97294685990338159</v>
      </c>
      <c r="F386" s="209">
        <f>+Tabla2[[#This Row],[Trenes Programados por Día Hábil]]+Tabla9[[#This Row],[Trenes Programados por Día Hábil]]+Tabla10[[#This Row],[Trenes Programados por Día Hábil]]</f>
        <v>302</v>
      </c>
      <c r="G386" s="219">
        <f>+(Tabla2[[#This Row],[Coches por Tren Día Hábil]]*Tabla2[[#This Row],[Trenes Corridos]]+Tabla9[[#This Row],[Coches por Tren Día Hábil]]*Tabla9[[#This Row],[Trenes Corridos]]+Tabla10[[#This Row],[Coches por Tren Día Hábil]]*Tabla10[[#This Row],[Trenes Corridos]])/SARM[[#This Row],[Trenes Corridos]]</f>
        <v>7.9200595829195635</v>
      </c>
      <c r="H386" s="217">
        <f t="shared" ref="H386" si="388">+V386+AJ386+AX386</f>
        <v>8280</v>
      </c>
      <c r="I386" s="217">
        <f t="shared" ref="I386" si="389">H386-J386</f>
        <v>224</v>
      </c>
      <c r="J386" s="217">
        <f t="shared" ref="J386" si="390">+X386+AL386+AZ386</f>
        <v>8056</v>
      </c>
      <c r="K386" s="217">
        <f t="shared" ref="K386" si="391">+Y386+AM386+BA386</f>
        <v>6968</v>
      </c>
      <c r="L386" s="217">
        <f t="shared" ref="L386" si="392">J386-K386</f>
        <v>1088</v>
      </c>
      <c r="M386" s="217"/>
      <c r="O386" s="288">
        <v>2024</v>
      </c>
      <c r="P386" s="289" t="s">
        <v>44</v>
      </c>
      <c r="Q386" s="218">
        <f>Y386/V386</f>
        <v>0.84397058823529414</v>
      </c>
      <c r="R386" s="218">
        <f>Y386/X386</f>
        <v>0.86875567665758402</v>
      </c>
      <c r="S386" s="218">
        <f>X386/V386</f>
        <v>0.97147058823529409</v>
      </c>
      <c r="T386" s="217">
        <v>250</v>
      </c>
      <c r="U386" s="217">
        <v>9</v>
      </c>
      <c r="V386" s="217">
        <v>6800</v>
      </c>
      <c r="W386" s="16">
        <f t="shared" si="297"/>
        <v>194</v>
      </c>
      <c r="X386" s="217">
        <v>6606</v>
      </c>
      <c r="Y386" s="217">
        <v>5739</v>
      </c>
      <c r="Z386" s="217">
        <f>X386-Y386</f>
        <v>867</v>
      </c>
      <c r="AA386" s="217"/>
      <c r="AC386" s="288">
        <v>2024</v>
      </c>
      <c r="AD386" s="289" t="s">
        <v>44</v>
      </c>
      <c r="AE386" s="218">
        <f>AM386/AJ386</f>
        <v>0.79740259740259745</v>
      </c>
      <c r="AF386" s="218">
        <f>AM386/AL386</f>
        <v>0.81757656458055927</v>
      </c>
      <c r="AG386" s="218">
        <f>AL386/AJ386</f>
        <v>0.97532467532467537</v>
      </c>
      <c r="AH386" s="217">
        <v>28</v>
      </c>
      <c r="AI386" s="217">
        <v>3</v>
      </c>
      <c r="AJ386" s="217">
        <v>770</v>
      </c>
      <c r="AK386" s="16">
        <f t="shared" si="302"/>
        <v>19</v>
      </c>
      <c r="AL386" s="217">
        <v>751</v>
      </c>
      <c r="AM386" s="217">
        <v>614</v>
      </c>
      <c r="AN386" s="217">
        <f>AL386-AM386</f>
        <v>137</v>
      </c>
      <c r="AO386" s="217"/>
      <c r="AQ386" s="288">
        <v>2024</v>
      </c>
      <c r="AR386" s="289" t="s">
        <v>44</v>
      </c>
      <c r="AS386" s="218">
        <f>BA386/AX386</f>
        <v>0.86619718309859151</v>
      </c>
      <c r="AT386" s="218">
        <f>BA386/AZ386</f>
        <v>0.87982832618025753</v>
      </c>
      <c r="AU386" s="218">
        <f>AZ386/AX386</f>
        <v>0.98450704225352115</v>
      </c>
      <c r="AV386" s="217">
        <v>24</v>
      </c>
      <c r="AW386" s="217">
        <v>3</v>
      </c>
      <c r="AX386" s="217">
        <v>710</v>
      </c>
      <c r="AY386" s="16">
        <f t="shared" si="281"/>
        <v>11</v>
      </c>
      <c r="AZ386" s="217">
        <v>699</v>
      </c>
      <c r="BA386" s="217">
        <v>615</v>
      </c>
      <c r="BB386" s="217">
        <f>AZ386-BA386</f>
        <v>84</v>
      </c>
      <c r="BC386" s="216"/>
    </row>
    <row r="387" spans="1:55" s="18" customFormat="1" ht="15" customHeight="1">
      <c r="A387" s="143" t="s">
        <v>152</v>
      </c>
      <c r="B387" s="144"/>
      <c r="C387" s="140">
        <f>+SARM[[#Totals],[Trenes Puntuales]]/SARM[[#Totals],[Trenes Programados]]</f>
        <v>0.76174171828920745</v>
      </c>
      <c r="D387" s="140">
        <f>+SARM[[#Totals],[Trenes Puntuales]]/SARM[[#Totals],[Trenes Corridos]]</f>
        <v>0.83080593145314274</v>
      </c>
      <c r="E387" s="140">
        <f>+SARM[[#Totals],[Trenes Corridos]]/SARM[[#Totals],[Trenes Programados]]</f>
        <v>0.91687082319797975</v>
      </c>
      <c r="F387" s="141"/>
      <c r="G387" s="141"/>
      <c r="H387" s="141">
        <f>SUBTOTAL(109,SARM[Trenes Programados])</f>
        <v>3449559</v>
      </c>
      <c r="I387" s="141">
        <f>SUBTOTAL(109,SARM[Trenes Cancelados])</f>
        <v>286759</v>
      </c>
      <c r="J387" s="141">
        <f>SUBTOTAL(109,SARM[Trenes Corridos])</f>
        <v>3162800</v>
      </c>
      <c r="K387" s="141">
        <f>SUBTOTAL(109,SARM[Trenes Puntuales])</f>
        <v>2627673</v>
      </c>
      <c r="L387" s="141">
        <f>SUBTOTAL(109,SARM[Trenes Atrasados])</f>
        <v>535127</v>
      </c>
      <c r="M387" s="142">
        <f>SUBTOTAL(103,SARM[Observaciones])</f>
        <v>1</v>
      </c>
      <c r="O387" s="143" t="s">
        <v>152</v>
      </c>
      <c r="P387" s="144"/>
      <c r="Q387" s="44">
        <f>+Tabla2[[#Totals],[Trenes Puntuales]]/Tabla2[[#Totals],[Trenes Programados]]</f>
        <v>0.73849632871798121</v>
      </c>
      <c r="R387" s="44">
        <f>+Tabla2[[#Totals],[Trenes Puntuales]]/Tabla2[[#Totals],[Trenes Corridos]]</f>
        <v>0.53137010831943354</v>
      </c>
      <c r="S387" s="44">
        <f>+Tabla2[[#Totals],[Trenes Corridos]]/Tabla2[[#Totals],[Trenes Programados]]</f>
        <v>1.3897965225285753</v>
      </c>
      <c r="T387" s="40"/>
      <c r="U387" s="40"/>
      <c r="V387" s="16">
        <f>SUBTOTAL(109,Tabla2[Trenes Programados])</f>
        <v>1817485</v>
      </c>
      <c r="W387" s="16">
        <f>SUBTOTAL(109,Tabla2[Trenes Cancelados])</f>
        <v>152599</v>
      </c>
      <c r="X387" s="16">
        <f>SUBTOTAL(109,Tabla2[Trenes Corridos])</f>
        <v>2525934.3327478478</v>
      </c>
      <c r="Y387" s="16">
        <f>SUBTOTAL(109,Tabla2[Trenes Puntuales])</f>
        <v>1342206</v>
      </c>
      <c r="Z387" s="16">
        <f>SUBTOTAL(109,Tabla2[Trenes Atrasados])</f>
        <v>322680</v>
      </c>
      <c r="AA387" s="40">
        <f>SUBTOTAL(103,Tabla2[Observaciones])</f>
        <v>1</v>
      </c>
      <c r="AC387" s="143" t="s">
        <v>152</v>
      </c>
      <c r="AD387" s="144"/>
      <c r="AE387" s="44">
        <f>+Tabla9[[#Totals],[Trenes Puntuales]]/Tabla9[[#Totals],[Trenes Programados]]</f>
        <v>0.60133269054778404</v>
      </c>
      <c r="AF387" s="44">
        <f>+Tabla9[[#Totals],[Trenes Puntuales]]/Tabla9[[#Totals],[Trenes Corridos]]</f>
        <v>0.48029754347841114</v>
      </c>
      <c r="AG387" s="44">
        <f>+Tabla9[[#Totals],[Trenes Corridos]]/Tabla9[[#Totals],[Trenes Programados]]</f>
        <v>1.2520003458539721</v>
      </c>
      <c r="AH387" s="40"/>
      <c r="AI387" s="40"/>
      <c r="AJ387" s="16">
        <f>SUBTOTAL(109,Tabla9[Trenes Programados])</f>
        <v>244768</v>
      </c>
      <c r="AK387" s="16">
        <f>SUBTOTAL(109,Tabla9[Trenes Cancelados])</f>
        <v>38122</v>
      </c>
      <c r="AL387" s="16">
        <f>SUBTOTAL(109,Tabla9[Trenes Corridos])</f>
        <v>306449.62065398507</v>
      </c>
      <c r="AM387" s="16">
        <f>SUBTOTAL(109,Tabla9[Trenes Puntuales])</f>
        <v>147187</v>
      </c>
      <c r="AN387" s="16">
        <f>SUBTOTAL(109,Tabla9[Trenes Atrasados])</f>
        <v>59459</v>
      </c>
      <c r="AO387" s="40">
        <f>SUBTOTAL(103,Tabla9[Observaciones])</f>
        <v>10</v>
      </c>
      <c r="AQ387" s="143" t="s">
        <v>152</v>
      </c>
      <c r="AR387" s="144"/>
      <c r="AS387" s="44">
        <f>+Tabla10[[#Totals],[Trenes Puntuales]]/Tabla10[[#Totals],[Trenes Programados]]</f>
        <v>0.55143809566242319</v>
      </c>
      <c r="AT387" s="44">
        <f>+Tabla10[[#Totals],[Trenes Puntuales]]/Tabla10[[#Totals],[Trenes Corridos]]</f>
        <v>0.41203809984921963</v>
      </c>
      <c r="AU387" s="44">
        <f>+Tabla10[[#Totals],[Trenes Corridos]]/Tabla10[[#Totals],[Trenes Programados]]</f>
        <v>1.3383182183012088</v>
      </c>
      <c r="AV387" s="40"/>
      <c r="AW387" s="40"/>
      <c r="AX387" s="16">
        <f>SUBTOTAL(109,Tabla10[Trenes Programados])</f>
        <v>246889</v>
      </c>
      <c r="AY387" s="16">
        <f>SUBTOTAL(109,Tabla10[Trenes Cancelados])</f>
        <v>41154</v>
      </c>
      <c r="AZ387" s="16">
        <f>SUBTOTAL(109,Tabla10[Trenes Corridos])</f>
        <v>330416.04659816716</v>
      </c>
      <c r="BA387" s="16">
        <f>SUBTOTAL(109,Tabla10[Trenes Puntuales])</f>
        <v>136144</v>
      </c>
      <c r="BB387" s="16">
        <f>SUBTOTAL(109,Tabla10[Trenes Atrasados])</f>
        <v>69591</v>
      </c>
      <c r="BC387" s="18">
        <f>SUBTOTAL(103,Tabla10[Observaciones])</f>
        <v>28</v>
      </c>
    </row>
    <row r="388" spans="1:55" s="18" customFormat="1" ht="15" customHeight="1">
      <c r="A388" s="143"/>
      <c r="B388" s="144"/>
      <c r="C388" s="140"/>
      <c r="D388" s="140"/>
      <c r="E388" s="140"/>
      <c r="F388" s="141"/>
      <c r="G388" s="141"/>
      <c r="H388" s="141"/>
      <c r="I388" s="141"/>
      <c r="J388" s="141"/>
      <c r="K388" s="141"/>
      <c r="L388" s="141"/>
      <c r="M388" s="142"/>
      <c r="O388" s="143"/>
      <c r="P388" s="144"/>
      <c r="Q388" s="44"/>
      <c r="R388" s="44"/>
      <c r="S388" s="44"/>
      <c r="T388" s="40"/>
      <c r="U388" s="40"/>
      <c r="V388" s="16"/>
      <c r="W388" s="16"/>
      <c r="X388" s="16"/>
      <c r="Y388" s="16"/>
      <c r="Z388" s="16"/>
      <c r="AA388" s="40"/>
      <c r="AC388" s="143"/>
      <c r="AD388" s="144"/>
      <c r="AE388" s="44"/>
      <c r="AF388" s="44"/>
      <c r="AG388" s="44"/>
      <c r="AH388" s="40"/>
      <c r="AI388" s="40"/>
      <c r="AJ388" s="16"/>
      <c r="AK388" s="16"/>
      <c r="AL388" s="16"/>
      <c r="AM388" s="16"/>
      <c r="AN388" s="16"/>
      <c r="AO388" s="40"/>
      <c r="AQ388" s="143"/>
      <c r="AR388" s="144"/>
      <c r="AS388" s="44"/>
      <c r="AT388" s="44"/>
      <c r="AU388" s="44"/>
      <c r="AV388" s="40"/>
      <c r="AW388" s="40"/>
      <c r="AX388" s="16"/>
      <c r="AY388" s="16"/>
      <c r="AZ388" s="16"/>
      <c r="BA388" s="16"/>
      <c r="BB388" s="16"/>
    </row>
    <row r="389" spans="1:55" s="18" customFormat="1" ht="15" customHeight="1">
      <c r="A389" s="143"/>
      <c r="B389" s="144"/>
      <c r="C389" s="140"/>
      <c r="D389" s="140"/>
      <c r="E389" s="140"/>
      <c r="F389" s="141"/>
      <c r="G389" s="141"/>
      <c r="H389" s="141"/>
      <c r="I389" s="141"/>
      <c r="J389" s="141"/>
      <c r="K389" s="141"/>
      <c r="L389" s="141"/>
      <c r="M389" s="142"/>
      <c r="O389" s="143"/>
      <c r="P389" s="144"/>
      <c r="Q389" s="44"/>
      <c r="R389" s="44"/>
      <c r="S389" s="44"/>
      <c r="T389" s="40"/>
      <c r="U389" s="40"/>
      <c r="V389" s="16"/>
      <c r="W389" s="16"/>
      <c r="X389" s="16"/>
      <c r="Y389" s="16"/>
      <c r="Z389" s="16"/>
      <c r="AA389" s="40"/>
      <c r="AC389" s="143"/>
      <c r="AD389" s="144"/>
      <c r="AE389" s="44"/>
      <c r="AF389" s="44"/>
      <c r="AG389" s="44"/>
      <c r="AH389" s="40"/>
      <c r="AI389" s="40"/>
      <c r="AJ389" s="16"/>
      <c r="AK389" s="16"/>
      <c r="AL389" s="16"/>
      <c r="AM389" s="16"/>
      <c r="AN389" s="16"/>
      <c r="AO389" s="40"/>
      <c r="AQ389" s="143"/>
      <c r="AR389" s="144"/>
      <c r="AS389" s="44"/>
      <c r="AT389" s="44"/>
      <c r="AU389" s="44"/>
      <c r="AV389" s="40"/>
      <c r="AW389" s="40"/>
      <c r="AX389" s="16"/>
      <c r="AY389" s="16"/>
      <c r="AZ389" s="16"/>
      <c r="BA389" s="16"/>
      <c r="BB389" s="16"/>
    </row>
    <row r="390" spans="1:55" s="18" customFormat="1" ht="15" customHeight="1">
      <c r="A390" s="143"/>
      <c r="B390" s="144"/>
      <c r="C390" s="140"/>
      <c r="D390" s="140"/>
      <c r="E390" s="140"/>
      <c r="F390" s="141"/>
      <c r="G390" s="141"/>
      <c r="H390" s="141"/>
      <c r="I390" s="141"/>
      <c r="J390" s="141"/>
      <c r="K390" s="141"/>
      <c r="L390" s="141"/>
      <c r="M390" s="142"/>
      <c r="O390" s="143"/>
      <c r="P390" s="144"/>
      <c r="Q390" s="44"/>
      <c r="R390" s="44"/>
      <c r="S390" s="44"/>
      <c r="T390" s="40"/>
      <c r="U390" s="40"/>
      <c r="V390" s="16"/>
      <c r="W390" s="16"/>
      <c r="X390" s="16"/>
      <c r="Y390" s="16"/>
      <c r="Z390" s="16"/>
      <c r="AA390" s="40"/>
      <c r="AC390" s="143"/>
      <c r="AD390" s="144"/>
      <c r="AE390" s="44"/>
      <c r="AF390" s="44"/>
      <c r="AG390" s="44"/>
      <c r="AH390" s="40"/>
      <c r="AI390" s="40"/>
      <c r="AJ390" s="16"/>
      <c r="AK390" s="16"/>
      <c r="AL390" s="16"/>
      <c r="AM390" s="16"/>
      <c r="AN390" s="16"/>
      <c r="AO390" s="40"/>
      <c r="AQ390" s="143"/>
      <c r="AR390" s="144"/>
      <c r="AS390" s="44"/>
      <c r="AT390" s="44"/>
      <c r="AU390" s="44"/>
      <c r="AV390" s="40"/>
      <c r="AW390" s="40"/>
      <c r="AX390" s="16"/>
      <c r="AY390" s="16"/>
      <c r="AZ390" s="16"/>
      <c r="BA390" s="16"/>
      <c r="BB390" s="16"/>
    </row>
    <row r="391" spans="1:55" s="18" customFormat="1" ht="15" customHeight="1">
      <c r="A391" s="143"/>
      <c r="B391" s="144"/>
      <c r="C391" s="140"/>
      <c r="D391" s="140"/>
      <c r="E391" s="140"/>
      <c r="F391" s="141"/>
      <c r="G391" s="141"/>
      <c r="H391" s="141"/>
      <c r="I391" s="141"/>
      <c r="J391" s="141"/>
      <c r="K391" s="141"/>
      <c r="L391" s="141"/>
      <c r="M391" s="142"/>
      <c r="O391" s="143"/>
      <c r="P391" s="144"/>
      <c r="Q391" s="44"/>
      <c r="R391" s="44"/>
      <c r="S391" s="44"/>
      <c r="T391" s="40"/>
      <c r="U391" s="40"/>
      <c r="V391" s="16"/>
      <c r="W391" s="16"/>
      <c r="X391" s="16"/>
      <c r="Y391" s="16"/>
      <c r="Z391" s="16"/>
      <c r="AA391" s="40"/>
      <c r="AC391" s="143"/>
      <c r="AD391" s="144"/>
      <c r="AE391" s="44"/>
      <c r="AF391" s="44"/>
      <c r="AG391" s="44"/>
      <c r="AH391" s="40"/>
      <c r="AI391" s="40"/>
      <c r="AJ391" s="16"/>
      <c r="AK391" s="16"/>
      <c r="AL391" s="16"/>
      <c r="AM391" s="16"/>
      <c r="AN391" s="16"/>
      <c r="AO391" s="40"/>
      <c r="AQ391" s="143"/>
      <c r="AR391" s="144"/>
      <c r="AS391" s="44"/>
      <c r="AT391" s="44"/>
      <c r="AU391" s="44"/>
      <c r="AV391" s="40"/>
      <c r="AW391" s="40"/>
      <c r="AX391" s="16"/>
      <c r="AY391" s="16"/>
      <c r="AZ391" s="16"/>
      <c r="BA391" s="16"/>
      <c r="BB391" s="16"/>
    </row>
    <row r="392" spans="1:55" s="18" customFormat="1" ht="15" customHeight="1">
      <c r="A392" s="143"/>
      <c r="B392" s="144"/>
      <c r="C392" s="140"/>
      <c r="D392" s="140"/>
      <c r="E392" s="140"/>
      <c r="F392" s="141"/>
      <c r="G392" s="141"/>
      <c r="H392" s="141"/>
      <c r="I392" s="141"/>
      <c r="J392" s="141"/>
      <c r="K392" s="141"/>
      <c r="L392" s="141"/>
      <c r="M392" s="142"/>
      <c r="O392" s="143"/>
      <c r="P392" s="144"/>
      <c r="Q392" s="44"/>
      <c r="R392" s="44"/>
      <c r="S392" s="44"/>
      <c r="T392" s="40"/>
      <c r="U392" s="40"/>
      <c r="V392" s="16"/>
      <c r="W392" s="16"/>
      <c r="X392" s="16"/>
      <c r="Y392" s="16"/>
      <c r="Z392" s="16"/>
      <c r="AA392" s="40"/>
      <c r="AC392" s="143"/>
      <c r="AD392" s="144"/>
      <c r="AE392" s="44"/>
      <c r="AF392" s="44"/>
      <c r="AG392" s="44"/>
      <c r="AH392" s="40"/>
      <c r="AI392" s="40"/>
      <c r="AJ392" s="16"/>
      <c r="AK392" s="16"/>
      <c r="AL392" s="16"/>
      <c r="AM392" s="16"/>
      <c r="AN392" s="16"/>
      <c r="AO392" s="40"/>
      <c r="AQ392" s="143"/>
      <c r="AR392" s="144"/>
      <c r="AS392" s="44"/>
      <c r="AT392" s="44"/>
      <c r="AU392" s="44"/>
      <c r="AV392" s="40"/>
      <c r="AW392" s="40"/>
      <c r="AX392" s="16"/>
      <c r="AY392" s="16"/>
      <c r="AZ392" s="16"/>
      <c r="BA392" s="16"/>
      <c r="BB392" s="16"/>
    </row>
    <row r="393" spans="1:55" s="18" customFormat="1" ht="15" customHeight="1">
      <c r="A393" s="143"/>
      <c r="B393" s="144"/>
      <c r="C393" s="140"/>
      <c r="D393" s="140"/>
      <c r="E393" s="140"/>
      <c r="F393" s="141"/>
      <c r="G393" s="141"/>
      <c r="H393" s="141"/>
      <c r="I393" s="141"/>
      <c r="J393" s="141"/>
      <c r="K393" s="141"/>
      <c r="L393" s="141"/>
      <c r="M393" s="142"/>
      <c r="O393" s="143"/>
      <c r="P393" s="144"/>
      <c r="Q393" s="44"/>
      <c r="R393" s="44"/>
      <c r="S393" s="44"/>
      <c r="T393" s="40"/>
      <c r="U393" s="40"/>
      <c r="V393" s="16"/>
      <c r="W393" s="16"/>
      <c r="X393" s="16"/>
      <c r="Y393" s="16"/>
      <c r="Z393" s="16"/>
      <c r="AA393" s="40"/>
      <c r="AC393" s="143"/>
      <c r="AD393" s="144"/>
      <c r="AE393" s="44"/>
      <c r="AF393" s="44"/>
      <c r="AG393" s="44"/>
      <c r="AH393" s="40"/>
      <c r="AI393" s="40"/>
      <c r="AJ393" s="16"/>
      <c r="AK393" s="16"/>
      <c r="AL393" s="16"/>
      <c r="AM393" s="16"/>
      <c r="AN393" s="16"/>
      <c r="AO393" s="40"/>
      <c r="AQ393" s="143"/>
      <c r="AR393" s="144"/>
      <c r="AS393" s="44"/>
      <c r="AT393" s="44"/>
      <c r="AU393" s="44"/>
      <c r="AV393" s="40"/>
      <c r="AW393" s="40"/>
      <c r="AX393" s="16"/>
      <c r="AY393" s="16"/>
      <c r="AZ393" s="16"/>
      <c r="BA393" s="16"/>
      <c r="BB393" s="16"/>
    </row>
    <row r="394" spans="1:55" s="74" customFormat="1" ht="45" customHeight="1">
      <c r="A394" s="18"/>
      <c r="B394" s="18"/>
      <c r="C394" s="18"/>
      <c r="D394" s="18"/>
      <c r="E394" s="18"/>
      <c r="F394" s="18"/>
      <c r="G394" s="18"/>
      <c r="H394" s="18"/>
      <c r="I394" s="18"/>
      <c r="J394" s="18"/>
      <c r="K394" s="18"/>
      <c r="L394" s="18"/>
      <c r="M394" s="18"/>
      <c r="O394" s="18"/>
      <c r="P394" s="18"/>
      <c r="Q394" s="18"/>
      <c r="R394" s="18"/>
      <c r="S394" s="18"/>
      <c r="T394" s="18"/>
      <c r="U394" s="18"/>
      <c r="V394" s="18"/>
      <c r="W394" s="18"/>
      <c r="X394" s="18"/>
      <c r="Y394" s="18"/>
      <c r="Z394" s="18"/>
      <c r="AA394" s="18"/>
      <c r="AC394" s="18"/>
      <c r="AD394" s="18"/>
      <c r="AE394" s="18"/>
      <c r="AF394" s="18"/>
      <c r="AG394" s="18"/>
      <c r="AH394" s="18"/>
      <c r="AI394" s="18"/>
      <c r="AJ394" s="18"/>
      <c r="AK394" s="18"/>
      <c r="AL394" s="18"/>
      <c r="AM394" s="18"/>
      <c r="AN394" s="18"/>
      <c r="AO394" s="18"/>
    </row>
    <row r="395" spans="1:55" s="18" customFormat="1" ht="38.25">
      <c r="A395" s="187" t="s">
        <v>107</v>
      </c>
      <c r="B395" s="71" t="s">
        <v>116</v>
      </c>
      <c r="C395" s="71" t="s">
        <v>117</v>
      </c>
      <c r="D395" s="71" t="s">
        <v>118</v>
      </c>
      <c r="E395" s="71" t="s">
        <v>120</v>
      </c>
      <c r="F395" s="71" t="s">
        <v>119</v>
      </c>
      <c r="G395" s="74"/>
      <c r="H395" s="74"/>
      <c r="I395" s="74"/>
      <c r="J395" s="74"/>
      <c r="K395" s="74"/>
      <c r="L395" s="74"/>
      <c r="M395" s="74"/>
      <c r="O395" s="74"/>
      <c r="P395" s="74"/>
      <c r="Q395" s="74"/>
      <c r="R395" s="74"/>
      <c r="S395" s="74"/>
      <c r="T395" s="74"/>
      <c r="U395" s="74"/>
      <c r="V395" s="74"/>
      <c r="W395" s="74"/>
      <c r="X395" s="74"/>
      <c r="Y395" s="74"/>
      <c r="Z395" s="74"/>
      <c r="AA395" s="74"/>
      <c r="AC395" s="74"/>
      <c r="AD395" s="74"/>
      <c r="AE395" s="74"/>
      <c r="AF395" s="74"/>
      <c r="AG395" s="74"/>
      <c r="AH395" s="74"/>
      <c r="AI395" s="74"/>
      <c r="AJ395" s="74"/>
      <c r="AK395" s="74"/>
      <c r="AL395" s="74"/>
      <c r="AM395" s="74"/>
      <c r="AN395" s="74"/>
      <c r="AO395" s="74"/>
    </row>
    <row r="396" spans="1:55" s="18" customFormat="1" ht="15" customHeight="1">
      <c r="A396" s="188">
        <v>1993</v>
      </c>
      <c r="B396" s="186">
        <v>89549</v>
      </c>
      <c r="C396" s="186">
        <v>9188</v>
      </c>
      <c r="D396" s="186">
        <v>80361</v>
      </c>
      <c r="E396" s="186">
        <v>65536</v>
      </c>
      <c r="F396" s="186">
        <v>14825</v>
      </c>
    </row>
    <row r="397" spans="1:55" s="18" customFormat="1" ht="15" customHeight="1">
      <c r="A397" s="188">
        <v>1994</v>
      </c>
      <c r="B397" s="186">
        <v>88887</v>
      </c>
      <c r="C397" s="186">
        <v>13913</v>
      </c>
      <c r="D397" s="186">
        <v>74974</v>
      </c>
      <c r="E397" s="186">
        <v>57737</v>
      </c>
      <c r="F397" s="186">
        <v>17237</v>
      </c>
    </row>
    <row r="398" spans="1:55" s="18" customFormat="1" ht="15" customHeight="1">
      <c r="A398" s="188">
        <v>1995</v>
      </c>
      <c r="B398" s="186">
        <v>86864</v>
      </c>
      <c r="C398" s="186">
        <v>5776</v>
      </c>
      <c r="D398" s="186">
        <v>81088</v>
      </c>
      <c r="E398" s="186">
        <v>70765</v>
      </c>
      <c r="F398" s="186">
        <v>10323</v>
      </c>
    </row>
    <row r="399" spans="1:55" s="18" customFormat="1" ht="15" customHeight="1">
      <c r="A399" s="188">
        <v>1996</v>
      </c>
      <c r="B399" s="186">
        <v>99998</v>
      </c>
      <c r="C399" s="186">
        <v>1904</v>
      </c>
      <c r="D399" s="186">
        <v>98094</v>
      </c>
      <c r="E399" s="186">
        <v>94653</v>
      </c>
      <c r="F399" s="186">
        <v>3441</v>
      </c>
    </row>
    <row r="400" spans="1:55" s="18" customFormat="1" ht="15" customHeight="1">
      <c r="A400" s="188">
        <v>1997</v>
      </c>
      <c r="B400" s="186">
        <v>115847</v>
      </c>
      <c r="C400" s="186">
        <v>908</v>
      </c>
      <c r="D400" s="186">
        <v>114939</v>
      </c>
      <c r="E400" s="186">
        <v>109993</v>
      </c>
      <c r="F400" s="186">
        <v>4946</v>
      </c>
    </row>
    <row r="401" spans="1:80" s="18" customFormat="1" ht="15" customHeight="1">
      <c r="A401" s="188">
        <v>1998</v>
      </c>
      <c r="B401" s="186">
        <v>118245</v>
      </c>
      <c r="C401" s="186">
        <v>1378</v>
      </c>
      <c r="D401" s="186">
        <v>116867</v>
      </c>
      <c r="E401" s="186">
        <v>112680</v>
      </c>
      <c r="F401" s="186">
        <v>4187</v>
      </c>
    </row>
    <row r="402" spans="1:80" s="18" customFormat="1" ht="15" customHeight="1">
      <c r="A402" s="188">
        <v>1999</v>
      </c>
      <c r="B402" s="186">
        <v>118316</v>
      </c>
      <c r="C402" s="186">
        <v>1234</v>
      </c>
      <c r="D402" s="186">
        <v>117082</v>
      </c>
      <c r="E402" s="186">
        <v>112328</v>
      </c>
      <c r="F402" s="186">
        <v>4754</v>
      </c>
    </row>
    <row r="403" spans="1:80" s="18" customFormat="1" ht="15" customHeight="1">
      <c r="A403" s="188">
        <v>2000</v>
      </c>
      <c r="B403" s="186">
        <v>118677</v>
      </c>
      <c r="C403" s="186">
        <v>2276</v>
      </c>
      <c r="D403" s="186">
        <v>116401</v>
      </c>
      <c r="E403" s="186">
        <v>111140</v>
      </c>
      <c r="F403" s="186">
        <v>5261</v>
      </c>
    </row>
    <row r="404" spans="1:80" s="18" customFormat="1" ht="15" customHeight="1">
      <c r="A404" s="188">
        <v>2001</v>
      </c>
      <c r="B404" s="186">
        <v>116784</v>
      </c>
      <c r="C404" s="186">
        <v>4199</v>
      </c>
      <c r="D404" s="186">
        <v>112585</v>
      </c>
      <c r="E404" s="186">
        <v>107981</v>
      </c>
      <c r="F404" s="186">
        <v>4604</v>
      </c>
    </row>
    <row r="405" spans="1:80" s="18" customFormat="1" ht="15" customHeight="1">
      <c r="A405" s="188">
        <v>2002</v>
      </c>
      <c r="B405" s="186">
        <v>114242</v>
      </c>
      <c r="C405" s="186">
        <v>9452</v>
      </c>
      <c r="D405" s="186">
        <v>104790</v>
      </c>
      <c r="E405" s="186">
        <v>99216</v>
      </c>
      <c r="F405" s="186">
        <v>5574</v>
      </c>
    </row>
    <row r="406" spans="1:80" s="18" customFormat="1" ht="15" customHeight="1">
      <c r="A406" s="188">
        <v>2003</v>
      </c>
      <c r="B406" s="186">
        <v>109034</v>
      </c>
      <c r="C406" s="186">
        <v>6051</v>
      </c>
      <c r="D406" s="186">
        <v>102983</v>
      </c>
      <c r="E406" s="186">
        <v>90331</v>
      </c>
      <c r="F406" s="186">
        <v>12652</v>
      </c>
    </row>
    <row r="407" spans="1:80" s="18" customFormat="1" ht="15" customHeight="1">
      <c r="A407" s="188">
        <v>2004</v>
      </c>
      <c r="B407" s="186">
        <v>115442</v>
      </c>
      <c r="C407" s="186">
        <v>6033</v>
      </c>
      <c r="D407" s="186">
        <v>109409</v>
      </c>
      <c r="E407" s="186">
        <v>90626</v>
      </c>
      <c r="F407" s="186">
        <v>18783</v>
      </c>
    </row>
    <row r="408" spans="1:80" s="18" customFormat="1" ht="15" customHeight="1">
      <c r="A408" s="188">
        <v>2005</v>
      </c>
      <c r="B408" s="186">
        <v>119818</v>
      </c>
      <c r="C408" s="186">
        <v>8975</v>
      </c>
      <c r="D408" s="186">
        <v>110843</v>
      </c>
      <c r="E408" s="186">
        <v>85828</v>
      </c>
      <c r="F408" s="186">
        <v>25015</v>
      </c>
    </row>
    <row r="409" spans="1:80" s="18" customFormat="1" ht="15" customHeight="1">
      <c r="A409" s="188">
        <v>2006</v>
      </c>
      <c r="B409" s="186">
        <v>119327</v>
      </c>
      <c r="C409" s="186">
        <v>9211</v>
      </c>
      <c r="D409" s="186">
        <v>110116</v>
      </c>
      <c r="E409" s="186">
        <v>84767</v>
      </c>
      <c r="F409" s="186">
        <v>25349</v>
      </c>
    </row>
    <row r="410" spans="1:80" s="18" customFormat="1" ht="15" customHeight="1">
      <c r="A410" s="188">
        <v>2007</v>
      </c>
      <c r="B410" s="186">
        <v>123237</v>
      </c>
      <c r="C410" s="186">
        <v>7249</v>
      </c>
      <c r="D410" s="186">
        <v>115988</v>
      </c>
      <c r="E410" s="186">
        <v>91144</v>
      </c>
      <c r="F410" s="186">
        <v>24844</v>
      </c>
      <c r="AR410" s="21"/>
      <c r="AZ410" s="98"/>
      <c r="BF410" s="21"/>
      <c r="BN410" s="99">
        <f>SUM(BN134:BN149)</f>
        <v>0</v>
      </c>
      <c r="BT410" s="21"/>
      <c r="CB410" s="99">
        <f>SUM(CB134:CB149)</f>
        <v>0</v>
      </c>
    </row>
    <row r="411" spans="1:80" s="18" customFormat="1" ht="15" customHeight="1">
      <c r="A411" s="188">
        <v>2008</v>
      </c>
      <c r="B411" s="186">
        <v>125703</v>
      </c>
      <c r="C411" s="186">
        <v>3427</v>
      </c>
      <c r="D411" s="186">
        <v>122276</v>
      </c>
      <c r="E411" s="186">
        <v>110731</v>
      </c>
      <c r="F411" s="186">
        <v>11545</v>
      </c>
      <c r="J411" s="98"/>
      <c r="X411" s="98"/>
      <c r="AL411" s="98"/>
      <c r="AR411" s="21"/>
      <c r="AZ411" s="100"/>
      <c r="BF411" s="21"/>
      <c r="BN411" s="101" t="e">
        <f>+BN410/$J$411</f>
        <v>#DIV/0!</v>
      </c>
      <c r="BT411" s="21"/>
      <c r="CB411" s="101" t="e">
        <f>+CB410/$J$411</f>
        <v>#DIV/0!</v>
      </c>
    </row>
    <row r="412" spans="1:80" s="18" customFormat="1" ht="15" customHeight="1">
      <c r="A412" s="188">
        <v>2009</v>
      </c>
      <c r="B412" s="186">
        <v>125042</v>
      </c>
      <c r="C412" s="186">
        <v>3779</v>
      </c>
      <c r="D412" s="186">
        <v>121263</v>
      </c>
      <c r="E412" s="186">
        <v>105084</v>
      </c>
      <c r="F412" s="186">
        <v>16179</v>
      </c>
      <c r="X412" s="100"/>
      <c r="AL412" s="100"/>
    </row>
    <row r="413" spans="1:80" s="18" customFormat="1" ht="15" customHeight="1">
      <c r="A413" s="188">
        <v>2010</v>
      </c>
      <c r="B413" s="186">
        <v>124970</v>
      </c>
      <c r="C413" s="186">
        <v>6568</v>
      </c>
      <c r="D413" s="186">
        <v>118402</v>
      </c>
      <c r="E413" s="186">
        <v>96991</v>
      </c>
      <c r="F413" s="186">
        <v>21411</v>
      </c>
    </row>
    <row r="414" spans="1:80" s="18" customFormat="1" ht="15" customHeight="1">
      <c r="A414" s="188">
        <v>2011</v>
      </c>
      <c r="B414" s="186">
        <v>124805</v>
      </c>
      <c r="C414" s="186">
        <v>13697</v>
      </c>
      <c r="D414" s="186">
        <v>111108</v>
      </c>
      <c r="E414" s="186">
        <v>79730</v>
      </c>
      <c r="F414" s="186">
        <v>31378</v>
      </c>
    </row>
    <row r="415" spans="1:80" s="18" customFormat="1" ht="15" customHeight="1">
      <c r="A415" s="188">
        <v>2012</v>
      </c>
      <c r="B415" s="186">
        <v>123487</v>
      </c>
      <c r="C415" s="186">
        <v>33275</v>
      </c>
      <c r="D415" s="186">
        <v>90212</v>
      </c>
      <c r="E415" s="186">
        <v>51530</v>
      </c>
      <c r="F415" s="186">
        <v>38682</v>
      </c>
    </row>
    <row r="416" spans="1:80" s="18" customFormat="1" ht="15" customHeight="1">
      <c r="A416" s="188">
        <v>2013</v>
      </c>
      <c r="B416" s="186">
        <v>95177</v>
      </c>
      <c r="C416" s="186">
        <v>29095</v>
      </c>
      <c r="D416" s="186">
        <v>66082</v>
      </c>
      <c r="E416" s="186">
        <v>33614</v>
      </c>
      <c r="F416" s="186">
        <v>32468</v>
      </c>
    </row>
    <row r="417" spans="1:6" s="18" customFormat="1" ht="15" customHeight="1">
      <c r="A417" s="188">
        <v>2014</v>
      </c>
      <c r="B417" s="186">
        <v>80093</v>
      </c>
      <c r="C417" s="186">
        <v>12926</v>
      </c>
      <c r="D417" s="186">
        <v>67167</v>
      </c>
      <c r="E417" s="186">
        <v>46474</v>
      </c>
      <c r="F417" s="186">
        <v>20693</v>
      </c>
    </row>
    <row r="418" spans="1:6" s="18" customFormat="1" ht="15" customHeight="1">
      <c r="A418" s="188">
        <v>2015</v>
      </c>
      <c r="B418" s="186">
        <v>90035</v>
      </c>
      <c r="C418" s="186">
        <v>18166</v>
      </c>
      <c r="D418" s="186">
        <v>71869</v>
      </c>
      <c r="E418" s="186">
        <v>53675</v>
      </c>
      <c r="F418" s="186">
        <v>18194</v>
      </c>
    </row>
    <row r="419" spans="1:6" s="18" customFormat="1" ht="15" customHeight="1">
      <c r="A419" s="188">
        <v>2016</v>
      </c>
      <c r="B419" s="186">
        <v>93410</v>
      </c>
      <c r="C419" s="186">
        <v>9024</v>
      </c>
      <c r="D419" s="186">
        <v>84386</v>
      </c>
      <c r="E419" s="186">
        <v>72184</v>
      </c>
      <c r="F419" s="186">
        <v>12202</v>
      </c>
    </row>
    <row r="420" spans="1:6" s="18" customFormat="1" ht="15" customHeight="1">
      <c r="A420" s="188">
        <v>2017</v>
      </c>
      <c r="B420" s="186">
        <v>94380</v>
      </c>
      <c r="C420" s="186">
        <v>4513</v>
      </c>
      <c r="D420" s="186">
        <v>89867</v>
      </c>
      <c r="E420" s="186">
        <v>72973</v>
      </c>
      <c r="F420" s="186">
        <v>16894</v>
      </c>
    </row>
    <row r="421" spans="1:6" s="18" customFormat="1" ht="15" customHeight="1">
      <c r="A421" s="188">
        <v>2018</v>
      </c>
      <c r="B421" s="186">
        <v>106437</v>
      </c>
      <c r="C421" s="186">
        <v>4984</v>
      </c>
      <c r="D421" s="186">
        <v>101453</v>
      </c>
      <c r="E421" s="186">
        <v>89363</v>
      </c>
      <c r="F421" s="186">
        <v>12090</v>
      </c>
    </row>
    <row r="422" spans="1:6" s="18" customFormat="1" ht="15" customHeight="1">
      <c r="A422" s="188">
        <v>2019</v>
      </c>
      <c r="B422" s="186">
        <v>111578</v>
      </c>
      <c r="C422" s="186">
        <v>6434</v>
      </c>
      <c r="D422" s="186">
        <v>105144</v>
      </c>
      <c r="E422" s="186">
        <v>83740</v>
      </c>
      <c r="F422" s="186">
        <v>21404</v>
      </c>
    </row>
    <row r="423" spans="1:6" s="18" customFormat="1" ht="15" customHeight="1">
      <c r="A423" s="188">
        <v>2020</v>
      </c>
      <c r="B423" s="186">
        <v>99690</v>
      </c>
      <c r="C423" s="186">
        <v>15968</v>
      </c>
      <c r="D423" s="186">
        <v>83722</v>
      </c>
      <c r="E423" s="186">
        <v>74174</v>
      </c>
      <c r="F423" s="186">
        <v>9548</v>
      </c>
    </row>
    <row r="424" spans="1:6" s="18" customFormat="1" ht="15" customHeight="1">
      <c r="A424" s="188">
        <v>2021</v>
      </c>
      <c r="B424" s="186">
        <v>95587</v>
      </c>
      <c r="C424" s="186">
        <v>7956</v>
      </c>
      <c r="D424" s="186">
        <v>87631</v>
      </c>
      <c r="E424" s="186">
        <v>69484</v>
      </c>
      <c r="F424" s="186">
        <v>18147</v>
      </c>
    </row>
    <row r="425" spans="1:6" s="18" customFormat="1" ht="15" customHeight="1">
      <c r="A425" s="188">
        <v>2022</v>
      </c>
      <c r="B425" s="186">
        <v>110779</v>
      </c>
      <c r="C425" s="186">
        <v>11896</v>
      </c>
      <c r="D425" s="186">
        <v>98883</v>
      </c>
      <c r="E425" s="186">
        <v>75386</v>
      </c>
      <c r="F425" s="186">
        <v>23497</v>
      </c>
    </row>
    <row r="426" spans="1:6" s="18" customFormat="1" ht="15" customHeight="1">
      <c r="A426" s="188">
        <v>2023</v>
      </c>
      <c r="B426" s="186">
        <v>116000</v>
      </c>
      <c r="C426" s="186">
        <v>10065</v>
      </c>
      <c r="D426" s="186">
        <v>105935</v>
      </c>
      <c r="E426" s="186">
        <v>79607</v>
      </c>
      <c r="F426" s="186">
        <v>26328</v>
      </c>
    </row>
    <row r="427" spans="1:6" s="18" customFormat="1" ht="15" customHeight="1">
      <c r="A427" s="188">
        <v>2024</v>
      </c>
      <c r="B427" s="186">
        <v>78119</v>
      </c>
      <c r="C427" s="186">
        <v>7239</v>
      </c>
      <c r="D427" s="186">
        <v>70880</v>
      </c>
      <c r="E427" s="186">
        <v>48208</v>
      </c>
      <c r="F427" s="186">
        <v>22672</v>
      </c>
    </row>
    <row r="428" spans="1:6" s="18" customFormat="1" ht="15" customHeight="1"/>
    <row r="429" spans="1:6" s="18" customFormat="1" ht="15" customHeight="1"/>
    <row r="430" spans="1:6" s="18" customFormat="1" ht="15" customHeight="1"/>
    <row r="431" spans="1:6" s="18" customFormat="1" ht="15" customHeight="1"/>
    <row r="432" spans="1:6" s="18" customFormat="1" ht="15" customHeight="1"/>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5" customHeight="1"/>
    <row r="658" s="18" customFormat="1" ht="15" customHeight="1"/>
    <row r="659" s="18" customFormat="1" ht="15" customHeight="1"/>
    <row r="660" s="18" customFormat="1" ht="15" customHeight="1"/>
    <row r="661" s="18" customFormat="1" ht="15" customHeight="1"/>
    <row r="662" s="18" customFormat="1" ht="15" customHeight="1"/>
    <row r="663" s="18" customFormat="1" ht="15" customHeight="1"/>
    <row r="664" s="18" customFormat="1" ht="15" customHeight="1"/>
    <row r="665" s="18" customFormat="1" ht="15" customHeight="1"/>
    <row r="666" s="18" customFormat="1" ht="15" customHeight="1"/>
    <row r="667" s="18" customFormat="1" ht="12.75"/>
    <row r="668" s="18" customFormat="1" ht="12.75"/>
    <row r="669" s="18" customFormat="1" ht="12.75"/>
    <row r="670" s="18" customFormat="1" ht="12.75"/>
    <row r="671" s="18" customFormat="1" ht="12.75"/>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pans="1:41" s="18" customFormat="1" ht="12.75"/>
    <row r="706" spans="1:41" s="18" customFormat="1" ht="12.75"/>
    <row r="707" spans="1:41" s="18" customFormat="1" ht="12.75"/>
    <row r="708" spans="1:41" s="18" customFormat="1" ht="12.75"/>
    <row r="709" spans="1:41" s="18" customFormat="1" ht="12.75"/>
    <row r="710" spans="1:41" s="18" customFormat="1" ht="12.75"/>
    <row r="711" spans="1:41" s="18" customFormat="1" ht="12.75"/>
    <row r="712" spans="1:41" s="18" customFormat="1" ht="12.75"/>
    <row r="713" spans="1:41" s="18" customFormat="1" ht="12.75"/>
    <row r="714" spans="1:41" s="18" customFormat="1" ht="12.75"/>
    <row r="715" spans="1:41" s="18" customFormat="1" ht="12.75"/>
    <row r="716" spans="1:41" s="18" customFormat="1" ht="12.75"/>
    <row r="717" spans="1:41" s="18" customFormat="1" ht="12.75"/>
    <row r="718" spans="1:41" s="18" customFormat="1" ht="12.75"/>
    <row r="719" spans="1:41" s="18" customFormat="1" ht="12.75"/>
    <row r="720" spans="1:41">
      <c r="A720" s="18"/>
      <c r="B720" s="18"/>
      <c r="C720" s="18"/>
      <c r="D720" s="18"/>
      <c r="E720" s="18"/>
      <c r="F720" s="18"/>
      <c r="G720" s="18"/>
      <c r="H720" s="18"/>
      <c r="I720" s="18"/>
      <c r="J720" s="18"/>
      <c r="K720" s="18"/>
      <c r="L720" s="18"/>
      <c r="M720" s="18"/>
      <c r="O720" s="18"/>
      <c r="P720" s="18"/>
      <c r="Q720" s="18"/>
      <c r="R720" s="18"/>
      <c r="S720" s="18"/>
      <c r="T720" s="18"/>
      <c r="U720" s="18"/>
      <c r="V720" s="18"/>
      <c r="W720" s="18"/>
      <c r="X720" s="18"/>
      <c r="Y720" s="18"/>
      <c r="Z720" s="18"/>
      <c r="AA720" s="18"/>
      <c r="AC720" s="18"/>
      <c r="AD720" s="18"/>
      <c r="AE720" s="18"/>
      <c r="AF720" s="18"/>
      <c r="AG720" s="18"/>
      <c r="AH720" s="18"/>
      <c r="AI720" s="18"/>
      <c r="AJ720" s="18"/>
      <c r="AK720" s="18"/>
      <c r="AL720" s="18"/>
      <c r="AM720" s="18"/>
      <c r="AN720" s="18"/>
      <c r="AO720" s="18"/>
    </row>
  </sheetData>
  <phoneticPr fontId="0" type="noConversion"/>
  <printOptions horizontalCentered="1"/>
  <pageMargins left="0.39370078740157483" right="0.39370078740157483" top="1.3779527559055118" bottom="0.39370078740157483" header="0.59055118110236227" footer="0"/>
  <pageSetup paperSize="9" scale="10" orientation="portrait" horizontalDpi="300" verticalDpi="300" r:id="rId2"/>
  <headerFooter alignWithMargins="0">
    <oddHeader>&amp;C&amp;14Cumplimiento del Servicio de Trenes
Línea Sarmiento</oddHeader>
  </headerFooter>
  <ignoredErrors>
    <ignoredError sqref="H6:K130 H131:L133 C6:E352 C353:E354 C355:G355 C356:E356 C357:E359 C360:E362 C363:E364 C365:E367 I355 C368:E368 C369:E369 C370:E370 C371:E371 C372:E372 C373:G373 C374:F374 C375:E375 C376:E376 C377:E377 C378:E378 C379:E379 C380:L380 C381:E381 C382:E382 C383:F383 C384:E385 C386:E386" calculatedColumn="1"/>
  </ignoredErrors>
  <tableParts count="4">
    <tablePart r:id="rId3"/>
    <tablePart r:id="rId4"/>
    <tablePart r:id="rId5"/>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M720"/>
  <sheetViews>
    <sheetView showGridLines="0" zoomScale="80" zoomScaleNormal="80" workbookViewId="0">
      <pane ySplit="5" topLeftCell="A374" activePane="bottomLeft" state="frozen"/>
      <selection activeCell="G390" sqref="G390"/>
      <selection pane="bottomLeft" activeCell="D417" sqref="D417"/>
    </sheetView>
  </sheetViews>
  <sheetFormatPr baseColWidth="10" defaultColWidth="10.88671875" defaultRowHeight="12.75"/>
  <cols>
    <col min="1" max="2" width="8.77734375" style="1" customWidth="1"/>
    <col min="3" max="5" width="8.77734375" style="47" customWidth="1"/>
    <col min="6" max="12" width="8.77734375" style="39" customWidth="1"/>
    <col min="13" max="13" width="25.77734375" style="1" customWidth="1"/>
    <col min="14" max="26" width="8.77734375" style="1" customWidth="1"/>
    <col min="27" max="27" width="25.77734375" style="1" customWidth="1"/>
    <col min="28" max="40" width="8.77734375" style="1" customWidth="1"/>
    <col min="41" max="41" width="25.77734375" style="1" customWidth="1"/>
    <col min="42" max="54" width="8.77734375" style="1" customWidth="1"/>
    <col min="55" max="55" width="25.77734375" style="1" customWidth="1"/>
    <col min="56" max="68" width="8.77734375" style="1" customWidth="1"/>
    <col min="69" max="69" width="25.77734375" style="1" customWidth="1"/>
    <col min="70" max="82" width="8.77734375" style="1" customWidth="1"/>
    <col min="83" max="83" width="25.77734375" style="1" customWidth="1"/>
    <col min="84" max="84" width="8.77734375" style="1" customWidth="1"/>
    <col min="85" max="16384" width="10.88671875" style="1"/>
  </cols>
  <sheetData>
    <row r="1" spans="1:13" s="36" customFormat="1" ht="30">
      <c r="A1" s="113" t="s">
        <v>7</v>
      </c>
    </row>
    <row r="2" spans="1:13" s="36" customFormat="1" ht="29.25">
      <c r="A2" s="115" t="s">
        <v>0</v>
      </c>
    </row>
    <row r="3" spans="1:13" s="10" customFormat="1" ht="29.25">
      <c r="A3" s="114" t="s">
        <v>21</v>
      </c>
      <c r="C3" s="9"/>
      <c r="D3" s="9"/>
      <c r="E3" s="9"/>
      <c r="F3" s="9"/>
      <c r="G3" s="9"/>
      <c r="H3" s="9"/>
      <c r="I3" s="9"/>
      <c r="J3" s="9"/>
      <c r="K3" s="9"/>
      <c r="L3" s="9"/>
    </row>
    <row r="4" spans="1:13">
      <c r="B4" s="38"/>
    </row>
    <row r="5" spans="1:13" s="65" customFormat="1" ht="45" customHeight="1">
      <c r="A5" s="12" t="s">
        <v>32</v>
      </c>
      <c r="B5" s="12" t="s">
        <v>31</v>
      </c>
      <c r="C5" s="12" t="s">
        <v>8</v>
      </c>
      <c r="D5" s="12" t="s">
        <v>10</v>
      </c>
      <c r="E5" s="12" t="s">
        <v>9</v>
      </c>
      <c r="F5" s="12" t="s">
        <v>99</v>
      </c>
      <c r="G5" s="12" t="s">
        <v>98</v>
      </c>
      <c r="H5" s="12" t="s">
        <v>52</v>
      </c>
      <c r="I5" s="12" t="s">
        <v>53</v>
      </c>
      <c r="J5" s="12" t="s">
        <v>27</v>
      </c>
      <c r="K5" s="12" t="s">
        <v>54</v>
      </c>
      <c r="L5" s="12" t="s">
        <v>55</v>
      </c>
      <c r="M5" s="12" t="s">
        <v>34</v>
      </c>
    </row>
    <row r="6" spans="1:13" s="18" customFormat="1" ht="15" customHeight="1">
      <c r="A6" s="82">
        <v>1993</v>
      </c>
      <c r="B6" s="83" t="s">
        <v>36</v>
      </c>
      <c r="C6" s="15">
        <f t="shared" ref="C6:C69" si="0">K6/H6</f>
        <v>0.88882126191925337</v>
      </c>
      <c r="D6" s="15">
        <f t="shared" ref="D6:D69" si="1">K6/J6</f>
        <v>0.95948313622426629</v>
      </c>
      <c r="E6" s="15">
        <f t="shared" ref="E6:E69" si="2">J6/H6</f>
        <v>0.92635423006695072</v>
      </c>
      <c r="F6" s="16"/>
      <c r="G6" s="16"/>
      <c r="H6" s="16">
        <v>4929</v>
      </c>
      <c r="I6" s="16">
        <f t="shared" ref="I6:I17" si="3">H6-J6</f>
        <v>363</v>
      </c>
      <c r="J6" s="16">
        <v>4566</v>
      </c>
      <c r="K6" s="16">
        <v>4381</v>
      </c>
      <c r="L6" s="16">
        <f t="shared" ref="L6:L17" si="4">J6-K6</f>
        <v>185</v>
      </c>
    </row>
    <row r="7" spans="1:13" s="18" customFormat="1" ht="15" customHeight="1">
      <c r="A7" s="82">
        <v>1993</v>
      </c>
      <c r="B7" s="83" t="s">
        <v>37</v>
      </c>
      <c r="C7" s="15">
        <f t="shared" si="0"/>
        <v>0.94122731201382892</v>
      </c>
      <c r="D7" s="15">
        <f t="shared" si="1"/>
        <v>0.96972395369545861</v>
      </c>
      <c r="E7" s="15">
        <f t="shared" si="2"/>
        <v>0.9706136560069144</v>
      </c>
      <c r="F7" s="16"/>
      <c r="G7" s="16"/>
      <c r="H7" s="16">
        <v>4628</v>
      </c>
      <c r="I7" s="16">
        <f t="shared" si="3"/>
        <v>136</v>
      </c>
      <c r="J7" s="16">
        <v>4492</v>
      </c>
      <c r="K7" s="16">
        <v>4356</v>
      </c>
      <c r="L7" s="16">
        <f t="shared" si="4"/>
        <v>136</v>
      </c>
    </row>
    <row r="8" spans="1:13" s="18" customFormat="1" ht="15" customHeight="1">
      <c r="A8" s="82">
        <v>1993</v>
      </c>
      <c r="B8" s="83" t="s">
        <v>38</v>
      </c>
      <c r="C8" s="15">
        <f t="shared" si="0"/>
        <v>0.88090190788205824</v>
      </c>
      <c r="D8" s="15">
        <f t="shared" si="1"/>
        <v>0.94539813857290589</v>
      </c>
      <c r="E8" s="15">
        <f t="shared" si="2"/>
        <v>0.93177876276739258</v>
      </c>
      <c r="F8" s="16"/>
      <c r="G8" s="16"/>
      <c r="H8" s="16">
        <v>5189</v>
      </c>
      <c r="I8" s="16">
        <f t="shared" si="3"/>
        <v>354</v>
      </c>
      <c r="J8" s="16">
        <v>4835</v>
      </c>
      <c r="K8" s="16">
        <v>4571</v>
      </c>
      <c r="L8" s="16">
        <f t="shared" si="4"/>
        <v>264</v>
      </c>
    </row>
    <row r="9" spans="1:13" s="18" customFormat="1" ht="15" customHeight="1">
      <c r="A9" s="82">
        <v>1993</v>
      </c>
      <c r="B9" s="83" t="s">
        <v>39</v>
      </c>
      <c r="C9" s="15">
        <f t="shared" si="0"/>
        <v>0.91029832447895387</v>
      </c>
      <c r="D9" s="15">
        <f t="shared" si="1"/>
        <v>0.96220302375809941</v>
      </c>
      <c r="E9" s="15">
        <f t="shared" si="2"/>
        <v>0.9460563955864324</v>
      </c>
      <c r="F9" s="16"/>
      <c r="G9" s="16"/>
      <c r="H9" s="16">
        <v>4894</v>
      </c>
      <c r="I9" s="16">
        <f t="shared" si="3"/>
        <v>264</v>
      </c>
      <c r="J9" s="16">
        <v>4630</v>
      </c>
      <c r="K9" s="16">
        <v>4455</v>
      </c>
      <c r="L9" s="16">
        <f t="shared" si="4"/>
        <v>175</v>
      </c>
    </row>
    <row r="10" spans="1:13" s="18" customFormat="1" ht="15" customHeight="1">
      <c r="A10" s="82">
        <v>1993</v>
      </c>
      <c r="B10" s="83" t="s">
        <v>40</v>
      </c>
      <c r="C10" s="15">
        <f t="shared" si="0"/>
        <v>0.94308608999383603</v>
      </c>
      <c r="D10" s="15">
        <f t="shared" si="1"/>
        <v>0.97286986011021614</v>
      </c>
      <c r="E10" s="15">
        <f t="shared" si="2"/>
        <v>0.96938565851654002</v>
      </c>
      <c r="F10" s="16"/>
      <c r="G10" s="16"/>
      <c r="H10" s="16">
        <v>4867</v>
      </c>
      <c r="I10" s="16">
        <f t="shared" si="3"/>
        <v>149</v>
      </c>
      <c r="J10" s="16">
        <v>4718</v>
      </c>
      <c r="K10" s="16">
        <v>4590</v>
      </c>
      <c r="L10" s="16">
        <f t="shared" si="4"/>
        <v>128</v>
      </c>
    </row>
    <row r="11" spans="1:13" s="18" customFormat="1" ht="15" customHeight="1">
      <c r="A11" s="82">
        <v>1993</v>
      </c>
      <c r="B11" s="83" t="s">
        <v>41</v>
      </c>
      <c r="C11" s="15">
        <f t="shared" si="0"/>
        <v>0.89599509603596239</v>
      </c>
      <c r="D11" s="15">
        <f t="shared" si="1"/>
        <v>0.96056955093099672</v>
      </c>
      <c r="E11" s="15">
        <f t="shared" si="2"/>
        <v>0.93277482631794029</v>
      </c>
      <c r="F11" s="16"/>
      <c r="G11" s="16"/>
      <c r="H11" s="16">
        <v>4894</v>
      </c>
      <c r="I11" s="16">
        <f t="shared" si="3"/>
        <v>329</v>
      </c>
      <c r="J11" s="16">
        <v>4565</v>
      </c>
      <c r="K11" s="16">
        <v>4385</v>
      </c>
      <c r="L11" s="16">
        <f t="shared" si="4"/>
        <v>180</v>
      </c>
    </row>
    <row r="12" spans="1:13" s="18" customFormat="1" ht="15" customHeight="1">
      <c r="A12" s="82">
        <v>1993</v>
      </c>
      <c r="B12" s="83" t="s">
        <v>42</v>
      </c>
      <c r="C12" s="15">
        <f t="shared" si="0"/>
        <v>0.90688902124280324</v>
      </c>
      <c r="D12" s="15">
        <f t="shared" si="1"/>
        <v>0.95186497186913943</v>
      </c>
      <c r="E12" s="15">
        <f t="shared" si="2"/>
        <v>0.95274965257097477</v>
      </c>
      <c r="F12" s="16"/>
      <c r="G12" s="16"/>
      <c r="H12" s="16">
        <v>5037</v>
      </c>
      <c r="I12" s="16">
        <f t="shared" si="3"/>
        <v>238</v>
      </c>
      <c r="J12" s="16">
        <v>4799</v>
      </c>
      <c r="K12" s="16">
        <v>4568</v>
      </c>
      <c r="L12" s="16">
        <f t="shared" si="4"/>
        <v>231</v>
      </c>
    </row>
    <row r="13" spans="1:13" s="18" customFormat="1" ht="15" customHeight="1">
      <c r="A13" s="82">
        <v>1993</v>
      </c>
      <c r="B13" s="83" t="s">
        <v>43</v>
      </c>
      <c r="C13" s="15">
        <f t="shared" si="0"/>
        <v>0.9563643675849588</v>
      </c>
      <c r="D13" s="15">
        <f t="shared" si="1"/>
        <v>0.98366080661840749</v>
      </c>
      <c r="E13" s="15">
        <f t="shared" si="2"/>
        <v>0.9722501508143977</v>
      </c>
      <c r="F13" s="16"/>
      <c r="G13" s="16"/>
      <c r="H13" s="16">
        <v>4973</v>
      </c>
      <c r="I13" s="16">
        <f t="shared" si="3"/>
        <v>138</v>
      </c>
      <c r="J13" s="16">
        <v>4835</v>
      </c>
      <c r="K13" s="16">
        <v>4756</v>
      </c>
      <c r="L13" s="16">
        <f t="shared" si="4"/>
        <v>79</v>
      </c>
    </row>
    <row r="14" spans="1:13" s="18" customFormat="1" ht="15" customHeight="1">
      <c r="A14" s="82">
        <v>1993</v>
      </c>
      <c r="B14" s="83" t="s">
        <v>44</v>
      </c>
      <c r="C14" s="15">
        <f t="shared" si="0"/>
        <v>0.9490203918432627</v>
      </c>
      <c r="D14" s="15">
        <f t="shared" si="1"/>
        <v>0.97414323825159044</v>
      </c>
      <c r="E14" s="15">
        <f t="shared" si="2"/>
        <v>0.97421031587365059</v>
      </c>
      <c r="F14" s="16"/>
      <c r="G14" s="16"/>
      <c r="H14" s="16">
        <v>5002</v>
      </c>
      <c r="I14" s="16">
        <f t="shared" si="3"/>
        <v>129</v>
      </c>
      <c r="J14" s="16">
        <v>4873</v>
      </c>
      <c r="K14" s="16">
        <v>4747</v>
      </c>
      <c r="L14" s="16">
        <f t="shared" si="4"/>
        <v>126</v>
      </c>
    </row>
    <row r="15" spans="1:13" s="18" customFormat="1" ht="15" customHeight="1">
      <c r="A15" s="82">
        <v>1993</v>
      </c>
      <c r="B15" s="83" t="s">
        <v>45</v>
      </c>
      <c r="C15" s="15">
        <f t="shared" si="0"/>
        <v>0.92067356461756944</v>
      </c>
      <c r="D15" s="15">
        <f t="shared" si="1"/>
        <v>0.97340197340197343</v>
      </c>
      <c r="E15" s="15">
        <f t="shared" si="2"/>
        <v>0.94583079732197195</v>
      </c>
      <c r="F15" s="16"/>
      <c r="G15" s="16"/>
      <c r="H15" s="16">
        <v>4929</v>
      </c>
      <c r="I15" s="16">
        <f t="shared" si="3"/>
        <v>267</v>
      </c>
      <c r="J15" s="16">
        <v>4662</v>
      </c>
      <c r="K15" s="16">
        <v>4538</v>
      </c>
      <c r="L15" s="16">
        <f t="shared" si="4"/>
        <v>124</v>
      </c>
    </row>
    <row r="16" spans="1:13" s="18" customFormat="1" ht="15" customHeight="1">
      <c r="A16" s="82">
        <v>1993</v>
      </c>
      <c r="B16" s="83" t="s">
        <v>46</v>
      </c>
      <c r="C16" s="15">
        <f t="shared" si="0"/>
        <v>0.92622950819672134</v>
      </c>
      <c r="D16" s="15">
        <f t="shared" si="1"/>
        <v>0.98386069229135698</v>
      </c>
      <c r="E16" s="15">
        <f t="shared" si="2"/>
        <v>0.94142343062774891</v>
      </c>
      <c r="F16" s="16"/>
      <c r="G16" s="16"/>
      <c r="H16" s="16">
        <v>5002</v>
      </c>
      <c r="I16" s="16">
        <f t="shared" si="3"/>
        <v>293</v>
      </c>
      <c r="J16" s="16">
        <v>4709</v>
      </c>
      <c r="K16" s="16">
        <v>4633</v>
      </c>
      <c r="L16" s="16">
        <f t="shared" si="4"/>
        <v>76</v>
      </c>
    </row>
    <row r="17" spans="1:12" s="18" customFormat="1" ht="15" customHeight="1">
      <c r="A17" s="82">
        <v>1993</v>
      </c>
      <c r="B17" s="83" t="s">
        <v>47</v>
      </c>
      <c r="C17" s="15">
        <f t="shared" si="0"/>
        <v>0.90321951219512198</v>
      </c>
      <c r="D17" s="15">
        <f t="shared" si="1"/>
        <v>0.96983029541169075</v>
      </c>
      <c r="E17" s="15">
        <f t="shared" si="2"/>
        <v>0.93131707317073176</v>
      </c>
      <c r="F17" s="16"/>
      <c r="G17" s="16"/>
      <c r="H17" s="16">
        <v>5125</v>
      </c>
      <c r="I17" s="16">
        <f t="shared" si="3"/>
        <v>352</v>
      </c>
      <c r="J17" s="16">
        <v>4773</v>
      </c>
      <c r="K17" s="16">
        <v>4629</v>
      </c>
      <c r="L17" s="16">
        <f t="shared" si="4"/>
        <v>144</v>
      </c>
    </row>
    <row r="18" spans="1:12" s="18" customFormat="1" ht="15" customHeight="1">
      <c r="A18" s="82">
        <v>1994</v>
      </c>
      <c r="B18" s="83" t="s">
        <v>36</v>
      </c>
      <c r="C18" s="15">
        <f t="shared" si="0"/>
        <v>0.96521558008748176</v>
      </c>
      <c r="D18" s="15">
        <f t="shared" si="1"/>
        <v>0.98177966101694913</v>
      </c>
      <c r="E18" s="15">
        <f t="shared" si="2"/>
        <v>0.98312851489273068</v>
      </c>
      <c r="F18" s="16"/>
      <c r="G18" s="16"/>
      <c r="H18" s="16">
        <v>4801</v>
      </c>
      <c r="I18" s="16">
        <f t="shared" ref="I18:I29" si="5">H18-J18</f>
        <v>81</v>
      </c>
      <c r="J18" s="16">
        <v>4720</v>
      </c>
      <c r="K18" s="16">
        <v>4634</v>
      </c>
      <c r="L18" s="16">
        <f t="shared" ref="L18:L29" si="6">J18-K18</f>
        <v>86</v>
      </c>
    </row>
    <row r="19" spans="1:12" s="18" customFormat="1" ht="15" customHeight="1">
      <c r="A19" s="82">
        <v>1994</v>
      </c>
      <c r="B19" s="83" t="s">
        <v>37</v>
      </c>
      <c r="C19" s="15">
        <f t="shared" si="0"/>
        <v>0.9445164075993091</v>
      </c>
      <c r="D19" s="15">
        <f t="shared" si="1"/>
        <v>0.97308718861209964</v>
      </c>
      <c r="E19" s="15">
        <f t="shared" si="2"/>
        <v>0.97063903281519859</v>
      </c>
      <c r="F19" s="16"/>
      <c r="G19" s="16"/>
      <c r="H19" s="16">
        <v>4632</v>
      </c>
      <c r="I19" s="16">
        <f t="shared" si="5"/>
        <v>136</v>
      </c>
      <c r="J19" s="16">
        <v>4496</v>
      </c>
      <c r="K19" s="16">
        <v>4375</v>
      </c>
      <c r="L19" s="16">
        <f t="shared" si="6"/>
        <v>121</v>
      </c>
    </row>
    <row r="20" spans="1:12" s="18" customFormat="1" ht="15" customHeight="1">
      <c r="A20" s="82">
        <v>1994</v>
      </c>
      <c r="B20" s="83" t="s">
        <v>38</v>
      </c>
      <c r="C20" s="15">
        <f t="shared" si="0"/>
        <v>0.97009102730819241</v>
      </c>
      <c r="D20" s="15">
        <f t="shared" si="1"/>
        <v>0.98361273309474473</v>
      </c>
      <c r="E20" s="15">
        <f t="shared" si="2"/>
        <v>0.98625301876277172</v>
      </c>
      <c r="F20" s="16"/>
      <c r="G20" s="16"/>
      <c r="H20" s="16">
        <v>5383</v>
      </c>
      <c r="I20" s="16">
        <f t="shared" si="5"/>
        <v>74</v>
      </c>
      <c r="J20" s="16">
        <v>5309</v>
      </c>
      <c r="K20" s="16">
        <v>5222</v>
      </c>
      <c r="L20" s="16">
        <f t="shared" si="6"/>
        <v>87</v>
      </c>
    </row>
    <row r="21" spans="1:12" s="18" customFormat="1" ht="15" customHeight="1">
      <c r="A21" s="82">
        <v>1994</v>
      </c>
      <c r="B21" s="83" t="s">
        <v>39</v>
      </c>
      <c r="C21" s="15">
        <f t="shared" si="0"/>
        <v>0.96686976389946688</v>
      </c>
      <c r="D21" s="15">
        <f t="shared" si="1"/>
        <v>0.98793774319066152</v>
      </c>
      <c r="E21" s="15">
        <f t="shared" si="2"/>
        <v>0.97867479055597872</v>
      </c>
      <c r="F21" s="16"/>
      <c r="G21" s="16"/>
      <c r="H21" s="16">
        <v>5252</v>
      </c>
      <c r="I21" s="16">
        <f t="shared" si="5"/>
        <v>112</v>
      </c>
      <c r="J21" s="16">
        <v>5140</v>
      </c>
      <c r="K21" s="16">
        <v>5078</v>
      </c>
      <c r="L21" s="16">
        <f t="shared" si="6"/>
        <v>62</v>
      </c>
    </row>
    <row r="22" spans="1:12" s="18" customFormat="1" ht="15" customHeight="1">
      <c r="A22" s="82">
        <v>1994</v>
      </c>
      <c r="B22" s="83" t="s">
        <v>40</v>
      </c>
      <c r="C22" s="15">
        <f t="shared" si="0"/>
        <v>0.96795601061812664</v>
      </c>
      <c r="D22" s="15">
        <f t="shared" si="1"/>
        <v>0.97947045280122791</v>
      </c>
      <c r="E22" s="15">
        <f t="shared" si="2"/>
        <v>0.98824421691315889</v>
      </c>
      <c r="F22" s="16"/>
      <c r="G22" s="16"/>
      <c r="H22" s="16">
        <v>5274</v>
      </c>
      <c r="I22" s="16">
        <f t="shared" si="5"/>
        <v>62</v>
      </c>
      <c r="J22" s="16">
        <v>5212</v>
      </c>
      <c r="K22" s="16">
        <v>5105</v>
      </c>
      <c r="L22" s="16">
        <f t="shared" si="6"/>
        <v>107</v>
      </c>
    </row>
    <row r="23" spans="1:12" s="18" customFormat="1" ht="15" customHeight="1">
      <c r="A23" s="82">
        <v>1994</v>
      </c>
      <c r="B23" s="83" t="s">
        <v>41</v>
      </c>
      <c r="C23" s="15">
        <f t="shared" si="0"/>
        <v>0.92412297989751679</v>
      </c>
      <c r="D23" s="15">
        <f t="shared" si="1"/>
        <v>0.9511156186612576</v>
      </c>
      <c r="E23" s="15">
        <f t="shared" si="2"/>
        <v>0.97162002364998035</v>
      </c>
      <c r="F23" s="16"/>
      <c r="G23" s="16"/>
      <c r="H23" s="16">
        <v>5074</v>
      </c>
      <c r="I23" s="16">
        <f t="shared" si="5"/>
        <v>144</v>
      </c>
      <c r="J23" s="16">
        <v>4930</v>
      </c>
      <c r="K23" s="16">
        <v>4689</v>
      </c>
      <c r="L23" s="16">
        <f t="shared" si="6"/>
        <v>241</v>
      </c>
    </row>
    <row r="24" spans="1:12" s="18" customFormat="1" ht="15" customHeight="1">
      <c r="A24" s="82">
        <v>1994</v>
      </c>
      <c r="B24" s="83" t="s">
        <v>42</v>
      </c>
      <c r="C24" s="15">
        <f t="shared" si="0"/>
        <v>0.96928327645051193</v>
      </c>
      <c r="D24" s="15">
        <f t="shared" si="1"/>
        <v>0.98859021465867336</v>
      </c>
      <c r="E24" s="15">
        <f t="shared" si="2"/>
        <v>0.98047023132347366</v>
      </c>
      <c r="F24" s="16"/>
      <c r="G24" s="16"/>
      <c r="H24" s="16">
        <v>5274</v>
      </c>
      <c r="I24" s="16">
        <f t="shared" si="5"/>
        <v>103</v>
      </c>
      <c r="J24" s="16">
        <v>5171</v>
      </c>
      <c r="K24" s="16">
        <v>5112</v>
      </c>
      <c r="L24" s="16">
        <f t="shared" si="6"/>
        <v>59</v>
      </c>
    </row>
    <row r="25" spans="1:12" s="18" customFormat="1" ht="15" customHeight="1">
      <c r="A25" s="82">
        <v>1994</v>
      </c>
      <c r="B25" s="83" t="s">
        <v>43</v>
      </c>
      <c r="C25" s="15">
        <f t="shared" si="0"/>
        <v>0.97050639955481355</v>
      </c>
      <c r="D25" s="15">
        <f t="shared" si="1"/>
        <v>0.98069353327085285</v>
      </c>
      <c r="E25" s="15">
        <f t="shared" si="2"/>
        <v>0.98961231682433681</v>
      </c>
      <c r="F25" s="16"/>
      <c r="G25" s="16"/>
      <c r="H25" s="16">
        <v>5391</v>
      </c>
      <c r="I25" s="16">
        <f t="shared" si="5"/>
        <v>56</v>
      </c>
      <c r="J25" s="16">
        <v>5335</v>
      </c>
      <c r="K25" s="16">
        <v>5232</v>
      </c>
      <c r="L25" s="16">
        <f t="shared" si="6"/>
        <v>103</v>
      </c>
    </row>
    <row r="26" spans="1:12" s="18" customFormat="1" ht="15" customHeight="1">
      <c r="A26" s="82">
        <v>1994</v>
      </c>
      <c r="B26" s="83" t="s">
        <v>44</v>
      </c>
      <c r="C26" s="15">
        <f t="shared" si="0"/>
        <v>0.98624717407686513</v>
      </c>
      <c r="D26" s="15">
        <f t="shared" si="1"/>
        <v>0.99016455456780783</v>
      </c>
      <c r="E26" s="15">
        <f t="shared" si="2"/>
        <v>0.99604370761115302</v>
      </c>
      <c r="F26" s="16"/>
      <c r="G26" s="16"/>
      <c r="H26" s="16">
        <v>5308</v>
      </c>
      <c r="I26" s="16">
        <f t="shared" si="5"/>
        <v>21</v>
      </c>
      <c r="J26" s="16">
        <v>5287</v>
      </c>
      <c r="K26" s="16">
        <v>5235</v>
      </c>
      <c r="L26" s="16">
        <f t="shared" si="6"/>
        <v>52</v>
      </c>
    </row>
    <row r="27" spans="1:12" s="18" customFormat="1" ht="15" customHeight="1">
      <c r="A27" s="82">
        <v>1994</v>
      </c>
      <c r="B27" s="83" t="s">
        <v>45</v>
      </c>
      <c r="C27" s="15">
        <f t="shared" si="0"/>
        <v>0.98294365657339977</v>
      </c>
      <c r="D27" s="15">
        <f t="shared" si="1"/>
        <v>0.98483102918586785</v>
      </c>
      <c r="E27" s="15">
        <f t="shared" si="2"/>
        <v>0.99808355691835948</v>
      </c>
      <c r="F27" s="16"/>
      <c r="G27" s="16"/>
      <c r="H27" s="16">
        <v>5218</v>
      </c>
      <c r="I27" s="16">
        <f t="shared" si="5"/>
        <v>10</v>
      </c>
      <c r="J27" s="16">
        <v>5208</v>
      </c>
      <c r="K27" s="16">
        <v>5129</v>
      </c>
      <c r="L27" s="16">
        <f t="shared" si="6"/>
        <v>79</v>
      </c>
    </row>
    <row r="28" spans="1:12" s="18" customFormat="1" ht="15" customHeight="1">
      <c r="A28" s="82">
        <v>1994</v>
      </c>
      <c r="B28" s="83" t="s">
        <v>46</v>
      </c>
      <c r="C28" s="15">
        <f t="shared" si="0"/>
        <v>0.96345139412207992</v>
      </c>
      <c r="D28" s="15">
        <f t="shared" si="1"/>
        <v>0.97224334600760454</v>
      </c>
      <c r="E28" s="15">
        <f t="shared" si="2"/>
        <v>0.99095704596834966</v>
      </c>
      <c r="F28" s="16"/>
      <c r="G28" s="16"/>
      <c r="H28" s="16">
        <v>5308</v>
      </c>
      <c r="I28" s="16">
        <f t="shared" si="5"/>
        <v>48</v>
      </c>
      <c r="J28" s="16">
        <v>5260</v>
      </c>
      <c r="K28" s="16">
        <v>5114</v>
      </c>
      <c r="L28" s="16">
        <f t="shared" si="6"/>
        <v>146</v>
      </c>
    </row>
    <row r="29" spans="1:12" s="18" customFormat="1" ht="15" customHeight="1">
      <c r="A29" s="82">
        <v>1994</v>
      </c>
      <c r="B29" s="83" t="s">
        <v>47</v>
      </c>
      <c r="C29" s="15">
        <f t="shared" si="0"/>
        <v>0.96074834922964047</v>
      </c>
      <c r="D29" s="15">
        <f t="shared" si="1"/>
        <v>0.98255486775464262</v>
      </c>
      <c r="E29" s="15">
        <f t="shared" si="2"/>
        <v>0.97780630961115189</v>
      </c>
      <c r="F29" s="16"/>
      <c r="G29" s="16"/>
      <c r="H29" s="16">
        <v>5452</v>
      </c>
      <c r="I29" s="16">
        <f t="shared" si="5"/>
        <v>121</v>
      </c>
      <c r="J29" s="16">
        <v>5331</v>
      </c>
      <c r="K29" s="16">
        <v>5238</v>
      </c>
      <c r="L29" s="16">
        <f t="shared" si="6"/>
        <v>93</v>
      </c>
    </row>
    <row r="30" spans="1:12" s="18" customFormat="1" ht="15" customHeight="1">
      <c r="A30" s="82">
        <v>1995</v>
      </c>
      <c r="B30" s="83" t="s">
        <v>36</v>
      </c>
      <c r="C30" s="15">
        <f t="shared" si="0"/>
        <v>0.98089408273047674</v>
      </c>
      <c r="D30" s="15">
        <f t="shared" si="1"/>
        <v>0.98933582787652008</v>
      </c>
      <c r="E30" s="15">
        <f t="shared" si="2"/>
        <v>0.99146726024856247</v>
      </c>
      <c r="F30" s="16"/>
      <c r="G30" s="16"/>
      <c r="H30" s="16">
        <v>5391</v>
      </c>
      <c r="I30" s="16">
        <f t="shared" ref="I30:I41" si="7">H30-J30</f>
        <v>46</v>
      </c>
      <c r="J30" s="16">
        <v>5345</v>
      </c>
      <c r="K30" s="16">
        <v>5288</v>
      </c>
      <c r="L30" s="16">
        <f t="shared" ref="L30:L41" si="8">J30-K30</f>
        <v>57</v>
      </c>
    </row>
    <row r="31" spans="1:12" s="18" customFormat="1" ht="15" customHeight="1">
      <c r="A31" s="82">
        <v>1995</v>
      </c>
      <c r="B31" s="83" t="s">
        <v>37</v>
      </c>
      <c r="C31" s="15">
        <f t="shared" si="0"/>
        <v>0.9784026079869601</v>
      </c>
      <c r="D31" s="15">
        <f t="shared" si="1"/>
        <v>0.98664475035956445</v>
      </c>
      <c r="E31" s="15">
        <f t="shared" si="2"/>
        <v>0.99164629176854113</v>
      </c>
      <c r="F31" s="16"/>
      <c r="G31" s="16"/>
      <c r="H31" s="16">
        <v>4908</v>
      </c>
      <c r="I31" s="16">
        <f t="shared" si="7"/>
        <v>41</v>
      </c>
      <c r="J31" s="16">
        <v>4867</v>
      </c>
      <c r="K31" s="16">
        <v>4802</v>
      </c>
      <c r="L31" s="16">
        <f t="shared" si="8"/>
        <v>65</v>
      </c>
    </row>
    <row r="32" spans="1:12" s="18" customFormat="1" ht="15" customHeight="1">
      <c r="A32" s="82">
        <v>1995</v>
      </c>
      <c r="B32" s="83" t="s">
        <v>38</v>
      </c>
      <c r="C32" s="15">
        <f t="shared" si="0"/>
        <v>0.98111837327523599</v>
      </c>
      <c r="D32" s="15">
        <f t="shared" si="1"/>
        <v>0.9845144835124795</v>
      </c>
      <c r="E32" s="15">
        <f t="shared" si="2"/>
        <v>0.99655047204066816</v>
      </c>
      <c r="F32" s="16"/>
      <c r="G32" s="16"/>
      <c r="H32" s="16">
        <v>5508</v>
      </c>
      <c r="I32" s="16">
        <f t="shared" si="7"/>
        <v>19</v>
      </c>
      <c r="J32" s="16">
        <v>5489</v>
      </c>
      <c r="K32" s="16">
        <v>5404</v>
      </c>
      <c r="L32" s="16">
        <f t="shared" si="8"/>
        <v>85</v>
      </c>
    </row>
    <row r="33" spans="1:12" s="18" customFormat="1" ht="15" customHeight="1">
      <c r="A33" s="82">
        <v>1995</v>
      </c>
      <c r="B33" s="83" t="s">
        <v>39</v>
      </c>
      <c r="C33" s="15">
        <f t="shared" si="0"/>
        <v>0.95336787564766834</v>
      </c>
      <c r="D33" s="15">
        <f t="shared" si="1"/>
        <v>0.97672519395671697</v>
      </c>
      <c r="E33" s="15">
        <f t="shared" si="2"/>
        <v>0.97608609007572733</v>
      </c>
      <c r="F33" s="16"/>
      <c r="G33" s="16"/>
      <c r="H33" s="16">
        <v>5018</v>
      </c>
      <c r="I33" s="16">
        <f t="shared" si="7"/>
        <v>120</v>
      </c>
      <c r="J33" s="16">
        <v>4898</v>
      </c>
      <c r="K33" s="16">
        <v>4784</v>
      </c>
      <c r="L33" s="16">
        <f t="shared" si="8"/>
        <v>114</v>
      </c>
    </row>
    <row r="34" spans="1:12" s="18" customFormat="1" ht="15" customHeight="1">
      <c r="A34" s="82">
        <v>1995</v>
      </c>
      <c r="B34" s="83" t="s">
        <v>40</v>
      </c>
      <c r="C34" s="15">
        <f t="shared" si="0"/>
        <v>0.9594235874099355</v>
      </c>
      <c r="D34" s="15">
        <f t="shared" si="1"/>
        <v>0.96786534047436878</v>
      </c>
      <c r="E34" s="15">
        <f t="shared" si="2"/>
        <v>0.99127796738718243</v>
      </c>
      <c r="F34" s="16"/>
      <c r="G34" s="16"/>
      <c r="H34" s="16">
        <v>5274</v>
      </c>
      <c r="I34" s="16">
        <f t="shared" si="7"/>
        <v>46</v>
      </c>
      <c r="J34" s="16">
        <v>5228</v>
      </c>
      <c r="K34" s="16">
        <v>5060</v>
      </c>
      <c r="L34" s="16">
        <f t="shared" si="8"/>
        <v>168</v>
      </c>
    </row>
    <row r="35" spans="1:12" s="18" customFormat="1" ht="15" customHeight="1">
      <c r="A35" s="82">
        <v>1995</v>
      </c>
      <c r="B35" s="83" t="s">
        <v>41</v>
      </c>
      <c r="C35" s="15">
        <f t="shared" si="0"/>
        <v>0.96608187134502921</v>
      </c>
      <c r="D35" s="15">
        <f t="shared" si="1"/>
        <v>0.97405660377358494</v>
      </c>
      <c r="E35" s="15">
        <f t="shared" si="2"/>
        <v>0.99181286549707603</v>
      </c>
      <c r="F35" s="16"/>
      <c r="G35" s="16"/>
      <c r="H35" s="16">
        <v>5130</v>
      </c>
      <c r="I35" s="16">
        <f t="shared" si="7"/>
        <v>42</v>
      </c>
      <c r="J35" s="16">
        <v>5088</v>
      </c>
      <c r="K35" s="16">
        <v>4956</v>
      </c>
      <c r="L35" s="16">
        <f t="shared" si="8"/>
        <v>132</v>
      </c>
    </row>
    <row r="36" spans="1:12" s="18" customFormat="1" ht="15" customHeight="1">
      <c r="A36" s="82">
        <v>1995</v>
      </c>
      <c r="B36" s="83" t="s">
        <v>42</v>
      </c>
      <c r="C36" s="15">
        <f t="shared" si="0"/>
        <v>0.97600749765698225</v>
      </c>
      <c r="D36" s="15">
        <f t="shared" si="1"/>
        <v>0.9811569625023554</v>
      </c>
      <c r="E36" s="15">
        <f t="shared" si="2"/>
        <v>0.99475164011246486</v>
      </c>
      <c r="F36" s="16"/>
      <c r="G36" s="16"/>
      <c r="H36" s="16">
        <v>5335</v>
      </c>
      <c r="I36" s="16">
        <f t="shared" si="7"/>
        <v>28</v>
      </c>
      <c r="J36" s="16">
        <v>5307</v>
      </c>
      <c r="K36" s="16">
        <v>5207</v>
      </c>
      <c r="L36" s="16">
        <f t="shared" si="8"/>
        <v>100</v>
      </c>
    </row>
    <row r="37" spans="1:12" s="18" customFormat="1" ht="15" customHeight="1">
      <c r="A37" s="82">
        <v>1995</v>
      </c>
      <c r="B37" s="83" t="s">
        <v>43</v>
      </c>
      <c r="C37" s="15">
        <f t="shared" si="0"/>
        <v>0.96244955255307951</v>
      </c>
      <c r="D37" s="15">
        <f t="shared" si="1"/>
        <v>0.96925251811274071</v>
      </c>
      <c r="E37" s="15">
        <f t="shared" si="2"/>
        <v>0.99298122477627659</v>
      </c>
      <c r="F37" s="16"/>
      <c r="G37" s="16"/>
      <c r="H37" s="16">
        <v>5699</v>
      </c>
      <c r="I37" s="16">
        <f t="shared" si="7"/>
        <v>40</v>
      </c>
      <c r="J37" s="16">
        <v>5659</v>
      </c>
      <c r="K37" s="16">
        <v>5485</v>
      </c>
      <c r="L37" s="16">
        <f t="shared" si="8"/>
        <v>174</v>
      </c>
    </row>
    <row r="38" spans="1:12" s="18" customFormat="1" ht="15" customHeight="1">
      <c r="A38" s="82">
        <v>1995</v>
      </c>
      <c r="B38" s="83" t="s">
        <v>44</v>
      </c>
      <c r="C38" s="15">
        <f t="shared" si="0"/>
        <v>0.95023440317345831</v>
      </c>
      <c r="D38" s="15">
        <f t="shared" si="1"/>
        <v>0.96626329299596625</v>
      </c>
      <c r="E38" s="15">
        <f t="shared" si="2"/>
        <v>0.98341146772448607</v>
      </c>
      <c r="F38" s="16"/>
      <c r="G38" s="16"/>
      <c r="H38" s="16">
        <v>5546</v>
      </c>
      <c r="I38" s="16">
        <f t="shared" si="7"/>
        <v>92</v>
      </c>
      <c r="J38" s="16">
        <v>5454</v>
      </c>
      <c r="K38" s="16">
        <v>5270</v>
      </c>
      <c r="L38" s="16">
        <f t="shared" si="8"/>
        <v>184</v>
      </c>
    </row>
    <row r="39" spans="1:12" s="18" customFormat="1" ht="15" customHeight="1">
      <c r="A39" s="82">
        <v>1995</v>
      </c>
      <c r="B39" s="83" t="s">
        <v>45</v>
      </c>
      <c r="C39" s="15">
        <f t="shared" si="0"/>
        <v>0.96551724137931039</v>
      </c>
      <c r="D39" s="15">
        <f t="shared" si="1"/>
        <v>0.96829971181556196</v>
      </c>
      <c r="E39" s="15">
        <f t="shared" si="2"/>
        <v>0.99712643678160917</v>
      </c>
      <c r="F39" s="16"/>
      <c r="G39" s="16"/>
      <c r="H39" s="16">
        <v>5568</v>
      </c>
      <c r="I39" s="16">
        <f t="shared" si="7"/>
        <v>16</v>
      </c>
      <c r="J39" s="16">
        <v>5552</v>
      </c>
      <c r="K39" s="16">
        <v>5376</v>
      </c>
      <c r="L39" s="16">
        <f t="shared" si="8"/>
        <v>176</v>
      </c>
    </row>
    <row r="40" spans="1:12" s="18" customFormat="1" ht="15" customHeight="1">
      <c r="A40" s="82">
        <v>1995</v>
      </c>
      <c r="B40" s="83" t="s">
        <v>46</v>
      </c>
      <c r="C40" s="15">
        <f t="shared" si="0"/>
        <v>0.94729344729344733</v>
      </c>
      <c r="D40" s="15">
        <f t="shared" si="1"/>
        <v>0.96639418710263392</v>
      </c>
      <c r="E40" s="15">
        <f t="shared" si="2"/>
        <v>0.98023504273504269</v>
      </c>
      <c r="F40" s="16"/>
      <c r="G40" s="16"/>
      <c r="H40" s="16">
        <v>5616</v>
      </c>
      <c r="I40" s="16">
        <f t="shared" si="7"/>
        <v>111</v>
      </c>
      <c r="J40" s="16">
        <v>5505</v>
      </c>
      <c r="K40" s="16">
        <v>5320</v>
      </c>
      <c r="L40" s="16">
        <f t="shared" si="8"/>
        <v>185</v>
      </c>
    </row>
    <row r="41" spans="1:12" s="18" customFormat="1" ht="15" customHeight="1">
      <c r="A41" s="82">
        <v>1995</v>
      </c>
      <c r="B41" s="83" t="s">
        <v>47</v>
      </c>
      <c r="C41" s="15">
        <f t="shared" si="0"/>
        <v>0.96198993851313586</v>
      </c>
      <c r="D41" s="15">
        <f t="shared" si="1"/>
        <v>0.97231638418079092</v>
      </c>
      <c r="E41" s="15">
        <f t="shared" si="2"/>
        <v>0.98937954164337616</v>
      </c>
      <c r="F41" s="16"/>
      <c r="G41" s="16"/>
      <c r="H41" s="16">
        <v>5367</v>
      </c>
      <c r="I41" s="16">
        <f t="shared" si="7"/>
        <v>57</v>
      </c>
      <c r="J41" s="16">
        <v>5310</v>
      </c>
      <c r="K41" s="16">
        <v>5163</v>
      </c>
      <c r="L41" s="16">
        <f t="shared" si="8"/>
        <v>147</v>
      </c>
    </row>
    <row r="42" spans="1:12" s="18" customFormat="1" ht="15" customHeight="1">
      <c r="A42" s="82">
        <v>1996</v>
      </c>
      <c r="B42" s="83" t="s">
        <v>36</v>
      </c>
      <c r="C42" s="15">
        <f t="shared" si="0"/>
        <v>0.96473065450078965</v>
      </c>
      <c r="D42" s="15">
        <f t="shared" si="1"/>
        <v>0.97344192634560911</v>
      </c>
      <c r="E42" s="15">
        <f t="shared" si="2"/>
        <v>0.99105106158975254</v>
      </c>
      <c r="F42" s="16"/>
      <c r="G42" s="16"/>
      <c r="H42" s="16">
        <v>5699</v>
      </c>
      <c r="I42" s="16">
        <f t="shared" ref="I42:I53" si="9">H42-J42</f>
        <v>51</v>
      </c>
      <c r="J42" s="16">
        <v>5648</v>
      </c>
      <c r="K42" s="16">
        <v>5498</v>
      </c>
      <c r="L42" s="16">
        <f t="shared" ref="L42:L53" si="10">J42-K42</f>
        <v>150</v>
      </c>
    </row>
    <row r="43" spans="1:12" s="18" customFormat="1" ht="15" customHeight="1">
      <c r="A43" s="82">
        <v>1996</v>
      </c>
      <c r="B43" s="83" t="s">
        <v>37</v>
      </c>
      <c r="C43" s="15">
        <f t="shared" si="0"/>
        <v>0.93817104776008886</v>
      </c>
      <c r="D43" s="15">
        <f t="shared" si="1"/>
        <v>0.95948504354411213</v>
      </c>
      <c r="E43" s="15">
        <f t="shared" si="2"/>
        <v>0.97778600518326542</v>
      </c>
      <c r="F43" s="16"/>
      <c r="G43" s="16"/>
      <c r="H43" s="16">
        <v>5402</v>
      </c>
      <c r="I43" s="16">
        <f t="shared" si="9"/>
        <v>120</v>
      </c>
      <c r="J43" s="16">
        <v>5282</v>
      </c>
      <c r="K43" s="16">
        <v>5068</v>
      </c>
      <c r="L43" s="16">
        <f t="shared" si="10"/>
        <v>214</v>
      </c>
    </row>
    <row r="44" spans="1:12" s="18" customFormat="1" ht="15" customHeight="1">
      <c r="A44" s="82">
        <v>1996</v>
      </c>
      <c r="B44" s="83" t="s">
        <v>38</v>
      </c>
      <c r="C44" s="15">
        <f t="shared" si="0"/>
        <v>0.96216024160596914</v>
      </c>
      <c r="D44" s="15">
        <f t="shared" si="1"/>
        <v>0.97340043134435661</v>
      </c>
      <c r="E44" s="15">
        <f t="shared" si="2"/>
        <v>0.98845265588914555</v>
      </c>
      <c r="F44" s="16"/>
      <c r="G44" s="16"/>
      <c r="H44" s="16">
        <v>5629</v>
      </c>
      <c r="I44" s="16">
        <f t="shared" si="9"/>
        <v>65</v>
      </c>
      <c r="J44" s="16">
        <v>5564</v>
      </c>
      <c r="K44" s="16">
        <v>5416</v>
      </c>
      <c r="L44" s="16">
        <f t="shared" si="10"/>
        <v>148</v>
      </c>
    </row>
    <row r="45" spans="1:12" s="18" customFormat="1" ht="15" customHeight="1">
      <c r="A45" s="82">
        <v>1996</v>
      </c>
      <c r="B45" s="83" t="s">
        <v>39</v>
      </c>
      <c r="C45" s="15">
        <f t="shared" si="0"/>
        <v>0.94949863263445766</v>
      </c>
      <c r="D45" s="15">
        <f t="shared" si="1"/>
        <v>0.96731054977711739</v>
      </c>
      <c r="E45" s="15">
        <f t="shared" si="2"/>
        <v>0.98158614402917044</v>
      </c>
      <c r="F45" s="16"/>
      <c r="G45" s="16"/>
      <c r="H45" s="16">
        <v>5485</v>
      </c>
      <c r="I45" s="16">
        <f t="shared" si="9"/>
        <v>101</v>
      </c>
      <c r="J45" s="16">
        <v>5384</v>
      </c>
      <c r="K45" s="16">
        <v>5208</v>
      </c>
      <c r="L45" s="16">
        <f t="shared" si="10"/>
        <v>176</v>
      </c>
    </row>
    <row r="46" spans="1:12" s="18" customFormat="1" ht="15" customHeight="1">
      <c r="A46" s="82">
        <v>1996</v>
      </c>
      <c r="B46" s="83" t="s">
        <v>40</v>
      </c>
      <c r="C46" s="15">
        <f t="shared" si="0"/>
        <v>0.96062433487052146</v>
      </c>
      <c r="D46" s="15">
        <f t="shared" si="1"/>
        <v>0.97340043134435661</v>
      </c>
      <c r="E46" s="15">
        <f t="shared" si="2"/>
        <v>0.98687477829017378</v>
      </c>
      <c r="F46" s="16"/>
      <c r="G46" s="16"/>
      <c r="H46" s="16">
        <v>5638</v>
      </c>
      <c r="I46" s="16">
        <f t="shared" si="9"/>
        <v>74</v>
      </c>
      <c r="J46" s="16">
        <v>5564</v>
      </c>
      <c r="K46" s="16">
        <v>5416</v>
      </c>
      <c r="L46" s="16">
        <f t="shared" si="10"/>
        <v>148</v>
      </c>
    </row>
    <row r="47" spans="1:12" s="18" customFormat="1" ht="15" customHeight="1">
      <c r="A47" s="82">
        <v>1996</v>
      </c>
      <c r="B47" s="83" t="s">
        <v>41</v>
      </c>
      <c r="C47" s="15">
        <f t="shared" si="0"/>
        <v>0.95497768290316321</v>
      </c>
      <c r="D47" s="15">
        <f t="shared" si="1"/>
        <v>0.96908231587239069</v>
      </c>
      <c r="E47" s="15">
        <f t="shared" si="2"/>
        <v>0.9854453716281778</v>
      </c>
      <c r="F47" s="16"/>
      <c r="G47" s="16"/>
      <c r="H47" s="16">
        <v>5153</v>
      </c>
      <c r="I47" s="16">
        <f t="shared" si="9"/>
        <v>75</v>
      </c>
      <c r="J47" s="16">
        <v>5078</v>
      </c>
      <c r="K47" s="16">
        <v>4921</v>
      </c>
      <c r="L47" s="16">
        <f t="shared" si="10"/>
        <v>157</v>
      </c>
    </row>
    <row r="48" spans="1:12" s="18" customFormat="1" ht="15" customHeight="1">
      <c r="A48" s="82">
        <v>1996</v>
      </c>
      <c r="B48" s="83" t="s">
        <v>42</v>
      </c>
      <c r="C48" s="15">
        <f t="shared" si="0"/>
        <v>0.9467234042553192</v>
      </c>
      <c r="D48" s="15">
        <f t="shared" si="1"/>
        <v>0.96730434782608699</v>
      </c>
      <c r="E48" s="15">
        <f t="shared" si="2"/>
        <v>0.97872340425531912</v>
      </c>
      <c r="F48" s="16"/>
      <c r="G48" s="16"/>
      <c r="H48" s="16">
        <v>5875</v>
      </c>
      <c r="I48" s="16">
        <f t="shared" si="9"/>
        <v>125</v>
      </c>
      <c r="J48" s="16">
        <v>5750</v>
      </c>
      <c r="K48" s="16">
        <v>5562</v>
      </c>
      <c r="L48" s="16">
        <f t="shared" si="10"/>
        <v>188</v>
      </c>
    </row>
    <row r="49" spans="1:12" s="18" customFormat="1" ht="15" customHeight="1">
      <c r="A49" s="82">
        <v>1996</v>
      </c>
      <c r="B49" s="83" t="s">
        <v>43</v>
      </c>
      <c r="C49" s="15">
        <f t="shared" si="0"/>
        <v>0.93186130757288255</v>
      </c>
      <c r="D49" s="15">
        <f t="shared" si="1"/>
        <v>0.96343855894417696</v>
      </c>
      <c r="E49" s="15">
        <f t="shared" si="2"/>
        <v>0.96722442642746254</v>
      </c>
      <c r="F49" s="16"/>
      <c r="G49" s="16"/>
      <c r="H49" s="16">
        <v>5797</v>
      </c>
      <c r="I49" s="16">
        <f t="shared" si="9"/>
        <v>190</v>
      </c>
      <c r="J49" s="16">
        <v>5607</v>
      </c>
      <c r="K49" s="16">
        <v>5402</v>
      </c>
      <c r="L49" s="16">
        <f t="shared" si="10"/>
        <v>205</v>
      </c>
    </row>
    <row r="50" spans="1:12" s="18" customFormat="1" ht="15" customHeight="1">
      <c r="A50" s="82">
        <v>1996</v>
      </c>
      <c r="B50" s="83" t="s">
        <v>44</v>
      </c>
      <c r="C50" s="15">
        <f t="shared" si="0"/>
        <v>0.94445427206792854</v>
      </c>
      <c r="D50" s="15">
        <f t="shared" si="1"/>
        <v>0.97837639728788717</v>
      </c>
      <c r="E50" s="15">
        <f t="shared" si="2"/>
        <v>0.96532814434813374</v>
      </c>
      <c r="F50" s="16"/>
      <c r="G50" s="16"/>
      <c r="H50" s="16">
        <v>5653</v>
      </c>
      <c r="I50" s="16">
        <f t="shared" si="9"/>
        <v>196</v>
      </c>
      <c r="J50" s="16">
        <v>5457</v>
      </c>
      <c r="K50" s="16">
        <v>5339</v>
      </c>
      <c r="L50" s="16">
        <f t="shared" si="10"/>
        <v>118</v>
      </c>
    </row>
    <row r="51" spans="1:12" s="18" customFormat="1" ht="15" customHeight="1">
      <c r="A51" s="82">
        <v>1996</v>
      </c>
      <c r="B51" s="83" t="s">
        <v>45</v>
      </c>
      <c r="C51" s="15">
        <f t="shared" si="0"/>
        <v>0.93112716277507135</v>
      </c>
      <c r="D51" s="15">
        <f t="shared" si="1"/>
        <v>0.97760141093474429</v>
      </c>
      <c r="E51" s="15">
        <f t="shared" si="2"/>
        <v>0.95246094406181758</v>
      </c>
      <c r="F51" s="16"/>
      <c r="G51" s="16"/>
      <c r="H51" s="16">
        <v>5953</v>
      </c>
      <c r="I51" s="16">
        <f t="shared" si="9"/>
        <v>283</v>
      </c>
      <c r="J51" s="16">
        <v>5670</v>
      </c>
      <c r="K51" s="16">
        <v>5543</v>
      </c>
      <c r="L51" s="16">
        <f t="shared" si="10"/>
        <v>127</v>
      </c>
    </row>
    <row r="52" spans="1:12" s="18" customFormat="1" ht="15" customHeight="1">
      <c r="A52" s="82">
        <v>1996</v>
      </c>
      <c r="B52" s="83" t="s">
        <v>46</v>
      </c>
      <c r="C52" s="15">
        <f t="shared" si="0"/>
        <v>0.94837241862093102</v>
      </c>
      <c r="D52" s="15">
        <f t="shared" si="1"/>
        <v>0.98099203475742214</v>
      </c>
      <c r="E52" s="15">
        <f t="shared" si="2"/>
        <v>0.96674833741687083</v>
      </c>
      <c r="F52" s="16"/>
      <c r="G52" s="16"/>
      <c r="H52" s="16">
        <v>5714</v>
      </c>
      <c r="I52" s="16">
        <f t="shared" si="9"/>
        <v>190</v>
      </c>
      <c r="J52" s="16">
        <v>5524</v>
      </c>
      <c r="K52" s="16">
        <v>5419</v>
      </c>
      <c r="L52" s="16">
        <f t="shared" si="10"/>
        <v>105</v>
      </c>
    </row>
    <row r="53" spans="1:12" s="18" customFormat="1" ht="15" customHeight="1">
      <c r="A53" s="82">
        <v>1996</v>
      </c>
      <c r="B53" s="83" t="s">
        <v>47</v>
      </c>
      <c r="C53" s="15">
        <f t="shared" si="0"/>
        <v>0.88406555090655514</v>
      </c>
      <c r="D53" s="15">
        <f t="shared" si="1"/>
        <v>0.97182828669988497</v>
      </c>
      <c r="E53" s="15">
        <f t="shared" si="2"/>
        <v>0.9096931659693166</v>
      </c>
      <c r="F53" s="16"/>
      <c r="G53" s="16"/>
      <c r="H53" s="16">
        <v>5736</v>
      </c>
      <c r="I53" s="16">
        <f t="shared" si="9"/>
        <v>518</v>
      </c>
      <c r="J53" s="16">
        <v>5218</v>
      </c>
      <c r="K53" s="16">
        <v>5071</v>
      </c>
      <c r="L53" s="16">
        <f t="shared" si="10"/>
        <v>147</v>
      </c>
    </row>
    <row r="54" spans="1:12" s="18" customFormat="1" ht="15" customHeight="1">
      <c r="A54" s="82">
        <v>1997</v>
      </c>
      <c r="B54" s="83" t="s">
        <v>36</v>
      </c>
      <c r="C54" s="15">
        <f t="shared" si="0"/>
        <v>0.90519148936170213</v>
      </c>
      <c r="D54" s="15">
        <f t="shared" si="1"/>
        <v>0.91737105399344487</v>
      </c>
      <c r="E54" s="15">
        <f t="shared" si="2"/>
        <v>0.98672340425531913</v>
      </c>
      <c r="F54" s="16"/>
      <c r="G54" s="16"/>
      <c r="H54" s="16">
        <v>5875</v>
      </c>
      <c r="I54" s="16">
        <f t="shared" ref="I54:I65" si="11">H54-J54</f>
        <v>78</v>
      </c>
      <c r="J54" s="16">
        <v>5797</v>
      </c>
      <c r="K54" s="16">
        <v>5318</v>
      </c>
      <c r="L54" s="16">
        <f t="shared" ref="L54:L65" si="12">J54-K54</f>
        <v>479</v>
      </c>
    </row>
    <row r="55" spans="1:12" s="18" customFormat="1" ht="15" customHeight="1">
      <c r="A55" s="82">
        <v>1997</v>
      </c>
      <c r="B55" s="83" t="s">
        <v>37</v>
      </c>
      <c r="C55" s="15">
        <f t="shared" si="0"/>
        <v>0.97774869109947649</v>
      </c>
      <c r="D55" s="15">
        <f t="shared" si="1"/>
        <v>0.98678996036988109</v>
      </c>
      <c r="E55" s="15">
        <f t="shared" si="2"/>
        <v>0.99083769633507857</v>
      </c>
      <c r="F55" s="16"/>
      <c r="G55" s="16"/>
      <c r="H55" s="16">
        <v>5348</v>
      </c>
      <c r="I55" s="16">
        <f t="shared" si="11"/>
        <v>49</v>
      </c>
      <c r="J55" s="16">
        <v>5299</v>
      </c>
      <c r="K55" s="16">
        <v>5229</v>
      </c>
      <c r="L55" s="16">
        <f t="shared" si="12"/>
        <v>70</v>
      </c>
    </row>
    <row r="56" spans="1:12" s="18" customFormat="1" ht="15" customHeight="1">
      <c r="A56" s="82">
        <v>1997</v>
      </c>
      <c r="B56" s="83" t="s">
        <v>38</v>
      </c>
      <c r="C56" s="15">
        <f t="shared" si="0"/>
        <v>0.9618239660657476</v>
      </c>
      <c r="D56" s="15">
        <f t="shared" si="1"/>
        <v>0.98231046931407939</v>
      </c>
      <c r="E56" s="15">
        <f t="shared" si="2"/>
        <v>0.97914457405443622</v>
      </c>
      <c r="F56" s="16"/>
      <c r="G56" s="16"/>
      <c r="H56" s="16">
        <v>5658</v>
      </c>
      <c r="I56" s="16">
        <f t="shared" si="11"/>
        <v>118</v>
      </c>
      <c r="J56" s="16">
        <v>5540</v>
      </c>
      <c r="K56" s="16">
        <v>5442</v>
      </c>
      <c r="L56" s="16">
        <f t="shared" si="12"/>
        <v>98</v>
      </c>
    </row>
    <row r="57" spans="1:12" s="18" customFormat="1" ht="15" customHeight="1">
      <c r="A57" s="82">
        <v>1997</v>
      </c>
      <c r="B57" s="83" t="s">
        <v>39</v>
      </c>
      <c r="C57" s="15">
        <f t="shared" si="0"/>
        <v>0.92489640883977897</v>
      </c>
      <c r="D57" s="15">
        <f t="shared" si="1"/>
        <v>0.95134079204404187</v>
      </c>
      <c r="E57" s="15">
        <f t="shared" si="2"/>
        <v>0.97220303867403313</v>
      </c>
      <c r="F57" s="16"/>
      <c r="G57" s="16"/>
      <c r="H57" s="16">
        <v>5792</v>
      </c>
      <c r="I57" s="16">
        <f t="shared" si="11"/>
        <v>161</v>
      </c>
      <c r="J57" s="16">
        <v>5631</v>
      </c>
      <c r="K57" s="16">
        <v>5357</v>
      </c>
      <c r="L57" s="16">
        <f t="shared" si="12"/>
        <v>274</v>
      </c>
    </row>
    <row r="58" spans="1:12" s="18" customFormat="1" ht="15" customHeight="1">
      <c r="A58" s="82">
        <v>1997</v>
      </c>
      <c r="B58" s="83" t="s">
        <v>40</v>
      </c>
      <c r="C58" s="15">
        <f t="shared" si="0"/>
        <v>0.94169397964464374</v>
      </c>
      <c r="D58" s="15">
        <f t="shared" si="1"/>
        <v>0.9523726448011165</v>
      </c>
      <c r="E58" s="15">
        <f t="shared" si="2"/>
        <v>0.9887873037778161</v>
      </c>
      <c r="F58" s="16"/>
      <c r="G58" s="16"/>
      <c r="H58" s="16">
        <v>5797</v>
      </c>
      <c r="I58" s="16">
        <f t="shared" si="11"/>
        <v>65</v>
      </c>
      <c r="J58" s="16">
        <v>5732</v>
      </c>
      <c r="K58" s="16">
        <v>5459</v>
      </c>
      <c r="L58" s="16">
        <f t="shared" si="12"/>
        <v>273</v>
      </c>
    </row>
    <row r="59" spans="1:12" s="18" customFormat="1" ht="15" customHeight="1">
      <c r="A59" s="82">
        <v>1997</v>
      </c>
      <c r="B59" s="83" t="s">
        <v>41</v>
      </c>
      <c r="C59" s="15">
        <f t="shared" si="0"/>
        <v>0.97023255813953491</v>
      </c>
      <c r="D59" s="15">
        <f t="shared" si="1"/>
        <v>0.98414795244385733</v>
      </c>
      <c r="E59" s="15">
        <f t="shared" si="2"/>
        <v>0.98586046511627912</v>
      </c>
      <c r="F59" s="16"/>
      <c r="G59" s="16"/>
      <c r="H59" s="16">
        <v>5375</v>
      </c>
      <c r="I59" s="16">
        <f t="shared" si="11"/>
        <v>76</v>
      </c>
      <c r="J59" s="16">
        <v>5299</v>
      </c>
      <c r="K59" s="16">
        <v>5215</v>
      </c>
      <c r="L59" s="16">
        <f t="shared" si="12"/>
        <v>84</v>
      </c>
    </row>
    <row r="60" spans="1:12" s="18" customFormat="1" ht="15" customHeight="1">
      <c r="A60" s="82">
        <v>1997</v>
      </c>
      <c r="B60" s="83" t="s">
        <v>42</v>
      </c>
      <c r="C60" s="15">
        <f t="shared" si="0"/>
        <v>0.97328825021132714</v>
      </c>
      <c r="D60" s="15">
        <f t="shared" si="1"/>
        <v>0.98747855917667238</v>
      </c>
      <c r="E60" s="15">
        <f t="shared" si="2"/>
        <v>0.98562975486052407</v>
      </c>
      <c r="F60" s="16"/>
      <c r="G60" s="16"/>
      <c r="H60" s="16">
        <v>5915</v>
      </c>
      <c r="I60" s="16">
        <f t="shared" si="11"/>
        <v>85</v>
      </c>
      <c r="J60" s="16">
        <v>5830</v>
      </c>
      <c r="K60" s="16">
        <v>5757</v>
      </c>
      <c r="L60" s="16">
        <f t="shared" si="12"/>
        <v>73</v>
      </c>
    </row>
    <row r="61" spans="1:12" s="18" customFormat="1" ht="15" customHeight="1">
      <c r="A61" s="82">
        <v>1997</v>
      </c>
      <c r="B61" s="83" t="s">
        <v>43</v>
      </c>
      <c r="C61" s="15">
        <f t="shared" si="0"/>
        <v>0.9604847207586934</v>
      </c>
      <c r="D61" s="15">
        <f t="shared" si="1"/>
        <v>0.98081061692969873</v>
      </c>
      <c r="E61" s="15">
        <f t="shared" si="2"/>
        <v>0.97927643133122588</v>
      </c>
      <c r="F61" s="16"/>
      <c r="G61" s="16"/>
      <c r="H61" s="16">
        <v>5694</v>
      </c>
      <c r="I61" s="16">
        <f t="shared" si="11"/>
        <v>118</v>
      </c>
      <c r="J61" s="16">
        <v>5576</v>
      </c>
      <c r="K61" s="16">
        <v>5469</v>
      </c>
      <c r="L61" s="16">
        <f t="shared" si="12"/>
        <v>107</v>
      </c>
    </row>
    <row r="62" spans="1:12" s="18" customFormat="1" ht="15" customHeight="1">
      <c r="A62" s="82">
        <v>1997</v>
      </c>
      <c r="B62" s="83" t="s">
        <v>44</v>
      </c>
      <c r="C62" s="15">
        <f t="shared" si="0"/>
        <v>0.97246922024623805</v>
      </c>
      <c r="D62" s="15">
        <f t="shared" si="1"/>
        <v>0.9805172413793104</v>
      </c>
      <c r="E62" s="15">
        <f t="shared" si="2"/>
        <v>0.99179206566347466</v>
      </c>
      <c r="F62" s="16"/>
      <c r="G62" s="16"/>
      <c r="H62" s="16">
        <v>5848</v>
      </c>
      <c r="I62" s="16">
        <f t="shared" si="11"/>
        <v>48</v>
      </c>
      <c r="J62" s="16">
        <v>5800</v>
      </c>
      <c r="K62" s="16">
        <v>5687</v>
      </c>
      <c r="L62" s="16">
        <f t="shared" si="12"/>
        <v>113</v>
      </c>
    </row>
    <row r="63" spans="1:12" s="18" customFormat="1" ht="15" customHeight="1">
      <c r="A63" s="82">
        <v>1997</v>
      </c>
      <c r="B63" s="83" t="s">
        <v>45</v>
      </c>
      <c r="C63" s="15">
        <f t="shared" si="0"/>
        <v>0.89430358906815932</v>
      </c>
      <c r="D63" s="15">
        <f t="shared" si="1"/>
        <v>0.92036597763470007</v>
      </c>
      <c r="E63" s="15">
        <f t="shared" si="2"/>
        <v>0.97168258149489628</v>
      </c>
      <c r="F63" s="16"/>
      <c r="G63" s="16"/>
      <c r="H63" s="16">
        <v>6074</v>
      </c>
      <c r="I63" s="16">
        <f t="shared" si="11"/>
        <v>172</v>
      </c>
      <c r="J63" s="16">
        <v>5902</v>
      </c>
      <c r="K63" s="16">
        <v>5432</v>
      </c>
      <c r="L63" s="16">
        <f t="shared" si="12"/>
        <v>470</v>
      </c>
    </row>
    <row r="64" spans="1:12" s="18" customFormat="1" ht="15" customHeight="1">
      <c r="A64" s="82">
        <v>1997</v>
      </c>
      <c r="B64" s="83" t="s">
        <v>46</v>
      </c>
      <c r="C64" s="15">
        <f t="shared" si="0"/>
        <v>0.90632235084594837</v>
      </c>
      <c r="D64" s="15">
        <f t="shared" si="1"/>
        <v>0.93153944719018855</v>
      </c>
      <c r="E64" s="15">
        <f t="shared" si="2"/>
        <v>0.97292965271593945</v>
      </c>
      <c r="F64" s="16"/>
      <c r="G64" s="16"/>
      <c r="H64" s="16">
        <v>5615</v>
      </c>
      <c r="I64" s="16">
        <f t="shared" si="11"/>
        <v>152</v>
      </c>
      <c r="J64" s="16">
        <v>5463</v>
      </c>
      <c r="K64" s="16">
        <v>5089</v>
      </c>
      <c r="L64" s="16">
        <f t="shared" si="12"/>
        <v>374</v>
      </c>
    </row>
    <row r="65" spans="1:12" s="18" customFormat="1" ht="15" customHeight="1">
      <c r="A65" s="82">
        <v>1997</v>
      </c>
      <c r="B65" s="83" t="s">
        <v>47</v>
      </c>
      <c r="C65" s="15">
        <f t="shared" si="0"/>
        <v>0.91245674740484428</v>
      </c>
      <c r="D65" s="15">
        <f t="shared" si="1"/>
        <v>0.95856052344601961</v>
      </c>
      <c r="E65" s="15">
        <f t="shared" si="2"/>
        <v>0.95190311418685125</v>
      </c>
      <c r="F65" s="16"/>
      <c r="G65" s="16"/>
      <c r="H65" s="16">
        <v>5780</v>
      </c>
      <c r="I65" s="16">
        <f t="shared" si="11"/>
        <v>278</v>
      </c>
      <c r="J65" s="16">
        <v>5502</v>
      </c>
      <c r="K65" s="16">
        <v>5274</v>
      </c>
      <c r="L65" s="16">
        <f t="shared" si="12"/>
        <v>228</v>
      </c>
    </row>
    <row r="66" spans="1:12" s="18" customFormat="1" ht="15" customHeight="1">
      <c r="A66" s="82">
        <v>1998</v>
      </c>
      <c r="B66" s="83" t="s">
        <v>36</v>
      </c>
      <c r="C66" s="15">
        <f t="shared" si="0"/>
        <v>0.97003937681903785</v>
      </c>
      <c r="D66" s="15">
        <f t="shared" si="1"/>
        <v>0.9850486787204451</v>
      </c>
      <c r="E66" s="15">
        <f t="shared" si="2"/>
        <v>0.98476288306796778</v>
      </c>
      <c r="F66" s="16"/>
      <c r="G66" s="16"/>
      <c r="H66" s="16">
        <v>5841</v>
      </c>
      <c r="I66" s="16">
        <f t="shared" ref="I66:I77" si="13">H66-J66</f>
        <v>89</v>
      </c>
      <c r="J66" s="16">
        <v>5752</v>
      </c>
      <c r="K66" s="16">
        <v>5666</v>
      </c>
      <c r="L66" s="16">
        <f t="shared" ref="L66:L77" si="14">J66-K66</f>
        <v>86</v>
      </c>
    </row>
    <row r="67" spans="1:12" s="18" customFormat="1" ht="15" customHeight="1">
      <c r="A67" s="82">
        <v>1998</v>
      </c>
      <c r="B67" s="83" t="s">
        <v>37</v>
      </c>
      <c r="C67" s="15">
        <f t="shared" si="0"/>
        <v>0.91048925129725722</v>
      </c>
      <c r="D67" s="15">
        <f t="shared" si="1"/>
        <v>0.96674537583628495</v>
      </c>
      <c r="E67" s="15">
        <f t="shared" si="2"/>
        <v>0.94180874722016306</v>
      </c>
      <c r="F67" s="16"/>
      <c r="G67" s="16"/>
      <c r="H67" s="16">
        <v>5396</v>
      </c>
      <c r="I67" s="16">
        <f t="shared" si="13"/>
        <v>314</v>
      </c>
      <c r="J67" s="16">
        <v>5082</v>
      </c>
      <c r="K67" s="16">
        <v>4913</v>
      </c>
      <c r="L67" s="16">
        <f t="shared" si="14"/>
        <v>169</v>
      </c>
    </row>
    <row r="68" spans="1:12" s="18" customFormat="1" ht="15" customHeight="1">
      <c r="A68" s="82">
        <v>1998</v>
      </c>
      <c r="B68" s="83" t="s">
        <v>38</v>
      </c>
      <c r="C68" s="15">
        <f t="shared" si="0"/>
        <v>0.94415387211067991</v>
      </c>
      <c r="D68" s="15">
        <f t="shared" si="1"/>
        <v>0.96900432900432898</v>
      </c>
      <c r="E68" s="15">
        <f t="shared" si="2"/>
        <v>0.97435464822001017</v>
      </c>
      <c r="F68" s="16"/>
      <c r="G68" s="16"/>
      <c r="H68" s="16">
        <v>5927</v>
      </c>
      <c r="I68" s="16">
        <f t="shared" si="13"/>
        <v>152</v>
      </c>
      <c r="J68" s="16">
        <v>5775</v>
      </c>
      <c r="K68" s="16">
        <v>5596</v>
      </c>
      <c r="L68" s="16">
        <f t="shared" si="14"/>
        <v>179</v>
      </c>
    </row>
    <row r="69" spans="1:12" s="18" customFormat="1" ht="15" customHeight="1">
      <c r="A69" s="82">
        <v>1998</v>
      </c>
      <c r="B69" s="83" t="s">
        <v>39</v>
      </c>
      <c r="C69" s="15">
        <f t="shared" si="0"/>
        <v>0.95632345202596036</v>
      </c>
      <c r="D69" s="15">
        <f t="shared" si="1"/>
        <v>0.97688586274861133</v>
      </c>
      <c r="E69" s="15">
        <f t="shared" si="2"/>
        <v>0.97895106121733033</v>
      </c>
      <c r="F69" s="16"/>
      <c r="G69" s="16"/>
      <c r="H69" s="16">
        <v>5701</v>
      </c>
      <c r="I69" s="16">
        <f t="shared" si="13"/>
        <v>120</v>
      </c>
      <c r="J69" s="16">
        <v>5581</v>
      </c>
      <c r="K69" s="16">
        <v>5452</v>
      </c>
      <c r="L69" s="16">
        <f t="shared" si="14"/>
        <v>129</v>
      </c>
    </row>
    <row r="70" spans="1:12" s="18" customFormat="1" ht="15" customHeight="1">
      <c r="A70" s="82">
        <v>1998</v>
      </c>
      <c r="B70" s="83" t="s">
        <v>40</v>
      </c>
      <c r="C70" s="15">
        <f t="shared" ref="C70:C133" si="15">K70/H70</f>
        <v>0.94789976563908418</v>
      </c>
      <c r="D70" s="15">
        <f t="shared" ref="D70:D133" si="16">K70/J70</f>
        <v>0.96229868228404103</v>
      </c>
      <c r="E70" s="15">
        <f t="shared" ref="E70:E133" si="17">J70/H70</f>
        <v>0.98503695691364701</v>
      </c>
      <c r="F70" s="16"/>
      <c r="G70" s="16"/>
      <c r="H70" s="16">
        <v>5547</v>
      </c>
      <c r="I70" s="16">
        <f t="shared" si="13"/>
        <v>83</v>
      </c>
      <c r="J70" s="16">
        <v>5464</v>
      </c>
      <c r="K70" s="16">
        <v>5258</v>
      </c>
      <c r="L70" s="16">
        <f t="shared" si="14"/>
        <v>206</v>
      </c>
    </row>
    <row r="71" spans="1:12" s="18" customFormat="1" ht="15" customHeight="1">
      <c r="A71" s="82">
        <v>1998</v>
      </c>
      <c r="B71" s="83" t="s">
        <v>41</v>
      </c>
      <c r="C71" s="15">
        <f t="shared" si="15"/>
        <v>0.94814548073460569</v>
      </c>
      <c r="D71" s="15">
        <f t="shared" si="16"/>
        <v>0.97069124423963138</v>
      </c>
      <c r="E71" s="15">
        <f t="shared" si="17"/>
        <v>0.97677349657904211</v>
      </c>
      <c r="F71" s="16"/>
      <c r="G71" s="16"/>
      <c r="H71" s="16">
        <v>5554</v>
      </c>
      <c r="I71" s="16">
        <f t="shared" si="13"/>
        <v>129</v>
      </c>
      <c r="J71" s="16">
        <v>5425</v>
      </c>
      <c r="K71" s="16">
        <v>5266</v>
      </c>
      <c r="L71" s="16">
        <f t="shared" si="14"/>
        <v>159</v>
      </c>
    </row>
    <row r="72" spans="1:12" s="18" customFormat="1" ht="15" customHeight="1">
      <c r="A72" s="82">
        <v>1998</v>
      </c>
      <c r="B72" s="83" t="s">
        <v>42</v>
      </c>
      <c r="C72" s="15">
        <f t="shared" si="15"/>
        <v>0.96288172768685676</v>
      </c>
      <c r="D72" s="15">
        <f t="shared" si="16"/>
        <v>0.97722602739726028</v>
      </c>
      <c r="E72" s="15">
        <f t="shared" si="17"/>
        <v>0.98532141049434785</v>
      </c>
      <c r="F72" s="16"/>
      <c r="G72" s="16"/>
      <c r="H72" s="16">
        <v>5927</v>
      </c>
      <c r="I72" s="16">
        <f t="shared" si="13"/>
        <v>87</v>
      </c>
      <c r="J72" s="16">
        <v>5840</v>
      </c>
      <c r="K72" s="16">
        <v>5707</v>
      </c>
      <c r="L72" s="16">
        <f t="shared" si="14"/>
        <v>133</v>
      </c>
    </row>
    <row r="73" spans="1:12" s="18" customFormat="1" ht="15" customHeight="1">
      <c r="A73" s="82">
        <v>1998</v>
      </c>
      <c r="B73" s="83" t="s">
        <v>43</v>
      </c>
      <c r="C73" s="15">
        <f t="shared" si="15"/>
        <v>0.9561342188046138</v>
      </c>
      <c r="D73" s="15">
        <f t="shared" si="16"/>
        <v>0.97853693435879097</v>
      </c>
      <c r="E73" s="15">
        <f t="shared" si="17"/>
        <v>0.97710590702551559</v>
      </c>
      <c r="F73" s="16"/>
      <c r="G73" s="16"/>
      <c r="H73" s="16">
        <v>5722</v>
      </c>
      <c r="I73" s="16">
        <f t="shared" si="13"/>
        <v>131</v>
      </c>
      <c r="J73" s="16">
        <v>5591</v>
      </c>
      <c r="K73" s="16">
        <v>5471</v>
      </c>
      <c r="L73" s="16">
        <f t="shared" si="14"/>
        <v>120</v>
      </c>
    </row>
    <row r="74" spans="1:12" s="18" customFormat="1" ht="15" customHeight="1">
      <c r="A74" s="82">
        <v>1998</v>
      </c>
      <c r="B74" s="83" t="s">
        <v>44</v>
      </c>
      <c r="C74" s="15">
        <f t="shared" si="15"/>
        <v>0.95384871709430186</v>
      </c>
      <c r="D74" s="15">
        <f t="shared" si="16"/>
        <v>0.97050347516528224</v>
      </c>
      <c r="E74" s="15">
        <f t="shared" si="17"/>
        <v>0.98283905364878377</v>
      </c>
      <c r="F74" s="16"/>
      <c r="G74" s="16"/>
      <c r="H74" s="16">
        <v>6002</v>
      </c>
      <c r="I74" s="16">
        <f t="shared" si="13"/>
        <v>103</v>
      </c>
      <c r="J74" s="16">
        <v>5899</v>
      </c>
      <c r="K74" s="16">
        <v>5725</v>
      </c>
      <c r="L74" s="16">
        <f t="shared" si="14"/>
        <v>174</v>
      </c>
    </row>
    <row r="75" spans="1:12" s="18" customFormat="1" ht="15" customHeight="1">
      <c r="A75" s="82">
        <v>1998</v>
      </c>
      <c r="B75" s="83" t="s">
        <v>45</v>
      </c>
      <c r="C75" s="15">
        <f t="shared" si="15"/>
        <v>0.96548849616538845</v>
      </c>
      <c r="D75" s="15">
        <f t="shared" si="16"/>
        <v>0.98269132869506193</v>
      </c>
      <c r="E75" s="15">
        <f t="shared" si="17"/>
        <v>0.9824941647215738</v>
      </c>
      <c r="F75" s="16"/>
      <c r="G75" s="16"/>
      <c r="H75" s="16">
        <v>5998</v>
      </c>
      <c r="I75" s="16">
        <f t="shared" si="13"/>
        <v>105</v>
      </c>
      <c r="J75" s="16">
        <v>5893</v>
      </c>
      <c r="K75" s="16">
        <v>5791</v>
      </c>
      <c r="L75" s="16">
        <f t="shared" si="14"/>
        <v>102</v>
      </c>
    </row>
    <row r="76" spans="1:12" s="18" customFormat="1" ht="15" customHeight="1">
      <c r="A76" s="82">
        <v>1998</v>
      </c>
      <c r="B76" s="83" t="s">
        <v>46</v>
      </c>
      <c r="C76" s="15">
        <f t="shared" si="15"/>
        <v>0.9779411764705882</v>
      </c>
      <c r="D76" s="15">
        <f t="shared" si="16"/>
        <v>0.98332187070151311</v>
      </c>
      <c r="E76" s="15">
        <f t="shared" si="17"/>
        <v>0.99452804377564974</v>
      </c>
      <c r="F76" s="16"/>
      <c r="G76" s="16"/>
      <c r="H76" s="16">
        <v>5848</v>
      </c>
      <c r="I76" s="16">
        <f t="shared" si="13"/>
        <v>32</v>
      </c>
      <c r="J76" s="16">
        <v>5816</v>
      </c>
      <c r="K76" s="16">
        <v>5719</v>
      </c>
      <c r="L76" s="16">
        <f t="shared" si="14"/>
        <v>97</v>
      </c>
    </row>
    <row r="77" spans="1:12" s="18" customFormat="1" ht="15" customHeight="1">
      <c r="A77" s="82">
        <v>1998</v>
      </c>
      <c r="B77" s="83" t="s">
        <v>47</v>
      </c>
      <c r="C77" s="15">
        <f t="shared" si="15"/>
        <v>0.91732748439345368</v>
      </c>
      <c r="D77" s="15">
        <f t="shared" si="16"/>
        <v>0.96709356101031663</v>
      </c>
      <c r="E77" s="15">
        <f t="shared" si="17"/>
        <v>0.94854057702041505</v>
      </c>
      <c r="F77" s="16"/>
      <c r="G77" s="16"/>
      <c r="H77" s="16">
        <v>5927</v>
      </c>
      <c r="I77" s="16">
        <f t="shared" si="13"/>
        <v>305</v>
      </c>
      <c r="J77" s="16">
        <v>5622</v>
      </c>
      <c r="K77" s="16">
        <v>5437</v>
      </c>
      <c r="L77" s="16">
        <f t="shared" si="14"/>
        <v>185</v>
      </c>
    </row>
    <row r="78" spans="1:12" s="18" customFormat="1" ht="15" customHeight="1">
      <c r="A78" s="82">
        <v>1999</v>
      </c>
      <c r="B78" s="83" t="s">
        <v>36</v>
      </c>
      <c r="C78" s="15">
        <f t="shared" si="15"/>
        <v>0.96229002399725749</v>
      </c>
      <c r="D78" s="15">
        <f t="shared" si="16"/>
        <v>0.99082244969996469</v>
      </c>
      <c r="E78" s="15">
        <f t="shared" si="17"/>
        <v>0.97120329105245118</v>
      </c>
      <c r="F78" s="16"/>
      <c r="G78" s="16"/>
      <c r="H78" s="16">
        <v>5834</v>
      </c>
      <c r="I78" s="16">
        <f t="shared" ref="I78:I89" si="18">H78-J78</f>
        <v>168</v>
      </c>
      <c r="J78" s="16">
        <v>5666</v>
      </c>
      <c r="K78" s="16">
        <v>5614</v>
      </c>
      <c r="L78" s="16">
        <f t="shared" ref="L78:L89" si="19">J78-K78</f>
        <v>52</v>
      </c>
    </row>
    <row r="79" spans="1:12" s="18" customFormat="1" ht="15" customHeight="1">
      <c r="A79" s="82">
        <v>1999</v>
      </c>
      <c r="B79" s="83" t="s">
        <v>37</v>
      </c>
      <c r="C79" s="15">
        <f t="shared" si="15"/>
        <v>0.96585982658959535</v>
      </c>
      <c r="D79" s="15">
        <f t="shared" si="16"/>
        <v>0.97484047402005469</v>
      </c>
      <c r="E79" s="15">
        <f t="shared" si="17"/>
        <v>0.99078757225433522</v>
      </c>
      <c r="F79" s="16"/>
      <c r="G79" s="16"/>
      <c r="H79" s="16">
        <v>5536</v>
      </c>
      <c r="I79" s="16">
        <f t="shared" si="18"/>
        <v>51</v>
      </c>
      <c r="J79" s="16">
        <v>5485</v>
      </c>
      <c r="K79" s="16">
        <v>5347</v>
      </c>
      <c r="L79" s="16">
        <f t="shared" si="19"/>
        <v>138</v>
      </c>
    </row>
    <row r="80" spans="1:12" s="18" customFormat="1" ht="15" customHeight="1">
      <c r="A80" s="82">
        <v>1999</v>
      </c>
      <c r="B80" s="83" t="s">
        <v>38</v>
      </c>
      <c r="C80" s="15">
        <f t="shared" si="15"/>
        <v>0.97754611066559738</v>
      </c>
      <c r="D80" s="15">
        <f t="shared" si="16"/>
        <v>0.98513011152416352</v>
      </c>
      <c r="E80" s="15">
        <f t="shared" si="17"/>
        <v>0.99230152365677626</v>
      </c>
      <c r="F80" s="16"/>
      <c r="G80" s="16"/>
      <c r="H80" s="16">
        <v>6235</v>
      </c>
      <c r="I80" s="16">
        <f t="shared" si="18"/>
        <v>48</v>
      </c>
      <c r="J80" s="16">
        <v>6187</v>
      </c>
      <c r="K80" s="16">
        <v>6095</v>
      </c>
      <c r="L80" s="16">
        <f t="shared" si="19"/>
        <v>92</v>
      </c>
    </row>
    <row r="81" spans="1:12" s="18" customFormat="1" ht="15" customHeight="1">
      <c r="A81" s="82">
        <v>1999</v>
      </c>
      <c r="B81" s="83" t="s">
        <v>39</v>
      </c>
      <c r="C81" s="15">
        <f t="shared" si="15"/>
        <v>0.97602085143353601</v>
      </c>
      <c r="D81" s="15">
        <f t="shared" si="16"/>
        <v>0.98233648128716333</v>
      </c>
      <c r="E81" s="15">
        <f t="shared" si="17"/>
        <v>0.99357080799304953</v>
      </c>
      <c r="F81" s="16"/>
      <c r="G81" s="16"/>
      <c r="H81" s="16">
        <v>5755</v>
      </c>
      <c r="I81" s="16">
        <f t="shared" si="18"/>
        <v>37</v>
      </c>
      <c r="J81" s="16">
        <v>5718</v>
      </c>
      <c r="K81" s="16">
        <v>5617</v>
      </c>
      <c r="L81" s="16">
        <f t="shared" si="19"/>
        <v>101</v>
      </c>
    </row>
    <row r="82" spans="1:12" s="18" customFormat="1" ht="15" customHeight="1">
      <c r="A82" s="82">
        <v>1999</v>
      </c>
      <c r="B82" s="83" t="s">
        <v>40</v>
      </c>
      <c r="C82" s="15">
        <f t="shared" si="15"/>
        <v>0.89208383855880824</v>
      </c>
      <c r="D82" s="15">
        <f t="shared" si="16"/>
        <v>0.90271691498685369</v>
      </c>
      <c r="E82" s="15">
        <f t="shared" si="17"/>
        <v>0.9882210289277672</v>
      </c>
      <c r="F82" s="16"/>
      <c r="G82" s="16"/>
      <c r="H82" s="16">
        <v>5773</v>
      </c>
      <c r="I82" s="16">
        <f t="shared" si="18"/>
        <v>68</v>
      </c>
      <c r="J82" s="16">
        <v>5705</v>
      </c>
      <c r="K82" s="16">
        <v>5150</v>
      </c>
      <c r="L82" s="16">
        <f t="shared" si="19"/>
        <v>555</v>
      </c>
    </row>
    <row r="83" spans="1:12" s="18" customFormat="1" ht="15" customHeight="1">
      <c r="A83" s="82">
        <v>1999</v>
      </c>
      <c r="B83" s="83" t="s">
        <v>41</v>
      </c>
      <c r="C83" s="15">
        <f t="shared" si="15"/>
        <v>0.90533895328415881</v>
      </c>
      <c r="D83" s="15">
        <f t="shared" si="16"/>
        <v>0.91384506293210421</v>
      </c>
      <c r="E83" s="15">
        <f t="shared" si="17"/>
        <v>0.99069195644538111</v>
      </c>
      <c r="F83" s="16"/>
      <c r="G83" s="16"/>
      <c r="H83" s="16">
        <v>5694</v>
      </c>
      <c r="I83" s="16">
        <f t="shared" si="18"/>
        <v>53</v>
      </c>
      <c r="J83" s="16">
        <v>5641</v>
      </c>
      <c r="K83" s="16">
        <v>5155</v>
      </c>
      <c r="L83" s="16">
        <f t="shared" si="19"/>
        <v>486</v>
      </c>
    </row>
    <row r="84" spans="1:12" s="18" customFormat="1" ht="15" customHeight="1">
      <c r="A84" s="82">
        <v>1999</v>
      </c>
      <c r="B84" s="83" t="s">
        <v>42</v>
      </c>
      <c r="C84" s="15">
        <f t="shared" si="15"/>
        <v>0.95841683366733466</v>
      </c>
      <c r="D84" s="15">
        <f t="shared" si="16"/>
        <v>0.96991718776406965</v>
      </c>
      <c r="E84" s="15">
        <f t="shared" si="17"/>
        <v>0.98814295257181028</v>
      </c>
      <c r="F84" s="16"/>
      <c r="G84" s="16"/>
      <c r="H84" s="16">
        <v>5988</v>
      </c>
      <c r="I84" s="16">
        <f t="shared" si="18"/>
        <v>71</v>
      </c>
      <c r="J84" s="16">
        <v>5917</v>
      </c>
      <c r="K84" s="16">
        <v>5739</v>
      </c>
      <c r="L84" s="16">
        <f t="shared" si="19"/>
        <v>178</v>
      </c>
    </row>
    <row r="85" spans="1:12" s="18" customFormat="1" ht="15" customHeight="1">
      <c r="A85" s="82">
        <v>1999</v>
      </c>
      <c r="B85" s="83" t="s">
        <v>43</v>
      </c>
      <c r="C85" s="15">
        <f t="shared" si="15"/>
        <v>0.93656149822844614</v>
      </c>
      <c r="D85" s="15">
        <f t="shared" si="16"/>
        <v>0.97539975399753998</v>
      </c>
      <c r="E85" s="15">
        <f t="shared" si="17"/>
        <v>0.96018221697317363</v>
      </c>
      <c r="F85" s="16"/>
      <c r="G85" s="16"/>
      <c r="H85" s="16">
        <v>5927</v>
      </c>
      <c r="I85" s="16">
        <f t="shared" si="18"/>
        <v>236</v>
      </c>
      <c r="J85" s="16">
        <v>5691</v>
      </c>
      <c r="K85" s="16">
        <v>5551</v>
      </c>
      <c r="L85" s="16">
        <f t="shared" si="19"/>
        <v>140</v>
      </c>
    </row>
    <row r="86" spans="1:12" s="18" customFormat="1" ht="15" customHeight="1">
      <c r="A86" s="82">
        <v>1999</v>
      </c>
      <c r="B86" s="83" t="s">
        <v>44</v>
      </c>
      <c r="C86" s="15">
        <f t="shared" si="15"/>
        <v>0.97300899700099963</v>
      </c>
      <c r="D86" s="15">
        <f t="shared" si="16"/>
        <v>0.98465688754004388</v>
      </c>
      <c r="E86" s="15">
        <f t="shared" si="17"/>
        <v>0.98817060979673443</v>
      </c>
      <c r="F86" s="16"/>
      <c r="G86" s="16"/>
      <c r="H86" s="16">
        <v>6002</v>
      </c>
      <c r="I86" s="16">
        <f t="shared" si="18"/>
        <v>71</v>
      </c>
      <c r="J86" s="16">
        <v>5931</v>
      </c>
      <c r="K86" s="16">
        <v>5840</v>
      </c>
      <c r="L86" s="16">
        <f t="shared" si="19"/>
        <v>91</v>
      </c>
    </row>
    <row r="87" spans="1:12" s="18" customFormat="1" ht="15" customHeight="1">
      <c r="A87" s="82">
        <v>1999</v>
      </c>
      <c r="B87" s="83" t="s">
        <v>45</v>
      </c>
      <c r="C87" s="15">
        <f t="shared" si="15"/>
        <v>0.94789166952348303</v>
      </c>
      <c r="D87" s="15">
        <f t="shared" si="16"/>
        <v>0.9734201725048407</v>
      </c>
      <c r="E87" s="15">
        <f t="shared" si="17"/>
        <v>0.97377442577991091</v>
      </c>
      <c r="F87" s="16"/>
      <c r="G87" s="16"/>
      <c r="H87" s="16">
        <v>5834</v>
      </c>
      <c r="I87" s="16">
        <f t="shared" si="18"/>
        <v>153</v>
      </c>
      <c r="J87" s="16">
        <v>5681</v>
      </c>
      <c r="K87" s="16">
        <v>5530</v>
      </c>
      <c r="L87" s="16">
        <f t="shared" si="19"/>
        <v>151</v>
      </c>
    </row>
    <row r="88" spans="1:12" s="18" customFormat="1" ht="15" customHeight="1">
      <c r="A88" s="82">
        <v>1999</v>
      </c>
      <c r="B88" s="83" t="s">
        <v>46</v>
      </c>
      <c r="C88" s="15">
        <f t="shared" si="15"/>
        <v>0.89887267904509283</v>
      </c>
      <c r="D88" s="15">
        <f t="shared" si="16"/>
        <v>0.95541850220264313</v>
      </c>
      <c r="E88" s="15">
        <f t="shared" si="17"/>
        <v>0.94081564986737398</v>
      </c>
      <c r="F88" s="16"/>
      <c r="G88" s="16"/>
      <c r="H88" s="16">
        <v>6032</v>
      </c>
      <c r="I88" s="16">
        <f t="shared" si="18"/>
        <v>357</v>
      </c>
      <c r="J88" s="16">
        <v>5675</v>
      </c>
      <c r="K88" s="16">
        <v>5422</v>
      </c>
      <c r="L88" s="16">
        <f t="shared" si="19"/>
        <v>253</v>
      </c>
    </row>
    <row r="89" spans="1:12" s="18" customFormat="1" ht="15" customHeight="1">
      <c r="A89" s="82">
        <v>1999</v>
      </c>
      <c r="B89" s="83" t="s">
        <v>47</v>
      </c>
      <c r="C89" s="15">
        <f t="shared" si="15"/>
        <v>0.95235732009925556</v>
      </c>
      <c r="D89" s="15">
        <f t="shared" si="16"/>
        <v>0.97493649449618969</v>
      </c>
      <c r="E89" s="15">
        <f t="shared" si="17"/>
        <v>0.97684036393713813</v>
      </c>
      <c r="F89" s="16"/>
      <c r="G89" s="16"/>
      <c r="H89" s="16">
        <v>6045</v>
      </c>
      <c r="I89" s="16">
        <f t="shared" si="18"/>
        <v>140</v>
      </c>
      <c r="J89" s="16">
        <v>5905</v>
      </c>
      <c r="K89" s="16">
        <v>5757</v>
      </c>
      <c r="L89" s="16">
        <f t="shared" si="19"/>
        <v>148</v>
      </c>
    </row>
    <row r="90" spans="1:12" s="18" customFormat="1" ht="15" customHeight="1">
      <c r="A90" s="82">
        <v>2000</v>
      </c>
      <c r="B90" s="83" t="s">
        <v>36</v>
      </c>
      <c r="C90" s="15">
        <f t="shared" si="15"/>
        <v>0.90221774193548387</v>
      </c>
      <c r="D90" s="15">
        <f t="shared" si="16"/>
        <v>0.97141823444283648</v>
      </c>
      <c r="E90" s="15">
        <f t="shared" si="17"/>
        <v>0.92876344086021501</v>
      </c>
      <c r="F90" s="16"/>
      <c r="G90" s="16"/>
      <c r="H90" s="16">
        <v>5952</v>
      </c>
      <c r="I90" s="16">
        <f t="shared" ref="I90:I101" si="20">H90-J90</f>
        <v>424</v>
      </c>
      <c r="J90" s="16">
        <v>5528</v>
      </c>
      <c r="K90" s="16">
        <v>5370</v>
      </c>
      <c r="L90" s="16">
        <f t="shared" ref="L90:L101" si="21">J90-K90</f>
        <v>158</v>
      </c>
    </row>
    <row r="91" spans="1:12" s="18" customFormat="1" ht="15" customHeight="1">
      <c r="A91" s="82">
        <v>2000</v>
      </c>
      <c r="B91" s="83" t="s">
        <v>37</v>
      </c>
      <c r="C91" s="15">
        <f t="shared" si="15"/>
        <v>0.93441491197790816</v>
      </c>
      <c r="D91" s="15">
        <f t="shared" si="16"/>
        <v>0.96557874085963968</v>
      </c>
      <c r="E91" s="15">
        <f t="shared" si="17"/>
        <v>0.96772523299965485</v>
      </c>
      <c r="F91" s="16"/>
      <c r="G91" s="16"/>
      <c r="H91" s="16">
        <v>5794</v>
      </c>
      <c r="I91" s="16">
        <f t="shared" si="20"/>
        <v>187</v>
      </c>
      <c r="J91" s="16">
        <v>5607</v>
      </c>
      <c r="K91" s="16">
        <v>5414</v>
      </c>
      <c r="L91" s="16">
        <f t="shared" si="21"/>
        <v>193</v>
      </c>
    </row>
    <row r="92" spans="1:12" s="18" customFormat="1" ht="15" customHeight="1">
      <c r="A92" s="82">
        <v>2000</v>
      </c>
      <c r="B92" s="83" t="s">
        <v>38</v>
      </c>
      <c r="C92" s="15">
        <f t="shared" si="15"/>
        <v>0.9615138933248164</v>
      </c>
      <c r="D92" s="15">
        <f t="shared" si="16"/>
        <v>0.98527245949926368</v>
      </c>
      <c r="E92" s="15">
        <f t="shared" si="17"/>
        <v>0.97588629830725004</v>
      </c>
      <c r="F92" s="16"/>
      <c r="G92" s="16"/>
      <c r="H92" s="16">
        <v>6262</v>
      </c>
      <c r="I92" s="16">
        <f t="shared" si="20"/>
        <v>151</v>
      </c>
      <c r="J92" s="16">
        <v>6111</v>
      </c>
      <c r="K92" s="16">
        <v>6021</v>
      </c>
      <c r="L92" s="16">
        <f t="shared" si="21"/>
        <v>90</v>
      </c>
    </row>
    <row r="93" spans="1:12" s="18" customFormat="1" ht="15" customHeight="1">
      <c r="A93" s="82">
        <v>2000</v>
      </c>
      <c r="B93" s="83" t="s">
        <v>39</v>
      </c>
      <c r="C93" s="15">
        <f t="shared" si="15"/>
        <v>0.93221258134490237</v>
      </c>
      <c r="D93" s="15">
        <f t="shared" si="16"/>
        <v>0.96212686567164174</v>
      </c>
      <c r="E93" s="15">
        <f t="shared" si="17"/>
        <v>0.96890817064352852</v>
      </c>
      <c r="F93" s="16"/>
      <c r="G93" s="16"/>
      <c r="H93" s="16">
        <v>5532</v>
      </c>
      <c r="I93" s="16">
        <f t="shared" si="20"/>
        <v>172</v>
      </c>
      <c r="J93" s="16">
        <v>5360</v>
      </c>
      <c r="K93" s="16">
        <v>5157</v>
      </c>
      <c r="L93" s="16">
        <f t="shared" si="21"/>
        <v>203</v>
      </c>
    </row>
    <row r="94" spans="1:12" s="18" customFormat="1" ht="15" customHeight="1">
      <c r="A94" s="82">
        <v>2000</v>
      </c>
      <c r="B94" s="83" t="s">
        <v>40</v>
      </c>
      <c r="C94" s="15">
        <f t="shared" si="15"/>
        <v>0.94325997248968363</v>
      </c>
      <c r="D94" s="15">
        <f t="shared" si="16"/>
        <v>0.96178120617110796</v>
      </c>
      <c r="E94" s="15">
        <f t="shared" si="17"/>
        <v>0.98074277854195324</v>
      </c>
      <c r="F94" s="16"/>
      <c r="G94" s="16"/>
      <c r="H94" s="16">
        <v>5816</v>
      </c>
      <c r="I94" s="16">
        <f t="shared" si="20"/>
        <v>112</v>
      </c>
      <c r="J94" s="16">
        <v>5704</v>
      </c>
      <c r="K94" s="16">
        <v>5486</v>
      </c>
      <c r="L94" s="16">
        <f t="shared" si="21"/>
        <v>218</v>
      </c>
    </row>
    <row r="95" spans="1:12" s="18" customFormat="1" ht="15" customHeight="1">
      <c r="A95" s="82">
        <v>2000</v>
      </c>
      <c r="B95" s="83" t="s">
        <v>41</v>
      </c>
      <c r="C95" s="15">
        <f t="shared" si="15"/>
        <v>0.90338592448147492</v>
      </c>
      <c r="D95" s="15">
        <f t="shared" si="16"/>
        <v>0.93060628195763329</v>
      </c>
      <c r="E95" s="15">
        <f t="shared" si="17"/>
        <v>0.97074986704485022</v>
      </c>
      <c r="F95" s="16"/>
      <c r="G95" s="16"/>
      <c r="H95" s="16">
        <v>5641</v>
      </c>
      <c r="I95" s="16">
        <f t="shared" si="20"/>
        <v>165</v>
      </c>
      <c r="J95" s="16">
        <v>5476</v>
      </c>
      <c r="K95" s="16">
        <v>5096</v>
      </c>
      <c r="L95" s="16">
        <f t="shared" si="21"/>
        <v>380</v>
      </c>
    </row>
    <row r="96" spans="1:12" s="18" customFormat="1" ht="15" customHeight="1">
      <c r="A96" s="82">
        <v>2000</v>
      </c>
      <c r="B96" s="83" t="s">
        <v>42</v>
      </c>
      <c r="C96" s="15">
        <f t="shared" si="15"/>
        <v>0.95227505986999661</v>
      </c>
      <c r="D96" s="15">
        <f t="shared" si="16"/>
        <v>0.97376246283015566</v>
      </c>
      <c r="E96" s="15">
        <f t="shared" si="17"/>
        <v>0.97793362983236398</v>
      </c>
      <c r="F96" s="16"/>
      <c r="G96" s="16"/>
      <c r="H96" s="16">
        <v>5846</v>
      </c>
      <c r="I96" s="16">
        <f t="shared" si="20"/>
        <v>129</v>
      </c>
      <c r="J96" s="16">
        <v>5717</v>
      </c>
      <c r="K96" s="16">
        <v>5567</v>
      </c>
      <c r="L96" s="16">
        <f t="shared" si="21"/>
        <v>150</v>
      </c>
    </row>
    <row r="97" spans="1:12" s="18" customFormat="1" ht="15" customHeight="1">
      <c r="A97" s="82">
        <v>2000</v>
      </c>
      <c r="B97" s="83" t="s">
        <v>43</v>
      </c>
      <c r="C97" s="15">
        <f t="shared" si="15"/>
        <v>0.947395042994436</v>
      </c>
      <c r="D97" s="15">
        <f t="shared" si="16"/>
        <v>0.96829226262278134</v>
      </c>
      <c r="E97" s="15">
        <f t="shared" si="17"/>
        <v>0.97841847917720448</v>
      </c>
      <c r="F97" s="16"/>
      <c r="G97" s="16"/>
      <c r="H97" s="16">
        <v>5931</v>
      </c>
      <c r="I97" s="16">
        <f t="shared" si="20"/>
        <v>128</v>
      </c>
      <c r="J97" s="16">
        <v>5803</v>
      </c>
      <c r="K97" s="16">
        <v>5619</v>
      </c>
      <c r="L97" s="16">
        <f t="shared" si="21"/>
        <v>184</v>
      </c>
    </row>
    <row r="98" spans="1:12" s="18" customFormat="1" ht="15" customHeight="1">
      <c r="A98" s="82">
        <v>2000</v>
      </c>
      <c r="B98" s="83" t="s">
        <v>44</v>
      </c>
      <c r="C98" s="15">
        <f t="shared" si="15"/>
        <v>0.91139240506329111</v>
      </c>
      <c r="D98" s="15">
        <f t="shared" si="16"/>
        <v>0.94668587896253598</v>
      </c>
      <c r="E98" s="15">
        <f t="shared" si="17"/>
        <v>0.96271891798161957</v>
      </c>
      <c r="F98" s="16"/>
      <c r="G98" s="16"/>
      <c r="H98" s="16">
        <v>5767</v>
      </c>
      <c r="I98" s="16">
        <f t="shared" si="20"/>
        <v>215</v>
      </c>
      <c r="J98" s="16">
        <v>5552</v>
      </c>
      <c r="K98" s="16">
        <v>5256</v>
      </c>
      <c r="L98" s="16">
        <f t="shared" si="21"/>
        <v>296</v>
      </c>
    </row>
    <row r="99" spans="1:12" s="18" customFormat="1" ht="15" customHeight="1">
      <c r="A99" s="82">
        <v>2000</v>
      </c>
      <c r="B99" s="83" t="s">
        <v>45</v>
      </c>
      <c r="C99" s="15">
        <f t="shared" si="15"/>
        <v>0.93273387515130557</v>
      </c>
      <c r="D99" s="15">
        <f t="shared" si="16"/>
        <v>0.97259285971871623</v>
      </c>
      <c r="E99" s="15">
        <f t="shared" si="17"/>
        <v>0.9590178108248314</v>
      </c>
      <c r="F99" s="16"/>
      <c r="G99" s="16"/>
      <c r="H99" s="16">
        <v>5783</v>
      </c>
      <c r="I99" s="16">
        <f t="shared" si="20"/>
        <v>237</v>
      </c>
      <c r="J99" s="16">
        <v>5546</v>
      </c>
      <c r="K99" s="16">
        <v>5394</v>
      </c>
      <c r="L99" s="16">
        <f t="shared" si="21"/>
        <v>152</v>
      </c>
    </row>
    <row r="100" spans="1:12" s="18" customFormat="1" ht="15" customHeight="1">
      <c r="A100" s="82">
        <v>2000</v>
      </c>
      <c r="B100" s="83" t="s">
        <v>46</v>
      </c>
      <c r="C100" s="15">
        <f t="shared" si="15"/>
        <v>0.86431989063568015</v>
      </c>
      <c r="D100" s="15">
        <f t="shared" si="16"/>
        <v>0.92807339449541282</v>
      </c>
      <c r="E100" s="15">
        <f t="shared" si="17"/>
        <v>0.93130553656869441</v>
      </c>
      <c r="F100" s="16"/>
      <c r="G100" s="16"/>
      <c r="H100" s="16">
        <v>5852</v>
      </c>
      <c r="I100" s="16">
        <f t="shared" si="20"/>
        <v>402</v>
      </c>
      <c r="J100" s="16">
        <v>5450</v>
      </c>
      <c r="K100" s="16">
        <v>5058</v>
      </c>
      <c r="L100" s="16">
        <f t="shared" si="21"/>
        <v>392</v>
      </c>
    </row>
    <row r="101" spans="1:12" s="18" customFormat="1" ht="15" customHeight="1">
      <c r="A101" s="82">
        <v>2000</v>
      </c>
      <c r="B101" s="83" t="s">
        <v>47</v>
      </c>
      <c r="C101" s="15">
        <f t="shared" si="15"/>
        <v>0.87189189189189187</v>
      </c>
      <c r="D101" s="15">
        <f t="shared" si="16"/>
        <v>0.93870029097963148</v>
      </c>
      <c r="E101" s="15">
        <f t="shared" si="17"/>
        <v>0.92882882882882878</v>
      </c>
      <c r="F101" s="16"/>
      <c r="G101" s="16"/>
      <c r="H101" s="16">
        <v>5550</v>
      </c>
      <c r="I101" s="16">
        <f t="shared" si="20"/>
        <v>395</v>
      </c>
      <c r="J101" s="16">
        <v>5155</v>
      </c>
      <c r="K101" s="16">
        <v>4839</v>
      </c>
      <c r="L101" s="16">
        <f t="shared" si="21"/>
        <v>316</v>
      </c>
    </row>
    <row r="102" spans="1:12" s="18" customFormat="1" ht="15" customHeight="1">
      <c r="A102" s="82">
        <v>2001</v>
      </c>
      <c r="B102" s="83" t="s">
        <v>36</v>
      </c>
      <c r="C102" s="15">
        <f t="shared" si="15"/>
        <v>0.94873524451939295</v>
      </c>
      <c r="D102" s="15">
        <f t="shared" si="16"/>
        <v>0.98408256078362777</v>
      </c>
      <c r="E102" s="15">
        <f t="shared" si="17"/>
        <v>0.96408094435075886</v>
      </c>
      <c r="F102" s="16"/>
      <c r="G102" s="16"/>
      <c r="H102" s="16">
        <v>5930</v>
      </c>
      <c r="I102" s="16">
        <f t="shared" ref="I102:I113" si="22">H102-J102</f>
        <v>213</v>
      </c>
      <c r="J102" s="16">
        <v>5717</v>
      </c>
      <c r="K102" s="16">
        <v>5626</v>
      </c>
      <c r="L102" s="16">
        <f t="shared" ref="L102:L113" si="23">J102-K102</f>
        <v>91</v>
      </c>
    </row>
    <row r="103" spans="1:12" s="18" customFormat="1" ht="15" customHeight="1">
      <c r="A103" s="82">
        <v>2001</v>
      </c>
      <c r="B103" s="83" t="s">
        <v>37</v>
      </c>
      <c r="C103" s="15">
        <f t="shared" si="15"/>
        <v>0.95351851851851854</v>
      </c>
      <c r="D103" s="15">
        <f t="shared" si="16"/>
        <v>0.97964231354642317</v>
      </c>
      <c r="E103" s="15">
        <f t="shared" si="17"/>
        <v>0.97333333333333338</v>
      </c>
      <c r="F103" s="16"/>
      <c r="G103" s="16"/>
      <c r="H103" s="16">
        <v>5400</v>
      </c>
      <c r="I103" s="16">
        <f t="shared" si="22"/>
        <v>144</v>
      </c>
      <c r="J103" s="16">
        <v>5256</v>
      </c>
      <c r="K103" s="16">
        <v>5149</v>
      </c>
      <c r="L103" s="16">
        <f t="shared" si="23"/>
        <v>107</v>
      </c>
    </row>
    <row r="104" spans="1:12" s="18" customFormat="1" ht="15" customHeight="1">
      <c r="A104" s="82">
        <v>2001</v>
      </c>
      <c r="B104" s="83" t="s">
        <v>38</v>
      </c>
      <c r="C104" s="15">
        <f t="shared" si="15"/>
        <v>0.94877356916402467</v>
      </c>
      <c r="D104" s="15">
        <f t="shared" si="16"/>
        <v>0.96667800068004084</v>
      </c>
      <c r="E104" s="15">
        <f t="shared" si="17"/>
        <v>0.98147839145669946</v>
      </c>
      <c r="F104" s="16"/>
      <c r="G104" s="16"/>
      <c r="H104" s="16">
        <v>5993</v>
      </c>
      <c r="I104" s="16">
        <f>H104-J104</f>
        <v>111</v>
      </c>
      <c r="J104" s="16">
        <v>5882</v>
      </c>
      <c r="K104" s="16">
        <v>5686</v>
      </c>
      <c r="L104" s="16">
        <f t="shared" si="23"/>
        <v>196</v>
      </c>
    </row>
    <row r="105" spans="1:12" s="18" customFormat="1" ht="15" customHeight="1">
      <c r="A105" s="82">
        <v>2001</v>
      </c>
      <c r="B105" s="83" t="s">
        <v>39</v>
      </c>
      <c r="C105" s="15">
        <f t="shared" si="15"/>
        <v>0.95323065364387682</v>
      </c>
      <c r="D105" s="15">
        <f t="shared" si="16"/>
        <v>0.96099223631887898</v>
      </c>
      <c r="E105" s="15">
        <f t="shared" si="17"/>
        <v>0.99192336589030805</v>
      </c>
      <c r="F105" s="16"/>
      <c r="G105" s="16"/>
      <c r="H105" s="16">
        <v>5324</v>
      </c>
      <c r="I105" s="16">
        <f t="shared" si="22"/>
        <v>43</v>
      </c>
      <c r="J105" s="16">
        <v>5281</v>
      </c>
      <c r="K105" s="16">
        <v>5075</v>
      </c>
      <c r="L105" s="16">
        <f t="shared" si="23"/>
        <v>206</v>
      </c>
    </row>
    <row r="106" spans="1:12" s="18" customFormat="1" ht="15" customHeight="1">
      <c r="A106" s="82">
        <v>2001</v>
      </c>
      <c r="B106" s="83" t="s">
        <v>40</v>
      </c>
      <c r="C106" s="15">
        <f t="shared" si="15"/>
        <v>0.93358699411968182</v>
      </c>
      <c r="D106" s="15">
        <f t="shared" si="16"/>
        <v>0.97173717371737178</v>
      </c>
      <c r="E106" s="15">
        <f t="shared" si="17"/>
        <v>0.96074022829470773</v>
      </c>
      <c r="F106" s="16"/>
      <c r="G106" s="16"/>
      <c r="H106" s="16">
        <v>5782</v>
      </c>
      <c r="I106" s="16">
        <f t="shared" si="22"/>
        <v>227</v>
      </c>
      <c r="J106" s="16">
        <v>5555</v>
      </c>
      <c r="K106" s="16">
        <v>5398</v>
      </c>
      <c r="L106" s="16">
        <f t="shared" si="23"/>
        <v>157</v>
      </c>
    </row>
    <row r="107" spans="1:12" s="18" customFormat="1" ht="15" customHeight="1">
      <c r="A107" s="82">
        <v>2001</v>
      </c>
      <c r="B107" s="83" t="s">
        <v>41</v>
      </c>
      <c r="C107" s="15">
        <f t="shared" si="15"/>
        <v>0.90389749065670044</v>
      </c>
      <c r="D107" s="15">
        <f t="shared" si="16"/>
        <v>0.95147995503934057</v>
      </c>
      <c r="E107" s="15">
        <f t="shared" si="17"/>
        <v>0.94999110161950528</v>
      </c>
      <c r="F107" s="16"/>
      <c r="G107" s="16"/>
      <c r="H107" s="16">
        <v>5619</v>
      </c>
      <c r="I107" s="16">
        <f t="shared" si="22"/>
        <v>281</v>
      </c>
      <c r="J107" s="16">
        <v>5338</v>
      </c>
      <c r="K107" s="16">
        <v>5079</v>
      </c>
      <c r="L107" s="16">
        <f t="shared" si="23"/>
        <v>259</v>
      </c>
    </row>
    <row r="108" spans="1:12" s="18" customFormat="1" ht="15" customHeight="1">
      <c r="A108" s="82">
        <v>2001</v>
      </c>
      <c r="B108" s="83" t="s">
        <v>42</v>
      </c>
      <c r="C108" s="15">
        <f t="shared" si="15"/>
        <v>0.8924433684938613</v>
      </c>
      <c r="D108" s="15">
        <f t="shared" si="16"/>
        <v>0.95662650602409638</v>
      </c>
      <c r="E108" s="15">
        <f t="shared" si="17"/>
        <v>0.93290679578073665</v>
      </c>
      <c r="F108" s="16"/>
      <c r="G108" s="16"/>
      <c r="H108" s="16">
        <v>5783</v>
      </c>
      <c r="I108" s="16">
        <f t="shared" si="22"/>
        <v>388</v>
      </c>
      <c r="J108" s="16">
        <v>5395</v>
      </c>
      <c r="K108" s="16">
        <v>5161</v>
      </c>
      <c r="L108" s="16">
        <f t="shared" si="23"/>
        <v>234</v>
      </c>
    </row>
    <row r="109" spans="1:12" s="18" customFormat="1" ht="15" customHeight="1">
      <c r="A109" s="82">
        <v>2001</v>
      </c>
      <c r="B109" s="83" t="s">
        <v>43</v>
      </c>
      <c r="C109" s="15">
        <f t="shared" si="15"/>
        <v>0.92596964586846542</v>
      </c>
      <c r="D109" s="15">
        <f t="shared" si="16"/>
        <v>0.94233739488587609</v>
      </c>
      <c r="E109" s="15">
        <f t="shared" si="17"/>
        <v>0.98263069139966275</v>
      </c>
      <c r="F109" s="16"/>
      <c r="G109" s="16"/>
      <c r="H109" s="16">
        <v>5930</v>
      </c>
      <c r="I109" s="16">
        <f t="shared" si="22"/>
        <v>103</v>
      </c>
      <c r="J109" s="16">
        <v>5827</v>
      </c>
      <c r="K109" s="16">
        <v>5491</v>
      </c>
      <c r="L109" s="16">
        <f t="shared" si="23"/>
        <v>336</v>
      </c>
    </row>
    <row r="110" spans="1:12" s="18" customFormat="1" ht="15" customHeight="1">
      <c r="A110" s="82">
        <v>2001</v>
      </c>
      <c r="B110" s="83" t="s">
        <v>44</v>
      </c>
      <c r="C110" s="15">
        <f t="shared" si="15"/>
        <v>0.9662857142857143</v>
      </c>
      <c r="D110" s="15">
        <f t="shared" si="16"/>
        <v>0.97295742232451088</v>
      </c>
      <c r="E110" s="15">
        <f t="shared" si="17"/>
        <v>0.99314285714285711</v>
      </c>
      <c r="F110" s="16"/>
      <c r="G110" s="16"/>
      <c r="H110" s="16">
        <v>5250</v>
      </c>
      <c r="I110" s="16">
        <f t="shared" si="22"/>
        <v>36</v>
      </c>
      <c r="J110" s="16">
        <v>5214</v>
      </c>
      <c r="K110" s="16">
        <v>5073</v>
      </c>
      <c r="L110" s="16">
        <f t="shared" si="23"/>
        <v>141</v>
      </c>
    </row>
    <row r="111" spans="1:12" s="18" customFormat="1" ht="15" customHeight="1">
      <c r="A111" s="82">
        <v>2001</v>
      </c>
      <c r="B111" s="83" t="s">
        <v>45</v>
      </c>
      <c r="C111" s="15">
        <f t="shared" si="15"/>
        <v>0.97176470588235297</v>
      </c>
      <c r="D111" s="15">
        <f t="shared" si="16"/>
        <v>0.98028117582618224</v>
      </c>
      <c r="E111" s="15">
        <f t="shared" si="17"/>
        <v>0.99131221719457019</v>
      </c>
      <c r="F111" s="16"/>
      <c r="G111" s="16"/>
      <c r="H111" s="16">
        <v>5525</v>
      </c>
      <c r="I111" s="16">
        <f t="shared" si="22"/>
        <v>48</v>
      </c>
      <c r="J111" s="16">
        <v>5477</v>
      </c>
      <c r="K111" s="16">
        <v>5369</v>
      </c>
      <c r="L111" s="16">
        <f t="shared" si="23"/>
        <v>108</v>
      </c>
    </row>
    <row r="112" spans="1:12" s="18" customFormat="1" ht="15" customHeight="1">
      <c r="A112" s="82">
        <v>2001</v>
      </c>
      <c r="B112" s="83" t="s">
        <v>46</v>
      </c>
      <c r="C112" s="15">
        <f t="shared" si="15"/>
        <v>0.9739970282317979</v>
      </c>
      <c r="D112" s="15">
        <f t="shared" si="16"/>
        <v>0.98073686179165886</v>
      </c>
      <c r="E112" s="15">
        <f t="shared" si="17"/>
        <v>0.99312778603268947</v>
      </c>
      <c r="F112" s="16"/>
      <c r="G112" s="16"/>
      <c r="H112" s="16">
        <v>5384</v>
      </c>
      <c r="I112" s="16">
        <f t="shared" si="22"/>
        <v>37</v>
      </c>
      <c r="J112" s="16">
        <v>5347</v>
      </c>
      <c r="K112" s="16">
        <v>5244</v>
      </c>
      <c r="L112" s="16">
        <f t="shared" si="23"/>
        <v>103</v>
      </c>
    </row>
    <row r="113" spans="1:12" s="18" customFormat="1" ht="15" customHeight="1">
      <c r="A113" s="82">
        <v>2001</v>
      </c>
      <c r="B113" s="83" t="s">
        <v>47</v>
      </c>
      <c r="C113" s="15">
        <f t="shared" si="15"/>
        <v>0.82918487554626641</v>
      </c>
      <c r="D113" s="15">
        <f t="shared" si="16"/>
        <v>0.97891431135038132</v>
      </c>
      <c r="E113" s="15">
        <f t="shared" si="17"/>
        <v>0.84704541136234091</v>
      </c>
      <c r="F113" s="16"/>
      <c r="G113" s="16"/>
      <c r="H113" s="16">
        <v>5263</v>
      </c>
      <c r="I113" s="16">
        <f t="shared" si="22"/>
        <v>805</v>
      </c>
      <c r="J113" s="16">
        <v>4458</v>
      </c>
      <c r="K113" s="16">
        <v>4364</v>
      </c>
      <c r="L113" s="16">
        <f t="shared" si="23"/>
        <v>94</v>
      </c>
    </row>
    <row r="114" spans="1:12" s="18" customFormat="1" ht="15" customHeight="1">
      <c r="A114" s="82">
        <v>2002</v>
      </c>
      <c r="B114" s="83" t="s">
        <v>36</v>
      </c>
      <c r="C114" s="15">
        <f t="shared" si="15"/>
        <v>0.86257468766974466</v>
      </c>
      <c r="D114" s="15">
        <f t="shared" si="16"/>
        <v>0.98145859085290477</v>
      </c>
      <c r="E114" s="15">
        <f t="shared" si="17"/>
        <v>0.87887017925040734</v>
      </c>
      <c r="F114" s="16"/>
      <c r="G114" s="16"/>
      <c r="H114" s="16">
        <v>5523</v>
      </c>
      <c r="I114" s="16">
        <f>H114-J114</f>
        <v>669</v>
      </c>
      <c r="J114" s="16">
        <v>4854</v>
      </c>
      <c r="K114" s="16">
        <v>4764</v>
      </c>
      <c r="L114" s="16">
        <f t="shared" ref="L114:L125" si="24">J114-K114</f>
        <v>90</v>
      </c>
    </row>
    <row r="115" spans="1:12" s="18" customFormat="1" ht="15" customHeight="1">
      <c r="A115" s="82">
        <v>2002</v>
      </c>
      <c r="B115" s="83" t="s">
        <v>37</v>
      </c>
      <c r="C115" s="15">
        <f t="shared" si="15"/>
        <v>0.85046928327645055</v>
      </c>
      <c r="D115" s="15">
        <f t="shared" si="16"/>
        <v>0.99749812359269452</v>
      </c>
      <c r="E115" s="15">
        <f t="shared" si="17"/>
        <v>0.85260238907849828</v>
      </c>
      <c r="F115" s="16"/>
      <c r="G115" s="16"/>
      <c r="H115" s="16">
        <v>4688</v>
      </c>
      <c r="I115" s="16">
        <f>H115-J115</f>
        <v>691</v>
      </c>
      <c r="J115" s="16">
        <v>3997</v>
      </c>
      <c r="K115" s="16">
        <v>3987</v>
      </c>
      <c r="L115" s="16">
        <f t="shared" si="24"/>
        <v>10</v>
      </c>
    </row>
    <row r="116" spans="1:12" s="18" customFormat="1" ht="15" customHeight="1">
      <c r="A116" s="82">
        <v>2002</v>
      </c>
      <c r="B116" s="83" t="s">
        <v>38</v>
      </c>
      <c r="C116" s="15">
        <f t="shared" si="15"/>
        <v>0.84756470348481761</v>
      </c>
      <c r="D116" s="15">
        <f t="shared" si="16"/>
        <v>0.97812793979303858</v>
      </c>
      <c r="E116" s="15">
        <f t="shared" si="17"/>
        <v>0.86651722029753409</v>
      </c>
      <c r="F116" s="16"/>
      <c r="G116" s="16"/>
      <c r="H116" s="16">
        <v>4907</v>
      </c>
      <c r="I116" s="16">
        <f>H116-J116</f>
        <v>655</v>
      </c>
      <c r="J116" s="16">
        <v>4252</v>
      </c>
      <c r="K116" s="16">
        <v>4159</v>
      </c>
      <c r="L116" s="16">
        <f t="shared" si="24"/>
        <v>93</v>
      </c>
    </row>
    <row r="117" spans="1:12" s="18" customFormat="1" ht="15" customHeight="1">
      <c r="A117" s="82">
        <v>2002</v>
      </c>
      <c r="B117" s="83" t="s">
        <v>39</v>
      </c>
      <c r="C117" s="15">
        <f t="shared" si="15"/>
        <v>0.80205811138014527</v>
      </c>
      <c r="D117" s="15">
        <f t="shared" si="16"/>
        <v>0.9759391112202308</v>
      </c>
      <c r="E117" s="15">
        <f t="shared" si="17"/>
        <v>0.82183212267958028</v>
      </c>
      <c r="F117" s="16"/>
      <c r="G117" s="16"/>
      <c r="H117" s="16">
        <v>4956</v>
      </c>
      <c r="I117" s="16">
        <f t="shared" ref="I117:I125" si="25">H117-J117</f>
        <v>883</v>
      </c>
      <c r="J117" s="16">
        <v>4073</v>
      </c>
      <c r="K117" s="16">
        <v>3975</v>
      </c>
      <c r="L117" s="16">
        <f t="shared" si="24"/>
        <v>98</v>
      </c>
    </row>
    <row r="118" spans="1:12" s="18" customFormat="1" ht="15" customHeight="1">
      <c r="A118" s="82">
        <v>2002</v>
      </c>
      <c r="B118" s="83" t="s">
        <v>40</v>
      </c>
      <c r="C118" s="15">
        <f t="shared" si="15"/>
        <v>0.83179042741776643</v>
      </c>
      <c r="D118" s="15">
        <f t="shared" si="16"/>
        <v>0.9768679157992135</v>
      </c>
      <c r="E118" s="15">
        <f t="shared" si="17"/>
        <v>0.85148709868032302</v>
      </c>
      <c r="F118" s="16"/>
      <c r="G118" s="16"/>
      <c r="H118" s="16">
        <v>5077</v>
      </c>
      <c r="I118" s="16">
        <f t="shared" si="25"/>
        <v>754</v>
      </c>
      <c r="J118" s="16">
        <v>4323</v>
      </c>
      <c r="K118" s="16">
        <v>4223</v>
      </c>
      <c r="L118" s="16">
        <f t="shared" si="24"/>
        <v>100</v>
      </c>
    </row>
    <row r="119" spans="1:12" s="18" customFormat="1" ht="15" customHeight="1">
      <c r="A119" s="82">
        <v>2002</v>
      </c>
      <c r="B119" s="83" t="s">
        <v>41</v>
      </c>
      <c r="C119" s="15">
        <f t="shared" si="15"/>
        <v>0.83951919021509913</v>
      </c>
      <c r="D119" s="15">
        <f t="shared" si="16"/>
        <v>0.9824777887462981</v>
      </c>
      <c r="E119" s="15">
        <f t="shared" si="17"/>
        <v>0.85449177562210032</v>
      </c>
      <c r="F119" s="16"/>
      <c r="G119" s="16"/>
      <c r="H119" s="16">
        <v>4742</v>
      </c>
      <c r="I119" s="16">
        <f t="shared" si="25"/>
        <v>690</v>
      </c>
      <c r="J119" s="16">
        <v>4052</v>
      </c>
      <c r="K119" s="16">
        <v>3981</v>
      </c>
      <c r="L119" s="16">
        <f t="shared" si="24"/>
        <v>71</v>
      </c>
    </row>
    <row r="120" spans="1:12" s="18" customFormat="1" ht="15" customHeight="1">
      <c r="A120" s="82">
        <v>2002</v>
      </c>
      <c r="B120" s="83" t="s">
        <v>42</v>
      </c>
      <c r="C120" s="15">
        <f t="shared" si="15"/>
        <v>0.82247589057272186</v>
      </c>
      <c r="D120" s="15">
        <f t="shared" si="16"/>
        <v>0.9835255354200988</v>
      </c>
      <c r="E120" s="15">
        <f t="shared" si="17"/>
        <v>0.83625270616020464</v>
      </c>
      <c r="F120" s="16"/>
      <c r="G120" s="16"/>
      <c r="H120" s="16">
        <v>5081</v>
      </c>
      <c r="I120" s="16">
        <f t="shared" si="25"/>
        <v>832</v>
      </c>
      <c r="J120" s="16">
        <v>4249</v>
      </c>
      <c r="K120" s="16">
        <v>4179</v>
      </c>
      <c r="L120" s="16">
        <f t="shared" si="24"/>
        <v>70</v>
      </c>
    </row>
    <row r="121" spans="1:12" s="18" customFormat="1" ht="15" customHeight="1">
      <c r="A121" s="82">
        <v>2002</v>
      </c>
      <c r="B121" s="83" t="s">
        <v>43</v>
      </c>
      <c r="C121" s="15">
        <f t="shared" si="15"/>
        <v>0.83834586466165417</v>
      </c>
      <c r="D121" s="15">
        <f t="shared" si="16"/>
        <v>0.98764568764568761</v>
      </c>
      <c r="E121" s="15">
        <f t="shared" si="17"/>
        <v>0.84883260783537795</v>
      </c>
      <c r="F121" s="16"/>
      <c r="G121" s="16"/>
      <c r="H121" s="16">
        <v>5054</v>
      </c>
      <c r="I121" s="16">
        <f t="shared" si="25"/>
        <v>764</v>
      </c>
      <c r="J121" s="16">
        <v>4290</v>
      </c>
      <c r="K121" s="16">
        <v>4237</v>
      </c>
      <c r="L121" s="16">
        <f t="shared" si="24"/>
        <v>53</v>
      </c>
    </row>
    <row r="122" spans="1:12" s="18" customFormat="1" ht="15" customHeight="1">
      <c r="A122" s="82">
        <v>2002</v>
      </c>
      <c r="B122" s="83" t="s">
        <v>44</v>
      </c>
      <c r="C122" s="15">
        <f t="shared" si="15"/>
        <v>0.85892028679881904</v>
      </c>
      <c r="D122" s="15">
        <f t="shared" si="16"/>
        <v>0.97885123768324922</v>
      </c>
      <c r="E122" s="15">
        <f t="shared" si="17"/>
        <v>0.87747785744411644</v>
      </c>
      <c r="F122" s="16"/>
      <c r="G122" s="16"/>
      <c r="H122" s="16">
        <v>4742</v>
      </c>
      <c r="I122" s="16">
        <f t="shared" si="25"/>
        <v>581</v>
      </c>
      <c r="J122" s="16">
        <v>4161</v>
      </c>
      <c r="K122" s="16">
        <v>4073</v>
      </c>
      <c r="L122" s="16">
        <f t="shared" si="24"/>
        <v>88</v>
      </c>
    </row>
    <row r="123" spans="1:12" s="18" customFormat="1" ht="15" customHeight="1">
      <c r="A123" s="82">
        <v>2002</v>
      </c>
      <c r="B123" s="83" t="s">
        <v>45</v>
      </c>
      <c r="C123" s="15">
        <f t="shared" si="15"/>
        <v>0.83159346070514084</v>
      </c>
      <c r="D123" s="15">
        <f t="shared" si="16"/>
        <v>0.97483260217039946</v>
      </c>
      <c r="E123" s="15">
        <f t="shared" si="17"/>
        <v>0.85306283238132752</v>
      </c>
      <c r="F123" s="16"/>
      <c r="G123" s="16"/>
      <c r="H123" s="16">
        <v>5077</v>
      </c>
      <c r="I123" s="16">
        <f t="shared" si="25"/>
        <v>746</v>
      </c>
      <c r="J123" s="16">
        <v>4331</v>
      </c>
      <c r="K123" s="16">
        <v>4222</v>
      </c>
      <c r="L123" s="16">
        <f t="shared" si="24"/>
        <v>109</v>
      </c>
    </row>
    <row r="124" spans="1:12" s="18" customFormat="1" ht="15" customHeight="1">
      <c r="A124" s="82">
        <v>2002</v>
      </c>
      <c r="B124" s="83" t="s">
        <v>46</v>
      </c>
      <c r="C124" s="15">
        <f t="shared" si="15"/>
        <v>0.95794944483817623</v>
      </c>
      <c r="D124" s="15">
        <f t="shared" si="16"/>
        <v>0.96801145858200044</v>
      </c>
      <c r="E124" s="15">
        <f t="shared" si="17"/>
        <v>0.98960548074651544</v>
      </c>
      <c r="F124" s="16"/>
      <c r="G124" s="16"/>
      <c r="H124" s="16">
        <v>4233</v>
      </c>
      <c r="I124" s="16">
        <f t="shared" si="25"/>
        <v>44</v>
      </c>
      <c r="J124" s="16">
        <v>4189</v>
      </c>
      <c r="K124" s="16">
        <v>4055</v>
      </c>
      <c r="L124" s="16">
        <f t="shared" si="24"/>
        <v>134</v>
      </c>
    </row>
    <row r="125" spans="1:12" s="18" customFormat="1" ht="15" customHeight="1">
      <c r="A125" s="82">
        <v>2002</v>
      </c>
      <c r="B125" s="83" t="s">
        <v>47</v>
      </c>
      <c r="C125" s="15">
        <f t="shared" si="15"/>
        <v>0.98057116104868913</v>
      </c>
      <c r="D125" s="15">
        <f t="shared" si="16"/>
        <v>0.98797169811320751</v>
      </c>
      <c r="E125" s="15">
        <f t="shared" si="17"/>
        <v>0.99250936329588013</v>
      </c>
      <c r="F125" s="16"/>
      <c r="G125" s="16"/>
      <c r="H125" s="16">
        <v>4272</v>
      </c>
      <c r="I125" s="16">
        <f t="shared" si="25"/>
        <v>32</v>
      </c>
      <c r="J125" s="16">
        <v>4240</v>
      </c>
      <c r="K125" s="16">
        <v>4189</v>
      </c>
      <c r="L125" s="16">
        <f t="shared" si="24"/>
        <v>51</v>
      </c>
    </row>
    <row r="126" spans="1:12" s="18" customFormat="1" ht="15" customHeight="1">
      <c r="A126" s="82">
        <v>2003</v>
      </c>
      <c r="B126" s="83" t="s">
        <v>36</v>
      </c>
      <c r="C126" s="15">
        <f t="shared" si="15"/>
        <v>0.9850746268656716</v>
      </c>
      <c r="D126" s="15">
        <f t="shared" si="16"/>
        <v>0.99259602036094396</v>
      </c>
      <c r="E126" s="15">
        <f t="shared" si="17"/>
        <v>0.99242250287026401</v>
      </c>
      <c r="F126" s="16"/>
      <c r="G126" s="16"/>
      <c r="H126" s="16">
        <v>4355</v>
      </c>
      <c r="I126" s="16">
        <f>H126-J126</f>
        <v>33</v>
      </c>
      <c r="J126" s="16">
        <v>4322</v>
      </c>
      <c r="K126" s="16">
        <v>4290</v>
      </c>
      <c r="L126" s="16">
        <f t="shared" ref="L126:L137" si="26">J126-K126</f>
        <v>32</v>
      </c>
    </row>
    <row r="127" spans="1:12" s="18" customFormat="1" ht="15" customHeight="1">
      <c r="A127" s="82">
        <v>2003</v>
      </c>
      <c r="B127" s="83" t="s">
        <v>37</v>
      </c>
      <c r="C127" s="15">
        <f t="shared" si="15"/>
        <v>0.88686868686868692</v>
      </c>
      <c r="D127" s="15">
        <f t="shared" si="16"/>
        <v>0.98375350140056017</v>
      </c>
      <c r="E127" s="15">
        <f t="shared" si="17"/>
        <v>0.90151515151515149</v>
      </c>
      <c r="F127" s="16"/>
      <c r="G127" s="16"/>
      <c r="H127" s="16">
        <v>3960</v>
      </c>
      <c r="I127" s="16">
        <f>H127-J127</f>
        <v>390</v>
      </c>
      <c r="J127" s="16">
        <v>3570</v>
      </c>
      <c r="K127" s="16">
        <v>3512</v>
      </c>
      <c r="L127" s="16">
        <f t="shared" si="26"/>
        <v>58</v>
      </c>
    </row>
    <row r="128" spans="1:12" s="18" customFormat="1" ht="15" customHeight="1">
      <c r="A128" s="82">
        <v>2003</v>
      </c>
      <c r="B128" s="83" t="s">
        <v>38</v>
      </c>
      <c r="C128" s="15">
        <f t="shared" si="15"/>
        <v>1.020506329113924</v>
      </c>
      <c r="D128" s="15">
        <f t="shared" si="16"/>
        <v>0.97673855100557305</v>
      </c>
      <c r="E128" s="15">
        <f t="shared" si="17"/>
        <v>1.0448101265822785</v>
      </c>
      <c r="F128" s="16"/>
      <c r="G128" s="16"/>
      <c r="H128" s="16">
        <v>3950</v>
      </c>
      <c r="I128" s="16">
        <v>0</v>
      </c>
      <c r="J128" s="16">
        <v>4127</v>
      </c>
      <c r="K128" s="16">
        <v>4031</v>
      </c>
      <c r="L128" s="16">
        <f t="shared" si="26"/>
        <v>96</v>
      </c>
    </row>
    <row r="129" spans="1:12" s="18" customFormat="1" ht="15" customHeight="1">
      <c r="A129" s="82">
        <v>2003</v>
      </c>
      <c r="B129" s="83" t="s">
        <v>39</v>
      </c>
      <c r="C129" s="15">
        <f t="shared" si="15"/>
        <v>0.95924170616113746</v>
      </c>
      <c r="D129" s="15">
        <f t="shared" si="16"/>
        <v>0.96958083832335329</v>
      </c>
      <c r="E129" s="15">
        <f t="shared" si="17"/>
        <v>0.98933649289099523</v>
      </c>
      <c r="F129" s="16"/>
      <c r="G129" s="16"/>
      <c r="H129" s="16">
        <v>4220</v>
      </c>
      <c r="I129" s="16">
        <f t="shared" ref="I129:I136" si="27">H129-J129</f>
        <v>45</v>
      </c>
      <c r="J129" s="16">
        <v>4175</v>
      </c>
      <c r="K129" s="16">
        <v>4048</v>
      </c>
      <c r="L129" s="16">
        <f t="shared" si="26"/>
        <v>127</v>
      </c>
    </row>
    <row r="130" spans="1:12" s="18" customFormat="1" ht="15" customHeight="1">
      <c r="A130" s="82">
        <v>2003</v>
      </c>
      <c r="B130" s="83" t="s">
        <v>40</v>
      </c>
      <c r="C130" s="15">
        <f t="shared" si="15"/>
        <v>0.95731436193863939</v>
      </c>
      <c r="D130" s="15">
        <f t="shared" si="16"/>
        <v>0.97222849401670808</v>
      </c>
      <c r="E130" s="15">
        <f t="shared" si="17"/>
        <v>0.98465984882169855</v>
      </c>
      <c r="F130" s="16"/>
      <c r="G130" s="16"/>
      <c r="H130" s="16">
        <v>4498</v>
      </c>
      <c r="I130" s="16">
        <f t="shared" si="27"/>
        <v>69</v>
      </c>
      <c r="J130" s="16">
        <v>4429</v>
      </c>
      <c r="K130" s="16">
        <v>4306</v>
      </c>
      <c r="L130" s="16">
        <f t="shared" si="26"/>
        <v>123</v>
      </c>
    </row>
    <row r="131" spans="1:12" s="18" customFormat="1" ht="15" customHeight="1">
      <c r="A131" s="82">
        <v>2003</v>
      </c>
      <c r="B131" s="83" t="s">
        <v>41</v>
      </c>
      <c r="C131" s="15">
        <f t="shared" si="15"/>
        <v>0.95317959468902869</v>
      </c>
      <c r="D131" s="15">
        <f t="shared" si="16"/>
        <v>0.96327683615819204</v>
      </c>
      <c r="E131" s="15">
        <f t="shared" si="17"/>
        <v>0.98951781970649899</v>
      </c>
      <c r="F131" s="16"/>
      <c r="G131" s="16"/>
      <c r="H131" s="16">
        <v>4293</v>
      </c>
      <c r="I131" s="16">
        <f t="shared" si="27"/>
        <v>45</v>
      </c>
      <c r="J131" s="16">
        <v>4248</v>
      </c>
      <c r="K131" s="16">
        <v>4092</v>
      </c>
      <c r="L131" s="16">
        <f t="shared" si="26"/>
        <v>156</v>
      </c>
    </row>
    <row r="132" spans="1:12" s="18" customFormat="1" ht="15" customHeight="1">
      <c r="A132" s="82">
        <v>2003</v>
      </c>
      <c r="B132" s="83" t="s">
        <v>42</v>
      </c>
      <c r="C132" s="15">
        <f t="shared" si="15"/>
        <v>0.96508563899868249</v>
      </c>
      <c r="D132" s="15">
        <f t="shared" si="16"/>
        <v>0.97385331265233765</v>
      </c>
      <c r="E132" s="15">
        <f t="shared" si="17"/>
        <v>0.99099692577953447</v>
      </c>
      <c r="F132" s="16"/>
      <c r="G132" s="16"/>
      <c r="H132" s="16">
        <v>4554</v>
      </c>
      <c r="I132" s="16">
        <f t="shared" si="27"/>
        <v>41</v>
      </c>
      <c r="J132" s="16">
        <v>4513</v>
      </c>
      <c r="K132" s="16">
        <v>4395</v>
      </c>
      <c r="L132" s="16">
        <f t="shared" si="26"/>
        <v>118</v>
      </c>
    </row>
    <row r="133" spans="1:12" s="18" customFormat="1" ht="15" customHeight="1">
      <c r="A133" s="82">
        <v>2003</v>
      </c>
      <c r="B133" s="83" t="s">
        <v>43</v>
      </c>
      <c r="C133" s="15">
        <f t="shared" si="15"/>
        <v>0.98002723558783478</v>
      </c>
      <c r="D133" s="15">
        <f t="shared" si="16"/>
        <v>0.98382319434951016</v>
      </c>
      <c r="E133" s="15">
        <f t="shared" si="17"/>
        <v>0.99614162505674075</v>
      </c>
      <c r="F133" s="16"/>
      <c r="G133" s="16"/>
      <c r="H133" s="16">
        <v>4406</v>
      </c>
      <c r="I133" s="16">
        <f t="shared" si="27"/>
        <v>17</v>
      </c>
      <c r="J133" s="16">
        <v>4389</v>
      </c>
      <c r="K133" s="16">
        <v>4318</v>
      </c>
      <c r="L133" s="16">
        <f t="shared" si="26"/>
        <v>71</v>
      </c>
    </row>
    <row r="134" spans="1:12" s="18" customFormat="1" ht="15" customHeight="1">
      <c r="A134" s="82">
        <v>2003</v>
      </c>
      <c r="B134" s="83" t="s">
        <v>44</v>
      </c>
      <c r="C134" s="15">
        <f t="shared" ref="C134:C197" si="28">K134/H134</f>
        <v>0.96627958910227785</v>
      </c>
      <c r="D134" s="15">
        <f t="shared" ref="D134:D197" si="29">K134/J134</f>
        <v>0.97564825253664034</v>
      </c>
      <c r="E134" s="15">
        <f t="shared" ref="E134:E197" si="30">J134/H134</f>
        <v>0.99039749888343009</v>
      </c>
      <c r="F134" s="16"/>
      <c r="G134" s="16"/>
      <c r="H134" s="16">
        <v>4478</v>
      </c>
      <c r="I134" s="16">
        <f t="shared" si="27"/>
        <v>43</v>
      </c>
      <c r="J134" s="16">
        <v>4435</v>
      </c>
      <c r="K134" s="16">
        <v>4327</v>
      </c>
      <c r="L134" s="16">
        <f t="shared" si="26"/>
        <v>108</v>
      </c>
    </row>
    <row r="135" spans="1:12" s="18" customFormat="1" ht="15" customHeight="1">
      <c r="A135" s="82">
        <v>2003</v>
      </c>
      <c r="B135" s="83" t="s">
        <v>45</v>
      </c>
      <c r="C135" s="15">
        <f t="shared" si="28"/>
        <v>0.97870004391743526</v>
      </c>
      <c r="D135" s="15">
        <f t="shared" si="29"/>
        <v>0.98236720299757552</v>
      </c>
      <c r="E135" s="15">
        <f t="shared" si="30"/>
        <v>0.99626701800614847</v>
      </c>
      <c r="F135" s="16"/>
      <c r="G135" s="16"/>
      <c r="H135" s="16">
        <v>4554</v>
      </c>
      <c r="I135" s="16">
        <f t="shared" si="27"/>
        <v>17</v>
      </c>
      <c r="J135" s="16">
        <v>4537</v>
      </c>
      <c r="K135" s="16">
        <v>4457</v>
      </c>
      <c r="L135" s="16">
        <f t="shared" si="26"/>
        <v>80</v>
      </c>
    </row>
    <row r="136" spans="1:12" s="18" customFormat="1" ht="15" customHeight="1">
      <c r="A136" s="82">
        <v>2003</v>
      </c>
      <c r="B136" s="83" t="s">
        <v>46</v>
      </c>
      <c r="C136" s="15">
        <f t="shared" si="28"/>
        <v>0.9676674364896074</v>
      </c>
      <c r="D136" s="15">
        <f t="shared" si="29"/>
        <v>0.97600745399487543</v>
      </c>
      <c r="E136" s="15">
        <f t="shared" si="30"/>
        <v>0.99145496535796762</v>
      </c>
      <c r="F136" s="16"/>
      <c r="G136" s="16"/>
      <c r="H136" s="16">
        <v>4330</v>
      </c>
      <c r="I136" s="16">
        <f t="shared" si="27"/>
        <v>37</v>
      </c>
      <c r="J136" s="16">
        <v>4293</v>
      </c>
      <c r="K136" s="16">
        <v>4190</v>
      </c>
      <c r="L136" s="16">
        <f t="shared" si="26"/>
        <v>103</v>
      </c>
    </row>
    <row r="137" spans="1:12" s="18" customFormat="1" ht="15" customHeight="1">
      <c r="A137" s="82">
        <v>2003</v>
      </c>
      <c r="B137" s="83" t="s">
        <v>47</v>
      </c>
      <c r="C137" s="15">
        <f t="shared" si="28"/>
        <v>0.92490472988119254</v>
      </c>
      <c r="D137" s="15">
        <f t="shared" si="29"/>
        <v>0.95420906567992603</v>
      </c>
      <c r="E137" s="15">
        <f t="shared" si="30"/>
        <v>0.96928939699618921</v>
      </c>
      <c r="F137" s="16"/>
      <c r="G137" s="16"/>
      <c r="H137" s="16">
        <v>4461</v>
      </c>
      <c r="I137" s="16">
        <f>+H137-J137</f>
        <v>137</v>
      </c>
      <c r="J137" s="16">
        <v>4324</v>
      </c>
      <c r="K137" s="16">
        <v>4126</v>
      </c>
      <c r="L137" s="16">
        <f t="shared" si="26"/>
        <v>198</v>
      </c>
    </row>
    <row r="138" spans="1:12" s="18" customFormat="1" ht="15" customHeight="1">
      <c r="A138" s="82">
        <v>2004</v>
      </c>
      <c r="B138" s="83" t="s">
        <v>36</v>
      </c>
      <c r="C138" s="15">
        <f t="shared" si="28"/>
        <v>0.98621609604268567</v>
      </c>
      <c r="D138" s="15">
        <f t="shared" si="29"/>
        <v>0.99106344950848968</v>
      </c>
      <c r="E138" s="15">
        <f t="shared" si="30"/>
        <v>0.99510893730546912</v>
      </c>
      <c r="F138" s="16"/>
      <c r="G138" s="16"/>
      <c r="H138" s="16">
        <v>4498</v>
      </c>
      <c r="I138" s="16">
        <f t="shared" ref="I138:I144" si="31">H138-J138</f>
        <v>22</v>
      </c>
      <c r="J138" s="16">
        <v>4476</v>
      </c>
      <c r="K138" s="16">
        <v>4436</v>
      </c>
      <c r="L138" s="16">
        <f t="shared" ref="L138:L144" si="32">J138-K138</f>
        <v>40</v>
      </c>
    </row>
    <row r="139" spans="1:12" s="18" customFormat="1" ht="15" customHeight="1">
      <c r="A139" s="82">
        <v>2004</v>
      </c>
      <c r="B139" s="83" t="s">
        <v>37</v>
      </c>
      <c r="C139" s="15">
        <f t="shared" si="28"/>
        <v>0.98648328195399571</v>
      </c>
      <c r="D139" s="15">
        <f t="shared" si="29"/>
        <v>0.98882814357024007</v>
      </c>
      <c r="E139" s="15">
        <f t="shared" si="30"/>
        <v>0.99762864595684131</v>
      </c>
      <c r="F139" s="16"/>
      <c r="G139" s="16"/>
      <c r="H139" s="16">
        <v>4217</v>
      </c>
      <c r="I139" s="16">
        <f t="shared" si="31"/>
        <v>10</v>
      </c>
      <c r="J139" s="16">
        <v>4207</v>
      </c>
      <c r="K139" s="16">
        <v>4160</v>
      </c>
      <c r="L139" s="16">
        <f t="shared" si="32"/>
        <v>47</v>
      </c>
    </row>
    <row r="140" spans="1:12" s="18" customFormat="1" ht="15" customHeight="1">
      <c r="A140" s="82">
        <v>2004</v>
      </c>
      <c r="B140" s="83" t="s">
        <v>38</v>
      </c>
      <c r="C140" s="15">
        <f t="shared" si="28"/>
        <v>0.96478873239436624</v>
      </c>
      <c r="D140" s="15">
        <f t="shared" si="29"/>
        <v>0.97017167381974245</v>
      </c>
      <c r="E140" s="15">
        <f t="shared" si="30"/>
        <v>0.99445155783183947</v>
      </c>
      <c r="F140" s="16"/>
      <c r="G140" s="16"/>
      <c r="H140" s="16">
        <v>4686</v>
      </c>
      <c r="I140" s="16">
        <f t="shared" si="31"/>
        <v>26</v>
      </c>
      <c r="J140" s="16">
        <v>4660</v>
      </c>
      <c r="K140" s="16">
        <v>4521</v>
      </c>
      <c r="L140" s="16">
        <f t="shared" si="32"/>
        <v>139</v>
      </c>
    </row>
    <row r="141" spans="1:12" s="18" customFormat="1" ht="15" customHeight="1">
      <c r="A141" s="82">
        <v>2004</v>
      </c>
      <c r="B141" s="83" t="s">
        <v>39</v>
      </c>
      <c r="C141" s="15">
        <f t="shared" si="28"/>
        <v>0.96260808600140224</v>
      </c>
      <c r="D141" s="15">
        <f t="shared" si="29"/>
        <v>0.97008949599623173</v>
      </c>
      <c r="E141" s="15">
        <f t="shared" si="30"/>
        <v>0.99228791773778924</v>
      </c>
      <c r="F141" s="16"/>
      <c r="G141" s="16"/>
      <c r="H141" s="16">
        <v>4279</v>
      </c>
      <c r="I141" s="16">
        <f t="shared" si="31"/>
        <v>33</v>
      </c>
      <c r="J141" s="16">
        <v>4246</v>
      </c>
      <c r="K141" s="16">
        <v>4119</v>
      </c>
      <c r="L141" s="16">
        <f t="shared" si="32"/>
        <v>127</v>
      </c>
    </row>
    <row r="142" spans="1:12" s="18" customFormat="1" ht="15" customHeight="1">
      <c r="A142" s="82">
        <v>2004</v>
      </c>
      <c r="B142" s="83" t="s">
        <v>40</v>
      </c>
      <c r="C142" s="15">
        <f t="shared" si="28"/>
        <v>0.95581237253568996</v>
      </c>
      <c r="D142" s="15">
        <f t="shared" si="29"/>
        <v>0.95929042528997044</v>
      </c>
      <c r="E142" s="15">
        <f t="shared" si="30"/>
        <v>0.99637434851574891</v>
      </c>
      <c r="F142" s="16"/>
      <c r="G142" s="16"/>
      <c r="H142" s="16">
        <v>4413</v>
      </c>
      <c r="I142" s="16">
        <f t="shared" si="31"/>
        <v>16</v>
      </c>
      <c r="J142" s="16">
        <v>4397</v>
      </c>
      <c r="K142" s="16">
        <v>4218</v>
      </c>
      <c r="L142" s="16">
        <f t="shared" si="32"/>
        <v>179</v>
      </c>
    </row>
    <row r="143" spans="1:12" s="18" customFormat="1" ht="15" customHeight="1">
      <c r="A143" s="82">
        <v>2004</v>
      </c>
      <c r="B143" s="83" t="s">
        <v>41</v>
      </c>
      <c r="C143" s="15">
        <f t="shared" si="28"/>
        <v>0.93455201986007674</v>
      </c>
      <c r="D143" s="15">
        <f t="shared" si="29"/>
        <v>0.95129795543303464</v>
      </c>
      <c r="E143" s="15">
        <f t="shared" si="30"/>
        <v>0.98239675016926198</v>
      </c>
      <c r="F143" s="16"/>
      <c r="G143" s="16"/>
      <c r="H143" s="16">
        <v>4431</v>
      </c>
      <c r="I143" s="16">
        <f t="shared" si="31"/>
        <v>78</v>
      </c>
      <c r="J143" s="16">
        <v>4353</v>
      </c>
      <c r="K143" s="16">
        <v>4141</v>
      </c>
      <c r="L143" s="16">
        <f t="shared" si="32"/>
        <v>212</v>
      </c>
    </row>
    <row r="144" spans="1:12" s="18" customFormat="1" ht="15" customHeight="1">
      <c r="A144" s="82">
        <v>2004</v>
      </c>
      <c r="B144" s="83" t="s">
        <v>42</v>
      </c>
      <c r="C144" s="15">
        <f t="shared" si="28"/>
        <v>0.97623762376237622</v>
      </c>
      <c r="D144" s="15">
        <f t="shared" si="29"/>
        <v>0.98011928429423456</v>
      </c>
      <c r="E144" s="15">
        <f t="shared" si="30"/>
        <v>0.99603960396039604</v>
      </c>
      <c r="F144" s="16"/>
      <c r="G144" s="16"/>
      <c r="H144" s="16">
        <v>4545</v>
      </c>
      <c r="I144" s="16">
        <f t="shared" si="31"/>
        <v>18</v>
      </c>
      <c r="J144" s="16">
        <v>4527</v>
      </c>
      <c r="K144" s="16">
        <v>4437</v>
      </c>
      <c r="L144" s="16">
        <f t="shared" si="32"/>
        <v>90</v>
      </c>
    </row>
    <row r="145" spans="1:12" s="18" customFormat="1" ht="15" customHeight="1">
      <c r="A145" s="82">
        <v>2004</v>
      </c>
      <c r="B145" s="83" t="s">
        <v>43</v>
      </c>
      <c r="C145" s="15">
        <f t="shared" si="28"/>
        <v>0.9755989352262644</v>
      </c>
      <c r="D145" s="15">
        <f t="shared" si="29"/>
        <v>0.9797282245488973</v>
      </c>
      <c r="E145" s="15">
        <f t="shared" si="30"/>
        <v>0.99578527062999111</v>
      </c>
      <c r="F145" s="16"/>
      <c r="G145" s="16"/>
      <c r="H145" s="16">
        <v>4508</v>
      </c>
      <c r="I145" s="16">
        <f>H145-J145</f>
        <v>19</v>
      </c>
      <c r="J145" s="16">
        <v>4489</v>
      </c>
      <c r="K145" s="16">
        <v>4398</v>
      </c>
      <c r="L145" s="16">
        <f>J145-K145</f>
        <v>91</v>
      </c>
    </row>
    <row r="146" spans="1:12" s="18" customFormat="1" ht="15" customHeight="1">
      <c r="A146" s="82">
        <v>2004</v>
      </c>
      <c r="B146" s="83" t="s">
        <v>44</v>
      </c>
      <c r="C146" s="15">
        <f t="shared" si="28"/>
        <v>0.96266018559434374</v>
      </c>
      <c r="D146" s="15">
        <f t="shared" si="29"/>
        <v>0.97537497201701362</v>
      </c>
      <c r="E146" s="15">
        <f t="shared" si="30"/>
        <v>0.98696420680512598</v>
      </c>
      <c r="F146" s="16"/>
      <c r="G146" s="16"/>
      <c r="H146" s="16">
        <v>4526</v>
      </c>
      <c r="I146" s="16">
        <f>H146-J146</f>
        <v>59</v>
      </c>
      <c r="J146" s="16">
        <v>4467</v>
      </c>
      <c r="K146" s="16">
        <v>4357</v>
      </c>
      <c r="L146" s="16">
        <f>J146-K146</f>
        <v>110</v>
      </c>
    </row>
    <row r="147" spans="1:12" s="18" customFormat="1" ht="15" customHeight="1">
      <c r="A147" s="82">
        <v>2004</v>
      </c>
      <c r="B147" s="83" t="s">
        <v>45</v>
      </c>
      <c r="C147" s="15">
        <f t="shared" si="28"/>
        <v>0.9645023590204449</v>
      </c>
      <c r="D147" s="15">
        <f t="shared" si="29"/>
        <v>0.97546012269938653</v>
      </c>
      <c r="E147" s="15">
        <f t="shared" si="30"/>
        <v>0.98876656931026741</v>
      </c>
      <c r="F147" s="16"/>
      <c r="G147" s="16"/>
      <c r="H147" s="16">
        <v>4451</v>
      </c>
      <c r="I147" s="16">
        <f>H147-J147</f>
        <v>50</v>
      </c>
      <c r="J147" s="16">
        <v>4401</v>
      </c>
      <c r="K147" s="16">
        <v>4293</v>
      </c>
      <c r="L147" s="16">
        <f>J147-K147</f>
        <v>108</v>
      </c>
    </row>
    <row r="148" spans="1:12" s="18" customFormat="1" ht="15" customHeight="1">
      <c r="A148" s="82">
        <v>2004</v>
      </c>
      <c r="B148" s="83" t="s">
        <v>46</v>
      </c>
      <c r="C148" s="15">
        <f t="shared" si="28"/>
        <v>0.97503314184710566</v>
      </c>
      <c r="D148" s="15">
        <f t="shared" si="29"/>
        <v>0.98328877005347592</v>
      </c>
      <c r="E148" s="15">
        <f t="shared" si="30"/>
        <v>0.99160406539991164</v>
      </c>
      <c r="F148" s="16"/>
      <c r="G148" s="16"/>
      <c r="H148" s="16">
        <v>4526</v>
      </c>
      <c r="I148" s="16">
        <f>H148-J148</f>
        <v>38</v>
      </c>
      <c r="J148" s="16">
        <v>4488</v>
      </c>
      <c r="K148" s="16">
        <v>4413</v>
      </c>
      <c r="L148" s="16">
        <f>J148-K148</f>
        <v>75</v>
      </c>
    </row>
    <row r="149" spans="1:12" s="18" customFormat="1" ht="15" customHeight="1">
      <c r="A149" s="82">
        <v>2004</v>
      </c>
      <c r="B149" s="83" t="s">
        <v>47</v>
      </c>
      <c r="C149" s="15">
        <f t="shared" si="28"/>
        <v>0.97458369851007887</v>
      </c>
      <c r="D149" s="15">
        <f t="shared" si="29"/>
        <v>0.99086656270884388</v>
      </c>
      <c r="E149" s="15">
        <f t="shared" si="30"/>
        <v>0.98356704645048199</v>
      </c>
      <c r="F149" s="16"/>
      <c r="G149" s="16"/>
      <c r="H149" s="16">
        <v>4564</v>
      </c>
      <c r="I149" s="16">
        <f>H149-J149</f>
        <v>75</v>
      </c>
      <c r="J149" s="16">
        <v>4489</v>
      </c>
      <c r="K149" s="16">
        <v>4448</v>
      </c>
      <c r="L149" s="16">
        <f>J149-K149</f>
        <v>41</v>
      </c>
    </row>
    <row r="150" spans="1:12" s="18" customFormat="1" ht="15" customHeight="1">
      <c r="A150" s="82">
        <v>2005</v>
      </c>
      <c r="B150" s="83" t="s">
        <v>36</v>
      </c>
      <c r="C150" s="15">
        <f t="shared" si="28"/>
        <v>0.97360248447204967</v>
      </c>
      <c r="D150" s="15">
        <f t="shared" si="29"/>
        <v>0.98540637629097438</v>
      </c>
      <c r="E150" s="15">
        <f t="shared" si="30"/>
        <v>0.98802129547471162</v>
      </c>
      <c r="F150" s="16"/>
      <c r="G150" s="16"/>
      <c r="H150" s="16">
        <v>4508</v>
      </c>
      <c r="I150" s="16">
        <v>54</v>
      </c>
      <c r="J150" s="16">
        <v>4454</v>
      </c>
      <c r="K150" s="16">
        <v>4389</v>
      </c>
      <c r="L150" s="16">
        <v>119</v>
      </c>
    </row>
    <row r="151" spans="1:12" s="18" customFormat="1" ht="15" customHeight="1">
      <c r="A151" s="82">
        <v>2005</v>
      </c>
      <c r="B151" s="83" t="s">
        <v>37</v>
      </c>
      <c r="C151" s="15">
        <f t="shared" si="28"/>
        <v>0.95984703632887192</v>
      </c>
      <c r="D151" s="15">
        <f t="shared" si="29"/>
        <v>0.9811873931101881</v>
      </c>
      <c r="E151" s="15">
        <f t="shared" si="30"/>
        <v>0.97825047801147225</v>
      </c>
      <c r="F151" s="16"/>
      <c r="G151" s="16"/>
      <c r="H151" s="16">
        <v>4184</v>
      </c>
      <c r="I151" s="16">
        <v>91</v>
      </c>
      <c r="J151" s="16">
        <v>4093</v>
      </c>
      <c r="K151" s="16">
        <v>4016</v>
      </c>
      <c r="L151" s="16">
        <v>168</v>
      </c>
    </row>
    <row r="152" spans="1:12" s="18" customFormat="1" ht="15" customHeight="1">
      <c r="A152" s="82">
        <v>2005</v>
      </c>
      <c r="B152" s="83" t="s">
        <v>38</v>
      </c>
      <c r="C152" s="15">
        <f t="shared" si="28"/>
        <v>0.92524989135158631</v>
      </c>
      <c r="D152" s="15">
        <f t="shared" si="29"/>
        <v>0.95793025871766024</v>
      </c>
      <c r="E152" s="15">
        <f t="shared" si="30"/>
        <v>0.96588439808778792</v>
      </c>
      <c r="F152" s="16"/>
      <c r="G152" s="16"/>
      <c r="H152" s="16">
        <v>4602</v>
      </c>
      <c r="I152" s="16">
        <v>157</v>
      </c>
      <c r="J152" s="16">
        <v>4445</v>
      </c>
      <c r="K152" s="16">
        <v>4258</v>
      </c>
      <c r="L152" s="16">
        <v>344</v>
      </c>
    </row>
    <row r="153" spans="1:12" s="18" customFormat="1" ht="15" customHeight="1">
      <c r="A153" s="82">
        <v>2005</v>
      </c>
      <c r="B153" s="83" t="s">
        <v>39</v>
      </c>
      <c r="C153" s="15">
        <f t="shared" si="28"/>
        <v>0.86007673211464686</v>
      </c>
      <c r="D153" s="15">
        <f t="shared" si="29"/>
        <v>0.89355216881594368</v>
      </c>
      <c r="E153" s="15">
        <f t="shared" si="30"/>
        <v>0.96253667343714733</v>
      </c>
      <c r="F153" s="16"/>
      <c r="G153" s="16"/>
      <c r="H153" s="16">
        <v>4431</v>
      </c>
      <c r="I153" s="16">
        <v>166</v>
      </c>
      <c r="J153" s="16">
        <v>4265</v>
      </c>
      <c r="K153" s="16">
        <v>3811</v>
      </c>
      <c r="L153" s="16">
        <v>620</v>
      </c>
    </row>
    <row r="154" spans="1:12" s="18" customFormat="1" ht="15" customHeight="1">
      <c r="A154" s="82">
        <v>2005</v>
      </c>
      <c r="B154" s="83" t="s">
        <v>40</v>
      </c>
      <c r="C154" s="15">
        <f t="shared" si="28"/>
        <v>0.89815842023518966</v>
      </c>
      <c r="D154" s="15">
        <f t="shared" si="29"/>
        <v>0.9359537572254335</v>
      </c>
      <c r="E154" s="15">
        <f t="shared" si="30"/>
        <v>0.95961837142223205</v>
      </c>
      <c r="F154" s="16"/>
      <c r="G154" s="16"/>
      <c r="H154" s="16">
        <v>4507</v>
      </c>
      <c r="I154" s="16">
        <v>182</v>
      </c>
      <c r="J154" s="16">
        <v>4325</v>
      </c>
      <c r="K154" s="16">
        <v>4048</v>
      </c>
      <c r="L154" s="16">
        <v>459</v>
      </c>
    </row>
    <row r="155" spans="1:12" s="18" customFormat="1" ht="15" customHeight="1">
      <c r="A155" s="82">
        <v>2005</v>
      </c>
      <c r="B155" s="83" t="s">
        <v>41</v>
      </c>
      <c r="C155" s="15">
        <f t="shared" si="28"/>
        <v>0.95260663507109</v>
      </c>
      <c r="D155" s="15">
        <f t="shared" si="29"/>
        <v>0.96479999999999999</v>
      </c>
      <c r="E155" s="15">
        <f t="shared" si="30"/>
        <v>0.9873617693522907</v>
      </c>
      <c r="F155" s="16"/>
      <c r="G155" s="16"/>
      <c r="H155" s="16">
        <v>4431</v>
      </c>
      <c r="I155" s="16">
        <v>56</v>
      </c>
      <c r="J155" s="16">
        <v>4375</v>
      </c>
      <c r="K155" s="16">
        <v>4221</v>
      </c>
      <c r="L155" s="16">
        <v>210</v>
      </c>
    </row>
    <row r="156" spans="1:12" s="18" customFormat="1" ht="15" customHeight="1">
      <c r="A156" s="82">
        <v>2005</v>
      </c>
      <c r="B156" s="83" t="s">
        <v>42</v>
      </c>
      <c r="C156" s="15">
        <f t="shared" si="28"/>
        <v>0.96228926353149957</v>
      </c>
      <c r="D156" s="15">
        <f t="shared" si="29"/>
        <v>0.97879061371841158</v>
      </c>
      <c r="E156" s="15">
        <f t="shared" si="30"/>
        <v>0.98314108251996446</v>
      </c>
      <c r="F156" s="16"/>
      <c r="G156" s="16"/>
      <c r="H156" s="16">
        <v>4508</v>
      </c>
      <c r="I156" s="16">
        <f t="shared" ref="I156:I161" si="33">H156-J156</f>
        <v>76</v>
      </c>
      <c r="J156" s="16">
        <v>4432</v>
      </c>
      <c r="K156" s="16">
        <v>4338</v>
      </c>
      <c r="L156" s="16">
        <f t="shared" ref="L156:L161" si="34">J156-K156</f>
        <v>94</v>
      </c>
    </row>
    <row r="157" spans="1:12" s="18" customFormat="1" ht="15" customHeight="1">
      <c r="A157" s="82">
        <v>2005</v>
      </c>
      <c r="B157" s="83" t="s">
        <v>43</v>
      </c>
      <c r="C157" s="15">
        <f t="shared" si="28"/>
        <v>0.95588874402433721</v>
      </c>
      <c r="D157" s="15">
        <f t="shared" si="29"/>
        <v>0.98521836506159011</v>
      </c>
      <c r="E157" s="15">
        <f t="shared" si="30"/>
        <v>0.97023033463711428</v>
      </c>
      <c r="F157" s="16"/>
      <c r="G157" s="16"/>
      <c r="H157" s="16">
        <v>4602</v>
      </c>
      <c r="I157" s="16">
        <f t="shared" si="33"/>
        <v>137</v>
      </c>
      <c r="J157" s="16">
        <v>4465</v>
      </c>
      <c r="K157" s="16">
        <v>4399</v>
      </c>
      <c r="L157" s="16">
        <f t="shared" si="34"/>
        <v>66</v>
      </c>
    </row>
    <row r="158" spans="1:12" s="18" customFormat="1" ht="15" customHeight="1">
      <c r="A158" s="82">
        <v>2005</v>
      </c>
      <c r="B158" s="83" t="s">
        <v>44</v>
      </c>
      <c r="C158" s="15">
        <f t="shared" si="28"/>
        <v>0.88113124171453827</v>
      </c>
      <c r="D158" s="15">
        <f t="shared" si="29"/>
        <v>0.89316909294512881</v>
      </c>
      <c r="E158" s="15">
        <f t="shared" si="30"/>
        <v>0.9865223155103845</v>
      </c>
      <c r="F158" s="16"/>
      <c r="G158" s="16"/>
      <c r="H158" s="16">
        <v>4526</v>
      </c>
      <c r="I158" s="16">
        <f t="shared" si="33"/>
        <v>61</v>
      </c>
      <c r="J158" s="16">
        <v>4465</v>
      </c>
      <c r="K158" s="16">
        <v>3988</v>
      </c>
      <c r="L158" s="16">
        <f t="shared" si="34"/>
        <v>477</v>
      </c>
    </row>
    <row r="159" spans="1:12" s="18" customFormat="1" ht="15" customHeight="1">
      <c r="A159" s="82">
        <v>2005</v>
      </c>
      <c r="B159" s="83" t="s">
        <v>45</v>
      </c>
      <c r="C159" s="15">
        <f t="shared" si="28"/>
        <v>0.91911929903392497</v>
      </c>
      <c r="D159" s="15">
        <f t="shared" si="29"/>
        <v>0.93423155971683036</v>
      </c>
      <c r="E159" s="15">
        <f t="shared" si="30"/>
        <v>0.98382385980678499</v>
      </c>
      <c r="F159" s="16"/>
      <c r="G159" s="16"/>
      <c r="H159" s="16">
        <v>4451</v>
      </c>
      <c r="I159" s="16">
        <f t="shared" si="33"/>
        <v>72</v>
      </c>
      <c r="J159" s="16">
        <v>4379</v>
      </c>
      <c r="K159" s="16">
        <v>4091</v>
      </c>
      <c r="L159" s="16">
        <f t="shared" si="34"/>
        <v>288</v>
      </c>
    </row>
    <row r="160" spans="1:12" s="18" customFormat="1" ht="15" customHeight="1">
      <c r="A160" s="82">
        <v>2005</v>
      </c>
      <c r="B160" s="83" t="s">
        <v>46</v>
      </c>
      <c r="C160" s="15">
        <f t="shared" si="28"/>
        <v>0.94675209898364998</v>
      </c>
      <c r="D160" s="15">
        <f t="shared" si="29"/>
        <v>0.95947156291983882</v>
      </c>
      <c r="E160" s="15">
        <f t="shared" si="30"/>
        <v>0.98674326115775524</v>
      </c>
      <c r="F160" s="16"/>
      <c r="G160" s="16"/>
      <c r="H160" s="16">
        <v>4526</v>
      </c>
      <c r="I160" s="16">
        <f t="shared" si="33"/>
        <v>60</v>
      </c>
      <c r="J160" s="16">
        <v>4466</v>
      </c>
      <c r="K160" s="16">
        <v>4285</v>
      </c>
      <c r="L160" s="16">
        <f t="shared" si="34"/>
        <v>181</v>
      </c>
    </row>
    <row r="161" spans="1:12" s="18" customFormat="1" ht="15" customHeight="1">
      <c r="A161" s="82">
        <v>2005</v>
      </c>
      <c r="B161" s="83" t="s">
        <v>47</v>
      </c>
      <c r="C161" s="15">
        <f t="shared" si="28"/>
        <v>0.94961496149614966</v>
      </c>
      <c r="D161" s="15">
        <f t="shared" si="29"/>
        <v>0.96684587813620071</v>
      </c>
      <c r="E161" s="15">
        <f t="shared" si="30"/>
        <v>0.98217821782178216</v>
      </c>
      <c r="F161" s="16"/>
      <c r="G161" s="16"/>
      <c r="H161" s="16">
        <v>4545</v>
      </c>
      <c r="I161" s="16">
        <f t="shared" si="33"/>
        <v>81</v>
      </c>
      <c r="J161" s="16">
        <v>4464</v>
      </c>
      <c r="K161" s="16">
        <v>4316</v>
      </c>
      <c r="L161" s="16">
        <f t="shared" si="34"/>
        <v>148</v>
      </c>
    </row>
    <row r="162" spans="1:12" s="18" customFormat="1" ht="15" customHeight="1">
      <c r="A162" s="82">
        <v>2006</v>
      </c>
      <c r="B162" s="83" t="s">
        <v>36</v>
      </c>
      <c r="C162" s="15">
        <f t="shared" si="28"/>
        <v>0.9485118401042798</v>
      </c>
      <c r="D162" s="15">
        <f t="shared" si="29"/>
        <v>0.97455357142857146</v>
      </c>
      <c r="E162" s="15">
        <f t="shared" si="30"/>
        <v>0.97327829676298061</v>
      </c>
      <c r="F162" s="16"/>
      <c r="G162" s="16"/>
      <c r="H162" s="16">
        <v>4603</v>
      </c>
      <c r="I162" s="16">
        <f t="shared" ref="I162:I167" si="35">H162-J162</f>
        <v>123</v>
      </c>
      <c r="J162" s="16">
        <v>4480</v>
      </c>
      <c r="K162" s="16">
        <v>4366</v>
      </c>
      <c r="L162" s="16">
        <f t="shared" ref="L162:L167" si="36">J162-K162</f>
        <v>114</v>
      </c>
    </row>
    <row r="163" spans="1:12" s="18" customFormat="1" ht="15" customHeight="1">
      <c r="A163" s="82">
        <v>2006</v>
      </c>
      <c r="B163" s="83" t="s">
        <v>37</v>
      </c>
      <c r="C163" s="15">
        <f t="shared" si="28"/>
        <v>0.96132870599900844</v>
      </c>
      <c r="D163" s="15">
        <f t="shared" si="29"/>
        <v>0.9726611487333835</v>
      </c>
      <c r="E163" s="15">
        <f t="shared" si="30"/>
        <v>0.98834903321765</v>
      </c>
      <c r="F163" s="16"/>
      <c r="G163" s="16"/>
      <c r="H163" s="16">
        <v>4034</v>
      </c>
      <c r="I163" s="16">
        <f t="shared" si="35"/>
        <v>47</v>
      </c>
      <c r="J163" s="16">
        <v>3987</v>
      </c>
      <c r="K163" s="16">
        <v>3878</v>
      </c>
      <c r="L163" s="16">
        <f t="shared" si="36"/>
        <v>109</v>
      </c>
    </row>
    <row r="164" spans="1:12" s="18" customFormat="1" ht="15" customHeight="1">
      <c r="A164" s="82">
        <v>2006</v>
      </c>
      <c r="B164" s="83" t="s">
        <v>38</v>
      </c>
      <c r="C164" s="15">
        <f t="shared" si="28"/>
        <v>0.9235307465395961</v>
      </c>
      <c r="D164" s="15">
        <f t="shared" si="29"/>
        <v>0.9681255946717412</v>
      </c>
      <c r="E164" s="15">
        <f t="shared" si="30"/>
        <v>0.95393691853868845</v>
      </c>
      <c r="F164" s="16"/>
      <c r="G164" s="16"/>
      <c r="H164" s="16">
        <v>4407</v>
      </c>
      <c r="I164" s="16">
        <f t="shared" si="35"/>
        <v>203</v>
      </c>
      <c r="J164" s="16">
        <v>4204</v>
      </c>
      <c r="K164" s="16">
        <v>4070</v>
      </c>
      <c r="L164" s="16">
        <f t="shared" si="36"/>
        <v>134</v>
      </c>
    </row>
    <row r="165" spans="1:12" s="18" customFormat="1" ht="15" customHeight="1">
      <c r="A165" s="82">
        <v>2006</v>
      </c>
      <c r="B165" s="83" t="s">
        <v>39</v>
      </c>
      <c r="C165" s="15">
        <f t="shared" si="28"/>
        <v>0.96021744502100326</v>
      </c>
      <c r="D165" s="15">
        <f t="shared" si="29"/>
        <v>0.96570576540755471</v>
      </c>
      <c r="E165" s="15">
        <f t="shared" si="30"/>
        <v>0.99431677786014327</v>
      </c>
      <c r="F165" s="16"/>
      <c r="G165" s="16"/>
      <c r="H165" s="16">
        <v>4047</v>
      </c>
      <c r="I165" s="16">
        <f t="shared" si="35"/>
        <v>23</v>
      </c>
      <c r="J165" s="16">
        <v>4024</v>
      </c>
      <c r="K165" s="16">
        <v>3886</v>
      </c>
      <c r="L165" s="16">
        <f t="shared" si="36"/>
        <v>138</v>
      </c>
    </row>
    <row r="166" spans="1:12" s="18" customFormat="1" ht="15" customHeight="1">
      <c r="A166" s="82">
        <v>2006</v>
      </c>
      <c r="B166" s="83" t="s">
        <v>40</v>
      </c>
      <c r="C166" s="15">
        <f t="shared" si="28"/>
        <v>0.94443158138457972</v>
      </c>
      <c r="D166" s="15">
        <f t="shared" si="29"/>
        <v>0.97257987601335238</v>
      </c>
      <c r="E166" s="15">
        <f t="shared" si="30"/>
        <v>0.97105811530446862</v>
      </c>
      <c r="F166" s="16"/>
      <c r="G166" s="16"/>
      <c r="H166" s="16">
        <v>4319</v>
      </c>
      <c r="I166" s="16">
        <f t="shared" si="35"/>
        <v>125</v>
      </c>
      <c r="J166" s="16">
        <v>4194</v>
      </c>
      <c r="K166" s="16">
        <v>4079</v>
      </c>
      <c r="L166" s="16">
        <f t="shared" si="36"/>
        <v>115</v>
      </c>
    </row>
    <row r="167" spans="1:12" s="18" customFormat="1" ht="15" customHeight="1">
      <c r="A167" s="82">
        <v>2006</v>
      </c>
      <c r="B167" s="83" t="s">
        <v>41</v>
      </c>
      <c r="C167" s="15">
        <f t="shared" si="28"/>
        <v>0.94106553512494107</v>
      </c>
      <c r="D167" s="15">
        <f t="shared" si="29"/>
        <v>0.96169597687304265</v>
      </c>
      <c r="E167" s="15">
        <f t="shared" si="30"/>
        <v>0.97854785478547857</v>
      </c>
      <c r="F167" s="16"/>
      <c r="G167" s="16"/>
      <c r="H167" s="16">
        <v>4242</v>
      </c>
      <c r="I167" s="16">
        <f t="shared" si="35"/>
        <v>91</v>
      </c>
      <c r="J167" s="16">
        <v>4151</v>
      </c>
      <c r="K167" s="16">
        <v>3992</v>
      </c>
      <c r="L167" s="16">
        <f t="shared" si="36"/>
        <v>159</v>
      </c>
    </row>
    <row r="168" spans="1:12" s="18" customFormat="1" ht="15" customHeight="1">
      <c r="A168" s="82">
        <v>2006</v>
      </c>
      <c r="B168" s="83" t="s">
        <v>42</v>
      </c>
      <c r="C168" s="15">
        <f t="shared" si="28"/>
        <v>0.94004135079255691</v>
      </c>
      <c r="D168" s="15">
        <f t="shared" si="29"/>
        <v>0.95429104477611937</v>
      </c>
      <c r="E168" s="15">
        <f t="shared" si="30"/>
        <v>0.98506776935446816</v>
      </c>
      <c r="F168" s="16"/>
      <c r="G168" s="16"/>
      <c r="H168" s="16">
        <v>4353</v>
      </c>
      <c r="I168" s="16">
        <f t="shared" ref="I168:I173" si="37">H168-J168</f>
        <v>65</v>
      </c>
      <c r="J168" s="16">
        <v>4288</v>
      </c>
      <c r="K168" s="16">
        <v>4092</v>
      </c>
      <c r="L168" s="16">
        <f t="shared" ref="L168:L173" si="38">J168-K168</f>
        <v>196</v>
      </c>
    </row>
    <row r="169" spans="1:12" s="18" customFormat="1" ht="15" customHeight="1">
      <c r="A169" s="82">
        <v>2006</v>
      </c>
      <c r="B169" s="83" t="s">
        <v>43</v>
      </c>
      <c r="C169" s="15">
        <f t="shared" si="28"/>
        <v>0.93802497162315546</v>
      </c>
      <c r="D169" s="15">
        <f t="shared" si="29"/>
        <v>0.95339178587909557</v>
      </c>
      <c r="E169" s="15">
        <f t="shared" si="30"/>
        <v>0.98388195232690123</v>
      </c>
      <c r="F169" s="16"/>
      <c r="G169" s="16"/>
      <c r="H169" s="16">
        <v>4405</v>
      </c>
      <c r="I169" s="16">
        <f t="shared" si="37"/>
        <v>71</v>
      </c>
      <c r="J169" s="16">
        <v>4334</v>
      </c>
      <c r="K169" s="16">
        <v>4132</v>
      </c>
      <c r="L169" s="16">
        <f t="shared" si="38"/>
        <v>202</v>
      </c>
    </row>
    <row r="170" spans="1:12" s="18" customFormat="1" ht="15" customHeight="1">
      <c r="A170" s="82">
        <v>2006</v>
      </c>
      <c r="B170" s="83" t="s">
        <v>44</v>
      </c>
      <c r="C170" s="15">
        <f t="shared" si="28"/>
        <v>0.97146198830409358</v>
      </c>
      <c r="D170" s="15">
        <f t="shared" si="29"/>
        <v>0.98202884842752425</v>
      </c>
      <c r="E170" s="15">
        <f t="shared" si="30"/>
        <v>0.98923976608187136</v>
      </c>
      <c r="F170" s="16"/>
      <c r="G170" s="16"/>
      <c r="H170" s="16">
        <v>4275</v>
      </c>
      <c r="I170" s="16">
        <f t="shared" si="37"/>
        <v>46</v>
      </c>
      <c r="J170" s="16">
        <v>4229</v>
      </c>
      <c r="K170" s="16">
        <v>4153</v>
      </c>
      <c r="L170" s="16">
        <f t="shared" si="38"/>
        <v>76</v>
      </c>
    </row>
    <row r="171" spans="1:12" s="18" customFormat="1" ht="15" customHeight="1">
      <c r="A171" s="82">
        <v>2006</v>
      </c>
      <c r="B171" s="83" t="s">
        <v>45</v>
      </c>
      <c r="C171" s="15">
        <f t="shared" si="28"/>
        <v>0.98403147419578796</v>
      </c>
      <c r="D171" s="15">
        <f t="shared" si="29"/>
        <v>0.98929734760353649</v>
      </c>
      <c r="E171" s="15">
        <f t="shared" si="30"/>
        <v>0.99467715806526269</v>
      </c>
      <c r="F171" s="16"/>
      <c r="G171" s="16"/>
      <c r="H171" s="16">
        <v>4321</v>
      </c>
      <c r="I171" s="16">
        <f t="shared" si="37"/>
        <v>23</v>
      </c>
      <c r="J171" s="16">
        <v>4298</v>
      </c>
      <c r="K171" s="16">
        <v>4252</v>
      </c>
      <c r="L171" s="16">
        <f t="shared" si="38"/>
        <v>46</v>
      </c>
    </row>
    <row r="172" spans="1:12" s="18" customFormat="1" ht="15" customHeight="1">
      <c r="A172" s="82">
        <v>2006</v>
      </c>
      <c r="B172" s="83" t="s">
        <v>46</v>
      </c>
      <c r="C172" s="15">
        <f t="shared" si="28"/>
        <v>0.98545034642032336</v>
      </c>
      <c r="D172" s="15">
        <f t="shared" si="29"/>
        <v>0.98864689527340133</v>
      </c>
      <c r="E172" s="15">
        <f t="shared" si="30"/>
        <v>0.99676674364896078</v>
      </c>
      <c r="F172" s="16"/>
      <c r="G172" s="16"/>
      <c r="H172" s="16">
        <v>4330</v>
      </c>
      <c r="I172" s="16">
        <f t="shared" si="37"/>
        <v>14</v>
      </c>
      <c r="J172" s="16">
        <v>4316</v>
      </c>
      <c r="K172" s="16">
        <v>4267</v>
      </c>
      <c r="L172" s="16">
        <f t="shared" si="38"/>
        <v>49</v>
      </c>
    </row>
    <row r="173" spans="1:12" s="18" customFormat="1" ht="15" customHeight="1">
      <c r="A173" s="82">
        <v>2006</v>
      </c>
      <c r="B173" s="83" t="s">
        <v>47</v>
      </c>
      <c r="C173" s="15">
        <f t="shared" si="28"/>
        <v>0.94351364289133555</v>
      </c>
      <c r="D173" s="15">
        <f t="shared" si="29"/>
        <v>0.97622585438335807</v>
      </c>
      <c r="E173" s="15">
        <f t="shared" si="30"/>
        <v>0.96649114408808046</v>
      </c>
      <c r="F173" s="16"/>
      <c r="G173" s="16"/>
      <c r="H173" s="16">
        <v>4178</v>
      </c>
      <c r="I173" s="16">
        <f t="shared" si="37"/>
        <v>140</v>
      </c>
      <c r="J173" s="16">
        <v>4038</v>
      </c>
      <c r="K173" s="16">
        <v>3942</v>
      </c>
      <c r="L173" s="16">
        <f t="shared" si="38"/>
        <v>96</v>
      </c>
    </row>
    <row r="174" spans="1:12" s="18" customFormat="1" ht="15" customHeight="1">
      <c r="A174" s="82">
        <v>2007</v>
      </c>
      <c r="B174" s="83" t="s">
        <v>36</v>
      </c>
      <c r="C174" s="15">
        <f t="shared" si="28"/>
        <v>0.97617426820966646</v>
      </c>
      <c r="D174" s="15">
        <f t="shared" si="29"/>
        <v>0.98828394210889037</v>
      </c>
      <c r="E174" s="15">
        <f t="shared" si="30"/>
        <v>0.98774676650782844</v>
      </c>
      <c r="F174" s="16"/>
      <c r="G174" s="16"/>
      <c r="H174" s="16">
        <v>4407</v>
      </c>
      <c r="I174" s="16">
        <f t="shared" ref="I174:I184" si="39">H174-J174</f>
        <v>54</v>
      </c>
      <c r="J174" s="16">
        <v>4353</v>
      </c>
      <c r="K174" s="16">
        <v>4302</v>
      </c>
      <c r="L174" s="16">
        <f t="shared" ref="L174:L185" si="40">J174-K174</f>
        <v>51</v>
      </c>
    </row>
    <row r="175" spans="1:12" s="18" customFormat="1" ht="15" customHeight="1">
      <c r="A175" s="82">
        <v>2007</v>
      </c>
      <c r="B175" s="83" t="s">
        <v>37</v>
      </c>
      <c r="C175" s="15">
        <f t="shared" si="28"/>
        <v>0.9825174825174825</v>
      </c>
      <c r="D175" s="15">
        <f t="shared" si="29"/>
        <v>0.9869543401906673</v>
      </c>
      <c r="E175" s="15">
        <f t="shared" si="30"/>
        <v>0.99550449550449549</v>
      </c>
      <c r="F175" s="16"/>
      <c r="G175" s="16"/>
      <c r="H175" s="16">
        <v>4004</v>
      </c>
      <c r="I175" s="16">
        <f t="shared" si="39"/>
        <v>18</v>
      </c>
      <c r="J175" s="16">
        <v>3986</v>
      </c>
      <c r="K175" s="16">
        <v>3934</v>
      </c>
      <c r="L175" s="16">
        <f t="shared" si="40"/>
        <v>52</v>
      </c>
    </row>
    <row r="176" spans="1:12" s="18" customFormat="1" ht="15" customHeight="1">
      <c r="A176" s="82">
        <v>2007</v>
      </c>
      <c r="B176" s="83" t="s">
        <v>38</v>
      </c>
      <c r="C176" s="15">
        <f t="shared" si="28"/>
        <v>0.95097594189741264</v>
      </c>
      <c r="D176" s="15">
        <f t="shared" si="29"/>
        <v>0.96100917431192656</v>
      </c>
      <c r="E176" s="15">
        <f t="shared" si="30"/>
        <v>0.98955969133000454</v>
      </c>
      <c r="F176" s="16"/>
      <c r="G176" s="16"/>
      <c r="H176" s="16">
        <v>4406</v>
      </c>
      <c r="I176" s="16">
        <f t="shared" si="39"/>
        <v>46</v>
      </c>
      <c r="J176" s="16">
        <v>4360</v>
      </c>
      <c r="K176" s="16">
        <v>4190</v>
      </c>
      <c r="L176" s="16">
        <f t="shared" si="40"/>
        <v>170</v>
      </c>
    </row>
    <row r="177" spans="1:12" s="18" customFormat="1" ht="15" customHeight="1">
      <c r="A177" s="82">
        <v>2007</v>
      </c>
      <c r="B177" s="83" t="s">
        <v>39</v>
      </c>
      <c r="C177" s="15">
        <f t="shared" si="28"/>
        <v>0.92727272727272725</v>
      </c>
      <c r="D177" s="15">
        <f t="shared" si="29"/>
        <v>0.95314900153609827</v>
      </c>
      <c r="E177" s="15">
        <f t="shared" si="30"/>
        <v>0.97285180572851804</v>
      </c>
      <c r="F177" s="16"/>
      <c r="G177" s="16"/>
      <c r="H177" s="16">
        <v>4015</v>
      </c>
      <c r="I177" s="16">
        <f t="shared" si="39"/>
        <v>109</v>
      </c>
      <c r="J177" s="16">
        <v>3906</v>
      </c>
      <c r="K177" s="16">
        <v>3723</v>
      </c>
      <c r="L177" s="16">
        <f t="shared" si="40"/>
        <v>183</v>
      </c>
    </row>
    <row r="178" spans="1:12" s="18" customFormat="1" ht="15" customHeight="1">
      <c r="A178" s="82">
        <v>2007</v>
      </c>
      <c r="B178" s="83" t="s">
        <v>40</v>
      </c>
      <c r="C178" s="15">
        <f t="shared" si="28"/>
        <v>0.93287037037037035</v>
      </c>
      <c r="D178" s="15">
        <f t="shared" si="29"/>
        <v>0.95679012345679015</v>
      </c>
      <c r="E178" s="15">
        <f t="shared" si="30"/>
        <v>0.97499999999999998</v>
      </c>
      <c r="F178" s="16"/>
      <c r="G178" s="16"/>
      <c r="H178" s="16">
        <v>4320</v>
      </c>
      <c r="I178" s="16">
        <f t="shared" si="39"/>
        <v>108</v>
      </c>
      <c r="J178" s="16">
        <v>4212</v>
      </c>
      <c r="K178" s="16">
        <v>4030</v>
      </c>
      <c r="L178" s="16">
        <f t="shared" si="40"/>
        <v>182</v>
      </c>
    </row>
    <row r="179" spans="1:12" s="18" customFormat="1" ht="15" customHeight="1">
      <c r="A179" s="82">
        <v>2007</v>
      </c>
      <c r="B179" s="83" t="s">
        <v>41</v>
      </c>
      <c r="C179" s="15">
        <f t="shared" si="28"/>
        <v>0.89995224450811839</v>
      </c>
      <c r="D179" s="15">
        <f t="shared" si="29"/>
        <v>0.92581675264062879</v>
      </c>
      <c r="E179" s="15">
        <f t="shared" si="30"/>
        <v>0.97206303724928367</v>
      </c>
      <c r="F179" s="16"/>
      <c r="G179" s="16"/>
      <c r="H179" s="16">
        <v>4188</v>
      </c>
      <c r="I179" s="16">
        <f t="shared" si="39"/>
        <v>117</v>
      </c>
      <c r="J179" s="16">
        <v>4071</v>
      </c>
      <c r="K179" s="16">
        <v>3769</v>
      </c>
      <c r="L179" s="16">
        <f t="shared" si="40"/>
        <v>302</v>
      </c>
    </row>
    <row r="180" spans="1:12" s="18" customFormat="1" ht="15" customHeight="1">
      <c r="A180" s="82">
        <v>2007</v>
      </c>
      <c r="B180" s="83" t="s">
        <v>42</v>
      </c>
      <c r="C180" s="15">
        <f t="shared" si="28"/>
        <v>0.95395650161962053</v>
      </c>
      <c r="D180" s="15">
        <f t="shared" si="29"/>
        <v>0.96579995315062073</v>
      </c>
      <c r="E180" s="15">
        <f t="shared" si="30"/>
        <v>0.98773715872281354</v>
      </c>
      <c r="F180" s="16"/>
      <c r="G180" s="16"/>
      <c r="H180" s="16">
        <v>4322</v>
      </c>
      <c r="I180" s="16">
        <f t="shared" si="39"/>
        <v>53</v>
      </c>
      <c r="J180" s="16">
        <v>4269</v>
      </c>
      <c r="K180" s="16">
        <v>4123</v>
      </c>
      <c r="L180" s="16">
        <f t="shared" si="40"/>
        <v>146</v>
      </c>
    </row>
    <row r="181" spans="1:12" s="18" customFormat="1" ht="15" customHeight="1">
      <c r="A181" s="82">
        <v>2007</v>
      </c>
      <c r="B181" s="83" t="s">
        <v>43</v>
      </c>
      <c r="C181" s="15">
        <f t="shared" si="28"/>
        <v>0.92232361451146228</v>
      </c>
      <c r="D181" s="15">
        <f t="shared" si="29"/>
        <v>0.94893519578658114</v>
      </c>
      <c r="E181" s="15">
        <f t="shared" si="30"/>
        <v>0.97195637658580014</v>
      </c>
      <c r="F181" s="16"/>
      <c r="G181" s="16"/>
      <c r="H181" s="16">
        <v>4493</v>
      </c>
      <c r="I181" s="16">
        <f t="shared" si="39"/>
        <v>126</v>
      </c>
      <c r="J181" s="16">
        <v>4367</v>
      </c>
      <c r="K181" s="16">
        <v>4144</v>
      </c>
      <c r="L181" s="16">
        <f t="shared" si="40"/>
        <v>223</v>
      </c>
    </row>
    <row r="182" spans="1:12" s="18" customFormat="1" ht="15" customHeight="1">
      <c r="A182" s="82">
        <v>2007</v>
      </c>
      <c r="B182" s="83" t="s">
        <v>44</v>
      </c>
      <c r="C182" s="15">
        <f t="shared" si="28"/>
        <v>0.93745523991406066</v>
      </c>
      <c r="D182" s="15">
        <f t="shared" si="29"/>
        <v>0.94946808510638303</v>
      </c>
      <c r="E182" s="15">
        <f t="shared" si="30"/>
        <v>0.98734781570780616</v>
      </c>
      <c r="F182" s="16"/>
      <c r="G182" s="16"/>
      <c r="H182" s="16">
        <v>4189</v>
      </c>
      <c r="I182" s="16">
        <f t="shared" si="39"/>
        <v>53</v>
      </c>
      <c r="J182" s="16">
        <v>4136</v>
      </c>
      <c r="K182" s="16">
        <v>3927</v>
      </c>
      <c r="L182" s="16">
        <f t="shared" si="40"/>
        <v>209</v>
      </c>
    </row>
    <row r="183" spans="1:12" s="18" customFormat="1" ht="15" customHeight="1">
      <c r="A183" s="82">
        <v>2007</v>
      </c>
      <c r="B183" s="83" t="s">
        <v>45</v>
      </c>
      <c r="C183" s="15">
        <f t="shared" si="28"/>
        <v>0.9078738370773769</v>
      </c>
      <c r="D183" s="15">
        <f t="shared" si="29"/>
        <v>0.92252709246022602</v>
      </c>
      <c r="E183" s="15">
        <f t="shared" si="30"/>
        <v>0.98411617880644431</v>
      </c>
      <c r="F183" s="16"/>
      <c r="G183" s="16"/>
      <c r="H183" s="16">
        <v>4407</v>
      </c>
      <c r="I183" s="16">
        <f t="shared" si="39"/>
        <v>70</v>
      </c>
      <c r="J183" s="16">
        <v>4337</v>
      </c>
      <c r="K183" s="16">
        <v>4001</v>
      </c>
      <c r="L183" s="16">
        <f t="shared" si="40"/>
        <v>336</v>
      </c>
    </row>
    <row r="184" spans="1:12" s="18" customFormat="1" ht="15" customHeight="1">
      <c r="A184" s="82">
        <v>2007</v>
      </c>
      <c r="B184" s="83" t="s">
        <v>46</v>
      </c>
      <c r="C184" s="15">
        <f t="shared" si="28"/>
        <v>0.93441108545034646</v>
      </c>
      <c r="D184" s="15">
        <f t="shared" si="29"/>
        <v>0.94576905095839181</v>
      </c>
      <c r="E184" s="15">
        <f t="shared" si="30"/>
        <v>0.98799076212471126</v>
      </c>
      <c r="F184" s="16"/>
      <c r="G184" s="16"/>
      <c r="H184" s="16">
        <v>4330</v>
      </c>
      <c r="I184" s="16">
        <f t="shared" si="39"/>
        <v>52</v>
      </c>
      <c r="J184" s="16">
        <v>4278</v>
      </c>
      <c r="K184" s="16">
        <v>4046</v>
      </c>
      <c r="L184" s="16">
        <f t="shared" si="40"/>
        <v>232</v>
      </c>
    </row>
    <row r="185" spans="1:12" s="18" customFormat="1" ht="15" customHeight="1">
      <c r="A185" s="82">
        <v>2007</v>
      </c>
      <c r="B185" s="83" t="s">
        <v>47</v>
      </c>
      <c r="C185" s="15">
        <f t="shared" si="28"/>
        <v>0.93389990557129365</v>
      </c>
      <c r="D185" s="15">
        <f t="shared" si="29"/>
        <v>0.96299902629016554</v>
      </c>
      <c r="E185" s="15">
        <f t="shared" si="30"/>
        <v>0.96978281397544852</v>
      </c>
      <c r="F185" s="16"/>
      <c r="G185" s="16"/>
      <c r="H185" s="16">
        <v>4236</v>
      </c>
      <c r="I185" s="16">
        <v>128</v>
      </c>
      <c r="J185" s="16">
        <v>4108</v>
      </c>
      <c r="K185" s="16">
        <v>3956</v>
      </c>
      <c r="L185" s="16">
        <f t="shared" si="40"/>
        <v>152</v>
      </c>
    </row>
    <row r="186" spans="1:12" s="18" customFormat="1" ht="15" customHeight="1">
      <c r="A186" s="82">
        <v>2008</v>
      </c>
      <c r="B186" s="83" t="s">
        <v>36</v>
      </c>
      <c r="C186" s="15">
        <f t="shared" si="28"/>
        <v>0.37448933272809803</v>
      </c>
      <c r="D186" s="15">
        <f t="shared" si="29"/>
        <v>0.94285714285714284</v>
      </c>
      <c r="E186" s="15">
        <f t="shared" si="30"/>
        <v>0.39718565592374033</v>
      </c>
      <c r="F186" s="16"/>
      <c r="G186" s="16"/>
      <c r="H186" s="16">
        <v>4406</v>
      </c>
      <c r="I186" s="16">
        <f>H186-J186</f>
        <v>2656</v>
      </c>
      <c r="J186" s="16">
        <v>1750</v>
      </c>
      <c r="K186" s="16">
        <v>1650</v>
      </c>
      <c r="L186" s="16">
        <f t="shared" ref="L186:L197" si="41">J186-K186</f>
        <v>100</v>
      </c>
    </row>
    <row r="187" spans="1:12" s="18" customFormat="1" ht="15" customHeight="1">
      <c r="A187" s="82">
        <v>2008</v>
      </c>
      <c r="B187" s="83" t="s">
        <v>37</v>
      </c>
      <c r="C187" s="15">
        <f t="shared" si="28"/>
        <v>0.97120230381569472</v>
      </c>
      <c r="D187" s="15">
        <f t="shared" si="29"/>
        <v>0.9765926640926641</v>
      </c>
      <c r="E187" s="15">
        <f t="shared" si="30"/>
        <v>0.99448044156467486</v>
      </c>
      <c r="F187" s="16"/>
      <c r="G187" s="16"/>
      <c r="H187" s="16">
        <v>4167</v>
      </c>
      <c r="I187" s="16">
        <f t="shared" ref="I187:I197" si="42">H187-J187</f>
        <v>23</v>
      </c>
      <c r="J187" s="16">
        <v>4144</v>
      </c>
      <c r="K187" s="16">
        <v>4047</v>
      </c>
      <c r="L187" s="16">
        <f t="shared" si="41"/>
        <v>97</v>
      </c>
    </row>
    <row r="188" spans="1:12" s="18" customFormat="1" ht="15" customHeight="1">
      <c r="A188" s="82">
        <v>2008</v>
      </c>
      <c r="B188" s="83" t="s">
        <v>38</v>
      </c>
      <c r="C188" s="15">
        <f t="shared" si="28"/>
        <v>0.9624242424242424</v>
      </c>
      <c r="D188" s="15">
        <f t="shared" si="29"/>
        <v>0.97327776415788181</v>
      </c>
      <c r="E188" s="15">
        <f t="shared" si="30"/>
        <v>0.98884848484848487</v>
      </c>
      <c r="F188" s="16"/>
      <c r="G188" s="16"/>
      <c r="H188" s="16">
        <v>4125</v>
      </c>
      <c r="I188" s="16">
        <f t="shared" si="42"/>
        <v>46</v>
      </c>
      <c r="J188" s="16">
        <v>4079</v>
      </c>
      <c r="K188" s="16">
        <v>3970</v>
      </c>
      <c r="L188" s="16">
        <f t="shared" si="41"/>
        <v>109</v>
      </c>
    </row>
    <row r="189" spans="1:12" s="18" customFormat="1" ht="15" customHeight="1">
      <c r="A189" s="82">
        <v>2008</v>
      </c>
      <c r="B189" s="83" t="s">
        <v>39</v>
      </c>
      <c r="C189" s="15">
        <f t="shared" si="28"/>
        <v>0.91588124410933081</v>
      </c>
      <c r="D189" s="15">
        <f t="shared" si="29"/>
        <v>0.9276849642004773</v>
      </c>
      <c r="E189" s="15">
        <f t="shared" si="30"/>
        <v>0.98727615457115925</v>
      </c>
      <c r="F189" s="16"/>
      <c r="G189" s="16"/>
      <c r="H189" s="16">
        <v>4244</v>
      </c>
      <c r="I189" s="16">
        <f t="shared" si="42"/>
        <v>54</v>
      </c>
      <c r="J189" s="16">
        <v>4190</v>
      </c>
      <c r="K189" s="16">
        <v>3887</v>
      </c>
      <c r="L189" s="16">
        <f t="shared" si="41"/>
        <v>303</v>
      </c>
    </row>
    <row r="190" spans="1:12" s="18" customFormat="1" ht="15" customHeight="1">
      <c r="A190" s="82">
        <v>2008</v>
      </c>
      <c r="B190" s="83" t="s">
        <v>40</v>
      </c>
      <c r="C190" s="15">
        <f t="shared" si="28"/>
        <v>0.93083639705882348</v>
      </c>
      <c r="D190" s="15">
        <f t="shared" si="29"/>
        <v>0.94893417662215973</v>
      </c>
      <c r="E190" s="15">
        <f t="shared" si="30"/>
        <v>0.98092830882352944</v>
      </c>
      <c r="F190" s="16"/>
      <c r="G190" s="16"/>
      <c r="H190" s="16">
        <v>4352</v>
      </c>
      <c r="I190" s="16">
        <f t="shared" si="42"/>
        <v>83</v>
      </c>
      <c r="J190" s="16">
        <v>4269</v>
      </c>
      <c r="K190" s="16">
        <v>4051</v>
      </c>
      <c r="L190" s="16">
        <f t="shared" si="41"/>
        <v>218</v>
      </c>
    </row>
    <row r="191" spans="1:12" s="18" customFormat="1" ht="15" customHeight="1">
      <c r="A191" s="82">
        <v>2008</v>
      </c>
      <c r="B191" s="83" t="s">
        <v>41</v>
      </c>
      <c r="C191" s="15">
        <f t="shared" si="28"/>
        <v>0.94252044252044254</v>
      </c>
      <c r="D191" s="15">
        <f t="shared" si="29"/>
        <v>0.95912873225648554</v>
      </c>
      <c r="E191" s="15">
        <f t="shared" si="30"/>
        <v>0.98268398268398272</v>
      </c>
      <c r="F191" s="16"/>
      <c r="G191" s="16"/>
      <c r="H191" s="16">
        <v>4158</v>
      </c>
      <c r="I191" s="16">
        <f t="shared" si="42"/>
        <v>72</v>
      </c>
      <c r="J191" s="16">
        <v>4086</v>
      </c>
      <c r="K191" s="16">
        <v>3919</v>
      </c>
      <c r="L191" s="16">
        <f t="shared" si="41"/>
        <v>167</v>
      </c>
    </row>
    <row r="192" spans="1:12" s="18" customFormat="1" ht="15" customHeight="1">
      <c r="A192" s="82">
        <v>2008</v>
      </c>
      <c r="B192" s="83" t="s">
        <v>42</v>
      </c>
      <c r="C192" s="15">
        <f t="shared" si="28"/>
        <v>0.93816254416961131</v>
      </c>
      <c r="D192" s="15">
        <f t="shared" si="29"/>
        <v>0.94568121104185221</v>
      </c>
      <c r="E192" s="15">
        <f t="shared" si="30"/>
        <v>0.99204946996466437</v>
      </c>
      <c r="F192" s="16"/>
      <c r="G192" s="16"/>
      <c r="H192" s="16">
        <v>4528</v>
      </c>
      <c r="I192" s="16">
        <f t="shared" si="42"/>
        <v>36</v>
      </c>
      <c r="J192" s="16">
        <v>4492</v>
      </c>
      <c r="K192" s="16">
        <v>4248</v>
      </c>
      <c r="L192" s="16">
        <f t="shared" si="41"/>
        <v>244</v>
      </c>
    </row>
    <row r="193" spans="1:12" s="18" customFormat="1" ht="15" customHeight="1">
      <c r="A193" s="82">
        <v>2008</v>
      </c>
      <c r="B193" s="83" t="s">
        <v>43</v>
      </c>
      <c r="C193" s="15">
        <f t="shared" si="28"/>
        <v>0.96203100426870369</v>
      </c>
      <c r="D193" s="15">
        <f t="shared" si="29"/>
        <v>0.96702800361336949</v>
      </c>
      <c r="E193" s="15">
        <f t="shared" si="30"/>
        <v>0.99483262188272303</v>
      </c>
      <c r="F193" s="16"/>
      <c r="G193" s="16"/>
      <c r="H193" s="16">
        <v>4451</v>
      </c>
      <c r="I193" s="16">
        <f t="shared" si="42"/>
        <v>23</v>
      </c>
      <c r="J193" s="16">
        <v>4428</v>
      </c>
      <c r="K193" s="16">
        <v>4282</v>
      </c>
      <c r="L193" s="16">
        <f t="shared" si="41"/>
        <v>146</v>
      </c>
    </row>
    <row r="194" spans="1:12" s="18" customFormat="1" ht="15" customHeight="1">
      <c r="A194" s="82">
        <v>2008</v>
      </c>
      <c r="B194" s="83" t="s">
        <v>44</v>
      </c>
      <c r="C194" s="15">
        <f t="shared" si="28"/>
        <v>0.95249668581528946</v>
      </c>
      <c r="D194" s="15">
        <f t="shared" si="29"/>
        <v>0.97247913376945638</v>
      </c>
      <c r="E194" s="15">
        <f t="shared" si="30"/>
        <v>0.97945205479452058</v>
      </c>
      <c r="F194" s="16"/>
      <c r="G194" s="16"/>
      <c r="H194" s="16">
        <v>4526</v>
      </c>
      <c r="I194" s="16">
        <f t="shared" si="42"/>
        <v>93</v>
      </c>
      <c r="J194" s="16">
        <v>4433</v>
      </c>
      <c r="K194" s="16">
        <v>4311</v>
      </c>
      <c r="L194" s="16">
        <f t="shared" si="41"/>
        <v>122</v>
      </c>
    </row>
    <row r="195" spans="1:12" s="18" customFormat="1" ht="15" customHeight="1">
      <c r="A195" s="82">
        <v>2008</v>
      </c>
      <c r="B195" s="83" t="s">
        <v>45</v>
      </c>
      <c r="C195" s="15">
        <f t="shared" si="28"/>
        <v>0.97109952194697957</v>
      </c>
      <c r="D195" s="15">
        <f t="shared" si="29"/>
        <v>0.97854171228377496</v>
      </c>
      <c r="E195" s="15">
        <f t="shared" si="30"/>
        <v>0.99239461103867888</v>
      </c>
      <c r="F195" s="16"/>
      <c r="G195" s="16"/>
      <c r="H195" s="16">
        <v>4602</v>
      </c>
      <c r="I195" s="16">
        <f t="shared" si="42"/>
        <v>35</v>
      </c>
      <c r="J195" s="16">
        <v>4567</v>
      </c>
      <c r="K195" s="16">
        <v>4469</v>
      </c>
      <c r="L195" s="16">
        <f t="shared" si="41"/>
        <v>98</v>
      </c>
    </row>
    <row r="196" spans="1:12" s="18" customFormat="1" ht="15" customHeight="1">
      <c r="A196" s="82">
        <v>2008</v>
      </c>
      <c r="B196" s="83" t="s">
        <v>46</v>
      </c>
      <c r="C196" s="15">
        <f t="shared" si="28"/>
        <v>0.95977142857142861</v>
      </c>
      <c r="D196" s="15">
        <f t="shared" si="29"/>
        <v>0.98084559682317218</v>
      </c>
      <c r="E196" s="15">
        <f t="shared" si="30"/>
        <v>0.97851428571428567</v>
      </c>
      <c r="F196" s="16"/>
      <c r="G196" s="16"/>
      <c r="H196" s="16">
        <v>4375</v>
      </c>
      <c r="I196" s="16">
        <f t="shared" si="42"/>
        <v>94</v>
      </c>
      <c r="J196" s="16">
        <v>4281</v>
      </c>
      <c r="K196" s="16">
        <v>4199</v>
      </c>
      <c r="L196" s="16">
        <f t="shared" si="41"/>
        <v>82</v>
      </c>
    </row>
    <row r="197" spans="1:12" s="18" customFormat="1" ht="15" customHeight="1">
      <c r="A197" s="82">
        <v>2008</v>
      </c>
      <c r="B197" s="83" t="s">
        <v>47</v>
      </c>
      <c r="C197" s="15">
        <f t="shared" si="28"/>
        <v>0.96516853932584268</v>
      </c>
      <c r="D197" s="15">
        <f t="shared" si="29"/>
        <v>0.98059360730593603</v>
      </c>
      <c r="E197" s="15">
        <f t="shared" si="30"/>
        <v>0.98426966292134832</v>
      </c>
      <c r="F197" s="16"/>
      <c r="G197" s="16"/>
      <c r="H197" s="16">
        <v>4450</v>
      </c>
      <c r="I197" s="16">
        <f t="shared" si="42"/>
        <v>70</v>
      </c>
      <c r="J197" s="16">
        <v>4380</v>
      </c>
      <c r="K197" s="16">
        <v>4295</v>
      </c>
      <c r="L197" s="16">
        <f t="shared" si="41"/>
        <v>85</v>
      </c>
    </row>
    <row r="198" spans="1:12" s="18" customFormat="1" ht="15" customHeight="1">
      <c r="A198" s="82">
        <v>2009</v>
      </c>
      <c r="B198" s="83" t="s">
        <v>36</v>
      </c>
      <c r="C198" s="15">
        <f t="shared" ref="C198:C261" si="43">K198/H198</f>
        <v>0.9866310160427807</v>
      </c>
      <c r="D198" s="15">
        <f t="shared" ref="D198:D261" si="44">K198/J198</f>
        <v>0.98883430102724434</v>
      </c>
      <c r="E198" s="15">
        <f t="shared" ref="E198:E261" si="45">J198/H198</f>
        <v>0.99777183600713015</v>
      </c>
      <c r="F198" s="16"/>
      <c r="G198" s="16"/>
      <c r="H198" s="16">
        <v>4488</v>
      </c>
      <c r="I198" s="16">
        <f>H198-J198</f>
        <v>10</v>
      </c>
      <c r="J198" s="16">
        <v>4478</v>
      </c>
      <c r="K198" s="16">
        <v>4428</v>
      </c>
      <c r="L198" s="16">
        <f t="shared" ref="L198:L209" si="46">J198-K198</f>
        <v>50</v>
      </c>
    </row>
    <row r="199" spans="1:12" s="18" customFormat="1" ht="15" customHeight="1">
      <c r="A199" s="82">
        <v>2009</v>
      </c>
      <c r="B199" s="83" t="s">
        <v>37</v>
      </c>
      <c r="C199" s="15">
        <f t="shared" si="43"/>
        <v>0.96797323135755253</v>
      </c>
      <c r="D199" s="15">
        <f t="shared" si="44"/>
        <v>0.97519865157717311</v>
      </c>
      <c r="E199" s="15">
        <f t="shared" si="45"/>
        <v>0.99259082217973227</v>
      </c>
      <c r="F199" s="16"/>
      <c r="G199" s="16"/>
      <c r="H199" s="16">
        <v>4184</v>
      </c>
      <c r="I199" s="16">
        <f t="shared" ref="I199:I209" si="47">H199-J199</f>
        <v>31</v>
      </c>
      <c r="J199" s="16">
        <v>4153</v>
      </c>
      <c r="K199" s="16">
        <v>4050</v>
      </c>
      <c r="L199" s="16">
        <f t="shared" si="46"/>
        <v>103</v>
      </c>
    </row>
    <row r="200" spans="1:12" s="18" customFormat="1" ht="15" customHeight="1">
      <c r="A200" s="82">
        <v>2009</v>
      </c>
      <c r="B200" s="83" t="s">
        <v>38</v>
      </c>
      <c r="C200" s="15">
        <f t="shared" si="43"/>
        <v>0.94099378881987583</v>
      </c>
      <c r="D200" s="15">
        <f t="shared" si="44"/>
        <v>0.96168669236000903</v>
      </c>
      <c r="E200" s="15">
        <f t="shared" si="45"/>
        <v>0.97848269742679683</v>
      </c>
      <c r="F200" s="16"/>
      <c r="G200" s="16"/>
      <c r="H200" s="16">
        <v>4508</v>
      </c>
      <c r="I200" s="16">
        <f t="shared" si="47"/>
        <v>97</v>
      </c>
      <c r="J200" s="16">
        <v>4411</v>
      </c>
      <c r="K200" s="16">
        <v>4242</v>
      </c>
      <c r="L200" s="16">
        <f t="shared" si="46"/>
        <v>169</v>
      </c>
    </row>
    <row r="201" spans="1:12" s="18" customFormat="1" ht="15" customHeight="1">
      <c r="A201" s="82">
        <v>2009</v>
      </c>
      <c r="B201" s="83" t="s">
        <v>39</v>
      </c>
      <c r="C201" s="15">
        <f t="shared" si="43"/>
        <v>0.95272140221402213</v>
      </c>
      <c r="D201" s="15">
        <f t="shared" si="44"/>
        <v>0.97199999999999998</v>
      </c>
      <c r="E201" s="15">
        <f t="shared" si="45"/>
        <v>0.98016605166051662</v>
      </c>
      <c r="F201" s="16"/>
      <c r="G201" s="16"/>
      <c r="H201" s="16">
        <v>4336</v>
      </c>
      <c r="I201" s="16">
        <f t="shared" si="47"/>
        <v>86</v>
      </c>
      <c r="J201" s="16">
        <v>4250</v>
      </c>
      <c r="K201" s="16">
        <v>4131</v>
      </c>
      <c r="L201" s="16">
        <f t="shared" si="46"/>
        <v>119</v>
      </c>
    </row>
    <row r="202" spans="1:12" s="18" customFormat="1" ht="15" customHeight="1">
      <c r="A202" s="82">
        <v>2009</v>
      </c>
      <c r="B202" s="83" t="s">
        <v>40</v>
      </c>
      <c r="C202" s="15">
        <f t="shared" si="43"/>
        <v>0.96602387511478416</v>
      </c>
      <c r="D202" s="15">
        <f t="shared" si="44"/>
        <v>0.97588126159554733</v>
      </c>
      <c r="E202" s="15">
        <f t="shared" si="45"/>
        <v>0.98989898989898994</v>
      </c>
      <c r="F202" s="16"/>
      <c r="G202" s="16"/>
      <c r="H202" s="16">
        <v>4356</v>
      </c>
      <c r="I202" s="16">
        <f t="shared" si="47"/>
        <v>44</v>
      </c>
      <c r="J202" s="16">
        <v>4312</v>
      </c>
      <c r="K202" s="16">
        <v>4208</v>
      </c>
      <c r="L202" s="16">
        <f t="shared" si="46"/>
        <v>104</v>
      </c>
    </row>
    <row r="203" spans="1:12" s="18" customFormat="1" ht="15" customHeight="1">
      <c r="A203" s="82">
        <v>2009</v>
      </c>
      <c r="B203" s="83" t="s">
        <v>41</v>
      </c>
      <c r="C203" s="15">
        <f t="shared" si="43"/>
        <v>0.98262243285939965</v>
      </c>
      <c r="D203" s="15">
        <f t="shared" si="44"/>
        <v>0.98864668483197093</v>
      </c>
      <c r="E203" s="15">
        <f t="shared" si="45"/>
        <v>0.99390656736628302</v>
      </c>
      <c r="F203" s="16"/>
      <c r="G203" s="16"/>
      <c r="H203" s="16">
        <v>4431</v>
      </c>
      <c r="I203" s="16">
        <f t="shared" si="47"/>
        <v>27</v>
      </c>
      <c r="J203" s="16">
        <v>4404</v>
      </c>
      <c r="K203" s="16">
        <v>4354</v>
      </c>
      <c r="L203" s="16">
        <f t="shared" si="46"/>
        <v>50</v>
      </c>
    </row>
    <row r="204" spans="1:12" s="18" customFormat="1" ht="15" customHeight="1">
      <c r="A204" s="82">
        <v>2009</v>
      </c>
      <c r="B204" s="83" t="s">
        <v>42</v>
      </c>
      <c r="C204" s="15">
        <f t="shared" si="43"/>
        <v>0.98129353233830841</v>
      </c>
      <c r="D204" s="15">
        <f t="shared" si="44"/>
        <v>0.9848212502496505</v>
      </c>
      <c r="E204" s="15">
        <f t="shared" si="45"/>
        <v>0.99641791044776118</v>
      </c>
      <c r="F204" s="16"/>
      <c r="G204" s="16"/>
      <c r="H204" s="16">
        <v>5025</v>
      </c>
      <c r="I204" s="16">
        <f t="shared" si="47"/>
        <v>18</v>
      </c>
      <c r="J204" s="16">
        <v>5007</v>
      </c>
      <c r="K204" s="16">
        <v>4931</v>
      </c>
      <c r="L204" s="16">
        <f t="shared" si="46"/>
        <v>76</v>
      </c>
    </row>
    <row r="205" spans="1:12" s="18" customFormat="1" ht="15" customHeight="1">
      <c r="A205" s="82">
        <v>2009</v>
      </c>
      <c r="B205" s="83" t="s">
        <v>43</v>
      </c>
      <c r="C205" s="15">
        <f t="shared" si="43"/>
        <v>0.95592065718292929</v>
      </c>
      <c r="D205" s="15">
        <f t="shared" si="44"/>
        <v>0.97387221882016739</v>
      </c>
      <c r="E205" s="15">
        <f t="shared" si="45"/>
        <v>0.98156682027649766</v>
      </c>
      <c r="F205" s="16"/>
      <c r="G205" s="16"/>
      <c r="H205" s="16">
        <v>4991</v>
      </c>
      <c r="I205" s="16">
        <f t="shared" si="47"/>
        <v>92</v>
      </c>
      <c r="J205" s="16">
        <v>4899</v>
      </c>
      <c r="K205" s="16">
        <v>4771</v>
      </c>
      <c r="L205" s="16">
        <f t="shared" si="46"/>
        <v>128</v>
      </c>
    </row>
    <row r="206" spans="1:12" s="18" customFormat="1" ht="15" customHeight="1">
      <c r="A206" s="82">
        <v>2009</v>
      </c>
      <c r="B206" s="83" t="s">
        <v>44</v>
      </c>
      <c r="C206" s="15">
        <f t="shared" si="43"/>
        <v>0.9833398667189337</v>
      </c>
      <c r="D206" s="15">
        <f t="shared" si="44"/>
        <v>0.98469087340529926</v>
      </c>
      <c r="E206" s="15">
        <f t="shared" si="45"/>
        <v>0.99862798902391214</v>
      </c>
      <c r="F206" s="16"/>
      <c r="G206" s="16"/>
      <c r="H206" s="16">
        <v>5102</v>
      </c>
      <c r="I206" s="16">
        <f t="shared" si="47"/>
        <v>7</v>
      </c>
      <c r="J206" s="16">
        <v>5095</v>
      </c>
      <c r="K206" s="16">
        <v>5017</v>
      </c>
      <c r="L206" s="16">
        <f t="shared" si="46"/>
        <v>78</v>
      </c>
    </row>
    <row r="207" spans="1:12" s="18" customFormat="1" ht="15" customHeight="1">
      <c r="A207" s="82">
        <v>2009</v>
      </c>
      <c r="B207" s="83" t="s">
        <v>45</v>
      </c>
      <c r="C207" s="15">
        <f t="shared" si="43"/>
        <v>0.96633392053239386</v>
      </c>
      <c r="D207" s="15">
        <f t="shared" si="44"/>
        <v>0.96822906452245538</v>
      </c>
      <c r="E207" s="15">
        <f t="shared" si="45"/>
        <v>0.99804266979839495</v>
      </c>
      <c r="F207" s="16"/>
      <c r="G207" s="16"/>
      <c r="H207" s="16">
        <v>5109</v>
      </c>
      <c r="I207" s="16">
        <f t="shared" si="47"/>
        <v>10</v>
      </c>
      <c r="J207" s="16">
        <v>5099</v>
      </c>
      <c r="K207" s="16">
        <v>4937</v>
      </c>
      <c r="L207" s="16">
        <f t="shared" si="46"/>
        <v>162</v>
      </c>
    </row>
    <row r="208" spans="1:12" s="18" customFormat="1" ht="15" customHeight="1">
      <c r="A208" s="82">
        <v>2009</v>
      </c>
      <c r="B208" s="83" t="s">
        <v>46</v>
      </c>
      <c r="C208" s="15">
        <f t="shared" si="43"/>
        <v>0.961677367576244</v>
      </c>
      <c r="D208" s="15">
        <f t="shared" si="44"/>
        <v>0.97083248936601174</v>
      </c>
      <c r="E208" s="15">
        <f t="shared" si="45"/>
        <v>0.990569823434992</v>
      </c>
      <c r="F208" s="16"/>
      <c r="G208" s="16"/>
      <c r="H208" s="16">
        <v>4984</v>
      </c>
      <c r="I208" s="16">
        <f t="shared" si="47"/>
        <v>47</v>
      </c>
      <c r="J208" s="16">
        <v>4937</v>
      </c>
      <c r="K208" s="16">
        <v>4793</v>
      </c>
      <c r="L208" s="16">
        <f t="shared" si="46"/>
        <v>144</v>
      </c>
    </row>
    <row r="209" spans="1:12" s="18" customFormat="1" ht="15" customHeight="1">
      <c r="A209" s="82">
        <v>2009</v>
      </c>
      <c r="B209" s="83" t="s">
        <v>47</v>
      </c>
      <c r="C209" s="15">
        <f t="shared" si="43"/>
        <v>0.97416896040652123</v>
      </c>
      <c r="D209" s="15">
        <f t="shared" si="44"/>
        <v>0.98501391564975382</v>
      </c>
      <c r="E209" s="15">
        <f t="shared" si="45"/>
        <v>0.98899004869786156</v>
      </c>
      <c r="F209" s="16"/>
      <c r="G209" s="16"/>
      <c r="H209" s="16">
        <v>4723</v>
      </c>
      <c r="I209" s="16">
        <f t="shared" si="47"/>
        <v>52</v>
      </c>
      <c r="J209" s="16">
        <v>4671</v>
      </c>
      <c r="K209" s="16">
        <v>4601</v>
      </c>
      <c r="L209" s="16">
        <f t="shared" si="46"/>
        <v>70</v>
      </c>
    </row>
    <row r="210" spans="1:12" s="18" customFormat="1" ht="15" customHeight="1">
      <c r="A210" s="82">
        <v>2010</v>
      </c>
      <c r="B210" s="83" t="s">
        <v>36</v>
      </c>
      <c r="C210" s="15">
        <f t="shared" si="43"/>
        <v>0.98090316782745446</v>
      </c>
      <c r="D210" s="15">
        <f t="shared" si="44"/>
        <v>0.98488608166027525</v>
      </c>
      <c r="E210" s="15">
        <f t="shared" si="45"/>
        <v>0.99595596495169625</v>
      </c>
      <c r="F210" s="16"/>
      <c r="G210" s="16"/>
      <c r="H210" s="16">
        <v>4451</v>
      </c>
      <c r="I210" s="16">
        <f t="shared" ref="I210:I220" si="48">H210-J210</f>
        <v>18</v>
      </c>
      <c r="J210" s="16">
        <v>4433</v>
      </c>
      <c r="K210" s="16">
        <v>4366</v>
      </c>
      <c r="L210" s="16">
        <f t="shared" ref="L210:L221" si="49">J210-K210</f>
        <v>67</v>
      </c>
    </row>
    <row r="211" spans="1:12" s="18" customFormat="1" ht="15" customHeight="1">
      <c r="A211" s="82">
        <v>2010</v>
      </c>
      <c r="B211" s="83" t="s">
        <v>37</v>
      </c>
      <c r="C211" s="15">
        <f t="shared" si="43"/>
        <v>0.96088129496402874</v>
      </c>
      <c r="D211" s="15">
        <f t="shared" si="44"/>
        <v>0.97357630979498866</v>
      </c>
      <c r="E211" s="15">
        <f t="shared" si="45"/>
        <v>0.98696043165467628</v>
      </c>
      <c r="F211" s="16"/>
      <c r="G211" s="16"/>
      <c r="H211" s="16">
        <v>4448</v>
      </c>
      <c r="I211" s="16">
        <f t="shared" si="48"/>
        <v>58</v>
      </c>
      <c r="J211" s="16">
        <v>4390</v>
      </c>
      <c r="K211" s="16">
        <v>4274</v>
      </c>
      <c r="L211" s="16">
        <f t="shared" si="49"/>
        <v>116</v>
      </c>
    </row>
    <row r="212" spans="1:12" s="18" customFormat="1" ht="15" customHeight="1">
      <c r="A212" s="82">
        <v>2010</v>
      </c>
      <c r="B212" s="83" t="s">
        <v>38</v>
      </c>
      <c r="C212" s="15">
        <f t="shared" si="43"/>
        <v>0.98010814986481265</v>
      </c>
      <c r="D212" s="15">
        <f t="shared" si="44"/>
        <v>0.9840992825286019</v>
      </c>
      <c r="E212" s="15">
        <f t="shared" si="45"/>
        <v>0.9959443800695249</v>
      </c>
      <c r="F212" s="16"/>
      <c r="G212" s="16"/>
      <c r="H212" s="16">
        <v>5178</v>
      </c>
      <c r="I212" s="16">
        <f t="shared" si="48"/>
        <v>21</v>
      </c>
      <c r="J212" s="16">
        <v>5157</v>
      </c>
      <c r="K212" s="16">
        <v>5075</v>
      </c>
      <c r="L212" s="16">
        <f t="shared" si="49"/>
        <v>82</v>
      </c>
    </row>
    <row r="213" spans="1:12" s="18" customFormat="1" ht="15" customHeight="1">
      <c r="A213" s="82">
        <v>2010</v>
      </c>
      <c r="B213" s="83" t="s">
        <v>39</v>
      </c>
      <c r="C213" s="15">
        <f t="shared" si="43"/>
        <v>0.97822547822547823</v>
      </c>
      <c r="D213" s="15">
        <f t="shared" si="44"/>
        <v>0.98302658486707561</v>
      </c>
      <c r="E213" s="15">
        <f t="shared" si="45"/>
        <v>0.99511599511599513</v>
      </c>
      <c r="F213" s="16"/>
      <c r="G213" s="16"/>
      <c r="H213" s="16">
        <v>4914</v>
      </c>
      <c r="I213" s="16">
        <f t="shared" si="48"/>
        <v>24</v>
      </c>
      <c r="J213" s="16">
        <v>4890</v>
      </c>
      <c r="K213" s="16">
        <v>4807</v>
      </c>
      <c r="L213" s="16">
        <f t="shared" si="49"/>
        <v>83</v>
      </c>
    </row>
    <row r="214" spans="1:12" s="18" customFormat="1" ht="15" customHeight="1">
      <c r="A214" s="82">
        <v>2010</v>
      </c>
      <c r="B214" s="83" t="s">
        <v>40</v>
      </c>
      <c r="C214" s="15">
        <f t="shared" si="43"/>
        <v>0.96951472418083784</v>
      </c>
      <c r="D214" s="15">
        <f t="shared" si="44"/>
        <v>0.97660330060580736</v>
      </c>
      <c r="E214" s="15">
        <f t="shared" si="45"/>
        <v>0.99274160099543762</v>
      </c>
      <c r="F214" s="16"/>
      <c r="G214" s="16"/>
      <c r="H214" s="16">
        <v>4822</v>
      </c>
      <c r="I214" s="16">
        <f t="shared" si="48"/>
        <v>35</v>
      </c>
      <c r="J214" s="16">
        <v>4787</v>
      </c>
      <c r="K214" s="16">
        <v>4675</v>
      </c>
      <c r="L214" s="16">
        <f t="shared" si="49"/>
        <v>112</v>
      </c>
    </row>
    <row r="215" spans="1:12" s="18" customFormat="1" ht="15" customHeight="1">
      <c r="A215" s="82">
        <v>2010</v>
      </c>
      <c r="B215" s="83" t="s">
        <v>41</v>
      </c>
      <c r="C215" s="15">
        <f t="shared" si="43"/>
        <v>0.97993176801123816</v>
      </c>
      <c r="D215" s="15">
        <f t="shared" si="44"/>
        <v>0.98328634716069274</v>
      </c>
      <c r="E215" s="15">
        <f t="shared" si="45"/>
        <v>0.99658840056191045</v>
      </c>
      <c r="F215" s="16"/>
      <c r="G215" s="16"/>
      <c r="H215" s="16">
        <v>4983</v>
      </c>
      <c r="I215" s="16">
        <f t="shared" si="48"/>
        <v>17</v>
      </c>
      <c r="J215" s="16">
        <v>4966</v>
      </c>
      <c r="K215" s="16">
        <v>4883</v>
      </c>
      <c r="L215" s="16">
        <f t="shared" si="49"/>
        <v>83</v>
      </c>
    </row>
    <row r="216" spans="1:12" s="18" customFormat="1" ht="15" customHeight="1">
      <c r="A216" s="82">
        <v>2010</v>
      </c>
      <c r="B216" s="83" t="s">
        <v>42</v>
      </c>
      <c r="C216" s="15">
        <f t="shared" si="43"/>
        <v>0.97201017811704837</v>
      </c>
      <c r="D216" s="15">
        <f t="shared" si="44"/>
        <v>0.98317164917838051</v>
      </c>
      <c r="E216" s="15">
        <f t="shared" si="45"/>
        <v>0.98864748483069098</v>
      </c>
      <c r="F216" s="16"/>
      <c r="G216" s="16"/>
      <c r="H216" s="16">
        <v>5109</v>
      </c>
      <c r="I216" s="16">
        <f t="shared" si="48"/>
        <v>58</v>
      </c>
      <c r="J216" s="16">
        <v>5051</v>
      </c>
      <c r="K216" s="16">
        <v>4966</v>
      </c>
      <c r="L216" s="16">
        <f t="shared" si="49"/>
        <v>85</v>
      </c>
    </row>
    <row r="217" spans="1:12" s="18" customFormat="1" ht="15" customHeight="1">
      <c r="A217" s="82">
        <v>2010</v>
      </c>
      <c r="B217" s="83" t="s">
        <v>43</v>
      </c>
      <c r="C217" s="15">
        <f t="shared" si="43"/>
        <v>0.97885375494071147</v>
      </c>
      <c r="D217" s="15">
        <f t="shared" si="44"/>
        <v>0.98293312165112123</v>
      </c>
      <c r="E217" s="15">
        <f t="shared" si="45"/>
        <v>0.99584980237154153</v>
      </c>
      <c r="F217" s="16"/>
      <c r="G217" s="16"/>
      <c r="H217" s="16">
        <v>5060</v>
      </c>
      <c r="I217" s="16">
        <f t="shared" si="48"/>
        <v>21</v>
      </c>
      <c r="J217" s="16">
        <v>5039</v>
      </c>
      <c r="K217" s="16">
        <v>4953</v>
      </c>
      <c r="L217" s="16">
        <f t="shared" si="49"/>
        <v>86</v>
      </c>
    </row>
    <row r="218" spans="1:12" s="18" customFormat="1" ht="15" customHeight="1">
      <c r="A218" s="82">
        <v>2010</v>
      </c>
      <c r="B218" s="83" t="s">
        <v>44</v>
      </c>
      <c r="C218" s="15">
        <f t="shared" si="43"/>
        <v>0.97255978047824387</v>
      </c>
      <c r="D218" s="15">
        <f t="shared" si="44"/>
        <v>0.97927767910005925</v>
      </c>
      <c r="E218" s="15">
        <f t="shared" si="45"/>
        <v>0.99313994511956094</v>
      </c>
      <c r="F218" s="16"/>
      <c r="G218" s="16"/>
      <c r="H218" s="16">
        <v>5102</v>
      </c>
      <c r="I218" s="16">
        <f t="shared" si="48"/>
        <v>35</v>
      </c>
      <c r="J218" s="16">
        <v>5067</v>
      </c>
      <c r="K218" s="16">
        <v>4962</v>
      </c>
      <c r="L218" s="16">
        <f t="shared" si="49"/>
        <v>105</v>
      </c>
    </row>
    <row r="219" spans="1:12" s="18" customFormat="1" ht="15" customHeight="1">
      <c r="A219" s="82">
        <v>2010</v>
      </c>
      <c r="B219" s="83" t="s">
        <v>45</v>
      </c>
      <c r="C219" s="15">
        <f t="shared" si="43"/>
        <v>0.98624794745484401</v>
      </c>
      <c r="D219" s="15">
        <f t="shared" si="44"/>
        <v>0.99174406604747167</v>
      </c>
      <c r="E219" s="15">
        <f t="shared" si="45"/>
        <v>0.99445812807881773</v>
      </c>
      <c r="F219" s="16"/>
      <c r="G219" s="16"/>
      <c r="H219" s="16">
        <v>4872</v>
      </c>
      <c r="I219" s="16">
        <f t="shared" si="48"/>
        <v>27</v>
      </c>
      <c r="J219" s="16">
        <v>4845</v>
      </c>
      <c r="K219" s="16">
        <v>4805</v>
      </c>
      <c r="L219" s="16">
        <f t="shared" si="49"/>
        <v>40</v>
      </c>
    </row>
    <row r="220" spans="1:12" s="18" customFormat="1" ht="15" customHeight="1">
      <c r="A220" s="82">
        <v>2010</v>
      </c>
      <c r="B220" s="83" t="s">
        <v>46</v>
      </c>
      <c r="C220" s="15">
        <f t="shared" si="43"/>
        <v>0.95986353602247643</v>
      </c>
      <c r="D220" s="15">
        <f t="shared" si="44"/>
        <v>0.97116751269035528</v>
      </c>
      <c r="E220" s="15">
        <f t="shared" si="45"/>
        <v>0.98836042544651814</v>
      </c>
      <c r="F220" s="16"/>
      <c r="G220" s="16"/>
      <c r="H220" s="16">
        <v>4983</v>
      </c>
      <c r="I220" s="16">
        <f t="shared" si="48"/>
        <v>58</v>
      </c>
      <c r="J220" s="16">
        <v>4925</v>
      </c>
      <c r="K220" s="16">
        <v>4783</v>
      </c>
      <c r="L220" s="16">
        <f t="shared" si="49"/>
        <v>142</v>
      </c>
    </row>
    <row r="221" spans="1:12" s="18" customFormat="1" ht="15" customHeight="1">
      <c r="A221" s="82">
        <v>2010</v>
      </c>
      <c r="B221" s="83" t="s">
        <v>47</v>
      </c>
      <c r="C221" s="15">
        <f t="shared" si="43"/>
        <v>0.93271656854499585</v>
      </c>
      <c r="D221" s="15">
        <f t="shared" si="44"/>
        <v>0.97387486278814495</v>
      </c>
      <c r="E221" s="15">
        <f t="shared" si="45"/>
        <v>0.95773759461732544</v>
      </c>
      <c r="F221" s="16"/>
      <c r="G221" s="16"/>
      <c r="H221" s="16">
        <v>4756</v>
      </c>
      <c r="I221" s="16">
        <f>H221-J221</f>
        <v>201</v>
      </c>
      <c r="J221" s="16">
        <v>4555</v>
      </c>
      <c r="K221" s="16">
        <v>4436</v>
      </c>
      <c r="L221" s="16">
        <f t="shared" si="49"/>
        <v>119</v>
      </c>
    </row>
    <row r="222" spans="1:12" s="18" customFormat="1" ht="15" customHeight="1">
      <c r="A222" s="82">
        <v>2011</v>
      </c>
      <c r="B222" s="83" t="s">
        <v>36</v>
      </c>
      <c r="C222" s="15">
        <f t="shared" si="43"/>
        <v>0.95141969831410822</v>
      </c>
      <c r="D222" s="15">
        <f t="shared" si="44"/>
        <v>0.96860885275519426</v>
      </c>
      <c r="E222" s="15">
        <f t="shared" si="45"/>
        <v>0.98225377107364686</v>
      </c>
      <c r="F222" s="16"/>
      <c r="G222" s="16"/>
      <c r="H222" s="16">
        <v>4508</v>
      </c>
      <c r="I222" s="16">
        <f>H222-J222</f>
        <v>80</v>
      </c>
      <c r="J222" s="16">
        <v>4428</v>
      </c>
      <c r="K222" s="16">
        <v>4289</v>
      </c>
      <c r="L222" s="16">
        <f t="shared" ref="L222:L233" si="50">J222-K222</f>
        <v>139</v>
      </c>
    </row>
    <row r="223" spans="1:12" s="18" customFormat="1" ht="15" customHeight="1">
      <c r="A223" s="82">
        <v>2011</v>
      </c>
      <c r="B223" s="83" t="s">
        <v>37</v>
      </c>
      <c r="C223" s="15">
        <f t="shared" si="43"/>
        <v>0.9523703041144902</v>
      </c>
      <c r="D223" s="15">
        <f t="shared" si="44"/>
        <v>0.98156257202120301</v>
      </c>
      <c r="E223" s="15">
        <f t="shared" si="45"/>
        <v>0.97025939177101972</v>
      </c>
      <c r="F223" s="16"/>
      <c r="G223" s="16"/>
      <c r="H223" s="16">
        <v>4472</v>
      </c>
      <c r="I223" s="16">
        <f t="shared" ref="I223:I233" si="51">H223-J223</f>
        <v>133</v>
      </c>
      <c r="J223" s="16">
        <v>4339</v>
      </c>
      <c r="K223" s="16">
        <v>4259</v>
      </c>
      <c r="L223" s="16">
        <f t="shared" si="50"/>
        <v>80</v>
      </c>
    </row>
    <row r="224" spans="1:12" s="18" customFormat="1" ht="15" customHeight="1">
      <c r="A224" s="82">
        <v>2011</v>
      </c>
      <c r="B224" s="83" t="s">
        <v>38</v>
      </c>
      <c r="C224" s="15">
        <f t="shared" si="43"/>
        <v>0.97510889856876171</v>
      </c>
      <c r="D224" s="15">
        <f t="shared" si="44"/>
        <v>0.97794882463074684</v>
      </c>
      <c r="E224" s="15">
        <f t="shared" si="45"/>
        <v>0.9970960381663555</v>
      </c>
      <c r="F224" s="16"/>
      <c r="G224" s="16"/>
      <c r="H224" s="16">
        <v>4821</v>
      </c>
      <c r="I224" s="16">
        <f t="shared" si="51"/>
        <v>14</v>
      </c>
      <c r="J224" s="16">
        <v>4807</v>
      </c>
      <c r="K224" s="16">
        <v>4701</v>
      </c>
      <c r="L224" s="16">
        <f t="shared" si="50"/>
        <v>106</v>
      </c>
    </row>
    <row r="225" spans="1:12" s="18" customFormat="1" ht="15" customHeight="1">
      <c r="A225" s="82">
        <v>2011</v>
      </c>
      <c r="B225" s="83" t="s">
        <v>39</v>
      </c>
      <c r="C225" s="15">
        <f t="shared" si="43"/>
        <v>0.92596454640250259</v>
      </c>
      <c r="D225" s="15">
        <f t="shared" si="44"/>
        <v>0.93631379164909323</v>
      </c>
      <c r="E225" s="15">
        <f t="shared" si="45"/>
        <v>0.98894681960375386</v>
      </c>
      <c r="F225" s="16"/>
      <c r="G225" s="16"/>
      <c r="H225" s="16">
        <v>4795</v>
      </c>
      <c r="I225" s="16">
        <f t="shared" si="51"/>
        <v>53</v>
      </c>
      <c r="J225" s="16">
        <v>4742</v>
      </c>
      <c r="K225" s="16">
        <v>4440</v>
      </c>
      <c r="L225" s="16">
        <f t="shared" si="50"/>
        <v>302</v>
      </c>
    </row>
    <row r="226" spans="1:12" s="18" customFormat="1" ht="15" customHeight="1">
      <c r="A226" s="82">
        <v>2011</v>
      </c>
      <c r="B226" s="83" t="s">
        <v>40</v>
      </c>
      <c r="C226" s="15">
        <f t="shared" si="43"/>
        <v>0.96659418857481716</v>
      </c>
      <c r="D226" s="15">
        <f t="shared" si="44"/>
        <v>0.96870047543581617</v>
      </c>
      <c r="E226" s="15">
        <f t="shared" si="45"/>
        <v>0.99782565724451477</v>
      </c>
      <c r="F226" s="16"/>
      <c r="G226" s="16"/>
      <c r="H226" s="16">
        <v>5059</v>
      </c>
      <c r="I226" s="16">
        <f t="shared" si="51"/>
        <v>11</v>
      </c>
      <c r="J226" s="16">
        <v>5048</v>
      </c>
      <c r="K226" s="16">
        <v>4890</v>
      </c>
      <c r="L226" s="16">
        <f t="shared" si="50"/>
        <v>158</v>
      </c>
    </row>
    <row r="227" spans="1:12" s="18" customFormat="1" ht="15" customHeight="1">
      <c r="A227" s="82">
        <v>2011</v>
      </c>
      <c r="B227" s="83" t="s">
        <v>41</v>
      </c>
      <c r="C227" s="15">
        <f t="shared" si="43"/>
        <v>0.96026490066225167</v>
      </c>
      <c r="D227" s="15">
        <f t="shared" si="44"/>
        <v>0.96744844318641321</v>
      </c>
      <c r="E227" s="15">
        <f t="shared" si="45"/>
        <v>0.99257475416415819</v>
      </c>
      <c r="F227" s="16"/>
      <c r="G227" s="16"/>
      <c r="H227" s="16">
        <v>4983</v>
      </c>
      <c r="I227" s="16">
        <f t="shared" si="51"/>
        <v>37</v>
      </c>
      <c r="J227" s="16">
        <v>4946</v>
      </c>
      <c r="K227" s="16">
        <v>4785</v>
      </c>
      <c r="L227" s="16">
        <f t="shared" si="50"/>
        <v>161</v>
      </c>
    </row>
    <row r="228" spans="1:12" s="18" customFormat="1" ht="15" customHeight="1">
      <c r="A228" s="82">
        <v>2011</v>
      </c>
      <c r="B228" s="83" t="s">
        <v>42</v>
      </c>
      <c r="C228" s="15">
        <f t="shared" si="43"/>
        <v>0.96877470355731221</v>
      </c>
      <c r="D228" s="15">
        <f t="shared" si="44"/>
        <v>0.97397178621100733</v>
      </c>
      <c r="E228" s="15">
        <f t="shared" si="45"/>
        <v>0.99466403162055339</v>
      </c>
      <c r="F228" s="16"/>
      <c r="G228" s="16"/>
      <c r="H228" s="16">
        <v>5060</v>
      </c>
      <c r="I228" s="16">
        <f t="shared" si="51"/>
        <v>27</v>
      </c>
      <c r="J228" s="16">
        <v>5033</v>
      </c>
      <c r="K228" s="16">
        <v>4902</v>
      </c>
      <c r="L228" s="16">
        <f t="shared" si="50"/>
        <v>131</v>
      </c>
    </row>
    <row r="229" spans="1:12" s="18" customFormat="1" ht="15" customHeight="1">
      <c r="A229" s="82">
        <v>2011</v>
      </c>
      <c r="B229" s="83" t="s">
        <v>43</v>
      </c>
      <c r="C229" s="15">
        <f t="shared" si="43"/>
        <v>0.96910003862495175</v>
      </c>
      <c r="D229" s="15">
        <f t="shared" si="44"/>
        <v>0.97493685642121619</v>
      </c>
      <c r="E229" s="15">
        <f t="shared" si="45"/>
        <v>0.99401313248358436</v>
      </c>
      <c r="F229" s="16"/>
      <c r="G229" s="16"/>
      <c r="H229" s="16">
        <v>5178</v>
      </c>
      <c r="I229" s="16">
        <f t="shared" si="51"/>
        <v>31</v>
      </c>
      <c r="J229" s="16">
        <v>5147</v>
      </c>
      <c r="K229" s="16">
        <v>5018</v>
      </c>
      <c r="L229" s="16">
        <f t="shared" si="50"/>
        <v>129</v>
      </c>
    </row>
    <row r="230" spans="1:12" s="18" customFormat="1" ht="15" customHeight="1">
      <c r="A230" s="82">
        <v>2011</v>
      </c>
      <c r="B230" s="83" t="s">
        <v>44</v>
      </c>
      <c r="C230" s="15">
        <f t="shared" si="43"/>
        <v>0.96824774598196783</v>
      </c>
      <c r="D230" s="15">
        <f t="shared" si="44"/>
        <v>0.97551342812006314</v>
      </c>
      <c r="E230" s="15">
        <f t="shared" si="45"/>
        <v>0.9925519404155233</v>
      </c>
      <c r="F230" s="16"/>
      <c r="G230" s="16"/>
      <c r="H230" s="16">
        <v>5102</v>
      </c>
      <c r="I230" s="16">
        <f t="shared" si="51"/>
        <v>38</v>
      </c>
      <c r="J230" s="16">
        <v>5064</v>
      </c>
      <c r="K230" s="16">
        <v>4940</v>
      </c>
      <c r="L230" s="16">
        <f t="shared" si="50"/>
        <v>124</v>
      </c>
    </row>
    <row r="231" spans="1:12" s="18" customFormat="1" ht="15" customHeight="1">
      <c r="A231" s="82">
        <v>2011</v>
      </c>
      <c r="B231" s="83" t="s">
        <v>45</v>
      </c>
      <c r="C231" s="15">
        <f t="shared" si="43"/>
        <v>0.98457223001402527</v>
      </c>
      <c r="D231" s="15">
        <f t="shared" si="44"/>
        <v>0.98714343109682601</v>
      </c>
      <c r="E231" s="15">
        <f t="shared" si="45"/>
        <v>0.99739531156080941</v>
      </c>
      <c r="F231" s="16"/>
      <c r="G231" s="16"/>
      <c r="H231" s="16">
        <v>4991</v>
      </c>
      <c r="I231" s="16">
        <f t="shared" si="51"/>
        <v>13</v>
      </c>
      <c r="J231" s="16">
        <v>4978</v>
      </c>
      <c r="K231" s="16">
        <v>4914</v>
      </c>
      <c r="L231" s="16">
        <f t="shared" si="50"/>
        <v>64</v>
      </c>
    </row>
    <row r="232" spans="1:12" s="18" customFormat="1" ht="15" customHeight="1">
      <c r="A232" s="82">
        <v>2011</v>
      </c>
      <c r="B232" s="83" t="s">
        <v>46</v>
      </c>
      <c r="C232" s="15">
        <f t="shared" si="43"/>
        <v>0.97993176801123816</v>
      </c>
      <c r="D232" s="15">
        <f t="shared" si="44"/>
        <v>0.98666397251970095</v>
      </c>
      <c r="E232" s="15">
        <f t="shared" si="45"/>
        <v>0.99317680112382101</v>
      </c>
      <c r="F232" s="16"/>
      <c r="G232" s="16"/>
      <c r="H232" s="16">
        <v>4983</v>
      </c>
      <c r="I232" s="16">
        <f t="shared" si="51"/>
        <v>34</v>
      </c>
      <c r="J232" s="16">
        <v>4949</v>
      </c>
      <c r="K232" s="16">
        <v>4883</v>
      </c>
      <c r="L232" s="16">
        <f t="shared" si="50"/>
        <v>66</v>
      </c>
    </row>
    <row r="233" spans="1:12" s="18" customFormat="1" ht="15" customHeight="1">
      <c r="A233" s="82">
        <v>2011</v>
      </c>
      <c r="B233" s="83" t="s">
        <v>47</v>
      </c>
      <c r="C233" s="15">
        <f t="shared" si="43"/>
        <v>0.96893291310220619</v>
      </c>
      <c r="D233" s="15">
        <f t="shared" si="44"/>
        <v>0.98287280200959126</v>
      </c>
      <c r="E233" s="15">
        <f t="shared" si="45"/>
        <v>0.98581719945970281</v>
      </c>
      <c r="F233" s="16"/>
      <c r="G233" s="16"/>
      <c r="H233" s="16">
        <v>4442</v>
      </c>
      <c r="I233" s="16">
        <f t="shared" si="51"/>
        <v>63</v>
      </c>
      <c r="J233" s="16">
        <v>4379</v>
      </c>
      <c r="K233" s="16">
        <v>4304</v>
      </c>
      <c r="L233" s="16">
        <f t="shared" si="50"/>
        <v>75</v>
      </c>
    </row>
    <row r="234" spans="1:12" s="18" customFormat="1" ht="15" customHeight="1">
      <c r="A234" s="82">
        <v>2012</v>
      </c>
      <c r="B234" s="83" t="s">
        <v>36</v>
      </c>
      <c r="C234" s="15">
        <f t="shared" si="43"/>
        <v>0.8670432326743428</v>
      </c>
      <c r="D234" s="15">
        <f t="shared" si="44"/>
        <v>0.89064940861414865</v>
      </c>
      <c r="E234" s="15">
        <f t="shared" si="45"/>
        <v>0.97349554638279379</v>
      </c>
      <c r="F234" s="16"/>
      <c r="G234" s="16"/>
      <c r="H234" s="16">
        <v>4603</v>
      </c>
      <c r="I234" s="16">
        <f t="shared" ref="I234:I245" si="52">H234-J234</f>
        <v>122</v>
      </c>
      <c r="J234" s="16">
        <v>4481</v>
      </c>
      <c r="K234" s="16">
        <v>3991</v>
      </c>
      <c r="L234" s="16">
        <f t="shared" ref="L234:L245" si="53">J234-K234</f>
        <v>490</v>
      </c>
    </row>
    <row r="235" spans="1:12" s="18" customFormat="1" ht="15" customHeight="1">
      <c r="A235" s="82">
        <v>2012</v>
      </c>
      <c r="B235" s="83" t="s">
        <v>37</v>
      </c>
      <c r="C235" s="15">
        <f t="shared" si="43"/>
        <v>0.85763728657129668</v>
      </c>
      <c r="D235" s="15">
        <f t="shared" si="44"/>
        <v>0.86927034611786713</v>
      </c>
      <c r="E235" s="15">
        <f t="shared" si="45"/>
        <v>0.98661744347023539</v>
      </c>
      <c r="F235" s="16"/>
      <c r="G235" s="16"/>
      <c r="H235" s="16">
        <v>4334</v>
      </c>
      <c r="I235" s="16">
        <f t="shared" si="52"/>
        <v>58</v>
      </c>
      <c r="J235" s="16">
        <v>4276</v>
      </c>
      <c r="K235" s="16">
        <v>3717</v>
      </c>
      <c r="L235" s="16">
        <f t="shared" si="53"/>
        <v>559</v>
      </c>
    </row>
    <row r="236" spans="1:12" s="18" customFormat="1" ht="15" customHeight="1">
      <c r="A236" s="82">
        <v>2012</v>
      </c>
      <c r="B236" s="83" t="s">
        <v>38</v>
      </c>
      <c r="C236" s="15">
        <f t="shared" si="43"/>
        <v>0.82889146388567014</v>
      </c>
      <c r="D236" s="15">
        <f t="shared" si="44"/>
        <v>0.85006932065755592</v>
      </c>
      <c r="E236" s="15">
        <f t="shared" si="45"/>
        <v>0.97508690614136728</v>
      </c>
      <c r="F236" s="16"/>
      <c r="G236" s="16"/>
      <c r="H236" s="16">
        <v>5178</v>
      </c>
      <c r="I236" s="16">
        <f t="shared" si="52"/>
        <v>129</v>
      </c>
      <c r="J236" s="16">
        <v>5049</v>
      </c>
      <c r="K236" s="16">
        <v>4292</v>
      </c>
      <c r="L236" s="16">
        <f t="shared" si="53"/>
        <v>757</v>
      </c>
    </row>
    <row r="237" spans="1:12" s="18" customFormat="1" ht="15" customHeight="1">
      <c r="A237" s="82">
        <v>2012</v>
      </c>
      <c r="B237" s="83" t="s">
        <v>39</v>
      </c>
      <c r="C237" s="15">
        <f t="shared" si="43"/>
        <v>0.89096094778411583</v>
      </c>
      <c r="D237" s="15">
        <f t="shared" si="44"/>
        <v>0.89627013904215402</v>
      </c>
      <c r="E237" s="15">
        <f t="shared" si="45"/>
        <v>0.99407634927599819</v>
      </c>
      <c r="F237" s="16"/>
      <c r="G237" s="16"/>
      <c r="H237" s="16">
        <v>4558</v>
      </c>
      <c r="I237" s="16">
        <f t="shared" si="52"/>
        <v>27</v>
      </c>
      <c r="J237" s="16">
        <v>4531</v>
      </c>
      <c r="K237" s="16">
        <v>4061</v>
      </c>
      <c r="L237" s="16">
        <f t="shared" si="53"/>
        <v>470</v>
      </c>
    </row>
    <row r="238" spans="1:12" s="18" customFormat="1" ht="15" customHeight="1">
      <c r="A238" s="82">
        <v>2012</v>
      </c>
      <c r="B238" s="83" t="s">
        <v>40</v>
      </c>
      <c r="C238" s="15">
        <f t="shared" si="43"/>
        <v>0.90927060683929628</v>
      </c>
      <c r="D238" s="15">
        <f t="shared" si="44"/>
        <v>0.91724825523429709</v>
      </c>
      <c r="E238" s="15">
        <f t="shared" si="45"/>
        <v>0.99130262897805888</v>
      </c>
      <c r="F238" s="16"/>
      <c r="G238" s="16"/>
      <c r="H238" s="16">
        <v>5059</v>
      </c>
      <c r="I238" s="16">
        <f t="shared" si="52"/>
        <v>44</v>
      </c>
      <c r="J238" s="16">
        <v>5015</v>
      </c>
      <c r="K238" s="16">
        <v>4600</v>
      </c>
      <c r="L238" s="16">
        <f t="shared" si="53"/>
        <v>415</v>
      </c>
    </row>
    <row r="239" spans="1:12" s="18" customFormat="1" ht="15" customHeight="1">
      <c r="A239" s="82">
        <v>2012</v>
      </c>
      <c r="B239" s="83" t="s">
        <v>41</v>
      </c>
      <c r="C239" s="15">
        <f t="shared" si="43"/>
        <v>0.91575091575091572</v>
      </c>
      <c r="D239" s="15">
        <f t="shared" si="44"/>
        <v>0.91930541368743612</v>
      </c>
      <c r="E239" s="15">
        <f t="shared" si="45"/>
        <v>0.99613349613349611</v>
      </c>
      <c r="F239" s="16"/>
      <c r="G239" s="16"/>
      <c r="H239" s="16">
        <v>4914</v>
      </c>
      <c r="I239" s="16">
        <f t="shared" si="52"/>
        <v>19</v>
      </c>
      <c r="J239" s="16">
        <v>4895</v>
      </c>
      <c r="K239" s="16">
        <v>4500</v>
      </c>
      <c r="L239" s="16">
        <f t="shared" si="53"/>
        <v>395</v>
      </c>
    </row>
    <row r="240" spans="1:12" s="18" customFormat="1" ht="15" customHeight="1">
      <c r="A240" s="82">
        <v>2012</v>
      </c>
      <c r="B240" s="83" t="s">
        <v>42</v>
      </c>
      <c r="C240" s="15">
        <f t="shared" si="43"/>
        <v>0.95928853754940713</v>
      </c>
      <c r="D240" s="15">
        <f t="shared" si="44"/>
        <v>0.96712492528392113</v>
      </c>
      <c r="E240" s="15">
        <f t="shared" si="45"/>
        <v>0.99189723320158107</v>
      </c>
      <c r="F240" s="16"/>
      <c r="G240" s="16"/>
      <c r="H240" s="16">
        <v>5060</v>
      </c>
      <c r="I240" s="16">
        <f t="shared" si="52"/>
        <v>41</v>
      </c>
      <c r="J240" s="16">
        <v>5019</v>
      </c>
      <c r="K240" s="16">
        <v>4854</v>
      </c>
      <c r="L240" s="16">
        <f t="shared" si="53"/>
        <v>165</v>
      </c>
    </row>
    <row r="241" spans="1:12" s="18" customFormat="1" ht="15" customHeight="1">
      <c r="A241" s="82">
        <v>2012</v>
      </c>
      <c r="B241" s="83" t="s">
        <v>43</v>
      </c>
      <c r="C241" s="15">
        <f t="shared" si="43"/>
        <v>0.97064503669370417</v>
      </c>
      <c r="D241" s="15">
        <f t="shared" si="44"/>
        <v>0.97384227862817285</v>
      </c>
      <c r="E241" s="15">
        <f t="shared" si="45"/>
        <v>0.99671687910390117</v>
      </c>
      <c r="F241" s="16"/>
      <c r="G241" s="16"/>
      <c r="H241" s="16">
        <v>5178</v>
      </c>
      <c r="I241" s="16">
        <f t="shared" si="52"/>
        <v>17</v>
      </c>
      <c r="J241" s="16">
        <v>5161</v>
      </c>
      <c r="K241" s="16">
        <v>5026</v>
      </c>
      <c r="L241" s="16">
        <f t="shared" si="53"/>
        <v>135</v>
      </c>
    </row>
    <row r="242" spans="1:12" s="18" customFormat="1" ht="15" customHeight="1">
      <c r="A242" s="82">
        <v>2012</v>
      </c>
      <c r="B242" s="83" t="s">
        <v>44</v>
      </c>
      <c r="C242" s="15">
        <f t="shared" si="43"/>
        <v>0.95454545454545459</v>
      </c>
      <c r="D242" s="15">
        <f t="shared" si="44"/>
        <v>0.9690939881456393</v>
      </c>
      <c r="E242" s="15">
        <f t="shared" si="45"/>
        <v>0.98498748957464555</v>
      </c>
      <c r="F242" s="16"/>
      <c r="G242" s="16"/>
      <c r="H242" s="16">
        <v>4796</v>
      </c>
      <c r="I242" s="16">
        <f t="shared" si="52"/>
        <v>72</v>
      </c>
      <c r="J242" s="16">
        <v>4724</v>
      </c>
      <c r="K242" s="16">
        <v>4578</v>
      </c>
      <c r="L242" s="16">
        <f t="shared" si="53"/>
        <v>146</v>
      </c>
    </row>
    <row r="243" spans="1:12" s="18" customFormat="1" ht="15" customHeight="1">
      <c r="A243" s="82">
        <v>2012</v>
      </c>
      <c r="B243" s="83" t="s">
        <v>45</v>
      </c>
      <c r="C243" s="15">
        <f t="shared" si="43"/>
        <v>0.95828505214368487</v>
      </c>
      <c r="D243" s="15">
        <f t="shared" si="44"/>
        <v>0.97179788484136309</v>
      </c>
      <c r="E243" s="15">
        <f t="shared" si="45"/>
        <v>0.98609501738122829</v>
      </c>
      <c r="F243" s="16"/>
      <c r="G243" s="16"/>
      <c r="H243" s="16">
        <v>5178</v>
      </c>
      <c r="I243" s="16">
        <f t="shared" si="52"/>
        <v>72</v>
      </c>
      <c r="J243" s="16">
        <v>5106</v>
      </c>
      <c r="K243" s="16">
        <v>4962</v>
      </c>
      <c r="L243" s="16">
        <f t="shared" si="53"/>
        <v>144</v>
      </c>
    </row>
    <row r="244" spans="1:12" s="18" customFormat="1" ht="15" customHeight="1">
      <c r="A244" s="82">
        <v>2012</v>
      </c>
      <c r="B244" s="83" t="s">
        <v>46</v>
      </c>
      <c r="C244" s="15">
        <f t="shared" si="43"/>
        <v>0.86293397551675699</v>
      </c>
      <c r="D244" s="15">
        <f t="shared" si="44"/>
        <v>0.94071319186173707</v>
      </c>
      <c r="E244" s="15">
        <f t="shared" si="45"/>
        <v>0.91731888420630148</v>
      </c>
      <c r="F244" s="16"/>
      <c r="G244" s="16"/>
      <c r="H244" s="16">
        <v>4983</v>
      </c>
      <c r="I244" s="16">
        <f t="shared" si="52"/>
        <v>412</v>
      </c>
      <c r="J244" s="16">
        <v>4571</v>
      </c>
      <c r="K244" s="16">
        <v>4300</v>
      </c>
      <c r="L244" s="16">
        <f t="shared" si="53"/>
        <v>271</v>
      </c>
    </row>
    <row r="245" spans="1:12" s="18" customFormat="1" ht="15" customHeight="1">
      <c r="A245" s="82">
        <v>2012</v>
      </c>
      <c r="B245" s="83" t="s">
        <v>47</v>
      </c>
      <c r="C245" s="15">
        <f t="shared" si="43"/>
        <v>0.91099476439790572</v>
      </c>
      <c r="D245" s="15">
        <f t="shared" si="44"/>
        <v>0.95558739255014324</v>
      </c>
      <c r="E245" s="15">
        <f t="shared" si="45"/>
        <v>0.9533348508991577</v>
      </c>
      <c r="F245" s="16"/>
      <c r="G245" s="16"/>
      <c r="H245" s="16">
        <v>4393</v>
      </c>
      <c r="I245" s="16">
        <f t="shared" si="52"/>
        <v>205</v>
      </c>
      <c r="J245" s="16">
        <v>4188</v>
      </c>
      <c r="K245" s="16">
        <v>4002</v>
      </c>
      <c r="L245" s="16">
        <f t="shared" si="53"/>
        <v>186</v>
      </c>
    </row>
    <row r="246" spans="1:12" s="18" customFormat="1" ht="15" customHeight="1">
      <c r="A246" s="82">
        <v>2013</v>
      </c>
      <c r="B246" s="83" t="s">
        <v>36</v>
      </c>
      <c r="C246" s="15">
        <f t="shared" si="43"/>
        <v>0.96516529842467269</v>
      </c>
      <c r="D246" s="15">
        <f t="shared" si="44"/>
        <v>0.98127678772840066</v>
      </c>
      <c r="E246" s="15">
        <f t="shared" si="45"/>
        <v>0.98358109607277566</v>
      </c>
      <c r="F246" s="16"/>
      <c r="G246" s="16"/>
      <c r="H246" s="16">
        <v>4507</v>
      </c>
      <c r="I246" s="16">
        <f t="shared" ref="I246:I257" si="54">H246-J246</f>
        <v>74</v>
      </c>
      <c r="J246" s="16">
        <v>4433</v>
      </c>
      <c r="K246" s="16">
        <v>4350</v>
      </c>
      <c r="L246" s="16">
        <f t="shared" ref="L246:L257" si="55">J246-K246</f>
        <v>83</v>
      </c>
    </row>
    <row r="247" spans="1:12" s="18" customFormat="1" ht="15" customHeight="1">
      <c r="A247" s="82">
        <v>2013</v>
      </c>
      <c r="B247" s="83" t="s">
        <v>37</v>
      </c>
      <c r="C247" s="15">
        <f t="shared" si="43"/>
        <v>0.90327203248149035</v>
      </c>
      <c r="D247" s="15">
        <f t="shared" si="44"/>
        <v>0.96528841245533437</v>
      </c>
      <c r="E247" s="15">
        <f t="shared" si="45"/>
        <v>0.93575352280869362</v>
      </c>
      <c r="F247" s="16"/>
      <c r="G247" s="16"/>
      <c r="H247" s="16">
        <v>4187</v>
      </c>
      <c r="I247" s="16">
        <f t="shared" si="54"/>
        <v>269</v>
      </c>
      <c r="J247" s="16">
        <v>3918</v>
      </c>
      <c r="K247" s="16">
        <v>3782</v>
      </c>
      <c r="L247" s="16">
        <f t="shared" si="55"/>
        <v>136</v>
      </c>
    </row>
    <row r="248" spans="1:12" s="18" customFormat="1" ht="15" customHeight="1">
      <c r="A248" s="82">
        <v>2013</v>
      </c>
      <c r="B248" s="83" t="s">
        <v>38</v>
      </c>
      <c r="C248" s="15">
        <f t="shared" si="43"/>
        <v>0.77565535460272306</v>
      </c>
      <c r="D248" s="15">
        <f t="shared" si="44"/>
        <v>0.84577886106802569</v>
      </c>
      <c r="E248" s="15">
        <f t="shared" si="45"/>
        <v>0.91709002235318027</v>
      </c>
      <c r="F248" s="16"/>
      <c r="G248" s="16"/>
      <c r="H248" s="16">
        <v>4921</v>
      </c>
      <c r="I248" s="16">
        <f t="shared" si="54"/>
        <v>408</v>
      </c>
      <c r="J248" s="16">
        <v>4513</v>
      </c>
      <c r="K248" s="16">
        <v>3817</v>
      </c>
      <c r="L248" s="16">
        <f t="shared" si="55"/>
        <v>696</v>
      </c>
    </row>
    <row r="249" spans="1:12" s="18" customFormat="1" ht="15" customHeight="1">
      <c r="A249" s="82">
        <v>2013</v>
      </c>
      <c r="B249" s="83" t="s">
        <v>39</v>
      </c>
      <c r="C249" s="15">
        <f t="shared" si="43"/>
        <v>0.91550164473684215</v>
      </c>
      <c r="D249" s="15">
        <f t="shared" si="44"/>
        <v>0.94163670966377666</v>
      </c>
      <c r="E249" s="15">
        <f t="shared" si="45"/>
        <v>0.97224506578947367</v>
      </c>
      <c r="F249" s="16"/>
      <c r="G249" s="16"/>
      <c r="H249" s="16">
        <v>4864</v>
      </c>
      <c r="I249" s="16">
        <f t="shared" si="54"/>
        <v>135</v>
      </c>
      <c r="J249" s="16">
        <v>4729</v>
      </c>
      <c r="K249" s="16">
        <v>4453</v>
      </c>
      <c r="L249" s="16">
        <f t="shared" si="55"/>
        <v>276</v>
      </c>
    </row>
    <row r="250" spans="1:12" s="18" customFormat="1" ht="15" customHeight="1">
      <c r="A250" s="82">
        <v>2013</v>
      </c>
      <c r="B250" s="83" t="s">
        <v>40</v>
      </c>
      <c r="C250" s="15">
        <f t="shared" si="43"/>
        <v>0.92901716068642748</v>
      </c>
      <c r="D250" s="15">
        <f t="shared" si="44"/>
        <v>0.93687315634218293</v>
      </c>
      <c r="E250" s="15">
        <f t="shared" si="45"/>
        <v>0.99161466458658343</v>
      </c>
      <c r="F250" s="16"/>
      <c r="G250" s="16"/>
      <c r="H250" s="16">
        <v>5128</v>
      </c>
      <c r="I250" s="16">
        <f t="shared" si="54"/>
        <v>43</v>
      </c>
      <c r="J250" s="16">
        <v>5085</v>
      </c>
      <c r="K250" s="16">
        <v>4764</v>
      </c>
      <c r="L250" s="16">
        <f t="shared" si="55"/>
        <v>321</v>
      </c>
    </row>
    <row r="251" spans="1:12" s="18" customFormat="1" ht="15" customHeight="1">
      <c r="A251" s="82">
        <v>2013</v>
      </c>
      <c r="B251" s="83" t="s">
        <v>41</v>
      </c>
      <c r="C251" s="15">
        <f t="shared" si="43"/>
        <v>0.88411374812914256</v>
      </c>
      <c r="D251" s="15">
        <f t="shared" si="44"/>
        <v>0.90699714849747748</v>
      </c>
      <c r="E251" s="15">
        <f t="shared" si="45"/>
        <v>0.97477015180671367</v>
      </c>
      <c r="F251" s="16"/>
      <c r="G251" s="16"/>
      <c r="H251" s="16">
        <v>4677</v>
      </c>
      <c r="I251" s="16">
        <f t="shared" si="54"/>
        <v>118</v>
      </c>
      <c r="J251" s="16">
        <v>4559</v>
      </c>
      <c r="K251" s="16">
        <v>4135</v>
      </c>
      <c r="L251" s="16">
        <f t="shared" si="55"/>
        <v>424</v>
      </c>
    </row>
    <row r="252" spans="1:12" s="18" customFormat="1" ht="15" customHeight="1">
      <c r="A252" s="82">
        <v>2013</v>
      </c>
      <c r="B252" s="83" t="s">
        <v>42</v>
      </c>
      <c r="C252" s="15">
        <f t="shared" si="43"/>
        <v>0.90459636925453846</v>
      </c>
      <c r="D252" s="15">
        <f t="shared" si="44"/>
        <v>0.92660731948565778</v>
      </c>
      <c r="E252" s="15">
        <f t="shared" si="45"/>
        <v>0.97624565469293167</v>
      </c>
      <c r="F252" s="16"/>
      <c r="G252" s="16"/>
      <c r="H252" s="16">
        <v>5178</v>
      </c>
      <c r="I252" s="16">
        <f t="shared" si="54"/>
        <v>123</v>
      </c>
      <c r="J252" s="16">
        <v>5055</v>
      </c>
      <c r="K252" s="16">
        <v>4684</v>
      </c>
      <c r="L252" s="16">
        <f t="shared" si="55"/>
        <v>371</v>
      </c>
    </row>
    <row r="253" spans="1:12" s="18" customFormat="1" ht="15" customHeight="1">
      <c r="A253" s="82">
        <v>2013</v>
      </c>
      <c r="B253" s="83" t="s">
        <v>43</v>
      </c>
      <c r="C253" s="15">
        <f t="shared" si="43"/>
        <v>0.92190252495596003</v>
      </c>
      <c r="D253" s="15">
        <f t="shared" si="44"/>
        <v>0.93600953895071537</v>
      </c>
      <c r="E253" s="15">
        <f t="shared" si="45"/>
        <v>0.98492855744764141</v>
      </c>
      <c r="F253" s="16"/>
      <c r="G253" s="16"/>
      <c r="H253" s="16">
        <v>5109</v>
      </c>
      <c r="I253" s="16">
        <f t="shared" si="54"/>
        <v>77</v>
      </c>
      <c r="J253" s="16">
        <v>5032</v>
      </c>
      <c r="K253" s="16">
        <v>4710</v>
      </c>
      <c r="L253" s="16">
        <f t="shared" si="55"/>
        <v>322</v>
      </c>
    </row>
    <row r="254" spans="1:12" s="18" customFormat="1" ht="15" customHeight="1">
      <c r="A254" s="82">
        <v>2013</v>
      </c>
      <c r="B254" s="83" t="s">
        <v>44</v>
      </c>
      <c r="C254" s="15">
        <f t="shared" si="43"/>
        <v>0.9079052969502408</v>
      </c>
      <c r="D254" s="15">
        <f t="shared" si="44"/>
        <v>0.928395568321707</v>
      </c>
      <c r="E254" s="15">
        <f t="shared" si="45"/>
        <v>0.9779293739967897</v>
      </c>
      <c r="F254" s="16"/>
      <c r="G254" s="16"/>
      <c r="H254" s="16">
        <v>4984</v>
      </c>
      <c r="I254" s="16">
        <f t="shared" si="54"/>
        <v>110</v>
      </c>
      <c r="J254" s="16">
        <v>4874</v>
      </c>
      <c r="K254" s="16">
        <v>4525</v>
      </c>
      <c r="L254" s="16">
        <f t="shared" si="55"/>
        <v>349</v>
      </c>
    </row>
    <row r="255" spans="1:12" s="18" customFormat="1" ht="15" customHeight="1">
      <c r="A255" s="82">
        <v>2013</v>
      </c>
      <c r="B255" s="83" t="s">
        <v>45</v>
      </c>
      <c r="C255" s="15">
        <f t="shared" si="43"/>
        <v>0.90556199304750873</v>
      </c>
      <c r="D255" s="15">
        <f t="shared" si="44"/>
        <v>0.92031403336604511</v>
      </c>
      <c r="E255" s="15">
        <f t="shared" si="45"/>
        <v>0.98397064503669374</v>
      </c>
      <c r="F255" s="16"/>
      <c r="G255" s="16"/>
      <c r="H255" s="16">
        <v>5178</v>
      </c>
      <c r="I255" s="16">
        <f t="shared" si="54"/>
        <v>83</v>
      </c>
      <c r="J255" s="16">
        <v>5095</v>
      </c>
      <c r="K255" s="16">
        <v>4689</v>
      </c>
      <c r="L255" s="16">
        <f t="shared" si="55"/>
        <v>406</v>
      </c>
    </row>
    <row r="256" spans="1:12" s="18" customFormat="1" ht="15" customHeight="1">
      <c r="A256" s="82">
        <v>2013</v>
      </c>
      <c r="B256" s="83" t="s">
        <v>46</v>
      </c>
      <c r="C256" s="15">
        <f t="shared" si="43"/>
        <v>0.5567765567765568</v>
      </c>
      <c r="D256" s="15">
        <f t="shared" si="44"/>
        <v>0.5802757158006363</v>
      </c>
      <c r="E256" s="15">
        <f t="shared" si="45"/>
        <v>0.9595034595034595</v>
      </c>
      <c r="F256" s="16"/>
      <c r="G256" s="16"/>
      <c r="H256" s="16">
        <v>4914</v>
      </c>
      <c r="I256" s="16">
        <f t="shared" si="54"/>
        <v>199</v>
      </c>
      <c r="J256" s="16">
        <v>4715</v>
      </c>
      <c r="K256" s="16">
        <v>2736</v>
      </c>
      <c r="L256" s="16">
        <f t="shared" si="55"/>
        <v>1979</v>
      </c>
    </row>
    <row r="257" spans="1:12" s="18" customFormat="1" ht="15" customHeight="1">
      <c r="A257" s="82">
        <v>2013</v>
      </c>
      <c r="B257" s="83" t="s">
        <v>47</v>
      </c>
      <c r="C257" s="15">
        <f t="shared" si="43"/>
        <v>0.71919278660369257</v>
      </c>
      <c r="D257" s="15">
        <f t="shared" si="44"/>
        <v>0.74676772180115913</v>
      </c>
      <c r="E257" s="15">
        <f t="shared" si="45"/>
        <v>0.96307428080721336</v>
      </c>
      <c r="F257" s="16"/>
      <c r="G257" s="16"/>
      <c r="H257" s="16">
        <v>4658</v>
      </c>
      <c r="I257" s="16">
        <f t="shared" si="54"/>
        <v>172</v>
      </c>
      <c r="J257" s="16">
        <v>4486</v>
      </c>
      <c r="K257" s="16">
        <v>3350</v>
      </c>
      <c r="L257" s="16">
        <f t="shared" si="55"/>
        <v>1136</v>
      </c>
    </row>
    <row r="258" spans="1:12" s="18" customFormat="1" ht="15" customHeight="1">
      <c r="A258" s="82">
        <v>2014</v>
      </c>
      <c r="B258" s="83" t="s">
        <v>36</v>
      </c>
      <c r="C258" s="15">
        <f t="shared" si="43"/>
        <v>0.90504128639721859</v>
      </c>
      <c r="D258" s="15">
        <f t="shared" si="44"/>
        <v>0.93679712100764734</v>
      </c>
      <c r="E258" s="15">
        <f t="shared" si="45"/>
        <v>0.96610169491525422</v>
      </c>
      <c r="F258" s="16"/>
      <c r="G258" s="16"/>
      <c r="H258" s="16">
        <v>4602</v>
      </c>
      <c r="I258" s="16">
        <f t="shared" ref="I258:I266" si="56">H258-J258</f>
        <v>156</v>
      </c>
      <c r="J258" s="16">
        <v>4446</v>
      </c>
      <c r="K258" s="16">
        <v>4165</v>
      </c>
      <c r="L258" s="16">
        <f t="shared" ref="L258:L269" si="57">J258-K258</f>
        <v>281</v>
      </c>
    </row>
    <row r="259" spans="1:12" s="18" customFormat="1" ht="15" customHeight="1">
      <c r="A259" s="82">
        <v>2014</v>
      </c>
      <c r="B259" s="83" t="s">
        <v>37</v>
      </c>
      <c r="C259" s="15">
        <f t="shared" si="43"/>
        <v>0.87273991655076499</v>
      </c>
      <c r="D259" s="15">
        <f t="shared" si="44"/>
        <v>0.9223419892209701</v>
      </c>
      <c r="E259" s="15">
        <f t="shared" si="45"/>
        <v>0.94622160407974043</v>
      </c>
      <c r="F259" s="16"/>
      <c r="G259" s="16"/>
      <c r="H259" s="16">
        <v>4314</v>
      </c>
      <c r="I259" s="16">
        <f t="shared" si="56"/>
        <v>232</v>
      </c>
      <c r="J259" s="16">
        <v>4082</v>
      </c>
      <c r="K259" s="16">
        <v>3765</v>
      </c>
      <c r="L259" s="16">
        <f t="shared" si="57"/>
        <v>317</v>
      </c>
    </row>
    <row r="260" spans="1:12" s="18" customFormat="1" ht="15" customHeight="1">
      <c r="A260" s="82">
        <v>2014</v>
      </c>
      <c r="B260" s="83" t="s">
        <v>38</v>
      </c>
      <c r="C260" s="15">
        <f t="shared" si="43"/>
        <v>0.8835173994582205</v>
      </c>
      <c r="D260" s="15">
        <f t="shared" si="44"/>
        <v>0.94621736219593844</v>
      </c>
      <c r="E260" s="15">
        <f t="shared" si="45"/>
        <v>0.93373619504063343</v>
      </c>
      <c r="F260" s="16"/>
      <c r="G260" s="16"/>
      <c r="H260" s="16">
        <v>4799</v>
      </c>
      <c r="I260" s="16">
        <f t="shared" si="56"/>
        <v>318</v>
      </c>
      <c r="J260" s="16">
        <v>4481</v>
      </c>
      <c r="K260" s="16">
        <v>4240</v>
      </c>
      <c r="L260" s="16">
        <f t="shared" si="57"/>
        <v>241</v>
      </c>
    </row>
    <row r="261" spans="1:12" s="18" customFormat="1" ht="15" customHeight="1">
      <c r="A261" s="82">
        <v>2014</v>
      </c>
      <c r="B261" s="83" t="s">
        <v>39</v>
      </c>
      <c r="C261" s="15">
        <f t="shared" si="43"/>
        <v>0.86400651465798051</v>
      </c>
      <c r="D261" s="15">
        <f t="shared" si="44"/>
        <v>0.92968236582694419</v>
      </c>
      <c r="E261" s="15">
        <f t="shared" si="45"/>
        <v>0.92935667752442996</v>
      </c>
      <c r="F261" s="16"/>
      <c r="G261" s="16"/>
      <c r="H261" s="16">
        <v>4912</v>
      </c>
      <c r="I261" s="16">
        <f t="shared" si="56"/>
        <v>347</v>
      </c>
      <c r="J261" s="16">
        <v>4565</v>
      </c>
      <c r="K261" s="16">
        <v>4244</v>
      </c>
      <c r="L261" s="16">
        <f t="shared" si="57"/>
        <v>321</v>
      </c>
    </row>
    <row r="262" spans="1:12" s="18" customFormat="1" ht="15" customHeight="1">
      <c r="A262" s="82">
        <v>2014</v>
      </c>
      <c r="B262" s="83" t="s">
        <v>40</v>
      </c>
      <c r="C262" s="15">
        <f t="shared" ref="C262:C325" si="58">K262/H262</f>
        <v>0.82853740821591582</v>
      </c>
      <c r="D262" s="15">
        <f t="shared" ref="D262:D325" si="59">K262/J262</f>
        <v>0.88565973695375477</v>
      </c>
      <c r="E262" s="15">
        <f t="shared" ref="E262:E325" si="60">J262/H262</f>
        <v>0.93550307600714433</v>
      </c>
      <c r="F262" s="16"/>
      <c r="G262" s="16"/>
      <c r="H262" s="16">
        <v>5039</v>
      </c>
      <c r="I262" s="16">
        <f t="shared" si="56"/>
        <v>325</v>
      </c>
      <c r="J262" s="16">
        <v>4714</v>
      </c>
      <c r="K262" s="16">
        <v>4175</v>
      </c>
      <c r="L262" s="16">
        <f t="shared" si="57"/>
        <v>539</v>
      </c>
    </row>
    <row r="263" spans="1:12" s="18" customFormat="1" ht="15" customHeight="1">
      <c r="A263" s="82">
        <v>2014</v>
      </c>
      <c r="B263" s="83" t="s">
        <v>41</v>
      </c>
      <c r="C263" s="15">
        <f t="shared" si="58"/>
        <v>0.83391003460207613</v>
      </c>
      <c r="D263" s="15">
        <f t="shared" si="59"/>
        <v>0.91084926634059582</v>
      </c>
      <c r="E263" s="15">
        <f t="shared" si="60"/>
        <v>0.91553022593120292</v>
      </c>
      <c r="F263" s="16"/>
      <c r="G263" s="16"/>
      <c r="H263" s="16">
        <v>4913</v>
      </c>
      <c r="I263" s="16">
        <f t="shared" si="56"/>
        <v>415</v>
      </c>
      <c r="J263" s="16">
        <v>4498</v>
      </c>
      <c r="K263" s="16">
        <v>4097</v>
      </c>
      <c r="L263" s="16">
        <f t="shared" si="57"/>
        <v>401</v>
      </c>
    </row>
    <row r="264" spans="1:12" s="18" customFormat="1" ht="15" customHeight="1">
      <c r="A264" s="82">
        <v>2014</v>
      </c>
      <c r="B264" s="83" t="s">
        <v>42</v>
      </c>
      <c r="C264" s="15">
        <f t="shared" si="58"/>
        <v>0.84971319311663485</v>
      </c>
      <c r="D264" s="15">
        <f t="shared" si="59"/>
        <v>0.92410064462466213</v>
      </c>
      <c r="E264" s="15">
        <f t="shared" si="60"/>
        <v>0.91950286806883363</v>
      </c>
      <c r="F264" s="16"/>
      <c r="G264" s="16"/>
      <c r="H264" s="16">
        <v>5230</v>
      </c>
      <c r="I264" s="16">
        <f t="shared" si="56"/>
        <v>421</v>
      </c>
      <c r="J264" s="16">
        <v>4809</v>
      </c>
      <c r="K264" s="16">
        <v>4444</v>
      </c>
      <c r="L264" s="16">
        <f t="shared" si="57"/>
        <v>365</v>
      </c>
    </row>
    <row r="265" spans="1:12" s="18" customFormat="1" ht="15" customHeight="1">
      <c r="A265" s="82">
        <v>2014</v>
      </c>
      <c r="B265" s="83" t="s">
        <v>43</v>
      </c>
      <c r="C265" s="15">
        <f t="shared" si="58"/>
        <v>0.8256298353501289</v>
      </c>
      <c r="D265" s="15">
        <f t="shared" si="59"/>
        <v>0.92901785714285712</v>
      </c>
      <c r="E265" s="15">
        <f t="shared" si="60"/>
        <v>0.88871255703233487</v>
      </c>
      <c r="F265" s="16"/>
      <c r="G265" s="16"/>
      <c r="H265" s="16">
        <v>5041</v>
      </c>
      <c r="I265" s="16">
        <f t="shared" si="56"/>
        <v>561</v>
      </c>
      <c r="J265" s="16">
        <v>4480</v>
      </c>
      <c r="K265" s="16">
        <v>4162</v>
      </c>
      <c r="L265" s="16">
        <f t="shared" si="57"/>
        <v>318</v>
      </c>
    </row>
    <row r="266" spans="1:12" s="18" customFormat="1" ht="15" customHeight="1">
      <c r="A266" s="82">
        <v>2014</v>
      </c>
      <c r="B266" s="83" t="s">
        <v>44</v>
      </c>
      <c r="C266" s="15">
        <f t="shared" si="58"/>
        <v>0.80791618160651923</v>
      </c>
      <c r="D266" s="15">
        <f t="shared" si="59"/>
        <v>0.87774030354131538</v>
      </c>
      <c r="E266" s="15">
        <f t="shared" si="60"/>
        <v>0.92045013581684132</v>
      </c>
      <c r="F266" s="16"/>
      <c r="G266" s="16"/>
      <c r="H266" s="16">
        <v>5154</v>
      </c>
      <c r="I266" s="16">
        <f t="shared" si="56"/>
        <v>410</v>
      </c>
      <c r="J266" s="16">
        <v>4744</v>
      </c>
      <c r="K266" s="16">
        <v>4164</v>
      </c>
      <c r="L266" s="16">
        <f t="shared" si="57"/>
        <v>580</v>
      </c>
    </row>
    <row r="267" spans="1:12" s="18" customFormat="1" ht="15" customHeight="1">
      <c r="A267" s="82">
        <v>2014</v>
      </c>
      <c r="B267" s="83" t="s">
        <v>45</v>
      </c>
      <c r="C267" s="15">
        <f t="shared" si="58"/>
        <v>0.66959847036328868</v>
      </c>
      <c r="D267" s="15">
        <f t="shared" si="59"/>
        <v>0.77272727272727271</v>
      </c>
      <c r="E267" s="15">
        <f t="shared" si="60"/>
        <v>0.86653919694072656</v>
      </c>
      <c r="F267" s="16"/>
      <c r="G267" s="16"/>
      <c r="H267" s="16">
        <v>5230</v>
      </c>
      <c r="I267" s="16">
        <f>H267-J267</f>
        <v>698</v>
      </c>
      <c r="J267" s="16">
        <v>4532</v>
      </c>
      <c r="K267" s="16">
        <v>3502</v>
      </c>
      <c r="L267" s="16">
        <f t="shared" si="57"/>
        <v>1030</v>
      </c>
    </row>
    <row r="268" spans="1:12" s="18" customFormat="1" ht="15" customHeight="1">
      <c r="A268" s="82">
        <v>2014</v>
      </c>
      <c r="B268" s="83" t="s">
        <v>46</v>
      </c>
      <c r="C268" s="15">
        <f t="shared" si="58"/>
        <v>0.64760528488852187</v>
      </c>
      <c r="D268" s="15">
        <f t="shared" si="59"/>
        <v>0.71719250114311839</v>
      </c>
      <c r="E268" s="15">
        <f t="shared" si="60"/>
        <v>0.90297274979355902</v>
      </c>
      <c r="F268" s="16"/>
      <c r="G268" s="16"/>
      <c r="H268" s="16">
        <v>4844</v>
      </c>
      <c r="I268" s="16">
        <f>H268-J268</f>
        <v>470</v>
      </c>
      <c r="J268" s="16">
        <v>4374</v>
      </c>
      <c r="K268" s="16">
        <v>3137</v>
      </c>
      <c r="L268" s="16">
        <f t="shared" si="57"/>
        <v>1237</v>
      </c>
    </row>
    <row r="269" spans="1:12" s="18" customFormat="1" ht="15" customHeight="1">
      <c r="A269" s="82">
        <v>2014</v>
      </c>
      <c r="B269" s="83" t="s">
        <v>47</v>
      </c>
      <c r="C269" s="15">
        <f t="shared" si="58"/>
        <v>0.77899015832263585</v>
      </c>
      <c r="D269" s="15">
        <f t="shared" si="59"/>
        <v>0.83375314861460958</v>
      </c>
      <c r="E269" s="15">
        <f t="shared" si="60"/>
        <v>0.93431750106974754</v>
      </c>
      <c r="F269" s="16"/>
      <c r="G269" s="16"/>
      <c r="H269" s="16">
        <v>4674</v>
      </c>
      <c r="I269" s="16">
        <f>H269-J269</f>
        <v>307</v>
      </c>
      <c r="J269" s="16">
        <v>4367</v>
      </c>
      <c r="K269" s="16">
        <v>3641</v>
      </c>
      <c r="L269" s="16">
        <f t="shared" si="57"/>
        <v>726</v>
      </c>
    </row>
    <row r="270" spans="1:12" s="18" customFormat="1" ht="15" customHeight="1">
      <c r="A270" s="82">
        <v>2015</v>
      </c>
      <c r="B270" s="83" t="s">
        <v>36</v>
      </c>
      <c r="C270" s="15">
        <f t="shared" si="58"/>
        <v>0.88524955436720143</v>
      </c>
      <c r="D270" s="15">
        <f t="shared" si="59"/>
        <v>0.89886877828054301</v>
      </c>
      <c r="E270" s="15">
        <f t="shared" si="60"/>
        <v>0.98484848484848486</v>
      </c>
      <c r="F270" s="16"/>
      <c r="G270" s="16"/>
      <c r="H270" s="16">
        <v>4488</v>
      </c>
      <c r="I270" s="16">
        <f>+H270-J270</f>
        <v>68</v>
      </c>
      <c r="J270" s="16">
        <v>4420</v>
      </c>
      <c r="K270" s="16">
        <v>3973</v>
      </c>
      <c r="L270" s="16">
        <f t="shared" ref="L270:L281" si="61">J270-K270</f>
        <v>447</v>
      </c>
    </row>
    <row r="271" spans="1:12" s="18" customFormat="1" ht="15" customHeight="1">
      <c r="A271" s="82">
        <v>2015</v>
      </c>
      <c r="B271" s="83" t="s">
        <v>37</v>
      </c>
      <c r="C271" s="15">
        <f t="shared" si="58"/>
        <v>0.83450175262894344</v>
      </c>
      <c r="D271" s="15">
        <f t="shared" si="59"/>
        <v>0.85068912710566613</v>
      </c>
      <c r="E271" s="15">
        <f t="shared" si="60"/>
        <v>0.98097145718577872</v>
      </c>
      <c r="F271" s="16"/>
      <c r="G271" s="16"/>
      <c r="H271" s="16">
        <v>3994</v>
      </c>
      <c r="I271" s="16">
        <f t="shared" ref="I271:I278" si="62">H271-J271</f>
        <v>76</v>
      </c>
      <c r="J271" s="16">
        <v>3918</v>
      </c>
      <c r="K271" s="16">
        <v>3333</v>
      </c>
      <c r="L271" s="16">
        <f t="shared" si="61"/>
        <v>585</v>
      </c>
    </row>
    <row r="272" spans="1:12" s="18" customFormat="1" ht="15" customHeight="1">
      <c r="A272" s="82">
        <v>2015</v>
      </c>
      <c r="B272" s="83" t="s">
        <v>38</v>
      </c>
      <c r="C272" s="15">
        <f t="shared" si="58"/>
        <v>0.72352074120867549</v>
      </c>
      <c r="D272" s="15">
        <f t="shared" si="59"/>
        <v>0.79408366073492032</v>
      </c>
      <c r="E272" s="15">
        <f t="shared" si="60"/>
        <v>0.91113918719730469</v>
      </c>
      <c r="F272" s="16"/>
      <c r="G272" s="16"/>
      <c r="H272" s="16">
        <v>4749</v>
      </c>
      <c r="I272" s="16">
        <f t="shared" si="62"/>
        <v>422</v>
      </c>
      <c r="J272" s="16">
        <v>4327</v>
      </c>
      <c r="K272" s="16">
        <v>3436</v>
      </c>
      <c r="L272" s="16">
        <f t="shared" si="61"/>
        <v>891</v>
      </c>
    </row>
    <row r="273" spans="1:12" s="18" customFormat="1" ht="15" customHeight="1">
      <c r="A273" s="82">
        <v>2015</v>
      </c>
      <c r="B273" s="83" t="s">
        <v>39</v>
      </c>
      <c r="C273" s="15">
        <f t="shared" si="58"/>
        <v>0.62457191780821919</v>
      </c>
      <c r="D273" s="15">
        <f t="shared" si="59"/>
        <v>0.65869074492099322</v>
      </c>
      <c r="E273" s="15">
        <f t="shared" si="60"/>
        <v>0.94820205479452058</v>
      </c>
      <c r="F273" s="16"/>
      <c r="G273" s="16"/>
      <c r="H273" s="16">
        <v>4672</v>
      </c>
      <c r="I273" s="16">
        <f t="shared" si="62"/>
        <v>242</v>
      </c>
      <c r="J273" s="16">
        <v>4430</v>
      </c>
      <c r="K273" s="16">
        <v>2918</v>
      </c>
      <c r="L273" s="16">
        <f t="shared" si="61"/>
        <v>1512</v>
      </c>
    </row>
    <row r="274" spans="1:12" s="18" customFormat="1" ht="15" customHeight="1">
      <c r="A274" s="82">
        <v>2015</v>
      </c>
      <c r="B274" s="83" t="s">
        <v>40</v>
      </c>
      <c r="C274" s="15">
        <f t="shared" si="58"/>
        <v>0.56692242114237001</v>
      </c>
      <c r="D274" s="15">
        <f t="shared" si="59"/>
        <v>0.5997745208568207</v>
      </c>
      <c r="E274" s="15">
        <f t="shared" si="60"/>
        <v>0.94522591645353793</v>
      </c>
      <c r="F274" s="16"/>
      <c r="G274" s="16"/>
      <c r="H274" s="16">
        <v>4692</v>
      </c>
      <c r="I274" s="16">
        <f t="shared" si="62"/>
        <v>257</v>
      </c>
      <c r="J274" s="16">
        <v>4435</v>
      </c>
      <c r="K274" s="16">
        <v>2660</v>
      </c>
      <c r="L274" s="16">
        <f t="shared" si="61"/>
        <v>1775</v>
      </c>
    </row>
    <row r="275" spans="1:12" s="18" customFormat="1" ht="15" customHeight="1">
      <c r="A275" s="82">
        <v>2015</v>
      </c>
      <c r="B275" s="83" t="s">
        <v>41</v>
      </c>
      <c r="C275" s="15">
        <f t="shared" si="58"/>
        <v>0.76002480363786684</v>
      </c>
      <c r="D275" s="15">
        <f t="shared" si="59"/>
        <v>0.80724478594950599</v>
      </c>
      <c r="E275" s="15">
        <f t="shared" si="60"/>
        <v>0.9415047540305912</v>
      </c>
      <c r="F275" s="16"/>
      <c r="G275" s="16"/>
      <c r="H275" s="16">
        <v>4838</v>
      </c>
      <c r="I275" s="16">
        <f t="shared" si="62"/>
        <v>283</v>
      </c>
      <c r="J275" s="16">
        <v>4555</v>
      </c>
      <c r="K275" s="16">
        <v>3677</v>
      </c>
      <c r="L275" s="16">
        <f t="shared" si="61"/>
        <v>878</v>
      </c>
    </row>
    <row r="276" spans="1:12" s="18" customFormat="1" ht="15" customHeight="1">
      <c r="A276" s="82">
        <v>2015</v>
      </c>
      <c r="B276" s="83" t="s">
        <v>42</v>
      </c>
      <c r="C276" s="15">
        <f t="shared" si="58"/>
        <v>0.80044301248489735</v>
      </c>
      <c r="D276" s="15">
        <f t="shared" si="59"/>
        <v>0.84664536741214058</v>
      </c>
      <c r="E276" s="15">
        <f t="shared" si="60"/>
        <v>0.94542891663310513</v>
      </c>
      <c r="F276" s="16"/>
      <c r="G276" s="16"/>
      <c r="H276" s="16">
        <v>4966</v>
      </c>
      <c r="I276" s="16">
        <f t="shared" si="62"/>
        <v>271</v>
      </c>
      <c r="J276" s="16">
        <v>4695</v>
      </c>
      <c r="K276" s="16">
        <v>3975</v>
      </c>
      <c r="L276" s="16">
        <f t="shared" si="61"/>
        <v>720</v>
      </c>
    </row>
    <row r="277" spans="1:12" s="18" customFormat="1" ht="15" customHeight="1">
      <c r="A277" s="82">
        <v>2015</v>
      </c>
      <c r="B277" s="83" t="s">
        <v>43</v>
      </c>
      <c r="C277" s="15">
        <f t="shared" si="58"/>
        <v>0.85169756300770671</v>
      </c>
      <c r="D277" s="15">
        <f t="shared" si="59"/>
        <v>0.8590336134453781</v>
      </c>
      <c r="E277" s="15">
        <f t="shared" si="60"/>
        <v>0.9914601124765674</v>
      </c>
      <c r="F277" s="16"/>
      <c r="G277" s="16"/>
      <c r="H277" s="16">
        <v>4801</v>
      </c>
      <c r="I277" s="16">
        <f t="shared" si="62"/>
        <v>41</v>
      </c>
      <c r="J277" s="16">
        <v>4760</v>
      </c>
      <c r="K277" s="16">
        <v>4089</v>
      </c>
      <c r="L277" s="16">
        <f t="shared" si="61"/>
        <v>671</v>
      </c>
    </row>
    <row r="278" spans="1:12" s="18" customFormat="1" ht="15" customHeight="1">
      <c r="A278" s="82">
        <v>2015</v>
      </c>
      <c r="B278" s="83" t="s">
        <v>44</v>
      </c>
      <c r="C278" s="15">
        <f t="shared" si="58"/>
        <v>0.81329243353783232</v>
      </c>
      <c r="D278" s="15">
        <f t="shared" si="59"/>
        <v>0.82923269391159304</v>
      </c>
      <c r="E278" s="15">
        <f t="shared" si="60"/>
        <v>0.98077709611451946</v>
      </c>
      <c r="F278" s="16"/>
      <c r="G278" s="16"/>
      <c r="H278" s="16">
        <v>4890</v>
      </c>
      <c r="I278" s="16">
        <f t="shared" si="62"/>
        <v>94</v>
      </c>
      <c r="J278" s="16">
        <v>4796</v>
      </c>
      <c r="K278" s="16">
        <v>3977</v>
      </c>
      <c r="L278" s="16">
        <f t="shared" si="61"/>
        <v>819</v>
      </c>
    </row>
    <row r="279" spans="1:12" s="18" customFormat="1" ht="15" customHeight="1">
      <c r="A279" s="82">
        <v>2015</v>
      </c>
      <c r="B279" s="83" t="s">
        <v>45</v>
      </c>
      <c r="C279" s="15">
        <f t="shared" si="58"/>
        <v>0.78345895294357304</v>
      </c>
      <c r="D279" s="15">
        <f t="shared" si="59"/>
        <v>0.79528535980148884</v>
      </c>
      <c r="E279" s="15">
        <f t="shared" si="60"/>
        <v>0.98512935424730086</v>
      </c>
      <c r="F279" s="16"/>
      <c r="G279" s="16"/>
      <c r="H279" s="16">
        <v>4909</v>
      </c>
      <c r="I279" s="16">
        <f>H279-J279</f>
        <v>73</v>
      </c>
      <c r="J279" s="16">
        <v>4836</v>
      </c>
      <c r="K279" s="16">
        <v>3846</v>
      </c>
      <c r="L279" s="16">
        <f t="shared" si="61"/>
        <v>990</v>
      </c>
    </row>
    <row r="280" spans="1:12" s="18" customFormat="1" ht="15" customHeight="1">
      <c r="A280" s="82">
        <v>2015</v>
      </c>
      <c r="B280" s="83" t="s">
        <v>46</v>
      </c>
      <c r="C280" s="15">
        <f t="shared" si="58"/>
        <v>0.84913331906698053</v>
      </c>
      <c r="D280" s="15">
        <f t="shared" si="59"/>
        <v>0.86260869565217391</v>
      </c>
      <c r="E280" s="15">
        <f t="shared" si="60"/>
        <v>0.98437834367643917</v>
      </c>
      <c r="F280" s="16"/>
      <c r="G280" s="16"/>
      <c r="H280" s="16">
        <v>4673</v>
      </c>
      <c r="I280" s="16">
        <f>H280-J280</f>
        <v>73</v>
      </c>
      <c r="J280" s="16">
        <v>4600</v>
      </c>
      <c r="K280" s="16">
        <v>3968</v>
      </c>
      <c r="L280" s="16">
        <f t="shared" si="61"/>
        <v>632</v>
      </c>
    </row>
    <row r="281" spans="1:12" s="18" customFormat="1" ht="15" customHeight="1">
      <c r="A281" s="82">
        <v>2015</v>
      </c>
      <c r="B281" s="83" t="s">
        <v>47</v>
      </c>
      <c r="C281" s="15">
        <f t="shared" si="58"/>
        <v>0.86183340678713094</v>
      </c>
      <c r="D281" s="15">
        <f t="shared" si="59"/>
        <v>0.89210766423357668</v>
      </c>
      <c r="E281" s="15">
        <f t="shared" si="60"/>
        <v>0.96606434552666376</v>
      </c>
      <c r="F281" s="16"/>
      <c r="G281" s="16"/>
      <c r="H281" s="16">
        <v>4538</v>
      </c>
      <c r="I281" s="16">
        <f>H281-J281</f>
        <v>154</v>
      </c>
      <c r="J281" s="16">
        <v>4384</v>
      </c>
      <c r="K281" s="16">
        <v>3911</v>
      </c>
      <c r="L281" s="16">
        <f t="shared" si="61"/>
        <v>473</v>
      </c>
    </row>
    <row r="282" spans="1:12" s="18" customFormat="1" ht="15" customHeight="1">
      <c r="A282" s="82">
        <v>2016</v>
      </c>
      <c r="B282" s="83" t="s">
        <v>36</v>
      </c>
      <c r="C282" s="15">
        <f t="shared" si="58"/>
        <v>0.7818467760053921</v>
      </c>
      <c r="D282" s="15">
        <f t="shared" si="59"/>
        <v>0.8262108262108262</v>
      </c>
      <c r="E282" s="15">
        <f t="shared" si="60"/>
        <v>0.94630420130307791</v>
      </c>
      <c r="F282" s="16"/>
      <c r="G282" s="16"/>
      <c r="H282" s="16">
        <v>4451</v>
      </c>
      <c r="I282" s="16">
        <f t="shared" ref="I282:I292" si="63">H282-J282</f>
        <v>239</v>
      </c>
      <c r="J282" s="16">
        <v>4212</v>
      </c>
      <c r="K282" s="16">
        <v>3480</v>
      </c>
      <c r="L282" s="16">
        <f t="shared" ref="L282:L293" si="64">J282-K282</f>
        <v>732</v>
      </c>
    </row>
    <row r="283" spans="1:12" s="18" customFormat="1" ht="15" customHeight="1">
      <c r="A283" s="82">
        <v>2016</v>
      </c>
      <c r="B283" s="83" t="s">
        <v>37</v>
      </c>
      <c r="C283" s="15">
        <f t="shared" si="58"/>
        <v>0.81574539363484089</v>
      </c>
      <c r="D283" s="15">
        <f t="shared" si="59"/>
        <v>0.83288541412167116</v>
      </c>
      <c r="E283" s="15">
        <f t="shared" si="60"/>
        <v>0.97942091409428089</v>
      </c>
      <c r="F283" s="16"/>
      <c r="G283" s="16"/>
      <c r="H283" s="16">
        <v>4179</v>
      </c>
      <c r="I283" s="16">
        <f t="shared" si="63"/>
        <v>86</v>
      </c>
      <c r="J283" s="16">
        <v>4093</v>
      </c>
      <c r="K283" s="16">
        <v>3409</v>
      </c>
      <c r="L283" s="16">
        <f t="shared" si="64"/>
        <v>684</v>
      </c>
    </row>
    <row r="284" spans="1:12" s="18" customFormat="1" ht="15" customHeight="1">
      <c r="A284" s="82">
        <v>2016</v>
      </c>
      <c r="B284" s="83" t="s">
        <v>38</v>
      </c>
      <c r="C284" s="15">
        <f t="shared" si="58"/>
        <v>0.84084826024294834</v>
      </c>
      <c r="D284" s="15">
        <f t="shared" si="59"/>
        <v>0.85047896709704285</v>
      </c>
      <c r="E284" s="15">
        <f t="shared" si="60"/>
        <v>0.98867613753345684</v>
      </c>
      <c r="F284" s="16"/>
      <c r="G284" s="16"/>
      <c r="H284" s="16">
        <v>4857</v>
      </c>
      <c r="I284" s="16">
        <f t="shared" si="63"/>
        <v>55</v>
      </c>
      <c r="J284" s="16">
        <v>4802</v>
      </c>
      <c r="K284" s="16">
        <v>4084</v>
      </c>
      <c r="L284" s="16">
        <f t="shared" si="64"/>
        <v>718</v>
      </c>
    </row>
    <row r="285" spans="1:12" s="18" customFormat="1" ht="15" customHeight="1">
      <c r="A285" s="82">
        <v>2016</v>
      </c>
      <c r="B285" s="83" t="s">
        <v>39</v>
      </c>
      <c r="C285" s="15">
        <f t="shared" si="58"/>
        <v>0.77912570591926378</v>
      </c>
      <c r="D285" s="15">
        <f t="shared" si="59"/>
        <v>0.79305939961677663</v>
      </c>
      <c r="E285" s="15">
        <f t="shared" si="60"/>
        <v>0.98243045387994143</v>
      </c>
      <c r="F285" s="16"/>
      <c r="G285" s="16"/>
      <c r="H285" s="16">
        <v>4781</v>
      </c>
      <c r="I285" s="16">
        <f t="shared" si="63"/>
        <v>84</v>
      </c>
      <c r="J285" s="16">
        <v>4697</v>
      </c>
      <c r="K285" s="16">
        <v>3725</v>
      </c>
      <c r="L285" s="16">
        <f t="shared" si="64"/>
        <v>972</v>
      </c>
    </row>
    <row r="286" spans="1:12" s="18" customFormat="1" ht="15" customHeight="1">
      <c r="A286" s="82">
        <v>2016</v>
      </c>
      <c r="B286" s="83" t="s">
        <v>40</v>
      </c>
      <c r="C286" s="15">
        <f t="shared" si="58"/>
        <v>0.86452542721844761</v>
      </c>
      <c r="D286" s="15">
        <f t="shared" si="59"/>
        <v>0.88811336717428091</v>
      </c>
      <c r="E286" s="15">
        <f t="shared" si="60"/>
        <v>0.97344039530574433</v>
      </c>
      <c r="F286" s="16"/>
      <c r="G286" s="16"/>
      <c r="H286" s="16">
        <v>4857</v>
      </c>
      <c r="I286" s="16">
        <f t="shared" si="63"/>
        <v>129</v>
      </c>
      <c r="J286" s="16">
        <v>4728</v>
      </c>
      <c r="K286" s="16">
        <v>4199</v>
      </c>
      <c r="L286" s="16">
        <f t="shared" si="64"/>
        <v>529</v>
      </c>
    </row>
    <row r="287" spans="1:12" s="18" customFormat="1" ht="15" customHeight="1">
      <c r="A287" s="82">
        <v>2016</v>
      </c>
      <c r="B287" s="83" t="s">
        <v>41</v>
      </c>
      <c r="C287" s="15">
        <f t="shared" si="58"/>
        <v>0.86665239726027399</v>
      </c>
      <c r="D287" s="15">
        <f t="shared" si="59"/>
        <v>0.90037802979764292</v>
      </c>
      <c r="E287" s="15">
        <f t="shared" si="60"/>
        <v>0.96254280821917804</v>
      </c>
      <c r="F287" s="16"/>
      <c r="G287" s="16"/>
      <c r="H287" s="16">
        <v>4672</v>
      </c>
      <c r="I287" s="16">
        <f t="shared" si="63"/>
        <v>175</v>
      </c>
      <c r="J287" s="16">
        <v>4497</v>
      </c>
      <c r="K287" s="16">
        <v>4049</v>
      </c>
      <c r="L287" s="16">
        <f t="shared" si="64"/>
        <v>448</v>
      </c>
    </row>
    <row r="288" spans="1:12" s="18" customFormat="1" ht="15" customHeight="1">
      <c r="A288" s="82">
        <v>2016</v>
      </c>
      <c r="B288" s="83" t="s">
        <v>42</v>
      </c>
      <c r="C288" s="15">
        <f t="shared" si="58"/>
        <v>0.85133712360496949</v>
      </c>
      <c r="D288" s="15">
        <f t="shared" si="59"/>
        <v>0.88275109170305677</v>
      </c>
      <c r="E288" s="15">
        <f t="shared" si="60"/>
        <v>0.96441356074963147</v>
      </c>
      <c r="F288" s="16"/>
      <c r="G288" s="16"/>
      <c r="H288" s="16">
        <v>4749</v>
      </c>
      <c r="I288" s="16">
        <f t="shared" si="63"/>
        <v>169</v>
      </c>
      <c r="J288" s="16">
        <v>4580</v>
      </c>
      <c r="K288" s="16">
        <v>4043</v>
      </c>
      <c r="L288" s="16">
        <f t="shared" si="64"/>
        <v>537</v>
      </c>
    </row>
    <row r="289" spans="1:12" s="18" customFormat="1" ht="15" customHeight="1">
      <c r="A289" s="82">
        <v>2016</v>
      </c>
      <c r="B289" s="83" t="s">
        <v>43</v>
      </c>
      <c r="C289" s="15">
        <f t="shared" si="58"/>
        <v>0.86407571486105517</v>
      </c>
      <c r="D289" s="15">
        <f t="shared" si="59"/>
        <v>0.91570635936833122</v>
      </c>
      <c r="E289" s="15">
        <f t="shared" si="60"/>
        <v>0.94361659283125254</v>
      </c>
      <c r="F289" s="16"/>
      <c r="G289" s="16"/>
      <c r="H289" s="16">
        <v>4966</v>
      </c>
      <c r="I289" s="16">
        <f t="shared" si="63"/>
        <v>280</v>
      </c>
      <c r="J289" s="16">
        <v>4686</v>
      </c>
      <c r="K289" s="16">
        <v>4291</v>
      </c>
      <c r="L289" s="16">
        <f t="shared" si="64"/>
        <v>395</v>
      </c>
    </row>
    <row r="290" spans="1:12" s="18" customFormat="1" ht="15" customHeight="1">
      <c r="A290" s="82">
        <v>2016</v>
      </c>
      <c r="B290" s="83" t="s">
        <v>44</v>
      </c>
      <c r="C290" s="15">
        <f t="shared" si="58"/>
        <v>0.84089979550102245</v>
      </c>
      <c r="D290" s="15">
        <f t="shared" si="59"/>
        <v>0.86115183246073301</v>
      </c>
      <c r="E290" s="15">
        <f t="shared" si="60"/>
        <v>0.97648261758691202</v>
      </c>
      <c r="F290" s="16"/>
      <c r="G290" s="16"/>
      <c r="H290" s="16">
        <v>4890</v>
      </c>
      <c r="I290" s="16">
        <f t="shared" si="63"/>
        <v>115</v>
      </c>
      <c r="J290" s="16">
        <v>4775</v>
      </c>
      <c r="K290" s="16">
        <v>4112</v>
      </c>
      <c r="L290" s="16">
        <f t="shared" si="64"/>
        <v>663</v>
      </c>
    </row>
    <row r="291" spans="1:12" s="18" customFormat="1" ht="15" customHeight="1">
      <c r="A291" s="82">
        <v>2016</v>
      </c>
      <c r="B291" s="83" t="s">
        <v>45</v>
      </c>
      <c r="C291" s="15">
        <f t="shared" si="58"/>
        <v>0.84586544469902103</v>
      </c>
      <c r="D291" s="15">
        <f t="shared" si="59"/>
        <v>0.86736437419906021</v>
      </c>
      <c r="E291" s="15">
        <f t="shared" si="60"/>
        <v>0.97521349718808581</v>
      </c>
      <c r="F291" s="16"/>
      <c r="G291" s="16"/>
      <c r="H291" s="16">
        <v>4801</v>
      </c>
      <c r="I291" s="16">
        <f t="shared" si="63"/>
        <v>119</v>
      </c>
      <c r="J291" s="16">
        <v>4682</v>
      </c>
      <c r="K291" s="16">
        <v>4061</v>
      </c>
      <c r="L291" s="16">
        <f t="shared" si="64"/>
        <v>621</v>
      </c>
    </row>
    <row r="292" spans="1:12" s="18" customFormat="1" ht="15" customHeight="1">
      <c r="A292" s="82">
        <v>2016</v>
      </c>
      <c r="B292" s="83" t="s">
        <v>46</v>
      </c>
      <c r="C292" s="15">
        <f t="shared" si="58"/>
        <v>0.86948337167956491</v>
      </c>
      <c r="D292" s="15">
        <f t="shared" si="59"/>
        <v>0.90448215839860746</v>
      </c>
      <c r="E292" s="15">
        <f t="shared" si="60"/>
        <v>0.96130516628320439</v>
      </c>
      <c r="F292" s="16"/>
      <c r="G292" s="16"/>
      <c r="H292" s="16">
        <v>4781</v>
      </c>
      <c r="I292" s="16">
        <f t="shared" si="63"/>
        <v>185</v>
      </c>
      <c r="J292" s="16">
        <v>4596</v>
      </c>
      <c r="K292" s="16">
        <v>4157</v>
      </c>
      <c r="L292" s="16">
        <f t="shared" si="64"/>
        <v>439</v>
      </c>
    </row>
    <row r="293" spans="1:12" s="18" customFormat="1" ht="15" customHeight="1">
      <c r="A293" s="82">
        <v>2016</v>
      </c>
      <c r="B293" s="83" t="s">
        <v>47</v>
      </c>
      <c r="C293" s="15">
        <f t="shared" si="58"/>
        <v>0.85575469660980352</v>
      </c>
      <c r="D293" s="15">
        <f t="shared" si="59"/>
        <v>0.89317106152805947</v>
      </c>
      <c r="E293" s="15">
        <f t="shared" si="60"/>
        <v>0.95810839991362562</v>
      </c>
      <c r="F293" s="16"/>
      <c r="G293" s="16"/>
      <c r="H293" s="16">
        <v>4631</v>
      </c>
      <c r="I293" s="16">
        <f>H293-J293</f>
        <v>194</v>
      </c>
      <c r="J293" s="16">
        <v>4437</v>
      </c>
      <c r="K293" s="16">
        <v>3963</v>
      </c>
      <c r="L293" s="16">
        <f t="shared" si="64"/>
        <v>474</v>
      </c>
    </row>
    <row r="294" spans="1:12" s="18" customFormat="1" ht="15" customHeight="1">
      <c r="A294" s="82">
        <v>2017</v>
      </c>
      <c r="B294" s="83" t="s">
        <v>36</v>
      </c>
      <c r="C294" s="15">
        <f t="shared" si="58"/>
        <v>0.9254671881790526</v>
      </c>
      <c r="D294" s="15">
        <f t="shared" si="59"/>
        <v>0.94749721913236928</v>
      </c>
      <c r="E294" s="15">
        <f t="shared" si="60"/>
        <v>0.97674923946110381</v>
      </c>
      <c r="F294" s="16"/>
      <c r="G294" s="16"/>
      <c r="H294" s="16">
        <v>4602</v>
      </c>
      <c r="I294" s="16">
        <f t="shared" ref="I294:I304" si="65">H294-J294</f>
        <v>107</v>
      </c>
      <c r="J294" s="16">
        <v>4495</v>
      </c>
      <c r="K294" s="16">
        <v>4259</v>
      </c>
      <c r="L294" s="16">
        <f t="shared" ref="L294:L305" si="66">J294-K294</f>
        <v>236</v>
      </c>
    </row>
    <row r="295" spans="1:12" s="18" customFormat="1" ht="15" customHeight="1">
      <c r="A295" s="82">
        <v>2017</v>
      </c>
      <c r="B295" s="83" t="s">
        <v>37</v>
      </c>
      <c r="C295" s="15">
        <f t="shared" si="58"/>
        <v>0.914121181772659</v>
      </c>
      <c r="D295" s="15">
        <f t="shared" si="59"/>
        <v>0.92995415180845642</v>
      </c>
      <c r="E295" s="15">
        <f t="shared" si="60"/>
        <v>0.98297446169253877</v>
      </c>
      <c r="F295" s="16"/>
      <c r="G295" s="16"/>
      <c r="H295" s="16">
        <v>3994</v>
      </c>
      <c r="I295" s="16">
        <f t="shared" si="65"/>
        <v>68</v>
      </c>
      <c r="J295" s="16">
        <v>3926</v>
      </c>
      <c r="K295" s="16">
        <v>3651</v>
      </c>
      <c r="L295" s="16">
        <f t="shared" si="66"/>
        <v>275</v>
      </c>
    </row>
    <row r="296" spans="1:12" s="18" customFormat="1" ht="15" customHeight="1">
      <c r="A296" s="82">
        <v>2017</v>
      </c>
      <c r="B296" s="83" t="s">
        <v>38</v>
      </c>
      <c r="C296" s="15">
        <f t="shared" si="58"/>
        <v>0.89790575916230364</v>
      </c>
      <c r="D296" s="15">
        <f t="shared" si="59"/>
        <v>0.9174897119341564</v>
      </c>
      <c r="E296" s="15">
        <f t="shared" si="60"/>
        <v>0.97865485300040278</v>
      </c>
      <c r="F296" s="16"/>
      <c r="G296" s="16"/>
      <c r="H296" s="16">
        <v>4966</v>
      </c>
      <c r="I296" s="16">
        <f t="shared" si="65"/>
        <v>106</v>
      </c>
      <c r="J296" s="16">
        <v>4860</v>
      </c>
      <c r="K296" s="16">
        <v>4459</v>
      </c>
      <c r="L296" s="16">
        <f t="shared" si="66"/>
        <v>401</v>
      </c>
    </row>
    <row r="297" spans="1:12" s="18" customFormat="1" ht="15" customHeight="1">
      <c r="A297" s="82">
        <v>2017</v>
      </c>
      <c r="B297" s="83" t="s">
        <v>39</v>
      </c>
      <c r="C297" s="15">
        <f t="shared" si="58"/>
        <v>0.85695480473892061</v>
      </c>
      <c r="D297" s="15">
        <f t="shared" si="59"/>
        <v>0.90605427974947805</v>
      </c>
      <c r="E297" s="15">
        <f t="shared" si="60"/>
        <v>0.94580956559894691</v>
      </c>
      <c r="F297" s="16"/>
      <c r="G297" s="16"/>
      <c r="H297" s="16">
        <v>4558</v>
      </c>
      <c r="I297" s="16">
        <f t="shared" si="65"/>
        <v>247</v>
      </c>
      <c r="J297" s="16">
        <v>4311</v>
      </c>
      <c r="K297" s="16">
        <v>3906</v>
      </c>
      <c r="L297" s="16">
        <f t="shared" si="66"/>
        <v>405</v>
      </c>
    </row>
    <row r="298" spans="1:12" s="18" customFormat="1" ht="15" customHeight="1">
      <c r="A298" s="82">
        <v>2017</v>
      </c>
      <c r="B298" s="83" t="s">
        <v>40</v>
      </c>
      <c r="C298" s="15">
        <f t="shared" si="58"/>
        <v>0.89149680872966852</v>
      </c>
      <c r="D298" s="15">
        <f t="shared" si="59"/>
        <v>0.91234723978086807</v>
      </c>
      <c r="E298" s="15">
        <f t="shared" si="60"/>
        <v>0.97714638665843112</v>
      </c>
      <c r="F298" s="16"/>
      <c r="G298" s="16"/>
      <c r="H298" s="16">
        <v>4857</v>
      </c>
      <c r="I298" s="16">
        <f t="shared" si="65"/>
        <v>111</v>
      </c>
      <c r="J298" s="16">
        <v>4746</v>
      </c>
      <c r="K298" s="16">
        <v>4330</v>
      </c>
      <c r="L298" s="16">
        <f t="shared" si="66"/>
        <v>416</v>
      </c>
    </row>
    <row r="299" spans="1:12" s="18" customFormat="1" ht="15" customHeight="1">
      <c r="A299" s="82">
        <v>2017</v>
      </c>
      <c r="B299" s="83" t="s">
        <v>41</v>
      </c>
      <c r="C299" s="15">
        <f t="shared" si="58"/>
        <v>0.92894903785155425</v>
      </c>
      <c r="D299" s="15">
        <f t="shared" si="59"/>
        <v>0.9425016090967604</v>
      </c>
      <c r="E299" s="15">
        <f t="shared" si="60"/>
        <v>0.98562063861281457</v>
      </c>
      <c r="F299" s="16"/>
      <c r="G299" s="16"/>
      <c r="H299" s="16">
        <v>4729</v>
      </c>
      <c r="I299" s="16">
        <f t="shared" si="65"/>
        <v>68</v>
      </c>
      <c r="J299" s="16">
        <v>4661</v>
      </c>
      <c r="K299" s="16">
        <v>4393</v>
      </c>
      <c r="L299" s="16">
        <f t="shared" si="66"/>
        <v>268</v>
      </c>
    </row>
    <row r="300" spans="1:12" s="18" customFormat="1" ht="15" customHeight="1">
      <c r="A300" s="82">
        <v>2017</v>
      </c>
      <c r="B300" s="83" t="s">
        <v>42</v>
      </c>
      <c r="C300" s="15">
        <f t="shared" si="58"/>
        <v>0.9282949684253412</v>
      </c>
      <c r="D300" s="15">
        <f t="shared" si="59"/>
        <v>0.94937499999999997</v>
      </c>
      <c r="E300" s="15">
        <f t="shared" si="60"/>
        <v>0.97779588510898352</v>
      </c>
      <c r="F300" s="16"/>
      <c r="G300" s="16"/>
      <c r="H300" s="16">
        <v>4909</v>
      </c>
      <c r="I300" s="16">
        <f t="shared" si="65"/>
        <v>109</v>
      </c>
      <c r="J300" s="16">
        <v>4800</v>
      </c>
      <c r="K300" s="16">
        <v>4557</v>
      </c>
      <c r="L300" s="16">
        <f t="shared" si="66"/>
        <v>243</v>
      </c>
    </row>
    <row r="301" spans="1:12" s="18" customFormat="1" ht="15" customHeight="1">
      <c r="A301" s="82">
        <v>2017</v>
      </c>
      <c r="B301" s="83" t="s">
        <v>43</v>
      </c>
      <c r="C301" s="15">
        <f t="shared" si="58"/>
        <v>0.91784132098268223</v>
      </c>
      <c r="D301" s="15">
        <f t="shared" si="59"/>
        <v>0.92473118279569888</v>
      </c>
      <c r="E301" s="15">
        <f t="shared" si="60"/>
        <v>0.99254933548127267</v>
      </c>
      <c r="F301" s="16"/>
      <c r="G301" s="16"/>
      <c r="H301" s="16">
        <v>4966</v>
      </c>
      <c r="I301" s="16">
        <f t="shared" si="65"/>
        <v>37</v>
      </c>
      <c r="J301" s="16">
        <v>4929</v>
      </c>
      <c r="K301" s="16">
        <v>4558</v>
      </c>
      <c r="L301" s="16">
        <f t="shared" si="66"/>
        <v>371</v>
      </c>
    </row>
    <row r="302" spans="1:12" s="18" customFormat="1" ht="15" customHeight="1">
      <c r="A302" s="82">
        <v>2017</v>
      </c>
      <c r="B302" s="83" t="s">
        <v>44</v>
      </c>
      <c r="C302" s="15">
        <f t="shared" si="58"/>
        <v>0.89613076763914756</v>
      </c>
      <c r="D302" s="15">
        <f t="shared" si="59"/>
        <v>0.90587743149968625</v>
      </c>
      <c r="E302" s="15">
        <f t="shared" si="60"/>
        <v>0.98924063728533007</v>
      </c>
      <c r="F302" s="16"/>
      <c r="G302" s="16"/>
      <c r="H302" s="16">
        <v>4833</v>
      </c>
      <c r="I302" s="16">
        <f t="shared" si="65"/>
        <v>52</v>
      </c>
      <c r="J302" s="16">
        <v>4781</v>
      </c>
      <c r="K302" s="16">
        <v>4331</v>
      </c>
      <c r="L302" s="16">
        <f t="shared" si="66"/>
        <v>450</v>
      </c>
    </row>
    <row r="303" spans="1:12" s="18" customFormat="1" ht="15" customHeight="1">
      <c r="A303" s="82">
        <v>2017</v>
      </c>
      <c r="B303" s="83" t="s">
        <v>45</v>
      </c>
      <c r="C303" s="15">
        <f t="shared" si="58"/>
        <v>0.88019761218608483</v>
      </c>
      <c r="D303" s="15">
        <f t="shared" si="59"/>
        <v>0.88916614680806816</v>
      </c>
      <c r="E303" s="15">
        <f t="shared" si="60"/>
        <v>0.98991354466858794</v>
      </c>
      <c r="F303" s="16"/>
      <c r="G303" s="16"/>
      <c r="H303" s="16">
        <v>4858</v>
      </c>
      <c r="I303" s="16">
        <f t="shared" si="65"/>
        <v>49</v>
      </c>
      <c r="J303" s="16">
        <v>4809</v>
      </c>
      <c r="K303" s="16">
        <v>4276</v>
      </c>
      <c r="L303" s="16">
        <f t="shared" si="66"/>
        <v>533</v>
      </c>
    </row>
    <row r="304" spans="1:12" s="18" customFormat="1" ht="15" customHeight="1">
      <c r="A304" s="82">
        <v>2017</v>
      </c>
      <c r="B304" s="83" t="s">
        <v>46</v>
      </c>
      <c r="C304" s="15">
        <f t="shared" si="58"/>
        <v>0.80108763856933696</v>
      </c>
      <c r="D304" s="15">
        <f t="shared" si="59"/>
        <v>0.80955400549566692</v>
      </c>
      <c r="E304" s="15">
        <f t="shared" si="60"/>
        <v>0.9895419368332985</v>
      </c>
      <c r="F304" s="16"/>
      <c r="G304" s="16"/>
      <c r="H304" s="16">
        <v>4781</v>
      </c>
      <c r="I304" s="16">
        <f t="shared" si="65"/>
        <v>50</v>
      </c>
      <c r="J304" s="16">
        <v>4731</v>
      </c>
      <c r="K304" s="16">
        <v>3830</v>
      </c>
      <c r="L304" s="16">
        <f t="shared" si="66"/>
        <v>901</v>
      </c>
    </row>
    <row r="305" spans="1:12" s="18" customFormat="1" ht="15" customHeight="1">
      <c r="A305" s="82">
        <v>2017</v>
      </c>
      <c r="B305" s="83" t="s">
        <v>47</v>
      </c>
      <c r="C305" s="15">
        <f t="shared" si="58"/>
        <v>0.85412075804319088</v>
      </c>
      <c r="D305" s="15">
        <f t="shared" si="59"/>
        <v>0.87831407205982326</v>
      </c>
      <c r="E305" s="15">
        <f t="shared" si="60"/>
        <v>0.97245482591449983</v>
      </c>
      <c r="F305" s="16"/>
      <c r="G305" s="16"/>
      <c r="H305" s="16">
        <v>4538</v>
      </c>
      <c r="I305" s="16">
        <f>H305-J305</f>
        <v>125</v>
      </c>
      <c r="J305" s="16">
        <v>4413</v>
      </c>
      <c r="K305" s="16">
        <v>3876</v>
      </c>
      <c r="L305" s="16">
        <f t="shared" si="66"/>
        <v>537</v>
      </c>
    </row>
    <row r="306" spans="1:12" s="18" customFormat="1" ht="15" customHeight="1">
      <c r="A306" s="82">
        <v>2018</v>
      </c>
      <c r="B306" s="83" t="s">
        <v>36</v>
      </c>
      <c r="C306" s="15">
        <f t="shared" si="58"/>
        <v>0.92981312472837896</v>
      </c>
      <c r="D306" s="15">
        <f t="shared" si="59"/>
        <v>0.94251101321585906</v>
      </c>
      <c r="E306" s="15">
        <f t="shared" si="60"/>
        <v>0.98652759669708823</v>
      </c>
      <c r="F306" s="16"/>
      <c r="G306" s="16"/>
      <c r="H306" s="16">
        <v>4602</v>
      </c>
      <c r="I306" s="16">
        <f>H306-J306</f>
        <v>62</v>
      </c>
      <c r="J306" s="16">
        <v>4540</v>
      </c>
      <c r="K306" s="16">
        <v>4279</v>
      </c>
      <c r="L306" s="16">
        <f t="shared" ref="L306:L317" si="67">J306-K306</f>
        <v>261</v>
      </c>
    </row>
    <row r="307" spans="1:12" s="18" customFormat="1" ht="15" customHeight="1">
      <c r="A307" s="82">
        <v>2018</v>
      </c>
      <c r="B307" s="83" t="s">
        <v>37</v>
      </c>
      <c r="C307" s="15">
        <f t="shared" si="58"/>
        <v>0.91451932606541131</v>
      </c>
      <c r="D307" s="15">
        <f t="shared" si="59"/>
        <v>0.92067847343477172</v>
      </c>
      <c r="E307" s="15">
        <f t="shared" si="60"/>
        <v>0.99331020812685833</v>
      </c>
      <c r="F307" s="16"/>
      <c r="G307" s="16"/>
      <c r="H307" s="16">
        <v>4036</v>
      </c>
      <c r="I307" s="16">
        <f t="shared" ref="I307:I314" si="68">+H307-J307</f>
        <v>27</v>
      </c>
      <c r="J307" s="16">
        <v>4009</v>
      </c>
      <c r="K307" s="16">
        <v>3691</v>
      </c>
      <c r="L307" s="16">
        <f t="shared" si="67"/>
        <v>318</v>
      </c>
    </row>
    <row r="308" spans="1:12" s="18" customFormat="1" ht="15" customHeight="1">
      <c r="A308" s="82">
        <v>2018</v>
      </c>
      <c r="B308" s="83" t="s">
        <v>38</v>
      </c>
      <c r="C308" s="15">
        <f t="shared" si="58"/>
        <v>0.89583333333333337</v>
      </c>
      <c r="D308" s="15">
        <f t="shared" si="59"/>
        <v>0.90507261629130709</v>
      </c>
      <c r="E308" s="15">
        <f t="shared" si="60"/>
        <v>0.98979166666666663</v>
      </c>
      <c r="F308" s="16"/>
      <c r="G308" s="16"/>
      <c r="H308" s="16">
        <v>4800</v>
      </c>
      <c r="I308" s="16">
        <f t="shared" si="68"/>
        <v>49</v>
      </c>
      <c r="J308" s="16">
        <v>4751</v>
      </c>
      <c r="K308" s="16">
        <v>4300</v>
      </c>
      <c r="L308" s="16">
        <f t="shared" si="67"/>
        <v>451</v>
      </c>
    </row>
    <row r="309" spans="1:12" s="18" customFormat="1" ht="15" customHeight="1">
      <c r="A309" s="82">
        <v>2018</v>
      </c>
      <c r="B309" s="83" t="s">
        <v>39</v>
      </c>
      <c r="C309" s="15">
        <f t="shared" si="58"/>
        <v>0.85376949740034658</v>
      </c>
      <c r="D309" s="15">
        <f t="shared" si="59"/>
        <v>0.87228862328463919</v>
      </c>
      <c r="E309" s="15">
        <f t="shared" si="60"/>
        <v>0.97876949740034658</v>
      </c>
      <c r="F309" s="16"/>
      <c r="G309" s="16"/>
      <c r="H309" s="16">
        <v>4616</v>
      </c>
      <c r="I309" s="16">
        <f t="shared" si="68"/>
        <v>98</v>
      </c>
      <c r="J309" s="16">
        <v>4518</v>
      </c>
      <c r="K309" s="16">
        <v>3941</v>
      </c>
      <c r="L309" s="16">
        <f t="shared" si="67"/>
        <v>577</v>
      </c>
    </row>
    <row r="310" spans="1:12" s="18" customFormat="1" ht="15" customHeight="1">
      <c r="A310" s="82">
        <v>2018</v>
      </c>
      <c r="B310" s="83" t="s">
        <v>40</v>
      </c>
      <c r="C310" s="15">
        <f t="shared" si="58"/>
        <v>0.80317068149063209</v>
      </c>
      <c r="D310" s="15">
        <f t="shared" si="59"/>
        <v>0.84055160525748762</v>
      </c>
      <c r="E310" s="15">
        <f t="shared" si="60"/>
        <v>0.95552810376775787</v>
      </c>
      <c r="F310" s="16"/>
      <c r="G310" s="16"/>
      <c r="H310" s="16">
        <v>4857</v>
      </c>
      <c r="I310" s="16">
        <f t="shared" si="68"/>
        <v>216</v>
      </c>
      <c r="J310" s="16">
        <v>4641</v>
      </c>
      <c r="K310" s="16">
        <v>3901</v>
      </c>
      <c r="L310" s="16">
        <f t="shared" si="67"/>
        <v>740</v>
      </c>
    </row>
    <row r="311" spans="1:12" s="18" customFormat="1" ht="15" customHeight="1">
      <c r="A311" s="82">
        <v>2018</v>
      </c>
      <c r="B311" s="83" t="s">
        <v>41</v>
      </c>
      <c r="C311" s="15">
        <f t="shared" si="58"/>
        <v>0.73851365657421131</v>
      </c>
      <c r="D311" s="15">
        <f t="shared" si="59"/>
        <v>0.78399640368622159</v>
      </c>
      <c r="E311" s="15">
        <f t="shared" si="60"/>
        <v>0.94198602583103963</v>
      </c>
      <c r="F311" s="16"/>
      <c r="G311" s="16"/>
      <c r="H311" s="16">
        <v>4723</v>
      </c>
      <c r="I311" s="16">
        <f t="shared" si="68"/>
        <v>274</v>
      </c>
      <c r="J311" s="16">
        <v>4449</v>
      </c>
      <c r="K311" s="16">
        <v>3488</v>
      </c>
      <c r="L311" s="16">
        <f t="shared" si="67"/>
        <v>961</v>
      </c>
    </row>
    <row r="312" spans="1:12" s="18" customFormat="1" ht="15" customHeight="1">
      <c r="A312" s="82">
        <v>2018</v>
      </c>
      <c r="B312" s="83" t="s">
        <v>42</v>
      </c>
      <c r="C312" s="15">
        <f t="shared" si="58"/>
        <v>0.8670234664470976</v>
      </c>
      <c r="D312" s="15">
        <f t="shared" si="59"/>
        <v>0.88338926174496646</v>
      </c>
      <c r="E312" s="15">
        <f t="shared" si="60"/>
        <v>0.98147385755454919</v>
      </c>
      <c r="F312" s="16"/>
      <c r="G312" s="16"/>
      <c r="H312" s="16">
        <v>4858</v>
      </c>
      <c r="I312" s="16">
        <f t="shared" si="68"/>
        <v>90</v>
      </c>
      <c r="J312" s="16">
        <v>4768</v>
      </c>
      <c r="K312" s="16">
        <v>4212</v>
      </c>
      <c r="L312" s="16">
        <f t="shared" si="67"/>
        <v>556</v>
      </c>
    </row>
    <row r="313" spans="1:12" s="18" customFormat="1" ht="15" customHeight="1">
      <c r="A313" s="82">
        <v>2018</v>
      </c>
      <c r="B313" s="83" t="s">
        <v>43</v>
      </c>
      <c r="C313" s="15">
        <f t="shared" si="58"/>
        <v>0.84877164720096654</v>
      </c>
      <c r="D313" s="15">
        <f t="shared" si="59"/>
        <v>0.85531655844155841</v>
      </c>
      <c r="E313" s="15">
        <f t="shared" si="60"/>
        <v>0.99234796616995569</v>
      </c>
      <c r="F313" s="16"/>
      <c r="G313" s="16"/>
      <c r="H313" s="16">
        <v>4966</v>
      </c>
      <c r="I313" s="16">
        <f t="shared" si="68"/>
        <v>38</v>
      </c>
      <c r="J313" s="16">
        <v>4928</v>
      </c>
      <c r="K313" s="16">
        <v>4215</v>
      </c>
      <c r="L313" s="16">
        <f t="shared" si="67"/>
        <v>713</v>
      </c>
    </row>
    <row r="314" spans="1:12" s="18" customFormat="1" ht="15" customHeight="1">
      <c r="A314" s="82">
        <v>2018</v>
      </c>
      <c r="B314" s="83" t="s">
        <v>44</v>
      </c>
      <c r="C314" s="15">
        <f t="shared" si="58"/>
        <v>0.79746031746031742</v>
      </c>
      <c r="D314" s="15">
        <f t="shared" si="59"/>
        <v>0.83547671840354765</v>
      </c>
      <c r="E314" s="15">
        <f t="shared" si="60"/>
        <v>0.95449735449735451</v>
      </c>
      <c r="F314" s="16"/>
      <c r="G314" s="16"/>
      <c r="H314" s="16">
        <v>4725</v>
      </c>
      <c r="I314" s="16">
        <f t="shared" si="68"/>
        <v>215</v>
      </c>
      <c r="J314" s="16">
        <v>4510</v>
      </c>
      <c r="K314" s="16">
        <v>3768</v>
      </c>
      <c r="L314" s="16">
        <f t="shared" si="67"/>
        <v>742</v>
      </c>
    </row>
    <row r="315" spans="1:12" s="18" customFormat="1" ht="15" customHeight="1">
      <c r="A315" s="82">
        <v>2018</v>
      </c>
      <c r="B315" s="83" t="s">
        <v>45</v>
      </c>
      <c r="C315" s="15">
        <f t="shared" si="58"/>
        <v>0.81071284736206206</v>
      </c>
      <c r="D315" s="15">
        <f t="shared" si="59"/>
        <v>0.84704397222806649</v>
      </c>
      <c r="E315" s="15">
        <f t="shared" si="60"/>
        <v>0.95710833668948847</v>
      </c>
      <c r="F315" s="16"/>
      <c r="G315" s="16"/>
      <c r="H315" s="16">
        <v>4966</v>
      </c>
      <c r="I315" s="16">
        <f>H315-J315</f>
        <v>213</v>
      </c>
      <c r="J315" s="16">
        <v>4753</v>
      </c>
      <c r="K315" s="16">
        <v>4026</v>
      </c>
      <c r="L315" s="16">
        <f t="shared" si="67"/>
        <v>727</v>
      </c>
    </row>
    <row r="316" spans="1:12" s="18" customFormat="1" ht="15" customHeight="1">
      <c r="A316" s="82">
        <v>2018</v>
      </c>
      <c r="B316" s="83" t="s">
        <v>46</v>
      </c>
      <c r="C316" s="15">
        <f t="shared" si="58"/>
        <v>0.77640660949592133</v>
      </c>
      <c r="D316" s="15">
        <f t="shared" si="59"/>
        <v>0.82838652086587816</v>
      </c>
      <c r="E316" s="15">
        <f t="shared" si="60"/>
        <v>0.93725162099979087</v>
      </c>
      <c r="F316" s="16"/>
      <c r="G316" s="16"/>
      <c r="H316" s="16">
        <v>4781</v>
      </c>
      <c r="I316" s="16">
        <f>H316-J316</f>
        <v>300</v>
      </c>
      <c r="J316" s="16">
        <v>4481</v>
      </c>
      <c r="K316" s="16">
        <v>3712</v>
      </c>
      <c r="L316" s="16">
        <f t="shared" si="67"/>
        <v>769</v>
      </c>
    </row>
    <row r="317" spans="1:12" s="18" customFormat="1" ht="15" customHeight="1">
      <c r="A317" s="82">
        <v>2018</v>
      </c>
      <c r="B317" s="83" t="s">
        <v>47</v>
      </c>
      <c r="C317" s="15">
        <f t="shared" si="58"/>
        <v>0.82092772384034518</v>
      </c>
      <c r="D317" s="15">
        <f t="shared" si="59"/>
        <v>0.86694007746639323</v>
      </c>
      <c r="E317" s="15">
        <f t="shared" si="60"/>
        <v>0.94692556634304204</v>
      </c>
      <c r="F317" s="16"/>
      <c r="G317" s="16"/>
      <c r="H317" s="16">
        <v>4635</v>
      </c>
      <c r="I317" s="16">
        <f>H317-J317</f>
        <v>246</v>
      </c>
      <c r="J317" s="16">
        <v>4389</v>
      </c>
      <c r="K317" s="16">
        <v>3805</v>
      </c>
      <c r="L317" s="16">
        <f t="shared" si="67"/>
        <v>584</v>
      </c>
    </row>
    <row r="318" spans="1:12" s="18" customFormat="1" ht="15" customHeight="1">
      <c r="A318" s="82">
        <v>2019</v>
      </c>
      <c r="B318" s="83" t="s">
        <v>36</v>
      </c>
      <c r="C318" s="15">
        <f t="shared" si="58"/>
        <v>0.91945227547321784</v>
      </c>
      <c r="D318" s="15">
        <f t="shared" si="59"/>
        <v>0.93815492089582908</v>
      </c>
      <c r="E318" s="15">
        <f t="shared" si="60"/>
        <v>0.98006443817962141</v>
      </c>
      <c r="F318" s="16"/>
      <c r="G318" s="16"/>
      <c r="H318" s="16">
        <v>4966</v>
      </c>
      <c r="I318" s="16">
        <f>H318-J318</f>
        <v>99</v>
      </c>
      <c r="J318" s="16">
        <v>4867</v>
      </c>
      <c r="K318" s="16">
        <v>4566</v>
      </c>
      <c r="L318" s="16">
        <f t="shared" ref="L318:L334" si="69">J318-K318</f>
        <v>301</v>
      </c>
    </row>
    <row r="319" spans="1:12" s="18" customFormat="1" ht="15" customHeight="1">
      <c r="A319" s="82">
        <v>2019</v>
      </c>
      <c r="B319" s="83" t="s">
        <v>37</v>
      </c>
      <c r="C319" s="15">
        <f t="shared" si="58"/>
        <v>0.90309734513274331</v>
      </c>
      <c r="D319" s="15">
        <f t="shared" si="59"/>
        <v>0.91504147052230445</v>
      </c>
      <c r="E319" s="15">
        <f t="shared" si="60"/>
        <v>0.98694690265486729</v>
      </c>
      <c r="F319" s="16"/>
      <c r="G319" s="16"/>
      <c r="H319" s="16">
        <v>4520</v>
      </c>
      <c r="I319" s="16">
        <f t="shared" ref="I319:I329" si="70">+H319-J319</f>
        <v>59</v>
      </c>
      <c r="J319" s="16">
        <v>4461</v>
      </c>
      <c r="K319" s="16">
        <v>4082</v>
      </c>
      <c r="L319" s="16">
        <f t="shared" si="69"/>
        <v>379</v>
      </c>
    </row>
    <row r="320" spans="1:12" s="18" customFormat="1" ht="15" customHeight="1">
      <c r="A320" s="82">
        <v>2019</v>
      </c>
      <c r="B320" s="83" t="s">
        <v>38</v>
      </c>
      <c r="C320" s="15">
        <f t="shared" si="58"/>
        <v>0.84694095075676823</v>
      </c>
      <c r="D320" s="15">
        <f t="shared" si="59"/>
        <v>0.86765669360122299</v>
      </c>
      <c r="E320" s="15">
        <f t="shared" si="60"/>
        <v>0.97612449371136223</v>
      </c>
      <c r="F320" s="16"/>
      <c r="G320" s="16"/>
      <c r="H320" s="16">
        <v>4691</v>
      </c>
      <c r="I320" s="16">
        <f t="shared" si="70"/>
        <v>112</v>
      </c>
      <c r="J320" s="16">
        <v>4579</v>
      </c>
      <c r="K320" s="16">
        <v>3973</v>
      </c>
      <c r="L320" s="16">
        <f t="shared" si="69"/>
        <v>606</v>
      </c>
    </row>
    <row r="321" spans="1:12" s="18" customFormat="1" ht="15" customHeight="1">
      <c r="A321" s="82">
        <v>2019</v>
      </c>
      <c r="B321" s="83" t="s">
        <v>39</v>
      </c>
      <c r="C321" s="15">
        <f t="shared" si="58"/>
        <v>0.82426868905742146</v>
      </c>
      <c r="D321" s="15">
        <f t="shared" si="59"/>
        <v>0.83751651254953763</v>
      </c>
      <c r="E321" s="15">
        <f t="shared" si="60"/>
        <v>0.98418201516793069</v>
      </c>
      <c r="F321" s="16"/>
      <c r="G321" s="16"/>
      <c r="H321" s="16">
        <v>4615</v>
      </c>
      <c r="I321" s="16">
        <f t="shared" si="70"/>
        <v>73</v>
      </c>
      <c r="J321" s="16">
        <v>4542</v>
      </c>
      <c r="K321" s="16">
        <v>3804</v>
      </c>
      <c r="L321" s="16">
        <f t="shared" si="69"/>
        <v>738</v>
      </c>
    </row>
    <row r="322" spans="1:12" s="18" customFormat="1" ht="15" customHeight="1">
      <c r="A322" s="82">
        <v>2019</v>
      </c>
      <c r="B322" s="83" t="s">
        <v>40</v>
      </c>
      <c r="C322" s="15">
        <f t="shared" si="58"/>
        <v>0.74501424501424507</v>
      </c>
      <c r="D322" s="15">
        <f t="shared" si="59"/>
        <v>0.79604261796042619</v>
      </c>
      <c r="E322" s="15">
        <f t="shared" si="60"/>
        <v>0.9358974358974359</v>
      </c>
      <c r="F322" s="16"/>
      <c r="G322" s="16"/>
      <c r="H322" s="16">
        <v>4914</v>
      </c>
      <c r="I322" s="16">
        <f t="shared" si="70"/>
        <v>315</v>
      </c>
      <c r="J322" s="16">
        <v>4599</v>
      </c>
      <c r="K322" s="16">
        <v>3661</v>
      </c>
      <c r="L322" s="16">
        <f t="shared" si="69"/>
        <v>938</v>
      </c>
    </row>
    <row r="323" spans="1:12" s="18" customFormat="1" ht="15" customHeight="1">
      <c r="A323" s="82">
        <v>2019</v>
      </c>
      <c r="B323" s="83" t="s">
        <v>41</v>
      </c>
      <c r="C323" s="15">
        <f t="shared" si="58"/>
        <v>0.79321056134901269</v>
      </c>
      <c r="D323" s="15">
        <f t="shared" si="59"/>
        <v>0.81213084961381188</v>
      </c>
      <c r="E323" s="15">
        <f t="shared" si="60"/>
        <v>0.97670290658974923</v>
      </c>
      <c r="F323" s="16"/>
      <c r="G323" s="16"/>
      <c r="H323" s="16">
        <v>4507</v>
      </c>
      <c r="I323" s="16">
        <f t="shared" si="70"/>
        <v>105</v>
      </c>
      <c r="J323" s="16">
        <v>4402</v>
      </c>
      <c r="K323" s="16">
        <v>3575</v>
      </c>
      <c r="L323" s="16">
        <f t="shared" si="69"/>
        <v>827</v>
      </c>
    </row>
    <row r="324" spans="1:12" s="18" customFormat="1" ht="15" customHeight="1">
      <c r="A324" s="82">
        <v>2019</v>
      </c>
      <c r="B324" s="83" t="s">
        <v>42</v>
      </c>
      <c r="C324" s="15">
        <f t="shared" si="58"/>
        <v>0.85740476675493993</v>
      </c>
      <c r="D324" s="15">
        <f t="shared" si="59"/>
        <v>0.86604938271604937</v>
      </c>
      <c r="E324" s="15">
        <f t="shared" si="60"/>
        <v>0.99001833367284575</v>
      </c>
      <c r="F324" s="16">
        <v>185</v>
      </c>
      <c r="G324" s="16">
        <v>6</v>
      </c>
      <c r="H324" s="16">
        <v>4909</v>
      </c>
      <c r="I324" s="16">
        <f t="shared" si="70"/>
        <v>49</v>
      </c>
      <c r="J324" s="16">
        <v>4860</v>
      </c>
      <c r="K324" s="16">
        <v>4209</v>
      </c>
      <c r="L324" s="16">
        <f t="shared" si="69"/>
        <v>651</v>
      </c>
    </row>
    <row r="325" spans="1:12" s="18" customFormat="1" ht="15" customHeight="1">
      <c r="A325" s="82">
        <v>2019</v>
      </c>
      <c r="B325" s="83" t="s">
        <v>43</v>
      </c>
      <c r="C325" s="15">
        <f t="shared" si="58"/>
        <v>0.87003463027093098</v>
      </c>
      <c r="D325" s="15">
        <f t="shared" si="59"/>
        <v>0.8916492693110647</v>
      </c>
      <c r="E325" s="15">
        <f t="shared" si="60"/>
        <v>0.97575881034833978</v>
      </c>
      <c r="F325" s="16">
        <v>185</v>
      </c>
      <c r="G325" s="16">
        <v>6</v>
      </c>
      <c r="H325" s="16">
        <v>4909</v>
      </c>
      <c r="I325" s="16">
        <f t="shared" si="70"/>
        <v>119</v>
      </c>
      <c r="J325" s="16">
        <v>4790</v>
      </c>
      <c r="K325" s="16">
        <v>4271</v>
      </c>
      <c r="L325" s="16">
        <f t="shared" si="69"/>
        <v>519</v>
      </c>
    </row>
    <row r="326" spans="1:12" s="18" customFormat="1" ht="15" customHeight="1">
      <c r="A326" s="82">
        <v>2019</v>
      </c>
      <c r="B326" s="83" t="s">
        <v>44</v>
      </c>
      <c r="C326" s="15">
        <f t="shared" ref="C326:C334" si="71">K326/H326</f>
        <v>0.91718946047678795</v>
      </c>
      <c r="D326" s="15">
        <f t="shared" ref="D326:D334" si="72">K326/J326</f>
        <v>0.92648922686945501</v>
      </c>
      <c r="E326" s="15">
        <f t="shared" ref="E326:E334" si="73">J326/H326</f>
        <v>0.9899623588456713</v>
      </c>
      <c r="F326" s="16">
        <v>185</v>
      </c>
      <c r="G326" s="16">
        <v>6</v>
      </c>
      <c r="H326" s="16">
        <v>4782</v>
      </c>
      <c r="I326" s="16">
        <f t="shared" si="70"/>
        <v>48</v>
      </c>
      <c r="J326" s="16">
        <v>4734</v>
      </c>
      <c r="K326" s="16">
        <v>4386</v>
      </c>
      <c r="L326" s="16">
        <f t="shared" si="69"/>
        <v>348</v>
      </c>
    </row>
    <row r="327" spans="1:12" s="18" customFormat="1" ht="15" customHeight="1">
      <c r="A327" s="82">
        <v>2019</v>
      </c>
      <c r="B327" s="83" t="s">
        <v>45</v>
      </c>
      <c r="C327" s="15">
        <f t="shared" si="71"/>
        <v>0.85521546516310909</v>
      </c>
      <c r="D327" s="15">
        <f t="shared" si="72"/>
        <v>0.9111778588285776</v>
      </c>
      <c r="E327" s="15">
        <f t="shared" si="73"/>
        <v>0.93858236004832862</v>
      </c>
      <c r="F327" s="16">
        <v>185</v>
      </c>
      <c r="G327" s="16">
        <v>6</v>
      </c>
      <c r="H327" s="16">
        <v>4966</v>
      </c>
      <c r="I327" s="16">
        <f t="shared" si="70"/>
        <v>305</v>
      </c>
      <c r="J327" s="16">
        <v>4661</v>
      </c>
      <c r="K327" s="16">
        <v>4247</v>
      </c>
      <c r="L327" s="16">
        <f t="shared" si="69"/>
        <v>414</v>
      </c>
    </row>
    <row r="328" spans="1:12" s="18" customFormat="1" ht="15" customHeight="1">
      <c r="A328" s="82">
        <v>2019</v>
      </c>
      <c r="B328" s="83" t="s">
        <v>46</v>
      </c>
      <c r="C328" s="15">
        <f t="shared" si="71"/>
        <v>0.78302286198137172</v>
      </c>
      <c r="D328" s="15">
        <f t="shared" si="72"/>
        <v>0.90043816942551125</v>
      </c>
      <c r="E328" s="15">
        <f t="shared" si="73"/>
        <v>0.86960203217612198</v>
      </c>
      <c r="F328" s="16">
        <v>185</v>
      </c>
      <c r="G328" s="16">
        <v>6</v>
      </c>
      <c r="H328" s="16">
        <v>4724</v>
      </c>
      <c r="I328" s="16">
        <f t="shared" si="70"/>
        <v>616</v>
      </c>
      <c r="J328" s="16">
        <v>4108</v>
      </c>
      <c r="K328" s="16">
        <v>3699</v>
      </c>
      <c r="L328" s="16">
        <f t="shared" si="69"/>
        <v>409</v>
      </c>
    </row>
    <row r="329" spans="1:12" s="18" customFormat="1" ht="15" customHeight="1">
      <c r="A329" s="82">
        <v>2019</v>
      </c>
      <c r="B329" s="83" t="s">
        <v>47</v>
      </c>
      <c r="C329" s="15">
        <f t="shared" si="71"/>
        <v>0.84081804764916723</v>
      </c>
      <c r="D329" s="15">
        <f t="shared" si="72"/>
        <v>0.9167816091954023</v>
      </c>
      <c r="E329" s="15">
        <f t="shared" si="73"/>
        <v>0.91714104996837442</v>
      </c>
      <c r="F329" s="16">
        <v>185</v>
      </c>
      <c r="G329" s="16">
        <v>6</v>
      </c>
      <c r="H329" s="16">
        <v>4743</v>
      </c>
      <c r="I329" s="16">
        <f t="shared" si="70"/>
        <v>393</v>
      </c>
      <c r="J329" s="16">
        <v>4350</v>
      </c>
      <c r="K329" s="16">
        <v>3988</v>
      </c>
      <c r="L329" s="16">
        <f t="shared" si="69"/>
        <v>362</v>
      </c>
    </row>
    <row r="330" spans="1:12" s="18" customFormat="1" ht="15" customHeight="1">
      <c r="A330" s="82">
        <v>2020</v>
      </c>
      <c r="B330" s="83" t="s">
        <v>36</v>
      </c>
      <c r="C330" s="15">
        <f t="shared" si="71"/>
        <v>0.94703987112364074</v>
      </c>
      <c r="D330" s="15">
        <f t="shared" si="72"/>
        <v>0.95376191441898195</v>
      </c>
      <c r="E330" s="15">
        <f t="shared" si="73"/>
        <v>0.99295207410390651</v>
      </c>
      <c r="F330" s="16">
        <v>185</v>
      </c>
      <c r="G330" s="16">
        <v>6</v>
      </c>
      <c r="H330" s="16">
        <v>4966</v>
      </c>
      <c r="I330" s="16">
        <f>H330-J330</f>
        <v>35</v>
      </c>
      <c r="J330" s="16">
        <v>4931</v>
      </c>
      <c r="K330" s="16">
        <v>4703</v>
      </c>
      <c r="L330" s="16">
        <f t="shared" si="69"/>
        <v>228</v>
      </c>
    </row>
    <row r="331" spans="1:12" s="18" customFormat="1" ht="15" customHeight="1">
      <c r="A331" s="82">
        <v>2020</v>
      </c>
      <c r="B331" s="83" t="s">
        <v>37</v>
      </c>
      <c r="C331" s="15">
        <f t="shared" si="71"/>
        <v>0.93860045146726867</v>
      </c>
      <c r="D331" s="15">
        <f t="shared" si="72"/>
        <v>0.94866529774127306</v>
      </c>
      <c r="E331" s="15">
        <f t="shared" si="73"/>
        <v>0.98939051918735887</v>
      </c>
      <c r="F331" s="16">
        <v>185</v>
      </c>
      <c r="G331" s="16">
        <v>6</v>
      </c>
      <c r="H331" s="16">
        <v>4430</v>
      </c>
      <c r="I331" s="16">
        <f>+H331-J331</f>
        <v>47</v>
      </c>
      <c r="J331" s="16">
        <v>4383</v>
      </c>
      <c r="K331" s="16">
        <v>4158</v>
      </c>
      <c r="L331" s="16">
        <f t="shared" si="69"/>
        <v>225</v>
      </c>
    </row>
    <row r="332" spans="1:12" s="18" customFormat="1" ht="15" customHeight="1">
      <c r="A332" s="82">
        <v>2020</v>
      </c>
      <c r="B332" s="83" t="s">
        <v>38</v>
      </c>
      <c r="C332" s="15">
        <f t="shared" si="71"/>
        <v>0.93258426966292129</v>
      </c>
      <c r="D332" s="15">
        <f t="shared" si="72"/>
        <v>0.96098665995469423</v>
      </c>
      <c r="E332" s="15">
        <f t="shared" si="73"/>
        <v>0.97044455300439669</v>
      </c>
      <c r="F332" s="16">
        <v>185</v>
      </c>
      <c r="G332" s="16">
        <v>6</v>
      </c>
      <c r="H332" s="16">
        <v>4094</v>
      </c>
      <c r="I332" s="16">
        <f>+H332-J332</f>
        <v>121</v>
      </c>
      <c r="J332" s="16">
        <v>3973</v>
      </c>
      <c r="K332" s="16">
        <v>3818</v>
      </c>
      <c r="L332" s="16">
        <f t="shared" si="69"/>
        <v>155</v>
      </c>
    </row>
    <row r="333" spans="1:12" s="18" customFormat="1" ht="15" customHeight="1">
      <c r="A333" s="82">
        <v>2020</v>
      </c>
      <c r="B333" s="83" t="s">
        <v>39</v>
      </c>
      <c r="C333" s="15">
        <f t="shared" si="71"/>
        <v>0.95729435368300375</v>
      </c>
      <c r="D333" s="15">
        <f t="shared" si="72"/>
        <v>0.98758131283264339</v>
      </c>
      <c r="E333" s="15">
        <f t="shared" si="73"/>
        <v>0.96933218687302947</v>
      </c>
      <c r="F333" s="16">
        <v>185</v>
      </c>
      <c r="G333" s="16">
        <v>6</v>
      </c>
      <c r="H333" s="16">
        <v>3489</v>
      </c>
      <c r="I333" s="16">
        <f>+H333-J333</f>
        <v>107</v>
      </c>
      <c r="J333" s="16">
        <v>3382</v>
      </c>
      <c r="K333" s="16">
        <v>3340</v>
      </c>
      <c r="L333" s="16">
        <f t="shared" si="69"/>
        <v>42</v>
      </c>
    </row>
    <row r="334" spans="1:12" s="18" customFormat="1" ht="15" customHeight="1">
      <c r="A334" s="82">
        <v>2020</v>
      </c>
      <c r="B334" s="83" t="s">
        <v>40</v>
      </c>
      <c r="C334" s="15">
        <f t="shared" si="71"/>
        <v>0.93737463784265651</v>
      </c>
      <c r="D334" s="15">
        <f t="shared" si="72"/>
        <v>0.98964705882352944</v>
      </c>
      <c r="E334" s="15">
        <f t="shared" si="73"/>
        <v>0.947180744372632</v>
      </c>
      <c r="F334" s="16">
        <v>185</v>
      </c>
      <c r="G334" s="16">
        <v>6</v>
      </c>
      <c r="H334" s="16">
        <v>4487</v>
      </c>
      <c r="I334" s="16">
        <f>+H334-J334</f>
        <v>237</v>
      </c>
      <c r="J334" s="16">
        <v>4250</v>
      </c>
      <c r="K334" s="16">
        <v>4206</v>
      </c>
      <c r="L334" s="16">
        <f t="shared" si="69"/>
        <v>44</v>
      </c>
    </row>
    <row r="335" spans="1:12" s="18" customFormat="1" ht="15" customHeight="1">
      <c r="A335" s="82">
        <v>2020</v>
      </c>
      <c r="B335" s="83" t="s">
        <v>41</v>
      </c>
      <c r="C335" s="15">
        <f t="shared" ref="C335:C341" si="74">K335/H335</f>
        <v>0.91330090928314656</v>
      </c>
      <c r="D335" s="15">
        <f t="shared" ref="D335:D341" si="75">K335/J335</f>
        <v>0.99014213663457129</v>
      </c>
      <c r="E335" s="15">
        <f t="shared" ref="E335:E341" si="76">J335/H335</f>
        <v>0.92239374074857261</v>
      </c>
      <c r="F335" s="16">
        <v>185</v>
      </c>
      <c r="G335" s="16">
        <v>6</v>
      </c>
      <c r="H335" s="16">
        <v>4729</v>
      </c>
      <c r="I335" s="16">
        <f t="shared" ref="I335:I352" si="77">+H335-J335</f>
        <v>367</v>
      </c>
      <c r="J335" s="16">
        <v>4362</v>
      </c>
      <c r="K335" s="16">
        <v>4319</v>
      </c>
      <c r="L335" s="16">
        <f t="shared" ref="L335:L341" si="78">J335-K335</f>
        <v>43</v>
      </c>
    </row>
    <row r="336" spans="1:12" s="18" customFormat="1" ht="15" customHeight="1">
      <c r="A336" s="82">
        <v>2020</v>
      </c>
      <c r="B336" s="83" t="s">
        <v>42</v>
      </c>
      <c r="C336" s="15">
        <f t="shared" si="74"/>
        <v>0.84887790817376985</v>
      </c>
      <c r="D336" s="15">
        <f t="shared" si="75"/>
        <v>0.97309417040358748</v>
      </c>
      <c r="E336" s="15">
        <f t="shared" si="76"/>
        <v>0.87234918674078654</v>
      </c>
      <c r="F336" s="16">
        <v>185</v>
      </c>
      <c r="G336" s="16">
        <v>6</v>
      </c>
      <c r="H336" s="16">
        <v>4857</v>
      </c>
      <c r="I336" s="16">
        <f t="shared" si="77"/>
        <v>620</v>
      </c>
      <c r="J336" s="16">
        <v>4237</v>
      </c>
      <c r="K336" s="16">
        <v>4123</v>
      </c>
      <c r="L336" s="16">
        <f t="shared" si="78"/>
        <v>114</v>
      </c>
    </row>
    <row r="337" spans="1:12" s="18" customFormat="1" ht="15" customHeight="1">
      <c r="A337" s="82">
        <v>2020</v>
      </c>
      <c r="B337" s="83" t="s">
        <v>43</v>
      </c>
      <c r="C337" s="15">
        <f t="shared" si="74"/>
        <v>0.92439075192668196</v>
      </c>
      <c r="D337" s="15">
        <f t="shared" si="75"/>
        <v>0.9842537147926369</v>
      </c>
      <c r="E337" s="15">
        <f t="shared" si="76"/>
        <v>0.93917933763799211</v>
      </c>
      <c r="F337" s="16">
        <v>185</v>
      </c>
      <c r="G337" s="16">
        <v>6</v>
      </c>
      <c r="H337" s="16">
        <v>4801</v>
      </c>
      <c r="I337" s="16">
        <f t="shared" si="77"/>
        <v>292</v>
      </c>
      <c r="J337" s="16">
        <v>4509</v>
      </c>
      <c r="K337" s="16">
        <v>4438</v>
      </c>
      <c r="L337" s="16">
        <f t="shared" si="78"/>
        <v>71</v>
      </c>
    </row>
    <row r="338" spans="1:12" s="18" customFormat="1" ht="15" customHeight="1">
      <c r="A338" s="82">
        <v>2020</v>
      </c>
      <c r="B338" s="83" t="s">
        <v>44</v>
      </c>
      <c r="C338" s="15">
        <f t="shared" si="74"/>
        <v>0.92106339468302656</v>
      </c>
      <c r="D338" s="15">
        <f t="shared" si="75"/>
        <v>0.98469610843900302</v>
      </c>
      <c r="E338" s="15">
        <f t="shared" si="76"/>
        <v>0.93537832310838442</v>
      </c>
      <c r="F338" s="16">
        <v>185</v>
      </c>
      <c r="G338" s="16">
        <v>6</v>
      </c>
      <c r="H338" s="16">
        <v>4890</v>
      </c>
      <c r="I338" s="16">
        <f t="shared" si="77"/>
        <v>316</v>
      </c>
      <c r="J338" s="16">
        <v>4574</v>
      </c>
      <c r="K338" s="16">
        <v>4504</v>
      </c>
      <c r="L338" s="16">
        <f t="shared" si="78"/>
        <v>70</v>
      </c>
    </row>
    <row r="339" spans="1:12" s="18" customFormat="1" ht="15" customHeight="1">
      <c r="A339" s="82">
        <v>2020</v>
      </c>
      <c r="B339" s="83" t="s">
        <v>45</v>
      </c>
      <c r="C339" s="15">
        <f t="shared" si="74"/>
        <v>0.92198003666734574</v>
      </c>
      <c r="D339" s="15">
        <f t="shared" si="75"/>
        <v>0.98434101783384076</v>
      </c>
      <c r="E339" s="15">
        <f t="shared" si="76"/>
        <v>0.93664697494398041</v>
      </c>
      <c r="F339" s="16">
        <v>185</v>
      </c>
      <c r="G339" s="16">
        <v>6</v>
      </c>
      <c r="H339" s="16">
        <v>4909</v>
      </c>
      <c r="I339" s="16">
        <f t="shared" si="77"/>
        <v>311</v>
      </c>
      <c r="J339" s="16">
        <v>4598</v>
      </c>
      <c r="K339" s="16">
        <v>4526</v>
      </c>
      <c r="L339" s="16">
        <f t="shared" si="78"/>
        <v>72</v>
      </c>
    </row>
    <row r="340" spans="1:12" s="18" customFormat="1" ht="15" customHeight="1">
      <c r="A340" s="82">
        <v>2020</v>
      </c>
      <c r="B340" s="83" t="s">
        <v>46</v>
      </c>
      <c r="C340" s="15">
        <f t="shared" si="74"/>
        <v>0.92017975604536695</v>
      </c>
      <c r="D340" s="15">
        <f t="shared" si="75"/>
        <v>0.98398169336384445</v>
      </c>
      <c r="E340" s="15">
        <f t="shared" si="76"/>
        <v>0.93515942649261719</v>
      </c>
      <c r="F340" s="16">
        <v>185</v>
      </c>
      <c r="G340" s="16">
        <v>6</v>
      </c>
      <c r="H340" s="16">
        <v>4673</v>
      </c>
      <c r="I340" s="16">
        <f t="shared" si="77"/>
        <v>303</v>
      </c>
      <c r="J340" s="16">
        <v>4370</v>
      </c>
      <c r="K340" s="16">
        <v>4300</v>
      </c>
      <c r="L340" s="16">
        <f t="shared" si="78"/>
        <v>70</v>
      </c>
    </row>
    <row r="341" spans="1:12" s="18" customFormat="1" ht="15" customHeight="1">
      <c r="A341" s="82">
        <v>2020</v>
      </c>
      <c r="B341" s="83" t="s">
        <v>47</v>
      </c>
      <c r="C341" s="15">
        <f t="shared" si="74"/>
        <v>0.8642641346568839</v>
      </c>
      <c r="D341" s="15">
        <f t="shared" si="75"/>
        <v>0.93881856540084385</v>
      </c>
      <c r="E341" s="15">
        <f t="shared" si="76"/>
        <v>0.92058696590418643</v>
      </c>
      <c r="F341" s="16">
        <v>185</v>
      </c>
      <c r="G341" s="16">
        <v>6</v>
      </c>
      <c r="H341" s="16">
        <v>4634</v>
      </c>
      <c r="I341" s="16">
        <f t="shared" si="77"/>
        <v>368</v>
      </c>
      <c r="J341" s="16">
        <v>4266</v>
      </c>
      <c r="K341" s="16">
        <v>4005</v>
      </c>
      <c r="L341" s="16">
        <f t="shared" si="78"/>
        <v>261</v>
      </c>
    </row>
    <row r="342" spans="1:12" s="18" customFormat="1" ht="15" customHeight="1">
      <c r="A342" s="82">
        <v>2021</v>
      </c>
      <c r="B342" s="83" t="s">
        <v>36</v>
      </c>
      <c r="C342" s="15">
        <f t="shared" ref="C342:C351" si="79">K342/H342</f>
        <v>0.86711101853780459</v>
      </c>
      <c r="D342" s="15">
        <f t="shared" ref="D342:D351" si="80">K342/J342</f>
        <v>0.9329896907216495</v>
      </c>
      <c r="E342" s="15">
        <f t="shared" ref="E342:E351" si="81">J342/H342</f>
        <v>0.92938971047698393</v>
      </c>
      <c r="F342" s="16">
        <v>185</v>
      </c>
      <c r="G342" s="16">
        <v>6</v>
      </c>
      <c r="H342" s="16">
        <v>4801</v>
      </c>
      <c r="I342" s="16">
        <f t="shared" si="77"/>
        <v>339</v>
      </c>
      <c r="J342" s="16">
        <v>4462</v>
      </c>
      <c r="K342" s="16">
        <v>4163</v>
      </c>
      <c r="L342" s="16">
        <f t="shared" ref="L342:L351" si="82">J342-K342</f>
        <v>299</v>
      </c>
    </row>
    <row r="343" spans="1:12" s="18" customFormat="1" ht="15" customHeight="1">
      <c r="A343" s="82">
        <v>2021</v>
      </c>
      <c r="B343" s="83" t="s">
        <v>37</v>
      </c>
      <c r="C343" s="15">
        <f t="shared" si="79"/>
        <v>0.79056252905625291</v>
      </c>
      <c r="D343" s="15">
        <f t="shared" si="80"/>
        <v>0.87272260713369254</v>
      </c>
      <c r="E343" s="15">
        <f t="shared" si="81"/>
        <v>0.90585774058577406</v>
      </c>
      <c r="F343" s="16">
        <v>185</v>
      </c>
      <c r="G343" s="16">
        <v>6</v>
      </c>
      <c r="H343" s="16">
        <v>4302</v>
      </c>
      <c r="I343" s="16">
        <f t="shared" si="77"/>
        <v>405</v>
      </c>
      <c r="J343" s="16">
        <v>3897</v>
      </c>
      <c r="K343" s="16">
        <v>3401</v>
      </c>
      <c r="L343" s="16">
        <f t="shared" si="82"/>
        <v>496</v>
      </c>
    </row>
    <row r="344" spans="1:12" s="18" customFormat="1" ht="15" customHeight="1">
      <c r="A344" s="82">
        <v>2021</v>
      </c>
      <c r="B344" s="83" t="s">
        <v>38</v>
      </c>
      <c r="C344" s="15">
        <f t="shared" si="79"/>
        <v>0.74466371325010072</v>
      </c>
      <c r="D344" s="15">
        <f t="shared" si="80"/>
        <v>0.82031943212067437</v>
      </c>
      <c r="E344" s="15">
        <f t="shared" si="81"/>
        <v>0.9077728554168345</v>
      </c>
      <c r="F344" s="16">
        <v>185</v>
      </c>
      <c r="G344" s="16">
        <v>6</v>
      </c>
      <c r="H344" s="16">
        <v>4966</v>
      </c>
      <c r="I344" s="16">
        <f t="shared" si="77"/>
        <v>458</v>
      </c>
      <c r="J344" s="16">
        <v>4508</v>
      </c>
      <c r="K344" s="16">
        <v>3698</v>
      </c>
      <c r="L344" s="16">
        <f t="shared" si="82"/>
        <v>810</v>
      </c>
    </row>
    <row r="345" spans="1:12" s="18" customFormat="1" ht="15" customHeight="1">
      <c r="A345" s="82">
        <v>2021</v>
      </c>
      <c r="B345" s="83" t="s">
        <v>39</v>
      </c>
      <c r="C345" s="15">
        <f t="shared" si="79"/>
        <v>0.5355630821337849</v>
      </c>
      <c r="D345" s="15">
        <f t="shared" si="80"/>
        <v>0.59029398040130654</v>
      </c>
      <c r="E345" s="15">
        <f t="shared" si="81"/>
        <v>0.90728196443691789</v>
      </c>
      <c r="F345" s="16">
        <v>185</v>
      </c>
      <c r="G345" s="16">
        <v>6</v>
      </c>
      <c r="H345" s="16">
        <v>4724</v>
      </c>
      <c r="I345" s="16">
        <f t="shared" si="77"/>
        <v>438</v>
      </c>
      <c r="J345" s="16">
        <v>4286</v>
      </c>
      <c r="K345" s="16">
        <v>2530</v>
      </c>
      <c r="L345" s="16">
        <f t="shared" si="82"/>
        <v>1756</v>
      </c>
    </row>
    <row r="346" spans="1:12" s="18" customFormat="1" ht="15" customHeight="1">
      <c r="A346" s="82">
        <v>2021</v>
      </c>
      <c r="B346" s="83" t="s">
        <v>40</v>
      </c>
      <c r="C346" s="15">
        <f t="shared" si="79"/>
        <v>0.68017241379310345</v>
      </c>
      <c r="D346" s="15">
        <f t="shared" si="80"/>
        <v>0.76434972148219904</v>
      </c>
      <c r="E346" s="15">
        <f t="shared" si="81"/>
        <v>0.88987068965517246</v>
      </c>
      <c r="F346" s="16">
        <v>185</v>
      </c>
      <c r="G346" s="16">
        <v>6</v>
      </c>
      <c r="H346" s="16">
        <v>4640</v>
      </c>
      <c r="I346" s="16">
        <f t="shared" si="77"/>
        <v>511</v>
      </c>
      <c r="J346" s="16">
        <v>4129</v>
      </c>
      <c r="K346" s="16">
        <v>3156</v>
      </c>
      <c r="L346" s="16">
        <f t="shared" si="82"/>
        <v>973</v>
      </c>
    </row>
    <row r="347" spans="1:12" s="18" customFormat="1" ht="15" customHeight="1">
      <c r="A347" s="82">
        <v>2021</v>
      </c>
      <c r="B347" s="83" t="s">
        <v>41</v>
      </c>
      <c r="C347" s="15">
        <f t="shared" si="79"/>
        <v>0.66338912133891215</v>
      </c>
      <c r="D347" s="15">
        <f t="shared" si="80"/>
        <v>0.72596153846153844</v>
      </c>
      <c r="E347" s="15">
        <f t="shared" si="81"/>
        <v>0.9138075313807531</v>
      </c>
      <c r="F347" s="16">
        <v>185</v>
      </c>
      <c r="G347" s="16">
        <v>6</v>
      </c>
      <c r="H347" s="16">
        <v>4780</v>
      </c>
      <c r="I347" s="16">
        <f t="shared" si="77"/>
        <v>412</v>
      </c>
      <c r="J347" s="16">
        <v>4368</v>
      </c>
      <c r="K347" s="16">
        <v>3171</v>
      </c>
      <c r="L347" s="16">
        <f t="shared" si="82"/>
        <v>1197</v>
      </c>
    </row>
    <row r="348" spans="1:12" s="18" customFormat="1" ht="15" customHeight="1">
      <c r="A348" s="82">
        <v>2021</v>
      </c>
      <c r="B348" s="83" t="s">
        <v>42</v>
      </c>
      <c r="C348" s="15">
        <f t="shared" si="79"/>
        <v>0.61254838052556526</v>
      </c>
      <c r="D348" s="15">
        <f t="shared" si="80"/>
        <v>0.71323529411764708</v>
      </c>
      <c r="E348" s="15">
        <f t="shared" si="81"/>
        <v>0.8588307190873905</v>
      </c>
      <c r="F348" s="16">
        <v>185</v>
      </c>
      <c r="G348" s="16">
        <v>6</v>
      </c>
      <c r="H348" s="16">
        <v>4909</v>
      </c>
      <c r="I348" s="16">
        <f t="shared" si="77"/>
        <v>693</v>
      </c>
      <c r="J348" s="16">
        <v>4216</v>
      </c>
      <c r="K348" s="16">
        <v>3007</v>
      </c>
      <c r="L348" s="16">
        <f t="shared" si="82"/>
        <v>1209</v>
      </c>
    </row>
    <row r="349" spans="1:12" s="18" customFormat="1" ht="15" customHeight="1">
      <c r="A349" s="82">
        <v>2021</v>
      </c>
      <c r="B349" s="83" t="s">
        <v>43</v>
      </c>
      <c r="C349" s="15">
        <f t="shared" si="79"/>
        <v>0.48888431453272951</v>
      </c>
      <c r="D349" s="15">
        <f t="shared" si="80"/>
        <v>0.60850627722264927</v>
      </c>
      <c r="E349" s="15">
        <f t="shared" si="81"/>
        <v>0.80341704405104986</v>
      </c>
      <c r="F349" s="16">
        <v>185</v>
      </c>
      <c r="G349" s="16">
        <v>6</v>
      </c>
      <c r="H349" s="16">
        <v>4858</v>
      </c>
      <c r="I349" s="16">
        <f t="shared" si="77"/>
        <v>955</v>
      </c>
      <c r="J349" s="16">
        <v>3903</v>
      </c>
      <c r="K349" s="16">
        <v>2375</v>
      </c>
      <c r="L349" s="16">
        <f t="shared" si="82"/>
        <v>1528</v>
      </c>
    </row>
    <row r="350" spans="1:12" s="18" customFormat="1" ht="15" customHeight="1">
      <c r="A350" s="82">
        <v>2021</v>
      </c>
      <c r="B350" s="83" t="s">
        <v>44</v>
      </c>
      <c r="C350" s="15">
        <f t="shared" si="79"/>
        <v>0.70208459825946168</v>
      </c>
      <c r="D350" s="15">
        <f t="shared" si="80"/>
        <v>0.767817618415228</v>
      </c>
      <c r="E350" s="15">
        <f t="shared" si="81"/>
        <v>0.91438979963570133</v>
      </c>
      <c r="F350" s="16">
        <v>185</v>
      </c>
      <c r="G350" s="16">
        <v>6</v>
      </c>
      <c r="H350" s="16">
        <v>4941</v>
      </c>
      <c r="I350" s="16">
        <f t="shared" si="77"/>
        <v>423</v>
      </c>
      <c r="J350" s="16">
        <v>4518</v>
      </c>
      <c r="K350" s="16">
        <v>3469</v>
      </c>
      <c r="L350" s="16">
        <f t="shared" si="82"/>
        <v>1049</v>
      </c>
    </row>
    <row r="351" spans="1:12" s="18" customFormat="1" ht="15" customHeight="1">
      <c r="A351" s="82">
        <v>2021</v>
      </c>
      <c r="B351" s="83" t="s">
        <v>45</v>
      </c>
      <c r="C351" s="15">
        <f t="shared" si="79"/>
        <v>0.80285592497868707</v>
      </c>
      <c r="D351" s="15">
        <f t="shared" si="80"/>
        <v>0.8768621973929237</v>
      </c>
      <c r="E351" s="15">
        <f t="shared" si="81"/>
        <v>0.9156010230179028</v>
      </c>
      <c r="F351" s="16">
        <v>185</v>
      </c>
      <c r="G351" s="16">
        <v>6</v>
      </c>
      <c r="H351" s="16">
        <v>4692</v>
      </c>
      <c r="I351" s="16">
        <f t="shared" si="77"/>
        <v>396</v>
      </c>
      <c r="J351" s="16">
        <v>4296</v>
      </c>
      <c r="K351" s="16">
        <v>3767</v>
      </c>
      <c r="L351" s="16">
        <f t="shared" si="82"/>
        <v>529</v>
      </c>
    </row>
    <row r="352" spans="1:12" s="18" customFormat="1" ht="15" customHeight="1">
      <c r="A352" s="82">
        <v>2021</v>
      </c>
      <c r="B352" s="83" t="s">
        <v>46</v>
      </c>
      <c r="C352" s="15">
        <f t="shared" ref="C352:C357" si="83">K352/H352</f>
        <v>0.75732217573221761</v>
      </c>
      <c r="D352" s="15">
        <f t="shared" ref="D352:D357" si="84">K352/J352</f>
        <v>0.84817244611059039</v>
      </c>
      <c r="E352" s="15">
        <f t="shared" ref="E352:E357" si="85">J352/H352</f>
        <v>0.89288702928870289</v>
      </c>
      <c r="F352" s="16">
        <v>185</v>
      </c>
      <c r="G352" s="16">
        <v>6</v>
      </c>
      <c r="H352" s="16">
        <v>4780</v>
      </c>
      <c r="I352" s="16">
        <f t="shared" si="77"/>
        <v>512</v>
      </c>
      <c r="J352" s="16">
        <v>4268</v>
      </c>
      <c r="K352" s="16">
        <v>3620</v>
      </c>
      <c r="L352" s="16">
        <f t="shared" ref="L352:L357" si="86">J352-K352</f>
        <v>648</v>
      </c>
    </row>
    <row r="353" spans="1:13" s="18" customFormat="1" ht="15" customHeight="1">
      <c r="A353" s="82">
        <v>2021</v>
      </c>
      <c r="B353" s="83" t="s">
        <v>47</v>
      </c>
      <c r="C353" s="15">
        <f t="shared" si="83"/>
        <v>0.77749999999999997</v>
      </c>
      <c r="D353" s="15">
        <f t="shared" si="84"/>
        <v>0.83921744996626935</v>
      </c>
      <c r="E353" s="15">
        <f t="shared" si="85"/>
        <v>0.92645833333333338</v>
      </c>
      <c r="F353" s="16">
        <v>185</v>
      </c>
      <c r="G353" s="16">
        <v>6</v>
      </c>
      <c r="H353" s="16">
        <v>4800</v>
      </c>
      <c r="I353" s="16">
        <f t="shared" ref="I353:I361" si="87">+H353-J353</f>
        <v>353</v>
      </c>
      <c r="J353" s="16">
        <v>4447</v>
      </c>
      <c r="K353" s="16">
        <v>3732</v>
      </c>
      <c r="L353" s="16">
        <f t="shared" si="86"/>
        <v>715</v>
      </c>
    </row>
    <row r="354" spans="1:13" s="18" customFormat="1" ht="15" customHeight="1">
      <c r="A354" s="82">
        <v>2022</v>
      </c>
      <c r="B354" s="83" t="s">
        <v>36</v>
      </c>
      <c r="C354" s="15">
        <f t="shared" si="83"/>
        <v>0.81226842321943182</v>
      </c>
      <c r="D354" s="15">
        <f t="shared" si="84"/>
        <v>0.8827740492170022</v>
      </c>
      <c r="E354" s="15">
        <f t="shared" si="85"/>
        <v>0.92013174145738985</v>
      </c>
      <c r="F354" s="26">
        <v>185</v>
      </c>
      <c r="G354" s="26">
        <v>6</v>
      </c>
      <c r="H354" s="16">
        <v>4858</v>
      </c>
      <c r="I354" s="16">
        <f t="shared" si="87"/>
        <v>388</v>
      </c>
      <c r="J354" s="16">
        <v>4470</v>
      </c>
      <c r="K354" s="16">
        <v>3946</v>
      </c>
      <c r="L354" s="16">
        <f t="shared" si="86"/>
        <v>524</v>
      </c>
    </row>
    <row r="355" spans="1:13" s="18" customFormat="1" ht="15" customHeight="1">
      <c r="A355" s="82">
        <v>2022</v>
      </c>
      <c r="B355" s="83" t="s">
        <v>37</v>
      </c>
      <c r="C355" s="15">
        <f t="shared" si="83"/>
        <v>0.75153026524597599</v>
      </c>
      <c r="D355" s="15">
        <f t="shared" si="84"/>
        <v>0.81710623613507516</v>
      </c>
      <c r="E355" s="15">
        <f t="shared" si="85"/>
        <v>0.91974608932214919</v>
      </c>
      <c r="F355" s="26">
        <v>185</v>
      </c>
      <c r="G355" s="26">
        <v>6</v>
      </c>
      <c r="H355" s="16">
        <v>4411</v>
      </c>
      <c r="I355" s="16">
        <f t="shared" si="87"/>
        <v>354</v>
      </c>
      <c r="J355" s="16">
        <v>4057</v>
      </c>
      <c r="K355" s="16">
        <v>3315</v>
      </c>
      <c r="L355" s="16">
        <f t="shared" si="86"/>
        <v>742</v>
      </c>
    </row>
    <row r="356" spans="1:13" s="18" customFormat="1" ht="15" customHeight="1">
      <c r="A356" s="82">
        <v>2022</v>
      </c>
      <c r="B356" s="83" t="s">
        <v>38</v>
      </c>
      <c r="C356" s="15">
        <f t="shared" si="83"/>
        <v>0.84105414865143091</v>
      </c>
      <c r="D356" s="15">
        <f t="shared" si="84"/>
        <v>0.87007454739084134</v>
      </c>
      <c r="E356" s="15">
        <f t="shared" si="85"/>
        <v>0.96664607782581846</v>
      </c>
      <c r="F356" s="26">
        <v>185</v>
      </c>
      <c r="G356" s="26">
        <v>6</v>
      </c>
      <c r="H356" s="16">
        <v>4857</v>
      </c>
      <c r="I356" s="16">
        <f t="shared" si="87"/>
        <v>162</v>
      </c>
      <c r="J356" s="16">
        <v>4695</v>
      </c>
      <c r="K356" s="16">
        <v>4085</v>
      </c>
      <c r="L356" s="16">
        <f t="shared" si="86"/>
        <v>610</v>
      </c>
    </row>
    <row r="357" spans="1:13" s="18" customFormat="1" ht="15" customHeight="1">
      <c r="A357" s="82">
        <v>2022</v>
      </c>
      <c r="B357" s="83" t="s">
        <v>39</v>
      </c>
      <c r="C357" s="15">
        <f t="shared" si="83"/>
        <v>0.76099674972914411</v>
      </c>
      <c r="D357" s="15">
        <f t="shared" si="84"/>
        <v>0.77459197176885752</v>
      </c>
      <c r="E357" s="15">
        <f t="shared" si="85"/>
        <v>0.98244853737811488</v>
      </c>
      <c r="F357" s="26">
        <v>185</v>
      </c>
      <c r="G357" s="26">
        <v>6</v>
      </c>
      <c r="H357" s="16">
        <v>4615</v>
      </c>
      <c r="I357" s="16">
        <f t="shared" si="87"/>
        <v>81</v>
      </c>
      <c r="J357" s="16">
        <v>4534</v>
      </c>
      <c r="K357" s="16">
        <v>3512</v>
      </c>
      <c r="L357" s="16">
        <f t="shared" si="86"/>
        <v>1022</v>
      </c>
    </row>
    <row r="358" spans="1:13" s="18" customFormat="1" ht="15" customHeight="1">
      <c r="A358" s="82">
        <v>2022</v>
      </c>
      <c r="B358" s="83" t="s">
        <v>40</v>
      </c>
      <c r="C358" s="15">
        <f t="shared" ref="C358:C365" si="88">K358/H358</f>
        <v>0.61541701769165968</v>
      </c>
      <c r="D358" s="15">
        <f t="shared" ref="D358:D365" si="89">K358/J358</f>
        <v>0.62811693895098886</v>
      </c>
      <c r="E358" s="15">
        <f t="shared" ref="E358:E365" si="90">J358/H358</f>
        <v>0.97978096040438079</v>
      </c>
      <c r="F358" s="26">
        <v>185</v>
      </c>
      <c r="G358" s="26">
        <v>6</v>
      </c>
      <c r="H358" s="16">
        <v>4748</v>
      </c>
      <c r="I358" s="16">
        <f t="shared" si="87"/>
        <v>96</v>
      </c>
      <c r="J358" s="16">
        <v>4652</v>
      </c>
      <c r="K358" s="16">
        <v>2922</v>
      </c>
      <c r="L358" s="16">
        <f t="shared" ref="L358:L365" si="91">J358-K358</f>
        <v>1730</v>
      </c>
    </row>
    <row r="359" spans="1:13" s="18" customFormat="1" ht="15" customHeight="1">
      <c r="A359" s="82">
        <v>2022</v>
      </c>
      <c r="B359" s="83" t="s">
        <v>41</v>
      </c>
      <c r="C359" s="15">
        <f t="shared" si="88"/>
        <v>0.81913527397260277</v>
      </c>
      <c r="D359" s="15">
        <f t="shared" si="89"/>
        <v>0.83177570093457942</v>
      </c>
      <c r="E359" s="15">
        <f t="shared" si="90"/>
        <v>0.98480308219178081</v>
      </c>
      <c r="F359" s="26">
        <v>185</v>
      </c>
      <c r="G359" s="26">
        <v>6</v>
      </c>
      <c r="H359" s="16">
        <v>4672</v>
      </c>
      <c r="I359" s="16">
        <f t="shared" si="87"/>
        <v>71</v>
      </c>
      <c r="J359" s="16">
        <v>4601</v>
      </c>
      <c r="K359" s="16">
        <v>3827</v>
      </c>
      <c r="L359" s="16">
        <f t="shared" si="91"/>
        <v>774</v>
      </c>
    </row>
    <row r="360" spans="1:13" s="18" customFormat="1" ht="15" customHeight="1">
      <c r="A360" s="18">
        <v>2022</v>
      </c>
      <c r="B360" s="21" t="s">
        <v>42</v>
      </c>
      <c r="C360" s="15">
        <f t="shared" si="88"/>
        <v>0.85940716344174561</v>
      </c>
      <c r="D360" s="15">
        <f t="shared" si="89"/>
        <v>0.877838519764508</v>
      </c>
      <c r="E360" s="15">
        <f t="shared" si="90"/>
        <v>0.97900370522848912</v>
      </c>
      <c r="F360" s="26">
        <v>185</v>
      </c>
      <c r="G360" s="26">
        <v>6</v>
      </c>
      <c r="H360" s="16">
        <v>4858</v>
      </c>
      <c r="I360" s="16">
        <f t="shared" si="87"/>
        <v>102</v>
      </c>
      <c r="J360" s="16">
        <v>4756</v>
      </c>
      <c r="K360" s="16">
        <v>4175</v>
      </c>
      <c r="L360" s="16">
        <f t="shared" si="91"/>
        <v>581</v>
      </c>
    </row>
    <row r="361" spans="1:13" s="18" customFormat="1" ht="15" customHeight="1">
      <c r="A361" s="18">
        <v>2022</v>
      </c>
      <c r="B361" s="21" t="s">
        <v>43</v>
      </c>
      <c r="C361" s="15">
        <f t="shared" si="88"/>
        <v>0.87797019734192505</v>
      </c>
      <c r="D361" s="15">
        <f t="shared" si="89"/>
        <v>0.89841335256542343</v>
      </c>
      <c r="E361" s="15">
        <f t="shared" si="90"/>
        <v>0.97724526782118404</v>
      </c>
      <c r="F361" s="26">
        <v>185</v>
      </c>
      <c r="G361" s="26">
        <v>6</v>
      </c>
      <c r="H361" s="16">
        <v>4966</v>
      </c>
      <c r="I361" s="16">
        <f t="shared" si="87"/>
        <v>113</v>
      </c>
      <c r="J361" s="16">
        <v>4853</v>
      </c>
      <c r="K361" s="16">
        <v>4360</v>
      </c>
      <c r="L361" s="16">
        <f t="shared" si="91"/>
        <v>493</v>
      </c>
    </row>
    <row r="362" spans="1:13" s="18" customFormat="1" ht="15" customHeight="1">
      <c r="A362" s="82">
        <v>2022</v>
      </c>
      <c r="B362" s="83" t="s">
        <v>44</v>
      </c>
      <c r="C362" s="15">
        <f t="shared" si="88"/>
        <v>0.91799591002044989</v>
      </c>
      <c r="D362" s="15">
        <f t="shared" si="89"/>
        <v>0.94346364018495166</v>
      </c>
      <c r="E362" s="15">
        <f t="shared" si="90"/>
        <v>0.9730061349693252</v>
      </c>
      <c r="F362" s="26">
        <v>185</v>
      </c>
      <c r="G362" s="26">
        <v>6</v>
      </c>
      <c r="H362" s="16">
        <v>4890</v>
      </c>
      <c r="I362" s="16">
        <f t="shared" ref="I362:I369" si="92">+H362-J362</f>
        <v>132</v>
      </c>
      <c r="J362" s="16">
        <v>4758</v>
      </c>
      <c r="K362" s="16">
        <v>4489</v>
      </c>
      <c r="L362" s="16">
        <f t="shared" si="91"/>
        <v>269</v>
      </c>
    </row>
    <row r="363" spans="1:13" s="18" customFormat="1" ht="15" customHeight="1">
      <c r="A363" s="82">
        <v>2022</v>
      </c>
      <c r="B363" s="83" t="s">
        <v>45</v>
      </c>
      <c r="C363" s="15">
        <f t="shared" si="88"/>
        <v>0.92050298380221651</v>
      </c>
      <c r="D363" s="15">
        <f t="shared" si="89"/>
        <v>0.94363119947563912</v>
      </c>
      <c r="E363" s="15">
        <f t="shared" si="90"/>
        <v>0.97549019607843135</v>
      </c>
      <c r="F363" s="26">
        <v>185</v>
      </c>
      <c r="G363" s="26">
        <v>6</v>
      </c>
      <c r="H363" s="16">
        <v>4692</v>
      </c>
      <c r="I363" s="16">
        <f t="shared" si="92"/>
        <v>115</v>
      </c>
      <c r="J363" s="16">
        <v>4577</v>
      </c>
      <c r="K363" s="16">
        <v>4319</v>
      </c>
      <c r="L363" s="16">
        <f t="shared" si="91"/>
        <v>258</v>
      </c>
    </row>
    <row r="364" spans="1:13" s="18" customFormat="1" ht="15" customHeight="1">
      <c r="A364" s="82">
        <v>2022</v>
      </c>
      <c r="B364" s="83" t="s">
        <v>46</v>
      </c>
      <c r="C364" s="15">
        <f t="shared" si="88"/>
        <v>0.85585774058577402</v>
      </c>
      <c r="D364" s="15">
        <f t="shared" si="89"/>
        <v>0.91500782822634752</v>
      </c>
      <c r="E364" s="15">
        <f t="shared" si="90"/>
        <v>0.93535564853556485</v>
      </c>
      <c r="F364" s="26">
        <v>185</v>
      </c>
      <c r="G364" s="26">
        <v>6</v>
      </c>
      <c r="H364" s="16">
        <v>4780</v>
      </c>
      <c r="I364" s="16">
        <f t="shared" si="92"/>
        <v>309</v>
      </c>
      <c r="J364" s="16">
        <v>4471</v>
      </c>
      <c r="K364" s="16">
        <v>4091</v>
      </c>
      <c r="L364" s="16">
        <f t="shared" si="91"/>
        <v>380</v>
      </c>
    </row>
    <row r="365" spans="1:13" s="18" customFormat="1" ht="15" customHeight="1">
      <c r="A365" s="82">
        <v>2022</v>
      </c>
      <c r="B365" s="83" t="s">
        <v>47</v>
      </c>
      <c r="C365" s="15">
        <f t="shared" si="88"/>
        <v>0.9390191897654584</v>
      </c>
      <c r="D365" s="15">
        <f t="shared" si="89"/>
        <v>0.96073298429319376</v>
      </c>
      <c r="E365" s="15">
        <f t="shared" si="90"/>
        <v>0.97739872068230282</v>
      </c>
      <c r="F365" s="26">
        <v>185</v>
      </c>
      <c r="G365" s="26">
        <v>6</v>
      </c>
      <c r="H365" s="16">
        <v>4690</v>
      </c>
      <c r="I365" s="16">
        <f t="shared" si="92"/>
        <v>106</v>
      </c>
      <c r="J365" s="16">
        <v>4584</v>
      </c>
      <c r="K365" s="16">
        <v>4404</v>
      </c>
      <c r="L365" s="16">
        <f t="shared" si="91"/>
        <v>180</v>
      </c>
    </row>
    <row r="366" spans="1:13" s="18" customFormat="1" ht="15" customHeight="1">
      <c r="A366" s="18">
        <v>2023</v>
      </c>
      <c r="B366" s="21" t="s">
        <v>36</v>
      </c>
      <c r="C366" s="15">
        <f t="shared" ref="C366:C371" si="93">K366/H366</f>
        <v>0.64478453483689091</v>
      </c>
      <c r="D366" s="15">
        <f t="shared" ref="D366:D371" si="94">K366/J366</f>
        <v>0.6841880341880342</v>
      </c>
      <c r="E366" s="15">
        <f t="shared" ref="E366:E371" si="95">J366/H366</f>
        <v>0.94240837696335078</v>
      </c>
      <c r="F366" s="26">
        <v>185</v>
      </c>
      <c r="G366" s="26">
        <v>6</v>
      </c>
      <c r="H366" s="16">
        <v>4966</v>
      </c>
      <c r="I366" s="16">
        <f t="shared" si="92"/>
        <v>286</v>
      </c>
      <c r="J366" s="16">
        <v>4680</v>
      </c>
      <c r="K366" s="16">
        <v>3202</v>
      </c>
      <c r="L366" s="16">
        <f t="shared" ref="L366:L371" si="96">J366-K366</f>
        <v>1478</v>
      </c>
      <c r="M366" s="18" t="s">
        <v>165</v>
      </c>
    </row>
    <row r="367" spans="1:13" s="18" customFormat="1" ht="15" customHeight="1">
      <c r="A367" s="18">
        <v>2023</v>
      </c>
      <c r="B367" s="21" t="s">
        <v>37</v>
      </c>
      <c r="C367" s="15">
        <f t="shared" si="93"/>
        <v>0.42980009298000932</v>
      </c>
      <c r="D367" s="15">
        <f t="shared" si="94"/>
        <v>0.45575548434804042</v>
      </c>
      <c r="E367" s="15">
        <f t="shared" si="95"/>
        <v>0.94304974430497446</v>
      </c>
      <c r="F367" s="26">
        <v>185</v>
      </c>
      <c r="G367" s="26">
        <v>6</v>
      </c>
      <c r="H367" s="16">
        <v>4302</v>
      </c>
      <c r="I367" s="16">
        <f t="shared" si="92"/>
        <v>245</v>
      </c>
      <c r="J367" s="16">
        <v>4057</v>
      </c>
      <c r="K367" s="16">
        <v>1849</v>
      </c>
      <c r="L367" s="16">
        <f t="shared" si="96"/>
        <v>2208</v>
      </c>
      <c r="M367" s="18" t="s">
        <v>165</v>
      </c>
    </row>
    <row r="368" spans="1:13" s="18" customFormat="1" ht="15" customHeight="1">
      <c r="A368" s="105">
        <v>2023</v>
      </c>
      <c r="B368" s="83" t="s">
        <v>38</v>
      </c>
      <c r="C368" s="15">
        <f t="shared" si="93"/>
        <v>0.53161498187676193</v>
      </c>
      <c r="D368" s="15">
        <f t="shared" si="94"/>
        <v>0.55991516436903499</v>
      </c>
      <c r="E368" s="15">
        <f t="shared" si="95"/>
        <v>0.94945630285944427</v>
      </c>
      <c r="F368" s="26">
        <v>185</v>
      </c>
      <c r="G368" s="26">
        <v>6</v>
      </c>
      <c r="H368" s="16">
        <v>4966</v>
      </c>
      <c r="I368" s="16">
        <f t="shared" si="92"/>
        <v>251</v>
      </c>
      <c r="J368" s="16">
        <v>4715</v>
      </c>
      <c r="K368" s="16">
        <v>2640</v>
      </c>
      <c r="L368" s="16">
        <f t="shared" si="96"/>
        <v>2075</v>
      </c>
      <c r="M368" s="18" t="s">
        <v>165</v>
      </c>
    </row>
    <row r="369" spans="1:13" s="18" customFormat="1" ht="15" customHeight="1">
      <c r="A369" s="107">
        <v>2023</v>
      </c>
      <c r="B369" s="108" t="s">
        <v>39</v>
      </c>
      <c r="C369" s="15">
        <f t="shared" si="93"/>
        <v>0.63010092145677932</v>
      </c>
      <c r="D369" s="15">
        <f t="shared" si="94"/>
        <v>0.6452482588182431</v>
      </c>
      <c r="E369" s="15">
        <f t="shared" si="95"/>
        <v>0.97652479157525229</v>
      </c>
      <c r="F369" s="26">
        <v>185</v>
      </c>
      <c r="G369" s="26">
        <v>6</v>
      </c>
      <c r="H369" s="16">
        <v>4558</v>
      </c>
      <c r="I369" s="16">
        <f t="shared" si="92"/>
        <v>107</v>
      </c>
      <c r="J369" s="16">
        <v>4451</v>
      </c>
      <c r="K369" s="16">
        <v>2872</v>
      </c>
      <c r="L369" s="16">
        <f t="shared" si="96"/>
        <v>1579</v>
      </c>
      <c r="M369" s="18" t="s">
        <v>165</v>
      </c>
    </row>
    <row r="370" spans="1:13" s="18" customFormat="1" ht="15" customHeight="1">
      <c r="A370" s="124">
        <v>2023</v>
      </c>
      <c r="B370" s="125" t="s">
        <v>40</v>
      </c>
      <c r="C370" s="15">
        <f t="shared" si="93"/>
        <v>0.73315080033698399</v>
      </c>
      <c r="D370" s="15">
        <f t="shared" si="94"/>
        <v>0.74828030954428204</v>
      </c>
      <c r="E370" s="15">
        <f t="shared" si="95"/>
        <v>0.97978096040438079</v>
      </c>
      <c r="F370" s="26">
        <v>185</v>
      </c>
      <c r="G370" s="26">
        <v>6</v>
      </c>
      <c r="H370" s="16">
        <v>4748</v>
      </c>
      <c r="I370" s="16">
        <f t="shared" ref="I370:I386" si="97">+H370-J370</f>
        <v>96</v>
      </c>
      <c r="J370" s="16">
        <v>4652</v>
      </c>
      <c r="K370" s="16">
        <v>3481</v>
      </c>
      <c r="L370" s="16">
        <f t="shared" si="96"/>
        <v>1171</v>
      </c>
      <c r="M370" s="18" t="s">
        <v>165</v>
      </c>
    </row>
    <row r="371" spans="1:13" s="18" customFormat="1" ht="15" customHeight="1">
      <c r="A371" s="124">
        <v>2023</v>
      </c>
      <c r="B371" s="83" t="s">
        <v>41</v>
      </c>
      <c r="C371" s="15">
        <f t="shared" si="93"/>
        <v>0.78441558441558445</v>
      </c>
      <c r="D371" s="15">
        <f t="shared" si="94"/>
        <v>0.80856760374832659</v>
      </c>
      <c r="E371" s="15">
        <f t="shared" si="95"/>
        <v>0.97012987012987018</v>
      </c>
      <c r="F371" s="26">
        <v>185</v>
      </c>
      <c r="G371" s="26">
        <v>6</v>
      </c>
      <c r="H371" s="16">
        <v>4620</v>
      </c>
      <c r="I371" s="16">
        <f t="shared" si="97"/>
        <v>138</v>
      </c>
      <c r="J371" s="16">
        <v>4482</v>
      </c>
      <c r="K371" s="16">
        <v>3624</v>
      </c>
      <c r="L371" s="16">
        <f t="shared" si="96"/>
        <v>858</v>
      </c>
      <c r="M371" s="18" t="s">
        <v>165</v>
      </c>
    </row>
    <row r="372" spans="1:13" s="18" customFormat="1" ht="15" customHeight="1">
      <c r="A372" s="138">
        <v>2023</v>
      </c>
      <c r="B372" s="139" t="s">
        <v>42</v>
      </c>
      <c r="C372" s="15">
        <f t="shared" ref="C372:C377" si="98">K372/H372</f>
        <v>0.8017926257893665</v>
      </c>
      <c r="D372" s="15">
        <f t="shared" ref="D372:D377" si="99">K372/J372</f>
        <v>0.82085505735140774</v>
      </c>
      <c r="E372" s="15">
        <f t="shared" ref="E372:E377" si="100">J372/H372</f>
        <v>0.97677734772866165</v>
      </c>
      <c r="F372" s="26">
        <v>185</v>
      </c>
      <c r="G372" s="26">
        <v>6</v>
      </c>
      <c r="H372" s="16">
        <v>4909</v>
      </c>
      <c r="I372" s="16">
        <f t="shared" si="97"/>
        <v>114</v>
      </c>
      <c r="J372" s="16">
        <v>4795</v>
      </c>
      <c r="K372" s="16">
        <v>3936</v>
      </c>
      <c r="L372" s="16">
        <f t="shared" ref="L372:L377" si="101">J372-K372</f>
        <v>859</v>
      </c>
      <c r="M372" s="18" t="s">
        <v>165</v>
      </c>
    </row>
    <row r="373" spans="1:13" s="18" customFormat="1" ht="15" customHeight="1">
      <c r="A373" s="157">
        <v>2023</v>
      </c>
      <c r="B373" s="158" t="s">
        <v>43</v>
      </c>
      <c r="C373" s="153">
        <f t="shared" si="98"/>
        <v>0.84313334662148698</v>
      </c>
      <c r="D373" s="153">
        <f t="shared" si="99"/>
        <v>0.8636178031849735</v>
      </c>
      <c r="E373" s="153">
        <f t="shared" si="100"/>
        <v>0.97628064580426555</v>
      </c>
      <c r="F373" s="154">
        <v>185</v>
      </c>
      <c r="G373" s="154">
        <v>6</v>
      </c>
      <c r="H373" s="156">
        <v>5017</v>
      </c>
      <c r="I373" s="16">
        <f t="shared" si="97"/>
        <v>119</v>
      </c>
      <c r="J373" s="156">
        <v>4898</v>
      </c>
      <c r="K373" s="156">
        <v>4230</v>
      </c>
      <c r="L373" s="156">
        <f t="shared" si="101"/>
        <v>668</v>
      </c>
      <c r="M373" s="151"/>
    </row>
    <row r="374" spans="1:13" s="18" customFormat="1" ht="15" customHeight="1">
      <c r="A374" s="173">
        <v>2023</v>
      </c>
      <c r="B374" s="174" t="s">
        <v>44</v>
      </c>
      <c r="C374" s="169">
        <f t="shared" si="98"/>
        <v>0.861576660459342</v>
      </c>
      <c r="D374" s="169">
        <f t="shared" si="99"/>
        <v>0.8816430235020114</v>
      </c>
      <c r="E374" s="169">
        <f t="shared" si="100"/>
        <v>0.97723980964204427</v>
      </c>
      <c r="F374" s="171">
        <v>185</v>
      </c>
      <c r="G374" s="171">
        <v>6</v>
      </c>
      <c r="H374" s="168">
        <v>4833</v>
      </c>
      <c r="I374" s="16">
        <f t="shared" si="97"/>
        <v>110</v>
      </c>
      <c r="J374" s="168">
        <v>4723</v>
      </c>
      <c r="K374" s="168">
        <v>4164</v>
      </c>
      <c r="L374" s="168">
        <f t="shared" si="101"/>
        <v>559</v>
      </c>
      <c r="M374" s="167"/>
    </row>
    <row r="375" spans="1:13" s="18" customFormat="1" ht="15" customHeight="1">
      <c r="A375" s="190">
        <v>2023</v>
      </c>
      <c r="B375" s="191" t="s">
        <v>45</v>
      </c>
      <c r="C375" s="169">
        <f t="shared" si="98"/>
        <v>0.87541666666666662</v>
      </c>
      <c r="D375" s="169">
        <f t="shared" si="99"/>
        <v>0.89920821741921675</v>
      </c>
      <c r="E375" s="169">
        <f t="shared" si="100"/>
        <v>0.97354166666666664</v>
      </c>
      <c r="F375" s="171">
        <v>185</v>
      </c>
      <c r="G375" s="171">
        <v>6</v>
      </c>
      <c r="H375" s="168">
        <v>4800</v>
      </c>
      <c r="I375" s="16">
        <f t="shared" si="97"/>
        <v>127</v>
      </c>
      <c r="J375" s="168">
        <v>4673</v>
      </c>
      <c r="K375" s="168">
        <v>4202</v>
      </c>
      <c r="L375" s="168">
        <f t="shared" si="101"/>
        <v>471</v>
      </c>
    </row>
    <row r="376" spans="1:13" s="18" customFormat="1" ht="15" customHeight="1">
      <c r="A376" s="201">
        <v>2023</v>
      </c>
      <c r="B376" s="202" t="s">
        <v>46</v>
      </c>
      <c r="C376" s="15">
        <f t="shared" si="98"/>
        <v>0.89217715231788075</v>
      </c>
      <c r="D376" s="15">
        <f t="shared" si="99"/>
        <v>0.92391770252893268</v>
      </c>
      <c r="E376" s="15">
        <f t="shared" si="100"/>
        <v>0.96564569536423839</v>
      </c>
      <c r="F376" s="26">
        <v>185</v>
      </c>
      <c r="G376" s="26">
        <v>6</v>
      </c>
      <c r="H376" s="16">
        <v>4832</v>
      </c>
      <c r="I376" s="16">
        <f t="shared" si="97"/>
        <v>166</v>
      </c>
      <c r="J376" s="16">
        <v>4666</v>
      </c>
      <c r="K376" s="16">
        <v>4311</v>
      </c>
      <c r="L376" s="16">
        <f t="shared" si="101"/>
        <v>355</v>
      </c>
    </row>
    <row r="377" spans="1:13" s="18" customFormat="1" ht="15" customHeight="1">
      <c r="A377" s="203">
        <v>2023</v>
      </c>
      <c r="B377" s="206" t="s">
        <v>47</v>
      </c>
      <c r="C377" s="15">
        <f t="shared" si="98"/>
        <v>0.81754076685764654</v>
      </c>
      <c r="D377" s="15">
        <f t="shared" si="99"/>
        <v>0.88480801335559267</v>
      </c>
      <c r="E377" s="15">
        <f t="shared" si="100"/>
        <v>0.92397531952401935</v>
      </c>
      <c r="F377" s="26">
        <v>185</v>
      </c>
      <c r="G377" s="26">
        <v>6</v>
      </c>
      <c r="H377" s="16">
        <v>4538</v>
      </c>
      <c r="I377" s="16">
        <f t="shared" si="97"/>
        <v>345</v>
      </c>
      <c r="J377" s="16">
        <v>4193</v>
      </c>
      <c r="K377" s="16">
        <v>3710</v>
      </c>
      <c r="L377" s="16">
        <f t="shared" si="101"/>
        <v>483</v>
      </c>
    </row>
    <row r="378" spans="1:13" s="18" customFormat="1" ht="15" customHeight="1">
      <c r="A378" s="210">
        <v>2024</v>
      </c>
      <c r="B378" s="207" t="s">
        <v>36</v>
      </c>
      <c r="C378" s="15">
        <f t="shared" ref="C378:C383" si="102">K378/H378</f>
        <v>0.88222511951325511</v>
      </c>
      <c r="D378" s="15">
        <f t="shared" ref="D378:D383" si="103">K378/J378</f>
        <v>0.92503987240829344</v>
      </c>
      <c r="E378" s="15">
        <f t="shared" ref="E378:E383" si="104">J378/H378</f>
        <v>0.95371577574967403</v>
      </c>
      <c r="F378" s="209">
        <v>171</v>
      </c>
      <c r="G378" s="209">
        <v>6</v>
      </c>
      <c r="H378" s="16">
        <v>4602</v>
      </c>
      <c r="I378" s="16">
        <f t="shared" si="97"/>
        <v>213</v>
      </c>
      <c r="J378" s="16">
        <v>4389</v>
      </c>
      <c r="K378" s="16">
        <v>4060</v>
      </c>
      <c r="L378" s="16">
        <f t="shared" ref="L378:L383" si="105">J378-K378</f>
        <v>329</v>
      </c>
      <c r="M378" s="205" t="s">
        <v>181</v>
      </c>
    </row>
    <row r="379" spans="1:13" s="18" customFormat="1" ht="15" customHeight="1">
      <c r="A379" s="220">
        <v>2024</v>
      </c>
      <c r="B379" s="221" t="s">
        <v>37</v>
      </c>
      <c r="C379" s="15">
        <f t="shared" si="102"/>
        <v>0.73650107991360692</v>
      </c>
      <c r="D379" s="15">
        <f t="shared" si="103"/>
        <v>0.79921874999999998</v>
      </c>
      <c r="E379" s="15">
        <f t="shared" si="104"/>
        <v>0.9215262778977682</v>
      </c>
      <c r="F379" s="209">
        <v>171</v>
      </c>
      <c r="G379" s="209">
        <v>6</v>
      </c>
      <c r="H379" s="217">
        <v>4167</v>
      </c>
      <c r="I379" s="16">
        <f t="shared" si="97"/>
        <v>327</v>
      </c>
      <c r="J379" s="217">
        <v>3840</v>
      </c>
      <c r="K379" s="217">
        <v>3069</v>
      </c>
      <c r="L379" s="217">
        <f t="shared" si="105"/>
        <v>771</v>
      </c>
      <c r="M379" s="216"/>
    </row>
    <row r="380" spans="1:13" s="18" customFormat="1" ht="15" customHeight="1">
      <c r="A380" s="18">
        <v>2024</v>
      </c>
      <c r="B380" s="21" t="s">
        <v>38</v>
      </c>
      <c r="C380" s="15">
        <f t="shared" si="102"/>
        <v>0.775609756097561</v>
      </c>
      <c r="D380" s="15">
        <f t="shared" si="103"/>
        <v>0.83000453926463913</v>
      </c>
      <c r="E380" s="15">
        <f t="shared" si="104"/>
        <v>0.93446447507953345</v>
      </c>
      <c r="F380" s="209">
        <v>171</v>
      </c>
      <c r="G380" s="209">
        <v>6</v>
      </c>
      <c r="H380" s="217">
        <v>4715</v>
      </c>
      <c r="I380" s="16">
        <f t="shared" si="97"/>
        <v>309</v>
      </c>
      <c r="J380" s="217">
        <v>4406</v>
      </c>
      <c r="K380" s="217">
        <v>3657</v>
      </c>
      <c r="L380" s="217">
        <f t="shared" si="105"/>
        <v>749</v>
      </c>
      <c r="M380" s="216"/>
    </row>
    <row r="381" spans="1:13" s="18" customFormat="1" ht="15" customHeight="1">
      <c r="A381" s="18">
        <v>2024</v>
      </c>
      <c r="B381" s="21" t="s">
        <v>39</v>
      </c>
      <c r="C381" s="15">
        <f t="shared" si="102"/>
        <v>0.79965753424657537</v>
      </c>
      <c r="D381" s="15">
        <f t="shared" si="103"/>
        <v>0.82001755926251096</v>
      </c>
      <c r="E381" s="15">
        <f t="shared" si="104"/>
        <v>0.97517123287671237</v>
      </c>
      <c r="F381" s="209">
        <v>171</v>
      </c>
      <c r="G381" s="209">
        <v>6</v>
      </c>
      <c r="H381" s="217">
        <v>4672</v>
      </c>
      <c r="I381" s="16">
        <f t="shared" si="97"/>
        <v>116</v>
      </c>
      <c r="J381" s="217">
        <v>4556</v>
      </c>
      <c r="K381" s="217">
        <v>3736</v>
      </c>
      <c r="L381" s="217">
        <f t="shared" si="105"/>
        <v>820</v>
      </c>
      <c r="M381" s="216"/>
    </row>
    <row r="382" spans="1:13" s="18" customFormat="1" ht="15" customHeight="1">
      <c r="A382" s="230">
        <v>2024</v>
      </c>
      <c r="B382" s="231" t="s">
        <v>40</v>
      </c>
      <c r="C382" s="15">
        <f t="shared" si="102"/>
        <v>0.6766381766381766</v>
      </c>
      <c r="D382" s="15">
        <f t="shared" si="103"/>
        <v>0.7380688124306326</v>
      </c>
      <c r="E382" s="15">
        <f t="shared" si="104"/>
        <v>0.91676841676841681</v>
      </c>
      <c r="F382" s="209">
        <v>171</v>
      </c>
      <c r="G382" s="209">
        <v>6</v>
      </c>
      <c r="H382" s="217">
        <v>4914</v>
      </c>
      <c r="I382" s="16">
        <f t="shared" si="97"/>
        <v>409</v>
      </c>
      <c r="J382" s="217">
        <v>4505</v>
      </c>
      <c r="K382" s="217">
        <v>3325</v>
      </c>
      <c r="L382" s="217">
        <f t="shared" si="105"/>
        <v>1180</v>
      </c>
      <c r="M382" s="216"/>
    </row>
    <row r="383" spans="1:13" s="18" customFormat="1" ht="15" customHeight="1">
      <c r="A383" s="18">
        <v>2024</v>
      </c>
      <c r="B383" s="21" t="s">
        <v>41</v>
      </c>
      <c r="C383" s="208">
        <f t="shared" si="102"/>
        <v>0.70759436107321505</v>
      </c>
      <c r="D383" s="208">
        <f t="shared" si="103"/>
        <v>0.77936388680190338</v>
      </c>
      <c r="E383" s="208">
        <f t="shared" si="104"/>
        <v>0.907912687585266</v>
      </c>
      <c r="F383" s="209">
        <v>171</v>
      </c>
      <c r="G383" s="209">
        <v>6</v>
      </c>
      <c r="H383" s="217">
        <v>4398</v>
      </c>
      <c r="I383" s="16">
        <f t="shared" si="97"/>
        <v>405</v>
      </c>
      <c r="J383" s="217">
        <v>3993</v>
      </c>
      <c r="K383" s="217">
        <v>3112</v>
      </c>
      <c r="L383" s="217">
        <f t="shared" si="105"/>
        <v>881</v>
      </c>
      <c r="M383" s="216"/>
    </row>
    <row r="384" spans="1:13" s="18" customFormat="1" ht="15" customHeight="1">
      <c r="A384" s="244">
        <v>2024</v>
      </c>
      <c r="B384" s="245" t="s">
        <v>42</v>
      </c>
      <c r="C384" s="208">
        <f>K384/H384</f>
        <v>0.74204591220298022</v>
      </c>
      <c r="D384" s="208">
        <f>K384/J384</f>
        <v>0.79162191192266385</v>
      </c>
      <c r="E384" s="208">
        <f>J384/H384</f>
        <v>0.93737414418042686</v>
      </c>
      <c r="F384" s="209">
        <v>171</v>
      </c>
      <c r="G384" s="209">
        <v>6</v>
      </c>
      <c r="H384" s="217">
        <v>4966</v>
      </c>
      <c r="I384" s="16">
        <f t="shared" si="97"/>
        <v>311</v>
      </c>
      <c r="J384" s="217">
        <v>4655</v>
      </c>
      <c r="K384" s="217">
        <v>3685</v>
      </c>
      <c r="L384" s="217">
        <f>J384-K384</f>
        <v>970</v>
      </c>
      <c r="M384" s="216"/>
    </row>
    <row r="385" spans="1:13" s="18" customFormat="1" ht="15" customHeight="1">
      <c r="A385" s="272">
        <v>2024</v>
      </c>
      <c r="B385" s="273" t="s">
        <v>43</v>
      </c>
      <c r="C385" s="208">
        <f>K385/H385</f>
        <v>0.66995569875151029</v>
      </c>
      <c r="D385" s="208">
        <f>K385/J385</f>
        <v>0.72499455219001963</v>
      </c>
      <c r="E385" s="208">
        <f>J385/H385</f>
        <v>0.9240837696335078</v>
      </c>
      <c r="F385" s="209">
        <v>171</v>
      </c>
      <c r="G385" s="209">
        <v>6</v>
      </c>
      <c r="H385" s="217">
        <v>4966</v>
      </c>
      <c r="I385" s="16">
        <f t="shared" si="97"/>
        <v>377</v>
      </c>
      <c r="J385" s="217">
        <v>4589</v>
      </c>
      <c r="K385" s="217">
        <v>3327</v>
      </c>
      <c r="L385" s="217">
        <f>J385-K385</f>
        <v>1262</v>
      </c>
      <c r="M385" s="216"/>
    </row>
    <row r="386" spans="1:13" s="18" customFormat="1" ht="15" customHeight="1">
      <c r="A386" s="286">
        <v>2024</v>
      </c>
      <c r="B386" s="287" t="s">
        <v>44</v>
      </c>
      <c r="C386" s="208">
        <f>K386/H386</f>
        <v>0.81116687578419067</v>
      </c>
      <c r="D386" s="208">
        <f>K386/J386</f>
        <v>0.83888408304498274</v>
      </c>
      <c r="E386" s="208">
        <f>J386/H386</f>
        <v>0.96695943120033456</v>
      </c>
      <c r="F386" s="209">
        <v>171</v>
      </c>
      <c r="G386" s="209">
        <v>6</v>
      </c>
      <c r="H386" s="217">
        <v>4782</v>
      </c>
      <c r="I386" s="16">
        <f t="shared" si="97"/>
        <v>158</v>
      </c>
      <c r="J386" s="217">
        <v>4624</v>
      </c>
      <c r="K386" s="217">
        <v>3879</v>
      </c>
      <c r="L386" s="217">
        <f>J386-K386</f>
        <v>745</v>
      </c>
      <c r="M386" s="216"/>
    </row>
    <row r="387" spans="1:13" s="18" customFormat="1" ht="15" customHeight="1">
      <c r="A387" s="143" t="s">
        <v>152</v>
      </c>
      <c r="B387" s="144"/>
      <c r="C387" s="140">
        <f>+URQ[[#Totals],[Trenes Puntuales]]/URQ[[#Totals],[Trenes Programados]]</f>
        <v>0.89699434019582147</v>
      </c>
      <c r="D387" s="140">
        <f>+URQ[[#Totals],[Trenes Puntuales]]/URQ[[#Totals],[Trenes Corridos]]</f>
        <v>0.92943466075994463</v>
      </c>
      <c r="E387" s="140">
        <f>+URQ[[#Totals],[Trenes Corridos]]/URQ[[#Totals],[Trenes Programados]]</f>
        <v>0.96509671746306658</v>
      </c>
      <c r="F387" s="141"/>
      <c r="G387" s="141"/>
      <c r="H387" s="141">
        <f>SUBTOTAL(109,URQ[Trenes Programados])</f>
        <v>1873033</v>
      </c>
      <c r="I387" s="141">
        <f>SUBTOTAL(109,URQ[Trenes Cancelados])</f>
        <v>65552</v>
      </c>
      <c r="J387" s="141">
        <f>SUBTOTAL(109,URQ[Trenes Corridos])</f>
        <v>1807658</v>
      </c>
      <c r="K387" s="141">
        <f>SUBTOTAL(109,URQ[Trenes Puntuales])</f>
        <v>1680100</v>
      </c>
      <c r="L387" s="141">
        <f>SUBTOTAL(109,URQ[Trenes Atrasados])</f>
        <v>128264</v>
      </c>
      <c r="M387" s="145">
        <f>SUBTOTAL(103,URQ[Observaciones])</f>
        <v>8</v>
      </c>
    </row>
    <row r="388" spans="1:13" s="18" customFormat="1" ht="15" customHeight="1">
      <c r="A388" s="143"/>
      <c r="B388" s="144"/>
      <c r="C388" s="140"/>
      <c r="D388" s="140"/>
      <c r="E388" s="140"/>
      <c r="F388" s="141"/>
      <c r="G388" s="141"/>
      <c r="H388" s="141"/>
      <c r="I388" s="141"/>
      <c r="J388" s="141"/>
      <c r="K388" s="141"/>
      <c r="L388" s="141"/>
      <c r="M388" s="145"/>
    </row>
    <row r="389" spans="1:13" s="18" customFormat="1" ht="15" customHeight="1">
      <c r="A389" s="143"/>
      <c r="B389" s="144"/>
      <c r="C389" s="140"/>
      <c r="D389" s="140"/>
      <c r="E389" s="140"/>
      <c r="F389" s="141"/>
      <c r="G389" s="141"/>
      <c r="H389" s="141"/>
      <c r="I389" s="141"/>
      <c r="J389" s="141"/>
      <c r="K389" s="141"/>
      <c r="L389" s="141"/>
      <c r="M389" s="145"/>
    </row>
    <row r="390" spans="1:13" s="18" customFormat="1" ht="15" customHeight="1">
      <c r="A390" s="143"/>
      <c r="B390" s="144"/>
      <c r="C390" s="140"/>
      <c r="D390" s="140"/>
      <c r="E390" s="140"/>
      <c r="F390" s="141"/>
      <c r="G390" s="141"/>
      <c r="H390" s="141"/>
      <c r="I390" s="141"/>
      <c r="J390" s="141"/>
      <c r="K390" s="141"/>
      <c r="L390" s="141"/>
      <c r="M390" s="145"/>
    </row>
    <row r="391" spans="1:13" s="18" customFormat="1" ht="15" customHeight="1">
      <c r="A391" s="143"/>
      <c r="B391" s="144"/>
      <c r="C391" s="140"/>
      <c r="D391" s="140"/>
      <c r="E391" s="140"/>
      <c r="F391" s="141"/>
      <c r="G391" s="141"/>
      <c r="H391" s="141"/>
      <c r="I391" s="141"/>
      <c r="J391" s="141"/>
      <c r="K391" s="141"/>
      <c r="L391" s="141"/>
      <c r="M391" s="145"/>
    </row>
    <row r="392" spans="1:13" s="18" customFormat="1" ht="15" customHeight="1">
      <c r="A392" s="143"/>
      <c r="B392" s="144"/>
      <c r="C392" s="140"/>
      <c r="D392" s="140"/>
      <c r="E392" s="140"/>
      <c r="F392" s="141"/>
      <c r="G392" s="141"/>
      <c r="H392" s="141"/>
      <c r="I392" s="141"/>
      <c r="J392" s="141"/>
      <c r="K392" s="141"/>
      <c r="L392" s="141"/>
      <c r="M392" s="145"/>
    </row>
    <row r="393" spans="1:13" s="18" customFormat="1" ht="15" customHeight="1">
      <c r="A393" s="143"/>
      <c r="B393" s="144"/>
      <c r="C393" s="140"/>
      <c r="D393" s="140"/>
      <c r="E393" s="140"/>
      <c r="F393" s="141"/>
      <c r="G393" s="141"/>
      <c r="H393" s="141"/>
      <c r="I393" s="141"/>
      <c r="J393" s="141"/>
      <c r="K393" s="141"/>
      <c r="L393" s="141"/>
      <c r="M393" s="145"/>
    </row>
    <row r="394" spans="1:13" s="74" customFormat="1" ht="45" customHeight="1">
      <c r="A394" s="18"/>
      <c r="B394" s="18"/>
      <c r="C394" s="59"/>
      <c r="D394" s="59"/>
      <c r="E394" s="59"/>
      <c r="F394" s="40"/>
      <c r="G394" s="40"/>
      <c r="H394" s="40"/>
      <c r="I394" s="40"/>
      <c r="J394" s="40"/>
      <c r="K394" s="40"/>
      <c r="L394" s="40"/>
      <c r="M394" s="18"/>
    </row>
    <row r="395" spans="1:13" s="18" customFormat="1" ht="38.25">
      <c r="A395" s="187" t="s">
        <v>107</v>
      </c>
      <c r="B395" s="71" t="s">
        <v>116</v>
      </c>
      <c r="C395" s="71" t="s">
        <v>117</v>
      </c>
      <c r="D395" s="71" t="s">
        <v>118</v>
      </c>
      <c r="E395" s="71" t="s">
        <v>120</v>
      </c>
      <c r="F395" s="71" t="s">
        <v>119</v>
      </c>
      <c r="G395" s="74"/>
      <c r="H395" s="74"/>
      <c r="I395" s="74"/>
      <c r="J395" s="74"/>
      <c r="K395" s="74"/>
      <c r="L395" s="74"/>
      <c r="M395" s="74"/>
    </row>
    <row r="396" spans="1:13" s="18" customFormat="1" ht="15" customHeight="1">
      <c r="A396" s="188">
        <v>1993</v>
      </c>
      <c r="B396" s="186">
        <v>59469</v>
      </c>
      <c r="C396" s="186">
        <v>3012</v>
      </c>
      <c r="D396" s="186">
        <v>56457</v>
      </c>
      <c r="E396" s="186">
        <v>54609</v>
      </c>
      <c r="F396" s="186">
        <v>1848</v>
      </c>
      <c r="G396" s="40"/>
      <c r="H396" s="40"/>
      <c r="I396" s="40"/>
      <c r="J396" s="40"/>
      <c r="K396" s="40"/>
      <c r="L396" s="40"/>
    </row>
    <row r="397" spans="1:13" s="18" customFormat="1" ht="15" customHeight="1">
      <c r="A397" s="188">
        <v>1994</v>
      </c>
      <c r="B397" s="186">
        <v>62367</v>
      </c>
      <c r="C397" s="186">
        <v>968</v>
      </c>
      <c r="D397" s="186">
        <v>61399</v>
      </c>
      <c r="E397" s="186">
        <v>60163</v>
      </c>
      <c r="F397" s="186">
        <v>1236</v>
      </c>
      <c r="G397" s="40"/>
      <c r="H397" s="40"/>
      <c r="I397" s="40"/>
      <c r="J397" s="40"/>
      <c r="K397" s="40"/>
      <c r="L397" s="40"/>
    </row>
    <row r="398" spans="1:13" s="18" customFormat="1" ht="15" customHeight="1">
      <c r="A398" s="188">
        <v>1995</v>
      </c>
      <c r="B398" s="186">
        <v>64360</v>
      </c>
      <c r="C398" s="186">
        <v>658</v>
      </c>
      <c r="D398" s="186">
        <v>63702</v>
      </c>
      <c r="E398" s="186">
        <v>62115</v>
      </c>
      <c r="F398" s="186">
        <v>1587</v>
      </c>
      <c r="G398" s="40"/>
      <c r="H398" s="40"/>
      <c r="I398" s="40"/>
      <c r="J398" s="40"/>
      <c r="K398" s="40"/>
      <c r="L398" s="40"/>
    </row>
    <row r="399" spans="1:13" s="18" customFormat="1" ht="15" customHeight="1">
      <c r="A399" s="188">
        <v>1996</v>
      </c>
      <c r="B399" s="186">
        <v>67734</v>
      </c>
      <c r="C399" s="186">
        <v>1988</v>
      </c>
      <c r="D399" s="186">
        <v>65746</v>
      </c>
      <c r="E399" s="186">
        <v>63863</v>
      </c>
      <c r="F399" s="186">
        <v>1883</v>
      </c>
      <c r="G399" s="40"/>
      <c r="H399" s="40"/>
      <c r="I399" s="40"/>
      <c r="J399" s="40"/>
      <c r="K399" s="40"/>
      <c r="L399" s="40"/>
    </row>
    <row r="400" spans="1:13" s="18" customFormat="1" ht="15" customHeight="1">
      <c r="A400" s="188">
        <v>1997</v>
      </c>
      <c r="B400" s="186">
        <v>68771</v>
      </c>
      <c r="C400" s="186">
        <v>1400</v>
      </c>
      <c r="D400" s="186">
        <v>67371</v>
      </c>
      <c r="E400" s="186">
        <v>64728</v>
      </c>
      <c r="F400" s="186">
        <v>2643</v>
      </c>
      <c r="G400" s="40"/>
      <c r="H400" s="40"/>
      <c r="I400" s="40"/>
      <c r="J400" s="40"/>
      <c r="K400" s="40"/>
      <c r="L400" s="40"/>
    </row>
    <row r="401" spans="1:12" s="18" customFormat="1" ht="15" customHeight="1">
      <c r="A401" s="188">
        <v>1998</v>
      </c>
      <c r="B401" s="186">
        <v>69390</v>
      </c>
      <c r="C401" s="186">
        <v>1650</v>
      </c>
      <c r="D401" s="186">
        <v>67740</v>
      </c>
      <c r="E401" s="186">
        <v>66001</v>
      </c>
      <c r="F401" s="186">
        <v>1739</v>
      </c>
      <c r="G401" s="40"/>
      <c r="H401" s="40"/>
      <c r="I401" s="40"/>
      <c r="J401" s="40"/>
      <c r="K401" s="40"/>
      <c r="L401" s="40"/>
    </row>
    <row r="402" spans="1:12" s="18" customFormat="1" ht="15" customHeight="1">
      <c r="A402" s="188">
        <v>1999</v>
      </c>
      <c r="B402" s="186">
        <v>70655</v>
      </c>
      <c r="C402" s="186">
        <v>1453</v>
      </c>
      <c r="D402" s="186">
        <v>69202</v>
      </c>
      <c r="E402" s="186">
        <v>66817</v>
      </c>
      <c r="F402" s="186">
        <v>2385</v>
      </c>
      <c r="G402" s="40"/>
      <c r="H402" s="40"/>
      <c r="I402" s="40"/>
      <c r="J402" s="40"/>
      <c r="K402" s="40"/>
      <c r="L402" s="40"/>
    </row>
    <row r="403" spans="1:12" s="18" customFormat="1" ht="15" customHeight="1">
      <c r="A403" s="188">
        <v>2000</v>
      </c>
      <c r="B403" s="186">
        <v>69726</v>
      </c>
      <c r="C403" s="186">
        <v>2717</v>
      </c>
      <c r="D403" s="186">
        <v>67009</v>
      </c>
      <c r="E403" s="186">
        <v>64277</v>
      </c>
      <c r="F403" s="186">
        <v>2732</v>
      </c>
      <c r="G403" s="40"/>
      <c r="H403" s="40"/>
      <c r="I403" s="40"/>
      <c r="J403" s="40"/>
      <c r="K403" s="40"/>
      <c r="L403" s="40"/>
    </row>
    <row r="404" spans="1:12" s="18" customFormat="1" ht="15" customHeight="1">
      <c r="A404" s="188">
        <v>2001</v>
      </c>
      <c r="B404" s="186">
        <v>67183</v>
      </c>
      <c r="C404" s="186">
        <v>2436</v>
      </c>
      <c r="D404" s="186">
        <v>64747</v>
      </c>
      <c r="E404" s="186">
        <v>62715</v>
      </c>
      <c r="F404" s="186">
        <v>2032</v>
      </c>
      <c r="G404" s="40"/>
      <c r="H404" s="40"/>
      <c r="I404" s="40"/>
      <c r="J404" s="40"/>
      <c r="K404" s="40"/>
      <c r="L404" s="40"/>
    </row>
    <row r="405" spans="1:12" s="18" customFormat="1" ht="15" customHeight="1">
      <c r="A405" s="188">
        <v>2002</v>
      </c>
      <c r="B405" s="186">
        <v>58352</v>
      </c>
      <c r="C405" s="186">
        <v>7341</v>
      </c>
      <c r="D405" s="186">
        <v>51011</v>
      </c>
      <c r="E405" s="186">
        <v>50044</v>
      </c>
      <c r="F405" s="186">
        <v>967</v>
      </c>
      <c r="G405" s="40"/>
      <c r="H405" s="40"/>
      <c r="I405" s="40"/>
      <c r="J405" s="40"/>
      <c r="K405" s="40"/>
      <c r="L405" s="40"/>
    </row>
    <row r="406" spans="1:12" s="18" customFormat="1" ht="15" customHeight="1">
      <c r="A406" s="188">
        <v>2003</v>
      </c>
      <c r="B406" s="186">
        <v>52059</v>
      </c>
      <c r="C406" s="186">
        <v>874</v>
      </c>
      <c r="D406" s="186">
        <v>51362</v>
      </c>
      <c r="E406" s="186">
        <v>50092</v>
      </c>
      <c r="F406" s="186">
        <v>1270</v>
      </c>
      <c r="G406" s="40"/>
      <c r="H406" s="40"/>
      <c r="I406" s="40"/>
      <c r="J406" s="40"/>
      <c r="K406" s="40"/>
      <c r="L406" s="40"/>
    </row>
    <row r="407" spans="1:12" s="18" customFormat="1" ht="15" customHeight="1">
      <c r="A407" s="188">
        <v>2004</v>
      </c>
      <c r="B407" s="186">
        <v>53644</v>
      </c>
      <c r="C407" s="186">
        <v>444</v>
      </c>
      <c r="D407" s="186">
        <v>53200</v>
      </c>
      <c r="E407" s="186">
        <v>51941</v>
      </c>
      <c r="F407" s="186">
        <v>1259</v>
      </c>
      <c r="G407" s="40"/>
      <c r="H407" s="40"/>
      <c r="I407" s="40"/>
      <c r="J407" s="40"/>
      <c r="K407" s="40"/>
      <c r="L407" s="40"/>
    </row>
    <row r="408" spans="1:12" s="18" customFormat="1" ht="15" customHeight="1">
      <c r="A408" s="188">
        <v>2005</v>
      </c>
      <c r="B408" s="186">
        <v>53821</v>
      </c>
      <c r="C408" s="186">
        <v>1193</v>
      </c>
      <c r="D408" s="186">
        <v>52628</v>
      </c>
      <c r="E408" s="186">
        <v>50160</v>
      </c>
      <c r="F408" s="186">
        <v>3174</v>
      </c>
      <c r="G408" s="40"/>
      <c r="H408" s="40"/>
      <c r="I408" s="40"/>
      <c r="J408" s="40"/>
      <c r="K408" s="40"/>
      <c r="L408" s="40"/>
    </row>
    <row r="409" spans="1:12" s="18" customFormat="1" ht="15" customHeight="1">
      <c r="A409" s="188">
        <v>2006</v>
      </c>
      <c r="B409" s="186">
        <v>51514</v>
      </c>
      <c r="C409" s="186">
        <v>971</v>
      </c>
      <c r="D409" s="186">
        <v>50543</v>
      </c>
      <c r="E409" s="186">
        <v>49109</v>
      </c>
      <c r="F409" s="186">
        <v>1434</v>
      </c>
      <c r="G409" s="40"/>
      <c r="H409" s="40"/>
      <c r="I409" s="40"/>
      <c r="J409" s="40"/>
      <c r="K409" s="40"/>
      <c r="L409" s="40"/>
    </row>
    <row r="410" spans="1:12" s="18" customFormat="1" ht="15" customHeight="1">
      <c r="A410" s="188">
        <v>2007</v>
      </c>
      <c r="B410" s="186">
        <v>51317</v>
      </c>
      <c r="C410" s="186">
        <v>934</v>
      </c>
      <c r="D410" s="186">
        <v>50383</v>
      </c>
      <c r="E410" s="186">
        <v>48145</v>
      </c>
      <c r="F410" s="186">
        <v>2238</v>
      </c>
      <c r="G410" s="40"/>
      <c r="H410" s="40"/>
      <c r="I410" s="40"/>
      <c r="J410" s="40"/>
      <c r="K410" s="40"/>
      <c r="L410" s="40"/>
    </row>
    <row r="411" spans="1:12" s="18" customFormat="1" ht="15" customHeight="1">
      <c r="A411" s="188">
        <v>2008</v>
      </c>
      <c r="B411" s="186">
        <v>52384</v>
      </c>
      <c r="C411" s="186">
        <v>3285</v>
      </c>
      <c r="D411" s="186">
        <v>49099</v>
      </c>
      <c r="E411" s="186">
        <v>47328</v>
      </c>
      <c r="F411" s="186">
        <v>1771</v>
      </c>
      <c r="G411" s="40"/>
      <c r="H411" s="40"/>
      <c r="I411" s="40"/>
      <c r="J411" s="40"/>
      <c r="K411" s="40"/>
      <c r="L411" s="40"/>
    </row>
    <row r="412" spans="1:12" s="18" customFormat="1" ht="15" customHeight="1">
      <c r="A412" s="188">
        <v>2009</v>
      </c>
      <c r="B412" s="186">
        <v>56237</v>
      </c>
      <c r="C412" s="186">
        <v>521</v>
      </c>
      <c r="D412" s="186">
        <v>55716</v>
      </c>
      <c r="E412" s="186">
        <v>54463</v>
      </c>
      <c r="F412" s="186">
        <v>1253</v>
      </c>
      <c r="G412" s="40"/>
      <c r="H412" s="40"/>
      <c r="I412" s="40"/>
      <c r="J412" s="40"/>
      <c r="K412" s="40"/>
      <c r="L412" s="40"/>
    </row>
    <row r="413" spans="1:12" s="18" customFormat="1" ht="15" customHeight="1">
      <c r="A413" s="188">
        <v>2010</v>
      </c>
      <c r="B413" s="186">
        <v>58678</v>
      </c>
      <c r="C413" s="186">
        <v>573</v>
      </c>
      <c r="D413" s="186">
        <v>58105</v>
      </c>
      <c r="E413" s="186">
        <v>56985</v>
      </c>
      <c r="F413" s="186">
        <v>1120</v>
      </c>
      <c r="G413" s="40"/>
      <c r="H413" s="40"/>
      <c r="I413" s="40"/>
      <c r="J413" s="40"/>
      <c r="K413" s="40"/>
      <c r="L413" s="40"/>
    </row>
    <row r="414" spans="1:12" s="18" customFormat="1" ht="15" customHeight="1">
      <c r="A414" s="188">
        <v>2011</v>
      </c>
      <c r="B414" s="186">
        <v>58394</v>
      </c>
      <c r="C414" s="186">
        <v>534</v>
      </c>
      <c r="D414" s="186">
        <v>57860</v>
      </c>
      <c r="E414" s="186">
        <v>56325</v>
      </c>
      <c r="F414" s="186">
        <v>1535</v>
      </c>
      <c r="G414" s="40"/>
      <c r="H414" s="40"/>
      <c r="I414" s="40"/>
      <c r="J414" s="40"/>
      <c r="K414" s="40"/>
      <c r="L414" s="40"/>
    </row>
    <row r="415" spans="1:12" s="18" customFormat="1" ht="15" customHeight="1">
      <c r="A415" s="188">
        <v>2012</v>
      </c>
      <c r="B415" s="186">
        <v>58234</v>
      </c>
      <c r="C415" s="186">
        <v>1218</v>
      </c>
      <c r="D415" s="186">
        <v>57016</v>
      </c>
      <c r="E415" s="186">
        <v>52883</v>
      </c>
      <c r="F415" s="186">
        <v>4133</v>
      </c>
      <c r="G415" s="40"/>
      <c r="H415" s="40"/>
      <c r="I415" s="40"/>
      <c r="J415" s="40"/>
      <c r="K415" s="40"/>
      <c r="L415" s="40"/>
    </row>
    <row r="416" spans="1:12" s="18" customFormat="1" ht="15" customHeight="1">
      <c r="A416" s="188">
        <v>2013</v>
      </c>
      <c r="B416" s="186">
        <v>58305</v>
      </c>
      <c r="C416" s="186">
        <v>1811</v>
      </c>
      <c r="D416" s="186">
        <v>56494</v>
      </c>
      <c r="E416" s="186">
        <v>49995</v>
      </c>
      <c r="F416" s="186">
        <v>6499</v>
      </c>
      <c r="G416" s="40"/>
      <c r="H416" s="40"/>
      <c r="I416" s="40"/>
      <c r="J416" s="40"/>
      <c r="K416" s="40"/>
      <c r="L416" s="40"/>
    </row>
    <row r="417" spans="1:12" s="18" customFormat="1" ht="15" customHeight="1">
      <c r="A417" s="188">
        <v>2014</v>
      </c>
      <c r="B417" s="186">
        <v>58752</v>
      </c>
      <c r="C417" s="186">
        <v>4660</v>
      </c>
      <c r="D417" s="186">
        <v>54092</v>
      </c>
      <c r="E417" s="186">
        <v>47736</v>
      </c>
      <c r="F417" s="186">
        <v>6356</v>
      </c>
      <c r="G417" s="40"/>
      <c r="H417" s="40"/>
      <c r="I417" s="40"/>
      <c r="J417" s="40"/>
      <c r="K417" s="40"/>
      <c r="L417" s="40"/>
    </row>
    <row r="418" spans="1:12" s="18" customFormat="1" ht="15" customHeight="1">
      <c r="A418" s="188">
        <v>2015</v>
      </c>
      <c r="B418" s="186">
        <v>56210</v>
      </c>
      <c r="C418" s="186">
        <v>2054</v>
      </c>
      <c r="D418" s="186">
        <v>54156</v>
      </c>
      <c r="E418" s="186">
        <v>43763</v>
      </c>
      <c r="F418" s="186">
        <v>10393</v>
      </c>
      <c r="G418" s="40"/>
      <c r="H418" s="40"/>
      <c r="I418" s="40"/>
      <c r="J418" s="40"/>
      <c r="K418" s="40"/>
      <c r="L418" s="40"/>
    </row>
    <row r="419" spans="1:12" s="18" customFormat="1" ht="15" customHeight="1">
      <c r="A419" s="188">
        <v>2016</v>
      </c>
      <c r="B419" s="186">
        <v>56615</v>
      </c>
      <c r="C419" s="186">
        <v>1830</v>
      </c>
      <c r="D419" s="186">
        <v>54785</v>
      </c>
      <c r="E419" s="186">
        <v>47573</v>
      </c>
      <c r="F419" s="186">
        <v>7212</v>
      </c>
      <c r="G419" s="40"/>
      <c r="H419" s="40"/>
      <c r="I419" s="40"/>
      <c r="J419" s="40"/>
      <c r="K419" s="40"/>
      <c r="L419" s="40"/>
    </row>
    <row r="420" spans="1:12" s="18" customFormat="1" ht="15" customHeight="1">
      <c r="A420" s="188">
        <v>2017</v>
      </c>
      <c r="B420" s="186">
        <v>56591</v>
      </c>
      <c r="C420" s="186">
        <v>1129</v>
      </c>
      <c r="D420" s="186">
        <v>55462</v>
      </c>
      <c r="E420" s="186">
        <v>50426</v>
      </c>
      <c r="F420" s="186">
        <v>5036</v>
      </c>
      <c r="G420" s="40"/>
      <c r="H420" s="40"/>
      <c r="I420" s="40"/>
      <c r="J420" s="40"/>
      <c r="K420" s="40"/>
      <c r="L420" s="40"/>
    </row>
    <row r="421" spans="1:12" s="18" customFormat="1" ht="15" customHeight="1">
      <c r="A421" s="188">
        <v>2018</v>
      </c>
      <c r="B421" s="186">
        <v>56565</v>
      </c>
      <c r="C421" s="186">
        <v>1828</v>
      </c>
      <c r="D421" s="186">
        <v>54737</v>
      </c>
      <c r="E421" s="186">
        <v>47338</v>
      </c>
      <c r="F421" s="186">
        <v>7399</v>
      </c>
      <c r="G421" s="40"/>
      <c r="H421" s="40"/>
      <c r="I421" s="40"/>
      <c r="J421" s="40"/>
      <c r="K421" s="40"/>
      <c r="L421" s="40"/>
    </row>
    <row r="422" spans="1:12" s="18" customFormat="1" ht="15" customHeight="1">
      <c r="A422" s="188">
        <v>2019</v>
      </c>
      <c r="B422" s="186">
        <v>57246</v>
      </c>
      <c r="C422" s="186">
        <v>2293</v>
      </c>
      <c r="D422" s="186">
        <v>54953</v>
      </c>
      <c r="E422" s="186">
        <v>48461</v>
      </c>
      <c r="F422" s="186">
        <v>6492</v>
      </c>
      <c r="G422" s="40"/>
      <c r="H422" s="40"/>
      <c r="I422" s="40"/>
      <c r="J422" s="40"/>
      <c r="K422" s="40"/>
      <c r="L422" s="40"/>
    </row>
    <row r="423" spans="1:12" s="18" customFormat="1" ht="15" customHeight="1">
      <c r="A423" s="188">
        <v>2020</v>
      </c>
      <c r="B423" s="186">
        <v>54959</v>
      </c>
      <c r="C423" s="186">
        <v>3124</v>
      </c>
      <c r="D423" s="186">
        <v>51835</v>
      </c>
      <c r="E423" s="186">
        <v>50440</v>
      </c>
      <c r="F423" s="186">
        <v>1395</v>
      </c>
      <c r="G423" s="40"/>
      <c r="H423" s="40"/>
      <c r="I423" s="40"/>
      <c r="J423" s="40"/>
      <c r="K423" s="40"/>
      <c r="L423" s="40"/>
    </row>
    <row r="424" spans="1:12" s="18" customFormat="1" ht="15" customHeight="1">
      <c r="A424" s="188">
        <v>2021</v>
      </c>
      <c r="B424" s="186">
        <v>57193</v>
      </c>
      <c r="C424" s="186">
        <v>5895</v>
      </c>
      <c r="D424" s="186">
        <v>51298</v>
      </c>
      <c r="E424" s="186">
        <v>40089</v>
      </c>
      <c r="F424" s="186">
        <v>11209</v>
      </c>
      <c r="G424" s="40"/>
      <c r="H424" s="40"/>
      <c r="I424" s="40"/>
      <c r="J424" s="40"/>
      <c r="K424" s="40"/>
      <c r="L424" s="40"/>
    </row>
    <row r="425" spans="1:12" s="18" customFormat="1" ht="15" customHeight="1">
      <c r="A425" s="188">
        <v>2022</v>
      </c>
      <c r="B425" s="186">
        <v>57037</v>
      </c>
      <c r="C425" s="186">
        <v>2029</v>
      </c>
      <c r="D425" s="186">
        <v>55008</v>
      </c>
      <c r="E425" s="186">
        <v>47445</v>
      </c>
      <c r="F425" s="186">
        <v>7563</v>
      </c>
      <c r="G425" s="40"/>
      <c r="H425" s="40"/>
      <c r="I425" s="40"/>
      <c r="J425" s="40"/>
      <c r="K425" s="40"/>
      <c r="L425" s="40"/>
    </row>
    <row r="426" spans="1:12" s="18" customFormat="1" ht="15" customHeight="1">
      <c r="A426" s="188">
        <v>2023</v>
      </c>
      <c r="B426" s="186">
        <v>57089</v>
      </c>
      <c r="C426" s="186">
        <v>2104</v>
      </c>
      <c r="D426" s="186">
        <v>54985</v>
      </c>
      <c r="E426" s="186">
        <v>42221</v>
      </c>
      <c r="F426" s="186">
        <v>12764</v>
      </c>
      <c r="G426" s="40"/>
      <c r="H426" s="40"/>
      <c r="I426" s="40"/>
      <c r="J426" s="40"/>
      <c r="K426" s="40"/>
      <c r="L426" s="40"/>
    </row>
    <row r="427" spans="1:12" s="18" customFormat="1" ht="15" customHeight="1">
      <c r="A427" s="188">
        <v>2024</v>
      </c>
      <c r="B427" s="186">
        <v>42182</v>
      </c>
      <c r="C427" s="186">
        <v>2625</v>
      </c>
      <c r="D427" s="186">
        <v>39557</v>
      </c>
      <c r="E427" s="186">
        <v>31850</v>
      </c>
      <c r="F427" s="186">
        <v>7707</v>
      </c>
      <c r="G427" s="40"/>
      <c r="H427" s="40"/>
      <c r="I427" s="40"/>
      <c r="J427" s="40"/>
      <c r="K427" s="40"/>
      <c r="L427" s="40"/>
    </row>
    <row r="428" spans="1:12" s="18" customFormat="1" ht="15" customHeight="1">
      <c r="C428" s="59"/>
      <c r="D428" s="59"/>
      <c r="E428" s="59"/>
      <c r="F428" s="40"/>
      <c r="G428" s="40"/>
      <c r="H428" s="40"/>
      <c r="I428" s="40"/>
      <c r="J428" s="40"/>
      <c r="K428" s="40"/>
      <c r="L428" s="40"/>
    </row>
    <row r="429" spans="1:12" s="18" customFormat="1" ht="15" customHeight="1">
      <c r="C429" s="59"/>
      <c r="D429" s="59"/>
      <c r="E429" s="59"/>
      <c r="F429" s="40"/>
      <c r="G429" s="40"/>
      <c r="H429" s="40"/>
      <c r="I429" s="40"/>
      <c r="J429" s="40"/>
      <c r="K429" s="40"/>
      <c r="L429" s="40"/>
    </row>
    <row r="430" spans="1:12" s="18" customFormat="1" ht="15" customHeight="1">
      <c r="C430" s="59"/>
      <c r="D430" s="59"/>
      <c r="E430" s="59"/>
      <c r="F430" s="40"/>
      <c r="G430" s="40"/>
      <c r="H430" s="40"/>
      <c r="I430" s="40"/>
      <c r="J430" s="40"/>
      <c r="K430" s="40"/>
      <c r="L430" s="40"/>
    </row>
    <row r="431" spans="1:12" s="18" customFormat="1" ht="15" customHeight="1">
      <c r="C431" s="59"/>
      <c r="D431" s="59"/>
      <c r="E431" s="59"/>
      <c r="F431" s="40"/>
      <c r="G431" s="40"/>
      <c r="H431" s="40"/>
      <c r="I431" s="40"/>
      <c r="J431" s="40"/>
      <c r="K431" s="40"/>
      <c r="L431" s="40"/>
    </row>
    <row r="432" spans="1:12" s="18" customFormat="1" ht="15" customHeight="1">
      <c r="C432" s="59"/>
      <c r="D432" s="59"/>
      <c r="E432" s="59"/>
      <c r="F432" s="40"/>
      <c r="G432" s="40"/>
      <c r="H432" s="40"/>
      <c r="I432" s="40"/>
      <c r="J432" s="40"/>
      <c r="K432" s="40"/>
      <c r="L432" s="40"/>
    </row>
    <row r="433" spans="3:12" s="18" customFormat="1" ht="15" customHeight="1">
      <c r="C433" s="59"/>
      <c r="D433" s="59"/>
      <c r="E433" s="59"/>
      <c r="F433" s="40"/>
      <c r="G433" s="40"/>
      <c r="H433" s="40"/>
      <c r="I433" s="40"/>
      <c r="J433" s="40"/>
      <c r="K433" s="40"/>
      <c r="L433" s="40"/>
    </row>
    <row r="434" spans="3:12" s="18" customFormat="1" ht="15" customHeight="1">
      <c r="C434" s="59"/>
      <c r="D434" s="59"/>
      <c r="E434" s="59"/>
      <c r="F434" s="40"/>
      <c r="G434" s="40"/>
      <c r="H434" s="40"/>
      <c r="I434" s="40"/>
      <c r="J434" s="40"/>
      <c r="K434" s="40"/>
      <c r="L434" s="40"/>
    </row>
    <row r="435" spans="3:12" s="18" customFormat="1" ht="15" customHeight="1">
      <c r="C435" s="59"/>
      <c r="D435" s="59"/>
      <c r="E435" s="59"/>
      <c r="F435" s="40"/>
      <c r="G435" s="40"/>
      <c r="H435" s="40"/>
      <c r="I435" s="40"/>
      <c r="J435" s="40"/>
      <c r="K435" s="40"/>
      <c r="L435" s="40"/>
    </row>
    <row r="436" spans="3:12" s="18" customFormat="1" ht="15" customHeight="1">
      <c r="C436" s="59"/>
      <c r="D436" s="59"/>
      <c r="E436" s="59"/>
      <c r="F436" s="40"/>
      <c r="G436" s="40"/>
      <c r="H436" s="40"/>
      <c r="I436" s="40"/>
      <c r="J436" s="40"/>
      <c r="K436" s="40"/>
      <c r="L436" s="40"/>
    </row>
    <row r="437" spans="3:12" s="18" customFormat="1" ht="15" customHeight="1">
      <c r="C437" s="59"/>
      <c r="D437" s="59"/>
      <c r="E437" s="59"/>
      <c r="F437" s="40"/>
      <c r="G437" s="40"/>
      <c r="H437" s="40"/>
      <c r="I437" s="40"/>
      <c r="J437" s="40"/>
      <c r="K437" s="40"/>
      <c r="L437" s="40"/>
    </row>
    <row r="438" spans="3:12" s="18" customFormat="1" ht="15" customHeight="1">
      <c r="C438" s="59"/>
      <c r="D438" s="59"/>
      <c r="E438" s="59"/>
      <c r="F438" s="40"/>
      <c r="G438" s="40"/>
      <c r="H438" s="40"/>
      <c r="I438" s="40"/>
      <c r="J438" s="40"/>
      <c r="K438" s="40"/>
      <c r="L438" s="40"/>
    </row>
    <row r="439" spans="3:12" s="18" customFormat="1" ht="15" customHeight="1">
      <c r="C439" s="59"/>
      <c r="D439" s="59"/>
      <c r="E439" s="59"/>
      <c r="F439" s="40"/>
      <c r="G439" s="40"/>
      <c r="H439" s="40"/>
      <c r="I439" s="40"/>
      <c r="J439" s="40"/>
      <c r="K439" s="40"/>
      <c r="L439" s="40"/>
    </row>
    <row r="440" spans="3:12" s="18" customFormat="1" ht="15" customHeight="1">
      <c r="C440" s="59"/>
      <c r="D440" s="59"/>
      <c r="E440" s="59"/>
      <c r="F440" s="40"/>
      <c r="G440" s="40"/>
      <c r="H440" s="40"/>
      <c r="I440" s="40"/>
      <c r="J440" s="40"/>
      <c r="K440" s="40"/>
      <c r="L440" s="40"/>
    </row>
    <row r="441" spans="3:12" s="18" customFormat="1" ht="15" customHeight="1">
      <c r="C441" s="59"/>
      <c r="D441" s="59"/>
      <c r="E441" s="59"/>
      <c r="F441" s="40"/>
      <c r="G441" s="40"/>
      <c r="H441" s="40"/>
      <c r="I441" s="40"/>
      <c r="J441" s="40"/>
      <c r="K441" s="40"/>
      <c r="L441" s="40"/>
    </row>
    <row r="442" spans="3:12" s="18" customFormat="1" ht="15" customHeight="1">
      <c r="C442" s="59"/>
      <c r="D442" s="59"/>
      <c r="E442" s="59"/>
      <c r="F442" s="40"/>
      <c r="G442" s="40"/>
      <c r="H442" s="40"/>
      <c r="I442" s="40"/>
      <c r="J442" s="40"/>
      <c r="K442" s="40"/>
      <c r="L442" s="40"/>
    </row>
    <row r="443" spans="3:12" s="18" customFormat="1" ht="15" customHeight="1">
      <c r="C443" s="59"/>
      <c r="D443" s="59"/>
      <c r="E443" s="59"/>
      <c r="F443" s="40"/>
      <c r="G443" s="40"/>
      <c r="H443" s="40"/>
      <c r="I443" s="40"/>
      <c r="J443" s="40"/>
      <c r="K443" s="40"/>
      <c r="L443" s="40"/>
    </row>
    <row r="444" spans="3:12" s="18" customFormat="1" ht="15" customHeight="1">
      <c r="C444" s="59"/>
      <c r="D444" s="59"/>
      <c r="E444" s="59"/>
      <c r="F444" s="40"/>
      <c r="G444" s="40"/>
      <c r="H444" s="40"/>
      <c r="I444" s="40"/>
      <c r="J444" s="40"/>
      <c r="K444" s="40"/>
      <c r="L444" s="40"/>
    </row>
    <row r="445" spans="3:12" s="18" customFormat="1" ht="15" customHeight="1">
      <c r="C445" s="59"/>
      <c r="D445" s="59"/>
      <c r="E445" s="59"/>
      <c r="F445" s="40"/>
      <c r="G445" s="40"/>
      <c r="H445" s="40"/>
      <c r="I445" s="40"/>
      <c r="J445" s="40"/>
      <c r="K445" s="40"/>
      <c r="L445" s="40"/>
    </row>
    <row r="446" spans="3:12" s="18" customFormat="1" ht="15" customHeight="1">
      <c r="C446" s="59"/>
      <c r="D446" s="59"/>
      <c r="E446" s="59"/>
      <c r="F446" s="40"/>
      <c r="G446" s="40"/>
      <c r="H446" s="40"/>
      <c r="I446" s="40"/>
      <c r="J446" s="40"/>
      <c r="K446" s="40"/>
      <c r="L446" s="40"/>
    </row>
    <row r="447" spans="3:12" s="18" customFormat="1" ht="15" customHeight="1">
      <c r="C447" s="59"/>
      <c r="D447" s="59"/>
      <c r="E447" s="59"/>
      <c r="F447" s="40"/>
      <c r="G447" s="40"/>
      <c r="H447" s="40"/>
      <c r="I447" s="40"/>
      <c r="J447" s="40"/>
      <c r="K447" s="40"/>
      <c r="L447" s="40"/>
    </row>
    <row r="448" spans="3:12" s="18" customFormat="1" ht="15" customHeight="1">
      <c r="C448" s="59"/>
      <c r="D448" s="59"/>
      <c r="E448" s="59"/>
      <c r="F448" s="40"/>
      <c r="G448" s="40"/>
      <c r="H448" s="40"/>
      <c r="I448" s="40"/>
      <c r="J448" s="40"/>
      <c r="K448" s="40"/>
      <c r="L448" s="40"/>
    </row>
    <row r="449" spans="3:12" s="18" customFormat="1" ht="15" customHeight="1">
      <c r="C449" s="59"/>
      <c r="D449" s="59"/>
      <c r="E449" s="59"/>
      <c r="F449" s="40"/>
      <c r="G449" s="40"/>
      <c r="H449" s="40"/>
      <c r="I449" s="40"/>
      <c r="J449" s="40"/>
      <c r="K449" s="40"/>
      <c r="L449" s="40"/>
    </row>
    <row r="450" spans="3:12" s="18" customFormat="1" ht="15" customHeight="1">
      <c r="C450" s="59"/>
      <c r="D450" s="59"/>
      <c r="E450" s="59"/>
      <c r="F450" s="40"/>
      <c r="G450" s="40"/>
      <c r="H450" s="40"/>
      <c r="I450" s="40"/>
      <c r="J450" s="40"/>
      <c r="K450" s="40"/>
      <c r="L450" s="40"/>
    </row>
    <row r="451" spans="3:12" s="18" customFormat="1" ht="15" customHeight="1">
      <c r="C451" s="59"/>
      <c r="D451" s="59"/>
      <c r="E451" s="59"/>
      <c r="F451" s="40"/>
      <c r="G451" s="40"/>
      <c r="H451" s="40"/>
      <c r="I451" s="40"/>
      <c r="J451" s="40"/>
      <c r="K451" s="40"/>
      <c r="L451" s="40"/>
    </row>
    <row r="452" spans="3:12" s="18" customFormat="1" ht="15" customHeight="1">
      <c r="C452" s="59"/>
      <c r="D452" s="59"/>
      <c r="E452" s="59"/>
      <c r="F452" s="40"/>
      <c r="G452" s="40"/>
      <c r="H452" s="40"/>
      <c r="I452" s="40"/>
      <c r="J452" s="40"/>
      <c r="K452" s="40"/>
      <c r="L452" s="40"/>
    </row>
    <row r="453" spans="3:12" s="18" customFormat="1" ht="15" customHeight="1">
      <c r="C453" s="59"/>
      <c r="D453" s="59"/>
      <c r="E453" s="59"/>
      <c r="F453" s="40"/>
      <c r="G453" s="40"/>
      <c r="H453" s="40"/>
      <c r="I453" s="40"/>
      <c r="J453" s="40"/>
      <c r="K453" s="40"/>
      <c r="L453" s="40"/>
    </row>
    <row r="454" spans="3:12" s="18" customFormat="1" ht="15" customHeight="1">
      <c r="C454" s="59"/>
      <c r="D454" s="59"/>
      <c r="E454" s="59"/>
      <c r="F454" s="40"/>
      <c r="G454" s="40"/>
      <c r="H454" s="40"/>
      <c r="I454" s="40"/>
      <c r="J454" s="40"/>
      <c r="K454" s="40"/>
      <c r="L454" s="40"/>
    </row>
    <row r="455" spans="3:12" s="18" customFormat="1" ht="15" customHeight="1">
      <c r="C455" s="59"/>
      <c r="D455" s="59"/>
      <c r="E455" s="59"/>
      <c r="F455" s="40"/>
      <c r="G455" s="40"/>
      <c r="H455" s="40"/>
      <c r="I455" s="40"/>
      <c r="J455" s="40"/>
      <c r="K455" s="40"/>
      <c r="L455" s="40"/>
    </row>
    <row r="456" spans="3:12" s="18" customFormat="1" ht="15" customHeight="1">
      <c r="C456" s="59"/>
      <c r="D456" s="59"/>
      <c r="E456" s="59"/>
      <c r="F456" s="40"/>
      <c r="G456" s="40"/>
      <c r="H456" s="40"/>
      <c r="I456" s="40"/>
      <c r="J456" s="40"/>
      <c r="K456" s="40"/>
      <c r="L456" s="40"/>
    </row>
    <row r="457" spans="3:12" s="18" customFormat="1" ht="15" customHeight="1">
      <c r="C457" s="59"/>
      <c r="D457" s="59"/>
      <c r="E457" s="59"/>
      <c r="F457" s="40"/>
      <c r="G457" s="40"/>
      <c r="H457" s="40"/>
      <c r="I457" s="40"/>
      <c r="J457" s="40"/>
      <c r="K457" s="40"/>
      <c r="L457" s="40"/>
    </row>
    <row r="458" spans="3:12" s="18" customFormat="1" ht="15" customHeight="1">
      <c r="C458" s="59"/>
      <c r="D458" s="59"/>
      <c r="E458" s="59"/>
      <c r="F458" s="40"/>
      <c r="G458" s="40"/>
      <c r="H458" s="40"/>
      <c r="I458" s="40"/>
      <c r="J458" s="40"/>
      <c r="K458" s="40"/>
      <c r="L458" s="40"/>
    </row>
    <row r="459" spans="3:12" s="18" customFormat="1" ht="15" customHeight="1">
      <c r="C459" s="59"/>
      <c r="D459" s="59"/>
      <c r="E459" s="59"/>
      <c r="F459" s="40"/>
      <c r="G459" s="40"/>
      <c r="H459" s="40"/>
      <c r="I459" s="40"/>
      <c r="J459" s="40"/>
      <c r="K459" s="40"/>
      <c r="L459" s="40"/>
    </row>
    <row r="460" spans="3:12" s="18" customFormat="1" ht="15" customHeight="1">
      <c r="C460" s="59"/>
      <c r="D460" s="59"/>
      <c r="E460" s="59"/>
      <c r="F460" s="40"/>
      <c r="G460" s="40"/>
      <c r="H460" s="40"/>
      <c r="I460" s="40"/>
      <c r="J460" s="40"/>
      <c r="K460" s="40"/>
      <c r="L460" s="40"/>
    </row>
    <row r="461" spans="3:12" s="18" customFormat="1" ht="15" customHeight="1">
      <c r="C461" s="59"/>
      <c r="D461" s="59"/>
      <c r="E461" s="59"/>
      <c r="F461" s="40"/>
      <c r="G461" s="40"/>
      <c r="H461" s="40"/>
      <c r="I461" s="40"/>
      <c r="J461" s="40"/>
      <c r="K461" s="40"/>
      <c r="L461" s="40"/>
    </row>
    <row r="462" spans="3:12" s="18" customFormat="1" ht="15" customHeight="1">
      <c r="C462" s="59"/>
      <c r="D462" s="59"/>
      <c r="E462" s="59"/>
      <c r="F462" s="40"/>
      <c r="G462" s="40"/>
      <c r="H462" s="40"/>
      <c r="I462" s="40"/>
      <c r="J462" s="40"/>
      <c r="K462" s="40"/>
      <c r="L462" s="40"/>
    </row>
    <row r="463" spans="3:12" s="18" customFormat="1" ht="15" customHeight="1">
      <c r="C463" s="59"/>
      <c r="D463" s="59"/>
      <c r="E463" s="59"/>
      <c r="F463" s="40"/>
      <c r="G463" s="40"/>
      <c r="H463" s="40"/>
      <c r="I463" s="40"/>
      <c r="J463" s="40"/>
      <c r="K463" s="40"/>
      <c r="L463" s="40"/>
    </row>
    <row r="464" spans="3:12" s="18" customFormat="1" ht="15" customHeight="1">
      <c r="C464" s="59"/>
      <c r="D464" s="59"/>
      <c r="E464" s="59"/>
      <c r="F464" s="40"/>
      <c r="G464" s="40"/>
      <c r="H464" s="40"/>
      <c r="I464" s="40"/>
      <c r="J464" s="40"/>
      <c r="K464" s="40"/>
      <c r="L464" s="40"/>
    </row>
    <row r="465" spans="3:12" s="18" customFormat="1" ht="15" customHeight="1">
      <c r="C465" s="59"/>
      <c r="D465" s="59"/>
      <c r="E465" s="59"/>
      <c r="F465" s="40"/>
      <c r="G465" s="40"/>
      <c r="H465" s="40"/>
      <c r="I465" s="40"/>
      <c r="J465" s="40"/>
      <c r="K465" s="40"/>
      <c r="L465" s="40"/>
    </row>
    <row r="466" spans="3:12" s="18" customFormat="1" ht="15" customHeight="1">
      <c r="C466" s="59"/>
      <c r="D466" s="59"/>
      <c r="E466" s="59"/>
      <c r="F466" s="40"/>
      <c r="G466" s="40"/>
      <c r="H466" s="40"/>
      <c r="I466" s="40"/>
      <c r="J466" s="40"/>
      <c r="K466" s="40"/>
      <c r="L466" s="40"/>
    </row>
    <row r="467" spans="3:12" s="18" customFormat="1" ht="15" customHeight="1">
      <c r="C467" s="59"/>
      <c r="D467" s="59"/>
      <c r="E467" s="59"/>
      <c r="F467" s="40"/>
      <c r="G467" s="40"/>
      <c r="H467" s="40"/>
      <c r="I467" s="40"/>
      <c r="J467" s="40"/>
      <c r="K467" s="40"/>
      <c r="L467" s="40"/>
    </row>
    <row r="468" spans="3:12" s="18" customFormat="1" ht="15" customHeight="1">
      <c r="C468" s="59"/>
      <c r="D468" s="59"/>
      <c r="E468" s="59"/>
      <c r="F468" s="40"/>
      <c r="G468" s="40"/>
      <c r="H468" s="40"/>
      <c r="I468" s="40"/>
      <c r="J468" s="40"/>
      <c r="K468" s="40"/>
      <c r="L468" s="40"/>
    </row>
    <row r="469" spans="3:12" s="18" customFormat="1" ht="15" customHeight="1">
      <c r="C469" s="59"/>
      <c r="D469" s="59"/>
      <c r="E469" s="59"/>
      <c r="F469" s="40"/>
      <c r="G469" s="40"/>
      <c r="H469" s="40"/>
      <c r="I469" s="40"/>
      <c r="J469" s="40"/>
      <c r="K469" s="40"/>
      <c r="L469" s="40"/>
    </row>
    <row r="470" spans="3:12" s="18" customFormat="1" ht="15" customHeight="1">
      <c r="C470" s="59"/>
      <c r="D470" s="59"/>
      <c r="E470" s="59"/>
      <c r="F470" s="40"/>
      <c r="G470" s="40"/>
      <c r="H470" s="40"/>
      <c r="I470" s="40"/>
      <c r="J470" s="40"/>
      <c r="K470" s="40"/>
      <c r="L470" s="40"/>
    </row>
    <row r="471" spans="3:12" s="18" customFormat="1" ht="15" customHeight="1">
      <c r="C471" s="59"/>
      <c r="D471" s="59"/>
      <c r="E471" s="59"/>
      <c r="F471" s="40"/>
      <c r="G471" s="40"/>
      <c r="H471" s="40"/>
      <c r="I471" s="40"/>
      <c r="J471" s="40"/>
      <c r="K471" s="40"/>
      <c r="L471" s="40"/>
    </row>
    <row r="472" spans="3:12" s="18" customFormat="1" ht="15" customHeight="1">
      <c r="C472" s="59"/>
      <c r="D472" s="59"/>
      <c r="E472" s="59"/>
      <c r="F472" s="40"/>
      <c r="G472" s="40"/>
      <c r="H472" s="40"/>
      <c r="I472" s="40"/>
      <c r="J472" s="40"/>
      <c r="K472" s="40"/>
      <c r="L472" s="40"/>
    </row>
    <row r="473" spans="3:12" s="18" customFormat="1" ht="15" customHeight="1">
      <c r="C473" s="59"/>
      <c r="D473" s="59"/>
      <c r="E473" s="59"/>
      <c r="F473" s="40"/>
      <c r="G473" s="40"/>
      <c r="H473" s="40"/>
      <c r="I473" s="40"/>
      <c r="J473" s="40"/>
      <c r="K473" s="40"/>
      <c r="L473" s="40"/>
    </row>
    <row r="474" spans="3:12" s="18" customFormat="1" ht="15" customHeight="1">
      <c r="C474" s="59"/>
      <c r="D474" s="59"/>
      <c r="E474" s="59"/>
      <c r="F474" s="40"/>
      <c r="G474" s="40"/>
      <c r="H474" s="40"/>
      <c r="I474" s="40"/>
      <c r="J474" s="40"/>
      <c r="K474" s="40"/>
      <c r="L474" s="40"/>
    </row>
    <row r="475" spans="3:12" s="18" customFormat="1" ht="15" customHeight="1">
      <c r="C475" s="59"/>
      <c r="D475" s="59"/>
      <c r="E475" s="59"/>
      <c r="F475" s="40"/>
      <c r="G475" s="40"/>
      <c r="H475" s="40"/>
      <c r="I475" s="40"/>
      <c r="J475" s="40"/>
      <c r="K475" s="40"/>
      <c r="L475" s="40"/>
    </row>
    <row r="476" spans="3:12" s="18" customFormat="1" ht="15" customHeight="1">
      <c r="C476" s="59"/>
      <c r="D476" s="59"/>
      <c r="E476" s="59"/>
      <c r="F476" s="40"/>
      <c r="G476" s="40"/>
      <c r="H476" s="40"/>
      <c r="I476" s="40"/>
      <c r="J476" s="40"/>
      <c r="K476" s="40"/>
      <c r="L476" s="40"/>
    </row>
    <row r="477" spans="3:12" s="18" customFormat="1" ht="15" customHeight="1">
      <c r="C477" s="59"/>
      <c r="D477" s="59"/>
      <c r="E477" s="59"/>
      <c r="F477" s="40"/>
      <c r="G477" s="40"/>
      <c r="H477" s="40"/>
      <c r="I477" s="40"/>
      <c r="J477" s="40"/>
      <c r="K477" s="40"/>
      <c r="L477" s="40"/>
    </row>
    <row r="478" spans="3:12" s="18" customFormat="1" ht="15" customHeight="1">
      <c r="C478" s="59"/>
      <c r="D478" s="59"/>
      <c r="E478" s="59"/>
      <c r="F478" s="40"/>
      <c r="G478" s="40"/>
      <c r="H478" s="40"/>
      <c r="I478" s="40"/>
      <c r="J478" s="40"/>
      <c r="K478" s="40"/>
      <c r="L478" s="40"/>
    </row>
    <row r="479" spans="3:12" s="18" customFormat="1" ht="15" customHeight="1">
      <c r="C479" s="59"/>
      <c r="D479" s="59"/>
      <c r="E479" s="59"/>
      <c r="F479" s="40"/>
      <c r="G479" s="40"/>
      <c r="H479" s="40"/>
      <c r="I479" s="40"/>
      <c r="J479" s="40"/>
      <c r="K479" s="40"/>
      <c r="L479" s="40"/>
    </row>
    <row r="480" spans="3:12" s="18" customFormat="1" ht="15" customHeight="1">
      <c r="C480" s="59"/>
      <c r="D480" s="59"/>
      <c r="E480" s="59"/>
      <c r="F480" s="40"/>
      <c r="G480" s="40"/>
      <c r="H480" s="40"/>
      <c r="I480" s="40"/>
      <c r="J480" s="40"/>
      <c r="K480" s="40"/>
      <c r="L480" s="40"/>
    </row>
    <row r="481" spans="3:12" s="18" customFormat="1" ht="15" customHeight="1">
      <c r="C481" s="59"/>
      <c r="D481" s="59"/>
      <c r="E481" s="59"/>
      <c r="F481" s="40"/>
      <c r="G481" s="40"/>
      <c r="H481" s="40"/>
      <c r="I481" s="40"/>
      <c r="J481" s="40"/>
      <c r="K481" s="40"/>
      <c r="L481" s="40"/>
    </row>
    <row r="482" spans="3:12" s="18" customFormat="1" ht="15" customHeight="1">
      <c r="C482" s="59"/>
      <c r="D482" s="59"/>
      <c r="E482" s="59"/>
      <c r="F482" s="40"/>
      <c r="G482" s="40"/>
      <c r="H482" s="40"/>
      <c r="I482" s="40"/>
      <c r="J482" s="40"/>
      <c r="K482" s="40"/>
      <c r="L482" s="40"/>
    </row>
    <row r="483" spans="3:12" s="18" customFormat="1" ht="15" customHeight="1">
      <c r="C483" s="59"/>
      <c r="D483" s="59"/>
      <c r="E483" s="59"/>
      <c r="F483" s="40"/>
      <c r="G483" s="40"/>
      <c r="H483" s="40"/>
      <c r="I483" s="40"/>
      <c r="J483" s="40"/>
      <c r="K483" s="40"/>
      <c r="L483" s="40"/>
    </row>
    <row r="484" spans="3:12" s="18" customFormat="1" ht="15" customHeight="1">
      <c r="C484" s="59"/>
      <c r="D484" s="59"/>
      <c r="E484" s="59"/>
      <c r="F484" s="40"/>
      <c r="G484" s="40"/>
      <c r="H484" s="40"/>
      <c r="I484" s="40"/>
      <c r="J484" s="40"/>
      <c r="K484" s="40"/>
      <c r="L484" s="40"/>
    </row>
    <row r="485" spans="3:12" s="18" customFormat="1" ht="15" customHeight="1">
      <c r="C485" s="59"/>
      <c r="D485" s="59"/>
      <c r="E485" s="59"/>
      <c r="F485" s="40"/>
      <c r="G485" s="40"/>
      <c r="H485" s="40"/>
      <c r="I485" s="40"/>
      <c r="J485" s="40"/>
      <c r="K485" s="40"/>
      <c r="L485" s="40"/>
    </row>
    <row r="486" spans="3:12" s="18" customFormat="1" ht="15" customHeight="1">
      <c r="C486" s="59"/>
      <c r="D486" s="59"/>
      <c r="E486" s="59"/>
      <c r="F486" s="40"/>
      <c r="G486" s="40"/>
      <c r="H486" s="40"/>
      <c r="I486" s="40"/>
      <c r="J486" s="40"/>
      <c r="K486" s="40"/>
      <c r="L486" s="40"/>
    </row>
    <row r="487" spans="3:12" s="18" customFormat="1" ht="15" customHeight="1">
      <c r="C487" s="59"/>
      <c r="D487" s="59"/>
      <c r="E487" s="59"/>
      <c r="F487" s="40"/>
      <c r="G487" s="40"/>
      <c r="H487" s="40"/>
      <c r="I487" s="40"/>
      <c r="J487" s="40"/>
      <c r="K487" s="40"/>
      <c r="L487" s="40"/>
    </row>
    <row r="488" spans="3:12" s="18" customFormat="1" ht="15" customHeight="1">
      <c r="C488" s="59"/>
      <c r="D488" s="59"/>
      <c r="E488" s="59"/>
      <c r="F488" s="40"/>
      <c r="G488" s="40"/>
      <c r="H488" s="40"/>
      <c r="I488" s="40"/>
      <c r="J488" s="40"/>
      <c r="K488" s="40"/>
      <c r="L488" s="40"/>
    </row>
    <row r="489" spans="3:12" s="18" customFormat="1" ht="15" customHeight="1">
      <c r="C489" s="59"/>
      <c r="D489" s="59"/>
      <c r="E489" s="59"/>
      <c r="F489" s="40"/>
      <c r="G489" s="40"/>
      <c r="H489" s="40"/>
      <c r="I489" s="40"/>
      <c r="J489" s="40"/>
      <c r="K489" s="40"/>
      <c r="L489" s="40"/>
    </row>
    <row r="490" spans="3:12" s="18" customFormat="1" ht="15" customHeight="1">
      <c r="C490" s="59"/>
      <c r="D490" s="59"/>
      <c r="E490" s="59"/>
      <c r="F490" s="40"/>
      <c r="G490" s="40"/>
      <c r="H490" s="40"/>
      <c r="I490" s="40"/>
      <c r="J490" s="40"/>
      <c r="K490" s="40"/>
      <c r="L490" s="40"/>
    </row>
    <row r="491" spans="3:12" s="18" customFormat="1" ht="15" customHeight="1">
      <c r="C491" s="59"/>
      <c r="D491" s="59"/>
      <c r="E491" s="59"/>
      <c r="F491" s="40"/>
      <c r="G491" s="40"/>
      <c r="H491" s="40"/>
      <c r="I491" s="40"/>
      <c r="J491" s="40"/>
      <c r="K491" s="40"/>
      <c r="L491" s="40"/>
    </row>
    <row r="492" spans="3:12" s="18" customFormat="1" ht="15" customHeight="1">
      <c r="C492" s="59"/>
      <c r="D492" s="59"/>
      <c r="E492" s="59"/>
      <c r="F492" s="40"/>
      <c r="G492" s="40"/>
      <c r="H492" s="40"/>
      <c r="I492" s="40"/>
      <c r="J492" s="40"/>
      <c r="K492" s="40"/>
      <c r="L492" s="40"/>
    </row>
    <row r="493" spans="3:12" s="18" customFormat="1" ht="15" customHeight="1">
      <c r="C493" s="59"/>
      <c r="D493" s="59"/>
      <c r="E493" s="59"/>
      <c r="F493" s="40"/>
      <c r="G493" s="40"/>
      <c r="H493" s="40"/>
      <c r="I493" s="40"/>
      <c r="J493" s="40"/>
      <c r="K493" s="40"/>
      <c r="L493" s="40"/>
    </row>
    <row r="494" spans="3:12" s="18" customFormat="1" ht="15" customHeight="1">
      <c r="C494" s="59"/>
      <c r="D494" s="59"/>
      <c r="E494" s="59"/>
      <c r="F494" s="40"/>
      <c r="G494" s="40"/>
      <c r="H494" s="40"/>
      <c r="I494" s="40"/>
      <c r="J494" s="40"/>
      <c r="K494" s="40"/>
      <c r="L494" s="40"/>
    </row>
    <row r="495" spans="3:12" s="18" customFormat="1" ht="15" customHeight="1">
      <c r="C495" s="59"/>
      <c r="D495" s="59"/>
      <c r="E495" s="59"/>
      <c r="F495" s="40"/>
      <c r="G495" s="40"/>
      <c r="H495" s="40"/>
      <c r="I495" s="40"/>
      <c r="J495" s="40"/>
      <c r="K495" s="40"/>
      <c r="L495" s="40"/>
    </row>
    <row r="496" spans="3:12" s="18" customFormat="1" ht="15" customHeight="1">
      <c r="C496" s="59"/>
      <c r="D496" s="59"/>
      <c r="E496" s="59"/>
      <c r="F496" s="40"/>
      <c r="G496" s="40"/>
      <c r="H496" s="40"/>
      <c r="I496" s="40"/>
      <c r="J496" s="40"/>
      <c r="K496" s="40"/>
      <c r="L496" s="40"/>
    </row>
    <row r="497" spans="3:12" s="18" customFormat="1" ht="15" customHeight="1">
      <c r="C497" s="59"/>
      <c r="D497" s="59"/>
      <c r="E497" s="59"/>
      <c r="F497" s="40"/>
      <c r="G497" s="40"/>
      <c r="H497" s="40"/>
      <c r="I497" s="40"/>
      <c r="J497" s="40"/>
      <c r="K497" s="40"/>
      <c r="L497" s="40"/>
    </row>
    <row r="498" spans="3:12" s="18" customFormat="1" ht="15" customHeight="1">
      <c r="C498" s="59"/>
      <c r="D498" s="59"/>
      <c r="E498" s="59"/>
      <c r="F498" s="40"/>
      <c r="G498" s="40"/>
      <c r="H498" s="40"/>
      <c r="I498" s="40"/>
      <c r="J498" s="40"/>
      <c r="K498" s="40"/>
      <c r="L498" s="40"/>
    </row>
    <row r="499" spans="3:12" s="18" customFormat="1" ht="15" customHeight="1">
      <c r="C499" s="59"/>
      <c r="D499" s="59"/>
      <c r="E499" s="59"/>
      <c r="F499" s="40"/>
      <c r="G499" s="40"/>
      <c r="H499" s="40"/>
      <c r="I499" s="40"/>
      <c r="J499" s="40"/>
      <c r="K499" s="40"/>
      <c r="L499" s="40"/>
    </row>
    <row r="500" spans="3:12" s="18" customFormat="1" ht="15" customHeight="1">
      <c r="C500" s="59"/>
      <c r="D500" s="59"/>
      <c r="E500" s="59"/>
      <c r="F500" s="40"/>
      <c r="G500" s="40"/>
      <c r="H500" s="40"/>
      <c r="I500" s="40"/>
      <c r="J500" s="40"/>
      <c r="K500" s="40"/>
      <c r="L500" s="40"/>
    </row>
    <row r="501" spans="3:12" s="18" customFormat="1" ht="15" customHeight="1">
      <c r="C501" s="59"/>
      <c r="D501" s="59"/>
      <c r="E501" s="59"/>
      <c r="F501" s="40"/>
      <c r="G501" s="40"/>
      <c r="H501" s="40"/>
      <c r="I501" s="40"/>
      <c r="J501" s="40"/>
      <c r="K501" s="40"/>
      <c r="L501" s="40"/>
    </row>
    <row r="502" spans="3:12" s="18" customFormat="1" ht="15" customHeight="1">
      <c r="C502" s="59"/>
      <c r="D502" s="59"/>
      <c r="E502" s="59"/>
      <c r="F502" s="40"/>
      <c r="G502" s="40"/>
      <c r="H502" s="40"/>
      <c r="I502" s="40"/>
      <c r="J502" s="40"/>
      <c r="K502" s="40"/>
      <c r="L502" s="40"/>
    </row>
    <row r="503" spans="3:12" s="18" customFormat="1" ht="15" customHeight="1">
      <c r="C503" s="59"/>
      <c r="D503" s="59"/>
      <c r="E503" s="59"/>
      <c r="F503" s="40"/>
      <c r="G503" s="40"/>
      <c r="H503" s="40"/>
      <c r="I503" s="40"/>
      <c r="J503" s="40"/>
      <c r="K503" s="40"/>
      <c r="L503" s="40"/>
    </row>
    <row r="504" spans="3:12" s="18" customFormat="1" ht="15" customHeight="1">
      <c r="C504" s="59"/>
      <c r="D504" s="59"/>
      <c r="E504" s="59"/>
      <c r="F504" s="40"/>
      <c r="G504" s="40"/>
      <c r="H504" s="40"/>
      <c r="I504" s="40"/>
      <c r="J504" s="40"/>
      <c r="K504" s="40"/>
      <c r="L504" s="40"/>
    </row>
    <row r="505" spans="3:12" s="18" customFormat="1" ht="15" customHeight="1">
      <c r="C505" s="59"/>
      <c r="D505" s="59"/>
      <c r="E505" s="59"/>
      <c r="F505" s="40"/>
      <c r="G505" s="40"/>
      <c r="H505" s="40"/>
      <c r="I505" s="40"/>
      <c r="J505" s="40"/>
      <c r="K505" s="40"/>
      <c r="L505" s="40"/>
    </row>
    <row r="506" spans="3:12" s="18" customFormat="1" ht="15" customHeight="1">
      <c r="C506" s="59"/>
      <c r="D506" s="59"/>
      <c r="E506" s="59"/>
      <c r="F506" s="40"/>
      <c r="G506" s="40"/>
      <c r="H506" s="40"/>
      <c r="I506" s="40"/>
      <c r="J506" s="40"/>
      <c r="K506" s="40"/>
      <c r="L506" s="40"/>
    </row>
    <row r="507" spans="3:12" s="18" customFormat="1" ht="15" customHeight="1">
      <c r="C507" s="59"/>
      <c r="D507" s="59"/>
      <c r="E507" s="59"/>
      <c r="F507" s="40"/>
      <c r="G507" s="40"/>
      <c r="H507" s="40"/>
      <c r="I507" s="40"/>
      <c r="J507" s="40"/>
      <c r="K507" s="40"/>
      <c r="L507" s="40"/>
    </row>
    <row r="508" spans="3:12" s="18" customFormat="1" ht="15" customHeight="1">
      <c r="C508" s="59"/>
      <c r="D508" s="59"/>
      <c r="E508" s="59"/>
      <c r="F508" s="40"/>
      <c r="G508" s="40"/>
      <c r="H508" s="40"/>
      <c r="I508" s="40"/>
      <c r="J508" s="40"/>
      <c r="K508" s="40"/>
      <c r="L508" s="40"/>
    </row>
    <row r="509" spans="3:12" s="18" customFormat="1" ht="15" customHeight="1">
      <c r="C509" s="59"/>
      <c r="D509" s="59"/>
      <c r="E509" s="59"/>
      <c r="F509" s="40"/>
      <c r="G509" s="40"/>
      <c r="H509" s="40"/>
      <c r="I509" s="40"/>
      <c r="J509" s="40"/>
      <c r="K509" s="40"/>
      <c r="L509" s="40"/>
    </row>
    <row r="510" spans="3:12" s="18" customFormat="1" ht="15" customHeight="1">
      <c r="C510" s="59"/>
      <c r="D510" s="59"/>
      <c r="E510" s="59"/>
      <c r="F510" s="40"/>
      <c r="G510" s="40"/>
      <c r="H510" s="40"/>
      <c r="I510" s="40"/>
      <c r="J510" s="40"/>
      <c r="K510" s="40"/>
      <c r="L510" s="40"/>
    </row>
    <row r="511" spans="3:12" s="18" customFormat="1" ht="15" customHeight="1">
      <c r="C511" s="59"/>
      <c r="D511" s="59"/>
      <c r="E511" s="59"/>
      <c r="F511" s="40"/>
      <c r="G511" s="40"/>
      <c r="H511" s="40"/>
      <c r="I511" s="40"/>
      <c r="J511" s="40"/>
      <c r="K511" s="40"/>
      <c r="L511" s="40"/>
    </row>
    <row r="512" spans="3:12" s="18" customFormat="1" ht="15" customHeight="1">
      <c r="C512" s="59"/>
      <c r="D512" s="59"/>
      <c r="E512" s="59"/>
      <c r="F512" s="40"/>
      <c r="G512" s="40"/>
      <c r="H512" s="40"/>
      <c r="I512" s="40"/>
      <c r="J512" s="40"/>
      <c r="K512" s="40"/>
      <c r="L512" s="40"/>
    </row>
    <row r="513" spans="3:12" s="18" customFormat="1" ht="15" customHeight="1">
      <c r="C513" s="59"/>
      <c r="D513" s="59"/>
      <c r="E513" s="59"/>
      <c r="F513" s="40"/>
      <c r="G513" s="40"/>
      <c r="H513" s="40"/>
      <c r="I513" s="40"/>
      <c r="J513" s="40"/>
      <c r="K513" s="40"/>
      <c r="L513" s="40"/>
    </row>
    <row r="514" spans="3:12" s="18" customFormat="1" ht="15" customHeight="1">
      <c r="C514" s="59"/>
      <c r="D514" s="59"/>
      <c r="E514" s="59"/>
      <c r="F514" s="40"/>
      <c r="G514" s="40"/>
      <c r="H514" s="40"/>
      <c r="I514" s="40"/>
      <c r="J514" s="40"/>
      <c r="K514" s="40"/>
      <c r="L514" s="40"/>
    </row>
    <row r="515" spans="3:12" s="18" customFormat="1" ht="15" customHeight="1">
      <c r="C515" s="59"/>
      <c r="D515" s="59"/>
      <c r="E515" s="59"/>
      <c r="F515" s="40"/>
      <c r="G515" s="40"/>
      <c r="H515" s="40"/>
      <c r="I515" s="40"/>
      <c r="J515" s="40"/>
      <c r="K515" s="40"/>
      <c r="L515" s="40"/>
    </row>
    <row r="516" spans="3:12" s="18" customFormat="1" ht="15" customHeight="1">
      <c r="C516" s="59"/>
      <c r="D516" s="59"/>
      <c r="E516" s="59"/>
      <c r="F516" s="40"/>
      <c r="G516" s="40"/>
      <c r="H516" s="40"/>
      <c r="I516" s="40"/>
      <c r="J516" s="40"/>
      <c r="K516" s="40"/>
      <c r="L516" s="40"/>
    </row>
    <row r="517" spans="3:12" s="18" customFormat="1" ht="15" customHeight="1">
      <c r="C517" s="59"/>
      <c r="D517" s="59"/>
      <c r="E517" s="59"/>
      <c r="F517" s="40"/>
      <c r="G517" s="40"/>
      <c r="H517" s="40"/>
      <c r="I517" s="40"/>
      <c r="J517" s="40"/>
      <c r="K517" s="40"/>
      <c r="L517" s="40"/>
    </row>
    <row r="518" spans="3:12" s="18" customFormat="1" ht="15" customHeight="1">
      <c r="C518" s="59"/>
      <c r="D518" s="59"/>
      <c r="E518" s="59"/>
      <c r="F518" s="40"/>
      <c r="G518" s="40"/>
      <c r="H518" s="40"/>
      <c r="I518" s="40"/>
      <c r="J518" s="40"/>
      <c r="K518" s="40"/>
      <c r="L518" s="40"/>
    </row>
    <row r="519" spans="3:12" s="18" customFormat="1" ht="15" customHeight="1">
      <c r="C519" s="59"/>
      <c r="D519" s="59"/>
      <c r="E519" s="59"/>
      <c r="F519" s="40"/>
      <c r="G519" s="40"/>
      <c r="H519" s="40"/>
      <c r="I519" s="40"/>
      <c r="J519" s="40"/>
      <c r="K519" s="40"/>
      <c r="L519" s="40"/>
    </row>
    <row r="520" spans="3:12" s="18" customFormat="1" ht="15" customHeight="1">
      <c r="C520" s="59"/>
      <c r="D520" s="59"/>
      <c r="E520" s="59"/>
      <c r="F520" s="40"/>
      <c r="G520" s="40"/>
      <c r="H520" s="40"/>
      <c r="I520" s="40"/>
      <c r="J520" s="40"/>
      <c r="K520" s="40"/>
      <c r="L520" s="40"/>
    </row>
    <row r="521" spans="3:12" s="18" customFormat="1" ht="15" customHeight="1">
      <c r="C521" s="59"/>
      <c r="D521" s="59"/>
      <c r="E521" s="59"/>
      <c r="F521" s="40"/>
      <c r="G521" s="40"/>
      <c r="H521" s="40"/>
      <c r="I521" s="40"/>
      <c r="J521" s="40"/>
      <c r="K521" s="40"/>
      <c r="L521" s="40"/>
    </row>
    <row r="522" spans="3:12" s="18" customFormat="1" ht="15" customHeight="1">
      <c r="C522" s="59"/>
      <c r="D522" s="59"/>
      <c r="E522" s="59"/>
      <c r="F522" s="40"/>
      <c r="G522" s="40"/>
      <c r="H522" s="40"/>
      <c r="I522" s="40"/>
      <c r="J522" s="40"/>
      <c r="K522" s="40"/>
      <c r="L522" s="40"/>
    </row>
    <row r="523" spans="3:12" s="18" customFormat="1" ht="15" customHeight="1">
      <c r="C523" s="59"/>
      <c r="D523" s="59"/>
      <c r="E523" s="59"/>
      <c r="F523" s="40"/>
      <c r="G523" s="40"/>
      <c r="H523" s="40"/>
      <c r="I523" s="40"/>
      <c r="J523" s="40"/>
      <c r="K523" s="40"/>
      <c r="L523" s="40"/>
    </row>
    <row r="524" spans="3:12" s="18" customFormat="1" ht="15" customHeight="1">
      <c r="C524" s="59"/>
      <c r="D524" s="59"/>
      <c r="E524" s="59"/>
      <c r="F524" s="40"/>
      <c r="G524" s="40"/>
      <c r="H524" s="40"/>
      <c r="I524" s="40"/>
      <c r="J524" s="40"/>
      <c r="K524" s="40"/>
      <c r="L524" s="40"/>
    </row>
    <row r="525" spans="3:12" s="18" customFormat="1" ht="15" customHeight="1">
      <c r="C525" s="59"/>
      <c r="D525" s="59"/>
      <c r="E525" s="59"/>
      <c r="F525" s="40"/>
      <c r="G525" s="40"/>
      <c r="H525" s="40"/>
      <c r="I525" s="40"/>
      <c r="J525" s="40"/>
      <c r="K525" s="40"/>
      <c r="L525" s="40"/>
    </row>
    <row r="526" spans="3:12" s="18" customFormat="1" ht="15" customHeight="1">
      <c r="C526" s="59"/>
      <c r="D526" s="59"/>
      <c r="E526" s="59"/>
      <c r="F526" s="40"/>
      <c r="G526" s="40"/>
      <c r="H526" s="40"/>
      <c r="I526" s="40"/>
      <c r="J526" s="40"/>
      <c r="K526" s="40"/>
      <c r="L526" s="40"/>
    </row>
    <row r="527" spans="3:12" s="18" customFormat="1" ht="15" customHeight="1">
      <c r="C527" s="59"/>
      <c r="D527" s="59"/>
      <c r="E527" s="59"/>
      <c r="F527" s="40"/>
      <c r="G527" s="40"/>
      <c r="H527" s="40"/>
      <c r="I527" s="40"/>
      <c r="J527" s="40"/>
      <c r="K527" s="40"/>
      <c r="L527" s="40"/>
    </row>
    <row r="528" spans="3:12" s="18" customFormat="1" ht="15" customHeight="1">
      <c r="C528" s="59"/>
      <c r="D528" s="59"/>
      <c r="E528" s="59"/>
      <c r="F528" s="40"/>
      <c r="G528" s="40"/>
      <c r="H528" s="40"/>
      <c r="I528" s="40"/>
      <c r="J528" s="40"/>
      <c r="K528" s="40"/>
      <c r="L528" s="40"/>
    </row>
    <row r="529" spans="3:12" s="18" customFormat="1" ht="15" customHeight="1">
      <c r="C529" s="59"/>
      <c r="D529" s="59"/>
      <c r="E529" s="59"/>
      <c r="F529" s="40"/>
      <c r="G529" s="40"/>
      <c r="H529" s="40"/>
      <c r="I529" s="40"/>
      <c r="J529" s="40"/>
      <c r="K529" s="40"/>
      <c r="L529" s="40"/>
    </row>
    <row r="530" spans="3:12" s="18" customFormat="1" ht="15" customHeight="1">
      <c r="C530" s="59"/>
      <c r="D530" s="59"/>
      <c r="E530" s="59"/>
      <c r="F530" s="40"/>
      <c r="G530" s="40"/>
      <c r="H530" s="40"/>
      <c r="I530" s="40"/>
      <c r="J530" s="40"/>
      <c r="K530" s="40"/>
      <c r="L530" s="40"/>
    </row>
    <row r="531" spans="3:12" s="18" customFormat="1" ht="15" customHeight="1">
      <c r="C531" s="59"/>
      <c r="D531" s="59"/>
      <c r="E531" s="59"/>
      <c r="F531" s="40"/>
      <c r="G531" s="40"/>
      <c r="H531" s="40"/>
      <c r="I531" s="40"/>
      <c r="J531" s="40"/>
      <c r="K531" s="40"/>
      <c r="L531" s="40"/>
    </row>
    <row r="532" spans="3:12" s="18" customFormat="1" ht="15" customHeight="1">
      <c r="C532" s="59"/>
      <c r="D532" s="59"/>
      <c r="E532" s="59"/>
      <c r="F532" s="40"/>
      <c r="G532" s="40"/>
      <c r="H532" s="40"/>
      <c r="I532" s="40"/>
      <c r="J532" s="40"/>
      <c r="K532" s="40"/>
      <c r="L532" s="40"/>
    </row>
    <row r="533" spans="3:12" s="18" customFormat="1" ht="15" customHeight="1">
      <c r="C533" s="59"/>
      <c r="D533" s="59"/>
      <c r="E533" s="59"/>
      <c r="F533" s="40"/>
      <c r="G533" s="40"/>
      <c r="H533" s="40"/>
      <c r="I533" s="40"/>
      <c r="J533" s="40"/>
      <c r="K533" s="40"/>
      <c r="L533" s="40"/>
    </row>
    <row r="534" spans="3:12" s="18" customFormat="1" ht="15" customHeight="1">
      <c r="C534" s="59"/>
      <c r="D534" s="59"/>
      <c r="E534" s="59"/>
      <c r="F534" s="40"/>
      <c r="G534" s="40"/>
      <c r="H534" s="40"/>
      <c r="I534" s="40"/>
      <c r="J534" s="40"/>
      <c r="K534" s="40"/>
      <c r="L534" s="40"/>
    </row>
    <row r="535" spans="3:12" s="18" customFormat="1" ht="15" customHeight="1">
      <c r="C535" s="59"/>
      <c r="D535" s="59"/>
      <c r="E535" s="59"/>
      <c r="F535" s="40"/>
      <c r="G535" s="40"/>
      <c r="H535" s="40"/>
      <c r="I535" s="40"/>
      <c r="J535" s="40"/>
      <c r="K535" s="40"/>
      <c r="L535" s="40"/>
    </row>
    <row r="536" spans="3:12" s="18" customFormat="1" ht="15" customHeight="1">
      <c r="C536" s="59"/>
      <c r="D536" s="59"/>
      <c r="E536" s="59"/>
      <c r="F536" s="40"/>
      <c r="G536" s="40"/>
      <c r="H536" s="40"/>
      <c r="I536" s="40"/>
      <c r="J536" s="40"/>
      <c r="K536" s="40"/>
      <c r="L536" s="40"/>
    </row>
    <row r="537" spans="3:12" s="18" customFormat="1" ht="15" customHeight="1">
      <c r="C537" s="59"/>
      <c r="D537" s="59"/>
      <c r="E537" s="59"/>
      <c r="F537" s="40"/>
      <c r="G537" s="40"/>
      <c r="H537" s="40"/>
      <c r="I537" s="40"/>
      <c r="J537" s="40"/>
      <c r="K537" s="40"/>
      <c r="L537" s="40"/>
    </row>
    <row r="538" spans="3:12" s="18" customFormat="1" ht="15" customHeight="1">
      <c r="C538" s="59"/>
      <c r="D538" s="59"/>
      <c r="E538" s="59"/>
      <c r="F538" s="40"/>
      <c r="G538" s="40"/>
      <c r="H538" s="40"/>
      <c r="I538" s="40"/>
      <c r="J538" s="40"/>
      <c r="K538" s="40"/>
      <c r="L538" s="40"/>
    </row>
    <row r="539" spans="3:12" s="18" customFormat="1" ht="15" customHeight="1">
      <c r="C539" s="59"/>
      <c r="D539" s="59"/>
      <c r="E539" s="59"/>
      <c r="F539" s="40"/>
      <c r="G539" s="40"/>
      <c r="H539" s="40"/>
      <c r="I539" s="40"/>
      <c r="J539" s="40"/>
      <c r="K539" s="40"/>
      <c r="L539" s="40"/>
    </row>
    <row r="540" spans="3:12" s="18" customFormat="1" ht="15" customHeight="1">
      <c r="C540" s="59"/>
      <c r="D540" s="59"/>
      <c r="E540" s="59"/>
      <c r="F540" s="40"/>
      <c r="G540" s="40"/>
      <c r="H540" s="40"/>
      <c r="I540" s="40"/>
      <c r="J540" s="40"/>
      <c r="K540" s="40"/>
      <c r="L540" s="40"/>
    </row>
    <row r="541" spans="3:12" s="18" customFormat="1" ht="15" customHeight="1">
      <c r="C541" s="59"/>
      <c r="D541" s="59"/>
      <c r="E541" s="59"/>
      <c r="F541" s="40"/>
      <c r="G541" s="40"/>
      <c r="H541" s="40"/>
      <c r="I541" s="40"/>
      <c r="J541" s="40"/>
      <c r="K541" s="40"/>
      <c r="L541" s="40"/>
    </row>
    <row r="542" spans="3:12" s="18" customFormat="1" ht="15" customHeight="1">
      <c r="C542" s="59"/>
      <c r="D542" s="59"/>
      <c r="E542" s="59"/>
      <c r="F542" s="40"/>
      <c r="G542" s="40"/>
      <c r="H542" s="40"/>
      <c r="I542" s="40"/>
      <c r="J542" s="40"/>
      <c r="K542" s="40"/>
      <c r="L542" s="40"/>
    </row>
    <row r="543" spans="3:12" s="18" customFormat="1" ht="15" customHeight="1">
      <c r="C543" s="59"/>
      <c r="D543" s="59"/>
      <c r="E543" s="59"/>
      <c r="F543" s="40"/>
      <c r="G543" s="40"/>
      <c r="H543" s="40"/>
      <c r="I543" s="40"/>
      <c r="J543" s="40"/>
      <c r="K543" s="40"/>
      <c r="L543" s="40"/>
    </row>
    <row r="544" spans="3:12" s="18" customFormat="1" ht="15" customHeight="1">
      <c r="C544" s="59"/>
      <c r="D544" s="59"/>
      <c r="E544" s="59"/>
      <c r="F544" s="40"/>
      <c r="G544" s="40"/>
      <c r="H544" s="40"/>
      <c r="I544" s="40"/>
      <c r="J544" s="40"/>
      <c r="K544" s="40"/>
      <c r="L544" s="40"/>
    </row>
    <row r="545" spans="3:12" s="18" customFormat="1" ht="15" customHeight="1">
      <c r="C545" s="59"/>
      <c r="D545" s="59"/>
      <c r="E545" s="59"/>
      <c r="F545" s="40"/>
      <c r="G545" s="40"/>
      <c r="H545" s="40"/>
      <c r="I545" s="40"/>
      <c r="J545" s="40"/>
      <c r="K545" s="40"/>
      <c r="L545" s="40"/>
    </row>
    <row r="546" spans="3:12" s="18" customFormat="1" ht="15" customHeight="1">
      <c r="C546" s="59"/>
      <c r="D546" s="59"/>
      <c r="E546" s="59"/>
      <c r="F546" s="40"/>
      <c r="G546" s="40"/>
      <c r="H546" s="40"/>
      <c r="I546" s="40"/>
      <c r="J546" s="40"/>
      <c r="K546" s="40"/>
      <c r="L546" s="40"/>
    </row>
    <row r="547" spans="3:12" s="18" customFormat="1" ht="15" customHeight="1">
      <c r="C547" s="59"/>
      <c r="D547" s="59"/>
      <c r="E547" s="59"/>
      <c r="F547" s="40"/>
      <c r="G547" s="40"/>
      <c r="H547" s="40"/>
      <c r="I547" s="40"/>
      <c r="J547" s="40"/>
      <c r="K547" s="40"/>
      <c r="L547" s="40"/>
    </row>
    <row r="548" spans="3:12" s="18" customFormat="1" ht="15" customHeight="1">
      <c r="C548" s="59"/>
      <c r="D548" s="59"/>
      <c r="E548" s="59"/>
      <c r="F548" s="40"/>
      <c r="G548" s="40"/>
      <c r="H548" s="40"/>
      <c r="I548" s="40"/>
      <c r="J548" s="40"/>
      <c r="K548" s="40"/>
      <c r="L548" s="40"/>
    </row>
    <row r="549" spans="3:12" s="18" customFormat="1" ht="15" customHeight="1">
      <c r="C549" s="59"/>
      <c r="D549" s="59"/>
      <c r="E549" s="59"/>
      <c r="F549" s="40"/>
      <c r="G549" s="40"/>
      <c r="H549" s="40"/>
      <c r="I549" s="40"/>
      <c r="J549" s="40"/>
      <c r="K549" s="40"/>
      <c r="L549" s="40"/>
    </row>
    <row r="550" spans="3:12" s="18" customFormat="1" ht="15" customHeight="1">
      <c r="C550" s="59"/>
      <c r="D550" s="59"/>
      <c r="E550" s="59"/>
      <c r="F550" s="40"/>
      <c r="G550" s="40"/>
      <c r="H550" s="40"/>
      <c r="I550" s="40"/>
      <c r="J550" s="40"/>
      <c r="K550" s="40"/>
      <c r="L550" s="40"/>
    </row>
    <row r="551" spans="3:12" s="18" customFormat="1" ht="15" customHeight="1">
      <c r="C551" s="59"/>
      <c r="D551" s="59"/>
      <c r="E551" s="59"/>
      <c r="F551" s="40"/>
      <c r="G551" s="40"/>
      <c r="H551" s="40"/>
      <c r="I551" s="40"/>
      <c r="J551" s="40"/>
      <c r="K551" s="40"/>
      <c r="L551" s="40"/>
    </row>
    <row r="552" spans="3:12" s="18" customFormat="1" ht="15" customHeight="1">
      <c r="C552" s="59"/>
      <c r="D552" s="59"/>
      <c r="E552" s="59"/>
      <c r="F552" s="40"/>
      <c r="G552" s="40"/>
      <c r="H552" s="40"/>
      <c r="I552" s="40"/>
      <c r="J552" s="40"/>
      <c r="K552" s="40"/>
      <c r="L552" s="40"/>
    </row>
    <row r="553" spans="3:12" s="18" customFormat="1" ht="15" customHeight="1">
      <c r="C553" s="59"/>
      <c r="D553" s="59"/>
      <c r="E553" s="59"/>
      <c r="F553" s="40"/>
      <c r="G553" s="40"/>
      <c r="H553" s="40"/>
      <c r="I553" s="40"/>
      <c r="J553" s="40"/>
      <c r="K553" s="40"/>
      <c r="L553" s="40"/>
    </row>
    <row r="554" spans="3:12" s="18" customFormat="1" ht="15" customHeight="1">
      <c r="C554" s="59"/>
      <c r="D554" s="59"/>
      <c r="E554" s="59"/>
      <c r="F554" s="40"/>
      <c r="G554" s="40"/>
      <c r="H554" s="40"/>
      <c r="I554" s="40"/>
      <c r="J554" s="40"/>
      <c r="K554" s="40"/>
      <c r="L554" s="40"/>
    </row>
    <row r="555" spans="3:12" s="18" customFormat="1" ht="15" customHeight="1">
      <c r="C555" s="59"/>
      <c r="D555" s="59"/>
      <c r="E555" s="59"/>
      <c r="F555" s="40"/>
      <c r="G555" s="40"/>
      <c r="H555" s="40"/>
      <c r="I555" s="40"/>
      <c r="J555" s="40"/>
      <c r="K555" s="40"/>
      <c r="L555" s="40"/>
    </row>
    <row r="556" spans="3:12" s="18" customFormat="1" ht="15" customHeight="1">
      <c r="C556" s="59"/>
      <c r="D556" s="59"/>
      <c r="E556" s="59"/>
      <c r="F556" s="40"/>
      <c r="G556" s="40"/>
      <c r="H556" s="40"/>
      <c r="I556" s="40"/>
      <c r="J556" s="40"/>
      <c r="K556" s="40"/>
      <c r="L556" s="40"/>
    </row>
    <row r="557" spans="3:12" s="18" customFormat="1" ht="15" customHeight="1">
      <c r="C557" s="59"/>
      <c r="D557" s="59"/>
      <c r="E557" s="59"/>
      <c r="F557" s="40"/>
      <c r="G557" s="40"/>
      <c r="H557" s="40"/>
      <c r="I557" s="40"/>
      <c r="J557" s="40"/>
      <c r="K557" s="40"/>
      <c r="L557" s="40"/>
    </row>
    <row r="558" spans="3:12" s="18" customFormat="1" ht="15" customHeight="1">
      <c r="C558" s="59"/>
      <c r="D558" s="59"/>
      <c r="E558" s="59"/>
      <c r="F558" s="40"/>
      <c r="G558" s="40"/>
      <c r="H558" s="40"/>
      <c r="I558" s="40"/>
      <c r="J558" s="40"/>
      <c r="K558" s="40"/>
      <c r="L558" s="40"/>
    </row>
    <row r="559" spans="3:12" s="18" customFormat="1" ht="15" customHeight="1">
      <c r="C559" s="59"/>
      <c r="D559" s="59"/>
      <c r="E559" s="59"/>
      <c r="F559" s="40"/>
      <c r="G559" s="40"/>
      <c r="H559" s="40"/>
      <c r="I559" s="40"/>
      <c r="J559" s="40"/>
      <c r="K559" s="40"/>
      <c r="L559" s="40"/>
    </row>
    <row r="560" spans="3:12" s="18" customFormat="1" ht="15" customHeight="1">
      <c r="C560" s="59"/>
      <c r="D560" s="59"/>
      <c r="E560" s="59"/>
      <c r="F560" s="40"/>
      <c r="G560" s="40"/>
      <c r="H560" s="40"/>
      <c r="I560" s="40"/>
      <c r="J560" s="40"/>
      <c r="K560" s="40"/>
      <c r="L560" s="40"/>
    </row>
    <row r="561" spans="3:12" s="18" customFormat="1" ht="15" customHeight="1">
      <c r="C561" s="59"/>
      <c r="D561" s="59"/>
      <c r="E561" s="59"/>
      <c r="F561" s="40"/>
      <c r="G561" s="40"/>
      <c r="H561" s="40"/>
      <c r="I561" s="40"/>
      <c r="J561" s="40"/>
      <c r="K561" s="40"/>
      <c r="L561" s="40"/>
    </row>
    <row r="562" spans="3:12" s="18" customFormat="1" ht="15" customHeight="1">
      <c r="C562" s="59"/>
      <c r="D562" s="59"/>
      <c r="E562" s="59"/>
      <c r="F562" s="40"/>
      <c r="G562" s="40"/>
      <c r="H562" s="40"/>
      <c r="I562" s="40"/>
      <c r="J562" s="40"/>
      <c r="K562" s="40"/>
      <c r="L562" s="40"/>
    </row>
    <row r="563" spans="3:12" s="18" customFormat="1" ht="15" customHeight="1">
      <c r="C563" s="59"/>
      <c r="D563" s="59"/>
      <c r="E563" s="59"/>
      <c r="F563" s="40"/>
      <c r="G563" s="40"/>
      <c r="H563" s="40"/>
      <c r="I563" s="40"/>
      <c r="J563" s="40"/>
      <c r="K563" s="40"/>
      <c r="L563" s="40"/>
    </row>
    <row r="564" spans="3:12" s="18" customFormat="1" ht="15" customHeight="1">
      <c r="C564" s="59"/>
      <c r="D564" s="59"/>
      <c r="E564" s="59"/>
      <c r="F564" s="40"/>
      <c r="G564" s="40"/>
      <c r="H564" s="40"/>
      <c r="I564" s="40"/>
      <c r="J564" s="40"/>
      <c r="K564" s="40"/>
      <c r="L564" s="40"/>
    </row>
    <row r="565" spans="3:12" s="18" customFormat="1" ht="15" customHeight="1">
      <c r="C565" s="59"/>
      <c r="D565" s="59"/>
      <c r="E565" s="59"/>
      <c r="F565" s="40"/>
      <c r="G565" s="40"/>
      <c r="H565" s="40"/>
      <c r="I565" s="40"/>
      <c r="J565" s="40"/>
      <c r="K565" s="40"/>
      <c r="L565" s="40"/>
    </row>
    <row r="566" spans="3:12" s="18" customFormat="1" ht="15" customHeight="1">
      <c r="C566" s="59"/>
      <c r="D566" s="59"/>
      <c r="E566" s="59"/>
      <c r="F566" s="40"/>
      <c r="G566" s="40"/>
      <c r="H566" s="40"/>
      <c r="I566" s="40"/>
      <c r="J566" s="40"/>
      <c r="K566" s="40"/>
      <c r="L566" s="40"/>
    </row>
    <row r="567" spans="3:12" s="18" customFormat="1" ht="15" customHeight="1">
      <c r="C567" s="59"/>
      <c r="D567" s="59"/>
      <c r="E567" s="59"/>
      <c r="F567" s="40"/>
      <c r="G567" s="40"/>
      <c r="H567" s="40"/>
      <c r="I567" s="40"/>
      <c r="J567" s="40"/>
      <c r="K567" s="40"/>
      <c r="L567" s="40"/>
    </row>
    <row r="568" spans="3:12" s="18" customFormat="1" ht="15" customHeight="1">
      <c r="C568" s="59"/>
      <c r="D568" s="59"/>
      <c r="E568" s="59"/>
      <c r="F568" s="40"/>
      <c r="G568" s="40"/>
      <c r="H568" s="40"/>
      <c r="I568" s="40"/>
      <c r="J568" s="40"/>
      <c r="K568" s="40"/>
      <c r="L568" s="40"/>
    </row>
    <row r="569" spans="3:12" s="18" customFormat="1" ht="15" customHeight="1">
      <c r="C569" s="59"/>
      <c r="D569" s="59"/>
      <c r="E569" s="59"/>
      <c r="F569" s="40"/>
      <c r="G569" s="40"/>
      <c r="H569" s="40"/>
      <c r="I569" s="40"/>
      <c r="J569" s="40"/>
      <c r="K569" s="40"/>
      <c r="L569" s="40"/>
    </row>
    <row r="570" spans="3:12" s="18" customFormat="1" ht="15" customHeight="1">
      <c r="C570" s="59"/>
      <c r="D570" s="59"/>
      <c r="E570" s="59"/>
      <c r="F570" s="40"/>
      <c r="G570" s="40"/>
      <c r="H570" s="40"/>
      <c r="I570" s="40"/>
      <c r="J570" s="40"/>
      <c r="K570" s="40"/>
      <c r="L570" s="40"/>
    </row>
    <row r="571" spans="3:12" s="18" customFormat="1" ht="15" customHeight="1">
      <c r="C571" s="59"/>
      <c r="D571" s="59"/>
      <c r="E571" s="59"/>
      <c r="F571" s="40"/>
      <c r="G571" s="40"/>
      <c r="H571" s="40"/>
      <c r="I571" s="40"/>
      <c r="J571" s="40"/>
      <c r="K571" s="40"/>
      <c r="L571" s="40"/>
    </row>
    <row r="572" spans="3:12" s="18" customFormat="1" ht="15" customHeight="1">
      <c r="C572" s="59"/>
      <c r="D572" s="59"/>
      <c r="E572" s="59"/>
      <c r="F572" s="40"/>
      <c r="G572" s="40"/>
      <c r="H572" s="40"/>
      <c r="I572" s="40"/>
      <c r="J572" s="40"/>
      <c r="K572" s="40"/>
      <c r="L572" s="40"/>
    </row>
    <row r="573" spans="3:12" s="18" customFormat="1" ht="15" customHeight="1">
      <c r="C573" s="59"/>
      <c r="D573" s="59"/>
      <c r="E573" s="59"/>
      <c r="F573" s="40"/>
      <c r="G573" s="40"/>
      <c r="H573" s="40"/>
      <c r="I573" s="40"/>
      <c r="J573" s="40"/>
      <c r="K573" s="40"/>
      <c r="L573" s="40"/>
    </row>
    <row r="574" spans="3:12" s="18" customFormat="1" ht="15" customHeight="1">
      <c r="C574" s="59"/>
      <c r="D574" s="59"/>
      <c r="E574" s="59"/>
      <c r="F574" s="40"/>
      <c r="G574" s="40"/>
      <c r="H574" s="40"/>
      <c r="I574" s="40"/>
      <c r="J574" s="40"/>
      <c r="K574" s="40"/>
      <c r="L574" s="40"/>
    </row>
    <row r="575" spans="3:12" s="18" customFormat="1" ht="15" customHeight="1">
      <c r="C575" s="59"/>
      <c r="D575" s="59"/>
      <c r="E575" s="59"/>
      <c r="F575" s="40"/>
      <c r="G575" s="40"/>
      <c r="H575" s="40"/>
      <c r="I575" s="40"/>
      <c r="J575" s="40"/>
      <c r="K575" s="40"/>
      <c r="L575" s="40"/>
    </row>
    <row r="576" spans="3:12" s="18" customFormat="1" ht="15" customHeight="1">
      <c r="C576" s="59"/>
      <c r="D576" s="59"/>
      <c r="E576" s="59"/>
      <c r="F576" s="40"/>
      <c r="G576" s="40"/>
      <c r="H576" s="40"/>
      <c r="I576" s="40"/>
      <c r="J576" s="40"/>
      <c r="K576" s="40"/>
      <c r="L576" s="40"/>
    </row>
    <row r="577" spans="3:12" s="18" customFormat="1" ht="15" customHeight="1">
      <c r="C577" s="59"/>
      <c r="D577" s="59"/>
      <c r="E577" s="59"/>
      <c r="F577" s="40"/>
      <c r="G577" s="40"/>
      <c r="H577" s="40"/>
      <c r="I577" s="40"/>
      <c r="J577" s="40"/>
      <c r="K577" s="40"/>
      <c r="L577" s="40"/>
    </row>
    <row r="578" spans="3:12" s="18" customFormat="1" ht="15" customHeight="1">
      <c r="C578" s="59"/>
      <c r="D578" s="59"/>
      <c r="E578" s="59"/>
      <c r="F578" s="40"/>
      <c r="G578" s="40"/>
      <c r="H578" s="40"/>
      <c r="I578" s="40"/>
      <c r="J578" s="40"/>
      <c r="K578" s="40"/>
      <c r="L578" s="40"/>
    </row>
    <row r="579" spans="3:12" s="18" customFormat="1" ht="15" customHeight="1">
      <c r="C579" s="59"/>
      <c r="D579" s="59"/>
      <c r="E579" s="59"/>
      <c r="F579" s="40"/>
      <c r="G579" s="40"/>
      <c r="H579" s="40"/>
      <c r="I579" s="40"/>
      <c r="J579" s="40"/>
      <c r="K579" s="40"/>
      <c r="L579" s="40"/>
    </row>
    <row r="580" spans="3:12" s="18" customFormat="1" ht="15" customHeight="1">
      <c r="C580" s="59"/>
      <c r="D580" s="59"/>
      <c r="E580" s="59"/>
      <c r="F580" s="40"/>
      <c r="G580" s="40"/>
      <c r="H580" s="40"/>
      <c r="I580" s="40"/>
      <c r="J580" s="40"/>
      <c r="K580" s="40"/>
      <c r="L580" s="40"/>
    </row>
    <row r="581" spans="3:12" s="18" customFormat="1" ht="15" customHeight="1">
      <c r="C581" s="59"/>
      <c r="D581" s="59"/>
      <c r="E581" s="59"/>
      <c r="F581" s="40"/>
      <c r="G581" s="40"/>
      <c r="H581" s="40"/>
      <c r="I581" s="40"/>
      <c r="J581" s="40"/>
      <c r="K581" s="40"/>
      <c r="L581" s="40"/>
    </row>
    <row r="582" spans="3:12" s="18" customFormat="1" ht="15" customHeight="1">
      <c r="C582" s="59"/>
      <c r="D582" s="59"/>
      <c r="E582" s="59"/>
      <c r="F582" s="40"/>
      <c r="G582" s="40"/>
      <c r="H582" s="40"/>
      <c r="I582" s="40"/>
      <c r="J582" s="40"/>
      <c r="K582" s="40"/>
      <c r="L582" s="40"/>
    </row>
    <row r="583" spans="3:12" s="18" customFormat="1" ht="15" customHeight="1">
      <c r="C583" s="59"/>
      <c r="D583" s="59"/>
      <c r="E583" s="59"/>
      <c r="F583" s="40"/>
      <c r="G583" s="40"/>
      <c r="H583" s="40"/>
      <c r="I583" s="40"/>
      <c r="J583" s="40"/>
      <c r="K583" s="40"/>
      <c r="L583" s="40"/>
    </row>
    <row r="584" spans="3:12" s="18" customFormat="1" ht="15" customHeight="1">
      <c r="C584" s="59"/>
      <c r="D584" s="59"/>
      <c r="E584" s="59"/>
      <c r="F584" s="40"/>
      <c r="G584" s="40"/>
      <c r="H584" s="40"/>
      <c r="I584" s="40"/>
      <c r="J584" s="40"/>
      <c r="K584" s="40"/>
      <c r="L584" s="40"/>
    </row>
    <row r="585" spans="3:12" s="18" customFormat="1" ht="15" customHeight="1">
      <c r="C585" s="59"/>
      <c r="D585" s="59"/>
      <c r="E585" s="59"/>
      <c r="F585" s="40"/>
      <c r="G585" s="40"/>
      <c r="H585" s="40"/>
      <c r="I585" s="40"/>
      <c r="J585" s="40"/>
      <c r="K585" s="40"/>
      <c r="L585" s="40"/>
    </row>
    <row r="586" spans="3:12" s="18" customFormat="1" ht="15" customHeight="1">
      <c r="C586" s="59"/>
      <c r="D586" s="59"/>
      <c r="E586" s="59"/>
      <c r="F586" s="40"/>
      <c r="G586" s="40"/>
      <c r="H586" s="40"/>
      <c r="I586" s="40"/>
      <c r="J586" s="40"/>
      <c r="K586" s="40"/>
      <c r="L586" s="40"/>
    </row>
    <row r="587" spans="3:12" s="18" customFormat="1" ht="15" customHeight="1">
      <c r="C587" s="59"/>
      <c r="D587" s="59"/>
      <c r="E587" s="59"/>
      <c r="F587" s="40"/>
      <c r="G587" s="40"/>
      <c r="H587" s="40"/>
      <c r="I587" s="40"/>
      <c r="J587" s="40"/>
      <c r="K587" s="40"/>
      <c r="L587" s="40"/>
    </row>
    <row r="588" spans="3:12" s="18" customFormat="1" ht="15" customHeight="1">
      <c r="C588" s="59"/>
      <c r="D588" s="59"/>
      <c r="E588" s="59"/>
      <c r="F588" s="40"/>
      <c r="G588" s="40"/>
      <c r="H588" s="40"/>
      <c r="I588" s="40"/>
      <c r="J588" s="40"/>
      <c r="K588" s="40"/>
      <c r="L588" s="40"/>
    </row>
    <row r="589" spans="3:12" s="18" customFormat="1" ht="15" customHeight="1">
      <c r="C589" s="59"/>
      <c r="D589" s="59"/>
      <c r="E589" s="59"/>
      <c r="F589" s="40"/>
      <c r="G589" s="40"/>
      <c r="H589" s="40"/>
      <c r="I589" s="40"/>
      <c r="J589" s="40"/>
      <c r="K589" s="40"/>
      <c r="L589" s="40"/>
    </row>
    <row r="590" spans="3:12" s="18" customFormat="1" ht="15" customHeight="1">
      <c r="C590" s="59"/>
      <c r="D590" s="59"/>
      <c r="E590" s="59"/>
      <c r="F590" s="40"/>
      <c r="G590" s="40"/>
      <c r="H590" s="40"/>
      <c r="I590" s="40"/>
      <c r="J590" s="40"/>
      <c r="K590" s="40"/>
      <c r="L590" s="40"/>
    </row>
    <row r="591" spans="3:12" s="18" customFormat="1" ht="15" customHeight="1">
      <c r="C591" s="59"/>
      <c r="D591" s="59"/>
      <c r="E591" s="59"/>
      <c r="F591" s="40"/>
      <c r="G591" s="40"/>
      <c r="H591" s="40"/>
      <c r="I591" s="40"/>
      <c r="J591" s="40"/>
      <c r="K591" s="40"/>
      <c r="L591" s="40"/>
    </row>
    <row r="592" spans="3:12" s="18" customFormat="1" ht="15" customHeight="1">
      <c r="C592" s="59"/>
      <c r="D592" s="59"/>
      <c r="E592" s="59"/>
      <c r="F592" s="40"/>
      <c r="G592" s="40"/>
      <c r="H592" s="40"/>
      <c r="I592" s="40"/>
      <c r="J592" s="40"/>
      <c r="K592" s="40"/>
      <c r="L592" s="40"/>
    </row>
    <row r="593" spans="3:12" s="18" customFormat="1" ht="15" customHeight="1">
      <c r="C593" s="59"/>
      <c r="D593" s="59"/>
      <c r="E593" s="59"/>
      <c r="F593" s="40"/>
      <c r="G593" s="40"/>
      <c r="H593" s="40"/>
      <c r="I593" s="40"/>
      <c r="J593" s="40"/>
      <c r="K593" s="40"/>
      <c r="L593" s="40"/>
    </row>
    <row r="594" spans="3:12" s="18" customFormat="1" ht="15" customHeight="1">
      <c r="C594" s="59"/>
      <c r="D594" s="59"/>
      <c r="E594" s="59"/>
      <c r="F594" s="40"/>
      <c r="G594" s="40"/>
      <c r="H594" s="40"/>
      <c r="I594" s="40"/>
      <c r="J594" s="40"/>
      <c r="K594" s="40"/>
      <c r="L594" s="40"/>
    </row>
    <row r="595" spans="3:12" s="18" customFormat="1" ht="15" customHeight="1">
      <c r="C595" s="59"/>
      <c r="D595" s="59"/>
      <c r="E595" s="59"/>
      <c r="F595" s="40"/>
      <c r="G595" s="40"/>
      <c r="H595" s="40"/>
      <c r="I595" s="40"/>
      <c r="J595" s="40"/>
      <c r="K595" s="40"/>
      <c r="L595" s="40"/>
    </row>
    <row r="596" spans="3:12" s="18" customFormat="1" ht="15" customHeight="1">
      <c r="C596" s="59"/>
      <c r="D596" s="59"/>
      <c r="E596" s="59"/>
      <c r="F596" s="40"/>
      <c r="G596" s="40"/>
      <c r="H596" s="40"/>
      <c r="I596" s="40"/>
      <c r="J596" s="40"/>
      <c r="K596" s="40"/>
      <c r="L596" s="40"/>
    </row>
    <row r="597" spans="3:12" s="18" customFormat="1" ht="15" customHeight="1">
      <c r="C597" s="59"/>
      <c r="D597" s="59"/>
      <c r="E597" s="59"/>
      <c r="F597" s="40"/>
      <c r="G597" s="40"/>
      <c r="H597" s="40"/>
      <c r="I597" s="40"/>
      <c r="J597" s="40"/>
      <c r="K597" s="40"/>
      <c r="L597" s="40"/>
    </row>
    <row r="598" spans="3:12" s="18" customFormat="1" ht="15" customHeight="1">
      <c r="C598" s="59"/>
      <c r="D598" s="59"/>
      <c r="E598" s="59"/>
      <c r="F598" s="40"/>
      <c r="G598" s="40"/>
      <c r="H598" s="40"/>
      <c r="I598" s="40"/>
      <c r="J598" s="40"/>
      <c r="K598" s="40"/>
      <c r="L598" s="40"/>
    </row>
    <row r="599" spans="3:12" s="18" customFormat="1" ht="15" customHeight="1">
      <c r="C599" s="59"/>
      <c r="D599" s="59"/>
      <c r="E599" s="59"/>
      <c r="F599" s="40"/>
      <c r="G599" s="40"/>
      <c r="H599" s="40"/>
      <c r="I599" s="40"/>
      <c r="J599" s="40"/>
      <c r="K599" s="40"/>
      <c r="L599" s="40"/>
    </row>
    <row r="600" spans="3:12" s="18" customFormat="1" ht="15" customHeight="1">
      <c r="C600" s="59"/>
      <c r="D600" s="59"/>
      <c r="E600" s="59"/>
      <c r="F600" s="40"/>
      <c r="G600" s="40"/>
      <c r="H600" s="40"/>
      <c r="I600" s="40"/>
      <c r="J600" s="40"/>
      <c r="K600" s="40"/>
      <c r="L600" s="40"/>
    </row>
    <row r="601" spans="3:12" s="18" customFormat="1" ht="15" customHeight="1">
      <c r="C601" s="59"/>
      <c r="D601" s="59"/>
      <c r="E601" s="59"/>
      <c r="F601" s="40"/>
      <c r="G601" s="40"/>
      <c r="H601" s="40"/>
      <c r="I601" s="40"/>
      <c r="J601" s="40"/>
      <c r="K601" s="40"/>
      <c r="L601" s="40"/>
    </row>
    <row r="602" spans="3:12" s="18" customFormat="1" ht="15" customHeight="1">
      <c r="C602" s="59"/>
      <c r="D602" s="59"/>
      <c r="E602" s="59"/>
      <c r="F602" s="40"/>
      <c r="G602" s="40"/>
      <c r="H602" s="40"/>
      <c r="I602" s="40"/>
      <c r="J602" s="40"/>
      <c r="K602" s="40"/>
      <c r="L602" s="40"/>
    </row>
    <row r="603" spans="3:12" s="18" customFormat="1" ht="15" customHeight="1">
      <c r="C603" s="59"/>
      <c r="D603" s="59"/>
      <c r="E603" s="59"/>
      <c r="F603" s="40"/>
      <c r="G603" s="40"/>
      <c r="H603" s="40"/>
      <c r="I603" s="40"/>
      <c r="J603" s="40"/>
      <c r="K603" s="40"/>
      <c r="L603" s="40"/>
    </row>
    <row r="604" spans="3:12" s="18" customFormat="1" ht="15" customHeight="1">
      <c r="C604" s="59"/>
      <c r="D604" s="59"/>
      <c r="E604" s="59"/>
      <c r="F604" s="40"/>
      <c r="G604" s="40"/>
      <c r="H604" s="40"/>
      <c r="I604" s="40"/>
      <c r="J604" s="40"/>
      <c r="K604" s="40"/>
      <c r="L604" s="40"/>
    </row>
    <row r="605" spans="3:12" s="18" customFormat="1" ht="15" customHeight="1">
      <c r="C605" s="59"/>
      <c r="D605" s="59"/>
      <c r="E605" s="59"/>
      <c r="F605" s="40"/>
      <c r="G605" s="40"/>
      <c r="H605" s="40"/>
      <c r="I605" s="40"/>
      <c r="J605" s="40"/>
      <c r="K605" s="40"/>
      <c r="L605" s="40"/>
    </row>
    <row r="606" spans="3:12" s="18" customFormat="1" ht="15" customHeight="1">
      <c r="C606" s="59"/>
      <c r="D606" s="59"/>
      <c r="E606" s="59"/>
      <c r="F606" s="40"/>
      <c r="G606" s="40"/>
      <c r="H606" s="40"/>
      <c r="I606" s="40"/>
      <c r="J606" s="40"/>
      <c r="K606" s="40"/>
      <c r="L606" s="40"/>
    </row>
    <row r="607" spans="3:12" s="18" customFormat="1" ht="15" customHeight="1">
      <c r="C607" s="59"/>
      <c r="D607" s="59"/>
      <c r="E607" s="59"/>
      <c r="F607" s="40"/>
      <c r="G607" s="40"/>
      <c r="H607" s="40"/>
      <c r="I607" s="40"/>
      <c r="J607" s="40"/>
      <c r="K607" s="40"/>
      <c r="L607" s="40"/>
    </row>
    <row r="608" spans="3:12" s="18" customFormat="1" ht="15" customHeight="1">
      <c r="C608" s="59"/>
      <c r="D608" s="59"/>
      <c r="E608" s="59"/>
      <c r="F608" s="40"/>
      <c r="G608" s="40"/>
      <c r="H608" s="40"/>
      <c r="I608" s="40"/>
      <c r="J608" s="40"/>
      <c r="K608" s="40"/>
      <c r="L608" s="40"/>
    </row>
    <row r="609" spans="3:12" s="18" customFormat="1" ht="15" customHeight="1">
      <c r="C609" s="59"/>
      <c r="D609" s="59"/>
      <c r="E609" s="59"/>
      <c r="F609" s="40"/>
      <c r="G609" s="40"/>
      <c r="H609" s="40"/>
      <c r="I609" s="40"/>
      <c r="J609" s="40"/>
      <c r="K609" s="40"/>
      <c r="L609" s="40"/>
    </row>
    <row r="610" spans="3:12" s="18" customFormat="1" ht="15" customHeight="1">
      <c r="C610" s="59"/>
      <c r="D610" s="59"/>
      <c r="E610" s="59"/>
      <c r="F610" s="40"/>
      <c r="G610" s="40"/>
      <c r="H610" s="40"/>
      <c r="I610" s="40"/>
      <c r="J610" s="40"/>
      <c r="K610" s="40"/>
      <c r="L610" s="40"/>
    </row>
    <row r="611" spans="3:12" s="18" customFormat="1" ht="15" customHeight="1">
      <c r="C611" s="59"/>
      <c r="D611" s="59"/>
      <c r="E611" s="59"/>
      <c r="F611" s="40"/>
      <c r="G611" s="40"/>
      <c r="H611" s="40"/>
      <c r="I611" s="40"/>
      <c r="J611" s="40"/>
      <c r="K611" s="40"/>
      <c r="L611" s="40"/>
    </row>
    <row r="612" spans="3:12" s="18" customFormat="1" ht="15" customHeight="1">
      <c r="C612" s="59"/>
      <c r="D612" s="59"/>
      <c r="E612" s="59"/>
      <c r="F612" s="40"/>
      <c r="G612" s="40"/>
      <c r="H612" s="40"/>
      <c r="I612" s="40"/>
      <c r="J612" s="40"/>
      <c r="K612" s="40"/>
      <c r="L612" s="40"/>
    </row>
    <row r="613" spans="3:12" s="18" customFormat="1" ht="15" customHeight="1">
      <c r="C613" s="59"/>
      <c r="D613" s="59"/>
      <c r="E613" s="59"/>
      <c r="F613" s="40"/>
      <c r="G613" s="40"/>
      <c r="H613" s="40"/>
      <c r="I613" s="40"/>
      <c r="J613" s="40"/>
      <c r="K613" s="40"/>
      <c r="L613" s="40"/>
    </row>
    <row r="614" spans="3:12" s="18" customFormat="1" ht="15" customHeight="1">
      <c r="C614" s="59"/>
      <c r="D614" s="59"/>
      <c r="E614" s="59"/>
      <c r="F614" s="40"/>
      <c r="G614" s="40"/>
      <c r="H614" s="40"/>
      <c r="I614" s="40"/>
      <c r="J614" s="40"/>
      <c r="K614" s="40"/>
      <c r="L614" s="40"/>
    </row>
    <row r="615" spans="3:12" s="18" customFormat="1" ht="15" customHeight="1">
      <c r="C615" s="59"/>
      <c r="D615" s="59"/>
      <c r="E615" s="59"/>
      <c r="F615" s="40"/>
      <c r="G615" s="40"/>
      <c r="H615" s="40"/>
      <c r="I615" s="40"/>
      <c r="J615" s="40"/>
      <c r="K615" s="40"/>
      <c r="L615" s="40"/>
    </row>
    <row r="616" spans="3:12" s="18" customFormat="1" ht="15" customHeight="1">
      <c r="C616" s="59"/>
      <c r="D616" s="59"/>
      <c r="E616" s="59"/>
      <c r="F616" s="40"/>
      <c r="G616" s="40"/>
      <c r="H616" s="40"/>
      <c r="I616" s="40"/>
      <c r="J616" s="40"/>
      <c r="K616" s="40"/>
      <c r="L616" s="40"/>
    </row>
    <row r="617" spans="3:12" s="18" customFormat="1" ht="15" customHeight="1">
      <c r="C617" s="59"/>
      <c r="D617" s="59"/>
      <c r="E617" s="59"/>
      <c r="F617" s="40"/>
      <c r="G617" s="40"/>
      <c r="H617" s="40"/>
      <c r="I617" s="40"/>
      <c r="J617" s="40"/>
      <c r="K617" s="40"/>
      <c r="L617" s="40"/>
    </row>
    <row r="618" spans="3:12" s="18" customFormat="1" ht="15" customHeight="1">
      <c r="C618" s="59"/>
      <c r="D618" s="59"/>
      <c r="E618" s="59"/>
      <c r="F618" s="40"/>
      <c r="G618" s="40"/>
      <c r="H618" s="40"/>
      <c r="I618" s="40"/>
      <c r="J618" s="40"/>
      <c r="K618" s="40"/>
      <c r="L618" s="40"/>
    </row>
    <row r="619" spans="3:12" s="18" customFormat="1" ht="15" customHeight="1">
      <c r="C619" s="59"/>
      <c r="D619" s="59"/>
      <c r="E619" s="59"/>
      <c r="F619" s="40"/>
      <c r="G619" s="40"/>
      <c r="H619" s="40"/>
      <c r="I619" s="40"/>
      <c r="J619" s="40"/>
      <c r="K619" s="40"/>
      <c r="L619" s="40"/>
    </row>
    <row r="620" spans="3:12" s="18" customFormat="1" ht="15" customHeight="1">
      <c r="C620" s="59"/>
      <c r="D620" s="59"/>
      <c r="E620" s="59"/>
      <c r="F620" s="40"/>
      <c r="G620" s="40"/>
      <c r="H620" s="40"/>
      <c r="I620" s="40"/>
      <c r="J620" s="40"/>
      <c r="K620" s="40"/>
      <c r="L620" s="40"/>
    </row>
    <row r="621" spans="3:12" s="18" customFormat="1" ht="15" customHeight="1">
      <c r="C621" s="59"/>
      <c r="D621" s="59"/>
      <c r="E621" s="59"/>
      <c r="F621" s="40"/>
      <c r="G621" s="40"/>
      <c r="H621" s="40"/>
      <c r="I621" s="40"/>
      <c r="J621" s="40"/>
      <c r="K621" s="40"/>
      <c r="L621" s="40"/>
    </row>
    <row r="622" spans="3:12" s="18" customFormat="1" ht="15" customHeight="1">
      <c r="C622" s="59"/>
      <c r="D622" s="59"/>
      <c r="E622" s="59"/>
      <c r="F622" s="40"/>
      <c r="G622" s="40"/>
      <c r="H622" s="40"/>
      <c r="I622" s="40"/>
      <c r="J622" s="40"/>
      <c r="K622" s="40"/>
      <c r="L622" s="40"/>
    </row>
    <row r="623" spans="3:12" s="18" customFormat="1" ht="15" customHeight="1">
      <c r="C623" s="59"/>
      <c r="D623" s="59"/>
      <c r="E623" s="59"/>
      <c r="F623" s="40"/>
      <c r="G623" s="40"/>
      <c r="H623" s="40"/>
      <c r="I623" s="40"/>
      <c r="J623" s="40"/>
      <c r="K623" s="40"/>
      <c r="L623" s="40"/>
    </row>
    <row r="624" spans="3:12" s="18" customFormat="1" ht="15" customHeight="1">
      <c r="C624" s="59"/>
      <c r="D624" s="59"/>
      <c r="E624" s="59"/>
      <c r="F624" s="40"/>
      <c r="G624" s="40"/>
      <c r="H624" s="40"/>
      <c r="I624" s="40"/>
      <c r="J624" s="40"/>
      <c r="K624" s="40"/>
      <c r="L624" s="40"/>
    </row>
    <row r="625" spans="3:12" s="18" customFormat="1" ht="15" customHeight="1">
      <c r="C625" s="59"/>
      <c r="D625" s="59"/>
      <c r="E625" s="59"/>
      <c r="F625" s="40"/>
      <c r="G625" s="40"/>
      <c r="H625" s="40"/>
      <c r="I625" s="40"/>
      <c r="J625" s="40"/>
      <c r="K625" s="40"/>
      <c r="L625" s="40"/>
    </row>
    <row r="626" spans="3:12" s="18" customFormat="1" ht="15" customHeight="1">
      <c r="C626" s="59"/>
      <c r="D626" s="59"/>
      <c r="E626" s="59"/>
      <c r="F626" s="40"/>
      <c r="G626" s="40"/>
      <c r="H626" s="40"/>
      <c r="I626" s="40"/>
      <c r="J626" s="40"/>
      <c r="K626" s="40"/>
      <c r="L626" s="40"/>
    </row>
    <row r="627" spans="3:12" s="18" customFormat="1" ht="15" customHeight="1">
      <c r="C627" s="59"/>
      <c r="D627" s="59"/>
      <c r="E627" s="59"/>
      <c r="F627" s="40"/>
      <c r="G627" s="40"/>
      <c r="H627" s="40"/>
      <c r="I627" s="40"/>
      <c r="J627" s="40"/>
      <c r="K627" s="40"/>
      <c r="L627" s="40"/>
    </row>
    <row r="628" spans="3:12" s="18" customFormat="1" ht="15" customHeight="1">
      <c r="C628" s="59"/>
      <c r="D628" s="59"/>
      <c r="E628" s="59"/>
      <c r="F628" s="40"/>
      <c r="G628" s="40"/>
      <c r="H628" s="40"/>
      <c r="I628" s="40"/>
      <c r="J628" s="40"/>
      <c r="K628" s="40"/>
      <c r="L628" s="40"/>
    </row>
    <row r="629" spans="3:12" s="18" customFormat="1" ht="15" customHeight="1">
      <c r="C629" s="59"/>
      <c r="D629" s="59"/>
      <c r="E629" s="59"/>
      <c r="F629" s="40"/>
      <c r="G629" s="40"/>
      <c r="H629" s="40"/>
      <c r="I629" s="40"/>
      <c r="J629" s="40"/>
      <c r="K629" s="40"/>
      <c r="L629" s="40"/>
    </row>
    <row r="630" spans="3:12" s="18" customFormat="1" ht="15" customHeight="1">
      <c r="C630" s="59"/>
      <c r="D630" s="59"/>
      <c r="E630" s="59"/>
      <c r="F630" s="40"/>
      <c r="G630" s="40"/>
      <c r="H630" s="40"/>
      <c r="I630" s="40"/>
      <c r="J630" s="40"/>
      <c r="K630" s="40"/>
      <c r="L630" s="40"/>
    </row>
    <row r="631" spans="3:12" s="18" customFormat="1" ht="15" customHeight="1">
      <c r="C631" s="59"/>
      <c r="D631" s="59"/>
      <c r="E631" s="59"/>
      <c r="F631" s="40"/>
      <c r="G631" s="40"/>
      <c r="H631" s="40"/>
      <c r="I631" s="40"/>
      <c r="J631" s="40"/>
      <c r="K631" s="40"/>
      <c r="L631" s="40"/>
    </row>
    <row r="632" spans="3:12" s="18" customFormat="1" ht="15" customHeight="1">
      <c r="C632" s="59"/>
      <c r="D632" s="59"/>
      <c r="E632" s="59"/>
      <c r="F632" s="40"/>
      <c r="G632" s="40"/>
      <c r="H632" s="40"/>
      <c r="I632" s="40"/>
      <c r="J632" s="40"/>
      <c r="K632" s="40"/>
      <c r="L632" s="40"/>
    </row>
    <row r="633" spans="3:12" s="18" customFormat="1" ht="15" customHeight="1">
      <c r="C633" s="59"/>
      <c r="D633" s="59"/>
      <c r="E633" s="59"/>
      <c r="F633" s="40"/>
      <c r="G633" s="40"/>
      <c r="H633" s="40"/>
      <c r="I633" s="40"/>
      <c r="J633" s="40"/>
      <c r="K633" s="40"/>
      <c r="L633" s="40"/>
    </row>
    <row r="634" spans="3:12" s="18" customFormat="1" ht="15" customHeight="1">
      <c r="C634" s="59"/>
      <c r="D634" s="59"/>
      <c r="E634" s="59"/>
      <c r="F634" s="40"/>
      <c r="G634" s="40"/>
      <c r="H634" s="40"/>
      <c r="I634" s="40"/>
      <c r="J634" s="40"/>
      <c r="K634" s="40"/>
      <c r="L634" s="40"/>
    </row>
    <row r="635" spans="3:12" s="18" customFormat="1" ht="15" customHeight="1">
      <c r="C635" s="59"/>
      <c r="D635" s="59"/>
      <c r="E635" s="59"/>
      <c r="F635" s="40"/>
      <c r="G635" s="40"/>
      <c r="H635" s="40"/>
      <c r="I635" s="40"/>
      <c r="J635" s="40"/>
      <c r="K635" s="40"/>
      <c r="L635" s="40"/>
    </row>
    <row r="636" spans="3:12" s="18" customFormat="1" ht="15" customHeight="1">
      <c r="C636" s="59"/>
      <c r="D636" s="59"/>
      <c r="E636" s="59"/>
      <c r="F636" s="40"/>
      <c r="G636" s="40"/>
      <c r="H636" s="40"/>
      <c r="I636" s="40"/>
      <c r="J636" s="40"/>
      <c r="K636" s="40"/>
      <c r="L636" s="40"/>
    </row>
    <row r="637" spans="3:12" s="18" customFormat="1" ht="15" customHeight="1">
      <c r="C637" s="59"/>
      <c r="D637" s="59"/>
      <c r="E637" s="59"/>
      <c r="F637" s="40"/>
      <c r="G637" s="40"/>
      <c r="H637" s="40"/>
      <c r="I637" s="40"/>
      <c r="J637" s="40"/>
      <c r="K637" s="40"/>
      <c r="L637" s="40"/>
    </row>
    <row r="638" spans="3:12" s="18" customFormat="1" ht="15" customHeight="1">
      <c r="C638" s="59"/>
      <c r="D638" s="59"/>
      <c r="E638" s="59"/>
      <c r="F638" s="40"/>
      <c r="G638" s="40"/>
      <c r="H638" s="40"/>
      <c r="I638" s="40"/>
      <c r="J638" s="40"/>
      <c r="K638" s="40"/>
      <c r="L638" s="40"/>
    </row>
    <row r="639" spans="3:12" s="18" customFormat="1" ht="15" customHeight="1">
      <c r="C639" s="59"/>
      <c r="D639" s="59"/>
      <c r="E639" s="59"/>
      <c r="F639" s="40"/>
      <c r="G639" s="40"/>
      <c r="H639" s="40"/>
      <c r="I639" s="40"/>
      <c r="J639" s="40"/>
      <c r="K639" s="40"/>
      <c r="L639" s="40"/>
    </row>
    <row r="640" spans="3:12" s="18" customFormat="1" ht="15" customHeight="1">
      <c r="C640" s="59"/>
      <c r="D640" s="59"/>
      <c r="E640" s="59"/>
      <c r="F640" s="40"/>
      <c r="G640" s="40"/>
      <c r="H640" s="40"/>
      <c r="I640" s="40"/>
      <c r="J640" s="40"/>
      <c r="K640" s="40"/>
      <c r="L640" s="40"/>
    </row>
    <row r="641" spans="3:12" s="18" customFormat="1" ht="15" customHeight="1">
      <c r="C641" s="59"/>
      <c r="D641" s="59"/>
      <c r="E641" s="59"/>
      <c r="F641" s="40"/>
      <c r="G641" s="40"/>
      <c r="H641" s="40"/>
      <c r="I641" s="40"/>
      <c r="J641" s="40"/>
      <c r="K641" s="40"/>
      <c r="L641" s="40"/>
    </row>
    <row r="642" spans="3:12" s="18" customFormat="1" ht="15" customHeight="1">
      <c r="C642" s="59"/>
      <c r="D642" s="59"/>
      <c r="E642" s="59"/>
      <c r="F642" s="40"/>
      <c r="G642" s="40"/>
      <c r="H642" s="40"/>
      <c r="I642" s="40"/>
      <c r="J642" s="40"/>
      <c r="K642" s="40"/>
      <c r="L642" s="40"/>
    </row>
    <row r="643" spans="3:12" s="18" customFormat="1" ht="15" customHeight="1">
      <c r="C643" s="59"/>
      <c r="D643" s="59"/>
      <c r="E643" s="59"/>
      <c r="F643" s="40"/>
      <c r="G643" s="40"/>
      <c r="H643" s="40"/>
      <c r="I643" s="40"/>
      <c r="J643" s="40"/>
      <c r="K643" s="40"/>
      <c r="L643" s="40"/>
    </row>
    <row r="644" spans="3:12" s="18" customFormat="1" ht="15" customHeight="1">
      <c r="C644" s="59"/>
      <c r="D644" s="59"/>
      <c r="E644" s="59"/>
      <c r="F644" s="40"/>
      <c r="G644" s="40"/>
      <c r="H644" s="40"/>
      <c r="I644" s="40"/>
      <c r="J644" s="40"/>
      <c r="K644" s="40"/>
      <c r="L644" s="40"/>
    </row>
    <row r="645" spans="3:12" s="18" customFormat="1" ht="15" customHeight="1">
      <c r="C645" s="59"/>
      <c r="D645" s="59"/>
      <c r="E645" s="59"/>
      <c r="F645" s="40"/>
      <c r="G645" s="40"/>
      <c r="H645" s="40"/>
      <c r="I645" s="40"/>
      <c r="J645" s="40"/>
      <c r="K645" s="40"/>
      <c r="L645" s="40"/>
    </row>
    <row r="646" spans="3:12" s="18" customFormat="1" ht="15" customHeight="1">
      <c r="C646" s="59"/>
      <c r="D646" s="59"/>
      <c r="E646" s="59"/>
      <c r="F646" s="40"/>
      <c r="G646" s="40"/>
      <c r="H646" s="40"/>
      <c r="I646" s="40"/>
      <c r="J646" s="40"/>
      <c r="K646" s="40"/>
      <c r="L646" s="40"/>
    </row>
    <row r="647" spans="3:12" s="18" customFormat="1" ht="15" customHeight="1">
      <c r="C647" s="59"/>
      <c r="D647" s="59"/>
      <c r="E647" s="59"/>
      <c r="F647" s="40"/>
      <c r="G647" s="40"/>
      <c r="H647" s="40"/>
      <c r="I647" s="40"/>
      <c r="J647" s="40"/>
      <c r="K647" s="40"/>
      <c r="L647" s="40"/>
    </row>
    <row r="648" spans="3:12" s="18" customFormat="1" ht="15" customHeight="1">
      <c r="C648" s="59"/>
      <c r="D648" s="59"/>
      <c r="E648" s="59"/>
      <c r="F648" s="40"/>
      <c r="G648" s="40"/>
      <c r="H648" s="40"/>
      <c r="I648" s="40"/>
      <c r="J648" s="40"/>
      <c r="K648" s="40"/>
      <c r="L648" s="40"/>
    </row>
    <row r="649" spans="3:12" s="18" customFormat="1" ht="15" customHeight="1">
      <c r="C649" s="59"/>
      <c r="D649" s="59"/>
      <c r="E649" s="59"/>
      <c r="F649" s="40"/>
      <c r="G649" s="40"/>
      <c r="H649" s="40"/>
      <c r="I649" s="40"/>
      <c r="J649" s="40"/>
      <c r="K649" s="40"/>
      <c r="L649" s="40"/>
    </row>
    <row r="650" spans="3:12" s="18" customFormat="1" ht="15" customHeight="1">
      <c r="C650" s="59"/>
      <c r="D650" s="59"/>
      <c r="E650" s="59"/>
      <c r="F650" s="40"/>
      <c r="G650" s="40"/>
      <c r="H650" s="40"/>
      <c r="I650" s="40"/>
      <c r="J650" s="40"/>
      <c r="K650" s="40"/>
      <c r="L650" s="40"/>
    </row>
    <row r="651" spans="3:12" s="18" customFormat="1" ht="15" customHeight="1">
      <c r="C651" s="59"/>
      <c r="D651" s="59"/>
      <c r="E651" s="59"/>
      <c r="F651" s="40"/>
      <c r="G651" s="40"/>
      <c r="H651" s="40"/>
      <c r="I651" s="40"/>
      <c r="J651" s="40"/>
      <c r="K651" s="40"/>
      <c r="L651" s="40"/>
    </row>
    <row r="652" spans="3:12" s="18" customFormat="1" ht="15" customHeight="1">
      <c r="C652" s="59"/>
      <c r="D652" s="59"/>
      <c r="E652" s="59"/>
      <c r="F652" s="40"/>
      <c r="G652" s="40"/>
      <c r="H652" s="40"/>
      <c r="I652" s="40"/>
      <c r="J652" s="40"/>
      <c r="K652" s="40"/>
      <c r="L652" s="40"/>
    </row>
    <row r="653" spans="3:12" s="18" customFormat="1" ht="15" customHeight="1">
      <c r="C653" s="59"/>
      <c r="D653" s="59"/>
      <c r="E653" s="59"/>
      <c r="F653" s="40"/>
      <c r="G653" s="40"/>
      <c r="H653" s="40"/>
      <c r="I653" s="40"/>
      <c r="J653" s="40"/>
      <c r="K653" s="40"/>
      <c r="L653" s="40"/>
    </row>
    <row r="654" spans="3:12" s="18" customFormat="1" ht="15" customHeight="1">
      <c r="C654" s="59"/>
      <c r="D654" s="59"/>
      <c r="E654" s="59"/>
      <c r="F654" s="40"/>
      <c r="G654" s="40"/>
      <c r="H654" s="40"/>
      <c r="I654" s="40"/>
      <c r="J654" s="40"/>
      <c r="K654" s="40"/>
      <c r="L654" s="40"/>
    </row>
    <row r="655" spans="3:12" s="18" customFormat="1" ht="15" customHeight="1">
      <c r="C655" s="59"/>
      <c r="D655" s="59"/>
      <c r="E655" s="59"/>
      <c r="F655" s="40"/>
      <c r="G655" s="40"/>
      <c r="H655" s="40"/>
      <c r="I655" s="40"/>
      <c r="J655" s="40"/>
      <c r="K655" s="40"/>
      <c r="L655" s="40"/>
    </row>
    <row r="656" spans="3:12" s="18" customFormat="1" ht="15" customHeight="1">
      <c r="C656" s="59"/>
      <c r="D656" s="59"/>
      <c r="E656" s="59"/>
      <c r="F656" s="40"/>
      <c r="G656" s="40"/>
      <c r="H656" s="40"/>
      <c r="I656" s="40"/>
      <c r="J656" s="40"/>
      <c r="K656" s="40"/>
      <c r="L656" s="40"/>
    </row>
    <row r="657" spans="3:12" s="18" customFormat="1" ht="15" customHeight="1">
      <c r="C657" s="59"/>
      <c r="D657" s="59"/>
      <c r="E657" s="59"/>
      <c r="F657" s="40"/>
      <c r="G657" s="40"/>
      <c r="H657" s="40"/>
      <c r="I657" s="40"/>
      <c r="J657" s="40"/>
      <c r="K657" s="40"/>
      <c r="L657" s="40"/>
    </row>
    <row r="658" spans="3:12" s="18" customFormat="1" ht="15" customHeight="1">
      <c r="C658" s="59"/>
      <c r="D658" s="59"/>
      <c r="E658" s="59"/>
      <c r="F658" s="40"/>
      <c r="G658" s="40"/>
      <c r="H658" s="40"/>
      <c r="I658" s="40"/>
      <c r="J658" s="40"/>
      <c r="K658" s="40"/>
      <c r="L658" s="40"/>
    </row>
    <row r="659" spans="3:12" s="18" customFormat="1" ht="15" customHeight="1">
      <c r="C659" s="59"/>
      <c r="D659" s="59"/>
      <c r="E659" s="59"/>
      <c r="F659" s="40"/>
      <c r="G659" s="40"/>
      <c r="H659" s="40"/>
      <c r="I659" s="40"/>
      <c r="J659" s="40"/>
      <c r="K659" s="40"/>
      <c r="L659" s="40"/>
    </row>
    <row r="660" spans="3:12" s="18" customFormat="1" ht="15" customHeight="1">
      <c r="C660" s="59"/>
      <c r="D660" s="59"/>
      <c r="E660" s="59"/>
      <c r="F660" s="40"/>
      <c r="G660" s="40"/>
      <c r="H660" s="40"/>
      <c r="I660" s="40"/>
      <c r="J660" s="40"/>
      <c r="K660" s="40"/>
      <c r="L660" s="40"/>
    </row>
    <row r="661" spans="3:12" s="18" customFormat="1" ht="15" customHeight="1">
      <c r="C661" s="59"/>
      <c r="D661" s="59"/>
      <c r="E661" s="59"/>
      <c r="F661" s="40"/>
      <c r="G661" s="40"/>
      <c r="H661" s="40"/>
      <c r="I661" s="40"/>
      <c r="J661" s="40"/>
      <c r="K661" s="40"/>
      <c r="L661" s="40"/>
    </row>
    <row r="662" spans="3:12" s="18" customFormat="1" ht="15" customHeight="1">
      <c r="C662" s="59"/>
      <c r="D662" s="59"/>
      <c r="E662" s="59"/>
      <c r="F662" s="40"/>
      <c r="G662" s="40"/>
      <c r="H662" s="40"/>
      <c r="I662" s="40"/>
      <c r="J662" s="40"/>
      <c r="K662" s="40"/>
      <c r="L662" s="40"/>
    </row>
    <row r="663" spans="3:12" s="18" customFormat="1" ht="15" customHeight="1">
      <c r="C663" s="59"/>
      <c r="D663" s="59"/>
      <c r="E663" s="59"/>
      <c r="F663" s="40"/>
      <c r="G663" s="40"/>
      <c r="H663" s="40"/>
      <c r="I663" s="40"/>
      <c r="J663" s="40"/>
      <c r="K663" s="40"/>
      <c r="L663" s="40"/>
    </row>
    <row r="664" spans="3:12" s="18" customFormat="1" ht="15" customHeight="1">
      <c r="C664" s="59"/>
      <c r="D664" s="59"/>
      <c r="E664" s="59"/>
      <c r="F664" s="40"/>
      <c r="G664" s="40"/>
      <c r="H664" s="40"/>
      <c r="I664" s="40"/>
      <c r="J664" s="40"/>
      <c r="K664" s="40"/>
      <c r="L664" s="40"/>
    </row>
    <row r="665" spans="3:12" s="18" customFormat="1" ht="15" customHeight="1">
      <c r="C665" s="59"/>
      <c r="D665" s="59"/>
      <c r="E665" s="59"/>
      <c r="F665" s="40"/>
      <c r="G665" s="40"/>
      <c r="H665" s="40"/>
      <c r="I665" s="40"/>
      <c r="J665" s="40"/>
      <c r="K665" s="40"/>
      <c r="L665" s="40"/>
    </row>
    <row r="666" spans="3:12" s="18" customFormat="1" ht="15" customHeight="1">
      <c r="C666" s="59"/>
      <c r="D666" s="59"/>
      <c r="E666" s="59"/>
      <c r="F666" s="40"/>
      <c r="G666" s="40"/>
      <c r="H666" s="40"/>
      <c r="I666" s="40"/>
      <c r="J666" s="40"/>
      <c r="K666" s="40"/>
      <c r="L666" s="40"/>
    </row>
    <row r="667" spans="3:12" s="18" customFormat="1">
      <c r="C667" s="59"/>
      <c r="D667" s="59"/>
      <c r="E667" s="59"/>
      <c r="F667" s="40"/>
      <c r="G667" s="40"/>
      <c r="H667" s="40"/>
      <c r="I667" s="40"/>
      <c r="J667" s="40"/>
      <c r="K667" s="40"/>
      <c r="L667" s="40"/>
    </row>
    <row r="668" spans="3:12" s="18" customFormat="1">
      <c r="C668" s="59"/>
      <c r="D668" s="59"/>
      <c r="E668" s="59"/>
      <c r="F668" s="40"/>
      <c r="G668" s="40"/>
      <c r="H668" s="40"/>
      <c r="I668" s="40"/>
      <c r="J668" s="40"/>
      <c r="K668" s="40"/>
      <c r="L668" s="40"/>
    </row>
    <row r="669" spans="3:12" s="18" customFormat="1">
      <c r="C669" s="59"/>
      <c r="D669" s="59"/>
      <c r="E669" s="59"/>
      <c r="F669" s="40"/>
      <c r="G669" s="40"/>
      <c r="H669" s="40"/>
      <c r="I669" s="40"/>
      <c r="J669" s="40"/>
      <c r="K669" s="40"/>
      <c r="L669" s="40"/>
    </row>
    <row r="670" spans="3:12" s="18" customFormat="1">
      <c r="C670" s="59"/>
      <c r="D670" s="59"/>
      <c r="E670" s="59"/>
      <c r="F670" s="40"/>
      <c r="G670" s="40"/>
      <c r="H670" s="40"/>
      <c r="I670" s="40"/>
      <c r="J670" s="40"/>
      <c r="K670" s="40"/>
      <c r="L670" s="40"/>
    </row>
    <row r="671" spans="3:12" s="18" customFormat="1">
      <c r="C671" s="59"/>
      <c r="D671" s="59"/>
      <c r="E671" s="59"/>
      <c r="F671" s="40"/>
      <c r="G671" s="40"/>
      <c r="H671" s="40"/>
      <c r="I671" s="40"/>
      <c r="J671" s="40"/>
      <c r="K671" s="40"/>
      <c r="L671" s="40"/>
    </row>
    <row r="672" spans="3:12" s="18" customFormat="1">
      <c r="C672" s="59"/>
      <c r="D672" s="59"/>
      <c r="E672" s="59"/>
      <c r="F672" s="40"/>
      <c r="G672" s="40"/>
      <c r="H672" s="40"/>
      <c r="I672" s="40"/>
      <c r="J672" s="40"/>
      <c r="K672" s="40"/>
      <c r="L672" s="40"/>
    </row>
    <row r="673" spans="3:12" s="18" customFormat="1">
      <c r="C673" s="59"/>
      <c r="D673" s="59"/>
      <c r="E673" s="59"/>
      <c r="F673" s="40"/>
      <c r="G673" s="40"/>
      <c r="H673" s="40"/>
      <c r="I673" s="40"/>
      <c r="J673" s="40"/>
      <c r="K673" s="40"/>
      <c r="L673" s="40"/>
    </row>
    <row r="674" spans="3:12" s="18" customFormat="1">
      <c r="C674" s="59"/>
      <c r="D674" s="59"/>
      <c r="E674" s="59"/>
      <c r="F674" s="40"/>
      <c r="G674" s="40"/>
      <c r="H674" s="40"/>
      <c r="I674" s="40"/>
      <c r="J674" s="40"/>
      <c r="K674" s="40"/>
      <c r="L674" s="40"/>
    </row>
    <row r="675" spans="3:12" s="18" customFormat="1">
      <c r="C675" s="59"/>
      <c r="D675" s="59"/>
      <c r="E675" s="59"/>
      <c r="F675" s="40"/>
      <c r="G675" s="40"/>
      <c r="H675" s="40"/>
      <c r="I675" s="40"/>
      <c r="J675" s="40"/>
      <c r="K675" s="40"/>
      <c r="L675" s="40"/>
    </row>
    <row r="676" spans="3:12" s="18" customFormat="1">
      <c r="C676" s="59"/>
      <c r="D676" s="59"/>
      <c r="E676" s="59"/>
      <c r="F676" s="40"/>
      <c r="G676" s="40"/>
      <c r="H676" s="40"/>
      <c r="I676" s="40"/>
      <c r="J676" s="40"/>
      <c r="K676" s="40"/>
      <c r="L676" s="40"/>
    </row>
    <row r="677" spans="3:12" s="18" customFormat="1">
      <c r="C677" s="59"/>
      <c r="D677" s="59"/>
      <c r="E677" s="59"/>
      <c r="F677" s="40"/>
      <c r="G677" s="40"/>
      <c r="H677" s="40"/>
      <c r="I677" s="40"/>
      <c r="J677" s="40"/>
      <c r="K677" s="40"/>
      <c r="L677" s="40"/>
    </row>
    <row r="678" spans="3:12" s="18" customFormat="1">
      <c r="C678" s="59"/>
      <c r="D678" s="59"/>
      <c r="E678" s="59"/>
      <c r="F678" s="40"/>
      <c r="G678" s="40"/>
      <c r="H678" s="40"/>
      <c r="I678" s="40"/>
      <c r="J678" s="40"/>
      <c r="K678" s="40"/>
      <c r="L678" s="40"/>
    </row>
    <row r="679" spans="3:12" s="18" customFormat="1">
      <c r="C679" s="59"/>
      <c r="D679" s="59"/>
      <c r="E679" s="59"/>
      <c r="F679" s="40"/>
      <c r="G679" s="40"/>
      <c r="H679" s="40"/>
      <c r="I679" s="40"/>
      <c r="J679" s="40"/>
      <c r="K679" s="40"/>
      <c r="L679" s="40"/>
    </row>
    <row r="680" spans="3:12" s="18" customFormat="1">
      <c r="C680" s="59"/>
      <c r="D680" s="59"/>
      <c r="E680" s="59"/>
      <c r="F680" s="40"/>
      <c r="G680" s="40"/>
      <c r="H680" s="40"/>
      <c r="I680" s="40"/>
      <c r="J680" s="40"/>
      <c r="K680" s="40"/>
      <c r="L680" s="40"/>
    </row>
    <row r="681" spans="3:12" s="18" customFormat="1">
      <c r="C681" s="59"/>
      <c r="D681" s="59"/>
      <c r="E681" s="59"/>
      <c r="F681" s="40"/>
      <c r="G681" s="40"/>
      <c r="H681" s="40"/>
      <c r="I681" s="40"/>
      <c r="J681" s="40"/>
      <c r="K681" s="40"/>
      <c r="L681" s="40"/>
    </row>
    <row r="682" spans="3:12" s="18" customFormat="1">
      <c r="C682" s="59"/>
      <c r="D682" s="59"/>
      <c r="E682" s="59"/>
      <c r="F682" s="40"/>
      <c r="G682" s="40"/>
      <c r="H682" s="40"/>
      <c r="I682" s="40"/>
      <c r="J682" s="40"/>
      <c r="K682" s="40"/>
      <c r="L682" s="40"/>
    </row>
    <row r="683" spans="3:12" s="18" customFormat="1">
      <c r="C683" s="59"/>
      <c r="D683" s="59"/>
      <c r="E683" s="59"/>
      <c r="F683" s="40"/>
      <c r="G683" s="40"/>
      <c r="H683" s="40"/>
      <c r="I683" s="40"/>
      <c r="J683" s="40"/>
      <c r="K683" s="40"/>
      <c r="L683" s="40"/>
    </row>
    <row r="684" spans="3:12" s="18" customFormat="1">
      <c r="C684" s="59"/>
      <c r="D684" s="59"/>
      <c r="E684" s="59"/>
      <c r="F684" s="40"/>
      <c r="G684" s="40"/>
      <c r="H684" s="40"/>
      <c r="I684" s="40"/>
      <c r="J684" s="40"/>
      <c r="K684" s="40"/>
      <c r="L684" s="40"/>
    </row>
    <row r="685" spans="3:12" s="18" customFormat="1">
      <c r="C685" s="59"/>
      <c r="D685" s="59"/>
      <c r="E685" s="59"/>
      <c r="F685" s="40"/>
      <c r="G685" s="40"/>
      <c r="H685" s="40"/>
      <c r="I685" s="40"/>
      <c r="J685" s="40"/>
      <c r="K685" s="40"/>
      <c r="L685" s="40"/>
    </row>
    <row r="686" spans="3:12" s="18" customFormat="1">
      <c r="C686" s="59"/>
      <c r="D686" s="59"/>
      <c r="E686" s="59"/>
      <c r="F686" s="40"/>
      <c r="G686" s="40"/>
      <c r="H686" s="40"/>
      <c r="I686" s="40"/>
      <c r="J686" s="40"/>
      <c r="K686" s="40"/>
      <c r="L686" s="40"/>
    </row>
    <row r="687" spans="3:12" s="18" customFormat="1">
      <c r="C687" s="59"/>
      <c r="D687" s="59"/>
      <c r="E687" s="59"/>
      <c r="F687" s="40"/>
      <c r="G687" s="40"/>
      <c r="H687" s="40"/>
      <c r="I687" s="40"/>
      <c r="J687" s="40"/>
      <c r="K687" s="40"/>
      <c r="L687" s="40"/>
    </row>
    <row r="688" spans="3:12" s="18" customFormat="1">
      <c r="C688" s="59"/>
      <c r="D688" s="59"/>
      <c r="E688" s="59"/>
      <c r="F688" s="40"/>
      <c r="G688" s="40"/>
      <c r="H688" s="40"/>
      <c r="I688" s="40"/>
      <c r="J688" s="40"/>
      <c r="K688" s="40"/>
      <c r="L688" s="40"/>
    </row>
    <row r="689" spans="3:12" s="18" customFormat="1">
      <c r="C689" s="59"/>
      <c r="D689" s="59"/>
      <c r="E689" s="59"/>
      <c r="F689" s="40"/>
      <c r="G689" s="40"/>
      <c r="H689" s="40"/>
      <c r="I689" s="40"/>
      <c r="J689" s="40"/>
      <c r="K689" s="40"/>
      <c r="L689" s="40"/>
    </row>
    <row r="690" spans="3:12" s="18" customFormat="1">
      <c r="C690" s="59"/>
      <c r="D690" s="59"/>
      <c r="E690" s="59"/>
      <c r="F690" s="40"/>
      <c r="G690" s="40"/>
      <c r="H690" s="40"/>
      <c r="I690" s="40"/>
      <c r="J690" s="40"/>
      <c r="K690" s="40"/>
      <c r="L690" s="40"/>
    </row>
    <row r="691" spans="3:12" s="18" customFormat="1">
      <c r="C691" s="59"/>
      <c r="D691" s="59"/>
      <c r="E691" s="59"/>
      <c r="F691" s="40"/>
      <c r="G691" s="40"/>
      <c r="H691" s="40"/>
      <c r="I691" s="40"/>
      <c r="J691" s="40"/>
      <c r="K691" s="40"/>
      <c r="L691" s="40"/>
    </row>
    <row r="692" spans="3:12" s="18" customFormat="1">
      <c r="C692" s="59"/>
      <c r="D692" s="59"/>
      <c r="E692" s="59"/>
      <c r="F692" s="40"/>
      <c r="G692" s="40"/>
      <c r="H692" s="40"/>
      <c r="I692" s="40"/>
      <c r="J692" s="40"/>
      <c r="K692" s="40"/>
      <c r="L692" s="40"/>
    </row>
    <row r="693" spans="3:12" s="18" customFormat="1">
      <c r="C693" s="59"/>
      <c r="D693" s="59"/>
      <c r="E693" s="59"/>
      <c r="F693" s="40"/>
      <c r="G693" s="40"/>
      <c r="H693" s="40"/>
      <c r="I693" s="40"/>
      <c r="J693" s="40"/>
      <c r="K693" s="40"/>
      <c r="L693" s="40"/>
    </row>
    <row r="694" spans="3:12" s="18" customFormat="1">
      <c r="C694" s="59"/>
      <c r="D694" s="59"/>
      <c r="E694" s="59"/>
      <c r="F694" s="40"/>
      <c r="G694" s="40"/>
      <c r="H694" s="40"/>
      <c r="I694" s="40"/>
      <c r="J694" s="40"/>
      <c r="K694" s="40"/>
      <c r="L694" s="40"/>
    </row>
    <row r="695" spans="3:12" s="18" customFormat="1">
      <c r="C695" s="59"/>
      <c r="D695" s="59"/>
      <c r="E695" s="59"/>
      <c r="F695" s="40"/>
      <c r="G695" s="40"/>
      <c r="H695" s="40"/>
      <c r="I695" s="40"/>
      <c r="J695" s="40"/>
      <c r="K695" s="40"/>
      <c r="L695" s="40"/>
    </row>
    <row r="696" spans="3:12" s="18" customFormat="1">
      <c r="C696" s="59"/>
      <c r="D696" s="59"/>
      <c r="E696" s="59"/>
      <c r="F696" s="40"/>
      <c r="G696" s="40"/>
      <c r="H696" s="40"/>
      <c r="I696" s="40"/>
      <c r="J696" s="40"/>
      <c r="K696" s="40"/>
      <c r="L696" s="40"/>
    </row>
    <row r="697" spans="3:12" s="18" customFormat="1">
      <c r="C697" s="59"/>
      <c r="D697" s="59"/>
      <c r="E697" s="59"/>
      <c r="F697" s="40"/>
      <c r="G697" s="40"/>
      <c r="H697" s="40"/>
      <c r="I697" s="40"/>
      <c r="J697" s="40"/>
      <c r="K697" s="40"/>
      <c r="L697" s="40"/>
    </row>
    <row r="698" spans="3:12" s="18" customFormat="1">
      <c r="C698" s="59"/>
      <c r="D698" s="59"/>
      <c r="E698" s="59"/>
      <c r="F698" s="40"/>
      <c r="G698" s="40"/>
      <c r="H698" s="40"/>
      <c r="I698" s="40"/>
      <c r="J698" s="40"/>
      <c r="K698" s="40"/>
      <c r="L698" s="40"/>
    </row>
    <row r="699" spans="3:12" s="18" customFormat="1">
      <c r="C699" s="59"/>
      <c r="D699" s="59"/>
      <c r="E699" s="59"/>
      <c r="F699" s="40"/>
      <c r="G699" s="40"/>
      <c r="H699" s="40"/>
      <c r="I699" s="40"/>
      <c r="J699" s="40"/>
      <c r="K699" s="40"/>
      <c r="L699" s="40"/>
    </row>
    <row r="700" spans="3:12" s="18" customFormat="1">
      <c r="C700" s="59"/>
      <c r="D700" s="59"/>
      <c r="E700" s="59"/>
      <c r="F700" s="40"/>
      <c r="G700" s="40"/>
      <c r="H700" s="40"/>
      <c r="I700" s="40"/>
      <c r="J700" s="40"/>
      <c r="K700" s="40"/>
      <c r="L700" s="40"/>
    </row>
    <row r="701" spans="3:12" s="18" customFormat="1">
      <c r="C701" s="59"/>
      <c r="D701" s="59"/>
      <c r="E701" s="59"/>
      <c r="F701" s="40"/>
      <c r="G701" s="40"/>
      <c r="H701" s="40"/>
      <c r="I701" s="40"/>
      <c r="J701" s="40"/>
      <c r="K701" s="40"/>
      <c r="L701" s="40"/>
    </row>
    <row r="702" spans="3:12" s="18" customFormat="1">
      <c r="C702" s="59"/>
      <c r="D702" s="59"/>
      <c r="E702" s="59"/>
      <c r="F702" s="40"/>
      <c r="G702" s="40"/>
      <c r="H702" s="40"/>
      <c r="I702" s="40"/>
      <c r="J702" s="40"/>
      <c r="K702" s="40"/>
      <c r="L702" s="40"/>
    </row>
    <row r="703" spans="3:12" s="18" customFormat="1">
      <c r="C703" s="59"/>
      <c r="D703" s="59"/>
      <c r="E703" s="59"/>
      <c r="F703" s="40"/>
      <c r="G703" s="40"/>
      <c r="H703" s="40"/>
      <c r="I703" s="40"/>
      <c r="J703" s="40"/>
      <c r="K703" s="40"/>
      <c r="L703" s="40"/>
    </row>
    <row r="704" spans="3:12" s="18" customFormat="1">
      <c r="C704" s="59"/>
      <c r="D704" s="59"/>
      <c r="E704" s="59"/>
      <c r="F704" s="40"/>
      <c r="G704" s="40"/>
      <c r="H704" s="40"/>
      <c r="I704" s="40"/>
      <c r="J704" s="40"/>
      <c r="K704" s="40"/>
      <c r="L704" s="40"/>
    </row>
    <row r="705" spans="1:13" s="18" customFormat="1">
      <c r="C705" s="59"/>
      <c r="D705" s="59"/>
      <c r="E705" s="59"/>
      <c r="F705" s="40"/>
      <c r="G705" s="40"/>
      <c r="H705" s="40"/>
      <c r="I705" s="40"/>
      <c r="J705" s="40"/>
      <c r="K705" s="40"/>
      <c r="L705" s="40"/>
    </row>
    <row r="706" spans="1:13" s="18" customFormat="1">
      <c r="C706" s="59"/>
      <c r="D706" s="59"/>
      <c r="E706" s="59"/>
      <c r="F706" s="40"/>
      <c r="G706" s="40"/>
      <c r="H706" s="40"/>
      <c r="I706" s="40"/>
      <c r="J706" s="40"/>
      <c r="K706" s="40"/>
      <c r="L706" s="40"/>
    </row>
    <row r="707" spans="1:13" s="18" customFormat="1">
      <c r="C707" s="59"/>
      <c r="D707" s="59"/>
      <c r="E707" s="59"/>
      <c r="F707" s="40"/>
      <c r="G707" s="40"/>
      <c r="H707" s="40"/>
      <c r="I707" s="40"/>
      <c r="J707" s="40"/>
      <c r="K707" s="40"/>
      <c r="L707" s="40"/>
    </row>
    <row r="708" spans="1:13" s="18" customFormat="1">
      <c r="C708" s="59"/>
      <c r="D708" s="59"/>
      <c r="E708" s="59"/>
      <c r="F708" s="40"/>
      <c r="G708" s="40"/>
      <c r="H708" s="40"/>
      <c r="I708" s="40"/>
      <c r="J708" s="40"/>
      <c r="K708" s="40"/>
      <c r="L708" s="40"/>
    </row>
    <row r="709" spans="1:13" s="18" customFormat="1">
      <c r="C709" s="59"/>
      <c r="D709" s="59"/>
      <c r="E709" s="59"/>
      <c r="F709" s="40"/>
      <c r="G709" s="40"/>
      <c r="H709" s="40"/>
      <c r="I709" s="40"/>
      <c r="J709" s="40"/>
      <c r="K709" s="40"/>
      <c r="L709" s="40"/>
    </row>
    <row r="710" spans="1:13" s="18" customFormat="1">
      <c r="C710" s="59"/>
      <c r="D710" s="59"/>
      <c r="E710" s="59"/>
      <c r="F710" s="40"/>
      <c r="G710" s="40"/>
      <c r="H710" s="40"/>
      <c r="I710" s="40"/>
      <c r="J710" s="40"/>
      <c r="K710" s="40"/>
      <c r="L710" s="40"/>
    </row>
    <row r="711" spans="1:13" s="18" customFormat="1">
      <c r="C711" s="59"/>
      <c r="D711" s="59"/>
      <c r="E711" s="59"/>
      <c r="F711" s="40"/>
      <c r="G711" s="40"/>
      <c r="H711" s="40"/>
      <c r="I711" s="40"/>
      <c r="J711" s="40"/>
      <c r="K711" s="40"/>
      <c r="L711" s="40"/>
    </row>
    <row r="712" spans="1:13" s="18" customFormat="1">
      <c r="C712" s="59"/>
      <c r="D712" s="59"/>
      <c r="E712" s="59"/>
      <c r="F712" s="40"/>
      <c r="G712" s="40"/>
      <c r="H712" s="40"/>
      <c r="I712" s="40"/>
      <c r="J712" s="40"/>
      <c r="K712" s="40"/>
      <c r="L712" s="40"/>
    </row>
    <row r="713" spans="1:13" s="18" customFormat="1">
      <c r="C713" s="59"/>
      <c r="D713" s="59"/>
      <c r="E713" s="59"/>
      <c r="F713" s="40"/>
      <c r="G713" s="40"/>
      <c r="H713" s="40"/>
      <c r="I713" s="40"/>
      <c r="J713" s="40"/>
      <c r="K713" s="40"/>
      <c r="L713" s="40"/>
    </row>
    <row r="714" spans="1:13" s="18" customFormat="1">
      <c r="C714" s="59"/>
      <c r="D714" s="59"/>
      <c r="E714" s="59"/>
      <c r="F714" s="40"/>
      <c r="G714" s="40"/>
      <c r="H714" s="40"/>
      <c r="I714" s="40"/>
      <c r="J714" s="40"/>
      <c r="K714" s="40"/>
      <c r="L714" s="40"/>
    </row>
    <row r="715" spans="1:13" s="18" customFormat="1">
      <c r="C715" s="59"/>
      <c r="D715" s="59"/>
      <c r="E715" s="59"/>
      <c r="F715" s="40"/>
      <c r="G715" s="40"/>
      <c r="H715" s="40"/>
      <c r="I715" s="40"/>
      <c r="J715" s="40"/>
      <c r="K715" s="40"/>
      <c r="L715" s="40"/>
    </row>
    <row r="716" spans="1:13" s="18" customFormat="1">
      <c r="C716" s="59"/>
      <c r="D716" s="59"/>
      <c r="E716" s="59"/>
      <c r="F716" s="40"/>
      <c r="G716" s="40"/>
      <c r="H716" s="40"/>
      <c r="I716" s="40"/>
      <c r="J716" s="40"/>
      <c r="K716" s="40"/>
      <c r="L716" s="40"/>
    </row>
    <row r="717" spans="1:13" s="18" customFormat="1">
      <c r="C717" s="59"/>
      <c r="D717" s="59"/>
      <c r="E717" s="59"/>
      <c r="F717" s="40"/>
      <c r="G717" s="40"/>
      <c r="H717" s="40"/>
      <c r="I717" s="40"/>
      <c r="J717" s="40"/>
      <c r="K717" s="40"/>
      <c r="L717" s="40"/>
    </row>
    <row r="718" spans="1:13" s="18" customFormat="1">
      <c r="C718" s="59"/>
      <c r="D718" s="59"/>
      <c r="E718" s="59"/>
      <c r="F718" s="40"/>
      <c r="G718" s="40"/>
      <c r="H718" s="40"/>
      <c r="I718" s="40"/>
      <c r="J718" s="40"/>
      <c r="K718" s="40"/>
      <c r="L718" s="40"/>
    </row>
    <row r="719" spans="1:13" s="18" customFormat="1">
      <c r="C719" s="59"/>
      <c r="D719" s="59"/>
      <c r="E719" s="59"/>
      <c r="F719" s="40"/>
      <c r="G719" s="40"/>
      <c r="H719" s="40"/>
      <c r="I719" s="40"/>
      <c r="J719" s="40"/>
      <c r="K719" s="40"/>
      <c r="L719" s="40"/>
    </row>
    <row r="720" spans="1:13">
      <c r="A720" s="18"/>
      <c r="B720" s="18"/>
      <c r="C720" s="59"/>
      <c r="D720" s="59"/>
      <c r="E720" s="59"/>
      <c r="F720" s="40"/>
      <c r="G720" s="40"/>
      <c r="H720" s="40"/>
      <c r="I720" s="40"/>
      <c r="J720" s="40"/>
      <c r="K720" s="40"/>
      <c r="L720" s="40"/>
      <c r="M720" s="18"/>
    </row>
  </sheetData>
  <phoneticPr fontId="0" type="noConversion"/>
  <printOptions horizontalCentered="1"/>
  <pageMargins left="0.39370078740157483" right="0.39370078740157483" top="1.3779527559055118" bottom="0.39370078740157483" header="0.59055118110236227" footer="0"/>
  <pageSetup paperSize="9" scale="82" orientation="portrait" horizontalDpi="4294967292" r:id="rId2"/>
  <headerFooter alignWithMargins="0">
    <oddHeader>&amp;C&amp;14Cumplimiento del Servicio de Trenes
Línea Urquiza</oddHeader>
  </headerFooter>
  <ignoredErrors>
    <ignoredError sqref="I6:I333" calculatedColumn="1"/>
  </ignoredErrors>
  <tableParts count="1">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pageSetUpPr fitToPage="1"/>
  </sheetPr>
  <dimension ref="A1:GM720"/>
  <sheetViews>
    <sheetView showGridLines="0" zoomScale="80" zoomScaleNormal="80" workbookViewId="0">
      <pane ySplit="5" topLeftCell="A376" activePane="bottomLeft" state="frozen"/>
      <selection activeCell="G390" sqref="G390"/>
      <selection pane="bottomLeft" activeCell="C424" sqref="C424"/>
    </sheetView>
  </sheetViews>
  <sheetFormatPr baseColWidth="10" defaultColWidth="11.5546875" defaultRowHeight="15"/>
  <cols>
    <col min="1"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54" width="8.77734375" style="46" customWidth="1"/>
    <col min="55" max="55" width="25.77734375" style="46" customWidth="1"/>
    <col min="56" max="68" width="8.77734375" style="46" customWidth="1"/>
    <col min="69" max="69" width="25.77734375" style="46" customWidth="1"/>
    <col min="70" max="82" width="8.77734375" style="46" customWidth="1"/>
    <col min="83" max="83" width="25.77734375" style="46" customWidth="1"/>
    <col min="84" max="96" width="8.77734375" style="46" customWidth="1"/>
    <col min="97" max="97" width="25.77734375" style="46" customWidth="1"/>
    <col min="98" max="110" width="8.77734375" style="46" customWidth="1"/>
    <col min="111" max="111" width="25.77734375" style="46" customWidth="1"/>
    <col min="112" max="124" width="8.77734375" style="46" customWidth="1"/>
    <col min="125" max="125" width="25.77734375" style="46" customWidth="1"/>
    <col min="126" max="138" width="8.77734375" style="46" customWidth="1"/>
    <col min="139" max="139" width="25.77734375" style="46" customWidth="1"/>
    <col min="140" max="152" width="8.77734375" style="46" customWidth="1"/>
    <col min="153" max="153" width="25.77734375" style="46" customWidth="1"/>
    <col min="154" max="166" width="8.77734375" style="46" customWidth="1"/>
    <col min="167" max="167" width="25.77734375" style="46" customWidth="1"/>
    <col min="168" max="180" width="8.77734375" style="46" customWidth="1"/>
    <col min="181" max="181" width="25.77734375" style="46" customWidth="1"/>
    <col min="182" max="194" width="8.77734375" style="46" customWidth="1"/>
    <col min="195" max="195" width="25.77734375" style="46" customWidth="1"/>
    <col min="196" max="197" width="8.77734375" style="46" customWidth="1"/>
    <col min="198" max="16384" width="11.5546875" style="46"/>
  </cols>
  <sheetData>
    <row r="1" spans="1:195" s="36" customFormat="1" ht="30">
      <c r="A1" s="113" t="s">
        <v>7</v>
      </c>
      <c r="L1" s="37"/>
      <c r="M1" s="37"/>
      <c r="N1" s="37"/>
      <c r="O1" s="113" t="s">
        <v>7</v>
      </c>
      <c r="Z1" s="37"/>
      <c r="AA1" s="37"/>
      <c r="AB1" s="37"/>
      <c r="AC1" s="113" t="s">
        <v>7</v>
      </c>
      <c r="AN1" s="37"/>
      <c r="AO1" s="37"/>
      <c r="AP1" s="37"/>
      <c r="AQ1" s="113" t="s">
        <v>7</v>
      </c>
      <c r="BB1" s="37"/>
      <c r="BC1" s="37"/>
      <c r="BD1" s="37"/>
      <c r="BE1" s="113" t="s">
        <v>7</v>
      </c>
      <c r="BP1" s="37"/>
      <c r="BQ1" s="37"/>
      <c r="BR1" s="37"/>
      <c r="BS1" s="113" t="s">
        <v>7</v>
      </c>
      <c r="CD1" s="37"/>
      <c r="CE1" s="37"/>
      <c r="CF1" s="37"/>
      <c r="CG1" s="113" t="s">
        <v>7</v>
      </c>
      <c r="CR1" s="37"/>
      <c r="CS1" s="37"/>
      <c r="CT1" s="37"/>
      <c r="CU1" s="113" t="s">
        <v>7</v>
      </c>
      <c r="DF1" s="37"/>
      <c r="DG1" s="37"/>
      <c r="DH1" s="37"/>
      <c r="DI1" s="113" t="s">
        <v>7</v>
      </c>
      <c r="DT1" s="37"/>
      <c r="DU1" s="37"/>
      <c r="DV1" s="37"/>
      <c r="DW1" s="113" t="s">
        <v>7</v>
      </c>
      <c r="EH1" s="37"/>
      <c r="EI1" s="37"/>
      <c r="EJ1" s="37"/>
      <c r="EK1" s="113" t="s">
        <v>7</v>
      </c>
      <c r="EV1" s="37"/>
      <c r="EW1" s="37"/>
      <c r="EX1" s="37"/>
      <c r="EY1" s="113" t="s">
        <v>7</v>
      </c>
      <c r="FJ1" s="37"/>
      <c r="FK1" s="37"/>
      <c r="FM1" s="113" t="s">
        <v>7</v>
      </c>
      <c r="FX1" s="37"/>
      <c r="FY1" s="37"/>
      <c r="GA1" s="113" t="s">
        <v>7</v>
      </c>
      <c r="GL1" s="37"/>
      <c r="GM1" s="37"/>
    </row>
    <row r="2" spans="1:195" s="36" customFormat="1" ht="29.25">
      <c r="A2" s="115" t="s">
        <v>4</v>
      </c>
      <c r="L2" s="37"/>
      <c r="M2" s="37"/>
      <c r="N2" s="37"/>
      <c r="O2" s="115" t="s">
        <v>4</v>
      </c>
      <c r="Z2" s="37"/>
      <c r="AA2" s="37"/>
      <c r="AB2" s="37"/>
      <c r="AC2" s="115" t="s">
        <v>4</v>
      </c>
      <c r="AN2" s="37"/>
      <c r="AO2" s="37"/>
      <c r="AP2" s="37"/>
      <c r="AQ2" s="115" t="s">
        <v>4</v>
      </c>
      <c r="BB2" s="37"/>
      <c r="BC2" s="37"/>
      <c r="BD2" s="37"/>
      <c r="BE2" s="115" t="s">
        <v>4</v>
      </c>
      <c r="BP2" s="37"/>
      <c r="BQ2" s="37"/>
      <c r="BR2" s="37"/>
      <c r="BS2" s="115" t="s">
        <v>4</v>
      </c>
      <c r="CD2" s="37"/>
      <c r="CE2" s="37"/>
      <c r="CF2" s="37"/>
      <c r="CG2" s="115" t="s">
        <v>4</v>
      </c>
      <c r="CR2" s="37"/>
      <c r="CS2" s="37"/>
      <c r="CT2" s="37"/>
      <c r="CU2" s="115" t="s">
        <v>4</v>
      </c>
      <c r="DF2" s="37"/>
      <c r="DG2" s="37"/>
      <c r="DH2" s="37"/>
      <c r="DI2" s="115" t="s">
        <v>4</v>
      </c>
      <c r="DT2" s="37"/>
      <c r="DU2" s="37"/>
      <c r="DV2" s="37"/>
      <c r="DW2" s="115" t="s">
        <v>4</v>
      </c>
      <c r="EH2" s="37"/>
      <c r="EI2" s="37"/>
      <c r="EJ2" s="37"/>
      <c r="EK2" s="115" t="s">
        <v>4</v>
      </c>
      <c r="EV2" s="37"/>
      <c r="EW2" s="37"/>
      <c r="EX2" s="37"/>
      <c r="EY2" s="115" t="s">
        <v>4</v>
      </c>
      <c r="FJ2" s="37"/>
      <c r="FK2" s="37"/>
      <c r="FM2" s="115" t="s">
        <v>4</v>
      </c>
      <c r="FX2" s="37"/>
      <c r="FY2" s="37"/>
      <c r="GA2" s="115" t="s">
        <v>4</v>
      </c>
      <c r="GL2" s="37"/>
      <c r="GM2" s="37"/>
    </row>
    <row r="3" spans="1:195" s="119" customFormat="1" ht="46.5" customHeight="1">
      <c r="A3" s="116" t="s">
        <v>35</v>
      </c>
      <c r="B3" s="117"/>
      <c r="C3" s="117"/>
      <c r="D3" s="117"/>
      <c r="E3" s="117"/>
      <c r="F3" s="117"/>
      <c r="G3" s="117"/>
      <c r="H3" s="117"/>
      <c r="I3" s="117"/>
      <c r="J3" s="117"/>
      <c r="K3" s="117"/>
      <c r="L3" s="117"/>
      <c r="M3" s="117"/>
      <c r="N3" s="117"/>
      <c r="O3" s="297" t="s">
        <v>137</v>
      </c>
      <c r="P3" s="297"/>
      <c r="Q3" s="297"/>
      <c r="R3" s="297"/>
      <c r="S3" s="297"/>
      <c r="T3" s="297"/>
      <c r="U3" s="297"/>
      <c r="V3" s="297"/>
      <c r="W3" s="297"/>
      <c r="X3" s="297"/>
      <c r="Y3" s="297"/>
      <c r="Z3" s="297"/>
      <c r="AA3" s="297"/>
      <c r="AB3" s="118"/>
      <c r="AC3" s="297" t="s">
        <v>137</v>
      </c>
      <c r="AD3" s="297"/>
      <c r="AE3" s="297"/>
      <c r="AF3" s="297"/>
      <c r="AG3" s="297"/>
      <c r="AH3" s="297"/>
      <c r="AI3" s="297"/>
      <c r="AJ3" s="297"/>
      <c r="AK3" s="297"/>
      <c r="AL3" s="297"/>
      <c r="AM3" s="297"/>
      <c r="AN3" s="297"/>
      <c r="AO3" s="297"/>
      <c r="AP3" s="117"/>
      <c r="AQ3" s="297" t="s">
        <v>19</v>
      </c>
      <c r="AR3" s="297"/>
      <c r="AS3" s="297"/>
      <c r="AT3" s="297"/>
      <c r="AU3" s="297"/>
      <c r="AV3" s="297"/>
      <c r="AW3" s="297"/>
      <c r="AX3" s="297"/>
      <c r="AY3" s="297"/>
      <c r="AZ3" s="297"/>
      <c r="BA3" s="297"/>
      <c r="BB3" s="297"/>
      <c r="BC3" s="297"/>
      <c r="BD3" s="117"/>
      <c r="BE3" s="297" t="s">
        <v>138</v>
      </c>
      <c r="BF3" s="297"/>
      <c r="BG3" s="297"/>
      <c r="BH3" s="297"/>
      <c r="BI3" s="297"/>
      <c r="BJ3" s="297"/>
      <c r="BK3" s="297"/>
      <c r="BL3" s="297"/>
      <c r="BM3" s="297"/>
      <c r="BN3" s="297"/>
      <c r="BO3" s="297"/>
      <c r="BP3" s="297"/>
      <c r="BQ3" s="297"/>
      <c r="BR3" s="117"/>
      <c r="BS3" s="297" t="s">
        <v>66</v>
      </c>
      <c r="BT3" s="297"/>
      <c r="BU3" s="297"/>
      <c r="BV3" s="297"/>
      <c r="BW3" s="297"/>
      <c r="BX3" s="297"/>
      <c r="BY3" s="297"/>
      <c r="BZ3" s="297"/>
      <c r="CA3" s="297"/>
      <c r="CB3" s="297"/>
      <c r="CC3" s="297"/>
      <c r="CD3" s="297"/>
      <c r="CE3" s="297"/>
      <c r="CF3" s="117"/>
      <c r="CG3" s="297" t="s">
        <v>65</v>
      </c>
      <c r="CH3" s="297"/>
      <c r="CI3" s="297"/>
      <c r="CJ3" s="297"/>
      <c r="CK3" s="297"/>
      <c r="CL3" s="297"/>
      <c r="CM3" s="297"/>
      <c r="CN3" s="297"/>
      <c r="CO3" s="297"/>
      <c r="CP3" s="297"/>
      <c r="CQ3" s="297"/>
      <c r="CR3" s="297"/>
      <c r="CS3" s="297"/>
      <c r="CT3" s="117"/>
      <c r="CU3" s="297" t="s">
        <v>139</v>
      </c>
      <c r="CV3" s="297"/>
      <c r="CW3" s="297"/>
      <c r="CX3" s="297"/>
      <c r="CY3" s="297"/>
      <c r="CZ3" s="297"/>
      <c r="DA3" s="297"/>
      <c r="DB3" s="297"/>
      <c r="DC3" s="297"/>
      <c r="DD3" s="297"/>
      <c r="DE3" s="297"/>
      <c r="DF3" s="297"/>
      <c r="DG3" s="297"/>
      <c r="DH3" s="117"/>
      <c r="DI3" s="297" t="s">
        <v>20</v>
      </c>
      <c r="DJ3" s="297"/>
      <c r="DK3" s="297"/>
      <c r="DL3" s="297"/>
      <c r="DM3" s="297"/>
      <c r="DN3" s="297"/>
      <c r="DO3" s="297"/>
      <c r="DP3" s="297"/>
      <c r="DQ3" s="297"/>
      <c r="DR3" s="297"/>
      <c r="DS3" s="297"/>
      <c r="DT3" s="297"/>
      <c r="DU3" s="297"/>
      <c r="DV3" s="117"/>
      <c r="DW3" s="297" t="s">
        <v>140</v>
      </c>
      <c r="DX3" s="297"/>
      <c r="DY3" s="297"/>
      <c r="DZ3" s="297"/>
      <c r="EA3" s="297"/>
      <c r="EB3" s="297"/>
      <c r="EC3" s="297"/>
      <c r="ED3" s="297"/>
      <c r="EE3" s="297"/>
      <c r="EF3" s="297"/>
      <c r="EG3" s="297"/>
      <c r="EH3" s="297"/>
      <c r="EI3" s="297"/>
      <c r="EJ3" s="117"/>
      <c r="EK3" s="297" t="s">
        <v>29</v>
      </c>
      <c r="EL3" s="297"/>
      <c r="EM3" s="297"/>
      <c r="EN3" s="297"/>
      <c r="EO3" s="297"/>
      <c r="EP3" s="297"/>
      <c r="EQ3" s="297"/>
      <c r="ER3" s="297"/>
      <c r="ES3" s="297"/>
      <c r="ET3" s="297"/>
      <c r="EU3" s="297"/>
      <c r="EV3" s="297"/>
      <c r="EW3" s="297"/>
      <c r="EX3" s="117"/>
      <c r="EY3" s="297" t="s">
        <v>141</v>
      </c>
      <c r="EZ3" s="297"/>
      <c r="FA3" s="297"/>
      <c r="FB3" s="297"/>
      <c r="FC3" s="297"/>
      <c r="FD3" s="297"/>
      <c r="FE3" s="297"/>
      <c r="FF3" s="297"/>
      <c r="FG3" s="297"/>
      <c r="FH3" s="297"/>
      <c r="FI3" s="297"/>
      <c r="FJ3" s="297"/>
      <c r="FK3" s="297"/>
      <c r="FM3" s="297" t="s">
        <v>142</v>
      </c>
      <c r="FN3" s="297"/>
      <c r="FO3" s="297"/>
      <c r="FP3" s="297"/>
      <c r="FQ3" s="297"/>
      <c r="FR3" s="297"/>
      <c r="FS3" s="297"/>
      <c r="FT3" s="297"/>
      <c r="FU3" s="297"/>
      <c r="FV3" s="297"/>
      <c r="FW3" s="297"/>
      <c r="FX3" s="297"/>
      <c r="FY3" s="297"/>
      <c r="GA3" s="297" t="s">
        <v>147</v>
      </c>
      <c r="GB3" s="297"/>
      <c r="GC3" s="297"/>
      <c r="GD3" s="297"/>
      <c r="GE3" s="297"/>
      <c r="GF3" s="297"/>
      <c r="GG3" s="297"/>
      <c r="GH3" s="297"/>
      <c r="GI3" s="297"/>
      <c r="GJ3" s="297"/>
      <c r="GK3" s="297"/>
      <c r="GL3" s="297"/>
      <c r="GM3" s="297"/>
    </row>
    <row r="4" spans="1:195" s="1" customFormat="1" ht="15.75">
      <c r="B4" s="38"/>
      <c r="C4" s="39"/>
      <c r="D4" s="39"/>
      <c r="E4" s="39"/>
      <c r="F4" s="39"/>
      <c r="G4" s="39"/>
      <c r="H4" s="39"/>
      <c r="I4" s="39"/>
      <c r="J4" s="39"/>
      <c r="K4" s="39"/>
      <c r="L4" s="39"/>
      <c r="M4" s="39"/>
      <c r="N4" s="39"/>
      <c r="O4" s="298" t="s">
        <v>88</v>
      </c>
      <c r="P4" s="298"/>
      <c r="Q4" s="298"/>
      <c r="R4" s="298"/>
      <c r="S4" s="39"/>
      <c r="T4" s="39"/>
      <c r="U4" s="39"/>
      <c r="V4" s="39"/>
      <c r="W4" s="39"/>
      <c r="X4" s="39"/>
      <c r="Y4" s="39"/>
      <c r="Z4" s="39"/>
      <c r="AA4" s="39"/>
      <c r="AB4" s="39"/>
      <c r="AC4" s="298" t="s">
        <v>87</v>
      </c>
      <c r="AD4" s="298"/>
      <c r="AE4" s="298"/>
      <c r="AF4" s="298"/>
      <c r="AG4" s="39"/>
      <c r="AH4" s="39"/>
      <c r="AI4" s="39"/>
      <c r="AJ4" s="39"/>
      <c r="AK4" s="39"/>
      <c r="AL4" s="39"/>
      <c r="AM4" s="39"/>
      <c r="AN4" s="39"/>
      <c r="AO4" s="39"/>
      <c r="AP4" s="39"/>
      <c r="AQ4" s="39"/>
      <c r="AR4" s="38"/>
      <c r="AS4" s="39"/>
      <c r="AT4" s="39"/>
      <c r="AU4" s="39"/>
      <c r="AV4" s="39"/>
      <c r="AW4" s="39"/>
      <c r="AX4" s="39"/>
      <c r="AY4" s="39"/>
      <c r="AZ4" s="39"/>
      <c r="BA4" s="39"/>
      <c r="BB4" s="39"/>
      <c r="BC4" s="39"/>
      <c r="BD4" s="39"/>
      <c r="BE4" s="39"/>
      <c r="BF4" s="38"/>
      <c r="BG4" s="39"/>
      <c r="BH4" s="39"/>
      <c r="BI4" s="39"/>
      <c r="BJ4" s="39"/>
      <c r="BK4" s="39"/>
      <c r="BL4" s="39"/>
      <c r="BM4" s="39"/>
      <c r="BN4" s="39"/>
      <c r="BO4" s="39"/>
      <c r="BP4" s="39"/>
      <c r="BQ4" s="39"/>
      <c r="BR4" s="39"/>
      <c r="BS4" s="39"/>
      <c r="BT4" s="38"/>
      <c r="BU4" s="39"/>
      <c r="BV4" s="39"/>
      <c r="BW4" s="39"/>
      <c r="BX4" s="39"/>
      <c r="BY4" s="39"/>
      <c r="BZ4" s="39"/>
      <c r="CA4" s="39"/>
      <c r="CB4" s="39"/>
      <c r="CC4" s="39"/>
      <c r="CD4" s="39"/>
      <c r="CE4" s="39"/>
      <c r="CF4" s="39"/>
      <c r="CG4" s="39"/>
      <c r="CH4" s="38"/>
      <c r="CI4" s="39"/>
      <c r="CJ4" s="39"/>
      <c r="CK4" s="39"/>
      <c r="CL4" s="39"/>
      <c r="CM4" s="39"/>
      <c r="CN4" s="39"/>
      <c r="CO4" s="39"/>
      <c r="CP4" s="39"/>
      <c r="CQ4" s="39"/>
      <c r="CR4" s="39"/>
      <c r="CS4" s="39"/>
      <c r="CT4" s="39"/>
      <c r="CU4" s="39"/>
      <c r="CV4" s="38"/>
      <c r="CW4" s="39"/>
      <c r="CX4" s="39"/>
      <c r="CY4" s="39"/>
      <c r="CZ4" s="39"/>
      <c r="DA4" s="39"/>
      <c r="DB4" s="39"/>
      <c r="DC4" s="39"/>
      <c r="DD4" s="39"/>
      <c r="DE4" s="39"/>
      <c r="DF4" s="39"/>
      <c r="DG4" s="39"/>
      <c r="DH4" s="39"/>
      <c r="DI4" s="39"/>
      <c r="DJ4" s="38"/>
      <c r="DK4" s="39"/>
      <c r="DL4" s="39"/>
      <c r="DM4" s="39"/>
      <c r="DN4" s="39"/>
      <c r="DO4" s="39"/>
      <c r="DP4" s="39"/>
      <c r="DQ4" s="39"/>
      <c r="DR4" s="39"/>
      <c r="DS4" s="39"/>
      <c r="DT4" s="39"/>
      <c r="DU4" s="39"/>
      <c r="DV4" s="39"/>
      <c r="DW4" s="39"/>
      <c r="DX4" s="38"/>
      <c r="DY4" s="39"/>
      <c r="DZ4" s="39"/>
      <c r="EA4" s="39"/>
      <c r="EB4" s="39"/>
      <c r="EC4" s="39"/>
      <c r="ED4" s="39"/>
      <c r="EE4" s="39"/>
      <c r="EF4" s="39"/>
      <c r="EG4" s="39"/>
      <c r="EH4" s="39"/>
      <c r="EI4" s="39"/>
      <c r="EJ4" s="39"/>
      <c r="EK4" s="39"/>
      <c r="EL4" s="38"/>
      <c r="EM4" s="39"/>
      <c r="EN4" s="39"/>
      <c r="EO4" s="39"/>
      <c r="EP4" s="39"/>
      <c r="EQ4" s="39"/>
      <c r="ER4" s="39"/>
      <c r="ES4" s="39"/>
      <c r="ET4" s="39"/>
      <c r="EU4" s="39"/>
      <c r="EV4" s="39"/>
      <c r="EW4" s="39"/>
      <c r="EX4" s="39"/>
      <c r="EY4" s="39"/>
      <c r="EZ4" s="38"/>
      <c r="FA4" s="39"/>
      <c r="FB4" s="39"/>
      <c r="FC4" s="39"/>
      <c r="FD4" s="39"/>
      <c r="FE4" s="39"/>
      <c r="FF4" s="39"/>
      <c r="FG4" s="39"/>
      <c r="FH4" s="39"/>
      <c r="FI4" s="39"/>
      <c r="FJ4" s="39"/>
      <c r="FK4" s="39"/>
      <c r="FM4" s="39"/>
      <c r="FN4" s="38"/>
      <c r="FO4" s="39"/>
      <c r="FP4" s="39"/>
      <c r="FQ4" s="39"/>
      <c r="FR4" s="39"/>
      <c r="FS4" s="39"/>
      <c r="FT4" s="39"/>
      <c r="FU4" s="39"/>
      <c r="FV4" s="39"/>
      <c r="FW4" s="39"/>
      <c r="FX4" s="39"/>
      <c r="FY4" s="39"/>
      <c r="GA4" s="39"/>
      <c r="GB4" s="38"/>
      <c r="GC4" s="39"/>
      <c r="GD4" s="39"/>
      <c r="GE4" s="39"/>
      <c r="GF4" s="39"/>
      <c r="GG4" s="39"/>
      <c r="GH4" s="39"/>
      <c r="GI4" s="39"/>
      <c r="GJ4" s="39"/>
      <c r="GK4" s="39"/>
      <c r="GL4" s="39"/>
      <c r="GM4" s="39"/>
    </row>
    <row r="5" spans="1:195" s="65" customFormat="1" ht="45" customHeight="1" thickBot="1">
      <c r="A5" s="22" t="s">
        <v>32</v>
      </c>
      <c r="B5" s="23" t="s">
        <v>31</v>
      </c>
      <c r="C5" s="23" t="s">
        <v>8</v>
      </c>
      <c r="D5" s="23" t="s">
        <v>10</v>
      </c>
      <c r="E5" s="23" t="s">
        <v>9</v>
      </c>
      <c r="F5" s="23" t="s">
        <v>99</v>
      </c>
      <c r="G5" s="27" t="s">
        <v>98</v>
      </c>
      <c r="H5" s="23" t="s">
        <v>52</v>
      </c>
      <c r="I5" s="23" t="s">
        <v>53</v>
      </c>
      <c r="J5" s="23" t="s">
        <v>27</v>
      </c>
      <c r="K5" s="23" t="s">
        <v>54</v>
      </c>
      <c r="L5" s="23" t="s">
        <v>55</v>
      </c>
      <c r="M5" s="24" t="s">
        <v>34</v>
      </c>
      <c r="N5" s="66"/>
      <c r="O5" s="22" t="s">
        <v>32</v>
      </c>
      <c r="P5" s="23" t="s">
        <v>31</v>
      </c>
      <c r="Q5" s="23" t="s">
        <v>8</v>
      </c>
      <c r="R5" s="23" t="s">
        <v>10</v>
      </c>
      <c r="S5" s="23" t="s">
        <v>9</v>
      </c>
      <c r="T5" s="28" t="s">
        <v>99</v>
      </c>
      <c r="U5" s="28" t="s">
        <v>98</v>
      </c>
      <c r="V5" s="23" t="s">
        <v>52</v>
      </c>
      <c r="W5" s="23" t="s">
        <v>53</v>
      </c>
      <c r="X5" s="23" t="s">
        <v>27</v>
      </c>
      <c r="Y5" s="23" t="s">
        <v>54</v>
      </c>
      <c r="Z5" s="23" t="s">
        <v>55</v>
      </c>
      <c r="AA5" s="24" t="s">
        <v>34</v>
      </c>
      <c r="AB5" s="29"/>
      <c r="AC5" s="22" t="s">
        <v>32</v>
      </c>
      <c r="AD5" s="23" t="s">
        <v>31</v>
      </c>
      <c r="AE5" s="23" t="s">
        <v>8</v>
      </c>
      <c r="AF5" s="23" t="s">
        <v>10</v>
      </c>
      <c r="AG5" s="23" t="s">
        <v>9</v>
      </c>
      <c r="AH5" s="28" t="s">
        <v>99</v>
      </c>
      <c r="AI5" s="28" t="s">
        <v>98</v>
      </c>
      <c r="AJ5" s="23" t="s">
        <v>52</v>
      </c>
      <c r="AK5" s="23" t="s">
        <v>53</v>
      </c>
      <c r="AL5" s="23" t="s">
        <v>27</v>
      </c>
      <c r="AM5" s="23" t="s">
        <v>54</v>
      </c>
      <c r="AN5" s="23" t="s">
        <v>55</v>
      </c>
      <c r="AO5" s="24" t="s">
        <v>34</v>
      </c>
      <c r="AP5" s="66"/>
      <c r="AQ5" s="22" t="s">
        <v>32</v>
      </c>
      <c r="AR5" s="23" t="s">
        <v>31</v>
      </c>
      <c r="AS5" s="23" t="s">
        <v>8</v>
      </c>
      <c r="AT5" s="23" t="s">
        <v>10</v>
      </c>
      <c r="AU5" s="23" t="s">
        <v>9</v>
      </c>
      <c r="AV5" s="23" t="s">
        <v>99</v>
      </c>
      <c r="AW5" s="23" t="s">
        <v>98</v>
      </c>
      <c r="AX5" s="23" t="s">
        <v>52</v>
      </c>
      <c r="AY5" s="23" t="s">
        <v>53</v>
      </c>
      <c r="AZ5" s="23" t="s">
        <v>27</v>
      </c>
      <c r="BA5" s="23" t="s">
        <v>54</v>
      </c>
      <c r="BB5" s="23" t="s">
        <v>55</v>
      </c>
      <c r="BC5" s="24" t="s">
        <v>34</v>
      </c>
      <c r="BD5" s="66"/>
      <c r="BE5" s="22" t="s">
        <v>32</v>
      </c>
      <c r="BF5" s="23" t="s">
        <v>31</v>
      </c>
      <c r="BG5" s="23" t="s">
        <v>8</v>
      </c>
      <c r="BH5" s="23" t="s">
        <v>10</v>
      </c>
      <c r="BI5" s="23" t="s">
        <v>9</v>
      </c>
      <c r="BJ5" s="23" t="s">
        <v>99</v>
      </c>
      <c r="BK5" s="23" t="s">
        <v>98</v>
      </c>
      <c r="BL5" s="23" t="s">
        <v>52</v>
      </c>
      <c r="BM5" s="23" t="s">
        <v>53</v>
      </c>
      <c r="BN5" s="23" t="s">
        <v>27</v>
      </c>
      <c r="BO5" s="23" t="s">
        <v>54</v>
      </c>
      <c r="BP5" s="23" t="s">
        <v>55</v>
      </c>
      <c r="BQ5" s="24" t="s">
        <v>34</v>
      </c>
      <c r="BR5" s="66"/>
      <c r="BS5" s="22" t="s">
        <v>32</v>
      </c>
      <c r="BT5" s="23" t="s">
        <v>31</v>
      </c>
      <c r="BU5" s="23" t="s">
        <v>8</v>
      </c>
      <c r="BV5" s="23" t="s">
        <v>10</v>
      </c>
      <c r="BW5" s="23" t="s">
        <v>9</v>
      </c>
      <c r="BX5" s="23" t="s">
        <v>99</v>
      </c>
      <c r="BY5" s="23" t="s">
        <v>98</v>
      </c>
      <c r="BZ5" s="23" t="s">
        <v>52</v>
      </c>
      <c r="CA5" s="23" t="s">
        <v>53</v>
      </c>
      <c r="CB5" s="23" t="s">
        <v>27</v>
      </c>
      <c r="CC5" s="23" t="s">
        <v>54</v>
      </c>
      <c r="CD5" s="23" t="s">
        <v>55</v>
      </c>
      <c r="CE5" s="24" t="s">
        <v>34</v>
      </c>
      <c r="CF5" s="66"/>
      <c r="CG5" s="22" t="s">
        <v>32</v>
      </c>
      <c r="CH5" s="23" t="s">
        <v>31</v>
      </c>
      <c r="CI5" s="23" t="s">
        <v>8</v>
      </c>
      <c r="CJ5" s="23" t="s">
        <v>10</v>
      </c>
      <c r="CK5" s="23" t="s">
        <v>9</v>
      </c>
      <c r="CL5" s="23" t="s">
        <v>99</v>
      </c>
      <c r="CM5" s="23" t="s">
        <v>98</v>
      </c>
      <c r="CN5" s="23" t="s">
        <v>52</v>
      </c>
      <c r="CO5" s="23" t="s">
        <v>53</v>
      </c>
      <c r="CP5" s="23" t="s">
        <v>27</v>
      </c>
      <c r="CQ5" s="23" t="s">
        <v>54</v>
      </c>
      <c r="CR5" s="23" t="s">
        <v>55</v>
      </c>
      <c r="CS5" s="24" t="s">
        <v>34</v>
      </c>
      <c r="CT5" s="66"/>
      <c r="CU5" s="22" t="s">
        <v>32</v>
      </c>
      <c r="CV5" s="23" t="s">
        <v>31</v>
      </c>
      <c r="CW5" s="23" t="s">
        <v>8</v>
      </c>
      <c r="CX5" s="23" t="s">
        <v>10</v>
      </c>
      <c r="CY5" s="23" t="s">
        <v>9</v>
      </c>
      <c r="CZ5" s="23" t="s">
        <v>99</v>
      </c>
      <c r="DA5" s="23" t="s">
        <v>98</v>
      </c>
      <c r="DB5" s="23" t="s">
        <v>52</v>
      </c>
      <c r="DC5" s="23" t="s">
        <v>53</v>
      </c>
      <c r="DD5" s="23" t="s">
        <v>27</v>
      </c>
      <c r="DE5" s="23" t="s">
        <v>54</v>
      </c>
      <c r="DF5" s="23" t="s">
        <v>55</v>
      </c>
      <c r="DG5" s="24" t="s">
        <v>34</v>
      </c>
      <c r="DH5" s="66"/>
      <c r="DI5" s="22" t="s">
        <v>32</v>
      </c>
      <c r="DJ5" s="23" t="s">
        <v>31</v>
      </c>
      <c r="DK5" s="23" t="s">
        <v>8</v>
      </c>
      <c r="DL5" s="23" t="s">
        <v>10</v>
      </c>
      <c r="DM5" s="23" t="s">
        <v>9</v>
      </c>
      <c r="DN5" s="23" t="s">
        <v>99</v>
      </c>
      <c r="DO5" s="23" t="s">
        <v>98</v>
      </c>
      <c r="DP5" s="23" t="s">
        <v>52</v>
      </c>
      <c r="DQ5" s="23" t="s">
        <v>53</v>
      </c>
      <c r="DR5" s="23" t="s">
        <v>27</v>
      </c>
      <c r="DS5" s="23" t="s">
        <v>54</v>
      </c>
      <c r="DT5" s="23" t="s">
        <v>55</v>
      </c>
      <c r="DU5" s="24" t="s">
        <v>34</v>
      </c>
      <c r="DV5" s="66"/>
      <c r="DW5" s="22" t="s">
        <v>32</v>
      </c>
      <c r="DX5" s="23" t="s">
        <v>31</v>
      </c>
      <c r="DY5" s="23" t="s">
        <v>8</v>
      </c>
      <c r="DZ5" s="23" t="s">
        <v>10</v>
      </c>
      <c r="EA5" s="23" t="s">
        <v>9</v>
      </c>
      <c r="EB5" s="23" t="s">
        <v>99</v>
      </c>
      <c r="EC5" s="23" t="s">
        <v>98</v>
      </c>
      <c r="ED5" s="23" t="s">
        <v>52</v>
      </c>
      <c r="EE5" s="23" t="s">
        <v>53</v>
      </c>
      <c r="EF5" s="23" t="s">
        <v>27</v>
      </c>
      <c r="EG5" s="23" t="s">
        <v>54</v>
      </c>
      <c r="EH5" s="23" t="s">
        <v>55</v>
      </c>
      <c r="EI5" s="24" t="s">
        <v>34</v>
      </c>
      <c r="EJ5" s="66"/>
      <c r="EK5" s="22" t="s">
        <v>32</v>
      </c>
      <c r="EL5" s="23" t="s">
        <v>31</v>
      </c>
      <c r="EM5" s="23" t="s">
        <v>8</v>
      </c>
      <c r="EN5" s="23" t="s">
        <v>10</v>
      </c>
      <c r="EO5" s="23" t="s">
        <v>9</v>
      </c>
      <c r="EP5" s="23" t="s">
        <v>99</v>
      </c>
      <c r="EQ5" s="23" t="s">
        <v>98</v>
      </c>
      <c r="ER5" s="23" t="s">
        <v>52</v>
      </c>
      <c r="ES5" s="23" t="s">
        <v>53</v>
      </c>
      <c r="ET5" s="23" t="s">
        <v>27</v>
      </c>
      <c r="EU5" s="23" t="s">
        <v>54</v>
      </c>
      <c r="EV5" s="23" t="s">
        <v>55</v>
      </c>
      <c r="EW5" s="24" t="s">
        <v>34</v>
      </c>
      <c r="EX5" s="66"/>
      <c r="EY5" s="22" t="s">
        <v>32</v>
      </c>
      <c r="EZ5" s="23" t="s">
        <v>31</v>
      </c>
      <c r="FA5" s="23" t="s">
        <v>8</v>
      </c>
      <c r="FB5" s="23" t="s">
        <v>10</v>
      </c>
      <c r="FC5" s="23" t="s">
        <v>9</v>
      </c>
      <c r="FD5" s="23" t="s">
        <v>99</v>
      </c>
      <c r="FE5" s="23" t="s">
        <v>98</v>
      </c>
      <c r="FF5" s="23" t="s">
        <v>52</v>
      </c>
      <c r="FG5" s="23" t="s">
        <v>53</v>
      </c>
      <c r="FH5" s="23" t="s">
        <v>27</v>
      </c>
      <c r="FI5" s="23" t="s">
        <v>54</v>
      </c>
      <c r="FJ5" s="23" t="s">
        <v>55</v>
      </c>
      <c r="FK5" s="24" t="s">
        <v>34</v>
      </c>
      <c r="FM5" s="22" t="s">
        <v>32</v>
      </c>
      <c r="FN5" s="23" t="s">
        <v>31</v>
      </c>
      <c r="FO5" s="23" t="s">
        <v>8</v>
      </c>
      <c r="FP5" s="23" t="s">
        <v>10</v>
      </c>
      <c r="FQ5" s="23" t="s">
        <v>9</v>
      </c>
      <c r="FR5" s="23" t="s">
        <v>99</v>
      </c>
      <c r="FS5" s="23" t="s">
        <v>98</v>
      </c>
      <c r="FT5" s="23" t="s">
        <v>52</v>
      </c>
      <c r="FU5" s="23" t="s">
        <v>53</v>
      </c>
      <c r="FV5" s="23" t="s">
        <v>27</v>
      </c>
      <c r="FW5" s="23" t="s">
        <v>54</v>
      </c>
      <c r="FX5" s="23" t="s">
        <v>55</v>
      </c>
      <c r="FY5" s="24" t="s">
        <v>34</v>
      </c>
      <c r="GA5" s="22" t="s">
        <v>32</v>
      </c>
      <c r="GB5" s="23" t="s">
        <v>31</v>
      </c>
      <c r="GC5" s="23" t="s">
        <v>8</v>
      </c>
      <c r="GD5" s="23" t="s">
        <v>10</v>
      </c>
      <c r="GE5" s="23" t="s">
        <v>9</v>
      </c>
      <c r="GF5" s="23" t="s">
        <v>99</v>
      </c>
      <c r="GG5" s="23" t="s">
        <v>98</v>
      </c>
      <c r="GH5" s="23" t="s">
        <v>52</v>
      </c>
      <c r="GI5" s="23" t="s">
        <v>53</v>
      </c>
      <c r="GJ5" s="23" t="s">
        <v>27</v>
      </c>
      <c r="GK5" s="23" t="s">
        <v>54</v>
      </c>
      <c r="GL5" s="23" t="s">
        <v>55</v>
      </c>
      <c r="GM5" s="24" t="s">
        <v>34</v>
      </c>
    </row>
    <row r="6" spans="1:195" s="18" customFormat="1" ht="15" customHeight="1" thickTop="1">
      <c r="A6" s="78">
        <v>1993</v>
      </c>
      <c r="B6" s="79" t="s">
        <v>36</v>
      </c>
      <c r="C6" s="15">
        <f>K6/H6</f>
        <v>0.8594345421020283</v>
      </c>
      <c r="D6" s="15">
        <f>K6/J6</f>
        <v>0.94774298495323306</v>
      </c>
      <c r="E6" s="15">
        <f>J6/H6</f>
        <v>0.90682237246465891</v>
      </c>
      <c r="F6" s="16"/>
      <c r="G6" s="33"/>
      <c r="H6" s="16">
        <v>16270</v>
      </c>
      <c r="I6" s="16">
        <f t="shared" ref="I6:I17" si="0">H6-J6</f>
        <v>1516</v>
      </c>
      <c r="J6" s="16">
        <v>14754</v>
      </c>
      <c r="K6" s="16">
        <v>13983</v>
      </c>
      <c r="L6" s="16">
        <f t="shared" ref="L6:L17" si="1">J6-K6</f>
        <v>771</v>
      </c>
      <c r="M6" s="16"/>
      <c r="N6" s="16"/>
      <c r="O6" s="78"/>
      <c r="P6" s="79"/>
      <c r="Q6" s="41"/>
      <c r="R6" s="41"/>
      <c r="S6" s="41"/>
      <c r="T6" s="16"/>
      <c r="U6" s="16"/>
      <c r="V6" s="16"/>
      <c r="W6" s="16"/>
      <c r="X6" s="16"/>
      <c r="Y6" s="16"/>
      <c r="Z6" s="16"/>
      <c r="AA6" s="16"/>
      <c r="AB6" s="16"/>
      <c r="AC6" s="78"/>
      <c r="AD6" s="79"/>
      <c r="AE6" s="41"/>
      <c r="AF6" s="41"/>
      <c r="AG6" s="41"/>
      <c r="AH6" s="41"/>
      <c r="AI6" s="41"/>
      <c r="AJ6" s="16"/>
      <c r="AK6" s="16"/>
      <c r="AL6" s="16"/>
      <c r="AM6" s="16"/>
      <c r="AN6" s="16"/>
      <c r="AO6" s="16"/>
      <c r="AP6" s="16"/>
      <c r="AQ6" s="78"/>
      <c r="AR6" s="79"/>
      <c r="AS6" s="41"/>
      <c r="AT6" s="41"/>
      <c r="AU6" s="41"/>
      <c r="AV6" s="16"/>
      <c r="AW6" s="16"/>
      <c r="AX6" s="16"/>
      <c r="AY6" s="16"/>
      <c r="AZ6" s="16"/>
      <c r="BA6" s="16"/>
      <c r="BB6" s="16"/>
      <c r="BC6" s="16"/>
      <c r="BD6" s="16"/>
      <c r="BE6" s="78"/>
      <c r="BF6" s="79"/>
      <c r="BG6" s="41"/>
      <c r="BH6" s="41"/>
      <c r="BI6" s="41"/>
      <c r="BJ6" s="16"/>
      <c r="BK6" s="16"/>
      <c r="BL6" s="16"/>
      <c r="BM6" s="16"/>
      <c r="BN6" s="16"/>
      <c r="BO6" s="16"/>
      <c r="BP6" s="16"/>
      <c r="BQ6" s="16"/>
      <c r="BR6" s="16"/>
      <c r="BS6" s="78"/>
      <c r="BT6" s="79"/>
      <c r="BU6" s="41"/>
      <c r="BV6" s="41"/>
      <c r="BW6" s="41"/>
      <c r="BX6" s="16"/>
      <c r="BY6" s="16"/>
      <c r="BZ6" s="16"/>
      <c r="CA6" s="16"/>
      <c r="CB6" s="16"/>
      <c r="CC6" s="16"/>
      <c r="CD6" s="16"/>
      <c r="CE6" s="16"/>
      <c r="CF6" s="16"/>
      <c r="CG6" s="78"/>
      <c r="CH6" s="79"/>
      <c r="CI6" s="41"/>
      <c r="CJ6" s="41"/>
      <c r="CK6" s="41"/>
      <c r="CL6" s="16"/>
      <c r="CM6" s="16"/>
      <c r="CN6" s="16"/>
      <c r="CO6" s="16"/>
      <c r="CP6" s="16"/>
      <c r="CQ6" s="16"/>
      <c r="CR6" s="16"/>
      <c r="CS6" s="16"/>
      <c r="CT6" s="16"/>
      <c r="CU6" s="78"/>
      <c r="CV6" s="79"/>
      <c r="CW6" s="41"/>
      <c r="CX6" s="41"/>
      <c r="CY6" s="41"/>
      <c r="CZ6" s="16"/>
      <c r="DA6" s="16"/>
      <c r="DB6" s="16"/>
      <c r="DC6" s="16"/>
      <c r="DD6" s="16"/>
      <c r="DE6" s="16"/>
      <c r="DF6" s="16"/>
      <c r="DG6" s="16"/>
      <c r="DH6" s="16"/>
      <c r="DI6" s="78"/>
      <c r="DJ6" s="79"/>
      <c r="DK6" s="41"/>
      <c r="DL6" s="41"/>
      <c r="DM6" s="41"/>
      <c r="DN6" s="16"/>
      <c r="DO6" s="16"/>
      <c r="DP6" s="16"/>
      <c r="DQ6" s="16"/>
      <c r="DR6" s="16"/>
      <c r="DS6" s="16"/>
      <c r="DT6" s="16"/>
      <c r="DU6" s="16"/>
      <c r="DV6" s="16"/>
      <c r="DW6" s="78"/>
      <c r="DX6" s="79"/>
      <c r="DY6" s="41"/>
      <c r="DZ6" s="41"/>
      <c r="EA6" s="41"/>
      <c r="EB6" s="16"/>
      <c r="EC6" s="16"/>
      <c r="ED6" s="16"/>
      <c r="EE6" s="16"/>
      <c r="EF6" s="16"/>
      <c r="EG6" s="16"/>
      <c r="EH6" s="16"/>
      <c r="EI6" s="16"/>
      <c r="EJ6" s="16"/>
      <c r="EK6" s="78"/>
      <c r="EL6" s="79"/>
      <c r="EM6" s="16"/>
      <c r="EN6" s="16"/>
      <c r="EO6" s="16"/>
      <c r="EP6" s="16"/>
      <c r="EQ6" s="16"/>
      <c r="ER6" s="16"/>
      <c r="ES6" s="16"/>
      <c r="ET6" s="16"/>
      <c r="EU6" s="16"/>
      <c r="EV6" s="16"/>
      <c r="EW6" s="16"/>
      <c r="EX6" s="16"/>
      <c r="EY6" s="78"/>
      <c r="EZ6" s="79"/>
      <c r="FA6" s="16"/>
      <c r="FB6" s="16"/>
      <c r="FC6" s="16"/>
      <c r="FD6" s="16"/>
      <c r="FE6" s="16"/>
      <c r="FF6" s="16"/>
      <c r="FG6" s="16"/>
      <c r="FH6" s="16"/>
      <c r="FI6" s="16"/>
      <c r="FJ6" s="16"/>
      <c r="FK6" s="16"/>
      <c r="FM6" s="78"/>
      <c r="FN6" s="79"/>
      <c r="FO6" s="16"/>
      <c r="FP6" s="16"/>
      <c r="FQ6" s="16"/>
      <c r="FR6" s="16"/>
      <c r="FS6" s="16"/>
      <c r="FT6" s="16"/>
      <c r="FU6" s="16"/>
      <c r="FV6" s="16"/>
      <c r="FW6" s="16"/>
      <c r="FX6" s="16"/>
      <c r="FY6" s="16"/>
      <c r="GA6" s="78"/>
      <c r="GB6" s="79"/>
      <c r="GC6" s="16"/>
      <c r="GD6" s="16"/>
      <c r="GE6" s="16"/>
      <c r="GF6" s="16"/>
      <c r="GG6" s="16"/>
      <c r="GH6" s="16"/>
      <c r="GI6" s="16"/>
      <c r="GJ6" s="16"/>
      <c r="GK6" s="16"/>
      <c r="GL6" s="16"/>
      <c r="GM6" s="16"/>
    </row>
    <row r="7" spans="1:195" s="18" customFormat="1" ht="15" customHeight="1">
      <c r="A7" s="80">
        <v>1993</v>
      </c>
      <c r="B7" s="81" t="s">
        <v>37</v>
      </c>
      <c r="C7" s="15">
        <f t="shared" ref="C7:C70" si="2">K7/H7</f>
        <v>0.80690151911995811</v>
      </c>
      <c r="D7" s="15">
        <f t="shared" ref="D7:D70" si="3">K7/J7</f>
        <v>0.9260539565642143</v>
      </c>
      <c r="E7" s="15">
        <f t="shared" ref="E7:E70" si="4">J7/H7</f>
        <v>0.87133315872184391</v>
      </c>
      <c r="F7" s="16"/>
      <c r="G7" s="33"/>
      <c r="H7" s="16">
        <v>15272</v>
      </c>
      <c r="I7" s="16">
        <f t="shared" si="0"/>
        <v>1965</v>
      </c>
      <c r="J7" s="16">
        <v>13307</v>
      </c>
      <c r="K7" s="16">
        <v>12323</v>
      </c>
      <c r="L7" s="16">
        <f t="shared" si="1"/>
        <v>984</v>
      </c>
      <c r="M7" s="16"/>
      <c r="N7" s="16"/>
      <c r="O7" s="80"/>
      <c r="P7" s="81"/>
      <c r="Q7" s="41"/>
      <c r="R7" s="41"/>
      <c r="S7" s="41"/>
      <c r="T7" s="16"/>
      <c r="U7" s="16"/>
      <c r="V7" s="16"/>
      <c r="W7" s="16"/>
      <c r="X7" s="16"/>
      <c r="Y7" s="16"/>
      <c r="Z7" s="16"/>
      <c r="AA7" s="16"/>
      <c r="AB7" s="16"/>
      <c r="AC7" s="80"/>
      <c r="AD7" s="81"/>
      <c r="AE7" s="41"/>
      <c r="AF7" s="41"/>
      <c r="AG7" s="41"/>
      <c r="AH7" s="41"/>
      <c r="AI7" s="41"/>
      <c r="AJ7" s="16"/>
      <c r="AK7" s="16"/>
      <c r="AL7" s="16"/>
      <c r="AM7" s="16"/>
      <c r="AN7" s="16"/>
      <c r="AO7" s="16"/>
      <c r="AP7" s="16"/>
      <c r="AQ7" s="80"/>
      <c r="AR7" s="81"/>
      <c r="AS7" s="41"/>
      <c r="AT7" s="41"/>
      <c r="AU7" s="41"/>
      <c r="AV7" s="16"/>
      <c r="AW7" s="16"/>
      <c r="AX7" s="16"/>
      <c r="AY7" s="16"/>
      <c r="AZ7" s="16"/>
      <c r="BA7" s="16"/>
      <c r="BB7" s="16"/>
      <c r="BC7" s="16"/>
      <c r="BD7" s="16"/>
      <c r="BE7" s="80"/>
      <c r="BF7" s="81"/>
      <c r="BG7" s="41"/>
      <c r="BH7" s="41"/>
      <c r="BI7" s="41"/>
      <c r="BJ7" s="16"/>
      <c r="BK7" s="16"/>
      <c r="BL7" s="16"/>
      <c r="BM7" s="16"/>
      <c r="BN7" s="16"/>
      <c r="BO7" s="16"/>
      <c r="BP7" s="16"/>
      <c r="BQ7" s="16"/>
      <c r="BR7" s="16"/>
      <c r="BS7" s="80"/>
      <c r="BT7" s="81"/>
      <c r="BU7" s="41"/>
      <c r="BV7" s="41"/>
      <c r="BW7" s="41"/>
      <c r="BX7" s="16"/>
      <c r="BY7" s="16"/>
      <c r="BZ7" s="16"/>
      <c r="CA7" s="16"/>
      <c r="CB7" s="16"/>
      <c r="CC7" s="16"/>
      <c r="CD7" s="16"/>
      <c r="CE7" s="16"/>
      <c r="CF7" s="16"/>
      <c r="CG7" s="80"/>
      <c r="CH7" s="81"/>
      <c r="CI7" s="41"/>
      <c r="CJ7" s="41"/>
      <c r="CK7" s="41"/>
      <c r="CL7" s="16"/>
      <c r="CM7" s="16"/>
      <c r="CN7" s="16"/>
      <c r="CO7" s="16"/>
      <c r="CP7" s="16"/>
      <c r="CQ7" s="16"/>
      <c r="CR7" s="16"/>
      <c r="CS7" s="16"/>
      <c r="CT7" s="16"/>
      <c r="CU7" s="80"/>
      <c r="CV7" s="81"/>
      <c r="CW7" s="41"/>
      <c r="CX7" s="41"/>
      <c r="CY7" s="41"/>
      <c r="CZ7" s="16"/>
      <c r="DA7" s="16"/>
      <c r="DB7" s="16"/>
      <c r="DC7" s="16"/>
      <c r="DD7" s="16"/>
      <c r="DE7" s="16"/>
      <c r="DF7" s="16"/>
      <c r="DG7" s="16"/>
      <c r="DH7" s="16"/>
      <c r="DI7" s="80"/>
      <c r="DJ7" s="81"/>
      <c r="DK7" s="41"/>
      <c r="DL7" s="41"/>
      <c r="DM7" s="41"/>
      <c r="DN7" s="16"/>
      <c r="DO7" s="16"/>
      <c r="DP7" s="16"/>
      <c r="DQ7" s="16"/>
      <c r="DR7" s="16"/>
      <c r="DS7" s="16"/>
      <c r="DT7" s="16"/>
      <c r="DU7" s="16"/>
      <c r="DV7" s="16"/>
      <c r="DW7" s="80"/>
      <c r="DX7" s="81"/>
      <c r="DY7" s="41"/>
      <c r="DZ7" s="41"/>
      <c r="EA7" s="41"/>
      <c r="EB7" s="16"/>
      <c r="EC7" s="16"/>
      <c r="ED7" s="16"/>
      <c r="EE7" s="16"/>
      <c r="EF7" s="16"/>
      <c r="EG7" s="16"/>
      <c r="EH7" s="16"/>
      <c r="EI7" s="16"/>
      <c r="EJ7" s="16"/>
      <c r="EK7" s="80"/>
      <c r="EL7" s="81"/>
      <c r="EM7" s="16"/>
      <c r="EN7" s="16"/>
      <c r="EO7" s="16"/>
      <c r="EP7" s="16"/>
      <c r="EQ7" s="16"/>
      <c r="ER7" s="16"/>
      <c r="ES7" s="16"/>
      <c r="ET7" s="16"/>
      <c r="EU7" s="16"/>
      <c r="EV7" s="16"/>
      <c r="EW7" s="16"/>
      <c r="EX7" s="16"/>
      <c r="EY7" s="80"/>
      <c r="EZ7" s="81"/>
      <c r="FA7" s="16"/>
      <c r="FB7" s="16"/>
      <c r="FC7" s="16"/>
      <c r="FD7" s="16"/>
      <c r="FE7" s="16"/>
      <c r="FF7" s="16"/>
      <c r="FG7" s="16"/>
      <c r="FH7" s="16"/>
      <c r="FI7" s="16"/>
      <c r="FJ7" s="16"/>
      <c r="FK7" s="16"/>
      <c r="FM7" s="80"/>
      <c r="FN7" s="81"/>
      <c r="FO7" s="16"/>
      <c r="FP7" s="16"/>
      <c r="FQ7" s="16"/>
      <c r="FR7" s="16"/>
      <c r="FS7" s="16"/>
      <c r="FT7" s="16"/>
      <c r="FU7" s="16"/>
      <c r="FV7" s="16"/>
      <c r="FW7" s="16"/>
      <c r="FX7" s="16"/>
      <c r="FY7" s="16"/>
      <c r="GA7" s="80"/>
      <c r="GB7" s="81"/>
      <c r="GC7" s="16"/>
      <c r="GD7" s="16"/>
      <c r="GE7" s="16"/>
      <c r="GF7" s="16"/>
      <c r="GG7" s="16"/>
      <c r="GH7" s="16"/>
      <c r="GI7" s="16"/>
      <c r="GJ7" s="16"/>
      <c r="GK7" s="16"/>
      <c r="GL7" s="16"/>
      <c r="GM7" s="16"/>
    </row>
    <row r="8" spans="1:195" s="18" customFormat="1" ht="15" customHeight="1">
      <c r="A8" s="78">
        <v>1993</v>
      </c>
      <c r="B8" s="79" t="s">
        <v>38</v>
      </c>
      <c r="C8" s="15">
        <f t="shared" si="2"/>
        <v>0.80901887671871364</v>
      </c>
      <c r="D8" s="15">
        <f t="shared" si="3"/>
        <v>0.94526889040163375</v>
      </c>
      <c r="E8" s="15">
        <f t="shared" si="4"/>
        <v>0.85586110463761356</v>
      </c>
      <c r="F8" s="16"/>
      <c r="G8" s="33"/>
      <c r="H8" s="16">
        <v>17164</v>
      </c>
      <c r="I8" s="16">
        <f t="shared" si="0"/>
        <v>2474</v>
      </c>
      <c r="J8" s="16">
        <v>14690</v>
      </c>
      <c r="K8" s="16">
        <v>13886</v>
      </c>
      <c r="L8" s="16">
        <f t="shared" si="1"/>
        <v>804</v>
      </c>
      <c r="M8" s="16"/>
      <c r="N8" s="16"/>
      <c r="O8" s="78"/>
      <c r="P8" s="79"/>
      <c r="Q8" s="41"/>
      <c r="R8" s="41"/>
      <c r="S8" s="41"/>
      <c r="T8" s="16"/>
      <c r="U8" s="16"/>
      <c r="V8" s="16"/>
      <c r="W8" s="16"/>
      <c r="X8" s="16"/>
      <c r="Y8" s="16"/>
      <c r="Z8" s="16"/>
      <c r="AA8" s="16"/>
      <c r="AB8" s="16"/>
      <c r="AC8" s="78"/>
      <c r="AD8" s="79"/>
      <c r="AE8" s="41"/>
      <c r="AF8" s="41"/>
      <c r="AG8" s="41"/>
      <c r="AH8" s="41"/>
      <c r="AI8" s="41"/>
      <c r="AJ8" s="16"/>
      <c r="AK8" s="16"/>
      <c r="AL8" s="16"/>
      <c r="AM8" s="16"/>
      <c r="AN8" s="16"/>
      <c r="AO8" s="16"/>
      <c r="AP8" s="16"/>
      <c r="AQ8" s="78"/>
      <c r="AR8" s="79"/>
      <c r="AS8" s="41"/>
      <c r="AT8" s="41"/>
      <c r="AU8" s="41"/>
      <c r="AV8" s="16"/>
      <c r="AW8" s="16"/>
      <c r="AX8" s="16"/>
      <c r="AY8" s="16"/>
      <c r="AZ8" s="16"/>
      <c r="BA8" s="16"/>
      <c r="BB8" s="16"/>
      <c r="BC8" s="16"/>
      <c r="BD8" s="16"/>
      <c r="BE8" s="78"/>
      <c r="BF8" s="79"/>
      <c r="BG8" s="41"/>
      <c r="BH8" s="41"/>
      <c r="BI8" s="41"/>
      <c r="BJ8" s="16"/>
      <c r="BK8" s="16"/>
      <c r="BL8" s="16"/>
      <c r="BM8" s="16"/>
      <c r="BN8" s="16"/>
      <c r="BO8" s="16"/>
      <c r="BP8" s="16"/>
      <c r="BQ8" s="16"/>
      <c r="BR8" s="16"/>
      <c r="BS8" s="78"/>
      <c r="BT8" s="79"/>
      <c r="BU8" s="41"/>
      <c r="BV8" s="41"/>
      <c r="BW8" s="41"/>
      <c r="BX8" s="16"/>
      <c r="BY8" s="16"/>
      <c r="BZ8" s="16"/>
      <c r="CA8" s="16"/>
      <c r="CB8" s="16"/>
      <c r="CC8" s="16"/>
      <c r="CD8" s="16"/>
      <c r="CE8" s="16"/>
      <c r="CF8" s="16"/>
      <c r="CG8" s="78"/>
      <c r="CH8" s="79"/>
      <c r="CI8" s="41"/>
      <c r="CJ8" s="41"/>
      <c r="CK8" s="41"/>
      <c r="CL8" s="16"/>
      <c r="CM8" s="16"/>
      <c r="CN8" s="16"/>
      <c r="CO8" s="16"/>
      <c r="CP8" s="16"/>
      <c r="CQ8" s="16"/>
      <c r="CR8" s="16"/>
      <c r="CS8" s="16"/>
      <c r="CT8" s="16"/>
      <c r="CU8" s="78"/>
      <c r="CV8" s="79"/>
      <c r="CW8" s="41"/>
      <c r="CX8" s="41"/>
      <c r="CY8" s="41"/>
      <c r="CZ8" s="16"/>
      <c r="DA8" s="16"/>
      <c r="DB8" s="16"/>
      <c r="DC8" s="16"/>
      <c r="DD8" s="16"/>
      <c r="DE8" s="16"/>
      <c r="DF8" s="16"/>
      <c r="DG8" s="16"/>
      <c r="DH8" s="16"/>
      <c r="DI8" s="78"/>
      <c r="DJ8" s="79"/>
      <c r="DK8" s="41"/>
      <c r="DL8" s="41"/>
      <c r="DM8" s="41"/>
      <c r="DN8" s="16"/>
      <c r="DO8" s="16"/>
      <c r="DP8" s="16"/>
      <c r="DQ8" s="16"/>
      <c r="DR8" s="16"/>
      <c r="DS8" s="16"/>
      <c r="DT8" s="16"/>
      <c r="DU8" s="16"/>
      <c r="DV8" s="16"/>
      <c r="DW8" s="78"/>
      <c r="DX8" s="79"/>
      <c r="DY8" s="41"/>
      <c r="DZ8" s="41"/>
      <c r="EA8" s="41"/>
      <c r="EB8" s="16"/>
      <c r="EC8" s="16"/>
      <c r="ED8" s="16"/>
      <c r="EE8" s="16"/>
      <c r="EF8" s="16"/>
      <c r="EG8" s="16"/>
      <c r="EH8" s="16"/>
      <c r="EI8" s="16"/>
      <c r="EJ8" s="16"/>
      <c r="EK8" s="78"/>
      <c r="EL8" s="79"/>
      <c r="EM8" s="16"/>
      <c r="EN8" s="16"/>
      <c r="EO8" s="16"/>
      <c r="EP8" s="16"/>
      <c r="EQ8" s="16"/>
      <c r="ER8" s="16"/>
      <c r="ES8" s="16"/>
      <c r="ET8" s="16"/>
      <c r="EU8" s="16"/>
      <c r="EV8" s="16"/>
      <c r="EW8" s="16"/>
      <c r="EX8" s="16"/>
      <c r="EY8" s="78"/>
      <c r="EZ8" s="79"/>
      <c r="FA8" s="16"/>
      <c r="FB8" s="16"/>
      <c r="FC8" s="16"/>
      <c r="FD8" s="16"/>
      <c r="FE8" s="16"/>
      <c r="FF8" s="16"/>
      <c r="FG8" s="16"/>
      <c r="FH8" s="16"/>
      <c r="FI8" s="16"/>
      <c r="FJ8" s="16"/>
      <c r="FK8" s="16"/>
      <c r="FM8" s="78"/>
      <c r="FN8" s="79"/>
      <c r="FO8" s="16"/>
      <c r="FP8" s="16"/>
      <c r="FQ8" s="16"/>
      <c r="FR8" s="16"/>
      <c r="FS8" s="16"/>
      <c r="FT8" s="16"/>
      <c r="FU8" s="16"/>
      <c r="FV8" s="16"/>
      <c r="FW8" s="16"/>
      <c r="FX8" s="16"/>
      <c r="FY8" s="16"/>
      <c r="GA8" s="78"/>
      <c r="GB8" s="79"/>
      <c r="GC8" s="16"/>
      <c r="GD8" s="16"/>
      <c r="GE8" s="16"/>
      <c r="GF8" s="16"/>
      <c r="GG8" s="16"/>
      <c r="GH8" s="16"/>
      <c r="GI8" s="16"/>
      <c r="GJ8" s="16"/>
      <c r="GK8" s="16"/>
      <c r="GL8" s="16"/>
      <c r="GM8" s="16"/>
    </row>
    <row r="9" spans="1:195" s="18" customFormat="1" ht="15" customHeight="1">
      <c r="A9" s="80">
        <v>1993</v>
      </c>
      <c r="B9" s="81" t="s">
        <v>39</v>
      </c>
      <c r="C9" s="15">
        <f t="shared" si="2"/>
        <v>0.81981981981981977</v>
      </c>
      <c r="D9" s="15">
        <f t="shared" si="3"/>
        <v>0.94764805894020965</v>
      </c>
      <c r="E9" s="15">
        <f t="shared" si="4"/>
        <v>0.86511000796715087</v>
      </c>
      <c r="F9" s="16"/>
      <c r="G9" s="33"/>
      <c r="H9" s="16">
        <v>16317</v>
      </c>
      <c r="I9" s="16">
        <f t="shared" si="0"/>
        <v>2201</v>
      </c>
      <c r="J9" s="16">
        <v>14116</v>
      </c>
      <c r="K9" s="16">
        <v>13377</v>
      </c>
      <c r="L9" s="16">
        <f t="shared" si="1"/>
        <v>739</v>
      </c>
      <c r="M9" s="16"/>
      <c r="N9" s="16"/>
      <c r="O9" s="80"/>
      <c r="P9" s="81"/>
      <c r="Q9" s="41"/>
      <c r="R9" s="41"/>
      <c r="S9" s="41"/>
      <c r="T9" s="16"/>
      <c r="U9" s="16"/>
      <c r="V9" s="16"/>
      <c r="W9" s="16"/>
      <c r="X9" s="16"/>
      <c r="Y9" s="16"/>
      <c r="Z9" s="16"/>
      <c r="AA9" s="16"/>
      <c r="AB9" s="16"/>
      <c r="AC9" s="80"/>
      <c r="AD9" s="81"/>
      <c r="AE9" s="41"/>
      <c r="AF9" s="41"/>
      <c r="AG9" s="41"/>
      <c r="AH9" s="41"/>
      <c r="AI9" s="41"/>
      <c r="AJ9" s="16"/>
      <c r="AK9" s="16"/>
      <c r="AL9" s="16"/>
      <c r="AM9" s="16"/>
      <c r="AN9" s="16"/>
      <c r="AO9" s="16"/>
      <c r="AP9" s="16"/>
      <c r="AQ9" s="80"/>
      <c r="AR9" s="81"/>
      <c r="AS9" s="41"/>
      <c r="AT9" s="41"/>
      <c r="AU9" s="41"/>
      <c r="AV9" s="16"/>
      <c r="AW9" s="16"/>
      <c r="AX9" s="16"/>
      <c r="AY9" s="16"/>
      <c r="AZ9" s="16"/>
      <c r="BA9" s="16"/>
      <c r="BB9" s="16"/>
      <c r="BC9" s="16"/>
      <c r="BD9" s="16"/>
      <c r="BE9" s="80"/>
      <c r="BF9" s="81"/>
      <c r="BG9" s="41"/>
      <c r="BH9" s="41"/>
      <c r="BI9" s="41"/>
      <c r="BJ9" s="16"/>
      <c r="BK9" s="16"/>
      <c r="BL9" s="16"/>
      <c r="BM9" s="16"/>
      <c r="BN9" s="16"/>
      <c r="BO9" s="16"/>
      <c r="BP9" s="16"/>
      <c r="BQ9" s="16"/>
      <c r="BR9" s="16"/>
      <c r="BS9" s="80"/>
      <c r="BT9" s="81"/>
      <c r="BU9" s="41"/>
      <c r="BV9" s="41"/>
      <c r="BW9" s="41"/>
      <c r="BX9" s="16"/>
      <c r="BY9" s="16"/>
      <c r="BZ9" s="16"/>
      <c r="CA9" s="16"/>
      <c r="CB9" s="16"/>
      <c r="CC9" s="16"/>
      <c r="CD9" s="16"/>
      <c r="CE9" s="16"/>
      <c r="CF9" s="16"/>
      <c r="CG9" s="80"/>
      <c r="CH9" s="81"/>
      <c r="CI9" s="41"/>
      <c r="CJ9" s="41"/>
      <c r="CK9" s="41"/>
      <c r="CL9" s="16"/>
      <c r="CM9" s="16"/>
      <c r="CN9" s="16"/>
      <c r="CO9" s="16"/>
      <c r="CP9" s="16"/>
      <c r="CQ9" s="16"/>
      <c r="CR9" s="16"/>
      <c r="CS9" s="16"/>
      <c r="CT9" s="16"/>
      <c r="CU9" s="80"/>
      <c r="CV9" s="81"/>
      <c r="CW9" s="41"/>
      <c r="CX9" s="41"/>
      <c r="CY9" s="41"/>
      <c r="CZ9" s="16"/>
      <c r="DA9" s="16"/>
      <c r="DB9" s="16"/>
      <c r="DC9" s="16"/>
      <c r="DD9" s="16"/>
      <c r="DE9" s="16"/>
      <c r="DF9" s="16"/>
      <c r="DG9" s="16"/>
      <c r="DH9" s="16"/>
      <c r="DI9" s="80"/>
      <c r="DJ9" s="81"/>
      <c r="DK9" s="41"/>
      <c r="DL9" s="41"/>
      <c r="DM9" s="41"/>
      <c r="DN9" s="16"/>
      <c r="DO9" s="16"/>
      <c r="DP9" s="16"/>
      <c r="DQ9" s="16"/>
      <c r="DR9" s="16"/>
      <c r="DS9" s="16"/>
      <c r="DT9" s="16"/>
      <c r="DU9" s="16"/>
      <c r="DV9" s="16"/>
      <c r="DW9" s="80"/>
      <c r="DX9" s="81"/>
      <c r="DY9" s="41"/>
      <c r="DZ9" s="41"/>
      <c r="EA9" s="41"/>
      <c r="EB9" s="16"/>
      <c r="EC9" s="16"/>
      <c r="ED9" s="16"/>
      <c r="EE9" s="16"/>
      <c r="EF9" s="16"/>
      <c r="EG9" s="16"/>
      <c r="EH9" s="16"/>
      <c r="EI9" s="16"/>
      <c r="EJ9" s="16"/>
      <c r="EK9" s="80"/>
      <c r="EL9" s="81"/>
      <c r="EM9" s="16"/>
      <c r="EN9" s="16"/>
      <c r="EO9" s="16"/>
      <c r="EP9" s="16"/>
      <c r="EQ9" s="16"/>
      <c r="ER9" s="16"/>
      <c r="ES9" s="16"/>
      <c r="ET9" s="16"/>
      <c r="EU9" s="16"/>
      <c r="EV9" s="16"/>
      <c r="EW9" s="16"/>
      <c r="EX9" s="16"/>
      <c r="EY9" s="80"/>
      <c r="EZ9" s="81"/>
      <c r="FA9" s="16"/>
      <c r="FB9" s="16"/>
      <c r="FC9" s="16"/>
      <c r="FD9" s="16"/>
      <c r="FE9" s="16"/>
      <c r="FF9" s="16"/>
      <c r="FG9" s="16"/>
      <c r="FH9" s="16"/>
      <c r="FI9" s="16"/>
      <c r="FJ9" s="16"/>
      <c r="FK9" s="16"/>
      <c r="FM9" s="80"/>
      <c r="FN9" s="81"/>
      <c r="FO9" s="16"/>
      <c r="FP9" s="16"/>
      <c r="FQ9" s="16"/>
      <c r="FR9" s="16"/>
      <c r="FS9" s="16"/>
      <c r="FT9" s="16"/>
      <c r="FU9" s="16"/>
      <c r="FV9" s="16"/>
      <c r="FW9" s="16"/>
      <c r="FX9" s="16"/>
      <c r="FY9" s="16"/>
      <c r="GA9" s="80"/>
      <c r="GB9" s="81"/>
      <c r="GC9" s="16"/>
      <c r="GD9" s="16"/>
      <c r="GE9" s="16"/>
      <c r="GF9" s="16"/>
      <c r="GG9" s="16"/>
      <c r="GH9" s="16"/>
      <c r="GI9" s="16"/>
      <c r="GJ9" s="16"/>
      <c r="GK9" s="16"/>
      <c r="GL9" s="16"/>
      <c r="GM9" s="16"/>
    </row>
    <row r="10" spans="1:195" s="18" customFormat="1" ht="15" customHeight="1">
      <c r="A10" s="78">
        <v>1993</v>
      </c>
      <c r="B10" s="79" t="s">
        <v>40</v>
      </c>
      <c r="C10" s="15">
        <f t="shared" si="2"/>
        <v>0.79655950710669188</v>
      </c>
      <c r="D10" s="15">
        <f t="shared" si="3"/>
        <v>0.93398183248694655</v>
      </c>
      <c r="E10" s="15">
        <f t="shared" si="4"/>
        <v>0.85286402732873789</v>
      </c>
      <c r="F10" s="16"/>
      <c r="G10" s="33"/>
      <c r="H10" s="16">
        <v>16393</v>
      </c>
      <c r="I10" s="16">
        <f t="shared" si="0"/>
        <v>2412</v>
      </c>
      <c r="J10" s="16">
        <v>13981</v>
      </c>
      <c r="K10" s="16">
        <v>13058</v>
      </c>
      <c r="L10" s="16">
        <f t="shared" si="1"/>
        <v>923</v>
      </c>
      <c r="M10" s="16"/>
      <c r="N10" s="16"/>
      <c r="O10" s="78"/>
      <c r="P10" s="79"/>
      <c r="Q10" s="41"/>
      <c r="R10" s="41"/>
      <c r="S10" s="41"/>
      <c r="T10" s="16"/>
      <c r="U10" s="16"/>
      <c r="V10" s="16"/>
      <c r="W10" s="16"/>
      <c r="X10" s="16"/>
      <c r="Y10" s="16"/>
      <c r="Z10" s="16"/>
      <c r="AA10" s="16"/>
      <c r="AB10" s="16"/>
      <c r="AC10" s="78"/>
      <c r="AD10" s="79"/>
      <c r="AE10" s="41"/>
      <c r="AF10" s="41"/>
      <c r="AG10" s="41"/>
      <c r="AH10" s="41"/>
      <c r="AI10" s="41"/>
      <c r="AJ10" s="16"/>
      <c r="AK10" s="16"/>
      <c r="AL10" s="16"/>
      <c r="AM10" s="16"/>
      <c r="AN10" s="16"/>
      <c r="AO10" s="16"/>
      <c r="AP10" s="16"/>
      <c r="AQ10" s="78"/>
      <c r="AR10" s="79"/>
      <c r="AS10" s="41"/>
      <c r="AT10" s="41"/>
      <c r="AU10" s="41"/>
      <c r="AV10" s="16"/>
      <c r="AW10" s="16"/>
      <c r="AX10" s="16"/>
      <c r="AY10" s="16"/>
      <c r="AZ10" s="16"/>
      <c r="BA10" s="16"/>
      <c r="BB10" s="16"/>
      <c r="BC10" s="16"/>
      <c r="BD10" s="16"/>
      <c r="BE10" s="78"/>
      <c r="BF10" s="79"/>
      <c r="BG10" s="41"/>
      <c r="BH10" s="41"/>
      <c r="BI10" s="41"/>
      <c r="BJ10" s="16"/>
      <c r="BK10" s="16"/>
      <c r="BL10" s="16"/>
      <c r="BM10" s="16"/>
      <c r="BN10" s="16"/>
      <c r="BO10" s="16"/>
      <c r="BP10" s="16"/>
      <c r="BQ10" s="16"/>
      <c r="BR10" s="16"/>
      <c r="BS10" s="78"/>
      <c r="BT10" s="79"/>
      <c r="BU10" s="41"/>
      <c r="BV10" s="41"/>
      <c r="BW10" s="41"/>
      <c r="BX10" s="16"/>
      <c r="BY10" s="16"/>
      <c r="BZ10" s="16"/>
      <c r="CA10" s="16"/>
      <c r="CB10" s="16"/>
      <c r="CC10" s="16"/>
      <c r="CD10" s="16"/>
      <c r="CE10" s="16"/>
      <c r="CF10" s="16"/>
      <c r="CG10" s="78"/>
      <c r="CH10" s="79"/>
      <c r="CI10" s="41"/>
      <c r="CJ10" s="41"/>
      <c r="CK10" s="41"/>
      <c r="CL10" s="16"/>
      <c r="CM10" s="16"/>
      <c r="CN10" s="16"/>
      <c r="CO10" s="16"/>
      <c r="CP10" s="16"/>
      <c r="CQ10" s="16"/>
      <c r="CR10" s="16"/>
      <c r="CS10" s="16"/>
      <c r="CT10" s="16"/>
      <c r="CU10" s="78"/>
      <c r="CV10" s="79"/>
      <c r="CW10" s="41"/>
      <c r="CX10" s="41"/>
      <c r="CY10" s="41"/>
      <c r="CZ10" s="16"/>
      <c r="DA10" s="16"/>
      <c r="DB10" s="16"/>
      <c r="DC10" s="16"/>
      <c r="DD10" s="16"/>
      <c r="DE10" s="16"/>
      <c r="DF10" s="16"/>
      <c r="DG10" s="16"/>
      <c r="DH10" s="16"/>
      <c r="DI10" s="78"/>
      <c r="DJ10" s="79"/>
      <c r="DK10" s="41"/>
      <c r="DL10" s="41"/>
      <c r="DM10" s="41"/>
      <c r="DN10" s="16"/>
      <c r="DO10" s="16"/>
      <c r="DP10" s="16"/>
      <c r="DQ10" s="16"/>
      <c r="DR10" s="16"/>
      <c r="DS10" s="16"/>
      <c r="DT10" s="16"/>
      <c r="DU10" s="16"/>
      <c r="DV10" s="16"/>
      <c r="DW10" s="78"/>
      <c r="DX10" s="79"/>
      <c r="DY10" s="41"/>
      <c r="DZ10" s="41"/>
      <c r="EA10" s="41"/>
      <c r="EB10" s="16"/>
      <c r="EC10" s="16"/>
      <c r="ED10" s="16"/>
      <c r="EE10" s="16"/>
      <c r="EF10" s="16"/>
      <c r="EG10" s="16"/>
      <c r="EH10" s="16"/>
      <c r="EI10" s="16"/>
      <c r="EJ10" s="16"/>
      <c r="EK10" s="78"/>
      <c r="EL10" s="79"/>
      <c r="EM10" s="16"/>
      <c r="EN10" s="16"/>
      <c r="EO10" s="16"/>
      <c r="EP10" s="16"/>
      <c r="EQ10" s="16"/>
      <c r="ER10" s="16"/>
      <c r="ES10" s="16"/>
      <c r="ET10" s="16"/>
      <c r="EU10" s="16"/>
      <c r="EV10" s="16"/>
      <c r="EW10" s="16"/>
      <c r="EX10" s="16"/>
      <c r="EY10" s="78"/>
      <c r="EZ10" s="79"/>
      <c r="FA10" s="16"/>
      <c r="FB10" s="16"/>
      <c r="FC10" s="16"/>
      <c r="FD10" s="16"/>
      <c r="FE10" s="16"/>
      <c r="FF10" s="16"/>
      <c r="FG10" s="16"/>
      <c r="FH10" s="16"/>
      <c r="FI10" s="16"/>
      <c r="FJ10" s="16"/>
      <c r="FK10" s="16"/>
      <c r="FM10" s="78"/>
      <c r="FN10" s="79"/>
      <c r="FO10" s="16"/>
      <c r="FP10" s="16"/>
      <c r="FQ10" s="16"/>
      <c r="FR10" s="16"/>
      <c r="FS10" s="16"/>
      <c r="FT10" s="16"/>
      <c r="FU10" s="16"/>
      <c r="FV10" s="16"/>
      <c r="FW10" s="16"/>
      <c r="FX10" s="16"/>
      <c r="FY10" s="16"/>
      <c r="GA10" s="78"/>
      <c r="GB10" s="79"/>
      <c r="GC10" s="16"/>
      <c r="GD10" s="16"/>
      <c r="GE10" s="16"/>
      <c r="GF10" s="16"/>
      <c r="GG10" s="16"/>
      <c r="GH10" s="16"/>
      <c r="GI10" s="16"/>
      <c r="GJ10" s="16"/>
      <c r="GK10" s="16"/>
      <c r="GL10" s="16"/>
      <c r="GM10" s="16"/>
    </row>
    <row r="11" spans="1:195" s="18" customFormat="1" ht="15" customHeight="1">
      <c r="A11" s="80">
        <v>1993</v>
      </c>
      <c r="B11" s="81" t="s">
        <v>41</v>
      </c>
      <c r="C11" s="15">
        <f t="shared" si="2"/>
        <v>0.79262164480941288</v>
      </c>
      <c r="D11" s="15">
        <f t="shared" si="3"/>
        <v>0.91438670908448216</v>
      </c>
      <c r="E11" s="15">
        <f t="shared" si="4"/>
        <v>0.86683417085427139</v>
      </c>
      <c r="F11" s="16"/>
      <c r="G11" s="33"/>
      <c r="H11" s="16">
        <v>16318</v>
      </c>
      <c r="I11" s="16">
        <f t="shared" si="0"/>
        <v>2173</v>
      </c>
      <c r="J11" s="16">
        <v>14145</v>
      </c>
      <c r="K11" s="16">
        <v>12934</v>
      </c>
      <c r="L11" s="16">
        <f t="shared" si="1"/>
        <v>1211</v>
      </c>
      <c r="M11" s="16"/>
      <c r="N11" s="16"/>
      <c r="O11" s="80"/>
      <c r="P11" s="81"/>
      <c r="Q11" s="41"/>
      <c r="R11" s="41"/>
      <c r="S11" s="41"/>
      <c r="T11" s="16"/>
      <c r="U11" s="16"/>
      <c r="V11" s="16"/>
      <c r="W11" s="16"/>
      <c r="X11" s="16"/>
      <c r="Y11" s="16"/>
      <c r="Z11" s="16"/>
      <c r="AA11" s="16"/>
      <c r="AB11" s="16"/>
      <c r="AC11" s="80"/>
      <c r="AD11" s="81"/>
      <c r="AE11" s="41"/>
      <c r="AF11" s="41"/>
      <c r="AG11" s="41"/>
      <c r="AH11" s="41"/>
      <c r="AI11" s="41"/>
      <c r="AJ11" s="16"/>
      <c r="AK11" s="16"/>
      <c r="AL11" s="16"/>
      <c r="AM11" s="16"/>
      <c r="AN11" s="16"/>
      <c r="AO11" s="16"/>
      <c r="AP11" s="16"/>
      <c r="AQ11" s="80"/>
      <c r="AR11" s="81"/>
      <c r="AS11" s="41"/>
      <c r="AT11" s="41"/>
      <c r="AU11" s="41"/>
      <c r="AV11" s="16"/>
      <c r="AW11" s="16"/>
      <c r="AX11" s="16"/>
      <c r="AY11" s="16"/>
      <c r="AZ11" s="16"/>
      <c r="BA11" s="16"/>
      <c r="BB11" s="16"/>
      <c r="BC11" s="16"/>
      <c r="BD11" s="16"/>
      <c r="BE11" s="80"/>
      <c r="BF11" s="81"/>
      <c r="BG11" s="41"/>
      <c r="BH11" s="41"/>
      <c r="BI11" s="41"/>
      <c r="BJ11" s="16"/>
      <c r="BK11" s="16"/>
      <c r="BL11" s="16"/>
      <c r="BM11" s="16"/>
      <c r="BN11" s="16"/>
      <c r="BO11" s="16"/>
      <c r="BP11" s="16"/>
      <c r="BQ11" s="16"/>
      <c r="BR11" s="16"/>
      <c r="BS11" s="80"/>
      <c r="BT11" s="81"/>
      <c r="BU11" s="41"/>
      <c r="BV11" s="41"/>
      <c r="BW11" s="41"/>
      <c r="BX11" s="16"/>
      <c r="BY11" s="16"/>
      <c r="BZ11" s="16"/>
      <c r="CA11" s="16"/>
      <c r="CB11" s="16"/>
      <c r="CC11" s="16"/>
      <c r="CD11" s="16"/>
      <c r="CE11" s="16"/>
      <c r="CF11" s="16"/>
      <c r="CG11" s="80"/>
      <c r="CH11" s="81"/>
      <c r="CI11" s="41"/>
      <c r="CJ11" s="41"/>
      <c r="CK11" s="41"/>
      <c r="CL11" s="16"/>
      <c r="CM11" s="16"/>
      <c r="CN11" s="16"/>
      <c r="CO11" s="16"/>
      <c r="CP11" s="16"/>
      <c r="CQ11" s="16"/>
      <c r="CR11" s="16"/>
      <c r="CS11" s="16"/>
      <c r="CT11" s="16"/>
      <c r="CU11" s="80"/>
      <c r="CV11" s="81"/>
      <c r="CW11" s="41"/>
      <c r="CX11" s="41"/>
      <c r="CY11" s="41"/>
      <c r="CZ11" s="16"/>
      <c r="DA11" s="16"/>
      <c r="DB11" s="16"/>
      <c r="DC11" s="16"/>
      <c r="DD11" s="16"/>
      <c r="DE11" s="16"/>
      <c r="DF11" s="16"/>
      <c r="DG11" s="16"/>
      <c r="DH11" s="16"/>
      <c r="DI11" s="80"/>
      <c r="DJ11" s="81"/>
      <c r="DK11" s="41"/>
      <c r="DL11" s="41"/>
      <c r="DM11" s="41"/>
      <c r="DN11" s="16"/>
      <c r="DO11" s="16"/>
      <c r="DP11" s="16"/>
      <c r="DQ11" s="16"/>
      <c r="DR11" s="16"/>
      <c r="DS11" s="16"/>
      <c r="DT11" s="16"/>
      <c r="DU11" s="16"/>
      <c r="DV11" s="16"/>
      <c r="DW11" s="80"/>
      <c r="DX11" s="81"/>
      <c r="DY11" s="41"/>
      <c r="DZ11" s="41"/>
      <c r="EA11" s="41"/>
      <c r="EB11" s="16"/>
      <c r="EC11" s="16"/>
      <c r="ED11" s="16"/>
      <c r="EE11" s="16"/>
      <c r="EF11" s="16"/>
      <c r="EG11" s="16"/>
      <c r="EH11" s="16"/>
      <c r="EI11" s="16"/>
      <c r="EJ11" s="16"/>
      <c r="EK11" s="80"/>
      <c r="EL11" s="81"/>
      <c r="EM11" s="16"/>
      <c r="EN11" s="16"/>
      <c r="EO11" s="16"/>
      <c r="EP11" s="16"/>
      <c r="EQ11" s="16"/>
      <c r="ER11" s="16"/>
      <c r="ES11" s="16"/>
      <c r="ET11" s="16"/>
      <c r="EU11" s="16"/>
      <c r="EV11" s="16"/>
      <c r="EW11" s="16"/>
      <c r="EX11" s="16"/>
      <c r="EY11" s="80"/>
      <c r="EZ11" s="81"/>
      <c r="FA11" s="16"/>
      <c r="FB11" s="16"/>
      <c r="FC11" s="16"/>
      <c r="FD11" s="16"/>
      <c r="FE11" s="16"/>
      <c r="FF11" s="16"/>
      <c r="FG11" s="16"/>
      <c r="FH11" s="16"/>
      <c r="FI11" s="16"/>
      <c r="FJ11" s="16"/>
      <c r="FK11" s="16"/>
      <c r="FM11" s="80"/>
      <c r="FN11" s="81"/>
      <c r="FO11" s="16"/>
      <c r="FP11" s="16"/>
      <c r="FQ11" s="16"/>
      <c r="FR11" s="16"/>
      <c r="FS11" s="16"/>
      <c r="FT11" s="16"/>
      <c r="FU11" s="16"/>
      <c r="FV11" s="16"/>
      <c r="FW11" s="16"/>
      <c r="FX11" s="16"/>
      <c r="FY11" s="16"/>
      <c r="GA11" s="80"/>
      <c r="GB11" s="81"/>
      <c r="GC11" s="16"/>
      <c r="GD11" s="16"/>
      <c r="GE11" s="16"/>
      <c r="GF11" s="16"/>
      <c r="GG11" s="16"/>
      <c r="GH11" s="16"/>
      <c r="GI11" s="16"/>
      <c r="GJ11" s="16"/>
      <c r="GK11" s="16"/>
      <c r="GL11" s="16"/>
      <c r="GM11" s="16"/>
    </row>
    <row r="12" spans="1:195" s="18" customFormat="1" ht="15" customHeight="1">
      <c r="A12" s="78">
        <v>1993</v>
      </c>
      <c r="B12" s="79" t="s">
        <v>42</v>
      </c>
      <c r="C12" s="15">
        <f t="shared" si="2"/>
        <v>0.79713321092222944</v>
      </c>
      <c r="D12" s="15">
        <f t="shared" si="3"/>
        <v>0.93070539419087139</v>
      </c>
      <c r="E12" s="15">
        <f t="shared" si="4"/>
        <v>0.85648285257359469</v>
      </c>
      <c r="F12" s="16"/>
      <c r="G12" s="33"/>
      <c r="H12" s="16">
        <v>16883</v>
      </c>
      <c r="I12" s="16">
        <f t="shared" si="0"/>
        <v>2423</v>
      </c>
      <c r="J12" s="16">
        <v>14460</v>
      </c>
      <c r="K12" s="16">
        <v>13458</v>
      </c>
      <c r="L12" s="16">
        <f t="shared" si="1"/>
        <v>1002</v>
      </c>
      <c r="M12" s="16"/>
      <c r="N12" s="16"/>
      <c r="O12" s="78"/>
      <c r="P12" s="79"/>
      <c r="Q12" s="41"/>
      <c r="R12" s="41"/>
      <c r="S12" s="41"/>
      <c r="T12" s="16"/>
      <c r="U12" s="16"/>
      <c r="V12" s="16"/>
      <c r="W12" s="16"/>
      <c r="X12" s="16"/>
      <c r="Y12" s="16"/>
      <c r="Z12" s="16"/>
      <c r="AA12" s="16"/>
      <c r="AB12" s="16"/>
      <c r="AC12" s="78"/>
      <c r="AD12" s="79"/>
      <c r="AE12" s="41"/>
      <c r="AF12" s="41"/>
      <c r="AG12" s="41"/>
      <c r="AH12" s="41"/>
      <c r="AI12" s="41"/>
      <c r="AJ12" s="16"/>
      <c r="AK12" s="16"/>
      <c r="AL12" s="16"/>
      <c r="AM12" s="16"/>
      <c r="AN12" s="16"/>
      <c r="AO12" s="16"/>
      <c r="AP12" s="16"/>
      <c r="AQ12" s="78"/>
      <c r="AR12" s="79"/>
      <c r="AS12" s="41"/>
      <c r="AT12" s="41"/>
      <c r="AU12" s="41"/>
      <c r="AV12" s="16"/>
      <c r="AW12" s="16"/>
      <c r="AX12" s="16"/>
      <c r="AY12" s="16"/>
      <c r="AZ12" s="16"/>
      <c r="BA12" s="16"/>
      <c r="BB12" s="16"/>
      <c r="BC12" s="16"/>
      <c r="BD12" s="16"/>
      <c r="BE12" s="78"/>
      <c r="BF12" s="79"/>
      <c r="BG12" s="41"/>
      <c r="BH12" s="41"/>
      <c r="BI12" s="41"/>
      <c r="BJ12" s="16"/>
      <c r="BK12" s="16"/>
      <c r="BL12" s="16"/>
      <c r="BM12" s="16"/>
      <c r="BN12" s="16"/>
      <c r="BO12" s="16"/>
      <c r="BP12" s="16"/>
      <c r="BQ12" s="16"/>
      <c r="BR12" s="16"/>
      <c r="BS12" s="78"/>
      <c r="BT12" s="79"/>
      <c r="BU12" s="41"/>
      <c r="BV12" s="41"/>
      <c r="BW12" s="41"/>
      <c r="BX12" s="16"/>
      <c r="BY12" s="16"/>
      <c r="BZ12" s="16"/>
      <c r="CA12" s="16"/>
      <c r="CB12" s="16"/>
      <c r="CC12" s="16"/>
      <c r="CD12" s="16"/>
      <c r="CE12" s="16"/>
      <c r="CF12" s="16"/>
      <c r="CG12" s="78"/>
      <c r="CH12" s="79"/>
      <c r="CI12" s="41"/>
      <c r="CJ12" s="41"/>
      <c r="CK12" s="41"/>
      <c r="CL12" s="16"/>
      <c r="CM12" s="16"/>
      <c r="CN12" s="16"/>
      <c r="CO12" s="16"/>
      <c r="CP12" s="16"/>
      <c r="CQ12" s="16"/>
      <c r="CR12" s="16"/>
      <c r="CS12" s="16"/>
      <c r="CT12" s="16"/>
      <c r="CU12" s="78"/>
      <c r="CV12" s="79"/>
      <c r="CW12" s="41"/>
      <c r="CX12" s="41"/>
      <c r="CY12" s="41"/>
      <c r="CZ12" s="16"/>
      <c r="DA12" s="16"/>
      <c r="DB12" s="16"/>
      <c r="DC12" s="16"/>
      <c r="DD12" s="16"/>
      <c r="DE12" s="16"/>
      <c r="DF12" s="16"/>
      <c r="DG12" s="16"/>
      <c r="DH12" s="16"/>
      <c r="DI12" s="78"/>
      <c r="DJ12" s="79"/>
      <c r="DK12" s="41"/>
      <c r="DL12" s="41"/>
      <c r="DM12" s="41"/>
      <c r="DN12" s="16"/>
      <c r="DO12" s="16"/>
      <c r="DP12" s="16"/>
      <c r="DQ12" s="16"/>
      <c r="DR12" s="16"/>
      <c r="DS12" s="16"/>
      <c r="DT12" s="16"/>
      <c r="DU12" s="16"/>
      <c r="DV12" s="16"/>
      <c r="DW12" s="78"/>
      <c r="DX12" s="79"/>
      <c r="DY12" s="41"/>
      <c r="DZ12" s="41"/>
      <c r="EA12" s="41"/>
      <c r="EB12" s="16"/>
      <c r="EC12" s="16"/>
      <c r="ED12" s="16"/>
      <c r="EE12" s="16"/>
      <c r="EF12" s="16"/>
      <c r="EG12" s="16"/>
      <c r="EH12" s="16"/>
      <c r="EI12" s="16"/>
      <c r="EJ12" s="16"/>
      <c r="EK12" s="78"/>
      <c r="EL12" s="79"/>
      <c r="EM12" s="16"/>
      <c r="EN12" s="16"/>
      <c r="EO12" s="16"/>
      <c r="EP12" s="16"/>
      <c r="EQ12" s="16"/>
      <c r="ER12" s="16"/>
      <c r="ES12" s="16"/>
      <c r="ET12" s="16"/>
      <c r="EU12" s="16"/>
      <c r="EV12" s="16"/>
      <c r="EW12" s="16"/>
      <c r="EX12" s="16"/>
      <c r="EY12" s="78"/>
      <c r="EZ12" s="79"/>
      <c r="FA12" s="16"/>
      <c r="FB12" s="16"/>
      <c r="FC12" s="16"/>
      <c r="FD12" s="16"/>
      <c r="FE12" s="16"/>
      <c r="FF12" s="16"/>
      <c r="FG12" s="16"/>
      <c r="FH12" s="16"/>
      <c r="FI12" s="16"/>
      <c r="FJ12" s="16"/>
      <c r="FK12" s="16"/>
      <c r="FM12" s="78"/>
      <c r="FN12" s="79"/>
      <c r="FO12" s="16"/>
      <c r="FP12" s="16"/>
      <c r="FQ12" s="16"/>
      <c r="FR12" s="16"/>
      <c r="FS12" s="16"/>
      <c r="FT12" s="16"/>
      <c r="FU12" s="16"/>
      <c r="FV12" s="16"/>
      <c r="FW12" s="16"/>
      <c r="FX12" s="16"/>
      <c r="FY12" s="16"/>
      <c r="GA12" s="78"/>
      <c r="GB12" s="79"/>
      <c r="GC12" s="16"/>
      <c r="GD12" s="16"/>
      <c r="GE12" s="16"/>
      <c r="GF12" s="16"/>
      <c r="GG12" s="16"/>
      <c r="GH12" s="16"/>
      <c r="GI12" s="16"/>
      <c r="GJ12" s="16"/>
      <c r="GK12" s="16"/>
      <c r="GL12" s="16"/>
      <c r="GM12" s="16"/>
    </row>
    <row r="13" spans="1:195" s="18" customFormat="1" ht="15" customHeight="1">
      <c r="A13" s="80">
        <v>1993</v>
      </c>
      <c r="B13" s="81" t="s">
        <v>43</v>
      </c>
      <c r="C13" s="15">
        <f t="shared" si="2"/>
        <v>0.80787467739031271</v>
      </c>
      <c r="D13" s="15">
        <f t="shared" si="3"/>
        <v>0.92610430714187419</v>
      </c>
      <c r="E13" s="15">
        <f t="shared" si="4"/>
        <v>0.87233659444211031</v>
      </c>
      <c r="F13" s="16"/>
      <c r="G13" s="33"/>
      <c r="H13" s="16">
        <v>16661</v>
      </c>
      <c r="I13" s="16">
        <f t="shared" si="0"/>
        <v>2127</v>
      </c>
      <c r="J13" s="16">
        <v>14534</v>
      </c>
      <c r="K13" s="16">
        <v>13460</v>
      </c>
      <c r="L13" s="16">
        <f t="shared" si="1"/>
        <v>1074</v>
      </c>
      <c r="M13" s="16"/>
      <c r="N13" s="16"/>
      <c r="O13" s="80"/>
      <c r="P13" s="81"/>
      <c r="Q13" s="41"/>
      <c r="R13" s="41"/>
      <c r="S13" s="41"/>
      <c r="T13" s="16"/>
      <c r="U13" s="16"/>
      <c r="V13" s="16"/>
      <c r="W13" s="16"/>
      <c r="X13" s="16"/>
      <c r="Y13" s="16"/>
      <c r="Z13" s="16"/>
      <c r="AA13" s="16"/>
      <c r="AB13" s="16"/>
      <c r="AC13" s="80"/>
      <c r="AD13" s="81"/>
      <c r="AE13" s="41"/>
      <c r="AF13" s="41"/>
      <c r="AG13" s="41"/>
      <c r="AH13" s="41"/>
      <c r="AI13" s="41"/>
      <c r="AJ13" s="16"/>
      <c r="AK13" s="16"/>
      <c r="AL13" s="16"/>
      <c r="AM13" s="16"/>
      <c r="AN13" s="16"/>
      <c r="AO13" s="16"/>
      <c r="AP13" s="16"/>
      <c r="AQ13" s="80"/>
      <c r="AR13" s="81"/>
      <c r="AS13" s="41"/>
      <c r="AT13" s="41"/>
      <c r="AU13" s="41"/>
      <c r="AV13" s="16"/>
      <c r="AW13" s="16"/>
      <c r="AX13" s="16"/>
      <c r="AY13" s="16"/>
      <c r="AZ13" s="16"/>
      <c r="BA13" s="16"/>
      <c r="BB13" s="16"/>
      <c r="BC13" s="16"/>
      <c r="BD13" s="16"/>
      <c r="BE13" s="80"/>
      <c r="BF13" s="81"/>
      <c r="BG13" s="41"/>
      <c r="BH13" s="41"/>
      <c r="BI13" s="41"/>
      <c r="BJ13" s="16"/>
      <c r="BK13" s="16"/>
      <c r="BL13" s="16"/>
      <c r="BM13" s="16"/>
      <c r="BN13" s="16"/>
      <c r="BO13" s="16"/>
      <c r="BP13" s="16"/>
      <c r="BQ13" s="16"/>
      <c r="BR13" s="16"/>
      <c r="BS13" s="80"/>
      <c r="BT13" s="81"/>
      <c r="BU13" s="41"/>
      <c r="BV13" s="41"/>
      <c r="BW13" s="41"/>
      <c r="BX13" s="16"/>
      <c r="BY13" s="16"/>
      <c r="BZ13" s="16"/>
      <c r="CA13" s="16"/>
      <c r="CB13" s="16"/>
      <c r="CC13" s="16"/>
      <c r="CD13" s="16"/>
      <c r="CE13" s="16"/>
      <c r="CF13" s="16"/>
      <c r="CG13" s="80"/>
      <c r="CH13" s="81"/>
      <c r="CI13" s="41"/>
      <c r="CJ13" s="41"/>
      <c r="CK13" s="41"/>
      <c r="CL13" s="16"/>
      <c r="CM13" s="16"/>
      <c r="CN13" s="16"/>
      <c r="CO13" s="16"/>
      <c r="CP13" s="16"/>
      <c r="CQ13" s="16"/>
      <c r="CR13" s="16"/>
      <c r="CS13" s="16"/>
      <c r="CT13" s="16"/>
      <c r="CU13" s="80"/>
      <c r="CV13" s="81"/>
      <c r="CW13" s="41"/>
      <c r="CX13" s="41"/>
      <c r="CY13" s="41"/>
      <c r="CZ13" s="16"/>
      <c r="DA13" s="16"/>
      <c r="DB13" s="16"/>
      <c r="DC13" s="16"/>
      <c r="DD13" s="16"/>
      <c r="DE13" s="16"/>
      <c r="DF13" s="16"/>
      <c r="DG13" s="16"/>
      <c r="DH13" s="16"/>
      <c r="DI13" s="80"/>
      <c r="DJ13" s="81"/>
      <c r="DK13" s="41"/>
      <c r="DL13" s="41"/>
      <c r="DM13" s="41"/>
      <c r="DN13" s="16"/>
      <c r="DO13" s="16"/>
      <c r="DP13" s="16"/>
      <c r="DQ13" s="16"/>
      <c r="DR13" s="16"/>
      <c r="DS13" s="16"/>
      <c r="DT13" s="16"/>
      <c r="DU13" s="16"/>
      <c r="DV13" s="16"/>
      <c r="DW13" s="80"/>
      <c r="DX13" s="81"/>
      <c r="DY13" s="41"/>
      <c r="DZ13" s="41"/>
      <c r="EA13" s="41"/>
      <c r="EB13" s="16"/>
      <c r="EC13" s="16"/>
      <c r="ED13" s="16"/>
      <c r="EE13" s="16"/>
      <c r="EF13" s="16"/>
      <c r="EG13" s="16"/>
      <c r="EH13" s="16"/>
      <c r="EI13" s="16"/>
      <c r="EJ13" s="16"/>
      <c r="EK13" s="80"/>
      <c r="EL13" s="81"/>
      <c r="EM13" s="16"/>
      <c r="EN13" s="16"/>
      <c r="EO13" s="16"/>
      <c r="EP13" s="16"/>
      <c r="EQ13" s="16"/>
      <c r="ER13" s="16"/>
      <c r="ES13" s="16"/>
      <c r="ET13" s="16"/>
      <c r="EU13" s="16"/>
      <c r="EV13" s="16"/>
      <c r="EW13" s="16"/>
      <c r="EX13" s="16"/>
      <c r="EY13" s="80"/>
      <c r="EZ13" s="81"/>
      <c r="FA13" s="16"/>
      <c r="FB13" s="16"/>
      <c r="FC13" s="16"/>
      <c r="FD13" s="16"/>
      <c r="FE13" s="16"/>
      <c r="FF13" s="16"/>
      <c r="FG13" s="16"/>
      <c r="FH13" s="16"/>
      <c r="FI13" s="16"/>
      <c r="FJ13" s="16"/>
      <c r="FK13" s="16"/>
      <c r="FM13" s="80"/>
      <c r="FN13" s="81"/>
      <c r="FO13" s="16"/>
      <c r="FP13" s="16"/>
      <c r="FQ13" s="16"/>
      <c r="FR13" s="16"/>
      <c r="FS13" s="16"/>
      <c r="FT13" s="16"/>
      <c r="FU13" s="16"/>
      <c r="FV13" s="16"/>
      <c r="FW13" s="16"/>
      <c r="FX13" s="16"/>
      <c r="FY13" s="16"/>
      <c r="GA13" s="80"/>
      <c r="GB13" s="81"/>
      <c r="GC13" s="16"/>
      <c r="GD13" s="16"/>
      <c r="GE13" s="16"/>
      <c r="GF13" s="16"/>
      <c r="GG13" s="16"/>
      <c r="GH13" s="16"/>
      <c r="GI13" s="16"/>
      <c r="GJ13" s="16"/>
      <c r="GK13" s="16"/>
      <c r="GL13" s="16"/>
      <c r="GM13" s="16"/>
    </row>
    <row r="14" spans="1:195" s="18" customFormat="1" ht="15" customHeight="1">
      <c r="A14" s="78">
        <v>1993</v>
      </c>
      <c r="B14" s="79" t="s">
        <v>44</v>
      </c>
      <c r="C14" s="15">
        <f t="shared" si="2"/>
        <v>0.7758412736702448</v>
      </c>
      <c r="D14" s="15">
        <f t="shared" si="3"/>
        <v>0.88975724462272632</v>
      </c>
      <c r="E14" s="15">
        <f t="shared" si="4"/>
        <v>0.87196960559642989</v>
      </c>
      <c r="F14" s="16"/>
      <c r="G14" s="33"/>
      <c r="H14" s="16">
        <v>16582</v>
      </c>
      <c r="I14" s="16">
        <f t="shared" si="0"/>
        <v>2123</v>
      </c>
      <c r="J14" s="16">
        <v>14459</v>
      </c>
      <c r="K14" s="16">
        <v>12865</v>
      </c>
      <c r="L14" s="16">
        <f t="shared" si="1"/>
        <v>1594</v>
      </c>
      <c r="M14" s="16"/>
      <c r="N14" s="16"/>
      <c r="O14" s="78"/>
      <c r="P14" s="79"/>
      <c r="Q14" s="41"/>
      <c r="R14" s="41"/>
      <c r="S14" s="41"/>
      <c r="T14" s="16"/>
      <c r="U14" s="16"/>
      <c r="V14" s="16"/>
      <c r="W14" s="16"/>
      <c r="X14" s="16"/>
      <c r="Y14" s="16"/>
      <c r="Z14" s="16"/>
      <c r="AA14" s="16"/>
      <c r="AB14" s="16"/>
      <c r="AC14" s="78"/>
      <c r="AD14" s="79"/>
      <c r="AE14" s="41"/>
      <c r="AF14" s="41"/>
      <c r="AG14" s="41"/>
      <c r="AH14" s="41"/>
      <c r="AI14" s="41"/>
      <c r="AJ14" s="16"/>
      <c r="AK14" s="16"/>
      <c r="AL14" s="16"/>
      <c r="AM14" s="16"/>
      <c r="AN14" s="16"/>
      <c r="AO14" s="16"/>
      <c r="AP14" s="16"/>
      <c r="AQ14" s="78"/>
      <c r="AR14" s="79"/>
      <c r="AS14" s="41"/>
      <c r="AT14" s="41"/>
      <c r="AU14" s="41"/>
      <c r="AV14" s="16"/>
      <c r="AW14" s="16"/>
      <c r="AX14" s="16"/>
      <c r="AY14" s="16"/>
      <c r="AZ14" s="16"/>
      <c r="BA14" s="16"/>
      <c r="BB14" s="16"/>
      <c r="BC14" s="16"/>
      <c r="BD14" s="16"/>
      <c r="BE14" s="78"/>
      <c r="BF14" s="79"/>
      <c r="BG14" s="41"/>
      <c r="BH14" s="41"/>
      <c r="BI14" s="41"/>
      <c r="BJ14" s="16"/>
      <c r="BK14" s="16"/>
      <c r="BL14" s="16"/>
      <c r="BM14" s="16"/>
      <c r="BN14" s="16"/>
      <c r="BO14" s="16"/>
      <c r="BP14" s="16"/>
      <c r="BQ14" s="16"/>
      <c r="BR14" s="16"/>
      <c r="BS14" s="78"/>
      <c r="BT14" s="79"/>
      <c r="BU14" s="41"/>
      <c r="BV14" s="41"/>
      <c r="BW14" s="41"/>
      <c r="BX14" s="16"/>
      <c r="BY14" s="16"/>
      <c r="BZ14" s="16"/>
      <c r="CA14" s="16"/>
      <c r="CB14" s="16"/>
      <c r="CC14" s="16"/>
      <c r="CD14" s="16"/>
      <c r="CE14" s="16"/>
      <c r="CF14" s="16"/>
      <c r="CG14" s="78"/>
      <c r="CH14" s="79"/>
      <c r="CI14" s="41"/>
      <c r="CJ14" s="41"/>
      <c r="CK14" s="41"/>
      <c r="CL14" s="16"/>
      <c r="CM14" s="16"/>
      <c r="CN14" s="16"/>
      <c r="CO14" s="16"/>
      <c r="CP14" s="16"/>
      <c r="CQ14" s="16"/>
      <c r="CR14" s="16"/>
      <c r="CS14" s="16"/>
      <c r="CT14" s="16"/>
      <c r="CU14" s="78"/>
      <c r="CV14" s="79"/>
      <c r="CW14" s="41"/>
      <c r="CX14" s="41"/>
      <c r="CY14" s="41"/>
      <c r="CZ14" s="16"/>
      <c r="DA14" s="16"/>
      <c r="DB14" s="16"/>
      <c r="DC14" s="16"/>
      <c r="DD14" s="16"/>
      <c r="DE14" s="16"/>
      <c r="DF14" s="16"/>
      <c r="DG14" s="16"/>
      <c r="DH14" s="16"/>
      <c r="DI14" s="78"/>
      <c r="DJ14" s="79"/>
      <c r="DK14" s="41"/>
      <c r="DL14" s="41"/>
      <c r="DM14" s="41"/>
      <c r="DN14" s="16"/>
      <c r="DO14" s="16"/>
      <c r="DP14" s="16"/>
      <c r="DQ14" s="16"/>
      <c r="DR14" s="16"/>
      <c r="DS14" s="16"/>
      <c r="DT14" s="16"/>
      <c r="DU14" s="16"/>
      <c r="DV14" s="16"/>
      <c r="DW14" s="78"/>
      <c r="DX14" s="79"/>
      <c r="DY14" s="41"/>
      <c r="DZ14" s="41"/>
      <c r="EA14" s="41"/>
      <c r="EB14" s="16"/>
      <c r="EC14" s="16"/>
      <c r="ED14" s="16"/>
      <c r="EE14" s="16"/>
      <c r="EF14" s="16"/>
      <c r="EG14" s="16"/>
      <c r="EH14" s="16"/>
      <c r="EI14" s="16"/>
      <c r="EJ14" s="16"/>
      <c r="EK14" s="78"/>
      <c r="EL14" s="79"/>
      <c r="EM14" s="16"/>
      <c r="EN14" s="16"/>
      <c r="EO14" s="16"/>
      <c r="EP14" s="16"/>
      <c r="EQ14" s="16"/>
      <c r="ER14" s="16"/>
      <c r="ES14" s="16"/>
      <c r="ET14" s="16"/>
      <c r="EU14" s="16"/>
      <c r="EV14" s="16"/>
      <c r="EW14" s="16"/>
      <c r="EX14" s="16"/>
      <c r="EY14" s="78"/>
      <c r="EZ14" s="79"/>
      <c r="FA14" s="16"/>
      <c r="FB14" s="16"/>
      <c r="FC14" s="16"/>
      <c r="FD14" s="16"/>
      <c r="FE14" s="16"/>
      <c r="FF14" s="16"/>
      <c r="FG14" s="16"/>
      <c r="FH14" s="16"/>
      <c r="FI14" s="16"/>
      <c r="FJ14" s="16"/>
      <c r="FK14" s="16"/>
      <c r="FM14" s="78"/>
      <c r="FN14" s="79"/>
      <c r="FO14" s="16"/>
      <c r="FP14" s="16"/>
      <c r="FQ14" s="16"/>
      <c r="FR14" s="16"/>
      <c r="FS14" s="16"/>
      <c r="FT14" s="16"/>
      <c r="FU14" s="16"/>
      <c r="FV14" s="16"/>
      <c r="FW14" s="16"/>
      <c r="FX14" s="16"/>
      <c r="FY14" s="16"/>
      <c r="GA14" s="78"/>
      <c r="GB14" s="79"/>
      <c r="GC14" s="16"/>
      <c r="GD14" s="16"/>
      <c r="GE14" s="16"/>
      <c r="GF14" s="16"/>
      <c r="GG14" s="16"/>
      <c r="GH14" s="16"/>
      <c r="GI14" s="16"/>
      <c r="GJ14" s="16"/>
      <c r="GK14" s="16"/>
      <c r="GL14" s="16"/>
      <c r="GM14" s="16"/>
    </row>
    <row r="15" spans="1:195" s="18" customFormat="1" ht="15" customHeight="1">
      <c r="A15" s="80">
        <v>1993</v>
      </c>
      <c r="B15" s="81" t="s">
        <v>45</v>
      </c>
      <c r="C15" s="15">
        <f t="shared" si="2"/>
        <v>0.82159822019120921</v>
      </c>
      <c r="D15" s="15">
        <f t="shared" si="3"/>
        <v>0.92255755857133215</v>
      </c>
      <c r="E15" s="15">
        <f t="shared" si="4"/>
        <v>0.89056581083518727</v>
      </c>
      <c r="F15" s="16"/>
      <c r="G15" s="33"/>
      <c r="H15" s="16">
        <v>16631</v>
      </c>
      <c r="I15" s="16">
        <f t="shared" si="0"/>
        <v>1820</v>
      </c>
      <c r="J15" s="16">
        <v>14811</v>
      </c>
      <c r="K15" s="16">
        <v>13664</v>
      </c>
      <c r="L15" s="16">
        <f t="shared" si="1"/>
        <v>1147</v>
      </c>
      <c r="M15" s="16"/>
      <c r="N15" s="16"/>
      <c r="O15" s="80"/>
      <c r="P15" s="81"/>
      <c r="Q15" s="41"/>
      <c r="R15" s="41"/>
      <c r="S15" s="41"/>
      <c r="T15" s="16"/>
      <c r="U15" s="16"/>
      <c r="V15" s="16"/>
      <c r="W15" s="16"/>
      <c r="X15" s="16"/>
      <c r="Y15" s="16"/>
      <c r="Z15" s="16"/>
      <c r="AA15" s="16"/>
      <c r="AB15" s="16"/>
      <c r="AC15" s="80"/>
      <c r="AD15" s="81"/>
      <c r="AE15" s="41"/>
      <c r="AF15" s="41"/>
      <c r="AG15" s="41"/>
      <c r="AH15" s="41"/>
      <c r="AI15" s="41"/>
      <c r="AJ15" s="16"/>
      <c r="AK15" s="16"/>
      <c r="AL15" s="16"/>
      <c r="AM15" s="16"/>
      <c r="AN15" s="16"/>
      <c r="AO15" s="16"/>
      <c r="AP15" s="16"/>
      <c r="AQ15" s="80"/>
      <c r="AR15" s="81"/>
      <c r="AS15" s="41"/>
      <c r="AT15" s="41"/>
      <c r="AU15" s="41"/>
      <c r="AV15" s="16"/>
      <c r="AW15" s="16"/>
      <c r="AX15" s="16"/>
      <c r="AY15" s="16"/>
      <c r="AZ15" s="16"/>
      <c r="BA15" s="16"/>
      <c r="BB15" s="16"/>
      <c r="BC15" s="16"/>
      <c r="BD15" s="16"/>
      <c r="BE15" s="80"/>
      <c r="BF15" s="81"/>
      <c r="BG15" s="41"/>
      <c r="BH15" s="41"/>
      <c r="BI15" s="41"/>
      <c r="BJ15" s="16"/>
      <c r="BK15" s="16"/>
      <c r="BL15" s="16"/>
      <c r="BM15" s="16"/>
      <c r="BN15" s="16"/>
      <c r="BO15" s="16"/>
      <c r="BP15" s="16"/>
      <c r="BQ15" s="16"/>
      <c r="BR15" s="16"/>
      <c r="BS15" s="80"/>
      <c r="BT15" s="81"/>
      <c r="BU15" s="41"/>
      <c r="BV15" s="41"/>
      <c r="BW15" s="41"/>
      <c r="BX15" s="16"/>
      <c r="BY15" s="16"/>
      <c r="BZ15" s="16"/>
      <c r="CA15" s="16"/>
      <c r="CB15" s="16"/>
      <c r="CC15" s="16"/>
      <c r="CD15" s="16"/>
      <c r="CE15" s="16"/>
      <c r="CF15" s="16"/>
      <c r="CG15" s="80"/>
      <c r="CH15" s="81"/>
      <c r="CI15" s="41"/>
      <c r="CJ15" s="41"/>
      <c r="CK15" s="41"/>
      <c r="CL15" s="16"/>
      <c r="CM15" s="16"/>
      <c r="CN15" s="16"/>
      <c r="CO15" s="16"/>
      <c r="CP15" s="16"/>
      <c r="CQ15" s="16"/>
      <c r="CR15" s="16"/>
      <c r="CS15" s="16"/>
      <c r="CT15" s="16"/>
      <c r="CU15" s="80"/>
      <c r="CV15" s="81"/>
      <c r="CW15" s="41"/>
      <c r="CX15" s="41"/>
      <c r="CY15" s="41"/>
      <c r="CZ15" s="16"/>
      <c r="DA15" s="16"/>
      <c r="DB15" s="16"/>
      <c r="DC15" s="16"/>
      <c r="DD15" s="16"/>
      <c r="DE15" s="16"/>
      <c r="DF15" s="16"/>
      <c r="DG15" s="16"/>
      <c r="DH15" s="16"/>
      <c r="DI15" s="80"/>
      <c r="DJ15" s="81"/>
      <c r="DK15" s="41"/>
      <c r="DL15" s="41"/>
      <c r="DM15" s="41"/>
      <c r="DN15" s="16"/>
      <c r="DO15" s="16"/>
      <c r="DP15" s="16"/>
      <c r="DQ15" s="16"/>
      <c r="DR15" s="16"/>
      <c r="DS15" s="16"/>
      <c r="DT15" s="16"/>
      <c r="DU15" s="16"/>
      <c r="DV15" s="16"/>
      <c r="DW15" s="80"/>
      <c r="DX15" s="81"/>
      <c r="DY15" s="41"/>
      <c r="DZ15" s="41"/>
      <c r="EA15" s="41"/>
      <c r="EB15" s="16"/>
      <c r="EC15" s="16"/>
      <c r="ED15" s="16"/>
      <c r="EE15" s="16"/>
      <c r="EF15" s="16"/>
      <c r="EG15" s="16"/>
      <c r="EH15" s="16"/>
      <c r="EI15" s="16"/>
      <c r="EJ15" s="16"/>
      <c r="EK15" s="80"/>
      <c r="EL15" s="81"/>
      <c r="EM15" s="16"/>
      <c r="EN15" s="16"/>
      <c r="EO15" s="16"/>
      <c r="EP15" s="16"/>
      <c r="EQ15" s="16"/>
      <c r="ER15" s="16"/>
      <c r="ES15" s="16"/>
      <c r="ET15" s="16"/>
      <c r="EU15" s="16"/>
      <c r="EV15" s="16"/>
      <c r="EW15" s="16"/>
      <c r="EX15" s="16"/>
      <c r="EY15" s="80"/>
      <c r="EZ15" s="81"/>
      <c r="FA15" s="16"/>
      <c r="FB15" s="16"/>
      <c r="FC15" s="16"/>
      <c r="FD15" s="16"/>
      <c r="FE15" s="16"/>
      <c r="FF15" s="16"/>
      <c r="FG15" s="16"/>
      <c r="FH15" s="16"/>
      <c r="FI15" s="16"/>
      <c r="FJ15" s="16"/>
      <c r="FK15" s="16"/>
      <c r="FM15" s="80"/>
      <c r="FN15" s="81"/>
      <c r="FO15" s="16"/>
      <c r="FP15" s="16"/>
      <c r="FQ15" s="16"/>
      <c r="FR15" s="16"/>
      <c r="FS15" s="16"/>
      <c r="FT15" s="16"/>
      <c r="FU15" s="16"/>
      <c r="FV15" s="16"/>
      <c r="FW15" s="16"/>
      <c r="FX15" s="16"/>
      <c r="FY15" s="16"/>
      <c r="GA15" s="80"/>
      <c r="GB15" s="81"/>
      <c r="GC15" s="16"/>
      <c r="GD15" s="16"/>
      <c r="GE15" s="16"/>
      <c r="GF15" s="16"/>
      <c r="GG15" s="16"/>
      <c r="GH15" s="16"/>
      <c r="GI15" s="16"/>
      <c r="GJ15" s="16"/>
      <c r="GK15" s="16"/>
      <c r="GL15" s="16"/>
      <c r="GM15" s="16"/>
    </row>
    <row r="16" spans="1:195" s="18" customFormat="1" ht="15" customHeight="1">
      <c r="A16" s="78">
        <v>1993</v>
      </c>
      <c r="B16" s="79" t="s">
        <v>46</v>
      </c>
      <c r="C16" s="15">
        <f t="shared" si="2"/>
        <v>0.79464447258910798</v>
      </c>
      <c r="D16" s="15">
        <f t="shared" si="3"/>
        <v>0.91882845188284523</v>
      </c>
      <c r="E16" s="15">
        <f t="shared" si="4"/>
        <v>0.8648453048670165</v>
      </c>
      <c r="F16" s="16"/>
      <c r="G16" s="33"/>
      <c r="H16" s="16">
        <v>16581</v>
      </c>
      <c r="I16" s="16">
        <f t="shared" si="0"/>
        <v>2241</v>
      </c>
      <c r="J16" s="16">
        <v>14340</v>
      </c>
      <c r="K16" s="16">
        <v>13176</v>
      </c>
      <c r="L16" s="16">
        <f t="shared" si="1"/>
        <v>1164</v>
      </c>
      <c r="M16" s="16"/>
      <c r="N16" s="16"/>
      <c r="O16" s="78"/>
      <c r="P16" s="79"/>
      <c r="Q16" s="41"/>
      <c r="R16" s="41"/>
      <c r="S16" s="41"/>
      <c r="T16" s="16"/>
      <c r="U16" s="16"/>
      <c r="V16" s="16"/>
      <c r="W16" s="16"/>
      <c r="X16" s="16"/>
      <c r="Y16" s="16"/>
      <c r="Z16" s="16"/>
      <c r="AA16" s="16"/>
      <c r="AB16" s="16"/>
      <c r="AC16" s="78"/>
      <c r="AD16" s="79"/>
      <c r="AE16" s="41"/>
      <c r="AF16" s="41"/>
      <c r="AG16" s="41"/>
      <c r="AH16" s="41"/>
      <c r="AI16" s="41"/>
      <c r="AJ16" s="16"/>
      <c r="AK16" s="16"/>
      <c r="AL16" s="16"/>
      <c r="AM16" s="16"/>
      <c r="AN16" s="16"/>
      <c r="AO16" s="16"/>
      <c r="AP16" s="16"/>
      <c r="AQ16" s="78"/>
      <c r="AR16" s="79"/>
      <c r="AS16" s="41"/>
      <c r="AT16" s="41"/>
      <c r="AU16" s="41"/>
      <c r="AV16" s="16"/>
      <c r="AW16" s="16"/>
      <c r="AX16" s="16"/>
      <c r="AY16" s="16"/>
      <c r="AZ16" s="16"/>
      <c r="BA16" s="16"/>
      <c r="BB16" s="16"/>
      <c r="BC16" s="16"/>
      <c r="BD16" s="16"/>
      <c r="BE16" s="78"/>
      <c r="BF16" s="79"/>
      <c r="BG16" s="41"/>
      <c r="BH16" s="41"/>
      <c r="BI16" s="41"/>
      <c r="BJ16" s="16"/>
      <c r="BK16" s="16"/>
      <c r="BL16" s="16"/>
      <c r="BM16" s="16"/>
      <c r="BN16" s="16"/>
      <c r="BO16" s="16"/>
      <c r="BP16" s="16"/>
      <c r="BQ16" s="16"/>
      <c r="BR16" s="16"/>
      <c r="BS16" s="78"/>
      <c r="BT16" s="79"/>
      <c r="BU16" s="41"/>
      <c r="BV16" s="41"/>
      <c r="BW16" s="41"/>
      <c r="BX16" s="16"/>
      <c r="BY16" s="16"/>
      <c r="BZ16" s="16"/>
      <c r="CA16" s="16"/>
      <c r="CB16" s="16"/>
      <c r="CC16" s="16"/>
      <c r="CD16" s="16"/>
      <c r="CE16" s="16"/>
      <c r="CF16" s="16"/>
      <c r="CG16" s="78"/>
      <c r="CH16" s="79"/>
      <c r="CI16" s="41"/>
      <c r="CJ16" s="41"/>
      <c r="CK16" s="41"/>
      <c r="CL16" s="16"/>
      <c r="CM16" s="16"/>
      <c r="CN16" s="16"/>
      <c r="CO16" s="16"/>
      <c r="CP16" s="16"/>
      <c r="CQ16" s="16"/>
      <c r="CR16" s="16"/>
      <c r="CS16" s="16"/>
      <c r="CT16" s="16"/>
      <c r="CU16" s="78"/>
      <c r="CV16" s="79"/>
      <c r="CW16" s="41"/>
      <c r="CX16" s="41"/>
      <c r="CY16" s="41"/>
      <c r="CZ16" s="16"/>
      <c r="DA16" s="16"/>
      <c r="DB16" s="16"/>
      <c r="DC16" s="16"/>
      <c r="DD16" s="16"/>
      <c r="DE16" s="16"/>
      <c r="DF16" s="16"/>
      <c r="DG16" s="16"/>
      <c r="DH16" s="16"/>
      <c r="DI16" s="78"/>
      <c r="DJ16" s="79"/>
      <c r="DK16" s="41"/>
      <c r="DL16" s="41"/>
      <c r="DM16" s="41"/>
      <c r="DN16" s="16"/>
      <c r="DO16" s="16"/>
      <c r="DP16" s="16"/>
      <c r="DQ16" s="16"/>
      <c r="DR16" s="16"/>
      <c r="DS16" s="16"/>
      <c r="DT16" s="16"/>
      <c r="DU16" s="16"/>
      <c r="DV16" s="16"/>
      <c r="DW16" s="78"/>
      <c r="DX16" s="79"/>
      <c r="DY16" s="41"/>
      <c r="DZ16" s="41"/>
      <c r="EA16" s="41"/>
      <c r="EB16" s="16"/>
      <c r="EC16" s="16"/>
      <c r="ED16" s="16"/>
      <c r="EE16" s="16"/>
      <c r="EF16" s="16"/>
      <c r="EG16" s="16"/>
      <c r="EH16" s="16"/>
      <c r="EI16" s="16"/>
      <c r="EJ16" s="16"/>
      <c r="EK16" s="78"/>
      <c r="EL16" s="79"/>
      <c r="EM16" s="16"/>
      <c r="EN16" s="16"/>
      <c r="EO16" s="16"/>
      <c r="EP16" s="16"/>
      <c r="EQ16" s="16"/>
      <c r="ER16" s="16"/>
      <c r="ES16" s="16"/>
      <c r="ET16" s="16"/>
      <c r="EU16" s="16"/>
      <c r="EV16" s="16"/>
      <c r="EW16" s="16"/>
      <c r="EX16" s="16"/>
      <c r="EY16" s="78"/>
      <c r="EZ16" s="79"/>
      <c r="FA16" s="16"/>
      <c r="FB16" s="16"/>
      <c r="FC16" s="16"/>
      <c r="FD16" s="16"/>
      <c r="FE16" s="16"/>
      <c r="FF16" s="16"/>
      <c r="FG16" s="16"/>
      <c r="FH16" s="16"/>
      <c r="FI16" s="16"/>
      <c r="FJ16" s="16"/>
      <c r="FK16" s="16"/>
      <c r="FM16" s="78"/>
      <c r="FN16" s="79"/>
      <c r="FO16" s="16"/>
      <c r="FP16" s="16"/>
      <c r="FQ16" s="16"/>
      <c r="FR16" s="16"/>
      <c r="FS16" s="16"/>
      <c r="FT16" s="16"/>
      <c r="FU16" s="16"/>
      <c r="FV16" s="16"/>
      <c r="FW16" s="16"/>
      <c r="FX16" s="16"/>
      <c r="FY16" s="16"/>
      <c r="GA16" s="78"/>
      <c r="GB16" s="79"/>
      <c r="GC16" s="16"/>
      <c r="GD16" s="16"/>
      <c r="GE16" s="16"/>
      <c r="GF16" s="16"/>
      <c r="GG16" s="16"/>
      <c r="GH16" s="16"/>
      <c r="GI16" s="16"/>
      <c r="GJ16" s="16"/>
      <c r="GK16" s="16"/>
      <c r="GL16" s="16"/>
      <c r="GM16" s="16"/>
    </row>
    <row r="17" spans="1:195" s="18" customFormat="1" ht="15" customHeight="1">
      <c r="A17" s="80">
        <v>1993</v>
      </c>
      <c r="B17" s="81" t="s">
        <v>47</v>
      </c>
      <c r="C17" s="15">
        <f t="shared" si="2"/>
        <v>0.78173127987254376</v>
      </c>
      <c r="D17" s="15">
        <f t="shared" si="3"/>
        <v>0.89646772228989036</v>
      </c>
      <c r="E17" s="15">
        <f t="shared" si="4"/>
        <v>0.87201274561869357</v>
      </c>
      <c r="F17" s="16"/>
      <c r="G17" s="33"/>
      <c r="H17" s="16">
        <v>16947</v>
      </c>
      <c r="I17" s="16">
        <f t="shared" si="0"/>
        <v>2169</v>
      </c>
      <c r="J17" s="16">
        <v>14778</v>
      </c>
      <c r="K17" s="16">
        <v>13248</v>
      </c>
      <c r="L17" s="16">
        <f t="shared" si="1"/>
        <v>1530</v>
      </c>
      <c r="M17" s="16"/>
      <c r="N17" s="16"/>
      <c r="O17" s="80"/>
      <c r="P17" s="81"/>
      <c r="Q17" s="41"/>
      <c r="R17" s="41"/>
      <c r="S17" s="41"/>
      <c r="T17" s="16"/>
      <c r="U17" s="16"/>
      <c r="V17" s="16"/>
      <c r="W17" s="16"/>
      <c r="X17" s="16"/>
      <c r="Y17" s="16"/>
      <c r="Z17" s="16"/>
      <c r="AA17" s="16"/>
      <c r="AB17" s="16"/>
      <c r="AC17" s="80"/>
      <c r="AD17" s="81"/>
      <c r="AE17" s="41"/>
      <c r="AF17" s="41"/>
      <c r="AG17" s="41"/>
      <c r="AH17" s="41"/>
      <c r="AI17" s="41"/>
      <c r="AJ17" s="16"/>
      <c r="AK17" s="16"/>
      <c r="AL17" s="16"/>
      <c r="AM17" s="16"/>
      <c r="AN17" s="16"/>
      <c r="AO17" s="16"/>
      <c r="AP17" s="16"/>
      <c r="AQ17" s="80"/>
      <c r="AR17" s="81"/>
      <c r="AS17" s="41"/>
      <c r="AT17" s="41"/>
      <c r="AU17" s="41"/>
      <c r="AV17" s="16"/>
      <c r="AW17" s="16"/>
      <c r="AX17" s="16"/>
      <c r="AY17" s="16"/>
      <c r="AZ17" s="16"/>
      <c r="BA17" s="16"/>
      <c r="BB17" s="16"/>
      <c r="BC17" s="16"/>
      <c r="BD17" s="16"/>
      <c r="BE17" s="80"/>
      <c r="BF17" s="81"/>
      <c r="BG17" s="41"/>
      <c r="BH17" s="41"/>
      <c r="BI17" s="41"/>
      <c r="BJ17" s="16"/>
      <c r="BK17" s="16"/>
      <c r="BL17" s="16"/>
      <c r="BM17" s="16"/>
      <c r="BN17" s="16"/>
      <c r="BO17" s="16"/>
      <c r="BP17" s="16"/>
      <c r="BQ17" s="16"/>
      <c r="BR17" s="16"/>
      <c r="BS17" s="80"/>
      <c r="BT17" s="81"/>
      <c r="BU17" s="41"/>
      <c r="BV17" s="41"/>
      <c r="BW17" s="41"/>
      <c r="BX17" s="16"/>
      <c r="BY17" s="16"/>
      <c r="BZ17" s="16"/>
      <c r="CA17" s="16"/>
      <c r="CB17" s="16"/>
      <c r="CC17" s="16"/>
      <c r="CD17" s="16"/>
      <c r="CE17" s="16"/>
      <c r="CF17" s="16"/>
      <c r="CG17" s="80"/>
      <c r="CH17" s="81"/>
      <c r="CI17" s="41"/>
      <c r="CJ17" s="41"/>
      <c r="CK17" s="41"/>
      <c r="CL17" s="16"/>
      <c r="CM17" s="16"/>
      <c r="CN17" s="16"/>
      <c r="CO17" s="16"/>
      <c r="CP17" s="16"/>
      <c r="CQ17" s="16"/>
      <c r="CR17" s="16"/>
      <c r="CS17" s="16"/>
      <c r="CT17" s="16"/>
      <c r="CU17" s="80"/>
      <c r="CV17" s="81"/>
      <c r="CW17" s="41"/>
      <c r="CX17" s="41"/>
      <c r="CY17" s="41"/>
      <c r="CZ17" s="16"/>
      <c r="DA17" s="16"/>
      <c r="DB17" s="16"/>
      <c r="DC17" s="16"/>
      <c r="DD17" s="16"/>
      <c r="DE17" s="16"/>
      <c r="DF17" s="16"/>
      <c r="DG17" s="16"/>
      <c r="DH17" s="16"/>
      <c r="DI17" s="80"/>
      <c r="DJ17" s="81"/>
      <c r="DK17" s="41"/>
      <c r="DL17" s="41"/>
      <c r="DM17" s="41"/>
      <c r="DN17" s="16"/>
      <c r="DO17" s="16"/>
      <c r="DP17" s="16"/>
      <c r="DQ17" s="16"/>
      <c r="DR17" s="16"/>
      <c r="DS17" s="16"/>
      <c r="DT17" s="16"/>
      <c r="DU17" s="16"/>
      <c r="DV17" s="16"/>
      <c r="DW17" s="80"/>
      <c r="DX17" s="81"/>
      <c r="DY17" s="41"/>
      <c r="DZ17" s="41"/>
      <c r="EA17" s="41"/>
      <c r="EB17" s="16"/>
      <c r="EC17" s="16"/>
      <c r="ED17" s="16"/>
      <c r="EE17" s="16"/>
      <c r="EF17" s="16"/>
      <c r="EG17" s="16"/>
      <c r="EH17" s="16"/>
      <c r="EI17" s="16"/>
      <c r="EJ17" s="16"/>
      <c r="EK17" s="80"/>
      <c r="EL17" s="81"/>
      <c r="EM17" s="16"/>
      <c r="EN17" s="16"/>
      <c r="EO17" s="16"/>
      <c r="EP17" s="16"/>
      <c r="EQ17" s="16"/>
      <c r="ER17" s="16"/>
      <c r="ES17" s="16"/>
      <c r="ET17" s="16"/>
      <c r="EU17" s="16"/>
      <c r="EV17" s="16"/>
      <c r="EW17" s="16"/>
      <c r="EX17" s="16"/>
      <c r="EY17" s="80"/>
      <c r="EZ17" s="81"/>
      <c r="FA17" s="16"/>
      <c r="FB17" s="16"/>
      <c r="FC17" s="16"/>
      <c r="FD17" s="16"/>
      <c r="FE17" s="16"/>
      <c r="FF17" s="16"/>
      <c r="FG17" s="16"/>
      <c r="FH17" s="16"/>
      <c r="FI17" s="16"/>
      <c r="FJ17" s="16"/>
      <c r="FK17" s="16"/>
      <c r="FM17" s="80"/>
      <c r="FN17" s="81"/>
      <c r="FO17" s="16"/>
      <c r="FP17" s="16"/>
      <c r="FQ17" s="16"/>
      <c r="FR17" s="16"/>
      <c r="FS17" s="16"/>
      <c r="FT17" s="16"/>
      <c r="FU17" s="16"/>
      <c r="FV17" s="16"/>
      <c r="FW17" s="16"/>
      <c r="FX17" s="16"/>
      <c r="FY17" s="16"/>
      <c r="GA17" s="80"/>
      <c r="GB17" s="81"/>
      <c r="GC17" s="16"/>
      <c r="GD17" s="16"/>
      <c r="GE17" s="16"/>
      <c r="GF17" s="16"/>
      <c r="GG17" s="16"/>
      <c r="GH17" s="16"/>
      <c r="GI17" s="16"/>
      <c r="GJ17" s="16"/>
      <c r="GK17" s="16"/>
      <c r="GL17" s="16"/>
      <c r="GM17" s="16"/>
    </row>
    <row r="18" spans="1:195" s="18" customFormat="1" ht="15" customHeight="1">
      <c r="A18" s="78">
        <v>1994</v>
      </c>
      <c r="B18" s="79" t="s">
        <v>36</v>
      </c>
      <c r="C18" s="15">
        <f t="shared" si="2"/>
        <v>0.7946922443215253</v>
      </c>
      <c r="D18" s="15">
        <f t="shared" si="3"/>
        <v>0.90789915966386558</v>
      </c>
      <c r="E18" s="15">
        <f t="shared" si="4"/>
        <v>0.87530893256443454</v>
      </c>
      <c r="F18" s="16"/>
      <c r="G18" s="33"/>
      <c r="H18" s="16">
        <v>16994</v>
      </c>
      <c r="I18" s="16">
        <f t="shared" ref="I18:I29" si="5">H18-J18</f>
        <v>2119</v>
      </c>
      <c r="J18" s="16">
        <v>14875</v>
      </c>
      <c r="K18" s="16">
        <v>13505</v>
      </c>
      <c r="L18" s="16">
        <f t="shared" ref="L18:L29" si="6">J18-K18</f>
        <v>1370</v>
      </c>
      <c r="M18" s="16"/>
      <c r="N18" s="16"/>
      <c r="O18" s="78"/>
      <c r="P18" s="79"/>
      <c r="Q18" s="41"/>
      <c r="R18" s="41"/>
      <c r="S18" s="41"/>
      <c r="T18" s="16"/>
      <c r="U18" s="16"/>
      <c r="V18" s="16"/>
      <c r="W18" s="16"/>
      <c r="X18" s="16"/>
      <c r="Y18" s="16"/>
      <c r="Z18" s="16"/>
      <c r="AA18" s="16"/>
      <c r="AB18" s="16"/>
      <c r="AC18" s="78"/>
      <c r="AD18" s="79"/>
      <c r="AE18" s="41"/>
      <c r="AF18" s="41"/>
      <c r="AG18" s="41"/>
      <c r="AH18" s="41"/>
      <c r="AI18" s="41"/>
      <c r="AJ18" s="16"/>
      <c r="AK18" s="16"/>
      <c r="AL18" s="16"/>
      <c r="AM18" s="16"/>
      <c r="AN18" s="16"/>
      <c r="AO18" s="16"/>
      <c r="AP18" s="16"/>
      <c r="AQ18" s="78"/>
      <c r="AR18" s="79"/>
      <c r="AS18" s="41"/>
      <c r="AT18" s="41"/>
      <c r="AU18" s="41"/>
      <c r="AV18" s="16"/>
      <c r="AW18" s="16"/>
      <c r="AX18" s="16"/>
      <c r="AY18" s="16"/>
      <c r="AZ18" s="16"/>
      <c r="BA18" s="16"/>
      <c r="BB18" s="16"/>
      <c r="BC18" s="16"/>
      <c r="BD18" s="16"/>
      <c r="BE18" s="78"/>
      <c r="BF18" s="79"/>
      <c r="BG18" s="41"/>
      <c r="BH18" s="41"/>
      <c r="BI18" s="41"/>
      <c r="BJ18" s="16"/>
      <c r="BK18" s="16"/>
      <c r="BL18" s="16"/>
      <c r="BM18" s="16"/>
      <c r="BN18" s="16"/>
      <c r="BO18" s="16"/>
      <c r="BP18" s="16"/>
      <c r="BQ18" s="16"/>
      <c r="BR18" s="16"/>
      <c r="BS18" s="78"/>
      <c r="BT18" s="79"/>
      <c r="BU18" s="41"/>
      <c r="BV18" s="41"/>
      <c r="BW18" s="41"/>
      <c r="BX18" s="16"/>
      <c r="BY18" s="16"/>
      <c r="BZ18" s="16"/>
      <c r="CA18" s="16"/>
      <c r="CB18" s="16"/>
      <c r="CC18" s="16"/>
      <c r="CD18" s="16"/>
      <c r="CE18" s="16"/>
      <c r="CF18" s="16"/>
      <c r="CG18" s="78"/>
      <c r="CH18" s="79"/>
      <c r="CI18" s="41"/>
      <c r="CJ18" s="41"/>
      <c r="CK18" s="41"/>
      <c r="CL18" s="16"/>
      <c r="CM18" s="16"/>
      <c r="CN18" s="16"/>
      <c r="CO18" s="16"/>
      <c r="CP18" s="16"/>
      <c r="CQ18" s="16"/>
      <c r="CR18" s="16"/>
      <c r="CS18" s="16"/>
      <c r="CT18" s="16"/>
      <c r="CU18" s="78"/>
      <c r="CV18" s="79"/>
      <c r="CW18" s="41"/>
      <c r="CX18" s="41"/>
      <c r="CY18" s="41"/>
      <c r="CZ18" s="16"/>
      <c r="DA18" s="16"/>
      <c r="DB18" s="16"/>
      <c r="DC18" s="16"/>
      <c r="DD18" s="16"/>
      <c r="DE18" s="16"/>
      <c r="DF18" s="16"/>
      <c r="DG18" s="16"/>
      <c r="DH18" s="16"/>
      <c r="DI18" s="78"/>
      <c r="DJ18" s="79"/>
      <c r="DK18" s="41"/>
      <c r="DL18" s="41"/>
      <c r="DM18" s="41"/>
      <c r="DN18" s="16"/>
      <c r="DO18" s="16"/>
      <c r="DP18" s="16"/>
      <c r="DQ18" s="16"/>
      <c r="DR18" s="16"/>
      <c r="DS18" s="16"/>
      <c r="DT18" s="16"/>
      <c r="DU18" s="16"/>
      <c r="DV18" s="16"/>
      <c r="DW18" s="78"/>
      <c r="DX18" s="79"/>
      <c r="DY18" s="41"/>
      <c r="DZ18" s="41"/>
      <c r="EA18" s="41"/>
      <c r="EB18" s="16"/>
      <c r="EC18" s="16"/>
      <c r="ED18" s="16"/>
      <c r="EE18" s="16"/>
      <c r="EF18" s="16"/>
      <c r="EG18" s="16"/>
      <c r="EH18" s="16"/>
      <c r="EI18" s="16"/>
      <c r="EJ18" s="16"/>
      <c r="EK18" s="78"/>
      <c r="EL18" s="79"/>
      <c r="EM18" s="16"/>
      <c r="EN18" s="16"/>
      <c r="EO18" s="16"/>
      <c r="EP18" s="16"/>
      <c r="EQ18" s="16"/>
      <c r="ER18" s="16"/>
      <c r="ES18" s="16"/>
      <c r="ET18" s="16"/>
      <c r="EU18" s="16"/>
      <c r="EV18" s="16"/>
      <c r="EW18" s="16"/>
      <c r="EX18" s="16"/>
      <c r="EY18" s="78"/>
      <c r="EZ18" s="79"/>
      <c r="FA18" s="16"/>
      <c r="FB18" s="16"/>
      <c r="FC18" s="16"/>
      <c r="FD18" s="16"/>
      <c r="FE18" s="16"/>
      <c r="FF18" s="16"/>
      <c r="FG18" s="16"/>
      <c r="FH18" s="16"/>
      <c r="FI18" s="16"/>
      <c r="FJ18" s="16"/>
      <c r="FK18" s="16"/>
      <c r="FM18" s="78"/>
      <c r="FN18" s="79"/>
      <c r="FO18" s="16"/>
      <c r="FP18" s="16"/>
      <c r="FQ18" s="16"/>
      <c r="FR18" s="16"/>
      <c r="FS18" s="16"/>
      <c r="FT18" s="16"/>
      <c r="FU18" s="16"/>
      <c r="FV18" s="16"/>
      <c r="FW18" s="16"/>
      <c r="FX18" s="16"/>
      <c r="FY18" s="16"/>
      <c r="GA18" s="78"/>
      <c r="GB18" s="79"/>
      <c r="GC18" s="16"/>
      <c r="GD18" s="16"/>
      <c r="GE18" s="16"/>
      <c r="GF18" s="16"/>
      <c r="GG18" s="16"/>
      <c r="GH18" s="16"/>
      <c r="GI18" s="16"/>
      <c r="GJ18" s="16"/>
      <c r="GK18" s="16"/>
      <c r="GL18" s="16"/>
      <c r="GM18" s="16"/>
    </row>
    <row r="19" spans="1:195" s="18" customFormat="1" ht="15" customHeight="1">
      <c r="A19" s="80">
        <v>1994</v>
      </c>
      <c r="B19" s="81" t="s">
        <v>37</v>
      </c>
      <c r="C19" s="15">
        <f t="shared" si="2"/>
        <v>0.71454938900203668</v>
      </c>
      <c r="D19" s="15">
        <f t="shared" si="3"/>
        <v>0.8385241616252147</v>
      </c>
      <c r="E19" s="15">
        <f t="shared" si="4"/>
        <v>0.85215122199592663</v>
      </c>
      <c r="F19" s="16"/>
      <c r="G19" s="33"/>
      <c r="H19" s="16">
        <v>15712</v>
      </c>
      <c r="I19" s="16">
        <f t="shared" si="5"/>
        <v>2323</v>
      </c>
      <c r="J19" s="16">
        <v>13389</v>
      </c>
      <c r="K19" s="16">
        <v>11227</v>
      </c>
      <c r="L19" s="16">
        <f t="shared" si="6"/>
        <v>2162</v>
      </c>
      <c r="M19" s="16"/>
      <c r="N19" s="16"/>
      <c r="O19" s="80"/>
      <c r="P19" s="81"/>
      <c r="Q19" s="41"/>
      <c r="R19" s="41"/>
      <c r="S19" s="41"/>
      <c r="T19" s="16"/>
      <c r="U19" s="16"/>
      <c r="V19" s="16"/>
      <c r="W19" s="16"/>
      <c r="X19" s="16"/>
      <c r="Y19" s="16"/>
      <c r="Z19" s="16"/>
      <c r="AA19" s="16"/>
      <c r="AB19" s="16"/>
      <c r="AC19" s="80"/>
      <c r="AD19" s="81"/>
      <c r="AE19" s="41"/>
      <c r="AF19" s="41"/>
      <c r="AG19" s="41"/>
      <c r="AH19" s="41"/>
      <c r="AI19" s="41"/>
      <c r="AJ19" s="16"/>
      <c r="AK19" s="16"/>
      <c r="AL19" s="16"/>
      <c r="AM19" s="16"/>
      <c r="AN19" s="16"/>
      <c r="AO19" s="16"/>
      <c r="AP19" s="16"/>
      <c r="AQ19" s="80"/>
      <c r="AR19" s="81"/>
      <c r="AS19" s="41"/>
      <c r="AT19" s="41"/>
      <c r="AU19" s="41"/>
      <c r="AV19" s="16"/>
      <c r="AW19" s="16"/>
      <c r="AX19" s="16"/>
      <c r="AY19" s="16"/>
      <c r="AZ19" s="16"/>
      <c r="BA19" s="16"/>
      <c r="BB19" s="16"/>
      <c r="BC19" s="16"/>
      <c r="BD19" s="16"/>
      <c r="BE19" s="80"/>
      <c r="BF19" s="81"/>
      <c r="BG19" s="41"/>
      <c r="BH19" s="41"/>
      <c r="BI19" s="41"/>
      <c r="BJ19" s="16"/>
      <c r="BK19" s="16"/>
      <c r="BL19" s="16"/>
      <c r="BM19" s="16"/>
      <c r="BN19" s="16"/>
      <c r="BO19" s="16"/>
      <c r="BP19" s="16"/>
      <c r="BQ19" s="16"/>
      <c r="BR19" s="16"/>
      <c r="BS19" s="80"/>
      <c r="BT19" s="81"/>
      <c r="BU19" s="41"/>
      <c r="BV19" s="41"/>
      <c r="BW19" s="41"/>
      <c r="BX19" s="16"/>
      <c r="BY19" s="16"/>
      <c r="BZ19" s="16"/>
      <c r="CA19" s="16"/>
      <c r="CB19" s="16"/>
      <c r="CC19" s="16"/>
      <c r="CD19" s="16"/>
      <c r="CE19" s="16"/>
      <c r="CF19" s="16"/>
      <c r="CG19" s="80"/>
      <c r="CH19" s="81"/>
      <c r="CI19" s="41"/>
      <c r="CJ19" s="41"/>
      <c r="CK19" s="41"/>
      <c r="CL19" s="16"/>
      <c r="CM19" s="16"/>
      <c r="CN19" s="16"/>
      <c r="CO19" s="16"/>
      <c r="CP19" s="16"/>
      <c r="CQ19" s="16"/>
      <c r="CR19" s="16"/>
      <c r="CS19" s="16"/>
      <c r="CT19" s="16"/>
      <c r="CU19" s="80"/>
      <c r="CV19" s="81"/>
      <c r="CW19" s="41"/>
      <c r="CX19" s="41"/>
      <c r="CY19" s="41"/>
      <c r="CZ19" s="16"/>
      <c r="DA19" s="16"/>
      <c r="DB19" s="16"/>
      <c r="DC19" s="16"/>
      <c r="DD19" s="16"/>
      <c r="DE19" s="16"/>
      <c r="DF19" s="16"/>
      <c r="DG19" s="16"/>
      <c r="DH19" s="16"/>
      <c r="DI19" s="80"/>
      <c r="DJ19" s="81"/>
      <c r="DK19" s="41"/>
      <c r="DL19" s="41"/>
      <c r="DM19" s="41"/>
      <c r="DN19" s="16"/>
      <c r="DO19" s="16"/>
      <c r="DP19" s="16"/>
      <c r="DQ19" s="16"/>
      <c r="DR19" s="16"/>
      <c r="DS19" s="16"/>
      <c r="DT19" s="16"/>
      <c r="DU19" s="16"/>
      <c r="DV19" s="16"/>
      <c r="DW19" s="80"/>
      <c r="DX19" s="81"/>
      <c r="DY19" s="41"/>
      <c r="DZ19" s="41"/>
      <c r="EA19" s="41"/>
      <c r="EB19" s="16"/>
      <c r="EC19" s="16"/>
      <c r="ED19" s="16"/>
      <c r="EE19" s="16"/>
      <c r="EF19" s="16"/>
      <c r="EG19" s="16"/>
      <c r="EH19" s="16"/>
      <c r="EI19" s="16"/>
      <c r="EJ19" s="16"/>
      <c r="EK19" s="80"/>
      <c r="EL19" s="81"/>
      <c r="EM19" s="16"/>
      <c r="EN19" s="16"/>
      <c r="EO19" s="16"/>
      <c r="EP19" s="16"/>
      <c r="EQ19" s="16"/>
      <c r="ER19" s="16"/>
      <c r="ES19" s="16"/>
      <c r="ET19" s="16"/>
      <c r="EU19" s="16"/>
      <c r="EV19" s="16"/>
      <c r="EW19" s="16"/>
      <c r="EX19" s="16"/>
      <c r="EY19" s="80"/>
      <c r="EZ19" s="81"/>
      <c r="FA19" s="16"/>
      <c r="FB19" s="16"/>
      <c r="FC19" s="16"/>
      <c r="FD19" s="16"/>
      <c r="FE19" s="16"/>
      <c r="FF19" s="16"/>
      <c r="FG19" s="16"/>
      <c r="FH19" s="16"/>
      <c r="FI19" s="16"/>
      <c r="FJ19" s="16"/>
      <c r="FK19" s="16"/>
      <c r="FM19" s="80"/>
      <c r="FN19" s="81"/>
      <c r="FO19" s="16"/>
      <c r="FP19" s="16"/>
      <c r="FQ19" s="16"/>
      <c r="FR19" s="16"/>
      <c r="FS19" s="16"/>
      <c r="FT19" s="16"/>
      <c r="FU19" s="16"/>
      <c r="FV19" s="16"/>
      <c r="FW19" s="16"/>
      <c r="FX19" s="16"/>
      <c r="FY19" s="16"/>
      <c r="GA19" s="80"/>
      <c r="GB19" s="81"/>
      <c r="GC19" s="16"/>
      <c r="GD19" s="16"/>
      <c r="GE19" s="16"/>
      <c r="GF19" s="16"/>
      <c r="GG19" s="16"/>
      <c r="GH19" s="16"/>
      <c r="GI19" s="16"/>
      <c r="GJ19" s="16"/>
      <c r="GK19" s="16"/>
      <c r="GL19" s="16"/>
      <c r="GM19" s="16"/>
    </row>
    <row r="20" spans="1:195" s="18" customFormat="1" ht="15" customHeight="1">
      <c r="A20" s="78">
        <v>1994</v>
      </c>
      <c r="B20" s="79" t="s">
        <v>38</v>
      </c>
      <c r="C20" s="15">
        <f t="shared" si="2"/>
        <v>0.74881570686604648</v>
      </c>
      <c r="D20" s="15">
        <f t="shared" si="3"/>
        <v>0.87350199733688416</v>
      </c>
      <c r="E20" s="15">
        <f t="shared" si="4"/>
        <v>0.85725700587865994</v>
      </c>
      <c r="F20" s="16"/>
      <c r="G20" s="33"/>
      <c r="H20" s="16">
        <v>17521</v>
      </c>
      <c r="I20" s="16">
        <f t="shared" si="5"/>
        <v>2501</v>
      </c>
      <c r="J20" s="16">
        <v>15020</v>
      </c>
      <c r="K20" s="16">
        <v>13120</v>
      </c>
      <c r="L20" s="16">
        <f t="shared" si="6"/>
        <v>1900</v>
      </c>
      <c r="M20" s="16"/>
      <c r="N20" s="16"/>
      <c r="O20" s="78"/>
      <c r="P20" s="79"/>
      <c r="Q20" s="41"/>
      <c r="R20" s="41"/>
      <c r="S20" s="41"/>
      <c r="T20" s="16"/>
      <c r="U20" s="16"/>
      <c r="V20" s="16"/>
      <c r="W20" s="16"/>
      <c r="X20" s="16"/>
      <c r="Y20" s="16"/>
      <c r="Z20" s="16"/>
      <c r="AA20" s="16"/>
      <c r="AB20" s="16"/>
      <c r="AC20" s="78"/>
      <c r="AD20" s="79"/>
      <c r="AE20" s="41"/>
      <c r="AF20" s="41"/>
      <c r="AG20" s="41"/>
      <c r="AH20" s="41"/>
      <c r="AI20" s="41"/>
      <c r="AJ20" s="16"/>
      <c r="AK20" s="16"/>
      <c r="AL20" s="16"/>
      <c r="AM20" s="16"/>
      <c r="AN20" s="16"/>
      <c r="AO20" s="16"/>
      <c r="AP20" s="16"/>
      <c r="AQ20" s="78"/>
      <c r="AR20" s="79"/>
      <c r="AS20" s="41"/>
      <c r="AT20" s="41"/>
      <c r="AU20" s="41"/>
      <c r="AV20" s="16"/>
      <c r="AW20" s="16"/>
      <c r="AX20" s="16"/>
      <c r="AY20" s="16"/>
      <c r="AZ20" s="16"/>
      <c r="BA20" s="16"/>
      <c r="BB20" s="16"/>
      <c r="BC20" s="16"/>
      <c r="BD20" s="16"/>
      <c r="BE20" s="78"/>
      <c r="BF20" s="79"/>
      <c r="BG20" s="41"/>
      <c r="BH20" s="41"/>
      <c r="BI20" s="41"/>
      <c r="BJ20" s="16"/>
      <c r="BK20" s="16"/>
      <c r="BL20" s="16"/>
      <c r="BM20" s="16"/>
      <c r="BN20" s="16"/>
      <c r="BO20" s="16"/>
      <c r="BP20" s="16"/>
      <c r="BQ20" s="16"/>
      <c r="BR20" s="16"/>
      <c r="BS20" s="78"/>
      <c r="BT20" s="79"/>
      <c r="BU20" s="41"/>
      <c r="BV20" s="41"/>
      <c r="BW20" s="41"/>
      <c r="BX20" s="16"/>
      <c r="BY20" s="16"/>
      <c r="BZ20" s="16"/>
      <c r="CA20" s="16"/>
      <c r="CB20" s="16"/>
      <c r="CC20" s="16"/>
      <c r="CD20" s="16"/>
      <c r="CE20" s="16"/>
      <c r="CF20" s="16"/>
      <c r="CG20" s="78"/>
      <c r="CH20" s="79"/>
      <c r="CI20" s="41"/>
      <c r="CJ20" s="41"/>
      <c r="CK20" s="41"/>
      <c r="CL20" s="16"/>
      <c r="CM20" s="16"/>
      <c r="CN20" s="16"/>
      <c r="CO20" s="16"/>
      <c r="CP20" s="16"/>
      <c r="CQ20" s="16"/>
      <c r="CR20" s="16"/>
      <c r="CS20" s="16"/>
      <c r="CT20" s="16"/>
      <c r="CU20" s="78"/>
      <c r="CV20" s="79"/>
      <c r="CW20" s="41"/>
      <c r="CX20" s="41"/>
      <c r="CY20" s="41"/>
      <c r="CZ20" s="16"/>
      <c r="DA20" s="16"/>
      <c r="DB20" s="16"/>
      <c r="DC20" s="16"/>
      <c r="DD20" s="16"/>
      <c r="DE20" s="16"/>
      <c r="DF20" s="16"/>
      <c r="DG20" s="16"/>
      <c r="DH20" s="16"/>
      <c r="DI20" s="78"/>
      <c r="DJ20" s="79"/>
      <c r="DK20" s="41"/>
      <c r="DL20" s="41"/>
      <c r="DM20" s="41"/>
      <c r="DN20" s="16"/>
      <c r="DO20" s="16"/>
      <c r="DP20" s="16"/>
      <c r="DQ20" s="16"/>
      <c r="DR20" s="16"/>
      <c r="DS20" s="16"/>
      <c r="DT20" s="16"/>
      <c r="DU20" s="16"/>
      <c r="DV20" s="16"/>
      <c r="DW20" s="78"/>
      <c r="DX20" s="79"/>
      <c r="DY20" s="41"/>
      <c r="DZ20" s="41"/>
      <c r="EA20" s="41"/>
      <c r="EB20" s="16"/>
      <c r="EC20" s="16"/>
      <c r="ED20" s="16"/>
      <c r="EE20" s="16"/>
      <c r="EF20" s="16"/>
      <c r="EG20" s="16"/>
      <c r="EH20" s="16"/>
      <c r="EI20" s="16"/>
      <c r="EJ20" s="16"/>
      <c r="EK20" s="78"/>
      <c r="EL20" s="79"/>
      <c r="EM20" s="16"/>
      <c r="EN20" s="16"/>
      <c r="EO20" s="16"/>
      <c r="EP20" s="16"/>
      <c r="EQ20" s="16"/>
      <c r="ER20" s="16"/>
      <c r="ES20" s="16"/>
      <c r="ET20" s="16"/>
      <c r="EU20" s="16"/>
      <c r="EV20" s="16"/>
      <c r="EW20" s="16"/>
      <c r="EX20" s="16"/>
      <c r="EY20" s="78"/>
      <c r="EZ20" s="79"/>
      <c r="FA20" s="16"/>
      <c r="FB20" s="16"/>
      <c r="FC20" s="16"/>
      <c r="FD20" s="16"/>
      <c r="FE20" s="16"/>
      <c r="FF20" s="16"/>
      <c r="FG20" s="16"/>
      <c r="FH20" s="16"/>
      <c r="FI20" s="16"/>
      <c r="FJ20" s="16"/>
      <c r="FK20" s="16"/>
      <c r="FM20" s="78"/>
      <c r="FN20" s="79"/>
      <c r="FO20" s="16"/>
      <c r="FP20" s="16"/>
      <c r="FQ20" s="16"/>
      <c r="FR20" s="16"/>
      <c r="FS20" s="16"/>
      <c r="FT20" s="16"/>
      <c r="FU20" s="16"/>
      <c r="FV20" s="16"/>
      <c r="FW20" s="16"/>
      <c r="FX20" s="16"/>
      <c r="FY20" s="16"/>
      <c r="GA20" s="78"/>
      <c r="GB20" s="79"/>
      <c r="GC20" s="16"/>
      <c r="GD20" s="16"/>
      <c r="GE20" s="16"/>
      <c r="GF20" s="16"/>
      <c r="GG20" s="16"/>
      <c r="GH20" s="16"/>
      <c r="GI20" s="16"/>
      <c r="GJ20" s="16"/>
      <c r="GK20" s="16"/>
      <c r="GL20" s="16"/>
      <c r="GM20" s="16"/>
    </row>
    <row r="21" spans="1:195" s="18" customFormat="1" ht="15" customHeight="1">
      <c r="A21" s="80">
        <v>1994</v>
      </c>
      <c r="B21" s="81" t="s">
        <v>39</v>
      </c>
      <c r="C21" s="15">
        <f t="shared" si="2"/>
        <v>0.73526227141482192</v>
      </c>
      <c r="D21" s="15">
        <f t="shared" si="3"/>
        <v>0.88074650526012399</v>
      </c>
      <c r="E21" s="15">
        <f t="shared" si="4"/>
        <v>0.83481713185755535</v>
      </c>
      <c r="F21" s="16"/>
      <c r="G21" s="33"/>
      <c r="H21" s="16">
        <v>16624</v>
      </c>
      <c r="I21" s="16">
        <f t="shared" si="5"/>
        <v>2746</v>
      </c>
      <c r="J21" s="16">
        <v>13878</v>
      </c>
      <c r="K21" s="16">
        <v>12223</v>
      </c>
      <c r="L21" s="16">
        <f t="shared" si="6"/>
        <v>1655</v>
      </c>
      <c r="M21" s="16"/>
      <c r="N21" s="16"/>
      <c r="O21" s="80"/>
      <c r="P21" s="81"/>
      <c r="Q21" s="41"/>
      <c r="R21" s="41"/>
      <c r="S21" s="41"/>
      <c r="T21" s="16"/>
      <c r="U21" s="16"/>
      <c r="V21" s="16"/>
      <c r="W21" s="16"/>
      <c r="X21" s="16"/>
      <c r="Y21" s="16"/>
      <c r="Z21" s="16"/>
      <c r="AA21" s="16"/>
      <c r="AB21" s="16"/>
      <c r="AC21" s="80"/>
      <c r="AD21" s="81"/>
      <c r="AE21" s="41"/>
      <c r="AF21" s="41"/>
      <c r="AG21" s="41"/>
      <c r="AH21" s="41"/>
      <c r="AI21" s="41"/>
      <c r="AJ21" s="16"/>
      <c r="AK21" s="16"/>
      <c r="AL21" s="16"/>
      <c r="AM21" s="16"/>
      <c r="AN21" s="16"/>
      <c r="AO21" s="16"/>
      <c r="AP21" s="16"/>
      <c r="AQ21" s="80"/>
      <c r="AR21" s="81"/>
      <c r="AS21" s="41"/>
      <c r="AT21" s="41"/>
      <c r="AU21" s="41"/>
      <c r="AV21" s="16"/>
      <c r="AW21" s="16"/>
      <c r="AX21" s="16"/>
      <c r="AY21" s="16"/>
      <c r="AZ21" s="16"/>
      <c r="BA21" s="16"/>
      <c r="BB21" s="16"/>
      <c r="BC21" s="16"/>
      <c r="BD21" s="16"/>
      <c r="BE21" s="80"/>
      <c r="BF21" s="81"/>
      <c r="BG21" s="41"/>
      <c r="BH21" s="41"/>
      <c r="BI21" s="41"/>
      <c r="BJ21" s="16"/>
      <c r="BK21" s="16"/>
      <c r="BL21" s="16"/>
      <c r="BM21" s="16"/>
      <c r="BN21" s="16"/>
      <c r="BO21" s="16"/>
      <c r="BP21" s="16"/>
      <c r="BQ21" s="16"/>
      <c r="BR21" s="16"/>
      <c r="BS21" s="80"/>
      <c r="BT21" s="81"/>
      <c r="BU21" s="41"/>
      <c r="BV21" s="41"/>
      <c r="BW21" s="41"/>
      <c r="BX21" s="16"/>
      <c r="BY21" s="16"/>
      <c r="BZ21" s="16"/>
      <c r="CA21" s="16"/>
      <c r="CB21" s="16"/>
      <c r="CC21" s="16"/>
      <c r="CD21" s="16"/>
      <c r="CE21" s="16"/>
      <c r="CF21" s="16"/>
      <c r="CG21" s="80"/>
      <c r="CH21" s="81"/>
      <c r="CI21" s="41"/>
      <c r="CJ21" s="41"/>
      <c r="CK21" s="41"/>
      <c r="CL21" s="16"/>
      <c r="CM21" s="16"/>
      <c r="CN21" s="16"/>
      <c r="CO21" s="16"/>
      <c r="CP21" s="16"/>
      <c r="CQ21" s="16"/>
      <c r="CR21" s="16"/>
      <c r="CS21" s="16"/>
      <c r="CT21" s="16"/>
      <c r="CU21" s="80"/>
      <c r="CV21" s="81"/>
      <c r="CW21" s="41"/>
      <c r="CX21" s="41"/>
      <c r="CY21" s="41"/>
      <c r="CZ21" s="16"/>
      <c r="DA21" s="16"/>
      <c r="DB21" s="16"/>
      <c r="DC21" s="16"/>
      <c r="DD21" s="16"/>
      <c r="DE21" s="16"/>
      <c r="DF21" s="16"/>
      <c r="DG21" s="16"/>
      <c r="DH21" s="16"/>
      <c r="DI21" s="80"/>
      <c r="DJ21" s="81"/>
      <c r="DK21" s="41"/>
      <c r="DL21" s="41"/>
      <c r="DM21" s="41"/>
      <c r="DN21" s="16"/>
      <c r="DO21" s="16"/>
      <c r="DP21" s="16"/>
      <c r="DQ21" s="16"/>
      <c r="DR21" s="16"/>
      <c r="DS21" s="16"/>
      <c r="DT21" s="16"/>
      <c r="DU21" s="16"/>
      <c r="DV21" s="16"/>
      <c r="DW21" s="80"/>
      <c r="DX21" s="81"/>
      <c r="DY21" s="41"/>
      <c r="DZ21" s="41"/>
      <c r="EA21" s="41"/>
      <c r="EB21" s="16"/>
      <c r="EC21" s="16"/>
      <c r="ED21" s="16"/>
      <c r="EE21" s="16"/>
      <c r="EF21" s="16"/>
      <c r="EG21" s="16"/>
      <c r="EH21" s="16"/>
      <c r="EI21" s="16"/>
      <c r="EJ21" s="16"/>
      <c r="EK21" s="80"/>
      <c r="EL21" s="81"/>
      <c r="EM21" s="16"/>
      <c r="EN21" s="16"/>
      <c r="EO21" s="16"/>
      <c r="EP21" s="16"/>
      <c r="EQ21" s="16"/>
      <c r="ER21" s="16"/>
      <c r="ES21" s="16"/>
      <c r="ET21" s="16"/>
      <c r="EU21" s="16"/>
      <c r="EV21" s="16"/>
      <c r="EW21" s="16"/>
      <c r="EX21" s="16"/>
      <c r="EY21" s="80"/>
      <c r="EZ21" s="81"/>
      <c r="FA21" s="16"/>
      <c r="FB21" s="16"/>
      <c r="FC21" s="16"/>
      <c r="FD21" s="16"/>
      <c r="FE21" s="16"/>
      <c r="FF21" s="16"/>
      <c r="FG21" s="16"/>
      <c r="FH21" s="16"/>
      <c r="FI21" s="16"/>
      <c r="FJ21" s="16"/>
      <c r="FK21" s="16"/>
      <c r="FM21" s="80"/>
      <c r="FN21" s="81"/>
      <c r="FO21" s="16"/>
      <c r="FP21" s="16"/>
      <c r="FQ21" s="16"/>
      <c r="FR21" s="16"/>
      <c r="FS21" s="16"/>
      <c r="FT21" s="16"/>
      <c r="FU21" s="16"/>
      <c r="FV21" s="16"/>
      <c r="FW21" s="16"/>
      <c r="FX21" s="16"/>
      <c r="FY21" s="16"/>
      <c r="GA21" s="80"/>
      <c r="GB21" s="81"/>
      <c r="GC21" s="16"/>
      <c r="GD21" s="16"/>
      <c r="GE21" s="16"/>
      <c r="GF21" s="16"/>
      <c r="GG21" s="16"/>
      <c r="GH21" s="16"/>
      <c r="GI21" s="16"/>
      <c r="GJ21" s="16"/>
      <c r="GK21" s="16"/>
      <c r="GL21" s="16"/>
      <c r="GM21" s="16"/>
    </row>
    <row r="22" spans="1:195" s="18" customFormat="1" ht="15" customHeight="1">
      <c r="A22" s="78">
        <v>1994</v>
      </c>
      <c r="B22" s="79" t="s">
        <v>40</v>
      </c>
      <c r="C22" s="15">
        <f t="shared" si="2"/>
        <v>0.7839825820877957</v>
      </c>
      <c r="D22" s="15">
        <f t="shared" si="3"/>
        <v>0.88120907467425091</v>
      </c>
      <c r="E22" s="15">
        <f t="shared" si="4"/>
        <v>0.88966694127339063</v>
      </c>
      <c r="F22" s="16"/>
      <c r="G22" s="33"/>
      <c r="H22" s="16">
        <v>16994</v>
      </c>
      <c r="I22" s="16">
        <f t="shared" si="5"/>
        <v>1875</v>
      </c>
      <c r="J22" s="16">
        <v>15119</v>
      </c>
      <c r="K22" s="16">
        <v>13323</v>
      </c>
      <c r="L22" s="16">
        <f t="shared" si="6"/>
        <v>1796</v>
      </c>
      <c r="M22" s="16"/>
      <c r="N22" s="16"/>
      <c r="O22" s="78"/>
      <c r="P22" s="79"/>
      <c r="Q22" s="41"/>
      <c r="R22" s="41"/>
      <c r="S22" s="41"/>
      <c r="T22" s="16"/>
      <c r="U22" s="16"/>
      <c r="V22" s="16"/>
      <c r="W22" s="16"/>
      <c r="X22" s="16"/>
      <c r="Y22" s="16"/>
      <c r="Z22" s="16"/>
      <c r="AA22" s="16"/>
      <c r="AB22" s="16"/>
      <c r="AC22" s="78"/>
      <c r="AD22" s="79"/>
      <c r="AE22" s="41"/>
      <c r="AF22" s="41"/>
      <c r="AG22" s="41"/>
      <c r="AH22" s="41"/>
      <c r="AI22" s="41"/>
      <c r="AJ22" s="16"/>
      <c r="AK22" s="16"/>
      <c r="AL22" s="16"/>
      <c r="AM22" s="16"/>
      <c r="AN22" s="16"/>
      <c r="AO22" s="16"/>
      <c r="AP22" s="16"/>
      <c r="AQ22" s="78"/>
      <c r="AR22" s="79"/>
      <c r="AS22" s="41"/>
      <c r="AT22" s="41"/>
      <c r="AU22" s="41"/>
      <c r="AV22" s="16"/>
      <c r="AW22" s="16"/>
      <c r="AX22" s="16"/>
      <c r="AY22" s="16"/>
      <c r="AZ22" s="16"/>
      <c r="BA22" s="16"/>
      <c r="BB22" s="16"/>
      <c r="BC22" s="16"/>
      <c r="BD22" s="16"/>
      <c r="BE22" s="78"/>
      <c r="BF22" s="79"/>
      <c r="BG22" s="41"/>
      <c r="BH22" s="41"/>
      <c r="BI22" s="41"/>
      <c r="BJ22" s="16"/>
      <c r="BK22" s="16"/>
      <c r="BL22" s="16"/>
      <c r="BM22" s="16"/>
      <c r="BN22" s="16"/>
      <c r="BO22" s="16"/>
      <c r="BP22" s="16"/>
      <c r="BQ22" s="16"/>
      <c r="BR22" s="16"/>
      <c r="BS22" s="78"/>
      <c r="BT22" s="79"/>
      <c r="BU22" s="41"/>
      <c r="BV22" s="41"/>
      <c r="BW22" s="41"/>
      <c r="BX22" s="16"/>
      <c r="BY22" s="16"/>
      <c r="BZ22" s="16"/>
      <c r="CA22" s="16"/>
      <c r="CB22" s="16"/>
      <c r="CC22" s="16"/>
      <c r="CD22" s="16"/>
      <c r="CE22" s="16"/>
      <c r="CF22" s="16"/>
      <c r="CG22" s="78"/>
      <c r="CH22" s="79"/>
      <c r="CI22" s="41"/>
      <c r="CJ22" s="41"/>
      <c r="CK22" s="41"/>
      <c r="CL22" s="16"/>
      <c r="CM22" s="16"/>
      <c r="CN22" s="16"/>
      <c r="CO22" s="16"/>
      <c r="CP22" s="16"/>
      <c r="CQ22" s="16"/>
      <c r="CR22" s="16"/>
      <c r="CS22" s="16"/>
      <c r="CT22" s="16"/>
      <c r="CU22" s="78"/>
      <c r="CV22" s="79"/>
      <c r="CW22" s="41"/>
      <c r="CX22" s="41"/>
      <c r="CY22" s="41"/>
      <c r="CZ22" s="16"/>
      <c r="DA22" s="16"/>
      <c r="DB22" s="16"/>
      <c r="DC22" s="16"/>
      <c r="DD22" s="16"/>
      <c r="DE22" s="16"/>
      <c r="DF22" s="16"/>
      <c r="DG22" s="16"/>
      <c r="DH22" s="16"/>
      <c r="DI22" s="78"/>
      <c r="DJ22" s="79"/>
      <c r="DK22" s="41"/>
      <c r="DL22" s="41"/>
      <c r="DM22" s="41"/>
      <c r="DN22" s="16"/>
      <c r="DO22" s="16"/>
      <c r="DP22" s="16"/>
      <c r="DQ22" s="16"/>
      <c r="DR22" s="16"/>
      <c r="DS22" s="16"/>
      <c r="DT22" s="16"/>
      <c r="DU22" s="16"/>
      <c r="DV22" s="16"/>
      <c r="DW22" s="78"/>
      <c r="DX22" s="79"/>
      <c r="DY22" s="41"/>
      <c r="DZ22" s="41"/>
      <c r="EA22" s="41"/>
      <c r="EB22" s="16"/>
      <c r="EC22" s="16"/>
      <c r="ED22" s="16"/>
      <c r="EE22" s="16"/>
      <c r="EF22" s="16"/>
      <c r="EG22" s="16"/>
      <c r="EH22" s="16"/>
      <c r="EI22" s="16"/>
      <c r="EJ22" s="16"/>
      <c r="EK22" s="78"/>
      <c r="EL22" s="79"/>
      <c r="EM22" s="16"/>
      <c r="EN22" s="16"/>
      <c r="EO22" s="16"/>
      <c r="EP22" s="16"/>
      <c r="EQ22" s="16"/>
      <c r="ER22" s="16"/>
      <c r="ES22" s="16"/>
      <c r="ET22" s="16"/>
      <c r="EU22" s="16"/>
      <c r="EV22" s="16"/>
      <c r="EW22" s="16"/>
      <c r="EX22" s="16"/>
      <c r="EY22" s="78"/>
      <c r="EZ22" s="79"/>
      <c r="FA22" s="16"/>
      <c r="FB22" s="16"/>
      <c r="FC22" s="16"/>
      <c r="FD22" s="16"/>
      <c r="FE22" s="16"/>
      <c r="FF22" s="16"/>
      <c r="FG22" s="16"/>
      <c r="FH22" s="16"/>
      <c r="FI22" s="16"/>
      <c r="FJ22" s="16"/>
      <c r="FK22" s="16"/>
      <c r="FM22" s="78"/>
      <c r="FN22" s="79"/>
      <c r="FO22" s="16"/>
      <c r="FP22" s="16"/>
      <c r="FQ22" s="16"/>
      <c r="FR22" s="16"/>
      <c r="FS22" s="16"/>
      <c r="FT22" s="16"/>
      <c r="FU22" s="16"/>
      <c r="FV22" s="16"/>
      <c r="FW22" s="16"/>
      <c r="FX22" s="16"/>
      <c r="FY22" s="16"/>
      <c r="GA22" s="78"/>
      <c r="GB22" s="79"/>
      <c r="GC22" s="16"/>
      <c r="GD22" s="16"/>
      <c r="GE22" s="16"/>
      <c r="GF22" s="16"/>
      <c r="GG22" s="16"/>
      <c r="GH22" s="16"/>
      <c r="GI22" s="16"/>
      <c r="GJ22" s="16"/>
      <c r="GK22" s="16"/>
      <c r="GL22" s="16"/>
      <c r="GM22" s="16"/>
    </row>
    <row r="23" spans="1:195" s="18" customFormat="1" ht="15" customHeight="1">
      <c r="A23" s="80">
        <v>1994</v>
      </c>
      <c r="B23" s="81" t="s">
        <v>41</v>
      </c>
      <c r="C23" s="15">
        <f t="shared" si="2"/>
        <v>0.78513536816692531</v>
      </c>
      <c r="D23" s="15">
        <f t="shared" si="3"/>
        <v>0.88839024390243904</v>
      </c>
      <c r="E23" s="15">
        <f t="shared" si="4"/>
        <v>0.88377306432143476</v>
      </c>
      <c r="F23" s="16"/>
      <c r="G23" s="33"/>
      <c r="H23" s="16">
        <v>17397</v>
      </c>
      <c r="I23" s="16">
        <f t="shared" si="5"/>
        <v>2022</v>
      </c>
      <c r="J23" s="16">
        <v>15375</v>
      </c>
      <c r="K23" s="16">
        <v>13659</v>
      </c>
      <c r="L23" s="16">
        <f t="shared" si="6"/>
        <v>1716</v>
      </c>
      <c r="M23" s="16"/>
      <c r="N23" s="16"/>
      <c r="O23" s="80"/>
      <c r="P23" s="81"/>
      <c r="Q23" s="41"/>
      <c r="R23" s="41"/>
      <c r="S23" s="41"/>
      <c r="T23" s="16"/>
      <c r="U23" s="16"/>
      <c r="V23" s="16"/>
      <c r="W23" s="16"/>
      <c r="X23" s="16"/>
      <c r="Y23" s="16"/>
      <c r="Z23" s="16"/>
      <c r="AA23" s="16"/>
      <c r="AB23" s="16"/>
      <c r="AC23" s="80"/>
      <c r="AD23" s="81"/>
      <c r="AE23" s="41"/>
      <c r="AF23" s="41"/>
      <c r="AG23" s="41"/>
      <c r="AH23" s="41"/>
      <c r="AI23" s="41"/>
      <c r="AJ23" s="16"/>
      <c r="AK23" s="16"/>
      <c r="AL23" s="16"/>
      <c r="AM23" s="16"/>
      <c r="AN23" s="16"/>
      <c r="AO23" s="16"/>
      <c r="AP23" s="16"/>
      <c r="AQ23" s="80"/>
      <c r="AR23" s="81"/>
      <c r="AS23" s="41"/>
      <c r="AT23" s="41"/>
      <c r="AU23" s="41"/>
      <c r="AV23" s="16"/>
      <c r="AW23" s="16"/>
      <c r="AX23" s="16"/>
      <c r="AY23" s="16"/>
      <c r="AZ23" s="16"/>
      <c r="BA23" s="16"/>
      <c r="BB23" s="16"/>
      <c r="BC23" s="16"/>
      <c r="BD23" s="16"/>
      <c r="BE23" s="80"/>
      <c r="BF23" s="81"/>
      <c r="BG23" s="41"/>
      <c r="BH23" s="41"/>
      <c r="BI23" s="41"/>
      <c r="BJ23" s="16"/>
      <c r="BK23" s="16"/>
      <c r="BL23" s="16"/>
      <c r="BM23" s="16"/>
      <c r="BN23" s="16"/>
      <c r="BO23" s="16"/>
      <c r="BP23" s="16"/>
      <c r="BQ23" s="16"/>
      <c r="BR23" s="16"/>
      <c r="BS23" s="80"/>
      <c r="BT23" s="81"/>
      <c r="BU23" s="41"/>
      <c r="BV23" s="41"/>
      <c r="BW23" s="41"/>
      <c r="BX23" s="16"/>
      <c r="BY23" s="16"/>
      <c r="BZ23" s="16"/>
      <c r="CA23" s="16"/>
      <c r="CB23" s="16"/>
      <c r="CC23" s="16"/>
      <c r="CD23" s="16"/>
      <c r="CE23" s="16"/>
      <c r="CF23" s="16"/>
      <c r="CG23" s="80"/>
      <c r="CH23" s="81"/>
      <c r="CI23" s="41"/>
      <c r="CJ23" s="41"/>
      <c r="CK23" s="41"/>
      <c r="CL23" s="16"/>
      <c r="CM23" s="16"/>
      <c r="CN23" s="16"/>
      <c r="CO23" s="16"/>
      <c r="CP23" s="16"/>
      <c r="CQ23" s="16"/>
      <c r="CR23" s="16"/>
      <c r="CS23" s="16"/>
      <c r="CT23" s="16"/>
      <c r="CU23" s="80"/>
      <c r="CV23" s="81"/>
      <c r="CW23" s="41"/>
      <c r="CX23" s="41"/>
      <c r="CY23" s="41"/>
      <c r="CZ23" s="16"/>
      <c r="DA23" s="16"/>
      <c r="DB23" s="16"/>
      <c r="DC23" s="16"/>
      <c r="DD23" s="16"/>
      <c r="DE23" s="16"/>
      <c r="DF23" s="16"/>
      <c r="DG23" s="16"/>
      <c r="DH23" s="16"/>
      <c r="DI23" s="80"/>
      <c r="DJ23" s="81"/>
      <c r="DK23" s="41"/>
      <c r="DL23" s="41"/>
      <c r="DM23" s="41"/>
      <c r="DN23" s="16"/>
      <c r="DO23" s="16"/>
      <c r="DP23" s="16"/>
      <c r="DQ23" s="16"/>
      <c r="DR23" s="16"/>
      <c r="DS23" s="16"/>
      <c r="DT23" s="16"/>
      <c r="DU23" s="16"/>
      <c r="DV23" s="16"/>
      <c r="DW23" s="80"/>
      <c r="DX23" s="81"/>
      <c r="DY23" s="41"/>
      <c r="DZ23" s="41"/>
      <c r="EA23" s="41"/>
      <c r="EB23" s="16"/>
      <c r="EC23" s="16"/>
      <c r="ED23" s="16"/>
      <c r="EE23" s="16"/>
      <c r="EF23" s="16"/>
      <c r="EG23" s="16"/>
      <c r="EH23" s="16"/>
      <c r="EI23" s="16"/>
      <c r="EJ23" s="16"/>
      <c r="EK23" s="80"/>
      <c r="EL23" s="81"/>
      <c r="EM23" s="16"/>
      <c r="EN23" s="16"/>
      <c r="EO23" s="16"/>
      <c r="EP23" s="16"/>
      <c r="EQ23" s="16"/>
      <c r="ER23" s="16"/>
      <c r="ES23" s="16"/>
      <c r="ET23" s="16"/>
      <c r="EU23" s="16"/>
      <c r="EV23" s="16"/>
      <c r="EW23" s="16"/>
      <c r="EX23" s="16"/>
      <c r="EY23" s="80"/>
      <c r="EZ23" s="81"/>
      <c r="FA23" s="16"/>
      <c r="FB23" s="16"/>
      <c r="FC23" s="16"/>
      <c r="FD23" s="16"/>
      <c r="FE23" s="16"/>
      <c r="FF23" s="16"/>
      <c r="FG23" s="16"/>
      <c r="FH23" s="16"/>
      <c r="FI23" s="16"/>
      <c r="FJ23" s="16"/>
      <c r="FK23" s="16"/>
      <c r="FM23" s="80"/>
      <c r="FN23" s="81"/>
      <c r="FO23" s="16"/>
      <c r="FP23" s="16"/>
      <c r="FQ23" s="16"/>
      <c r="FR23" s="16"/>
      <c r="FS23" s="16"/>
      <c r="FT23" s="16"/>
      <c r="FU23" s="16"/>
      <c r="FV23" s="16"/>
      <c r="FW23" s="16"/>
      <c r="FX23" s="16"/>
      <c r="FY23" s="16"/>
      <c r="GA23" s="80"/>
      <c r="GB23" s="81"/>
      <c r="GC23" s="16"/>
      <c r="GD23" s="16"/>
      <c r="GE23" s="16"/>
      <c r="GF23" s="16"/>
      <c r="GG23" s="16"/>
      <c r="GH23" s="16"/>
      <c r="GI23" s="16"/>
      <c r="GJ23" s="16"/>
      <c r="GK23" s="16"/>
      <c r="GL23" s="16"/>
      <c r="GM23" s="16"/>
    </row>
    <row r="24" spans="1:195" s="18" customFormat="1" ht="15" customHeight="1">
      <c r="A24" s="78">
        <v>1994</v>
      </c>
      <c r="B24" s="79" t="s">
        <v>42</v>
      </c>
      <c r="C24" s="15">
        <f t="shared" si="2"/>
        <v>0.78797606093579975</v>
      </c>
      <c r="D24" s="15">
        <f t="shared" si="3"/>
        <v>0.90366256941411371</v>
      </c>
      <c r="E24" s="15">
        <f t="shared" si="4"/>
        <v>0.8719804134929271</v>
      </c>
      <c r="F24" s="16"/>
      <c r="G24" s="33"/>
      <c r="H24" s="16">
        <v>18380</v>
      </c>
      <c r="I24" s="16">
        <f t="shared" si="5"/>
        <v>2353</v>
      </c>
      <c r="J24" s="16">
        <v>16027</v>
      </c>
      <c r="K24" s="16">
        <v>14483</v>
      </c>
      <c r="L24" s="16">
        <f t="shared" si="6"/>
        <v>1544</v>
      </c>
      <c r="M24" s="16"/>
      <c r="N24" s="16"/>
      <c r="O24" s="78"/>
      <c r="P24" s="79"/>
      <c r="Q24" s="41"/>
      <c r="R24" s="41"/>
      <c r="S24" s="41"/>
      <c r="T24" s="16"/>
      <c r="U24" s="16"/>
      <c r="V24" s="16"/>
      <c r="W24" s="16"/>
      <c r="X24" s="16"/>
      <c r="Y24" s="16"/>
      <c r="Z24" s="16"/>
      <c r="AA24" s="16"/>
      <c r="AB24" s="16"/>
      <c r="AC24" s="78"/>
      <c r="AD24" s="79"/>
      <c r="AE24" s="41"/>
      <c r="AF24" s="41"/>
      <c r="AG24" s="41"/>
      <c r="AH24" s="41"/>
      <c r="AI24" s="41"/>
      <c r="AJ24" s="16"/>
      <c r="AK24" s="16"/>
      <c r="AL24" s="16"/>
      <c r="AM24" s="16"/>
      <c r="AN24" s="16"/>
      <c r="AO24" s="16"/>
      <c r="AP24" s="16"/>
      <c r="AQ24" s="78"/>
      <c r="AR24" s="79"/>
      <c r="AS24" s="41"/>
      <c r="AT24" s="41"/>
      <c r="AU24" s="41"/>
      <c r="AV24" s="16"/>
      <c r="AW24" s="16"/>
      <c r="AX24" s="16"/>
      <c r="AY24" s="16"/>
      <c r="AZ24" s="16"/>
      <c r="BA24" s="16"/>
      <c r="BB24" s="16"/>
      <c r="BC24" s="16"/>
      <c r="BD24" s="16"/>
      <c r="BE24" s="78"/>
      <c r="BF24" s="79"/>
      <c r="BG24" s="41"/>
      <c r="BH24" s="41"/>
      <c r="BI24" s="41"/>
      <c r="BJ24" s="16"/>
      <c r="BK24" s="16"/>
      <c r="BL24" s="16"/>
      <c r="BM24" s="16"/>
      <c r="BN24" s="16"/>
      <c r="BO24" s="16"/>
      <c r="BP24" s="16"/>
      <c r="BQ24" s="16"/>
      <c r="BR24" s="16"/>
      <c r="BS24" s="78"/>
      <c r="BT24" s="79"/>
      <c r="BU24" s="41"/>
      <c r="BV24" s="41"/>
      <c r="BW24" s="41"/>
      <c r="BX24" s="16"/>
      <c r="BY24" s="16"/>
      <c r="BZ24" s="16"/>
      <c r="CA24" s="16"/>
      <c r="CB24" s="16"/>
      <c r="CC24" s="16"/>
      <c r="CD24" s="16"/>
      <c r="CE24" s="16"/>
      <c r="CF24" s="16"/>
      <c r="CG24" s="78"/>
      <c r="CH24" s="79"/>
      <c r="CI24" s="41"/>
      <c r="CJ24" s="41"/>
      <c r="CK24" s="41"/>
      <c r="CL24" s="16"/>
      <c r="CM24" s="16"/>
      <c r="CN24" s="16"/>
      <c r="CO24" s="16"/>
      <c r="CP24" s="16"/>
      <c r="CQ24" s="16"/>
      <c r="CR24" s="16"/>
      <c r="CS24" s="16"/>
      <c r="CT24" s="16"/>
      <c r="CU24" s="78"/>
      <c r="CV24" s="79"/>
      <c r="CW24" s="41"/>
      <c r="CX24" s="41"/>
      <c r="CY24" s="41"/>
      <c r="CZ24" s="16"/>
      <c r="DA24" s="16"/>
      <c r="DB24" s="16"/>
      <c r="DC24" s="16"/>
      <c r="DD24" s="16"/>
      <c r="DE24" s="16"/>
      <c r="DF24" s="16"/>
      <c r="DG24" s="16"/>
      <c r="DH24" s="16"/>
      <c r="DI24" s="78"/>
      <c r="DJ24" s="79"/>
      <c r="DK24" s="41"/>
      <c r="DL24" s="41"/>
      <c r="DM24" s="41"/>
      <c r="DN24" s="16"/>
      <c r="DO24" s="16"/>
      <c r="DP24" s="16"/>
      <c r="DQ24" s="16"/>
      <c r="DR24" s="16"/>
      <c r="DS24" s="16"/>
      <c r="DT24" s="16"/>
      <c r="DU24" s="16"/>
      <c r="DV24" s="16"/>
      <c r="DW24" s="78"/>
      <c r="DX24" s="79"/>
      <c r="DY24" s="41"/>
      <c r="DZ24" s="41"/>
      <c r="EA24" s="41"/>
      <c r="EB24" s="16"/>
      <c r="EC24" s="16"/>
      <c r="ED24" s="16"/>
      <c r="EE24" s="16"/>
      <c r="EF24" s="16"/>
      <c r="EG24" s="16"/>
      <c r="EH24" s="16"/>
      <c r="EI24" s="16"/>
      <c r="EJ24" s="16"/>
      <c r="EK24" s="78"/>
      <c r="EL24" s="79"/>
      <c r="EM24" s="16"/>
      <c r="EN24" s="16"/>
      <c r="EO24" s="16"/>
      <c r="EP24" s="16"/>
      <c r="EQ24" s="16"/>
      <c r="ER24" s="16"/>
      <c r="ES24" s="16"/>
      <c r="ET24" s="16"/>
      <c r="EU24" s="16"/>
      <c r="EV24" s="16"/>
      <c r="EW24" s="16"/>
      <c r="EX24" s="16"/>
      <c r="EY24" s="78"/>
      <c r="EZ24" s="79"/>
      <c r="FA24" s="16"/>
      <c r="FB24" s="16"/>
      <c r="FC24" s="16"/>
      <c r="FD24" s="16"/>
      <c r="FE24" s="16"/>
      <c r="FF24" s="16"/>
      <c r="FG24" s="16"/>
      <c r="FH24" s="16"/>
      <c r="FI24" s="16"/>
      <c r="FJ24" s="16"/>
      <c r="FK24" s="16"/>
      <c r="FM24" s="78"/>
      <c r="FN24" s="79"/>
      <c r="FO24" s="16"/>
      <c r="FP24" s="16"/>
      <c r="FQ24" s="16"/>
      <c r="FR24" s="16"/>
      <c r="FS24" s="16"/>
      <c r="FT24" s="16"/>
      <c r="FU24" s="16"/>
      <c r="FV24" s="16"/>
      <c r="FW24" s="16"/>
      <c r="FX24" s="16"/>
      <c r="FY24" s="16"/>
      <c r="GA24" s="78"/>
      <c r="GB24" s="79"/>
      <c r="GC24" s="16"/>
      <c r="GD24" s="16"/>
      <c r="GE24" s="16"/>
      <c r="GF24" s="16"/>
      <c r="GG24" s="16"/>
      <c r="GH24" s="16"/>
      <c r="GI24" s="16"/>
      <c r="GJ24" s="16"/>
      <c r="GK24" s="16"/>
      <c r="GL24" s="16"/>
      <c r="GM24" s="16"/>
    </row>
    <row r="25" spans="1:195" s="18" customFormat="1" ht="15" customHeight="1">
      <c r="A25" s="80">
        <v>1994</v>
      </c>
      <c r="B25" s="81" t="s">
        <v>43</v>
      </c>
      <c r="C25" s="15">
        <f t="shared" si="2"/>
        <v>0.80645855758880514</v>
      </c>
      <c r="D25" s="15">
        <f t="shared" si="3"/>
        <v>0.91271243223487852</v>
      </c>
      <c r="E25" s="15">
        <f t="shared" si="4"/>
        <v>0.88358449946178685</v>
      </c>
      <c r="F25" s="16"/>
      <c r="G25" s="33"/>
      <c r="H25" s="16">
        <v>18580</v>
      </c>
      <c r="I25" s="16">
        <f t="shared" si="5"/>
        <v>2163</v>
      </c>
      <c r="J25" s="16">
        <v>16417</v>
      </c>
      <c r="K25" s="16">
        <v>14984</v>
      </c>
      <c r="L25" s="16">
        <f t="shared" si="6"/>
        <v>1433</v>
      </c>
      <c r="M25" s="16"/>
      <c r="N25" s="16"/>
      <c r="O25" s="80"/>
      <c r="P25" s="81"/>
      <c r="Q25" s="41"/>
      <c r="R25" s="41"/>
      <c r="S25" s="41"/>
      <c r="T25" s="16"/>
      <c r="U25" s="16"/>
      <c r="V25" s="16"/>
      <c r="W25" s="16"/>
      <c r="X25" s="16"/>
      <c r="Y25" s="16"/>
      <c r="Z25" s="16"/>
      <c r="AA25" s="16"/>
      <c r="AB25" s="16"/>
      <c r="AC25" s="80"/>
      <c r="AD25" s="81"/>
      <c r="AE25" s="41"/>
      <c r="AF25" s="41"/>
      <c r="AG25" s="41"/>
      <c r="AH25" s="41"/>
      <c r="AI25" s="41"/>
      <c r="AJ25" s="16"/>
      <c r="AK25" s="16"/>
      <c r="AL25" s="16"/>
      <c r="AM25" s="16"/>
      <c r="AN25" s="16"/>
      <c r="AO25" s="16"/>
      <c r="AP25" s="16"/>
      <c r="AQ25" s="80"/>
      <c r="AR25" s="81"/>
      <c r="AS25" s="41"/>
      <c r="AT25" s="41"/>
      <c r="AU25" s="41"/>
      <c r="AV25" s="16"/>
      <c r="AW25" s="16"/>
      <c r="AX25" s="16"/>
      <c r="AY25" s="16"/>
      <c r="AZ25" s="16"/>
      <c r="BA25" s="16"/>
      <c r="BB25" s="16"/>
      <c r="BC25" s="16"/>
      <c r="BD25" s="16"/>
      <c r="BE25" s="80"/>
      <c r="BF25" s="81"/>
      <c r="BG25" s="41"/>
      <c r="BH25" s="41"/>
      <c r="BI25" s="41"/>
      <c r="BJ25" s="16"/>
      <c r="BK25" s="16"/>
      <c r="BL25" s="16"/>
      <c r="BM25" s="16"/>
      <c r="BN25" s="16"/>
      <c r="BO25" s="16"/>
      <c r="BP25" s="16"/>
      <c r="BQ25" s="16"/>
      <c r="BR25" s="16"/>
      <c r="BS25" s="80"/>
      <c r="BT25" s="81"/>
      <c r="BU25" s="41"/>
      <c r="BV25" s="41"/>
      <c r="BW25" s="41"/>
      <c r="BX25" s="16"/>
      <c r="BY25" s="16"/>
      <c r="BZ25" s="16"/>
      <c r="CA25" s="16"/>
      <c r="CB25" s="16"/>
      <c r="CC25" s="16"/>
      <c r="CD25" s="16"/>
      <c r="CE25" s="16"/>
      <c r="CF25" s="16"/>
      <c r="CG25" s="80"/>
      <c r="CH25" s="81"/>
      <c r="CI25" s="41"/>
      <c r="CJ25" s="41"/>
      <c r="CK25" s="41"/>
      <c r="CL25" s="16"/>
      <c r="CM25" s="16"/>
      <c r="CN25" s="16"/>
      <c r="CO25" s="16"/>
      <c r="CP25" s="16"/>
      <c r="CQ25" s="16"/>
      <c r="CR25" s="16"/>
      <c r="CS25" s="16"/>
      <c r="CT25" s="16"/>
      <c r="CU25" s="80"/>
      <c r="CV25" s="81"/>
      <c r="CW25" s="41"/>
      <c r="CX25" s="41"/>
      <c r="CY25" s="41"/>
      <c r="CZ25" s="16"/>
      <c r="DA25" s="16"/>
      <c r="DB25" s="16"/>
      <c r="DC25" s="16"/>
      <c r="DD25" s="16"/>
      <c r="DE25" s="16"/>
      <c r="DF25" s="16"/>
      <c r="DG25" s="16"/>
      <c r="DH25" s="16"/>
      <c r="DI25" s="80"/>
      <c r="DJ25" s="81"/>
      <c r="DK25" s="41"/>
      <c r="DL25" s="41"/>
      <c r="DM25" s="41"/>
      <c r="DN25" s="16"/>
      <c r="DO25" s="16"/>
      <c r="DP25" s="16"/>
      <c r="DQ25" s="16"/>
      <c r="DR25" s="16"/>
      <c r="DS25" s="16"/>
      <c r="DT25" s="16"/>
      <c r="DU25" s="16"/>
      <c r="DV25" s="16"/>
      <c r="DW25" s="80"/>
      <c r="DX25" s="81"/>
      <c r="DY25" s="41"/>
      <c r="DZ25" s="41"/>
      <c r="EA25" s="41"/>
      <c r="EB25" s="16"/>
      <c r="EC25" s="16"/>
      <c r="ED25" s="16"/>
      <c r="EE25" s="16"/>
      <c r="EF25" s="16"/>
      <c r="EG25" s="16"/>
      <c r="EH25" s="16"/>
      <c r="EI25" s="16"/>
      <c r="EJ25" s="16"/>
      <c r="EK25" s="80"/>
      <c r="EL25" s="81"/>
      <c r="EM25" s="16"/>
      <c r="EN25" s="16"/>
      <c r="EO25" s="16"/>
      <c r="EP25" s="16"/>
      <c r="EQ25" s="16"/>
      <c r="ER25" s="16"/>
      <c r="ES25" s="16"/>
      <c r="ET25" s="16"/>
      <c r="EU25" s="16"/>
      <c r="EV25" s="16"/>
      <c r="EW25" s="16"/>
      <c r="EX25" s="16"/>
      <c r="EY25" s="80"/>
      <c r="EZ25" s="81"/>
      <c r="FA25" s="16"/>
      <c r="FB25" s="16"/>
      <c r="FC25" s="16"/>
      <c r="FD25" s="16"/>
      <c r="FE25" s="16"/>
      <c r="FF25" s="16"/>
      <c r="FG25" s="16"/>
      <c r="FH25" s="16"/>
      <c r="FI25" s="16"/>
      <c r="FJ25" s="16"/>
      <c r="FK25" s="16"/>
      <c r="FM25" s="80"/>
      <c r="FN25" s="81"/>
      <c r="FO25" s="16"/>
      <c r="FP25" s="16"/>
      <c r="FQ25" s="16"/>
      <c r="FR25" s="16"/>
      <c r="FS25" s="16"/>
      <c r="FT25" s="16"/>
      <c r="FU25" s="16"/>
      <c r="FV25" s="16"/>
      <c r="FW25" s="16"/>
      <c r="FX25" s="16"/>
      <c r="FY25" s="16"/>
      <c r="GA25" s="80"/>
      <c r="GB25" s="81"/>
      <c r="GC25" s="16"/>
      <c r="GD25" s="16"/>
      <c r="GE25" s="16"/>
      <c r="GF25" s="16"/>
      <c r="GG25" s="16"/>
      <c r="GH25" s="16"/>
      <c r="GI25" s="16"/>
      <c r="GJ25" s="16"/>
      <c r="GK25" s="16"/>
      <c r="GL25" s="16"/>
      <c r="GM25" s="16"/>
    </row>
    <row r="26" spans="1:195" s="18" customFormat="1" ht="15" customHeight="1">
      <c r="A26" s="78">
        <v>1994</v>
      </c>
      <c r="B26" s="79" t="s">
        <v>44</v>
      </c>
      <c r="C26" s="15">
        <f t="shared" si="2"/>
        <v>0.79899636042792543</v>
      </c>
      <c r="D26" s="15">
        <f t="shared" si="3"/>
        <v>0.91074234709912627</v>
      </c>
      <c r="E26" s="15">
        <f t="shared" si="4"/>
        <v>0.87730230506231388</v>
      </c>
      <c r="F26" s="16"/>
      <c r="G26" s="33"/>
      <c r="H26" s="16">
        <v>18134</v>
      </c>
      <c r="I26" s="16">
        <f t="shared" si="5"/>
        <v>2225</v>
      </c>
      <c r="J26" s="16">
        <v>15909</v>
      </c>
      <c r="K26" s="16">
        <v>14489</v>
      </c>
      <c r="L26" s="16">
        <f t="shared" si="6"/>
        <v>1420</v>
      </c>
      <c r="M26" s="16"/>
      <c r="N26" s="16"/>
      <c r="O26" s="78"/>
      <c r="P26" s="79"/>
      <c r="Q26" s="41"/>
      <c r="R26" s="41"/>
      <c r="S26" s="41"/>
      <c r="T26" s="16"/>
      <c r="U26" s="16"/>
      <c r="V26" s="16"/>
      <c r="W26" s="16"/>
      <c r="X26" s="16"/>
      <c r="Y26" s="16"/>
      <c r="Z26" s="16"/>
      <c r="AA26" s="16"/>
      <c r="AB26" s="16"/>
      <c r="AC26" s="78"/>
      <c r="AD26" s="79"/>
      <c r="AE26" s="41"/>
      <c r="AF26" s="41"/>
      <c r="AG26" s="41"/>
      <c r="AH26" s="41"/>
      <c r="AI26" s="41"/>
      <c r="AJ26" s="16"/>
      <c r="AK26" s="16"/>
      <c r="AL26" s="16"/>
      <c r="AM26" s="16"/>
      <c r="AN26" s="16"/>
      <c r="AO26" s="16"/>
      <c r="AP26" s="16"/>
      <c r="AQ26" s="78"/>
      <c r="AR26" s="79"/>
      <c r="AS26" s="41"/>
      <c r="AT26" s="41"/>
      <c r="AU26" s="41"/>
      <c r="AV26" s="16"/>
      <c r="AW26" s="16"/>
      <c r="AX26" s="16"/>
      <c r="AY26" s="16"/>
      <c r="AZ26" s="16"/>
      <c r="BA26" s="16"/>
      <c r="BB26" s="16"/>
      <c r="BC26" s="16"/>
      <c r="BD26" s="16"/>
      <c r="BE26" s="78"/>
      <c r="BF26" s="79"/>
      <c r="BG26" s="41"/>
      <c r="BH26" s="41"/>
      <c r="BI26" s="41"/>
      <c r="BJ26" s="16"/>
      <c r="BK26" s="16"/>
      <c r="BL26" s="16"/>
      <c r="BM26" s="16"/>
      <c r="BN26" s="16"/>
      <c r="BO26" s="16"/>
      <c r="BP26" s="16"/>
      <c r="BQ26" s="16"/>
      <c r="BR26" s="16"/>
      <c r="BS26" s="78"/>
      <c r="BT26" s="79"/>
      <c r="BU26" s="41"/>
      <c r="BV26" s="41"/>
      <c r="BW26" s="41"/>
      <c r="BX26" s="16"/>
      <c r="BY26" s="16"/>
      <c r="BZ26" s="16"/>
      <c r="CA26" s="16"/>
      <c r="CB26" s="16"/>
      <c r="CC26" s="16"/>
      <c r="CD26" s="16"/>
      <c r="CE26" s="16"/>
      <c r="CF26" s="16"/>
      <c r="CG26" s="78"/>
      <c r="CH26" s="79"/>
      <c r="CI26" s="41"/>
      <c r="CJ26" s="41"/>
      <c r="CK26" s="41"/>
      <c r="CL26" s="16"/>
      <c r="CM26" s="16"/>
      <c r="CN26" s="16"/>
      <c r="CO26" s="16"/>
      <c r="CP26" s="16"/>
      <c r="CQ26" s="16"/>
      <c r="CR26" s="16"/>
      <c r="CS26" s="16"/>
      <c r="CT26" s="16"/>
      <c r="CU26" s="78"/>
      <c r="CV26" s="79"/>
      <c r="CW26" s="41"/>
      <c r="CX26" s="41"/>
      <c r="CY26" s="41"/>
      <c r="CZ26" s="16"/>
      <c r="DA26" s="16"/>
      <c r="DB26" s="16"/>
      <c r="DC26" s="16"/>
      <c r="DD26" s="16"/>
      <c r="DE26" s="16"/>
      <c r="DF26" s="16"/>
      <c r="DG26" s="16"/>
      <c r="DH26" s="16"/>
      <c r="DI26" s="78"/>
      <c r="DJ26" s="79"/>
      <c r="DK26" s="41"/>
      <c r="DL26" s="41"/>
      <c r="DM26" s="41"/>
      <c r="DN26" s="16"/>
      <c r="DO26" s="16"/>
      <c r="DP26" s="16"/>
      <c r="DQ26" s="16"/>
      <c r="DR26" s="16"/>
      <c r="DS26" s="16"/>
      <c r="DT26" s="16"/>
      <c r="DU26" s="16"/>
      <c r="DV26" s="16"/>
      <c r="DW26" s="78"/>
      <c r="DX26" s="79"/>
      <c r="DY26" s="41"/>
      <c r="DZ26" s="41"/>
      <c r="EA26" s="41"/>
      <c r="EB26" s="16"/>
      <c r="EC26" s="16"/>
      <c r="ED26" s="16"/>
      <c r="EE26" s="16"/>
      <c r="EF26" s="16"/>
      <c r="EG26" s="16"/>
      <c r="EH26" s="16"/>
      <c r="EI26" s="16"/>
      <c r="EJ26" s="16"/>
      <c r="EK26" s="78"/>
      <c r="EL26" s="79"/>
      <c r="EM26" s="16"/>
      <c r="EN26" s="16"/>
      <c r="EO26" s="16"/>
      <c r="EP26" s="16"/>
      <c r="EQ26" s="16"/>
      <c r="ER26" s="16"/>
      <c r="ES26" s="16"/>
      <c r="ET26" s="16"/>
      <c r="EU26" s="16"/>
      <c r="EV26" s="16"/>
      <c r="EW26" s="16"/>
      <c r="EX26" s="16"/>
      <c r="EY26" s="78"/>
      <c r="EZ26" s="79"/>
      <c r="FA26" s="16"/>
      <c r="FB26" s="16"/>
      <c r="FC26" s="16"/>
      <c r="FD26" s="16"/>
      <c r="FE26" s="16"/>
      <c r="FF26" s="16"/>
      <c r="FG26" s="16"/>
      <c r="FH26" s="16"/>
      <c r="FI26" s="16"/>
      <c r="FJ26" s="16"/>
      <c r="FK26" s="16"/>
      <c r="FM26" s="78"/>
      <c r="FN26" s="79"/>
      <c r="FO26" s="16"/>
      <c r="FP26" s="16"/>
      <c r="FQ26" s="16"/>
      <c r="FR26" s="16"/>
      <c r="FS26" s="16"/>
      <c r="FT26" s="16"/>
      <c r="FU26" s="16"/>
      <c r="FV26" s="16"/>
      <c r="FW26" s="16"/>
      <c r="FX26" s="16"/>
      <c r="FY26" s="16"/>
      <c r="GA26" s="78"/>
      <c r="GB26" s="79"/>
      <c r="GC26" s="16"/>
      <c r="GD26" s="16"/>
      <c r="GE26" s="16"/>
      <c r="GF26" s="16"/>
      <c r="GG26" s="16"/>
      <c r="GH26" s="16"/>
      <c r="GI26" s="16"/>
      <c r="GJ26" s="16"/>
      <c r="GK26" s="16"/>
      <c r="GL26" s="16"/>
      <c r="GM26" s="16"/>
    </row>
    <row r="27" spans="1:195" s="18" customFormat="1" ht="15" customHeight="1">
      <c r="A27" s="80">
        <v>1994</v>
      </c>
      <c r="B27" s="81" t="s">
        <v>45</v>
      </c>
      <c r="C27" s="15">
        <f t="shared" si="2"/>
        <v>0.80497749536669316</v>
      </c>
      <c r="D27" s="15">
        <f t="shared" si="3"/>
        <v>0.91221122112211217</v>
      </c>
      <c r="E27" s="15">
        <f t="shared" si="4"/>
        <v>0.88244638602065129</v>
      </c>
      <c r="F27" s="16"/>
      <c r="G27" s="33"/>
      <c r="H27" s="16">
        <v>18885</v>
      </c>
      <c r="I27" s="16">
        <f t="shared" si="5"/>
        <v>2220</v>
      </c>
      <c r="J27" s="16">
        <v>16665</v>
      </c>
      <c r="K27" s="16">
        <v>15202</v>
      </c>
      <c r="L27" s="16">
        <f t="shared" si="6"/>
        <v>1463</v>
      </c>
      <c r="M27" s="16"/>
      <c r="N27" s="16"/>
      <c r="O27" s="80"/>
      <c r="P27" s="81"/>
      <c r="Q27" s="41"/>
      <c r="R27" s="41"/>
      <c r="S27" s="41"/>
      <c r="T27" s="16"/>
      <c r="U27" s="16"/>
      <c r="V27" s="16"/>
      <c r="W27" s="16"/>
      <c r="X27" s="16"/>
      <c r="Y27" s="16"/>
      <c r="Z27" s="16"/>
      <c r="AA27" s="16"/>
      <c r="AB27" s="16"/>
      <c r="AC27" s="80"/>
      <c r="AD27" s="81"/>
      <c r="AE27" s="41"/>
      <c r="AF27" s="41"/>
      <c r="AG27" s="41"/>
      <c r="AH27" s="41"/>
      <c r="AI27" s="41"/>
      <c r="AJ27" s="16"/>
      <c r="AK27" s="16"/>
      <c r="AL27" s="16"/>
      <c r="AM27" s="16"/>
      <c r="AN27" s="16"/>
      <c r="AO27" s="16"/>
      <c r="AP27" s="16"/>
      <c r="AQ27" s="80"/>
      <c r="AR27" s="81"/>
      <c r="AS27" s="41"/>
      <c r="AT27" s="41"/>
      <c r="AU27" s="41"/>
      <c r="AV27" s="16"/>
      <c r="AW27" s="16"/>
      <c r="AX27" s="16"/>
      <c r="AY27" s="16"/>
      <c r="AZ27" s="16"/>
      <c r="BA27" s="16"/>
      <c r="BB27" s="16"/>
      <c r="BC27" s="16"/>
      <c r="BD27" s="16"/>
      <c r="BE27" s="80"/>
      <c r="BF27" s="81"/>
      <c r="BG27" s="41"/>
      <c r="BH27" s="41"/>
      <c r="BI27" s="41"/>
      <c r="BJ27" s="16"/>
      <c r="BK27" s="16"/>
      <c r="BL27" s="16"/>
      <c r="BM27" s="16"/>
      <c r="BN27" s="16"/>
      <c r="BO27" s="16"/>
      <c r="BP27" s="16"/>
      <c r="BQ27" s="16"/>
      <c r="BR27" s="16"/>
      <c r="BS27" s="80"/>
      <c r="BT27" s="81"/>
      <c r="BU27" s="41"/>
      <c r="BV27" s="41"/>
      <c r="BW27" s="41"/>
      <c r="BX27" s="16"/>
      <c r="BY27" s="16"/>
      <c r="BZ27" s="16"/>
      <c r="CA27" s="16"/>
      <c r="CB27" s="16"/>
      <c r="CC27" s="16"/>
      <c r="CD27" s="16"/>
      <c r="CE27" s="16"/>
      <c r="CF27" s="16"/>
      <c r="CG27" s="80"/>
      <c r="CH27" s="81"/>
      <c r="CI27" s="41"/>
      <c r="CJ27" s="41"/>
      <c r="CK27" s="41"/>
      <c r="CL27" s="16"/>
      <c r="CM27" s="16"/>
      <c r="CN27" s="16"/>
      <c r="CO27" s="16"/>
      <c r="CP27" s="16"/>
      <c r="CQ27" s="16"/>
      <c r="CR27" s="16"/>
      <c r="CS27" s="16"/>
      <c r="CT27" s="16"/>
      <c r="CU27" s="80"/>
      <c r="CV27" s="81"/>
      <c r="CW27" s="41"/>
      <c r="CX27" s="41"/>
      <c r="CY27" s="41"/>
      <c r="CZ27" s="16"/>
      <c r="DA27" s="16"/>
      <c r="DB27" s="16"/>
      <c r="DC27" s="16"/>
      <c r="DD27" s="16"/>
      <c r="DE27" s="16"/>
      <c r="DF27" s="16"/>
      <c r="DG27" s="16"/>
      <c r="DH27" s="16"/>
      <c r="DI27" s="80"/>
      <c r="DJ27" s="81"/>
      <c r="DK27" s="41"/>
      <c r="DL27" s="41"/>
      <c r="DM27" s="41"/>
      <c r="DN27" s="16"/>
      <c r="DO27" s="16"/>
      <c r="DP27" s="16"/>
      <c r="DQ27" s="16"/>
      <c r="DR27" s="16"/>
      <c r="DS27" s="16"/>
      <c r="DT27" s="16"/>
      <c r="DU27" s="16"/>
      <c r="DV27" s="16"/>
      <c r="DW27" s="80"/>
      <c r="DX27" s="81"/>
      <c r="DY27" s="41"/>
      <c r="DZ27" s="41"/>
      <c r="EA27" s="41"/>
      <c r="EB27" s="16"/>
      <c r="EC27" s="16"/>
      <c r="ED27" s="16"/>
      <c r="EE27" s="16"/>
      <c r="EF27" s="16"/>
      <c r="EG27" s="16"/>
      <c r="EH27" s="16"/>
      <c r="EI27" s="16"/>
      <c r="EJ27" s="16"/>
      <c r="EK27" s="80"/>
      <c r="EL27" s="81"/>
      <c r="EM27" s="16"/>
      <c r="EN27" s="16"/>
      <c r="EO27" s="16"/>
      <c r="EP27" s="16"/>
      <c r="EQ27" s="16"/>
      <c r="ER27" s="16"/>
      <c r="ES27" s="16"/>
      <c r="ET27" s="16"/>
      <c r="EU27" s="16"/>
      <c r="EV27" s="16"/>
      <c r="EW27" s="16"/>
      <c r="EX27" s="16"/>
      <c r="EY27" s="80"/>
      <c r="EZ27" s="81"/>
      <c r="FA27" s="16"/>
      <c r="FB27" s="16"/>
      <c r="FC27" s="16"/>
      <c r="FD27" s="16"/>
      <c r="FE27" s="16"/>
      <c r="FF27" s="16"/>
      <c r="FG27" s="16"/>
      <c r="FH27" s="16"/>
      <c r="FI27" s="16"/>
      <c r="FJ27" s="16"/>
      <c r="FK27" s="16"/>
      <c r="FM27" s="80"/>
      <c r="FN27" s="81"/>
      <c r="FO27" s="16"/>
      <c r="FP27" s="16"/>
      <c r="FQ27" s="16"/>
      <c r="FR27" s="16"/>
      <c r="FS27" s="16"/>
      <c r="FT27" s="16"/>
      <c r="FU27" s="16"/>
      <c r="FV27" s="16"/>
      <c r="FW27" s="16"/>
      <c r="FX27" s="16"/>
      <c r="FY27" s="16"/>
      <c r="GA27" s="80"/>
      <c r="GB27" s="81"/>
      <c r="GC27" s="16"/>
      <c r="GD27" s="16"/>
      <c r="GE27" s="16"/>
      <c r="GF27" s="16"/>
      <c r="GG27" s="16"/>
      <c r="GH27" s="16"/>
      <c r="GI27" s="16"/>
      <c r="GJ27" s="16"/>
      <c r="GK27" s="16"/>
      <c r="GL27" s="16"/>
      <c r="GM27" s="16"/>
    </row>
    <row r="28" spans="1:195" s="18" customFormat="1" ht="15" customHeight="1">
      <c r="A28" s="78">
        <v>1994</v>
      </c>
      <c r="B28" s="79" t="s">
        <v>46</v>
      </c>
      <c r="C28" s="15">
        <f t="shared" si="2"/>
        <v>0.79495585047321948</v>
      </c>
      <c r="D28" s="15">
        <f t="shared" si="3"/>
        <v>0.89889991629797916</v>
      </c>
      <c r="E28" s="15">
        <f t="shared" si="4"/>
        <v>0.88436525141437106</v>
      </c>
      <c r="F28" s="16"/>
      <c r="G28" s="33"/>
      <c r="H28" s="16">
        <v>18913</v>
      </c>
      <c r="I28" s="16">
        <f t="shared" si="5"/>
        <v>2187</v>
      </c>
      <c r="J28" s="16">
        <v>16726</v>
      </c>
      <c r="K28" s="16">
        <v>15035</v>
      </c>
      <c r="L28" s="16">
        <f t="shared" si="6"/>
        <v>1691</v>
      </c>
      <c r="M28" s="16"/>
      <c r="N28" s="16"/>
      <c r="O28" s="78"/>
      <c r="P28" s="79"/>
      <c r="Q28" s="41"/>
      <c r="R28" s="41"/>
      <c r="S28" s="41"/>
      <c r="T28" s="16"/>
      <c r="U28" s="16"/>
      <c r="V28" s="16"/>
      <c r="W28" s="16"/>
      <c r="X28" s="16"/>
      <c r="Y28" s="16"/>
      <c r="Z28" s="16"/>
      <c r="AA28" s="16"/>
      <c r="AB28" s="16"/>
      <c r="AC28" s="78"/>
      <c r="AD28" s="79"/>
      <c r="AE28" s="41"/>
      <c r="AF28" s="41"/>
      <c r="AG28" s="41"/>
      <c r="AH28" s="41"/>
      <c r="AI28" s="41"/>
      <c r="AJ28" s="16"/>
      <c r="AK28" s="16"/>
      <c r="AL28" s="16"/>
      <c r="AM28" s="16"/>
      <c r="AN28" s="16"/>
      <c r="AO28" s="16"/>
      <c r="AP28" s="16"/>
      <c r="AQ28" s="78"/>
      <c r="AR28" s="79"/>
      <c r="AS28" s="41"/>
      <c r="AT28" s="41"/>
      <c r="AU28" s="41"/>
      <c r="AV28" s="16"/>
      <c r="AW28" s="16"/>
      <c r="AX28" s="16"/>
      <c r="AY28" s="16"/>
      <c r="AZ28" s="16"/>
      <c r="BA28" s="16"/>
      <c r="BB28" s="16"/>
      <c r="BC28" s="16"/>
      <c r="BD28" s="16"/>
      <c r="BE28" s="78"/>
      <c r="BF28" s="79"/>
      <c r="BG28" s="41"/>
      <c r="BH28" s="41"/>
      <c r="BI28" s="41"/>
      <c r="BJ28" s="16"/>
      <c r="BK28" s="16"/>
      <c r="BL28" s="16"/>
      <c r="BM28" s="16"/>
      <c r="BN28" s="16"/>
      <c r="BO28" s="16"/>
      <c r="BP28" s="16"/>
      <c r="BQ28" s="16"/>
      <c r="BR28" s="16"/>
      <c r="BS28" s="78"/>
      <c r="BT28" s="79"/>
      <c r="BU28" s="41"/>
      <c r="BV28" s="41"/>
      <c r="BW28" s="41"/>
      <c r="BX28" s="16"/>
      <c r="BY28" s="16"/>
      <c r="BZ28" s="16"/>
      <c r="CA28" s="16"/>
      <c r="CB28" s="16"/>
      <c r="CC28" s="16"/>
      <c r="CD28" s="16"/>
      <c r="CE28" s="16"/>
      <c r="CF28" s="16"/>
      <c r="CG28" s="78"/>
      <c r="CH28" s="79"/>
      <c r="CI28" s="41"/>
      <c r="CJ28" s="41"/>
      <c r="CK28" s="41"/>
      <c r="CL28" s="16"/>
      <c r="CM28" s="16"/>
      <c r="CN28" s="16"/>
      <c r="CO28" s="16"/>
      <c r="CP28" s="16"/>
      <c r="CQ28" s="16"/>
      <c r="CR28" s="16"/>
      <c r="CS28" s="16"/>
      <c r="CT28" s="16"/>
      <c r="CU28" s="78"/>
      <c r="CV28" s="79"/>
      <c r="CW28" s="41"/>
      <c r="CX28" s="41"/>
      <c r="CY28" s="41"/>
      <c r="CZ28" s="16"/>
      <c r="DA28" s="16"/>
      <c r="DB28" s="16"/>
      <c r="DC28" s="16"/>
      <c r="DD28" s="16"/>
      <c r="DE28" s="16"/>
      <c r="DF28" s="16"/>
      <c r="DG28" s="16"/>
      <c r="DH28" s="16"/>
      <c r="DI28" s="78"/>
      <c r="DJ28" s="79"/>
      <c r="DK28" s="41"/>
      <c r="DL28" s="41"/>
      <c r="DM28" s="41"/>
      <c r="DN28" s="16"/>
      <c r="DO28" s="16"/>
      <c r="DP28" s="16"/>
      <c r="DQ28" s="16"/>
      <c r="DR28" s="16"/>
      <c r="DS28" s="16"/>
      <c r="DT28" s="16"/>
      <c r="DU28" s="16"/>
      <c r="DV28" s="16"/>
      <c r="DW28" s="78"/>
      <c r="DX28" s="79"/>
      <c r="DY28" s="41"/>
      <c r="DZ28" s="41"/>
      <c r="EA28" s="41"/>
      <c r="EB28" s="16"/>
      <c r="EC28" s="16"/>
      <c r="ED28" s="16"/>
      <c r="EE28" s="16"/>
      <c r="EF28" s="16"/>
      <c r="EG28" s="16"/>
      <c r="EH28" s="16"/>
      <c r="EI28" s="16"/>
      <c r="EJ28" s="16"/>
      <c r="EK28" s="78"/>
      <c r="EL28" s="79"/>
      <c r="EM28" s="16"/>
      <c r="EN28" s="16"/>
      <c r="EO28" s="16"/>
      <c r="EP28" s="16"/>
      <c r="EQ28" s="16"/>
      <c r="ER28" s="16"/>
      <c r="ES28" s="16"/>
      <c r="ET28" s="16"/>
      <c r="EU28" s="16"/>
      <c r="EV28" s="16"/>
      <c r="EW28" s="16"/>
      <c r="EX28" s="16"/>
      <c r="EY28" s="78"/>
      <c r="EZ28" s="79"/>
      <c r="FA28" s="16"/>
      <c r="FB28" s="16"/>
      <c r="FC28" s="16"/>
      <c r="FD28" s="16"/>
      <c r="FE28" s="16"/>
      <c r="FF28" s="16"/>
      <c r="FG28" s="16"/>
      <c r="FH28" s="16"/>
      <c r="FI28" s="16"/>
      <c r="FJ28" s="16"/>
      <c r="FK28" s="16"/>
      <c r="FM28" s="78"/>
      <c r="FN28" s="79"/>
      <c r="FO28" s="16"/>
      <c r="FP28" s="16"/>
      <c r="FQ28" s="16"/>
      <c r="FR28" s="16"/>
      <c r="FS28" s="16"/>
      <c r="FT28" s="16"/>
      <c r="FU28" s="16"/>
      <c r="FV28" s="16"/>
      <c r="FW28" s="16"/>
      <c r="FX28" s="16"/>
      <c r="FY28" s="16"/>
      <c r="GA28" s="78"/>
      <c r="GB28" s="79"/>
      <c r="GC28" s="16"/>
      <c r="GD28" s="16"/>
      <c r="GE28" s="16"/>
      <c r="GF28" s="16"/>
      <c r="GG28" s="16"/>
      <c r="GH28" s="16"/>
      <c r="GI28" s="16"/>
      <c r="GJ28" s="16"/>
      <c r="GK28" s="16"/>
      <c r="GL28" s="16"/>
      <c r="GM28" s="16"/>
    </row>
    <row r="29" spans="1:195" s="18" customFormat="1" ht="15" customHeight="1">
      <c r="A29" s="80">
        <v>1994</v>
      </c>
      <c r="B29" s="81" t="s">
        <v>47</v>
      </c>
      <c r="C29" s="15">
        <f t="shared" si="2"/>
        <v>0.7500765696784073</v>
      </c>
      <c r="D29" s="15">
        <f t="shared" si="3"/>
        <v>0.8834245175254013</v>
      </c>
      <c r="E29" s="15">
        <f t="shared" si="4"/>
        <v>0.84905564063297601</v>
      </c>
      <c r="F29" s="16"/>
      <c r="G29" s="33"/>
      <c r="H29" s="16">
        <v>19590</v>
      </c>
      <c r="I29" s="16">
        <f t="shared" si="5"/>
        <v>2957</v>
      </c>
      <c r="J29" s="16">
        <v>16633</v>
      </c>
      <c r="K29" s="16">
        <v>14694</v>
      </c>
      <c r="L29" s="16">
        <f t="shared" si="6"/>
        <v>1939</v>
      </c>
      <c r="M29" s="16"/>
      <c r="N29" s="16"/>
      <c r="O29" s="80"/>
      <c r="P29" s="81"/>
      <c r="Q29" s="41"/>
      <c r="R29" s="41"/>
      <c r="S29" s="41"/>
      <c r="T29" s="16"/>
      <c r="U29" s="16"/>
      <c r="V29" s="16"/>
      <c r="W29" s="16"/>
      <c r="X29" s="16"/>
      <c r="Y29" s="16"/>
      <c r="Z29" s="16"/>
      <c r="AA29" s="16"/>
      <c r="AB29" s="16"/>
      <c r="AC29" s="80"/>
      <c r="AD29" s="81"/>
      <c r="AE29" s="41"/>
      <c r="AF29" s="41"/>
      <c r="AG29" s="41"/>
      <c r="AH29" s="41"/>
      <c r="AI29" s="41"/>
      <c r="AJ29" s="16"/>
      <c r="AK29" s="16"/>
      <c r="AL29" s="16"/>
      <c r="AM29" s="16"/>
      <c r="AN29" s="16"/>
      <c r="AO29" s="16"/>
      <c r="AP29" s="16"/>
      <c r="AQ29" s="80"/>
      <c r="AR29" s="81"/>
      <c r="AS29" s="41"/>
      <c r="AT29" s="41"/>
      <c r="AU29" s="41"/>
      <c r="AV29" s="16"/>
      <c r="AW29" s="16"/>
      <c r="AX29" s="16"/>
      <c r="AY29" s="16"/>
      <c r="AZ29" s="16"/>
      <c r="BA29" s="16"/>
      <c r="BB29" s="16"/>
      <c r="BC29" s="16"/>
      <c r="BD29" s="16"/>
      <c r="BE29" s="80"/>
      <c r="BF29" s="81"/>
      <c r="BG29" s="41"/>
      <c r="BH29" s="41"/>
      <c r="BI29" s="41"/>
      <c r="BJ29" s="16"/>
      <c r="BK29" s="16"/>
      <c r="BL29" s="16"/>
      <c r="BM29" s="16"/>
      <c r="BN29" s="16"/>
      <c r="BO29" s="16"/>
      <c r="BP29" s="16"/>
      <c r="BQ29" s="16"/>
      <c r="BR29" s="16"/>
      <c r="BS29" s="80"/>
      <c r="BT29" s="81"/>
      <c r="BU29" s="41"/>
      <c r="BV29" s="41"/>
      <c r="BW29" s="41"/>
      <c r="BX29" s="16"/>
      <c r="BY29" s="16"/>
      <c r="BZ29" s="16"/>
      <c r="CA29" s="16"/>
      <c r="CB29" s="16"/>
      <c r="CC29" s="16"/>
      <c r="CD29" s="16"/>
      <c r="CE29" s="16"/>
      <c r="CF29" s="16"/>
      <c r="CG29" s="80"/>
      <c r="CH29" s="81"/>
      <c r="CI29" s="41"/>
      <c r="CJ29" s="41"/>
      <c r="CK29" s="41"/>
      <c r="CL29" s="16"/>
      <c r="CM29" s="16"/>
      <c r="CN29" s="16"/>
      <c r="CO29" s="16"/>
      <c r="CP29" s="16"/>
      <c r="CQ29" s="16"/>
      <c r="CR29" s="16"/>
      <c r="CS29" s="16"/>
      <c r="CT29" s="16"/>
      <c r="CU29" s="80"/>
      <c r="CV29" s="81"/>
      <c r="CW29" s="41"/>
      <c r="CX29" s="41"/>
      <c r="CY29" s="41"/>
      <c r="CZ29" s="16"/>
      <c r="DA29" s="16"/>
      <c r="DB29" s="16"/>
      <c r="DC29" s="16"/>
      <c r="DD29" s="16"/>
      <c r="DE29" s="16"/>
      <c r="DF29" s="16"/>
      <c r="DG29" s="16"/>
      <c r="DH29" s="16"/>
      <c r="DI29" s="80"/>
      <c r="DJ29" s="81"/>
      <c r="DK29" s="41"/>
      <c r="DL29" s="41"/>
      <c r="DM29" s="41"/>
      <c r="DN29" s="16"/>
      <c r="DO29" s="16"/>
      <c r="DP29" s="16"/>
      <c r="DQ29" s="16"/>
      <c r="DR29" s="16"/>
      <c r="DS29" s="16"/>
      <c r="DT29" s="16"/>
      <c r="DU29" s="16"/>
      <c r="DV29" s="16"/>
      <c r="DW29" s="80"/>
      <c r="DX29" s="81"/>
      <c r="DY29" s="41"/>
      <c r="DZ29" s="41"/>
      <c r="EA29" s="41"/>
      <c r="EB29" s="16"/>
      <c r="EC29" s="16"/>
      <c r="ED29" s="16"/>
      <c r="EE29" s="16"/>
      <c r="EF29" s="16"/>
      <c r="EG29" s="16"/>
      <c r="EH29" s="16"/>
      <c r="EI29" s="16"/>
      <c r="EJ29" s="16"/>
      <c r="EK29" s="80"/>
      <c r="EL29" s="81"/>
      <c r="EM29" s="16"/>
      <c r="EN29" s="16"/>
      <c r="EO29" s="16"/>
      <c r="EP29" s="16"/>
      <c r="EQ29" s="16"/>
      <c r="ER29" s="16"/>
      <c r="ES29" s="16"/>
      <c r="ET29" s="16"/>
      <c r="EU29" s="16"/>
      <c r="EV29" s="16"/>
      <c r="EW29" s="16"/>
      <c r="EX29" s="16"/>
      <c r="EY29" s="80"/>
      <c r="EZ29" s="81"/>
      <c r="FA29" s="16"/>
      <c r="FB29" s="16"/>
      <c r="FC29" s="16"/>
      <c r="FD29" s="16"/>
      <c r="FE29" s="16"/>
      <c r="FF29" s="16"/>
      <c r="FG29" s="16"/>
      <c r="FH29" s="16"/>
      <c r="FI29" s="16"/>
      <c r="FJ29" s="16"/>
      <c r="FK29" s="16"/>
      <c r="FM29" s="80"/>
      <c r="FN29" s="81"/>
      <c r="FO29" s="16"/>
      <c r="FP29" s="16"/>
      <c r="FQ29" s="16"/>
      <c r="FR29" s="16"/>
      <c r="FS29" s="16"/>
      <c r="FT29" s="16"/>
      <c r="FU29" s="16"/>
      <c r="FV29" s="16"/>
      <c r="FW29" s="16"/>
      <c r="FX29" s="16"/>
      <c r="FY29" s="16"/>
      <c r="GA29" s="80"/>
      <c r="GB29" s="81"/>
      <c r="GC29" s="16"/>
      <c r="GD29" s="16"/>
      <c r="GE29" s="16"/>
      <c r="GF29" s="16"/>
      <c r="GG29" s="16"/>
      <c r="GH29" s="16"/>
      <c r="GI29" s="16"/>
      <c r="GJ29" s="16"/>
      <c r="GK29" s="16"/>
      <c r="GL29" s="16"/>
      <c r="GM29" s="16"/>
    </row>
    <row r="30" spans="1:195" s="18" customFormat="1" ht="15" customHeight="1">
      <c r="A30" s="78">
        <v>1995</v>
      </c>
      <c r="B30" s="79" t="s">
        <v>36</v>
      </c>
      <c r="C30" s="15">
        <f t="shared" si="2"/>
        <v>0.80075542965061375</v>
      </c>
      <c r="D30" s="15">
        <f t="shared" si="3"/>
        <v>0.85539666528214564</v>
      </c>
      <c r="E30" s="15">
        <f t="shared" si="4"/>
        <v>0.93612175748486359</v>
      </c>
      <c r="F30" s="16"/>
      <c r="G30" s="33"/>
      <c r="H30" s="16">
        <f>3270+5616+9117</f>
        <v>18003</v>
      </c>
      <c r="I30" s="16">
        <f t="shared" ref="I30:I41" si="7">H30-J30</f>
        <v>1150</v>
      </c>
      <c r="J30" s="16">
        <f>3096+5242+8515</f>
        <v>16853</v>
      </c>
      <c r="K30" s="16">
        <f>2394+4734+7288</f>
        <v>14416</v>
      </c>
      <c r="L30" s="16">
        <f t="shared" ref="L30:L41" si="8">J30-K30</f>
        <v>2437</v>
      </c>
      <c r="M30" s="16"/>
      <c r="N30" s="16"/>
      <c r="O30" s="78"/>
      <c r="P30" s="79"/>
      <c r="Q30" s="41"/>
      <c r="R30" s="41"/>
      <c r="S30" s="41"/>
      <c r="T30" s="16"/>
      <c r="U30" s="16"/>
      <c r="V30" s="16"/>
      <c r="W30" s="16"/>
      <c r="X30" s="16"/>
      <c r="Y30" s="16"/>
      <c r="Z30" s="16"/>
      <c r="AA30" s="16"/>
      <c r="AB30" s="16"/>
      <c r="AC30" s="78"/>
      <c r="AD30" s="79"/>
      <c r="AE30" s="41"/>
      <c r="AF30" s="41"/>
      <c r="AG30" s="41"/>
      <c r="AH30" s="41"/>
      <c r="AI30" s="41"/>
      <c r="AJ30" s="16"/>
      <c r="AK30" s="16"/>
      <c r="AL30" s="16"/>
      <c r="AM30" s="16"/>
      <c r="AN30" s="16"/>
      <c r="AO30" s="16"/>
      <c r="AP30" s="16"/>
      <c r="AQ30" s="78"/>
      <c r="AR30" s="79"/>
      <c r="AS30" s="41"/>
      <c r="AT30" s="41"/>
      <c r="AU30" s="41"/>
      <c r="AV30" s="16"/>
      <c r="AW30" s="16"/>
      <c r="AX30" s="16"/>
      <c r="AY30" s="16"/>
      <c r="AZ30" s="16"/>
      <c r="BA30" s="16"/>
      <c r="BB30" s="16"/>
      <c r="BC30" s="16"/>
      <c r="BD30" s="16"/>
      <c r="BE30" s="78"/>
      <c r="BF30" s="79"/>
      <c r="BG30" s="41"/>
      <c r="BH30" s="41"/>
      <c r="BI30" s="41"/>
      <c r="BJ30" s="16"/>
      <c r="BK30" s="16"/>
      <c r="BL30" s="16"/>
      <c r="BM30" s="16"/>
      <c r="BN30" s="16"/>
      <c r="BO30" s="16"/>
      <c r="BP30" s="16"/>
      <c r="BQ30" s="16"/>
      <c r="BR30" s="16"/>
      <c r="BS30" s="78"/>
      <c r="BT30" s="79"/>
      <c r="BU30" s="41"/>
      <c r="BV30" s="41"/>
      <c r="BW30" s="41"/>
      <c r="BX30" s="16"/>
      <c r="BY30" s="16"/>
      <c r="BZ30" s="16"/>
      <c r="CA30" s="16"/>
      <c r="CB30" s="16"/>
      <c r="CC30" s="16"/>
      <c r="CD30" s="16"/>
      <c r="CE30" s="16"/>
      <c r="CF30" s="16"/>
      <c r="CG30" s="78"/>
      <c r="CH30" s="79"/>
      <c r="CI30" s="41"/>
      <c r="CJ30" s="41"/>
      <c r="CK30" s="41"/>
      <c r="CL30" s="16"/>
      <c r="CM30" s="16"/>
      <c r="CN30" s="16"/>
      <c r="CO30" s="16"/>
      <c r="CP30" s="16"/>
      <c r="CQ30" s="16"/>
      <c r="CR30" s="16"/>
      <c r="CS30" s="16"/>
      <c r="CT30" s="16"/>
      <c r="CU30" s="78"/>
      <c r="CV30" s="79"/>
      <c r="CW30" s="41"/>
      <c r="CX30" s="41"/>
      <c r="CY30" s="41"/>
      <c r="CZ30" s="16"/>
      <c r="DA30" s="16"/>
      <c r="DB30" s="16"/>
      <c r="DC30" s="16"/>
      <c r="DD30" s="16"/>
      <c r="DE30" s="16"/>
      <c r="DF30" s="16"/>
      <c r="DG30" s="16"/>
      <c r="DH30" s="16"/>
      <c r="DI30" s="78"/>
      <c r="DJ30" s="79"/>
      <c r="DK30" s="41"/>
      <c r="DL30" s="41"/>
      <c r="DM30" s="41"/>
      <c r="DN30" s="16"/>
      <c r="DO30" s="16"/>
      <c r="DP30" s="16"/>
      <c r="DQ30" s="16"/>
      <c r="DR30" s="16"/>
      <c r="DS30" s="16"/>
      <c r="DT30" s="16"/>
      <c r="DU30" s="16"/>
      <c r="DV30" s="16"/>
      <c r="DW30" s="78"/>
      <c r="DX30" s="79"/>
      <c r="DY30" s="41"/>
      <c r="DZ30" s="41"/>
      <c r="EA30" s="41"/>
      <c r="EB30" s="16"/>
      <c r="EC30" s="16"/>
      <c r="ED30" s="16"/>
      <c r="EE30" s="16"/>
      <c r="EF30" s="16"/>
      <c r="EG30" s="16"/>
      <c r="EH30" s="16"/>
      <c r="EI30" s="16"/>
      <c r="EJ30" s="16"/>
      <c r="EK30" s="78"/>
      <c r="EL30" s="79"/>
      <c r="EM30" s="16"/>
      <c r="EN30" s="16"/>
      <c r="EO30" s="16"/>
      <c r="EP30" s="16"/>
      <c r="EQ30" s="16"/>
      <c r="ER30" s="16"/>
      <c r="ES30" s="16"/>
      <c r="ET30" s="16"/>
      <c r="EU30" s="16"/>
      <c r="EV30" s="16"/>
      <c r="EW30" s="16"/>
      <c r="EX30" s="16"/>
      <c r="EY30" s="78"/>
      <c r="EZ30" s="79"/>
      <c r="FA30" s="16"/>
      <c r="FB30" s="16"/>
      <c r="FC30" s="16"/>
      <c r="FD30" s="16"/>
      <c r="FE30" s="16"/>
      <c r="FF30" s="16"/>
      <c r="FG30" s="16"/>
      <c r="FH30" s="16"/>
      <c r="FI30" s="16"/>
      <c r="FJ30" s="16"/>
      <c r="FK30" s="16"/>
      <c r="FM30" s="78"/>
      <c r="FN30" s="79"/>
      <c r="FO30" s="16"/>
      <c r="FP30" s="16"/>
      <c r="FQ30" s="16"/>
      <c r="FR30" s="16"/>
      <c r="FS30" s="16"/>
      <c r="FT30" s="16"/>
      <c r="FU30" s="16"/>
      <c r="FV30" s="16"/>
      <c r="FW30" s="16"/>
      <c r="FX30" s="16"/>
      <c r="FY30" s="16"/>
      <c r="GA30" s="78"/>
      <c r="GB30" s="79"/>
      <c r="GC30" s="16"/>
      <c r="GD30" s="16"/>
      <c r="GE30" s="16"/>
      <c r="GF30" s="16"/>
      <c r="GG30" s="16"/>
      <c r="GH30" s="16"/>
      <c r="GI30" s="16"/>
      <c r="GJ30" s="16"/>
      <c r="GK30" s="16"/>
      <c r="GL30" s="16"/>
      <c r="GM30" s="16"/>
    </row>
    <row r="31" spans="1:195" s="18" customFormat="1" ht="15" customHeight="1">
      <c r="A31" s="80">
        <v>1995</v>
      </c>
      <c r="B31" s="81" t="s">
        <v>37</v>
      </c>
      <c r="C31" s="15">
        <f t="shared" si="2"/>
        <v>0.93614097968936683</v>
      </c>
      <c r="D31" s="15">
        <f t="shared" si="3"/>
        <v>0.95374596798734101</v>
      </c>
      <c r="E31" s="15">
        <f t="shared" si="4"/>
        <v>0.98154121863799282</v>
      </c>
      <c r="F31" s="16"/>
      <c r="G31" s="33"/>
      <c r="H31" s="16">
        <f>3048+5224+8468</f>
        <v>16740</v>
      </c>
      <c r="I31" s="16">
        <f t="shared" si="7"/>
        <v>309</v>
      </c>
      <c r="J31" s="16">
        <f>2968+5131+8332</f>
        <v>16431</v>
      </c>
      <c r="K31" s="16">
        <f>2809+4909+7953</f>
        <v>15671</v>
      </c>
      <c r="L31" s="16">
        <f t="shared" si="8"/>
        <v>760</v>
      </c>
      <c r="M31" s="16"/>
      <c r="N31" s="16"/>
      <c r="O31" s="80"/>
      <c r="P31" s="81"/>
      <c r="Q31" s="41"/>
      <c r="R31" s="41"/>
      <c r="S31" s="41"/>
      <c r="T31" s="16"/>
      <c r="U31" s="16"/>
      <c r="V31" s="16"/>
      <c r="W31" s="16"/>
      <c r="X31" s="16"/>
      <c r="Y31" s="16"/>
      <c r="Z31" s="16"/>
      <c r="AA31" s="16"/>
      <c r="AB31" s="16"/>
      <c r="AC31" s="80"/>
      <c r="AD31" s="81"/>
      <c r="AE31" s="41"/>
      <c r="AF31" s="41"/>
      <c r="AG31" s="41"/>
      <c r="AH31" s="41"/>
      <c r="AI31" s="41"/>
      <c r="AJ31" s="16"/>
      <c r="AK31" s="16"/>
      <c r="AL31" s="16"/>
      <c r="AM31" s="16"/>
      <c r="AN31" s="16"/>
      <c r="AO31" s="16"/>
      <c r="AP31" s="16"/>
      <c r="AQ31" s="80"/>
      <c r="AR31" s="81"/>
      <c r="AS31" s="41"/>
      <c r="AT31" s="41"/>
      <c r="AU31" s="41"/>
      <c r="AV31" s="16"/>
      <c r="AW31" s="16"/>
      <c r="AX31" s="16"/>
      <c r="AY31" s="16"/>
      <c r="AZ31" s="16"/>
      <c r="BA31" s="16"/>
      <c r="BB31" s="16"/>
      <c r="BC31" s="16"/>
      <c r="BD31" s="16"/>
      <c r="BE31" s="80"/>
      <c r="BF31" s="81"/>
      <c r="BG31" s="41"/>
      <c r="BH31" s="41"/>
      <c r="BI31" s="41"/>
      <c r="BJ31" s="16"/>
      <c r="BK31" s="16"/>
      <c r="BL31" s="16"/>
      <c r="BM31" s="16"/>
      <c r="BN31" s="16"/>
      <c r="BO31" s="16"/>
      <c r="BP31" s="16"/>
      <c r="BQ31" s="16"/>
      <c r="BR31" s="16"/>
      <c r="BS31" s="80"/>
      <c r="BT31" s="81"/>
      <c r="BU31" s="41"/>
      <c r="BV31" s="41"/>
      <c r="BW31" s="41"/>
      <c r="BX31" s="16"/>
      <c r="BY31" s="16"/>
      <c r="BZ31" s="16"/>
      <c r="CA31" s="16"/>
      <c r="CB31" s="16"/>
      <c r="CC31" s="16"/>
      <c r="CD31" s="16"/>
      <c r="CE31" s="16"/>
      <c r="CF31" s="16"/>
      <c r="CG31" s="80"/>
      <c r="CH31" s="81"/>
      <c r="CI31" s="41"/>
      <c r="CJ31" s="41"/>
      <c r="CK31" s="41"/>
      <c r="CL31" s="16"/>
      <c r="CM31" s="16"/>
      <c r="CN31" s="16"/>
      <c r="CO31" s="16"/>
      <c r="CP31" s="16"/>
      <c r="CQ31" s="16"/>
      <c r="CR31" s="16"/>
      <c r="CS31" s="16"/>
      <c r="CT31" s="16"/>
      <c r="CU31" s="80"/>
      <c r="CV31" s="81"/>
      <c r="CW31" s="41"/>
      <c r="CX31" s="41"/>
      <c r="CY31" s="41"/>
      <c r="CZ31" s="16"/>
      <c r="DA31" s="16"/>
      <c r="DB31" s="16"/>
      <c r="DC31" s="16"/>
      <c r="DD31" s="16"/>
      <c r="DE31" s="16"/>
      <c r="DF31" s="16"/>
      <c r="DG31" s="16"/>
      <c r="DH31" s="16"/>
      <c r="DI31" s="80"/>
      <c r="DJ31" s="81"/>
      <c r="DK31" s="41"/>
      <c r="DL31" s="41"/>
      <c r="DM31" s="41"/>
      <c r="DN31" s="16"/>
      <c r="DO31" s="16"/>
      <c r="DP31" s="16"/>
      <c r="DQ31" s="16"/>
      <c r="DR31" s="16"/>
      <c r="DS31" s="16"/>
      <c r="DT31" s="16"/>
      <c r="DU31" s="16"/>
      <c r="DV31" s="16"/>
      <c r="DW31" s="80"/>
      <c r="DX31" s="81"/>
      <c r="DY31" s="41"/>
      <c r="DZ31" s="41"/>
      <c r="EA31" s="41"/>
      <c r="EB31" s="16"/>
      <c r="EC31" s="16"/>
      <c r="ED31" s="16"/>
      <c r="EE31" s="16"/>
      <c r="EF31" s="16"/>
      <c r="EG31" s="16"/>
      <c r="EH31" s="16"/>
      <c r="EI31" s="16"/>
      <c r="EJ31" s="16"/>
      <c r="EK31" s="80"/>
      <c r="EL31" s="81"/>
      <c r="EM31" s="16"/>
      <c r="EN31" s="16"/>
      <c r="EO31" s="16"/>
      <c r="EP31" s="16"/>
      <c r="EQ31" s="16"/>
      <c r="ER31" s="16"/>
      <c r="ES31" s="16"/>
      <c r="ET31" s="16"/>
      <c r="EU31" s="16"/>
      <c r="EV31" s="16"/>
      <c r="EW31" s="16"/>
      <c r="EX31" s="16"/>
      <c r="EY31" s="80"/>
      <c r="EZ31" s="81"/>
      <c r="FA31" s="16"/>
      <c r="FB31" s="16"/>
      <c r="FC31" s="16"/>
      <c r="FD31" s="16"/>
      <c r="FE31" s="16"/>
      <c r="FF31" s="16"/>
      <c r="FG31" s="16"/>
      <c r="FH31" s="16"/>
      <c r="FI31" s="16"/>
      <c r="FJ31" s="16"/>
      <c r="FK31" s="16"/>
      <c r="FM31" s="80"/>
      <c r="FN31" s="81"/>
      <c r="FO31" s="16"/>
      <c r="FP31" s="16"/>
      <c r="FQ31" s="16"/>
      <c r="FR31" s="16"/>
      <c r="FS31" s="16"/>
      <c r="FT31" s="16"/>
      <c r="FU31" s="16"/>
      <c r="FV31" s="16"/>
      <c r="FW31" s="16"/>
      <c r="FX31" s="16"/>
      <c r="FY31" s="16"/>
      <c r="GA31" s="80"/>
      <c r="GB31" s="81"/>
      <c r="GC31" s="16"/>
      <c r="GD31" s="16"/>
      <c r="GE31" s="16"/>
      <c r="GF31" s="16"/>
      <c r="GG31" s="16"/>
      <c r="GH31" s="16"/>
      <c r="GI31" s="16"/>
      <c r="GJ31" s="16"/>
      <c r="GK31" s="16"/>
      <c r="GL31" s="16"/>
      <c r="GM31" s="16"/>
    </row>
    <row r="32" spans="1:195" s="18" customFormat="1" ht="15" customHeight="1">
      <c r="A32" s="78">
        <v>1995</v>
      </c>
      <c r="B32" s="79" t="s">
        <v>38</v>
      </c>
      <c r="C32" s="15">
        <f t="shared" si="2"/>
        <v>0.93738934492193782</v>
      </c>
      <c r="D32" s="15">
        <f t="shared" si="3"/>
        <v>0.95815738963531671</v>
      </c>
      <c r="E32" s="15">
        <f t="shared" si="4"/>
        <v>0.97832501743655775</v>
      </c>
      <c r="F32" s="16"/>
      <c r="G32" s="33"/>
      <c r="H32" s="16">
        <v>18639</v>
      </c>
      <c r="I32" s="16">
        <f t="shared" si="7"/>
        <v>404</v>
      </c>
      <c r="J32" s="16">
        <v>18235</v>
      </c>
      <c r="K32" s="16">
        <v>17472</v>
      </c>
      <c r="L32" s="16">
        <f t="shared" si="8"/>
        <v>763</v>
      </c>
      <c r="M32" s="16"/>
      <c r="N32" s="16"/>
      <c r="O32" s="78"/>
      <c r="P32" s="79"/>
      <c r="Q32" s="41"/>
      <c r="R32" s="41"/>
      <c r="S32" s="41"/>
      <c r="T32" s="16"/>
      <c r="U32" s="16"/>
      <c r="V32" s="16"/>
      <c r="W32" s="16"/>
      <c r="X32" s="16"/>
      <c r="Y32" s="16"/>
      <c r="Z32" s="16"/>
      <c r="AA32" s="16"/>
      <c r="AB32" s="16"/>
      <c r="AC32" s="78"/>
      <c r="AD32" s="79"/>
      <c r="AE32" s="41"/>
      <c r="AF32" s="41"/>
      <c r="AG32" s="41"/>
      <c r="AH32" s="41"/>
      <c r="AI32" s="41"/>
      <c r="AJ32" s="16"/>
      <c r="AK32" s="16"/>
      <c r="AL32" s="16"/>
      <c r="AM32" s="16"/>
      <c r="AN32" s="16"/>
      <c r="AO32" s="16"/>
      <c r="AP32" s="16"/>
      <c r="AQ32" s="78"/>
      <c r="AR32" s="79"/>
      <c r="AS32" s="41"/>
      <c r="AT32" s="41"/>
      <c r="AU32" s="41"/>
      <c r="AV32" s="16"/>
      <c r="AW32" s="16"/>
      <c r="AX32" s="16"/>
      <c r="AY32" s="16"/>
      <c r="AZ32" s="16"/>
      <c r="BA32" s="16"/>
      <c r="BB32" s="16"/>
      <c r="BC32" s="16"/>
      <c r="BD32" s="16"/>
      <c r="BE32" s="78"/>
      <c r="BF32" s="79"/>
      <c r="BG32" s="41"/>
      <c r="BH32" s="41"/>
      <c r="BI32" s="41"/>
      <c r="BJ32" s="16"/>
      <c r="BK32" s="16"/>
      <c r="BL32" s="16"/>
      <c r="BM32" s="16"/>
      <c r="BN32" s="16"/>
      <c r="BO32" s="16"/>
      <c r="BP32" s="16"/>
      <c r="BQ32" s="16"/>
      <c r="BR32" s="16"/>
      <c r="BS32" s="78"/>
      <c r="BT32" s="79"/>
      <c r="BU32" s="41"/>
      <c r="BV32" s="41"/>
      <c r="BW32" s="41"/>
      <c r="BX32" s="16"/>
      <c r="BY32" s="16"/>
      <c r="BZ32" s="16"/>
      <c r="CA32" s="16"/>
      <c r="CB32" s="16"/>
      <c r="CC32" s="16"/>
      <c r="CD32" s="16"/>
      <c r="CE32" s="16"/>
      <c r="CF32" s="16"/>
      <c r="CG32" s="78"/>
      <c r="CH32" s="79"/>
      <c r="CI32" s="41"/>
      <c r="CJ32" s="41"/>
      <c r="CK32" s="41"/>
      <c r="CL32" s="16"/>
      <c r="CM32" s="16"/>
      <c r="CN32" s="16"/>
      <c r="CO32" s="16"/>
      <c r="CP32" s="16"/>
      <c r="CQ32" s="16"/>
      <c r="CR32" s="16"/>
      <c r="CS32" s="16"/>
      <c r="CT32" s="16"/>
      <c r="CU32" s="78"/>
      <c r="CV32" s="79"/>
      <c r="CW32" s="41"/>
      <c r="CX32" s="41"/>
      <c r="CY32" s="41"/>
      <c r="CZ32" s="16"/>
      <c r="DA32" s="16"/>
      <c r="DB32" s="16"/>
      <c r="DC32" s="16"/>
      <c r="DD32" s="16"/>
      <c r="DE32" s="16"/>
      <c r="DF32" s="16"/>
      <c r="DG32" s="16"/>
      <c r="DH32" s="16"/>
      <c r="DI32" s="78"/>
      <c r="DJ32" s="79"/>
      <c r="DK32" s="41"/>
      <c r="DL32" s="41"/>
      <c r="DM32" s="41"/>
      <c r="DN32" s="16"/>
      <c r="DO32" s="16"/>
      <c r="DP32" s="16"/>
      <c r="DQ32" s="16"/>
      <c r="DR32" s="16"/>
      <c r="DS32" s="16"/>
      <c r="DT32" s="16"/>
      <c r="DU32" s="16"/>
      <c r="DV32" s="16"/>
      <c r="DW32" s="78"/>
      <c r="DX32" s="79"/>
      <c r="DY32" s="41"/>
      <c r="DZ32" s="41"/>
      <c r="EA32" s="41"/>
      <c r="EB32" s="16"/>
      <c r="EC32" s="16"/>
      <c r="ED32" s="16"/>
      <c r="EE32" s="16"/>
      <c r="EF32" s="16"/>
      <c r="EG32" s="16"/>
      <c r="EH32" s="16"/>
      <c r="EI32" s="16"/>
      <c r="EJ32" s="16"/>
      <c r="EK32" s="78"/>
      <c r="EL32" s="79"/>
      <c r="EM32" s="16"/>
      <c r="EN32" s="16"/>
      <c r="EO32" s="16"/>
      <c r="EP32" s="16"/>
      <c r="EQ32" s="16"/>
      <c r="ER32" s="16"/>
      <c r="ES32" s="16"/>
      <c r="ET32" s="16"/>
      <c r="EU32" s="16"/>
      <c r="EV32" s="16"/>
      <c r="EW32" s="16"/>
      <c r="EX32" s="16"/>
      <c r="EY32" s="78"/>
      <c r="EZ32" s="79"/>
      <c r="FA32" s="16"/>
      <c r="FB32" s="16"/>
      <c r="FC32" s="16"/>
      <c r="FD32" s="16"/>
      <c r="FE32" s="16"/>
      <c r="FF32" s="16"/>
      <c r="FG32" s="16"/>
      <c r="FH32" s="16"/>
      <c r="FI32" s="16"/>
      <c r="FJ32" s="16"/>
      <c r="FK32" s="16"/>
      <c r="FM32" s="78"/>
      <c r="FN32" s="79"/>
      <c r="FO32" s="16"/>
      <c r="FP32" s="16"/>
      <c r="FQ32" s="16"/>
      <c r="FR32" s="16"/>
      <c r="FS32" s="16"/>
      <c r="FT32" s="16"/>
      <c r="FU32" s="16"/>
      <c r="FV32" s="16"/>
      <c r="FW32" s="16"/>
      <c r="FX32" s="16"/>
      <c r="FY32" s="16"/>
      <c r="GA32" s="78"/>
      <c r="GB32" s="79"/>
      <c r="GC32" s="16"/>
      <c r="GD32" s="16"/>
      <c r="GE32" s="16"/>
      <c r="GF32" s="16"/>
      <c r="GG32" s="16"/>
      <c r="GH32" s="16"/>
      <c r="GI32" s="16"/>
      <c r="GJ32" s="16"/>
      <c r="GK32" s="16"/>
      <c r="GL32" s="16"/>
      <c r="GM32" s="16"/>
    </row>
    <row r="33" spans="1:195" s="18" customFormat="1" ht="15" customHeight="1">
      <c r="A33" s="80">
        <v>1995</v>
      </c>
      <c r="B33" s="81" t="s">
        <v>39</v>
      </c>
      <c r="C33" s="15">
        <f t="shared" si="2"/>
        <v>0.95828584454068844</v>
      </c>
      <c r="D33" s="15">
        <f t="shared" si="3"/>
        <v>0.97297922814326221</v>
      </c>
      <c r="E33" s="15">
        <f t="shared" si="4"/>
        <v>0.9848985639389104</v>
      </c>
      <c r="F33" s="16"/>
      <c r="G33" s="33"/>
      <c r="H33" s="16">
        <v>17548</v>
      </c>
      <c r="I33" s="16">
        <f t="shared" si="7"/>
        <v>265</v>
      </c>
      <c r="J33" s="16">
        <v>17283</v>
      </c>
      <c r="K33" s="16">
        <v>16816</v>
      </c>
      <c r="L33" s="16">
        <f t="shared" si="8"/>
        <v>467</v>
      </c>
      <c r="M33" s="16"/>
      <c r="N33" s="16"/>
      <c r="O33" s="80"/>
      <c r="P33" s="81"/>
      <c r="Q33" s="41"/>
      <c r="R33" s="41"/>
      <c r="S33" s="41"/>
      <c r="T33" s="16"/>
      <c r="U33" s="16"/>
      <c r="V33" s="16"/>
      <c r="W33" s="16"/>
      <c r="X33" s="16"/>
      <c r="Y33" s="16"/>
      <c r="Z33" s="16"/>
      <c r="AA33" s="16"/>
      <c r="AB33" s="16"/>
      <c r="AC33" s="80"/>
      <c r="AD33" s="81"/>
      <c r="AE33" s="41"/>
      <c r="AF33" s="41"/>
      <c r="AG33" s="41"/>
      <c r="AH33" s="41"/>
      <c r="AI33" s="41"/>
      <c r="AJ33" s="16"/>
      <c r="AK33" s="16"/>
      <c r="AL33" s="16"/>
      <c r="AM33" s="16"/>
      <c r="AN33" s="16"/>
      <c r="AO33" s="16"/>
      <c r="AP33" s="16"/>
      <c r="AQ33" s="80"/>
      <c r="AR33" s="81"/>
      <c r="AS33" s="41"/>
      <c r="AT33" s="41"/>
      <c r="AU33" s="41"/>
      <c r="AV33" s="16"/>
      <c r="AW33" s="16"/>
      <c r="AX33" s="16"/>
      <c r="AY33" s="16"/>
      <c r="AZ33" s="16"/>
      <c r="BA33" s="16"/>
      <c r="BB33" s="16"/>
      <c r="BC33" s="16"/>
      <c r="BD33" s="16"/>
      <c r="BE33" s="80"/>
      <c r="BF33" s="81"/>
      <c r="BG33" s="41"/>
      <c r="BH33" s="41"/>
      <c r="BI33" s="41"/>
      <c r="BJ33" s="16"/>
      <c r="BK33" s="16"/>
      <c r="BL33" s="16"/>
      <c r="BM33" s="16"/>
      <c r="BN33" s="16"/>
      <c r="BO33" s="16"/>
      <c r="BP33" s="16"/>
      <c r="BQ33" s="16"/>
      <c r="BR33" s="16"/>
      <c r="BS33" s="80"/>
      <c r="BT33" s="81"/>
      <c r="BU33" s="41"/>
      <c r="BV33" s="41"/>
      <c r="BW33" s="41"/>
      <c r="BX33" s="16"/>
      <c r="BY33" s="16"/>
      <c r="BZ33" s="16"/>
      <c r="CA33" s="16"/>
      <c r="CB33" s="16"/>
      <c r="CC33" s="16"/>
      <c r="CD33" s="16"/>
      <c r="CE33" s="16"/>
      <c r="CF33" s="16"/>
      <c r="CG33" s="80"/>
      <c r="CH33" s="81"/>
      <c r="CI33" s="41"/>
      <c r="CJ33" s="41"/>
      <c r="CK33" s="41"/>
      <c r="CL33" s="16"/>
      <c r="CM33" s="16"/>
      <c r="CN33" s="16"/>
      <c r="CO33" s="16"/>
      <c r="CP33" s="16"/>
      <c r="CQ33" s="16"/>
      <c r="CR33" s="16"/>
      <c r="CS33" s="16"/>
      <c r="CT33" s="16"/>
      <c r="CU33" s="80"/>
      <c r="CV33" s="81"/>
      <c r="CW33" s="41"/>
      <c r="CX33" s="41"/>
      <c r="CY33" s="41"/>
      <c r="CZ33" s="16"/>
      <c r="DA33" s="16"/>
      <c r="DB33" s="16"/>
      <c r="DC33" s="16"/>
      <c r="DD33" s="16"/>
      <c r="DE33" s="16"/>
      <c r="DF33" s="16"/>
      <c r="DG33" s="16"/>
      <c r="DH33" s="16"/>
      <c r="DI33" s="80"/>
      <c r="DJ33" s="81"/>
      <c r="DK33" s="41"/>
      <c r="DL33" s="41"/>
      <c r="DM33" s="41"/>
      <c r="DN33" s="16"/>
      <c r="DO33" s="16"/>
      <c r="DP33" s="16"/>
      <c r="DQ33" s="16"/>
      <c r="DR33" s="16"/>
      <c r="DS33" s="16"/>
      <c r="DT33" s="16"/>
      <c r="DU33" s="16"/>
      <c r="DV33" s="16"/>
      <c r="DW33" s="80"/>
      <c r="DX33" s="81"/>
      <c r="DY33" s="41"/>
      <c r="DZ33" s="41"/>
      <c r="EA33" s="41"/>
      <c r="EB33" s="16"/>
      <c r="EC33" s="16"/>
      <c r="ED33" s="16"/>
      <c r="EE33" s="16"/>
      <c r="EF33" s="16"/>
      <c r="EG33" s="16"/>
      <c r="EH33" s="16"/>
      <c r="EI33" s="16"/>
      <c r="EJ33" s="16"/>
      <c r="EK33" s="80"/>
      <c r="EL33" s="81"/>
      <c r="EM33" s="16"/>
      <c r="EN33" s="16"/>
      <c r="EO33" s="16"/>
      <c r="EP33" s="16"/>
      <c r="EQ33" s="16"/>
      <c r="ER33" s="16"/>
      <c r="ES33" s="16"/>
      <c r="ET33" s="16"/>
      <c r="EU33" s="16"/>
      <c r="EV33" s="16"/>
      <c r="EW33" s="16"/>
      <c r="EX33" s="16"/>
      <c r="EY33" s="80"/>
      <c r="EZ33" s="81"/>
      <c r="FA33" s="16"/>
      <c r="FB33" s="16"/>
      <c r="FC33" s="16"/>
      <c r="FD33" s="16"/>
      <c r="FE33" s="16"/>
      <c r="FF33" s="16"/>
      <c r="FG33" s="16"/>
      <c r="FH33" s="16"/>
      <c r="FI33" s="16"/>
      <c r="FJ33" s="16"/>
      <c r="FK33" s="16"/>
      <c r="FM33" s="80"/>
      <c r="FN33" s="81"/>
      <c r="FO33" s="16"/>
      <c r="FP33" s="16"/>
      <c r="FQ33" s="16"/>
      <c r="FR33" s="16"/>
      <c r="FS33" s="16"/>
      <c r="FT33" s="16"/>
      <c r="FU33" s="16"/>
      <c r="FV33" s="16"/>
      <c r="FW33" s="16"/>
      <c r="FX33" s="16"/>
      <c r="FY33" s="16"/>
      <c r="GA33" s="80"/>
      <c r="GB33" s="81"/>
      <c r="GC33" s="16"/>
      <c r="GD33" s="16"/>
      <c r="GE33" s="16"/>
      <c r="GF33" s="16"/>
      <c r="GG33" s="16"/>
      <c r="GH33" s="16"/>
      <c r="GI33" s="16"/>
      <c r="GJ33" s="16"/>
      <c r="GK33" s="16"/>
      <c r="GL33" s="16"/>
      <c r="GM33" s="16"/>
    </row>
    <row r="34" spans="1:195" s="18" customFormat="1" ht="15" customHeight="1">
      <c r="A34" s="78">
        <v>1995</v>
      </c>
      <c r="B34" s="79" t="s">
        <v>40</v>
      </c>
      <c r="C34" s="15">
        <f t="shared" si="2"/>
        <v>0.95519929724387831</v>
      </c>
      <c r="D34" s="15">
        <f t="shared" si="3"/>
        <v>0.96484028393966281</v>
      </c>
      <c r="E34" s="15">
        <f t="shared" si="4"/>
        <v>0.99000768639508074</v>
      </c>
      <c r="F34" s="16"/>
      <c r="G34" s="33"/>
      <c r="H34" s="16">
        <v>18214</v>
      </c>
      <c r="I34" s="16">
        <f t="shared" si="7"/>
        <v>182</v>
      </c>
      <c r="J34" s="16">
        <v>18032</v>
      </c>
      <c r="K34" s="16">
        <v>17398</v>
      </c>
      <c r="L34" s="16">
        <f t="shared" si="8"/>
        <v>634</v>
      </c>
      <c r="M34" s="16"/>
      <c r="N34" s="16"/>
      <c r="O34" s="78"/>
      <c r="P34" s="79"/>
      <c r="Q34" s="41"/>
      <c r="R34" s="41"/>
      <c r="S34" s="41"/>
      <c r="T34" s="16"/>
      <c r="U34" s="16"/>
      <c r="V34" s="16"/>
      <c r="W34" s="16"/>
      <c r="X34" s="16"/>
      <c r="Y34" s="16"/>
      <c r="Z34" s="16"/>
      <c r="AA34" s="16"/>
      <c r="AB34" s="16"/>
      <c r="AC34" s="78"/>
      <c r="AD34" s="79"/>
      <c r="AE34" s="41"/>
      <c r="AF34" s="41"/>
      <c r="AG34" s="41"/>
      <c r="AH34" s="41"/>
      <c r="AI34" s="41"/>
      <c r="AJ34" s="16"/>
      <c r="AK34" s="16"/>
      <c r="AL34" s="16"/>
      <c r="AM34" s="16"/>
      <c r="AN34" s="16"/>
      <c r="AO34" s="16"/>
      <c r="AP34" s="16"/>
      <c r="AQ34" s="78"/>
      <c r="AR34" s="79"/>
      <c r="AS34" s="41"/>
      <c r="AT34" s="41"/>
      <c r="AU34" s="41"/>
      <c r="AV34" s="16"/>
      <c r="AW34" s="16"/>
      <c r="AX34" s="16"/>
      <c r="AY34" s="16"/>
      <c r="AZ34" s="16"/>
      <c r="BA34" s="16"/>
      <c r="BB34" s="16"/>
      <c r="BC34" s="16"/>
      <c r="BD34" s="16"/>
      <c r="BE34" s="78"/>
      <c r="BF34" s="79"/>
      <c r="BG34" s="41"/>
      <c r="BH34" s="41"/>
      <c r="BI34" s="41"/>
      <c r="BJ34" s="16"/>
      <c r="BK34" s="16"/>
      <c r="BL34" s="16"/>
      <c r="BM34" s="16"/>
      <c r="BN34" s="16"/>
      <c r="BO34" s="16"/>
      <c r="BP34" s="16"/>
      <c r="BQ34" s="16"/>
      <c r="BR34" s="16"/>
      <c r="BS34" s="78"/>
      <c r="BT34" s="79"/>
      <c r="BU34" s="41"/>
      <c r="BV34" s="41"/>
      <c r="BW34" s="41"/>
      <c r="BX34" s="16"/>
      <c r="BY34" s="16"/>
      <c r="BZ34" s="16"/>
      <c r="CA34" s="16"/>
      <c r="CB34" s="16"/>
      <c r="CC34" s="16"/>
      <c r="CD34" s="16"/>
      <c r="CE34" s="16"/>
      <c r="CF34" s="16"/>
      <c r="CG34" s="78"/>
      <c r="CH34" s="79"/>
      <c r="CI34" s="41"/>
      <c r="CJ34" s="41"/>
      <c r="CK34" s="41"/>
      <c r="CL34" s="16"/>
      <c r="CM34" s="16"/>
      <c r="CN34" s="16"/>
      <c r="CO34" s="16"/>
      <c r="CP34" s="16"/>
      <c r="CQ34" s="16"/>
      <c r="CR34" s="16"/>
      <c r="CS34" s="16"/>
      <c r="CT34" s="16"/>
      <c r="CU34" s="78"/>
      <c r="CV34" s="79"/>
      <c r="CW34" s="41"/>
      <c r="CX34" s="41"/>
      <c r="CY34" s="41"/>
      <c r="CZ34" s="16"/>
      <c r="DA34" s="16"/>
      <c r="DB34" s="16"/>
      <c r="DC34" s="16"/>
      <c r="DD34" s="16"/>
      <c r="DE34" s="16"/>
      <c r="DF34" s="16"/>
      <c r="DG34" s="16"/>
      <c r="DH34" s="16"/>
      <c r="DI34" s="78"/>
      <c r="DJ34" s="79"/>
      <c r="DK34" s="41"/>
      <c r="DL34" s="41"/>
      <c r="DM34" s="41"/>
      <c r="DN34" s="16"/>
      <c r="DO34" s="16"/>
      <c r="DP34" s="16"/>
      <c r="DQ34" s="16"/>
      <c r="DR34" s="16"/>
      <c r="DS34" s="16"/>
      <c r="DT34" s="16"/>
      <c r="DU34" s="16"/>
      <c r="DV34" s="16"/>
      <c r="DW34" s="78"/>
      <c r="DX34" s="79"/>
      <c r="DY34" s="41"/>
      <c r="DZ34" s="41"/>
      <c r="EA34" s="41"/>
      <c r="EB34" s="16"/>
      <c r="EC34" s="16"/>
      <c r="ED34" s="16"/>
      <c r="EE34" s="16"/>
      <c r="EF34" s="16"/>
      <c r="EG34" s="16"/>
      <c r="EH34" s="16"/>
      <c r="EI34" s="16"/>
      <c r="EJ34" s="16"/>
      <c r="EK34" s="78"/>
      <c r="EL34" s="79"/>
      <c r="EM34" s="16"/>
      <c r="EN34" s="16"/>
      <c r="EO34" s="16"/>
      <c r="EP34" s="16"/>
      <c r="EQ34" s="16"/>
      <c r="ER34" s="16"/>
      <c r="ES34" s="16"/>
      <c r="ET34" s="16"/>
      <c r="EU34" s="16"/>
      <c r="EV34" s="16"/>
      <c r="EW34" s="16"/>
      <c r="EX34" s="16"/>
      <c r="EY34" s="78"/>
      <c r="EZ34" s="79"/>
      <c r="FA34" s="16"/>
      <c r="FB34" s="16"/>
      <c r="FC34" s="16"/>
      <c r="FD34" s="16"/>
      <c r="FE34" s="16"/>
      <c r="FF34" s="16"/>
      <c r="FG34" s="16"/>
      <c r="FH34" s="16"/>
      <c r="FI34" s="16"/>
      <c r="FJ34" s="16"/>
      <c r="FK34" s="16"/>
      <c r="FM34" s="78"/>
      <c r="FN34" s="79"/>
      <c r="FO34" s="16"/>
      <c r="FP34" s="16"/>
      <c r="FQ34" s="16"/>
      <c r="FR34" s="16"/>
      <c r="FS34" s="16"/>
      <c r="FT34" s="16"/>
      <c r="FU34" s="16"/>
      <c r="FV34" s="16"/>
      <c r="FW34" s="16"/>
      <c r="FX34" s="16"/>
      <c r="FY34" s="16"/>
      <c r="GA34" s="78"/>
      <c r="GB34" s="79"/>
      <c r="GC34" s="16"/>
      <c r="GD34" s="16"/>
      <c r="GE34" s="16"/>
      <c r="GF34" s="16"/>
      <c r="GG34" s="16"/>
      <c r="GH34" s="16"/>
      <c r="GI34" s="16"/>
      <c r="GJ34" s="16"/>
      <c r="GK34" s="16"/>
      <c r="GL34" s="16"/>
      <c r="GM34" s="16"/>
    </row>
    <row r="35" spans="1:195" s="18" customFormat="1" ht="15" customHeight="1">
      <c r="A35" s="80">
        <v>1995</v>
      </c>
      <c r="B35" s="81" t="s">
        <v>41</v>
      </c>
      <c r="C35" s="15">
        <f t="shared" si="2"/>
        <v>0.97308031774051196</v>
      </c>
      <c r="D35" s="15">
        <f t="shared" si="3"/>
        <v>0.98032677559186399</v>
      </c>
      <c r="E35" s="15">
        <f t="shared" si="4"/>
        <v>0.99260812003530452</v>
      </c>
      <c r="F35" s="16"/>
      <c r="G35" s="33"/>
      <c r="H35" s="16">
        <v>18128</v>
      </c>
      <c r="I35" s="16">
        <f t="shared" si="7"/>
        <v>134</v>
      </c>
      <c r="J35" s="16">
        <v>17994</v>
      </c>
      <c r="K35" s="16">
        <v>17640</v>
      </c>
      <c r="L35" s="16">
        <f t="shared" si="8"/>
        <v>354</v>
      </c>
      <c r="M35" s="16"/>
      <c r="N35" s="16"/>
      <c r="O35" s="80"/>
      <c r="P35" s="81"/>
      <c r="Q35" s="41"/>
      <c r="R35" s="41"/>
      <c r="S35" s="41"/>
      <c r="T35" s="16"/>
      <c r="U35" s="16"/>
      <c r="V35" s="16"/>
      <c r="W35" s="16"/>
      <c r="X35" s="16"/>
      <c r="Y35" s="16"/>
      <c r="Z35" s="16"/>
      <c r="AA35" s="16"/>
      <c r="AB35" s="16"/>
      <c r="AC35" s="80"/>
      <c r="AD35" s="81"/>
      <c r="AE35" s="41"/>
      <c r="AF35" s="41"/>
      <c r="AG35" s="41"/>
      <c r="AH35" s="41"/>
      <c r="AI35" s="41"/>
      <c r="AJ35" s="16"/>
      <c r="AK35" s="16"/>
      <c r="AL35" s="16"/>
      <c r="AM35" s="16"/>
      <c r="AN35" s="16"/>
      <c r="AO35" s="16"/>
      <c r="AP35" s="16"/>
      <c r="AQ35" s="80"/>
      <c r="AR35" s="81"/>
      <c r="AS35" s="41"/>
      <c r="AT35" s="41"/>
      <c r="AU35" s="41"/>
      <c r="AV35" s="16"/>
      <c r="AW35" s="16"/>
      <c r="AX35" s="16"/>
      <c r="AY35" s="16"/>
      <c r="AZ35" s="16"/>
      <c r="BA35" s="16"/>
      <c r="BB35" s="16"/>
      <c r="BC35" s="16"/>
      <c r="BD35" s="16"/>
      <c r="BE35" s="80"/>
      <c r="BF35" s="81"/>
      <c r="BG35" s="41"/>
      <c r="BH35" s="41"/>
      <c r="BI35" s="41"/>
      <c r="BJ35" s="16"/>
      <c r="BK35" s="16"/>
      <c r="BL35" s="16"/>
      <c r="BM35" s="16"/>
      <c r="BN35" s="16"/>
      <c r="BO35" s="16"/>
      <c r="BP35" s="16"/>
      <c r="BQ35" s="16"/>
      <c r="BR35" s="16"/>
      <c r="BS35" s="80"/>
      <c r="BT35" s="81"/>
      <c r="BU35" s="41"/>
      <c r="BV35" s="41"/>
      <c r="BW35" s="41"/>
      <c r="BX35" s="16"/>
      <c r="BY35" s="16"/>
      <c r="BZ35" s="16"/>
      <c r="CA35" s="16"/>
      <c r="CB35" s="16"/>
      <c r="CC35" s="16"/>
      <c r="CD35" s="16"/>
      <c r="CE35" s="16"/>
      <c r="CF35" s="16"/>
      <c r="CG35" s="80"/>
      <c r="CH35" s="81"/>
      <c r="CI35" s="41"/>
      <c r="CJ35" s="41"/>
      <c r="CK35" s="41"/>
      <c r="CL35" s="16"/>
      <c r="CM35" s="16"/>
      <c r="CN35" s="16"/>
      <c r="CO35" s="16"/>
      <c r="CP35" s="16"/>
      <c r="CQ35" s="16"/>
      <c r="CR35" s="16"/>
      <c r="CS35" s="16"/>
      <c r="CT35" s="16"/>
      <c r="CU35" s="80"/>
      <c r="CV35" s="81"/>
      <c r="CW35" s="41"/>
      <c r="CX35" s="41"/>
      <c r="CY35" s="41"/>
      <c r="CZ35" s="16"/>
      <c r="DA35" s="16"/>
      <c r="DB35" s="16"/>
      <c r="DC35" s="16"/>
      <c r="DD35" s="16"/>
      <c r="DE35" s="16"/>
      <c r="DF35" s="16"/>
      <c r="DG35" s="16"/>
      <c r="DH35" s="16"/>
      <c r="DI35" s="80"/>
      <c r="DJ35" s="81"/>
      <c r="DK35" s="41"/>
      <c r="DL35" s="41"/>
      <c r="DM35" s="41"/>
      <c r="DN35" s="16"/>
      <c r="DO35" s="16"/>
      <c r="DP35" s="16"/>
      <c r="DQ35" s="16"/>
      <c r="DR35" s="16"/>
      <c r="DS35" s="16"/>
      <c r="DT35" s="16"/>
      <c r="DU35" s="16"/>
      <c r="DV35" s="16"/>
      <c r="DW35" s="80"/>
      <c r="DX35" s="81"/>
      <c r="DY35" s="41"/>
      <c r="DZ35" s="41"/>
      <c r="EA35" s="41"/>
      <c r="EB35" s="16"/>
      <c r="EC35" s="16"/>
      <c r="ED35" s="16"/>
      <c r="EE35" s="16"/>
      <c r="EF35" s="16"/>
      <c r="EG35" s="16"/>
      <c r="EH35" s="16"/>
      <c r="EI35" s="16"/>
      <c r="EJ35" s="16"/>
      <c r="EK35" s="80"/>
      <c r="EL35" s="81"/>
      <c r="EM35" s="16"/>
      <c r="EN35" s="16"/>
      <c r="EO35" s="16"/>
      <c r="EP35" s="16"/>
      <c r="EQ35" s="16"/>
      <c r="ER35" s="16"/>
      <c r="ES35" s="16"/>
      <c r="ET35" s="16"/>
      <c r="EU35" s="16"/>
      <c r="EV35" s="16"/>
      <c r="EW35" s="16"/>
      <c r="EX35" s="16"/>
      <c r="EY35" s="80"/>
      <c r="EZ35" s="81"/>
      <c r="FA35" s="16"/>
      <c r="FB35" s="16"/>
      <c r="FC35" s="16"/>
      <c r="FD35" s="16"/>
      <c r="FE35" s="16"/>
      <c r="FF35" s="16"/>
      <c r="FG35" s="16"/>
      <c r="FH35" s="16"/>
      <c r="FI35" s="16"/>
      <c r="FJ35" s="16"/>
      <c r="FK35" s="16"/>
      <c r="FM35" s="80"/>
      <c r="FN35" s="81"/>
      <c r="FO35" s="16"/>
      <c r="FP35" s="16"/>
      <c r="FQ35" s="16"/>
      <c r="FR35" s="16"/>
      <c r="FS35" s="16"/>
      <c r="FT35" s="16"/>
      <c r="FU35" s="16"/>
      <c r="FV35" s="16"/>
      <c r="FW35" s="16"/>
      <c r="FX35" s="16"/>
      <c r="FY35" s="16"/>
      <c r="GA35" s="80"/>
      <c r="GB35" s="81"/>
      <c r="GC35" s="16"/>
      <c r="GD35" s="16"/>
      <c r="GE35" s="16"/>
      <c r="GF35" s="16"/>
      <c r="GG35" s="16"/>
      <c r="GH35" s="16"/>
      <c r="GI35" s="16"/>
      <c r="GJ35" s="16"/>
      <c r="GK35" s="16"/>
      <c r="GL35" s="16"/>
      <c r="GM35" s="16"/>
    </row>
    <row r="36" spans="1:195" s="18" customFormat="1" ht="15" customHeight="1">
      <c r="A36" s="78">
        <v>1995</v>
      </c>
      <c r="B36" s="79" t="s">
        <v>42</v>
      </c>
      <c r="C36" s="15">
        <f t="shared" si="2"/>
        <v>0.97008914187520134</v>
      </c>
      <c r="D36" s="15">
        <f t="shared" si="3"/>
        <v>0.9848980481953985</v>
      </c>
      <c r="E36" s="15">
        <f t="shared" si="4"/>
        <v>0.98496402105037051</v>
      </c>
      <c r="F36" s="16"/>
      <c r="G36" s="33"/>
      <c r="H36" s="16">
        <v>18622</v>
      </c>
      <c r="I36" s="16">
        <f t="shared" si="7"/>
        <v>280</v>
      </c>
      <c r="J36" s="16">
        <v>18342</v>
      </c>
      <c r="K36" s="16">
        <v>18065</v>
      </c>
      <c r="L36" s="16">
        <f t="shared" si="8"/>
        <v>277</v>
      </c>
      <c r="M36" s="16"/>
      <c r="N36" s="16"/>
      <c r="O36" s="78"/>
      <c r="P36" s="79"/>
      <c r="Q36" s="41"/>
      <c r="R36" s="41"/>
      <c r="S36" s="41"/>
      <c r="T36" s="16"/>
      <c r="U36" s="16"/>
      <c r="V36" s="16"/>
      <c r="W36" s="16"/>
      <c r="X36" s="16"/>
      <c r="Y36" s="16"/>
      <c r="Z36" s="16"/>
      <c r="AA36" s="16"/>
      <c r="AB36" s="16"/>
      <c r="AC36" s="78"/>
      <c r="AD36" s="79"/>
      <c r="AE36" s="41"/>
      <c r="AF36" s="41"/>
      <c r="AG36" s="41"/>
      <c r="AH36" s="41"/>
      <c r="AI36" s="41"/>
      <c r="AJ36" s="16"/>
      <c r="AK36" s="16"/>
      <c r="AL36" s="16"/>
      <c r="AM36" s="16"/>
      <c r="AN36" s="16"/>
      <c r="AO36" s="16"/>
      <c r="AP36" s="16"/>
      <c r="AQ36" s="78"/>
      <c r="AR36" s="79"/>
      <c r="AS36" s="41"/>
      <c r="AT36" s="41"/>
      <c r="AU36" s="41"/>
      <c r="AV36" s="16"/>
      <c r="AW36" s="16"/>
      <c r="AX36" s="16"/>
      <c r="AY36" s="16"/>
      <c r="AZ36" s="16"/>
      <c r="BA36" s="16"/>
      <c r="BB36" s="16"/>
      <c r="BC36" s="16"/>
      <c r="BD36" s="16"/>
      <c r="BE36" s="78"/>
      <c r="BF36" s="79"/>
      <c r="BG36" s="41"/>
      <c r="BH36" s="41"/>
      <c r="BI36" s="41"/>
      <c r="BJ36" s="16"/>
      <c r="BK36" s="16"/>
      <c r="BL36" s="16"/>
      <c r="BM36" s="16"/>
      <c r="BN36" s="16"/>
      <c r="BO36" s="16"/>
      <c r="BP36" s="16"/>
      <c r="BQ36" s="16"/>
      <c r="BR36" s="16"/>
      <c r="BS36" s="78"/>
      <c r="BT36" s="79"/>
      <c r="BU36" s="41"/>
      <c r="BV36" s="41"/>
      <c r="BW36" s="41"/>
      <c r="BX36" s="16"/>
      <c r="BY36" s="16"/>
      <c r="BZ36" s="16"/>
      <c r="CA36" s="16"/>
      <c r="CB36" s="16"/>
      <c r="CC36" s="16"/>
      <c r="CD36" s="16"/>
      <c r="CE36" s="16"/>
      <c r="CF36" s="16"/>
      <c r="CG36" s="78"/>
      <c r="CH36" s="79"/>
      <c r="CI36" s="41"/>
      <c r="CJ36" s="41"/>
      <c r="CK36" s="41"/>
      <c r="CL36" s="16"/>
      <c r="CM36" s="16"/>
      <c r="CN36" s="16"/>
      <c r="CO36" s="16"/>
      <c r="CP36" s="16"/>
      <c r="CQ36" s="16"/>
      <c r="CR36" s="16"/>
      <c r="CS36" s="16"/>
      <c r="CT36" s="16"/>
      <c r="CU36" s="78"/>
      <c r="CV36" s="79"/>
      <c r="CW36" s="41"/>
      <c r="CX36" s="41"/>
      <c r="CY36" s="41"/>
      <c r="CZ36" s="16"/>
      <c r="DA36" s="16"/>
      <c r="DB36" s="16"/>
      <c r="DC36" s="16"/>
      <c r="DD36" s="16"/>
      <c r="DE36" s="16"/>
      <c r="DF36" s="16"/>
      <c r="DG36" s="16"/>
      <c r="DH36" s="16"/>
      <c r="DI36" s="78"/>
      <c r="DJ36" s="79"/>
      <c r="DK36" s="41"/>
      <c r="DL36" s="41"/>
      <c r="DM36" s="41"/>
      <c r="DN36" s="16"/>
      <c r="DO36" s="16"/>
      <c r="DP36" s="16"/>
      <c r="DQ36" s="16"/>
      <c r="DR36" s="16"/>
      <c r="DS36" s="16"/>
      <c r="DT36" s="16"/>
      <c r="DU36" s="16"/>
      <c r="DV36" s="16"/>
      <c r="DW36" s="78"/>
      <c r="DX36" s="79"/>
      <c r="DY36" s="41"/>
      <c r="DZ36" s="41"/>
      <c r="EA36" s="41"/>
      <c r="EB36" s="16"/>
      <c r="EC36" s="16"/>
      <c r="ED36" s="16"/>
      <c r="EE36" s="16"/>
      <c r="EF36" s="16"/>
      <c r="EG36" s="16"/>
      <c r="EH36" s="16"/>
      <c r="EI36" s="16"/>
      <c r="EJ36" s="16"/>
      <c r="EK36" s="78"/>
      <c r="EL36" s="79"/>
      <c r="EM36" s="16"/>
      <c r="EN36" s="16"/>
      <c r="EO36" s="16"/>
      <c r="EP36" s="16"/>
      <c r="EQ36" s="16"/>
      <c r="ER36" s="16"/>
      <c r="ES36" s="16"/>
      <c r="ET36" s="16"/>
      <c r="EU36" s="16"/>
      <c r="EV36" s="16"/>
      <c r="EW36" s="16"/>
      <c r="EX36" s="16"/>
      <c r="EY36" s="78"/>
      <c r="EZ36" s="79"/>
      <c r="FA36" s="16"/>
      <c r="FB36" s="16"/>
      <c r="FC36" s="16"/>
      <c r="FD36" s="16"/>
      <c r="FE36" s="16"/>
      <c r="FF36" s="16"/>
      <c r="FG36" s="16"/>
      <c r="FH36" s="16"/>
      <c r="FI36" s="16"/>
      <c r="FJ36" s="16"/>
      <c r="FK36" s="16"/>
      <c r="FM36" s="78"/>
      <c r="FN36" s="79"/>
      <c r="FO36" s="16"/>
      <c r="FP36" s="16"/>
      <c r="FQ36" s="16"/>
      <c r="FR36" s="16"/>
      <c r="FS36" s="16"/>
      <c r="FT36" s="16"/>
      <c r="FU36" s="16"/>
      <c r="FV36" s="16"/>
      <c r="FW36" s="16"/>
      <c r="FX36" s="16"/>
      <c r="FY36" s="16"/>
      <c r="GA36" s="78"/>
      <c r="GB36" s="79"/>
      <c r="GC36" s="16"/>
      <c r="GD36" s="16"/>
      <c r="GE36" s="16"/>
      <c r="GF36" s="16"/>
      <c r="GG36" s="16"/>
      <c r="GH36" s="16"/>
      <c r="GI36" s="16"/>
      <c r="GJ36" s="16"/>
      <c r="GK36" s="16"/>
      <c r="GL36" s="16"/>
      <c r="GM36" s="16"/>
    </row>
    <row r="37" spans="1:195" s="18" customFormat="1" ht="15" customHeight="1">
      <c r="A37" s="80">
        <v>1995</v>
      </c>
      <c r="B37" s="81" t="s">
        <v>43</v>
      </c>
      <c r="C37" s="15">
        <f t="shared" si="2"/>
        <v>0.96724868792894636</v>
      </c>
      <c r="D37" s="15">
        <f t="shared" si="3"/>
        <v>0.97960748236737194</v>
      </c>
      <c r="E37" s="15">
        <f t="shared" si="4"/>
        <v>0.98738393217601939</v>
      </c>
      <c r="F37" s="16"/>
      <c r="G37" s="33"/>
      <c r="H37" s="16">
        <f>660+4442+4218+812+468+2153+2143+1179+1627+2114</f>
        <v>19816</v>
      </c>
      <c r="I37" s="16">
        <f t="shared" si="7"/>
        <v>250</v>
      </c>
      <c r="J37" s="16">
        <f>649+4371+4179+800+464+2127+2128+1162+1599+2087</f>
        <v>19566</v>
      </c>
      <c r="K37" s="16">
        <f>636+4281+4089+782+455+2097+2114+1139+1554+2020</f>
        <v>19167</v>
      </c>
      <c r="L37" s="16">
        <f t="shared" si="8"/>
        <v>399</v>
      </c>
      <c r="M37" s="16"/>
      <c r="N37" s="16"/>
      <c r="O37" s="80"/>
      <c r="P37" s="81"/>
      <c r="Q37" s="41"/>
      <c r="R37" s="41"/>
      <c r="S37" s="41"/>
      <c r="T37" s="16"/>
      <c r="U37" s="16"/>
      <c r="V37" s="16"/>
      <c r="W37" s="16"/>
      <c r="X37" s="16"/>
      <c r="Y37" s="16"/>
      <c r="Z37" s="16"/>
      <c r="AA37" s="16"/>
      <c r="AB37" s="16"/>
      <c r="AC37" s="80"/>
      <c r="AD37" s="81"/>
      <c r="AE37" s="41"/>
      <c r="AF37" s="41"/>
      <c r="AG37" s="41"/>
      <c r="AH37" s="41"/>
      <c r="AI37" s="41"/>
      <c r="AJ37" s="16"/>
      <c r="AK37" s="16"/>
      <c r="AL37" s="16"/>
      <c r="AM37" s="16"/>
      <c r="AN37" s="16"/>
      <c r="AO37" s="16"/>
      <c r="AP37" s="16"/>
      <c r="AQ37" s="80"/>
      <c r="AR37" s="81"/>
      <c r="AS37" s="41"/>
      <c r="AT37" s="41"/>
      <c r="AU37" s="41"/>
      <c r="AV37" s="16"/>
      <c r="AW37" s="16"/>
      <c r="AX37" s="16"/>
      <c r="AY37" s="16"/>
      <c r="AZ37" s="16"/>
      <c r="BA37" s="16"/>
      <c r="BB37" s="16"/>
      <c r="BC37" s="16"/>
      <c r="BD37" s="16"/>
      <c r="BE37" s="80"/>
      <c r="BF37" s="81"/>
      <c r="BG37" s="41"/>
      <c r="BH37" s="41"/>
      <c r="BI37" s="41"/>
      <c r="BJ37" s="16"/>
      <c r="BK37" s="16"/>
      <c r="BL37" s="16"/>
      <c r="BM37" s="16"/>
      <c r="BN37" s="16"/>
      <c r="BO37" s="16"/>
      <c r="BP37" s="16"/>
      <c r="BQ37" s="16"/>
      <c r="BR37" s="16"/>
      <c r="BS37" s="80"/>
      <c r="BT37" s="81"/>
      <c r="BU37" s="41"/>
      <c r="BV37" s="41"/>
      <c r="BW37" s="41"/>
      <c r="BX37" s="16"/>
      <c r="BY37" s="16"/>
      <c r="BZ37" s="16"/>
      <c r="CA37" s="16"/>
      <c r="CB37" s="16"/>
      <c r="CC37" s="16"/>
      <c r="CD37" s="16"/>
      <c r="CE37" s="16"/>
      <c r="CF37" s="16"/>
      <c r="CG37" s="80"/>
      <c r="CH37" s="81"/>
      <c r="CI37" s="41"/>
      <c r="CJ37" s="41"/>
      <c r="CK37" s="41"/>
      <c r="CL37" s="16"/>
      <c r="CM37" s="16"/>
      <c r="CN37" s="16"/>
      <c r="CO37" s="16"/>
      <c r="CP37" s="16"/>
      <c r="CQ37" s="16"/>
      <c r="CR37" s="16"/>
      <c r="CS37" s="16"/>
      <c r="CT37" s="16"/>
      <c r="CU37" s="80"/>
      <c r="CV37" s="81"/>
      <c r="CW37" s="41"/>
      <c r="CX37" s="41"/>
      <c r="CY37" s="41"/>
      <c r="CZ37" s="16"/>
      <c r="DA37" s="16"/>
      <c r="DB37" s="16"/>
      <c r="DC37" s="16"/>
      <c r="DD37" s="16"/>
      <c r="DE37" s="16"/>
      <c r="DF37" s="16"/>
      <c r="DG37" s="16"/>
      <c r="DH37" s="16"/>
      <c r="DI37" s="80"/>
      <c r="DJ37" s="81"/>
      <c r="DK37" s="41"/>
      <c r="DL37" s="41"/>
      <c r="DM37" s="41"/>
      <c r="DN37" s="16"/>
      <c r="DO37" s="16"/>
      <c r="DP37" s="16"/>
      <c r="DQ37" s="16"/>
      <c r="DR37" s="16"/>
      <c r="DS37" s="16"/>
      <c r="DT37" s="16"/>
      <c r="DU37" s="16"/>
      <c r="DV37" s="16"/>
      <c r="DW37" s="80"/>
      <c r="DX37" s="81"/>
      <c r="DY37" s="41"/>
      <c r="DZ37" s="41"/>
      <c r="EA37" s="41"/>
      <c r="EB37" s="16"/>
      <c r="EC37" s="16"/>
      <c r="ED37" s="16"/>
      <c r="EE37" s="16"/>
      <c r="EF37" s="16"/>
      <c r="EG37" s="16"/>
      <c r="EH37" s="16"/>
      <c r="EI37" s="16"/>
      <c r="EJ37" s="16"/>
      <c r="EK37" s="80"/>
      <c r="EL37" s="81"/>
      <c r="EM37" s="16"/>
      <c r="EN37" s="16"/>
      <c r="EO37" s="16"/>
      <c r="EP37" s="16"/>
      <c r="EQ37" s="16"/>
      <c r="ER37" s="16"/>
      <c r="ES37" s="16"/>
      <c r="ET37" s="16"/>
      <c r="EU37" s="16"/>
      <c r="EV37" s="16"/>
      <c r="EW37" s="16"/>
      <c r="EX37" s="16"/>
      <c r="EY37" s="80"/>
      <c r="EZ37" s="81"/>
      <c r="FA37" s="16"/>
      <c r="FB37" s="16"/>
      <c r="FC37" s="16"/>
      <c r="FD37" s="16"/>
      <c r="FE37" s="16"/>
      <c r="FF37" s="16"/>
      <c r="FG37" s="16"/>
      <c r="FH37" s="16"/>
      <c r="FI37" s="16"/>
      <c r="FJ37" s="16"/>
      <c r="FK37" s="16"/>
      <c r="FM37" s="80"/>
      <c r="FN37" s="81"/>
      <c r="FO37" s="16"/>
      <c r="FP37" s="16"/>
      <c r="FQ37" s="16"/>
      <c r="FR37" s="16"/>
      <c r="FS37" s="16"/>
      <c r="FT37" s="16"/>
      <c r="FU37" s="16"/>
      <c r="FV37" s="16"/>
      <c r="FW37" s="16"/>
      <c r="FX37" s="16"/>
      <c r="FY37" s="16"/>
      <c r="GA37" s="80"/>
      <c r="GB37" s="81"/>
      <c r="GC37" s="16"/>
      <c r="GD37" s="16"/>
      <c r="GE37" s="16"/>
      <c r="GF37" s="16"/>
      <c r="GG37" s="16"/>
      <c r="GH37" s="16"/>
      <c r="GI37" s="16"/>
      <c r="GJ37" s="16"/>
      <c r="GK37" s="16"/>
      <c r="GL37" s="16"/>
      <c r="GM37" s="16"/>
    </row>
    <row r="38" spans="1:195" s="18" customFormat="1" ht="15" customHeight="1">
      <c r="A38" s="78">
        <v>1995</v>
      </c>
      <c r="B38" s="79" t="s">
        <v>44</v>
      </c>
      <c r="C38" s="15">
        <f t="shared" si="2"/>
        <v>0.96597837782446072</v>
      </c>
      <c r="D38" s="15">
        <f t="shared" si="3"/>
        <v>0.97608076624385198</v>
      </c>
      <c r="E38" s="15">
        <f t="shared" si="4"/>
        <v>0.98965004867551365</v>
      </c>
      <c r="F38" s="16"/>
      <c r="G38" s="33"/>
      <c r="H38" s="16">
        <f>4335+4118+2105+1727+1146+2094+468+2100+630+794</f>
        <v>19517</v>
      </c>
      <c r="I38" s="16">
        <f t="shared" si="7"/>
        <v>202</v>
      </c>
      <c r="J38" s="16">
        <f>4292+4091+2081+1686+1138+2080+466+2082+609+790</f>
        <v>19315</v>
      </c>
      <c r="K38" s="16">
        <f>4198+4014+1984+1622+1116+2060+452+2043+591+773</f>
        <v>18853</v>
      </c>
      <c r="L38" s="16">
        <f t="shared" si="8"/>
        <v>462</v>
      </c>
      <c r="M38" s="16"/>
      <c r="N38" s="16"/>
      <c r="O38" s="78"/>
      <c r="P38" s="79"/>
      <c r="Q38" s="41"/>
      <c r="R38" s="41"/>
      <c r="S38" s="41"/>
      <c r="T38" s="16"/>
      <c r="U38" s="16"/>
      <c r="V38" s="16"/>
      <c r="W38" s="16"/>
      <c r="X38" s="16"/>
      <c r="Y38" s="16"/>
      <c r="Z38" s="16"/>
      <c r="AA38" s="16"/>
      <c r="AB38" s="16"/>
      <c r="AC38" s="78"/>
      <c r="AD38" s="79"/>
      <c r="AE38" s="41"/>
      <c r="AF38" s="41"/>
      <c r="AG38" s="41"/>
      <c r="AH38" s="41"/>
      <c r="AI38" s="41"/>
      <c r="AJ38" s="16"/>
      <c r="AK38" s="16"/>
      <c r="AL38" s="16"/>
      <c r="AM38" s="16"/>
      <c r="AN38" s="16"/>
      <c r="AO38" s="16"/>
      <c r="AP38" s="16"/>
      <c r="AQ38" s="78"/>
      <c r="AR38" s="79"/>
      <c r="AS38" s="41"/>
      <c r="AT38" s="41"/>
      <c r="AU38" s="41"/>
      <c r="AV38" s="16"/>
      <c r="AW38" s="16"/>
      <c r="AX38" s="16"/>
      <c r="AY38" s="16"/>
      <c r="AZ38" s="16"/>
      <c r="BA38" s="16"/>
      <c r="BB38" s="16"/>
      <c r="BC38" s="16"/>
      <c r="BD38" s="16"/>
      <c r="BE38" s="78"/>
      <c r="BF38" s="79"/>
      <c r="BG38" s="41"/>
      <c r="BH38" s="41"/>
      <c r="BI38" s="41"/>
      <c r="BJ38" s="16"/>
      <c r="BK38" s="16"/>
      <c r="BL38" s="16"/>
      <c r="BM38" s="16"/>
      <c r="BN38" s="16"/>
      <c r="BO38" s="16"/>
      <c r="BP38" s="16"/>
      <c r="BQ38" s="16"/>
      <c r="BR38" s="16"/>
      <c r="BS38" s="78"/>
      <c r="BT38" s="79"/>
      <c r="BU38" s="41"/>
      <c r="BV38" s="41"/>
      <c r="BW38" s="41"/>
      <c r="BX38" s="16"/>
      <c r="BY38" s="16"/>
      <c r="BZ38" s="16"/>
      <c r="CA38" s="16"/>
      <c r="CB38" s="16"/>
      <c r="CC38" s="16"/>
      <c r="CD38" s="16"/>
      <c r="CE38" s="16"/>
      <c r="CF38" s="16"/>
      <c r="CG38" s="78"/>
      <c r="CH38" s="79"/>
      <c r="CI38" s="41"/>
      <c r="CJ38" s="41"/>
      <c r="CK38" s="41"/>
      <c r="CL38" s="16"/>
      <c r="CM38" s="16"/>
      <c r="CN38" s="16"/>
      <c r="CO38" s="16"/>
      <c r="CP38" s="16"/>
      <c r="CQ38" s="16"/>
      <c r="CR38" s="16"/>
      <c r="CS38" s="16"/>
      <c r="CT38" s="16"/>
      <c r="CU38" s="78"/>
      <c r="CV38" s="79"/>
      <c r="CW38" s="41"/>
      <c r="CX38" s="41"/>
      <c r="CY38" s="41"/>
      <c r="CZ38" s="16"/>
      <c r="DA38" s="16"/>
      <c r="DB38" s="16"/>
      <c r="DC38" s="16"/>
      <c r="DD38" s="16"/>
      <c r="DE38" s="16"/>
      <c r="DF38" s="16"/>
      <c r="DG38" s="16"/>
      <c r="DH38" s="16"/>
      <c r="DI38" s="78"/>
      <c r="DJ38" s="79"/>
      <c r="DK38" s="41"/>
      <c r="DL38" s="41"/>
      <c r="DM38" s="41"/>
      <c r="DN38" s="16"/>
      <c r="DO38" s="16"/>
      <c r="DP38" s="16"/>
      <c r="DQ38" s="16"/>
      <c r="DR38" s="16"/>
      <c r="DS38" s="16"/>
      <c r="DT38" s="16"/>
      <c r="DU38" s="16"/>
      <c r="DV38" s="16"/>
      <c r="DW38" s="78"/>
      <c r="DX38" s="79"/>
      <c r="DY38" s="41"/>
      <c r="DZ38" s="41"/>
      <c r="EA38" s="41"/>
      <c r="EB38" s="16"/>
      <c r="EC38" s="16"/>
      <c r="ED38" s="16"/>
      <c r="EE38" s="16"/>
      <c r="EF38" s="16"/>
      <c r="EG38" s="16"/>
      <c r="EH38" s="16"/>
      <c r="EI38" s="16"/>
      <c r="EJ38" s="16"/>
      <c r="EK38" s="78"/>
      <c r="EL38" s="79"/>
      <c r="EM38" s="16"/>
      <c r="EN38" s="16"/>
      <c r="EO38" s="16"/>
      <c r="EP38" s="16"/>
      <c r="EQ38" s="16"/>
      <c r="ER38" s="16"/>
      <c r="ES38" s="16"/>
      <c r="ET38" s="16"/>
      <c r="EU38" s="16"/>
      <c r="EV38" s="16"/>
      <c r="EW38" s="16"/>
      <c r="EX38" s="16"/>
      <c r="EY38" s="78"/>
      <c r="EZ38" s="79"/>
      <c r="FA38" s="16"/>
      <c r="FB38" s="16"/>
      <c r="FC38" s="16"/>
      <c r="FD38" s="16"/>
      <c r="FE38" s="16"/>
      <c r="FF38" s="16"/>
      <c r="FG38" s="16"/>
      <c r="FH38" s="16"/>
      <c r="FI38" s="16"/>
      <c r="FJ38" s="16"/>
      <c r="FK38" s="16"/>
      <c r="FM38" s="78"/>
      <c r="FN38" s="79"/>
      <c r="FO38" s="16"/>
      <c r="FP38" s="16"/>
      <c r="FQ38" s="16"/>
      <c r="FR38" s="16"/>
      <c r="FS38" s="16"/>
      <c r="FT38" s="16"/>
      <c r="FU38" s="16"/>
      <c r="FV38" s="16"/>
      <c r="FW38" s="16"/>
      <c r="FX38" s="16"/>
      <c r="FY38" s="16"/>
      <c r="GA38" s="78"/>
      <c r="GB38" s="79"/>
      <c r="GC38" s="16"/>
      <c r="GD38" s="16"/>
      <c r="GE38" s="16"/>
      <c r="GF38" s="16"/>
      <c r="GG38" s="16"/>
      <c r="GH38" s="16"/>
      <c r="GI38" s="16"/>
      <c r="GJ38" s="16"/>
      <c r="GK38" s="16"/>
      <c r="GL38" s="16"/>
      <c r="GM38" s="16"/>
    </row>
    <row r="39" spans="1:195" s="18" customFormat="1" ht="15" customHeight="1">
      <c r="A39" s="80">
        <v>1995</v>
      </c>
      <c r="B39" s="81" t="s">
        <v>45</v>
      </c>
      <c r="C39" s="15">
        <f t="shared" si="2"/>
        <v>0.96223210271269422</v>
      </c>
      <c r="D39" s="15">
        <f t="shared" si="3"/>
        <v>0.96788944723618087</v>
      </c>
      <c r="E39" s="15">
        <f t="shared" si="4"/>
        <v>0.99415496827696459</v>
      </c>
      <c r="F39" s="16"/>
      <c r="G39" s="33"/>
      <c r="H39" s="16">
        <v>20017</v>
      </c>
      <c r="I39" s="16">
        <f t="shared" si="7"/>
        <v>117</v>
      </c>
      <c r="J39" s="16">
        <v>19900</v>
      </c>
      <c r="K39" s="16">
        <v>19261</v>
      </c>
      <c r="L39" s="16">
        <f t="shared" si="8"/>
        <v>639</v>
      </c>
      <c r="M39" s="16"/>
      <c r="N39" s="16"/>
      <c r="O39" s="80"/>
      <c r="P39" s="81"/>
      <c r="Q39" s="41"/>
      <c r="R39" s="41"/>
      <c r="S39" s="41"/>
      <c r="T39" s="16"/>
      <c r="U39" s="16"/>
      <c r="V39" s="16"/>
      <c r="W39" s="16"/>
      <c r="X39" s="16"/>
      <c r="Y39" s="16"/>
      <c r="Z39" s="16"/>
      <c r="AA39" s="16"/>
      <c r="AB39" s="16"/>
      <c r="AC39" s="80"/>
      <c r="AD39" s="81"/>
      <c r="AE39" s="41"/>
      <c r="AF39" s="41"/>
      <c r="AG39" s="41"/>
      <c r="AH39" s="41"/>
      <c r="AI39" s="41"/>
      <c r="AJ39" s="16"/>
      <c r="AK39" s="16"/>
      <c r="AL39" s="16"/>
      <c r="AM39" s="16"/>
      <c r="AN39" s="16"/>
      <c r="AO39" s="16"/>
      <c r="AP39" s="16"/>
      <c r="AQ39" s="80"/>
      <c r="AR39" s="81"/>
      <c r="AS39" s="41"/>
      <c r="AT39" s="41"/>
      <c r="AU39" s="41"/>
      <c r="AV39" s="16"/>
      <c r="AW39" s="16"/>
      <c r="AX39" s="16"/>
      <c r="AY39" s="16"/>
      <c r="AZ39" s="16"/>
      <c r="BA39" s="16"/>
      <c r="BB39" s="16"/>
      <c r="BC39" s="16"/>
      <c r="BD39" s="16"/>
      <c r="BE39" s="80"/>
      <c r="BF39" s="81"/>
      <c r="BG39" s="41"/>
      <c r="BH39" s="41"/>
      <c r="BI39" s="41"/>
      <c r="BJ39" s="16"/>
      <c r="BK39" s="16"/>
      <c r="BL39" s="16"/>
      <c r="BM39" s="16"/>
      <c r="BN39" s="16"/>
      <c r="BO39" s="16"/>
      <c r="BP39" s="16"/>
      <c r="BQ39" s="16"/>
      <c r="BR39" s="16"/>
      <c r="BS39" s="80"/>
      <c r="BT39" s="81"/>
      <c r="BU39" s="41"/>
      <c r="BV39" s="41"/>
      <c r="BW39" s="41"/>
      <c r="BX39" s="16"/>
      <c r="BY39" s="16"/>
      <c r="BZ39" s="16"/>
      <c r="CA39" s="16"/>
      <c r="CB39" s="16"/>
      <c r="CC39" s="16"/>
      <c r="CD39" s="16"/>
      <c r="CE39" s="16"/>
      <c r="CF39" s="16"/>
      <c r="CG39" s="80"/>
      <c r="CH39" s="81"/>
      <c r="CI39" s="41"/>
      <c r="CJ39" s="41"/>
      <c r="CK39" s="41"/>
      <c r="CL39" s="16"/>
      <c r="CM39" s="16"/>
      <c r="CN39" s="16"/>
      <c r="CO39" s="16"/>
      <c r="CP39" s="16"/>
      <c r="CQ39" s="16"/>
      <c r="CR39" s="16"/>
      <c r="CS39" s="16"/>
      <c r="CT39" s="16"/>
      <c r="CU39" s="80"/>
      <c r="CV39" s="81"/>
      <c r="CW39" s="41"/>
      <c r="CX39" s="41"/>
      <c r="CY39" s="41"/>
      <c r="CZ39" s="16"/>
      <c r="DA39" s="16"/>
      <c r="DB39" s="16"/>
      <c r="DC39" s="16"/>
      <c r="DD39" s="16"/>
      <c r="DE39" s="16"/>
      <c r="DF39" s="16"/>
      <c r="DG39" s="16"/>
      <c r="DH39" s="16"/>
      <c r="DI39" s="80"/>
      <c r="DJ39" s="81"/>
      <c r="DK39" s="41"/>
      <c r="DL39" s="41"/>
      <c r="DM39" s="41"/>
      <c r="DN39" s="16"/>
      <c r="DO39" s="16"/>
      <c r="DP39" s="16"/>
      <c r="DQ39" s="16"/>
      <c r="DR39" s="16"/>
      <c r="DS39" s="16"/>
      <c r="DT39" s="16"/>
      <c r="DU39" s="16"/>
      <c r="DV39" s="16"/>
      <c r="DW39" s="80"/>
      <c r="DX39" s="81"/>
      <c r="DY39" s="41"/>
      <c r="DZ39" s="41"/>
      <c r="EA39" s="41"/>
      <c r="EB39" s="16"/>
      <c r="EC39" s="16"/>
      <c r="ED39" s="16"/>
      <c r="EE39" s="16"/>
      <c r="EF39" s="16"/>
      <c r="EG39" s="16"/>
      <c r="EH39" s="16"/>
      <c r="EI39" s="16"/>
      <c r="EJ39" s="16"/>
      <c r="EK39" s="80"/>
      <c r="EL39" s="81"/>
      <c r="EM39" s="16"/>
      <c r="EN39" s="16"/>
      <c r="EO39" s="16"/>
      <c r="EP39" s="16"/>
      <c r="EQ39" s="16"/>
      <c r="ER39" s="16"/>
      <c r="ES39" s="16"/>
      <c r="ET39" s="16"/>
      <c r="EU39" s="16"/>
      <c r="EV39" s="16"/>
      <c r="EW39" s="16"/>
      <c r="EX39" s="16"/>
      <c r="EY39" s="80"/>
      <c r="EZ39" s="81"/>
      <c r="FA39" s="16"/>
      <c r="FB39" s="16"/>
      <c r="FC39" s="16"/>
      <c r="FD39" s="16"/>
      <c r="FE39" s="16"/>
      <c r="FF39" s="16"/>
      <c r="FG39" s="16"/>
      <c r="FH39" s="16"/>
      <c r="FI39" s="16"/>
      <c r="FJ39" s="16"/>
      <c r="FK39" s="16"/>
      <c r="FM39" s="80"/>
      <c r="FN39" s="81"/>
      <c r="FO39" s="16"/>
      <c r="FP39" s="16"/>
      <c r="FQ39" s="16"/>
      <c r="FR39" s="16"/>
      <c r="FS39" s="16"/>
      <c r="FT39" s="16"/>
      <c r="FU39" s="16"/>
      <c r="FV39" s="16"/>
      <c r="FW39" s="16"/>
      <c r="FX39" s="16"/>
      <c r="FY39" s="16"/>
      <c r="GA39" s="80"/>
      <c r="GB39" s="81"/>
      <c r="GC39" s="16"/>
      <c r="GD39" s="16"/>
      <c r="GE39" s="16"/>
      <c r="GF39" s="16"/>
      <c r="GG39" s="16"/>
      <c r="GH39" s="16"/>
      <c r="GI39" s="16"/>
      <c r="GJ39" s="16"/>
      <c r="GK39" s="16"/>
      <c r="GL39" s="16"/>
      <c r="GM39" s="16"/>
    </row>
    <row r="40" spans="1:195" s="18" customFormat="1" ht="15" customHeight="1">
      <c r="A40" s="78">
        <v>1995</v>
      </c>
      <c r="B40" s="79" t="s">
        <v>46</v>
      </c>
      <c r="C40" s="15">
        <f t="shared" si="2"/>
        <v>0.97179281268821527</v>
      </c>
      <c r="D40" s="15">
        <f t="shared" si="3"/>
        <v>0.97837291561394646</v>
      </c>
      <c r="E40" s="15">
        <f t="shared" si="4"/>
        <v>0.99327444288295519</v>
      </c>
      <c r="F40" s="16"/>
      <c r="G40" s="33"/>
      <c r="H40" s="16">
        <v>19924</v>
      </c>
      <c r="I40" s="16">
        <f t="shared" si="7"/>
        <v>134</v>
      </c>
      <c r="J40" s="16">
        <v>19790</v>
      </c>
      <c r="K40" s="16">
        <v>19362</v>
      </c>
      <c r="L40" s="16">
        <f t="shared" si="8"/>
        <v>428</v>
      </c>
      <c r="M40" s="16"/>
      <c r="N40" s="16"/>
      <c r="O40" s="78"/>
      <c r="P40" s="79"/>
      <c r="Q40" s="41"/>
      <c r="R40" s="41"/>
      <c r="S40" s="41"/>
      <c r="T40" s="16"/>
      <c r="U40" s="16"/>
      <c r="V40" s="16"/>
      <c r="W40" s="16"/>
      <c r="X40" s="16"/>
      <c r="Y40" s="16"/>
      <c r="Z40" s="16"/>
      <c r="AA40" s="16"/>
      <c r="AB40" s="16"/>
      <c r="AC40" s="78"/>
      <c r="AD40" s="79"/>
      <c r="AE40" s="41"/>
      <c r="AF40" s="41"/>
      <c r="AG40" s="41"/>
      <c r="AH40" s="41"/>
      <c r="AI40" s="41"/>
      <c r="AJ40" s="16"/>
      <c r="AK40" s="16"/>
      <c r="AL40" s="16"/>
      <c r="AM40" s="16"/>
      <c r="AN40" s="16"/>
      <c r="AO40" s="16"/>
      <c r="AP40" s="16"/>
      <c r="AQ40" s="78"/>
      <c r="AR40" s="79"/>
      <c r="AS40" s="41"/>
      <c r="AT40" s="41"/>
      <c r="AU40" s="41"/>
      <c r="AV40" s="16"/>
      <c r="AW40" s="16"/>
      <c r="AX40" s="16"/>
      <c r="AY40" s="16"/>
      <c r="AZ40" s="16"/>
      <c r="BA40" s="16"/>
      <c r="BB40" s="16"/>
      <c r="BC40" s="16"/>
      <c r="BD40" s="16"/>
      <c r="BE40" s="78"/>
      <c r="BF40" s="79"/>
      <c r="BG40" s="41"/>
      <c r="BH40" s="41"/>
      <c r="BI40" s="41"/>
      <c r="BJ40" s="16"/>
      <c r="BK40" s="16"/>
      <c r="BL40" s="16"/>
      <c r="BM40" s="16"/>
      <c r="BN40" s="16"/>
      <c r="BO40" s="16"/>
      <c r="BP40" s="16"/>
      <c r="BQ40" s="16"/>
      <c r="BR40" s="16"/>
      <c r="BS40" s="78"/>
      <c r="BT40" s="79"/>
      <c r="BU40" s="41"/>
      <c r="BV40" s="41"/>
      <c r="BW40" s="41"/>
      <c r="BX40" s="16"/>
      <c r="BY40" s="16"/>
      <c r="BZ40" s="16"/>
      <c r="CA40" s="16"/>
      <c r="CB40" s="16"/>
      <c r="CC40" s="16"/>
      <c r="CD40" s="16"/>
      <c r="CE40" s="16"/>
      <c r="CF40" s="16"/>
      <c r="CG40" s="78"/>
      <c r="CH40" s="79"/>
      <c r="CI40" s="41"/>
      <c r="CJ40" s="41"/>
      <c r="CK40" s="41"/>
      <c r="CL40" s="16"/>
      <c r="CM40" s="16"/>
      <c r="CN40" s="16"/>
      <c r="CO40" s="16"/>
      <c r="CP40" s="16"/>
      <c r="CQ40" s="16"/>
      <c r="CR40" s="16"/>
      <c r="CS40" s="16"/>
      <c r="CT40" s="16"/>
      <c r="CU40" s="78"/>
      <c r="CV40" s="79"/>
      <c r="CW40" s="41"/>
      <c r="CX40" s="41"/>
      <c r="CY40" s="41"/>
      <c r="CZ40" s="16"/>
      <c r="DA40" s="16"/>
      <c r="DB40" s="16"/>
      <c r="DC40" s="16"/>
      <c r="DD40" s="16"/>
      <c r="DE40" s="16"/>
      <c r="DF40" s="16"/>
      <c r="DG40" s="16"/>
      <c r="DH40" s="16"/>
      <c r="DI40" s="78"/>
      <c r="DJ40" s="79"/>
      <c r="DK40" s="41"/>
      <c r="DL40" s="41"/>
      <c r="DM40" s="41"/>
      <c r="DN40" s="16"/>
      <c r="DO40" s="16"/>
      <c r="DP40" s="16"/>
      <c r="DQ40" s="16"/>
      <c r="DR40" s="16"/>
      <c r="DS40" s="16"/>
      <c r="DT40" s="16"/>
      <c r="DU40" s="16"/>
      <c r="DV40" s="16"/>
      <c r="DW40" s="78"/>
      <c r="DX40" s="79"/>
      <c r="DY40" s="41"/>
      <c r="DZ40" s="41"/>
      <c r="EA40" s="41"/>
      <c r="EB40" s="16"/>
      <c r="EC40" s="16"/>
      <c r="ED40" s="16"/>
      <c r="EE40" s="16"/>
      <c r="EF40" s="16"/>
      <c r="EG40" s="16"/>
      <c r="EH40" s="16"/>
      <c r="EI40" s="16"/>
      <c r="EJ40" s="16"/>
      <c r="EK40" s="78"/>
      <c r="EL40" s="79"/>
      <c r="EM40" s="16"/>
      <c r="EN40" s="16"/>
      <c r="EO40" s="16"/>
      <c r="EP40" s="16"/>
      <c r="EQ40" s="16"/>
      <c r="ER40" s="16"/>
      <c r="ES40" s="16"/>
      <c r="ET40" s="16"/>
      <c r="EU40" s="16"/>
      <c r="EV40" s="16"/>
      <c r="EW40" s="16"/>
      <c r="EX40" s="16"/>
      <c r="EY40" s="78"/>
      <c r="EZ40" s="79"/>
      <c r="FA40" s="16"/>
      <c r="FB40" s="16"/>
      <c r="FC40" s="16"/>
      <c r="FD40" s="16"/>
      <c r="FE40" s="16"/>
      <c r="FF40" s="16"/>
      <c r="FG40" s="16"/>
      <c r="FH40" s="16"/>
      <c r="FI40" s="16"/>
      <c r="FJ40" s="16"/>
      <c r="FK40" s="16"/>
      <c r="FM40" s="78"/>
      <c r="FN40" s="79"/>
      <c r="FO40" s="16"/>
      <c r="FP40" s="16"/>
      <c r="FQ40" s="16"/>
      <c r="FR40" s="16"/>
      <c r="FS40" s="16"/>
      <c r="FT40" s="16"/>
      <c r="FU40" s="16"/>
      <c r="FV40" s="16"/>
      <c r="FW40" s="16"/>
      <c r="FX40" s="16"/>
      <c r="FY40" s="16"/>
      <c r="GA40" s="78"/>
      <c r="GB40" s="79"/>
      <c r="GC40" s="16"/>
      <c r="GD40" s="16"/>
      <c r="GE40" s="16"/>
      <c r="GF40" s="16"/>
      <c r="GG40" s="16"/>
      <c r="GH40" s="16"/>
      <c r="GI40" s="16"/>
      <c r="GJ40" s="16"/>
      <c r="GK40" s="16"/>
      <c r="GL40" s="16"/>
      <c r="GM40" s="16"/>
    </row>
    <row r="41" spans="1:195" s="18" customFormat="1" ht="15" customHeight="1">
      <c r="A41" s="80">
        <v>1995</v>
      </c>
      <c r="B41" s="81" t="s">
        <v>47</v>
      </c>
      <c r="C41" s="15">
        <f t="shared" si="2"/>
        <v>0.97802811656270361</v>
      </c>
      <c r="D41" s="15">
        <f t="shared" si="3"/>
        <v>0.98195924471863905</v>
      </c>
      <c r="E41" s="15">
        <f t="shared" si="4"/>
        <v>0.99599664835676383</v>
      </c>
      <c r="F41" s="16"/>
      <c r="G41" s="33"/>
      <c r="H41" s="16">
        <v>21482</v>
      </c>
      <c r="I41" s="16">
        <f t="shared" si="7"/>
        <v>86</v>
      </c>
      <c r="J41" s="16">
        <v>21396</v>
      </c>
      <c r="K41" s="16">
        <v>21010</v>
      </c>
      <c r="L41" s="16">
        <f t="shared" si="8"/>
        <v>386</v>
      </c>
      <c r="M41" s="16"/>
      <c r="N41" s="16"/>
      <c r="O41" s="80"/>
      <c r="P41" s="81"/>
      <c r="Q41" s="41"/>
      <c r="R41" s="41"/>
      <c r="S41" s="41"/>
      <c r="T41" s="16"/>
      <c r="U41" s="16"/>
      <c r="V41" s="16"/>
      <c r="W41" s="16"/>
      <c r="X41" s="16"/>
      <c r="Y41" s="16"/>
      <c r="Z41" s="16"/>
      <c r="AA41" s="16"/>
      <c r="AB41" s="16"/>
      <c r="AC41" s="80"/>
      <c r="AD41" s="81"/>
      <c r="AE41" s="41"/>
      <c r="AF41" s="41"/>
      <c r="AG41" s="41"/>
      <c r="AH41" s="41"/>
      <c r="AI41" s="41"/>
      <c r="AJ41" s="16"/>
      <c r="AK41" s="16"/>
      <c r="AL41" s="16"/>
      <c r="AM41" s="16"/>
      <c r="AN41" s="16"/>
      <c r="AO41" s="16"/>
      <c r="AP41" s="16"/>
      <c r="AQ41" s="80"/>
      <c r="AR41" s="81"/>
      <c r="AS41" s="41"/>
      <c r="AT41" s="41"/>
      <c r="AU41" s="41"/>
      <c r="AV41" s="16"/>
      <c r="AW41" s="16"/>
      <c r="AX41" s="16"/>
      <c r="AY41" s="16"/>
      <c r="AZ41" s="16"/>
      <c r="BA41" s="16"/>
      <c r="BB41" s="16"/>
      <c r="BC41" s="16"/>
      <c r="BD41" s="16"/>
      <c r="BE41" s="80"/>
      <c r="BF41" s="81"/>
      <c r="BG41" s="41"/>
      <c r="BH41" s="41"/>
      <c r="BI41" s="41"/>
      <c r="BJ41" s="16"/>
      <c r="BK41" s="16"/>
      <c r="BL41" s="16"/>
      <c r="BM41" s="16"/>
      <c r="BN41" s="16"/>
      <c r="BO41" s="16"/>
      <c r="BP41" s="16"/>
      <c r="BQ41" s="16"/>
      <c r="BR41" s="16"/>
      <c r="BS41" s="80"/>
      <c r="BT41" s="81"/>
      <c r="BU41" s="41"/>
      <c r="BV41" s="41"/>
      <c r="BW41" s="41"/>
      <c r="BX41" s="16"/>
      <c r="BY41" s="16"/>
      <c r="BZ41" s="16"/>
      <c r="CA41" s="16"/>
      <c r="CB41" s="16"/>
      <c r="CC41" s="16"/>
      <c r="CD41" s="16"/>
      <c r="CE41" s="16"/>
      <c r="CF41" s="16"/>
      <c r="CG41" s="80"/>
      <c r="CH41" s="81"/>
      <c r="CI41" s="41"/>
      <c r="CJ41" s="41"/>
      <c r="CK41" s="41"/>
      <c r="CL41" s="16"/>
      <c r="CM41" s="16"/>
      <c r="CN41" s="16"/>
      <c r="CO41" s="16"/>
      <c r="CP41" s="16"/>
      <c r="CQ41" s="16"/>
      <c r="CR41" s="16"/>
      <c r="CS41" s="16"/>
      <c r="CT41" s="16"/>
      <c r="CU41" s="80"/>
      <c r="CV41" s="81"/>
      <c r="CW41" s="41"/>
      <c r="CX41" s="41"/>
      <c r="CY41" s="41"/>
      <c r="CZ41" s="16"/>
      <c r="DA41" s="16"/>
      <c r="DB41" s="16"/>
      <c r="DC41" s="16"/>
      <c r="DD41" s="16"/>
      <c r="DE41" s="16"/>
      <c r="DF41" s="16"/>
      <c r="DG41" s="16"/>
      <c r="DH41" s="16"/>
      <c r="DI41" s="80"/>
      <c r="DJ41" s="81"/>
      <c r="DK41" s="41"/>
      <c r="DL41" s="41"/>
      <c r="DM41" s="41"/>
      <c r="DN41" s="16"/>
      <c r="DO41" s="16"/>
      <c r="DP41" s="16"/>
      <c r="DQ41" s="16"/>
      <c r="DR41" s="16"/>
      <c r="DS41" s="16"/>
      <c r="DT41" s="16"/>
      <c r="DU41" s="16"/>
      <c r="DV41" s="16"/>
      <c r="DW41" s="80"/>
      <c r="DX41" s="81"/>
      <c r="DY41" s="41"/>
      <c r="DZ41" s="41"/>
      <c r="EA41" s="41"/>
      <c r="EB41" s="16"/>
      <c r="EC41" s="16"/>
      <c r="ED41" s="16"/>
      <c r="EE41" s="16"/>
      <c r="EF41" s="16"/>
      <c r="EG41" s="16"/>
      <c r="EH41" s="16"/>
      <c r="EI41" s="16"/>
      <c r="EJ41" s="16"/>
      <c r="EK41" s="80"/>
      <c r="EL41" s="81"/>
      <c r="EM41" s="16"/>
      <c r="EN41" s="16"/>
      <c r="EO41" s="16"/>
      <c r="EP41" s="16"/>
      <c r="EQ41" s="16"/>
      <c r="ER41" s="16"/>
      <c r="ES41" s="16"/>
      <c r="ET41" s="16"/>
      <c r="EU41" s="16"/>
      <c r="EV41" s="16"/>
      <c r="EW41" s="16"/>
      <c r="EX41" s="16"/>
      <c r="EY41" s="80"/>
      <c r="EZ41" s="81"/>
      <c r="FA41" s="16"/>
      <c r="FB41" s="16"/>
      <c r="FC41" s="16"/>
      <c r="FD41" s="16"/>
      <c r="FE41" s="16"/>
      <c r="FF41" s="16"/>
      <c r="FG41" s="16"/>
      <c r="FH41" s="16"/>
      <c r="FI41" s="16"/>
      <c r="FJ41" s="16"/>
      <c r="FK41" s="16"/>
      <c r="FM41" s="80"/>
      <c r="FN41" s="81"/>
      <c r="FO41" s="16"/>
      <c r="FP41" s="16"/>
      <c r="FQ41" s="16"/>
      <c r="FR41" s="16"/>
      <c r="FS41" s="16"/>
      <c r="FT41" s="16"/>
      <c r="FU41" s="16"/>
      <c r="FV41" s="16"/>
      <c r="FW41" s="16"/>
      <c r="FX41" s="16"/>
      <c r="FY41" s="16"/>
      <c r="GA41" s="80"/>
      <c r="GB41" s="81"/>
      <c r="GC41" s="16"/>
      <c r="GD41" s="16"/>
      <c r="GE41" s="16"/>
      <c r="GF41" s="16"/>
      <c r="GG41" s="16"/>
      <c r="GH41" s="16"/>
      <c r="GI41" s="16"/>
      <c r="GJ41" s="16"/>
      <c r="GK41" s="16"/>
      <c r="GL41" s="16"/>
      <c r="GM41" s="16"/>
    </row>
    <row r="42" spans="1:195" s="18" customFormat="1" ht="15" customHeight="1">
      <c r="A42" s="78">
        <v>1996</v>
      </c>
      <c r="B42" s="79" t="s">
        <v>36</v>
      </c>
      <c r="C42" s="15">
        <f t="shared" si="2"/>
        <v>0.97150401036217804</v>
      </c>
      <c r="D42" s="15">
        <f t="shared" si="3"/>
        <v>0.97734676489750916</v>
      </c>
      <c r="E42" s="15">
        <f t="shared" si="4"/>
        <v>0.99402182035570164</v>
      </c>
      <c r="F42" s="16"/>
      <c r="G42" s="33"/>
      <c r="H42" s="16">
        <v>20073</v>
      </c>
      <c r="I42" s="16">
        <f t="shared" ref="I42:I53" si="9">H42-J42</f>
        <v>120</v>
      </c>
      <c r="J42" s="16">
        <v>19953</v>
      </c>
      <c r="K42" s="16">
        <v>19501</v>
      </c>
      <c r="L42" s="16">
        <f t="shared" ref="L42:L53" si="10">J42-K42</f>
        <v>452</v>
      </c>
      <c r="M42" s="16"/>
      <c r="N42" s="16"/>
      <c r="O42" s="78"/>
      <c r="P42" s="79"/>
      <c r="Q42" s="41"/>
      <c r="R42" s="41"/>
      <c r="S42" s="41"/>
      <c r="T42" s="16"/>
      <c r="U42" s="16"/>
      <c r="V42" s="16"/>
      <c r="W42" s="16"/>
      <c r="X42" s="16"/>
      <c r="Y42" s="16"/>
      <c r="Z42" s="16"/>
      <c r="AA42" s="16"/>
      <c r="AB42" s="16"/>
      <c r="AC42" s="78"/>
      <c r="AD42" s="79"/>
      <c r="AE42" s="41"/>
      <c r="AF42" s="41"/>
      <c r="AG42" s="41"/>
      <c r="AH42" s="41"/>
      <c r="AI42" s="41"/>
      <c r="AJ42" s="16"/>
      <c r="AK42" s="16"/>
      <c r="AL42" s="16"/>
      <c r="AM42" s="16"/>
      <c r="AN42" s="16"/>
      <c r="AO42" s="16"/>
      <c r="AP42" s="16"/>
      <c r="AQ42" s="78"/>
      <c r="AR42" s="79"/>
      <c r="AS42" s="41"/>
      <c r="AT42" s="41"/>
      <c r="AU42" s="41"/>
      <c r="AV42" s="16"/>
      <c r="AW42" s="16"/>
      <c r="AX42" s="16"/>
      <c r="AY42" s="16"/>
      <c r="AZ42" s="16"/>
      <c r="BA42" s="16"/>
      <c r="BB42" s="16"/>
      <c r="BC42" s="16"/>
      <c r="BD42" s="16"/>
      <c r="BE42" s="78"/>
      <c r="BF42" s="79"/>
      <c r="BG42" s="41"/>
      <c r="BH42" s="41"/>
      <c r="BI42" s="41"/>
      <c r="BJ42" s="16"/>
      <c r="BK42" s="16"/>
      <c r="BL42" s="16"/>
      <c r="BM42" s="16"/>
      <c r="BN42" s="16"/>
      <c r="BO42" s="16"/>
      <c r="BP42" s="16"/>
      <c r="BQ42" s="16"/>
      <c r="BR42" s="16"/>
      <c r="BS42" s="78"/>
      <c r="BT42" s="79"/>
      <c r="BU42" s="41"/>
      <c r="BV42" s="41"/>
      <c r="BW42" s="41"/>
      <c r="BX42" s="16"/>
      <c r="BY42" s="16"/>
      <c r="BZ42" s="16"/>
      <c r="CA42" s="16"/>
      <c r="CB42" s="16"/>
      <c r="CC42" s="16"/>
      <c r="CD42" s="16"/>
      <c r="CE42" s="16"/>
      <c r="CF42" s="16"/>
      <c r="CG42" s="78"/>
      <c r="CH42" s="79"/>
      <c r="CI42" s="41"/>
      <c r="CJ42" s="41"/>
      <c r="CK42" s="41"/>
      <c r="CL42" s="16"/>
      <c r="CM42" s="16"/>
      <c r="CN42" s="16"/>
      <c r="CO42" s="16"/>
      <c r="CP42" s="16"/>
      <c r="CQ42" s="16"/>
      <c r="CR42" s="16"/>
      <c r="CS42" s="16"/>
      <c r="CT42" s="16"/>
      <c r="CU42" s="78"/>
      <c r="CV42" s="79"/>
      <c r="CW42" s="41"/>
      <c r="CX42" s="41"/>
      <c r="CY42" s="41"/>
      <c r="CZ42" s="16"/>
      <c r="DA42" s="16"/>
      <c r="DB42" s="16"/>
      <c r="DC42" s="16"/>
      <c r="DD42" s="16"/>
      <c r="DE42" s="16"/>
      <c r="DF42" s="16"/>
      <c r="DG42" s="16"/>
      <c r="DH42" s="16"/>
      <c r="DI42" s="78"/>
      <c r="DJ42" s="79"/>
      <c r="DK42" s="41"/>
      <c r="DL42" s="41"/>
      <c r="DM42" s="41"/>
      <c r="DN42" s="16"/>
      <c r="DO42" s="16"/>
      <c r="DP42" s="16"/>
      <c r="DQ42" s="16"/>
      <c r="DR42" s="16"/>
      <c r="DS42" s="16"/>
      <c r="DT42" s="16"/>
      <c r="DU42" s="16"/>
      <c r="DV42" s="16"/>
      <c r="DW42" s="78"/>
      <c r="DX42" s="79"/>
      <c r="DY42" s="41"/>
      <c r="DZ42" s="41"/>
      <c r="EA42" s="41"/>
      <c r="EB42" s="16"/>
      <c r="EC42" s="16"/>
      <c r="ED42" s="16"/>
      <c r="EE42" s="16"/>
      <c r="EF42" s="16"/>
      <c r="EG42" s="16"/>
      <c r="EH42" s="16"/>
      <c r="EI42" s="16"/>
      <c r="EJ42" s="16"/>
      <c r="EK42" s="78"/>
      <c r="EL42" s="79"/>
      <c r="EM42" s="16"/>
      <c r="EN42" s="16"/>
      <c r="EO42" s="16"/>
      <c r="EP42" s="16"/>
      <c r="EQ42" s="16"/>
      <c r="ER42" s="16"/>
      <c r="ES42" s="16"/>
      <c r="ET42" s="16"/>
      <c r="EU42" s="16"/>
      <c r="EV42" s="16"/>
      <c r="EW42" s="16"/>
      <c r="EX42" s="16"/>
      <c r="EY42" s="78"/>
      <c r="EZ42" s="79"/>
      <c r="FA42" s="16"/>
      <c r="FB42" s="16"/>
      <c r="FC42" s="16"/>
      <c r="FD42" s="16"/>
      <c r="FE42" s="16"/>
      <c r="FF42" s="16"/>
      <c r="FG42" s="16"/>
      <c r="FH42" s="16"/>
      <c r="FI42" s="16"/>
      <c r="FJ42" s="16"/>
      <c r="FK42" s="16"/>
      <c r="FM42" s="78"/>
      <c r="FN42" s="79"/>
      <c r="FO42" s="16"/>
      <c r="FP42" s="16"/>
      <c r="FQ42" s="16"/>
      <c r="FR42" s="16"/>
      <c r="FS42" s="16"/>
      <c r="FT42" s="16"/>
      <c r="FU42" s="16"/>
      <c r="FV42" s="16"/>
      <c r="FW42" s="16"/>
      <c r="FX42" s="16"/>
      <c r="FY42" s="16"/>
      <c r="GA42" s="78"/>
      <c r="GB42" s="79"/>
      <c r="GC42" s="16"/>
      <c r="GD42" s="16"/>
      <c r="GE42" s="16"/>
      <c r="GF42" s="16"/>
      <c r="GG42" s="16"/>
      <c r="GH42" s="16"/>
      <c r="GI42" s="16"/>
      <c r="GJ42" s="16"/>
      <c r="GK42" s="16"/>
      <c r="GL42" s="16"/>
      <c r="GM42" s="16"/>
    </row>
    <row r="43" spans="1:195" s="18" customFormat="1" ht="15" customHeight="1">
      <c r="A43" s="80">
        <v>1996</v>
      </c>
      <c r="B43" s="81" t="s">
        <v>37</v>
      </c>
      <c r="C43" s="15">
        <f t="shared" si="2"/>
        <v>0.96977844697784465</v>
      </c>
      <c r="D43" s="15">
        <f t="shared" si="3"/>
        <v>0.97496891387792617</v>
      </c>
      <c r="E43" s="15">
        <f t="shared" si="4"/>
        <v>0.99467627446762741</v>
      </c>
      <c r="F43" s="16"/>
      <c r="G43" s="33"/>
      <c r="H43" s="16">
        <v>18596</v>
      </c>
      <c r="I43" s="16">
        <f t="shared" si="9"/>
        <v>99</v>
      </c>
      <c r="J43" s="16">
        <v>18497</v>
      </c>
      <c r="K43" s="16">
        <v>18034</v>
      </c>
      <c r="L43" s="16">
        <f t="shared" si="10"/>
        <v>463</v>
      </c>
      <c r="M43" s="16"/>
      <c r="N43" s="16"/>
      <c r="O43" s="80"/>
      <c r="P43" s="81"/>
      <c r="Q43" s="41"/>
      <c r="R43" s="41"/>
      <c r="S43" s="41"/>
      <c r="T43" s="16"/>
      <c r="U43" s="16"/>
      <c r="V43" s="16"/>
      <c r="W43" s="16"/>
      <c r="X43" s="16"/>
      <c r="Y43" s="16"/>
      <c r="Z43" s="16"/>
      <c r="AA43" s="16"/>
      <c r="AB43" s="16"/>
      <c r="AC43" s="80"/>
      <c r="AD43" s="81"/>
      <c r="AE43" s="41"/>
      <c r="AF43" s="41"/>
      <c r="AG43" s="41"/>
      <c r="AH43" s="41"/>
      <c r="AI43" s="41"/>
      <c r="AJ43" s="16"/>
      <c r="AK43" s="16"/>
      <c r="AL43" s="16"/>
      <c r="AM43" s="16"/>
      <c r="AN43" s="16"/>
      <c r="AO43" s="16"/>
      <c r="AP43" s="16"/>
      <c r="AQ43" s="80"/>
      <c r="AR43" s="81"/>
      <c r="AS43" s="41"/>
      <c r="AT43" s="41"/>
      <c r="AU43" s="41"/>
      <c r="AV43" s="16"/>
      <c r="AW43" s="16"/>
      <c r="AX43" s="16"/>
      <c r="AY43" s="16"/>
      <c r="AZ43" s="16"/>
      <c r="BA43" s="16"/>
      <c r="BB43" s="16"/>
      <c r="BC43" s="16"/>
      <c r="BD43" s="16"/>
      <c r="BE43" s="80"/>
      <c r="BF43" s="81"/>
      <c r="BG43" s="41"/>
      <c r="BH43" s="41"/>
      <c r="BI43" s="41"/>
      <c r="BJ43" s="16"/>
      <c r="BK43" s="16"/>
      <c r="BL43" s="16"/>
      <c r="BM43" s="16"/>
      <c r="BN43" s="16"/>
      <c r="BO43" s="16"/>
      <c r="BP43" s="16"/>
      <c r="BQ43" s="16"/>
      <c r="BR43" s="16"/>
      <c r="BS43" s="80"/>
      <c r="BT43" s="81"/>
      <c r="BU43" s="41"/>
      <c r="BV43" s="41"/>
      <c r="BW43" s="41"/>
      <c r="BX43" s="16"/>
      <c r="BY43" s="16"/>
      <c r="BZ43" s="16"/>
      <c r="CA43" s="16"/>
      <c r="CB43" s="16"/>
      <c r="CC43" s="16"/>
      <c r="CD43" s="16"/>
      <c r="CE43" s="16"/>
      <c r="CF43" s="16"/>
      <c r="CG43" s="80"/>
      <c r="CH43" s="81"/>
      <c r="CI43" s="41"/>
      <c r="CJ43" s="41"/>
      <c r="CK43" s="41"/>
      <c r="CL43" s="16"/>
      <c r="CM43" s="16"/>
      <c r="CN43" s="16"/>
      <c r="CO43" s="16"/>
      <c r="CP43" s="16"/>
      <c r="CQ43" s="16"/>
      <c r="CR43" s="16"/>
      <c r="CS43" s="16"/>
      <c r="CT43" s="16"/>
      <c r="CU43" s="80"/>
      <c r="CV43" s="81"/>
      <c r="CW43" s="41"/>
      <c r="CX43" s="41"/>
      <c r="CY43" s="41"/>
      <c r="CZ43" s="16"/>
      <c r="DA43" s="16"/>
      <c r="DB43" s="16"/>
      <c r="DC43" s="16"/>
      <c r="DD43" s="16"/>
      <c r="DE43" s="16"/>
      <c r="DF43" s="16"/>
      <c r="DG43" s="16"/>
      <c r="DH43" s="16"/>
      <c r="DI43" s="80"/>
      <c r="DJ43" s="81"/>
      <c r="DK43" s="41"/>
      <c r="DL43" s="41"/>
      <c r="DM43" s="41"/>
      <c r="DN43" s="16"/>
      <c r="DO43" s="16"/>
      <c r="DP43" s="16"/>
      <c r="DQ43" s="16"/>
      <c r="DR43" s="16"/>
      <c r="DS43" s="16"/>
      <c r="DT43" s="16"/>
      <c r="DU43" s="16"/>
      <c r="DV43" s="16"/>
      <c r="DW43" s="80"/>
      <c r="DX43" s="81"/>
      <c r="DY43" s="41"/>
      <c r="DZ43" s="41"/>
      <c r="EA43" s="41"/>
      <c r="EB43" s="16"/>
      <c r="EC43" s="16"/>
      <c r="ED43" s="16"/>
      <c r="EE43" s="16"/>
      <c r="EF43" s="16"/>
      <c r="EG43" s="16"/>
      <c r="EH43" s="16"/>
      <c r="EI43" s="16"/>
      <c r="EJ43" s="16"/>
      <c r="EK43" s="80"/>
      <c r="EL43" s="81"/>
      <c r="EM43" s="16"/>
      <c r="EN43" s="16"/>
      <c r="EO43" s="16"/>
      <c r="EP43" s="16"/>
      <c r="EQ43" s="16"/>
      <c r="ER43" s="16"/>
      <c r="ES43" s="16"/>
      <c r="ET43" s="16"/>
      <c r="EU43" s="16"/>
      <c r="EV43" s="16"/>
      <c r="EW43" s="16"/>
      <c r="EX43" s="16"/>
      <c r="EY43" s="80"/>
      <c r="EZ43" s="81"/>
      <c r="FA43" s="16"/>
      <c r="FB43" s="16"/>
      <c r="FC43" s="16"/>
      <c r="FD43" s="16"/>
      <c r="FE43" s="16"/>
      <c r="FF43" s="16"/>
      <c r="FG43" s="16"/>
      <c r="FH43" s="16"/>
      <c r="FI43" s="16"/>
      <c r="FJ43" s="16"/>
      <c r="FK43" s="16"/>
      <c r="FM43" s="80"/>
      <c r="FN43" s="81"/>
      <c r="FO43" s="16"/>
      <c r="FP43" s="16"/>
      <c r="FQ43" s="16"/>
      <c r="FR43" s="16"/>
      <c r="FS43" s="16"/>
      <c r="FT43" s="16"/>
      <c r="FU43" s="16"/>
      <c r="FV43" s="16"/>
      <c r="FW43" s="16"/>
      <c r="FX43" s="16"/>
      <c r="FY43" s="16"/>
      <c r="GA43" s="80"/>
      <c r="GB43" s="81"/>
      <c r="GC43" s="16"/>
      <c r="GD43" s="16"/>
      <c r="GE43" s="16"/>
      <c r="GF43" s="16"/>
      <c r="GG43" s="16"/>
      <c r="GH43" s="16"/>
      <c r="GI43" s="16"/>
      <c r="GJ43" s="16"/>
      <c r="GK43" s="16"/>
      <c r="GL43" s="16"/>
      <c r="GM43" s="16"/>
    </row>
    <row r="44" spans="1:195" s="18" customFormat="1" ht="15" customHeight="1">
      <c r="A44" s="78">
        <v>1996</v>
      </c>
      <c r="B44" s="79" t="s">
        <v>38</v>
      </c>
      <c r="C44" s="15">
        <f t="shared" si="2"/>
        <v>0.97120977122915864</v>
      </c>
      <c r="D44" s="15">
        <f t="shared" si="3"/>
        <v>0.98057254710056274</v>
      </c>
      <c r="E44" s="15">
        <f t="shared" si="4"/>
        <v>0.99045172547499027</v>
      </c>
      <c r="F44" s="16"/>
      <c r="G44" s="33"/>
      <c r="H44" s="16">
        <v>20632</v>
      </c>
      <c r="I44" s="16">
        <f t="shared" si="9"/>
        <v>197</v>
      </c>
      <c r="J44" s="16">
        <v>20435</v>
      </c>
      <c r="K44" s="16">
        <v>20038</v>
      </c>
      <c r="L44" s="16">
        <f t="shared" si="10"/>
        <v>397</v>
      </c>
      <c r="M44" s="16"/>
      <c r="N44" s="16"/>
      <c r="O44" s="78"/>
      <c r="P44" s="79"/>
      <c r="Q44" s="41"/>
      <c r="R44" s="41"/>
      <c r="S44" s="41"/>
      <c r="T44" s="16"/>
      <c r="U44" s="16"/>
      <c r="V44" s="16"/>
      <c r="W44" s="16"/>
      <c r="X44" s="16"/>
      <c r="Y44" s="16"/>
      <c r="Z44" s="16"/>
      <c r="AA44" s="16"/>
      <c r="AB44" s="16"/>
      <c r="AC44" s="78"/>
      <c r="AD44" s="79"/>
      <c r="AE44" s="41"/>
      <c r="AF44" s="41"/>
      <c r="AG44" s="41"/>
      <c r="AH44" s="41"/>
      <c r="AI44" s="41"/>
      <c r="AJ44" s="16"/>
      <c r="AK44" s="16"/>
      <c r="AL44" s="16"/>
      <c r="AM44" s="16"/>
      <c r="AN44" s="16"/>
      <c r="AO44" s="16"/>
      <c r="AP44" s="16"/>
      <c r="AQ44" s="78"/>
      <c r="AR44" s="79"/>
      <c r="AS44" s="41"/>
      <c r="AT44" s="41"/>
      <c r="AU44" s="41"/>
      <c r="AV44" s="16"/>
      <c r="AW44" s="16"/>
      <c r="AX44" s="16"/>
      <c r="AY44" s="16"/>
      <c r="AZ44" s="16"/>
      <c r="BA44" s="16"/>
      <c r="BB44" s="16"/>
      <c r="BC44" s="16"/>
      <c r="BD44" s="16"/>
      <c r="BE44" s="78"/>
      <c r="BF44" s="79"/>
      <c r="BG44" s="41"/>
      <c r="BH44" s="41"/>
      <c r="BI44" s="41"/>
      <c r="BJ44" s="16"/>
      <c r="BK44" s="16"/>
      <c r="BL44" s="16"/>
      <c r="BM44" s="16"/>
      <c r="BN44" s="16"/>
      <c r="BO44" s="16"/>
      <c r="BP44" s="16"/>
      <c r="BQ44" s="16"/>
      <c r="BR44" s="16"/>
      <c r="BS44" s="78"/>
      <c r="BT44" s="79"/>
      <c r="BU44" s="41"/>
      <c r="BV44" s="41"/>
      <c r="BW44" s="41"/>
      <c r="BX44" s="16"/>
      <c r="BY44" s="16"/>
      <c r="BZ44" s="16"/>
      <c r="CA44" s="16"/>
      <c r="CB44" s="16"/>
      <c r="CC44" s="16"/>
      <c r="CD44" s="16"/>
      <c r="CE44" s="16"/>
      <c r="CF44" s="16"/>
      <c r="CG44" s="78"/>
      <c r="CH44" s="79"/>
      <c r="CI44" s="41"/>
      <c r="CJ44" s="41"/>
      <c r="CK44" s="41"/>
      <c r="CL44" s="16"/>
      <c r="CM44" s="16"/>
      <c r="CN44" s="16"/>
      <c r="CO44" s="16"/>
      <c r="CP44" s="16"/>
      <c r="CQ44" s="16"/>
      <c r="CR44" s="16"/>
      <c r="CS44" s="16"/>
      <c r="CT44" s="16"/>
      <c r="CU44" s="78"/>
      <c r="CV44" s="79"/>
      <c r="CW44" s="41"/>
      <c r="CX44" s="41"/>
      <c r="CY44" s="41"/>
      <c r="CZ44" s="16"/>
      <c r="DA44" s="16"/>
      <c r="DB44" s="16"/>
      <c r="DC44" s="16"/>
      <c r="DD44" s="16"/>
      <c r="DE44" s="16"/>
      <c r="DF44" s="16"/>
      <c r="DG44" s="16"/>
      <c r="DH44" s="16"/>
      <c r="DI44" s="78"/>
      <c r="DJ44" s="79"/>
      <c r="DK44" s="41"/>
      <c r="DL44" s="41"/>
      <c r="DM44" s="41"/>
      <c r="DN44" s="16"/>
      <c r="DO44" s="16"/>
      <c r="DP44" s="16"/>
      <c r="DQ44" s="16"/>
      <c r="DR44" s="16"/>
      <c r="DS44" s="16"/>
      <c r="DT44" s="16"/>
      <c r="DU44" s="16"/>
      <c r="DV44" s="16"/>
      <c r="DW44" s="78"/>
      <c r="DX44" s="79"/>
      <c r="DY44" s="41"/>
      <c r="DZ44" s="41"/>
      <c r="EA44" s="41"/>
      <c r="EB44" s="16"/>
      <c r="EC44" s="16"/>
      <c r="ED44" s="16"/>
      <c r="EE44" s="16"/>
      <c r="EF44" s="16"/>
      <c r="EG44" s="16"/>
      <c r="EH44" s="16"/>
      <c r="EI44" s="16"/>
      <c r="EJ44" s="16"/>
      <c r="EK44" s="78"/>
      <c r="EL44" s="79"/>
      <c r="EM44" s="16"/>
      <c r="EN44" s="16"/>
      <c r="EO44" s="16"/>
      <c r="EP44" s="16"/>
      <c r="EQ44" s="16"/>
      <c r="ER44" s="16"/>
      <c r="ES44" s="16"/>
      <c r="ET44" s="16"/>
      <c r="EU44" s="16"/>
      <c r="EV44" s="16"/>
      <c r="EW44" s="16"/>
      <c r="EX44" s="16"/>
      <c r="EY44" s="78"/>
      <c r="EZ44" s="79"/>
      <c r="FA44" s="16"/>
      <c r="FB44" s="16"/>
      <c r="FC44" s="16"/>
      <c r="FD44" s="16"/>
      <c r="FE44" s="16"/>
      <c r="FF44" s="16"/>
      <c r="FG44" s="16"/>
      <c r="FH44" s="16"/>
      <c r="FI44" s="16"/>
      <c r="FJ44" s="16"/>
      <c r="FK44" s="16"/>
      <c r="FM44" s="78"/>
      <c r="FN44" s="79"/>
      <c r="FO44" s="16"/>
      <c r="FP44" s="16"/>
      <c r="FQ44" s="16"/>
      <c r="FR44" s="16"/>
      <c r="FS44" s="16"/>
      <c r="FT44" s="16"/>
      <c r="FU44" s="16"/>
      <c r="FV44" s="16"/>
      <c r="FW44" s="16"/>
      <c r="FX44" s="16"/>
      <c r="FY44" s="16"/>
      <c r="GA44" s="78"/>
      <c r="GB44" s="79"/>
      <c r="GC44" s="16"/>
      <c r="GD44" s="16"/>
      <c r="GE44" s="16"/>
      <c r="GF44" s="16"/>
      <c r="GG44" s="16"/>
      <c r="GH44" s="16"/>
      <c r="GI44" s="16"/>
      <c r="GJ44" s="16"/>
      <c r="GK44" s="16"/>
      <c r="GL44" s="16"/>
      <c r="GM44" s="16"/>
    </row>
    <row r="45" spans="1:195" s="18" customFormat="1" ht="15" customHeight="1">
      <c r="A45" s="80">
        <v>1996</v>
      </c>
      <c r="B45" s="81" t="s">
        <v>39</v>
      </c>
      <c r="C45" s="15">
        <f t="shared" si="2"/>
        <v>0.9716855265108465</v>
      </c>
      <c r="D45" s="15">
        <f t="shared" si="3"/>
        <v>0.97602620737578794</v>
      </c>
      <c r="E45" s="15">
        <f t="shared" si="4"/>
        <v>0.99555270049908584</v>
      </c>
      <c r="F45" s="16"/>
      <c r="G45" s="33"/>
      <c r="H45" s="16">
        <v>20237</v>
      </c>
      <c r="I45" s="16">
        <f t="shared" si="9"/>
        <v>90</v>
      </c>
      <c r="J45" s="16">
        <v>20147</v>
      </c>
      <c r="K45" s="16">
        <v>19664</v>
      </c>
      <c r="L45" s="16">
        <f t="shared" si="10"/>
        <v>483</v>
      </c>
      <c r="M45" s="16"/>
      <c r="N45" s="16"/>
      <c r="O45" s="80"/>
      <c r="P45" s="81"/>
      <c r="Q45" s="41"/>
      <c r="R45" s="41"/>
      <c r="S45" s="41"/>
      <c r="T45" s="16"/>
      <c r="U45" s="16"/>
      <c r="V45" s="16"/>
      <c r="W45" s="16"/>
      <c r="X45" s="16"/>
      <c r="Y45" s="16"/>
      <c r="Z45" s="16"/>
      <c r="AA45" s="16"/>
      <c r="AB45" s="16"/>
      <c r="AC45" s="80"/>
      <c r="AD45" s="81"/>
      <c r="AE45" s="41"/>
      <c r="AF45" s="41"/>
      <c r="AG45" s="41"/>
      <c r="AH45" s="41"/>
      <c r="AI45" s="41"/>
      <c r="AJ45" s="16"/>
      <c r="AK45" s="16"/>
      <c r="AL45" s="16"/>
      <c r="AM45" s="16"/>
      <c r="AN45" s="16"/>
      <c r="AO45" s="16"/>
      <c r="AP45" s="16"/>
      <c r="AQ45" s="80"/>
      <c r="AR45" s="81"/>
      <c r="AS45" s="41"/>
      <c r="AT45" s="41"/>
      <c r="AU45" s="41"/>
      <c r="AV45" s="16"/>
      <c r="AW45" s="16"/>
      <c r="AX45" s="16"/>
      <c r="AY45" s="16"/>
      <c r="AZ45" s="16"/>
      <c r="BA45" s="16"/>
      <c r="BB45" s="16"/>
      <c r="BC45" s="16"/>
      <c r="BD45" s="16"/>
      <c r="BE45" s="80"/>
      <c r="BF45" s="81"/>
      <c r="BG45" s="41"/>
      <c r="BH45" s="41"/>
      <c r="BI45" s="41"/>
      <c r="BJ45" s="16"/>
      <c r="BK45" s="16"/>
      <c r="BL45" s="16"/>
      <c r="BM45" s="16"/>
      <c r="BN45" s="16"/>
      <c r="BO45" s="16"/>
      <c r="BP45" s="16"/>
      <c r="BQ45" s="16"/>
      <c r="BR45" s="16"/>
      <c r="BS45" s="80"/>
      <c r="BT45" s="81"/>
      <c r="BU45" s="41"/>
      <c r="BV45" s="41"/>
      <c r="BW45" s="41"/>
      <c r="BX45" s="16"/>
      <c r="BY45" s="16"/>
      <c r="BZ45" s="16"/>
      <c r="CA45" s="16"/>
      <c r="CB45" s="16"/>
      <c r="CC45" s="16"/>
      <c r="CD45" s="16"/>
      <c r="CE45" s="16"/>
      <c r="CF45" s="16"/>
      <c r="CG45" s="80"/>
      <c r="CH45" s="81"/>
      <c r="CI45" s="41"/>
      <c r="CJ45" s="41"/>
      <c r="CK45" s="41"/>
      <c r="CL45" s="16"/>
      <c r="CM45" s="16"/>
      <c r="CN45" s="16"/>
      <c r="CO45" s="16"/>
      <c r="CP45" s="16"/>
      <c r="CQ45" s="16"/>
      <c r="CR45" s="16"/>
      <c r="CS45" s="16"/>
      <c r="CT45" s="16"/>
      <c r="CU45" s="80"/>
      <c r="CV45" s="81"/>
      <c r="CW45" s="41"/>
      <c r="CX45" s="41"/>
      <c r="CY45" s="41"/>
      <c r="CZ45" s="16"/>
      <c r="DA45" s="16"/>
      <c r="DB45" s="16"/>
      <c r="DC45" s="16"/>
      <c r="DD45" s="16"/>
      <c r="DE45" s="16"/>
      <c r="DF45" s="16"/>
      <c r="DG45" s="16"/>
      <c r="DH45" s="16"/>
      <c r="DI45" s="80"/>
      <c r="DJ45" s="81"/>
      <c r="DK45" s="41"/>
      <c r="DL45" s="41"/>
      <c r="DM45" s="41"/>
      <c r="DN45" s="16"/>
      <c r="DO45" s="16"/>
      <c r="DP45" s="16"/>
      <c r="DQ45" s="16"/>
      <c r="DR45" s="16"/>
      <c r="DS45" s="16"/>
      <c r="DT45" s="16"/>
      <c r="DU45" s="16"/>
      <c r="DV45" s="16"/>
      <c r="DW45" s="80"/>
      <c r="DX45" s="81"/>
      <c r="DY45" s="41"/>
      <c r="DZ45" s="41"/>
      <c r="EA45" s="41"/>
      <c r="EB45" s="16"/>
      <c r="EC45" s="16"/>
      <c r="ED45" s="16"/>
      <c r="EE45" s="16"/>
      <c r="EF45" s="16"/>
      <c r="EG45" s="16"/>
      <c r="EH45" s="16"/>
      <c r="EI45" s="16"/>
      <c r="EJ45" s="16"/>
      <c r="EK45" s="80"/>
      <c r="EL45" s="81"/>
      <c r="EM45" s="16"/>
      <c r="EN45" s="16"/>
      <c r="EO45" s="16"/>
      <c r="EP45" s="16"/>
      <c r="EQ45" s="16"/>
      <c r="ER45" s="16"/>
      <c r="ES45" s="16"/>
      <c r="ET45" s="16"/>
      <c r="EU45" s="16"/>
      <c r="EV45" s="16"/>
      <c r="EW45" s="16"/>
      <c r="EX45" s="16"/>
      <c r="EY45" s="80"/>
      <c r="EZ45" s="81"/>
      <c r="FA45" s="16"/>
      <c r="FB45" s="16"/>
      <c r="FC45" s="16"/>
      <c r="FD45" s="16"/>
      <c r="FE45" s="16"/>
      <c r="FF45" s="16"/>
      <c r="FG45" s="16"/>
      <c r="FH45" s="16"/>
      <c r="FI45" s="16"/>
      <c r="FJ45" s="16"/>
      <c r="FK45" s="16"/>
      <c r="FM45" s="80"/>
      <c r="FN45" s="81"/>
      <c r="FO45" s="16"/>
      <c r="FP45" s="16"/>
      <c r="FQ45" s="16"/>
      <c r="FR45" s="16"/>
      <c r="FS45" s="16"/>
      <c r="FT45" s="16"/>
      <c r="FU45" s="16"/>
      <c r="FV45" s="16"/>
      <c r="FW45" s="16"/>
      <c r="FX45" s="16"/>
      <c r="FY45" s="16"/>
      <c r="GA45" s="80"/>
      <c r="GB45" s="81"/>
      <c r="GC45" s="16"/>
      <c r="GD45" s="16"/>
      <c r="GE45" s="16"/>
      <c r="GF45" s="16"/>
      <c r="GG45" s="16"/>
      <c r="GH45" s="16"/>
      <c r="GI45" s="16"/>
      <c r="GJ45" s="16"/>
      <c r="GK45" s="16"/>
      <c r="GL45" s="16"/>
      <c r="GM45" s="16"/>
    </row>
    <row r="46" spans="1:195" s="18" customFormat="1" ht="15" customHeight="1">
      <c r="A46" s="78">
        <v>1996</v>
      </c>
      <c r="B46" s="79" t="s">
        <v>40</v>
      </c>
      <c r="C46" s="15">
        <f t="shared" si="2"/>
        <v>0.96389022628791521</v>
      </c>
      <c r="D46" s="15">
        <f t="shared" si="3"/>
        <v>0.96775752888287325</v>
      </c>
      <c r="E46" s="15">
        <f t="shared" si="4"/>
        <v>0.99600385170919592</v>
      </c>
      <c r="F46" s="16"/>
      <c r="G46" s="33"/>
      <c r="H46" s="16">
        <v>20770</v>
      </c>
      <c r="I46" s="16">
        <f t="shared" si="9"/>
        <v>83</v>
      </c>
      <c r="J46" s="16">
        <v>20687</v>
      </c>
      <c r="K46" s="16">
        <v>20020</v>
      </c>
      <c r="L46" s="16">
        <f t="shared" si="10"/>
        <v>667</v>
      </c>
      <c r="M46" s="16"/>
      <c r="N46" s="16"/>
      <c r="O46" s="78"/>
      <c r="P46" s="79"/>
      <c r="Q46" s="41"/>
      <c r="R46" s="41"/>
      <c r="S46" s="41"/>
      <c r="T46" s="16"/>
      <c r="U46" s="16"/>
      <c r="V46" s="16"/>
      <c r="W46" s="16"/>
      <c r="X46" s="16"/>
      <c r="Y46" s="16"/>
      <c r="Z46" s="16"/>
      <c r="AA46" s="16"/>
      <c r="AB46" s="16"/>
      <c r="AC46" s="78"/>
      <c r="AD46" s="79"/>
      <c r="AE46" s="41"/>
      <c r="AF46" s="41"/>
      <c r="AG46" s="41"/>
      <c r="AH46" s="41"/>
      <c r="AI46" s="41"/>
      <c r="AJ46" s="16"/>
      <c r="AK46" s="16"/>
      <c r="AL46" s="16"/>
      <c r="AM46" s="16"/>
      <c r="AN46" s="16"/>
      <c r="AO46" s="16"/>
      <c r="AP46" s="16"/>
      <c r="AQ46" s="78"/>
      <c r="AR46" s="79"/>
      <c r="AS46" s="41"/>
      <c r="AT46" s="41"/>
      <c r="AU46" s="41"/>
      <c r="AV46" s="16"/>
      <c r="AW46" s="16"/>
      <c r="AX46" s="16"/>
      <c r="AY46" s="16"/>
      <c r="AZ46" s="16"/>
      <c r="BA46" s="16"/>
      <c r="BB46" s="16"/>
      <c r="BC46" s="16"/>
      <c r="BD46" s="16"/>
      <c r="BE46" s="78"/>
      <c r="BF46" s="79"/>
      <c r="BG46" s="41"/>
      <c r="BH46" s="41"/>
      <c r="BI46" s="41"/>
      <c r="BJ46" s="16"/>
      <c r="BK46" s="16"/>
      <c r="BL46" s="16"/>
      <c r="BM46" s="16"/>
      <c r="BN46" s="16"/>
      <c r="BO46" s="16"/>
      <c r="BP46" s="16"/>
      <c r="BQ46" s="16"/>
      <c r="BR46" s="16"/>
      <c r="BS46" s="78"/>
      <c r="BT46" s="79"/>
      <c r="BU46" s="41"/>
      <c r="BV46" s="41"/>
      <c r="BW46" s="41"/>
      <c r="BX46" s="16"/>
      <c r="BY46" s="16"/>
      <c r="BZ46" s="16"/>
      <c r="CA46" s="16"/>
      <c r="CB46" s="16"/>
      <c r="CC46" s="16"/>
      <c r="CD46" s="16"/>
      <c r="CE46" s="16"/>
      <c r="CF46" s="16"/>
      <c r="CG46" s="78"/>
      <c r="CH46" s="79"/>
      <c r="CI46" s="41"/>
      <c r="CJ46" s="41"/>
      <c r="CK46" s="41"/>
      <c r="CL46" s="16"/>
      <c r="CM46" s="16"/>
      <c r="CN46" s="16"/>
      <c r="CO46" s="16"/>
      <c r="CP46" s="16"/>
      <c r="CQ46" s="16"/>
      <c r="CR46" s="16"/>
      <c r="CS46" s="16"/>
      <c r="CT46" s="16"/>
      <c r="CU46" s="78"/>
      <c r="CV46" s="79"/>
      <c r="CW46" s="41"/>
      <c r="CX46" s="41"/>
      <c r="CY46" s="41"/>
      <c r="CZ46" s="16"/>
      <c r="DA46" s="16"/>
      <c r="DB46" s="16"/>
      <c r="DC46" s="16"/>
      <c r="DD46" s="16"/>
      <c r="DE46" s="16"/>
      <c r="DF46" s="16"/>
      <c r="DG46" s="16"/>
      <c r="DH46" s="16"/>
      <c r="DI46" s="78"/>
      <c r="DJ46" s="79"/>
      <c r="DK46" s="41"/>
      <c r="DL46" s="41"/>
      <c r="DM46" s="41"/>
      <c r="DN46" s="16"/>
      <c r="DO46" s="16"/>
      <c r="DP46" s="16"/>
      <c r="DQ46" s="16"/>
      <c r="DR46" s="16"/>
      <c r="DS46" s="16"/>
      <c r="DT46" s="16"/>
      <c r="DU46" s="16"/>
      <c r="DV46" s="16"/>
      <c r="DW46" s="78"/>
      <c r="DX46" s="79"/>
      <c r="DY46" s="41"/>
      <c r="DZ46" s="41"/>
      <c r="EA46" s="41"/>
      <c r="EB46" s="16"/>
      <c r="EC46" s="16"/>
      <c r="ED46" s="16"/>
      <c r="EE46" s="16"/>
      <c r="EF46" s="16"/>
      <c r="EG46" s="16"/>
      <c r="EH46" s="16"/>
      <c r="EI46" s="16"/>
      <c r="EJ46" s="16"/>
      <c r="EK46" s="78"/>
      <c r="EL46" s="79"/>
      <c r="EM46" s="16"/>
      <c r="EN46" s="16"/>
      <c r="EO46" s="16"/>
      <c r="EP46" s="16"/>
      <c r="EQ46" s="16"/>
      <c r="ER46" s="16"/>
      <c r="ES46" s="16"/>
      <c r="ET46" s="16"/>
      <c r="EU46" s="16"/>
      <c r="EV46" s="16"/>
      <c r="EW46" s="16"/>
      <c r="EX46" s="16"/>
      <c r="EY46" s="78"/>
      <c r="EZ46" s="79"/>
      <c r="FA46" s="16"/>
      <c r="FB46" s="16"/>
      <c r="FC46" s="16"/>
      <c r="FD46" s="16"/>
      <c r="FE46" s="16"/>
      <c r="FF46" s="16"/>
      <c r="FG46" s="16"/>
      <c r="FH46" s="16"/>
      <c r="FI46" s="16"/>
      <c r="FJ46" s="16"/>
      <c r="FK46" s="16"/>
      <c r="FM46" s="78"/>
      <c r="FN46" s="79"/>
      <c r="FO46" s="16"/>
      <c r="FP46" s="16"/>
      <c r="FQ46" s="16"/>
      <c r="FR46" s="16"/>
      <c r="FS46" s="16"/>
      <c r="FT46" s="16"/>
      <c r="FU46" s="16"/>
      <c r="FV46" s="16"/>
      <c r="FW46" s="16"/>
      <c r="FX46" s="16"/>
      <c r="FY46" s="16"/>
      <c r="GA46" s="78"/>
      <c r="GB46" s="79"/>
      <c r="GC46" s="16"/>
      <c r="GD46" s="16"/>
      <c r="GE46" s="16"/>
      <c r="GF46" s="16"/>
      <c r="GG46" s="16"/>
      <c r="GH46" s="16"/>
      <c r="GI46" s="16"/>
      <c r="GJ46" s="16"/>
      <c r="GK46" s="16"/>
      <c r="GL46" s="16"/>
      <c r="GM46" s="16"/>
    </row>
    <row r="47" spans="1:195" s="18" customFormat="1" ht="15" customHeight="1">
      <c r="A47" s="80">
        <v>1996</v>
      </c>
      <c r="B47" s="81" t="s">
        <v>41</v>
      </c>
      <c r="C47" s="15">
        <f t="shared" si="2"/>
        <v>0.97704160246533123</v>
      </c>
      <c r="D47" s="15">
        <f t="shared" si="3"/>
        <v>0.97880113197838947</v>
      </c>
      <c r="E47" s="15">
        <f t="shared" si="4"/>
        <v>0.9982023626091423</v>
      </c>
      <c r="F47" s="16"/>
      <c r="G47" s="33"/>
      <c r="H47" s="16">
        <v>19470</v>
      </c>
      <c r="I47" s="16">
        <f t="shared" si="9"/>
        <v>35</v>
      </c>
      <c r="J47" s="16">
        <v>19435</v>
      </c>
      <c r="K47" s="16">
        <v>19023</v>
      </c>
      <c r="L47" s="16">
        <f t="shared" si="10"/>
        <v>412</v>
      </c>
      <c r="M47" s="16"/>
      <c r="N47" s="16"/>
      <c r="O47" s="80"/>
      <c r="P47" s="81"/>
      <c r="Q47" s="41"/>
      <c r="R47" s="41"/>
      <c r="S47" s="41"/>
      <c r="T47" s="16"/>
      <c r="U47" s="16"/>
      <c r="V47" s="16"/>
      <c r="W47" s="16"/>
      <c r="X47" s="16"/>
      <c r="Y47" s="16"/>
      <c r="Z47" s="16"/>
      <c r="AA47" s="16"/>
      <c r="AB47" s="16"/>
      <c r="AC47" s="80"/>
      <c r="AD47" s="81"/>
      <c r="AE47" s="41"/>
      <c r="AF47" s="41"/>
      <c r="AG47" s="41"/>
      <c r="AH47" s="41"/>
      <c r="AI47" s="41"/>
      <c r="AJ47" s="16"/>
      <c r="AK47" s="16"/>
      <c r="AL47" s="16"/>
      <c r="AM47" s="16"/>
      <c r="AN47" s="16"/>
      <c r="AO47" s="16"/>
      <c r="AP47" s="16"/>
      <c r="AQ47" s="80"/>
      <c r="AR47" s="81"/>
      <c r="AS47" s="41"/>
      <c r="AT47" s="41"/>
      <c r="AU47" s="41"/>
      <c r="AV47" s="16"/>
      <c r="AW47" s="16"/>
      <c r="AX47" s="16"/>
      <c r="AY47" s="16"/>
      <c r="AZ47" s="16"/>
      <c r="BA47" s="16"/>
      <c r="BB47" s="16"/>
      <c r="BC47" s="16"/>
      <c r="BD47" s="16"/>
      <c r="BE47" s="80"/>
      <c r="BF47" s="81"/>
      <c r="BG47" s="41"/>
      <c r="BH47" s="41"/>
      <c r="BI47" s="41"/>
      <c r="BJ47" s="16"/>
      <c r="BK47" s="16"/>
      <c r="BL47" s="16"/>
      <c r="BM47" s="16"/>
      <c r="BN47" s="16"/>
      <c r="BO47" s="16"/>
      <c r="BP47" s="16"/>
      <c r="BQ47" s="16"/>
      <c r="BR47" s="16"/>
      <c r="BS47" s="80"/>
      <c r="BT47" s="81"/>
      <c r="BU47" s="41"/>
      <c r="BV47" s="41"/>
      <c r="BW47" s="41"/>
      <c r="BX47" s="16"/>
      <c r="BY47" s="16"/>
      <c r="BZ47" s="16"/>
      <c r="CA47" s="16"/>
      <c r="CB47" s="16"/>
      <c r="CC47" s="16"/>
      <c r="CD47" s="16"/>
      <c r="CE47" s="16"/>
      <c r="CF47" s="16"/>
      <c r="CG47" s="80"/>
      <c r="CH47" s="81"/>
      <c r="CI47" s="41"/>
      <c r="CJ47" s="41"/>
      <c r="CK47" s="41"/>
      <c r="CL47" s="16"/>
      <c r="CM47" s="16"/>
      <c r="CN47" s="16"/>
      <c r="CO47" s="16"/>
      <c r="CP47" s="16"/>
      <c r="CQ47" s="16"/>
      <c r="CR47" s="16"/>
      <c r="CS47" s="16"/>
      <c r="CT47" s="16"/>
      <c r="CU47" s="80"/>
      <c r="CV47" s="81"/>
      <c r="CW47" s="41"/>
      <c r="CX47" s="41"/>
      <c r="CY47" s="41"/>
      <c r="CZ47" s="16"/>
      <c r="DA47" s="16"/>
      <c r="DB47" s="16"/>
      <c r="DC47" s="16"/>
      <c r="DD47" s="16"/>
      <c r="DE47" s="16"/>
      <c r="DF47" s="16"/>
      <c r="DG47" s="16"/>
      <c r="DH47" s="16"/>
      <c r="DI47" s="80"/>
      <c r="DJ47" s="81"/>
      <c r="DK47" s="41"/>
      <c r="DL47" s="41"/>
      <c r="DM47" s="41"/>
      <c r="DN47" s="16"/>
      <c r="DO47" s="16"/>
      <c r="DP47" s="16"/>
      <c r="DQ47" s="16"/>
      <c r="DR47" s="16"/>
      <c r="DS47" s="16"/>
      <c r="DT47" s="16"/>
      <c r="DU47" s="16"/>
      <c r="DV47" s="16"/>
      <c r="DW47" s="80"/>
      <c r="DX47" s="81"/>
      <c r="DY47" s="41"/>
      <c r="DZ47" s="41"/>
      <c r="EA47" s="41"/>
      <c r="EB47" s="16"/>
      <c r="EC47" s="16"/>
      <c r="ED47" s="16"/>
      <c r="EE47" s="16"/>
      <c r="EF47" s="16"/>
      <c r="EG47" s="16"/>
      <c r="EH47" s="16"/>
      <c r="EI47" s="16"/>
      <c r="EJ47" s="16"/>
      <c r="EK47" s="80"/>
      <c r="EL47" s="81"/>
      <c r="EM47" s="16"/>
      <c r="EN47" s="16"/>
      <c r="EO47" s="16"/>
      <c r="EP47" s="16"/>
      <c r="EQ47" s="16"/>
      <c r="ER47" s="16"/>
      <c r="ES47" s="16"/>
      <c r="ET47" s="16"/>
      <c r="EU47" s="16"/>
      <c r="EV47" s="16"/>
      <c r="EW47" s="16"/>
      <c r="EX47" s="16"/>
      <c r="EY47" s="80"/>
      <c r="EZ47" s="81"/>
      <c r="FA47" s="16"/>
      <c r="FB47" s="16"/>
      <c r="FC47" s="16"/>
      <c r="FD47" s="16"/>
      <c r="FE47" s="16"/>
      <c r="FF47" s="16"/>
      <c r="FG47" s="16"/>
      <c r="FH47" s="16"/>
      <c r="FI47" s="16"/>
      <c r="FJ47" s="16"/>
      <c r="FK47" s="16"/>
      <c r="FM47" s="80"/>
      <c r="FN47" s="81"/>
      <c r="FO47" s="16"/>
      <c r="FP47" s="16"/>
      <c r="FQ47" s="16"/>
      <c r="FR47" s="16"/>
      <c r="FS47" s="16"/>
      <c r="FT47" s="16"/>
      <c r="FU47" s="16"/>
      <c r="FV47" s="16"/>
      <c r="FW47" s="16"/>
      <c r="FX47" s="16"/>
      <c r="FY47" s="16"/>
      <c r="GA47" s="80"/>
      <c r="GB47" s="81"/>
      <c r="GC47" s="16"/>
      <c r="GD47" s="16"/>
      <c r="GE47" s="16"/>
      <c r="GF47" s="16"/>
      <c r="GG47" s="16"/>
      <c r="GH47" s="16"/>
      <c r="GI47" s="16"/>
      <c r="GJ47" s="16"/>
      <c r="GK47" s="16"/>
      <c r="GL47" s="16"/>
      <c r="GM47" s="16"/>
    </row>
    <row r="48" spans="1:195" s="18" customFormat="1" ht="15" customHeight="1">
      <c r="A48" s="78">
        <v>1996</v>
      </c>
      <c r="B48" s="79" t="s">
        <v>42</v>
      </c>
      <c r="C48" s="15">
        <f t="shared" si="2"/>
        <v>0.97452046951044946</v>
      </c>
      <c r="D48" s="15">
        <f t="shared" si="3"/>
        <v>0.97872340425531912</v>
      </c>
      <c r="E48" s="15">
        <f t="shared" si="4"/>
        <v>0.99570569710850276</v>
      </c>
      <c r="F48" s="16"/>
      <c r="G48" s="33"/>
      <c r="H48" s="16">
        <v>20958</v>
      </c>
      <c r="I48" s="16">
        <f t="shared" si="9"/>
        <v>90</v>
      </c>
      <c r="J48" s="16">
        <v>20868</v>
      </c>
      <c r="K48" s="16">
        <v>20424</v>
      </c>
      <c r="L48" s="16">
        <f t="shared" si="10"/>
        <v>444</v>
      </c>
      <c r="M48" s="16"/>
      <c r="N48" s="16"/>
      <c r="O48" s="78"/>
      <c r="P48" s="79"/>
      <c r="Q48" s="41"/>
      <c r="R48" s="41"/>
      <c r="S48" s="41"/>
      <c r="T48" s="16"/>
      <c r="U48" s="16"/>
      <c r="V48" s="16"/>
      <c r="W48" s="16"/>
      <c r="X48" s="16"/>
      <c r="Y48" s="16"/>
      <c r="Z48" s="16"/>
      <c r="AA48" s="16"/>
      <c r="AB48" s="16"/>
      <c r="AC48" s="78"/>
      <c r="AD48" s="79"/>
      <c r="AE48" s="41"/>
      <c r="AF48" s="41"/>
      <c r="AG48" s="41"/>
      <c r="AH48" s="41"/>
      <c r="AI48" s="41"/>
      <c r="AJ48" s="16"/>
      <c r="AK48" s="16"/>
      <c r="AL48" s="16"/>
      <c r="AM48" s="16"/>
      <c r="AN48" s="16"/>
      <c r="AO48" s="16"/>
      <c r="AP48" s="16"/>
      <c r="AQ48" s="78"/>
      <c r="AR48" s="79"/>
      <c r="AS48" s="41"/>
      <c r="AT48" s="41"/>
      <c r="AU48" s="41"/>
      <c r="AV48" s="16"/>
      <c r="AW48" s="16"/>
      <c r="AX48" s="16"/>
      <c r="AY48" s="16"/>
      <c r="AZ48" s="16"/>
      <c r="BA48" s="16"/>
      <c r="BB48" s="16"/>
      <c r="BC48" s="16"/>
      <c r="BD48" s="16"/>
      <c r="BE48" s="78"/>
      <c r="BF48" s="79"/>
      <c r="BG48" s="41"/>
      <c r="BH48" s="41"/>
      <c r="BI48" s="41"/>
      <c r="BJ48" s="16"/>
      <c r="BK48" s="16"/>
      <c r="BL48" s="16"/>
      <c r="BM48" s="16"/>
      <c r="BN48" s="16"/>
      <c r="BO48" s="16"/>
      <c r="BP48" s="16"/>
      <c r="BQ48" s="16"/>
      <c r="BR48" s="16"/>
      <c r="BS48" s="78"/>
      <c r="BT48" s="79"/>
      <c r="BU48" s="41"/>
      <c r="BV48" s="41"/>
      <c r="BW48" s="41"/>
      <c r="BX48" s="16"/>
      <c r="BY48" s="16"/>
      <c r="BZ48" s="16"/>
      <c r="CA48" s="16"/>
      <c r="CB48" s="16"/>
      <c r="CC48" s="16"/>
      <c r="CD48" s="16"/>
      <c r="CE48" s="16"/>
      <c r="CF48" s="16"/>
      <c r="CG48" s="78"/>
      <c r="CH48" s="79"/>
      <c r="CI48" s="41"/>
      <c r="CJ48" s="41"/>
      <c r="CK48" s="41"/>
      <c r="CL48" s="16"/>
      <c r="CM48" s="16"/>
      <c r="CN48" s="16"/>
      <c r="CO48" s="16"/>
      <c r="CP48" s="16"/>
      <c r="CQ48" s="16"/>
      <c r="CR48" s="16"/>
      <c r="CS48" s="16"/>
      <c r="CT48" s="16"/>
      <c r="CU48" s="78"/>
      <c r="CV48" s="79"/>
      <c r="CW48" s="41"/>
      <c r="CX48" s="41"/>
      <c r="CY48" s="41"/>
      <c r="CZ48" s="16"/>
      <c r="DA48" s="16"/>
      <c r="DB48" s="16"/>
      <c r="DC48" s="16"/>
      <c r="DD48" s="16"/>
      <c r="DE48" s="16"/>
      <c r="DF48" s="16"/>
      <c r="DG48" s="16"/>
      <c r="DH48" s="16"/>
      <c r="DI48" s="78"/>
      <c r="DJ48" s="79"/>
      <c r="DK48" s="41"/>
      <c r="DL48" s="41"/>
      <c r="DM48" s="41"/>
      <c r="DN48" s="16"/>
      <c r="DO48" s="16"/>
      <c r="DP48" s="16"/>
      <c r="DQ48" s="16"/>
      <c r="DR48" s="16"/>
      <c r="DS48" s="16"/>
      <c r="DT48" s="16"/>
      <c r="DU48" s="16"/>
      <c r="DV48" s="16"/>
      <c r="DW48" s="78"/>
      <c r="DX48" s="79"/>
      <c r="DY48" s="41"/>
      <c r="DZ48" s="41"/>
      <c r="EA48" s="41"/>
      <c r="EB48" s="16"/>
      <c r="EC48" s="16"/>
      <c r="ED48" s="16"/>
      <c r="EE48" s="16"/>
      <c r="EF48" s="16"/>
      <c r="EG48" s="16"/>
      <c r="EH48" s="16"/>
      <c r="EI48" s="16"/>
      <c r="EJ48" s="16"/>
      <c r="EK48" s="78"/>
      <c r="EL48" s="79"/>
      <c r="EM48" s="16"/>
      <c r="EN48" s="16"/>
      <c r="EO48" s="16"/>
      <c r="EP48" s="16"/>
      <c r="EQ48" s="16"/>
      <c r="ER48" s="16"/>
      <c r="ES48" s="16"/>
      <c r="ET48" s="16"/>
      <c r="EU48" s="16"/>
      <c r="EV48" s="16"/>
      <c r="EW48" s="16"/>
      <c r="EX48" s="16"/>
      <c r="EY48" s="78"/>
      <c r="EZ48" s="79"/>
      <c r="FA48" s="16"/>
      <c r="FB48" s="16"/>
      <c r="FC48" s="16"/>
      <c r="FD48" s="16"/>
      <c r="FE48" s="16"/>
      <c r="FF48" s="16"/>
      <c r="FG48" s="16"/>
      <c r="FH48" s="16"/>
      <c r="FI48" s="16"/>
      <c r="FJ48" s="16"/>
      <c r="FK48" s="16"/>
      <c r="FM48" s="78"/>
      <c r="FN48" s="79"/>
      <c r="FO48" s="16"/>
      <c r="FP48" s="16"/>
      <c r="FQ48" s="16"/>
      <c r="FR48" s="16"/>
      <c r="FS48" s="16"/>
      <c r="FT48" s="16"/>
      <c r="FU48" s="16"/>
      <c r="FV48" s="16"/>
      <c r="FW48" s="16"/>
      <c r="FX48" s="16"/>
      <c r="FY48" s="16"/>
      <c r="GA48" s="78"/>
      <c r="GB48" s="79"/>
      <c r="GC48" s="16"/>
      <c r="GD48" s="16"/>
      <c r="GE48" s="16"/>
      <c r="GF48" s="16"/>
      <c r="GG48" s="16"/>
      <c r="GH48" s="16"/>
      <c r="GI48" s="16"/>
      <c r="GJ48" s="16"/>
      <c r="GK48" s="16"/>
      <c r="GL48" s="16"/>
      <c r="GM48" s="16"/>
    </row>
    <row r="49" spans="1:195" s="18" customFormat="1" ht="15" customHeight="1">
      <c r="A49" s="80">
        <v>1996</v>
      </c>
      <c r="B49" s="81" t="s">
        <v>43</v>
      </c>
      <c r="C49" s="15">
        <f t="shared" si="2"/>
        <v>0.94029778827157517</v>
      </c>
      <c r="D49" s="15">
        <f t="shared" si="3"/>
        <v>0.97824343292560656</v>
      </c>
      <c r="E49" s="15">
        <f t="shared" si="4"/>
        <v>0.9612104274080856</v>
      </c>
      <c r="F49" s="16"/>
      <c r="G49" s="33"/>
      <c r="H49" s="16">
        <v>20753</v>
      </c>
      <c r="I49" s="16">
        <f t="shared" si="9"/>
        <v>805</v>
      </c>
      <c r="J49" s="16">
        <v>19948</v>
      </c>
      <c r="K49" s="16">
        <v>19514</v>
      </c>
      <c r="L49" s="16">
        <f t="shared" si="10"/>
        <v>434</v>
      </c>
      <c r="M49" s="16"/>
      <c r="N49" s="16"/>
      <c r="O49" s="80"/>
      <c r="P49" s="81"/>
      <c r="Q49" s="41"/>
      <c r="R49" s="41"/>
      <c r="S49" s="41"/>
      <c r="T49" s="16"/>
      <c r="U49" s="16"/>
      <c r="V49" s="16"/>
      <c r="W49" s="16"/>
      <c r="X49" s="16"/>
      <c r="Y49" s="16"/>
      <c r="Z49" s="16"/>
      <c r="AA49" s="16"/>
      <c r="AB49" s="16"/>
      <c r="AC49" s="80"/>
      <c r="AD49" s="81"/>
      <c r="AE49" s="41"/>
      <c r="AF49" s="41"/>
      <c r="AG49" s="41"/>
      <c r="AH49" s="41"/>
      <c r="AI49" s="41"/>
      <c r="AJ49" s="16"/>
      <c r="AK49" s="16"/>
      <c r="AL49" s="16"/>
      <c r="AM49" s="16"/>
      <c r="AN49" s="16"/>
      <c r="AO49" s="16"/>
      <c r="AP49" s="16"/>
      <c r="AQ49" s="80"/>
      <c r="AR49" s="81"/>
      <c r="AS49" s="41"/>
      <c r="AT49" s="41"/>
      <c r="AU49" s="41"/>
      <c r="AV49" s="16"/>
      <c r="AW49" s="16"/>
      <c r="AX49" s="16"/>
      <c r="AY49" s="16"/>
      <c r="AZ49" s="16"/>
      <c r="BA49" s="16"/>
      <c r="BB49" s="16"/>
      <c r="BC49" s="16"/>
      <c r="BD49" s="16"/>
      <c r="BE49" s="80"/>
      <c r="BF49" s="81"/>
      <c r="BG49" s="41"/>
      <c r="BH49" s="41"/>
      <c r="BI49" s="41"/>
      <c r="BJ49" s="16"/>
      <c r="BK49" s="16"/>
      <c r="BL49" s="16"/>
      <c r="BM49" s="16"/>
      <c r="BN49" s="16"/>
      <c r="BO49" s="16"/>
      <c r="BP49" s="16"/>
      <c r="BQ49" s="16"/>
      <c r="BR49" s="16"/>
      <c r="BS49" s="80"/>
      <c r="BT49" s="81"/>
      <c r="BU49" s="41"/>
      <c r="BV49" s="41"/>
      <c r="BW49" s="41"/>
      <c r="BX49" s="16"/>
      <c r="BY49" s="16"/>
      <c r="BZ49" s="16"/>
      <c r="CA49" s="16"/>
      <c r="CB49" s="16"/>
      <c r="CC49" s="16"/>
      <c r="CD49" s="16"/>
      <c r="CE49" s="16"/>
      <c r="CF49" s="16"/>
      <c r="CG49" s="80"/>
      <c r="CH49" s="81"/>
      <c r="CI49" s="41"/>
      <c r="CJ49" s="41"/>
      <c r="CK49" s="41"/>
      <c r="CL49" s="16"/>
      <c r="CM49" s="16"/>
      <c r="CN49" s="16"/>
      <c r="CO49" s="16"/>
      <c r="CP49" s="16"/>
      <c r="CQ49" s="16"/>
      <c r="CR49" s="16"/>
      <c r="CS49" s="16"/>
      <c r="CT49" s="16"/>
      <c r="CU49" s="80"/>
      <c r="CV49" s="81"/>
      <c r="CW49" s="41"/>
      <c r="CX49" s="41"/>
      <c r="CY49" s="41"/>
      <c r="CZ49" s="16"/>
      <c r="DA49" s="16"/>
      <c r="DB49" s="16"/>
      <c r="DC49" s="16"/>
      <c r="DD49" s="16"/>
      <c r="DE49" s="16"/>
      <c r="DF49" s="16"/>
      <c r="DG49" s="16"/>
      <c r="DH49" s="16"/>
      <c r="DI49" s="80"/>
      <c r="DJ49" s="81"/>
      <c r="DK49" s="41"/>
      <c r="DL49" s="41"/>
      <c r="DM49" s="41"/>
      <c r="DN49" s="16"/>
      <c r="DO49" s="16"/>
      <c r="DP49" s="16"/>
      <c r="DQ49" s="16"/>
      <c r="DR49" s="16"/>
      <c r="DS49" s="16"/>
      <c r="DT49" s="16"/>
      <c r="DU49" s="16"/>
      <c r="DV49" s="16"/>
      <c r="DW49" s="80"/>
      <c r="DX49" s="81"/>
      <c r="DY49" s="41"/>
      <c r="DZ49" s="41"/>
      <c r="EA49" s="41"/>
      <c r="EB49" s="16"/>
      <c r="EC49" s="16"/>
      <c r="ED49" s="16"/>
      <c r="EE49" s="16"/>
      <c r="EF49" s="16"/>
      <c r="EG49" s="16"/>
      <c r="EH49" s="16"/>
      <c r="EI49" s="16"/>
      <c r="EJ49" s="16"/>
      <c r="EK49" s="80"/>
      <c r="EL49" s="81"/>
      <c r="EM49" s="16"/>
      <c r="EN49" s="16"/>
      <c r="EO49" s="16"/>
      <c r="EP49" s="16"/>
      <c r="EQ49" s="16"/>
      <c r="ER49" s="16"/>
      <c r="ES49" s="16"/>
      <c r="ET49" s="16"/>
      <c r="EU49" s="16"/>
      <c r="EV49" s="16"/>
      <c r="EW49" s="16"/>
      <c r="EX49" s="16"/>
      <c r="EY49" s="80"/>
      <c r="EZ49" s="81"/>
      <c r="FA49" s="16"/>
      <c r="FB49" s="16"/>
      <c r="FC49" s="16"/>
      <c r="FD49" s="16"/>
      <c r="FE49" s="16"/>
      <c r="FF49" s="16"/>
      <c r="FG49" s="16"/>
      <c r="FH49" s="16"/>
      <c r="FI49" s="16"/>
      <c r="FJ49" s="16"/>
      <c r="FK49" s="16"/>
      <c r="FM49" s="80"/>
      <c r="FN49" s="81"/>
      <c r="FO49" s="16"/>
      <c r="FP49" s="16"/>
      <c r="FQ49" s="16"/>
      <c r="FR49" s="16"/>
      <c r="FS49" s="16"/>
      <c r="FT49" s="16"/>
      <c r="FU49" s="16"/>
      <c r="FV49" s="16"/>
      <c r="FW49" s="16"/>
      <c r="FX49" s="16"/>
      <c r="FY49" s="16"/>
      <c r="GA49" s="80"/>
      <c r="GB49" s="81"/>
      <c r="GC49" s="16"/>
      <c r="GD49" s="16"/>
      <c r="GE49" s="16"/>
      <c r="GF49" s="16"/>
      <c r="GG49" s="16"/>
      <c r="GH49" s="16"/>
      <c r="GI49" s="16"/>
      <c r="GJ49" s="16"/>
      <c r="GK49" s="16"/>
      <c r="GL49" s="16"/>
      <c r="GM49" s="16"/>
    </row>
    <row r="50" spans="1:195" s="18" customFormat="1" ht="15" customHeight="1">
      <c r="A50" s="78">
        <v>1996</v>
      </c>
      <c r="B50" s="79" t="s">
        <v>44</v>
      </c>
      <c r="C50" s="15">
        <f t="shared" si="2"/>
        <v>0.95295933097715169</v>
      </c>
      <c r="D50" s="15">
        <f t="shared" si="3"/>
        <v>0.97758259715058982</v>
      </c>
      <c r="E50" s="15">
        <f t="shared" si="4"/>
        <v>0.9748120862163373</v>
      </c>
      <c r="F50" s="16"/>
      <c r="G50" s="33"/>
      <c r="H50" s="16">
        <v>20089</v>
      </c>
      <c r="I50" s="16">
        <f t="shared" si="9"/>
        <v>506</v>
      </c>
      <c r="J50" s="16">
        <v>19583</v>
      </c>
      <c r="K50" s="16">
        <v>19144</v>
      </c>
      <c r="L50" s="16">
        <f t="shared" si="10"/>
        <v>439</v>
      </c>
      <c r="M50" s="16"/>
      <c r="N50" s="16"/>
      <c r="O50" s="78"/>
      <c r="P50" s="79"/>
      <c r="Q50" s="41"/>
      <c r="R50" s="41"/>
      <c r="S50" s="41"/>
      <c r="T50" s="16"/>
      <c r="U50" s="16"/>
      <c r="V50" s="16"/>
      <c r="W50" s="16"/>
      <c r="X50" s="16"/>
      <c r="Y50" s="16"/>
      <c r="Z50" s="16"/>
      <c r="AA50" s="16"/>
      <c r="AB50" s="16"/>
      <c r="AC50" s="78"/>
      <c r="AD50" s="79"/>
      <c r="AE50" s="41"/>
      <c r="AF50" s="41"/>
      <c r="AG50" s="41"/>
      <c r="AH50" s="41"/>
      <c r="AI50" s="41"/>
      <c r="AJ50" s="16"/>
      <c r="AK50" s="16"/>
      <c r="AL50" s="16"/>
      <c r="AM50" s="16"/>
      <c r="AN50" s="16"/>
      <c r="AO50" s="16"/>
      <c r="AP50" s="16"/>
      <c r="AQ50" s="78"/>
      <c r="AR50" s="79"/>
      <c r="AS50" s="41"/>
      <c r="AT50" s="41"/>
      <c r="AU50" s="41"/>
      <c r="AV50" s="16"/>
      <c r="AW50" s="16"/>
      <c r="AX50" s="16"/>
      <c r="AY50" s="16"/>
      <c r="AZ50" s="16"/>
      <c r="BA50" s="16"/>
      <c r="BB50" s="16"/>
      <c r="BC50" s="16"/>
      <c r="BD50" s="16"/>
      <c r="BE50" s="78"/>
      <c r="BF50" s="79"/>
      <c r="BG50" s="41"/>
      <c r="BH50" s="41"/>
      <c r="BI50" s="41"/>
      <c r="BJ50" s="16"/>
      <c r="BK50" s="16"/>
      <c r="BL50" s="16"/>
      <c r="BM50" s="16"/>
      <c r="BN50" s="16"/>
      <c r="BO50" s="16"/>
      <c r="BP50" s="16"/>
      <c r="BQ50" s="16"/>
      <c r="BR50" s="16"/>
      <c r="BS50" s="78"/>
      <c r="BT50" s="79"/>
      <c r="BU50" s="41"/>
      <c r="BV50" s="41"/>
      <c r="BW50" s="41"/>
      <c r="BX50" s="16"/>
      <c r="BY50" s="16"/>
      <c r="BZ50" s="16"/>
      <c r="CA50" s="16"/>
      <c r="CB50" s="16"/>
      <c r="CC50" s="16"/>
      <c r="CD50" s="16"/>
      <c r="CE50" s="16"/>
      <c r="CF50" s="16"/>
      <c r="CG50" s="78"/>
      <c r="CH50" s="79"/>
      <c r="CI50" s="41"/>
      <c r="CJ50" s="41"/>
      <c r="CK50" s="41"/>
      <c r="CL50" s="16"/>
      <c r="CM50" s="16"/>
      <c r="CN50" s="16"/>
      <c r="CO50" s="16"/>
      <c r="CP50" s="16"/>
      <c r="CQ50" s="16"/>
      <c r="CR50" s="16"/>
      <c r="CS50" s="16"/>
      <c r="CT50" s="16"/>
      <c r="CU50" s="78"/>
      <c r="CV50" s="79"/>
      <c r="CW50" s="41"/>
      <c r="CX50" s="41"/>
      <c r="CY50" s="41"/>
      <c r="CZ50" s="16"/>
      <c r="DA50" s="16"/>
      <c r="DB50" s="16"/>
      <c r="DC50" s="16"/>
      <c r="DD50" s="16"/>
      <c r="DE50" s="16"/>
      <c r="DF50" s="16"/>
      <c r="DG50" s="16"/>
      <c r="DH50" s="16"/>
      <c r="DI50" s="78"/>
      <c r="DJ50" s="79"/>
      <c r="DK50" s="41"/>
      <c r="DL50" s="41"/>
      <c r="DM50" s="41"/>
      <c r="DN50" s="16"/>
      <c r="DO50" s="16"/>
      <c r="DP50" s="16"/>
      <c r="DQ50" s="16"/>
      <c r="DR50" s="16"/>
      <c r="DS50" s="16"/>
      <c r="DT50" s="16"/>
      <c r="DU50" s="16"/>
      <c r="DV50" s="16"/>
      <c r="DW50" s="78"/>
      <c r="DX50" s="79"/>
      <c r="DY50" s="41"/>
      <c r="DZ50" s="41"/>
      <c r="EA50" s="41"/>
      <c r="EB50" s="16"/>
      <c r="EC50" s="16"/>
      <c r="ED50" s="16"/>
      <c r="EE50" s="16"/>
      <c r="EF50" s="16"/>
      <c r="EG50" s="16"/>
      <c r="EH50" s="16"/>
      <c r="EI50" s="16"/>
      <c r="EJ50" s="16"/>
      <c r="EK50" s="78"/>
      <c r="EL50" s="79"/>
      <c r="EM50" s="16"/>
      <c r="EN50" s="16"/>
      <c r="EO50" s="16"/>
      <c r="EP50" s="16"/>
      <c r="EQ50" s="16"/>
      <c r="ER50" s="16"/>
      <c r="ES50" s="16"/>
      <c r="ET50" s="16"/>
      <c r="EU50" s="16"/>
      <c r="EV50" s="16"/>
      <c r="EW50" s="16"/>
      <c r="EX50" s="16"/>
      <c r="EY50" s="78"/>
      <c r="EZ50" s="79"/>
      <c r="FA50" s="16"/>
      <c r="FB50" s="16"/>
      <c r="FC50" s="16"/>
      <c r="FD50" s="16"/>
      <c r="FE50" s="16"/>
      <c r="FF50" s="16"/>
      <c r="FG50" s="16"/>
      <c r="FH50" s="16"/>
      <c r="FI50" s="16"/>
      <c r="FJ50" s="16"/>
      <c r="FK50" s="16"/>
      <c r="FM50" s="78"/>
      <c r="FN50" s="79"/>
      <c r="FO50" s="16"/>
      <c r="FP50" s="16"/>
      <c r="FQ50" s="16"/>
      <c r="FR50" s="16"/>
      <c r="FS50" s="16"/>
      <c r="FT50" s="16"/>
      <c r="FU50" s="16"/>
      <c r="FV50" s="16"/>
      <c r="FW50" s="16"/>
      <c r="FX50" s="16"/>
      <c r="FY50" s="16"/>
      <c r="GA50" s="78"/>
      <c r="GB50" s="79"/>
      <c r="GC50" s="16"/>
      <c r="GD50" s="16"/>
      <c r="GE50" s="16"/>
      <c r="GF50" s="16"/>
      <c r="GG50" s="16"/>
      <c r="GH50" s="16"/>
      <c r="GI50" s="16"/>
      <c r="GJ50" s="16"/>
      <c r="GK50" s="16"/>
      <c r="GL50" s="16"/>
      <c r="GM50" s="16"/>
    </row>
    <row r="51" spans="1:195" s="18" customFormat="1" ht="15" customHeight="1">
      <c r="A51" s="80">
        <v>1996</v>
      </c>
      <c r="B51" s="81" t="s">
        <v>45</v>
      </c>
      <c r="C51" s="15">
        <f t="shared" si="2"/>
        <v>0.9421077065923863</v>
      </c>
      <c r="D51" s="15">
        <f t="shared" si="3"/>
        <v>0.978494623655914</v>
      </c>
      <c r="E51" s="15">
        <f t="shared" si="4"/>
        <v>0.96281337047353766</v>
      </c>
      <c r="F51" s="16"/>
      <c r="G51" s="33"/>
      <c r="H51" s="16">
        <v>21540</v>
      </c>
      <c r="I51" s="16">
        <f t="shared" si="9"/>
        <v>801</v>
      </c>
      <c r="J51" s="16">
        <v>20739</v>
      </c>
      <c r="K51" s="16">
        <v>20293</v>
      </c>
      <c r="L51" s="16">
        <f t="shared" si="10"/>
        <v>446</v>
      </c>
      <c r="M51" s="16"/>
      <c r="N51" s="16"/>
      <c r="O51" s="80"/>
      <c r="P51" s="81"/>
      <c r="Q51" s="41"/>
      <c r="R51" s="41"/>
      <c r="S51" s="41"/>
      <c r="T51" s="16"/>
      <c r="U51" s="16"/>
      <c r="V51" s="16"/>
      <c r="W51" s="16"/>
      <c r="X51" s="16"/>
      <c r="Y51" s="16"/>
      <c r="Z51" s="16"/>
      <c r="AA51" s="16"/>
      <c r="AB51" s="16"/>
      <c r="AC51" s="80"/>
      <c r="AD51" s="81"/>
      <c r="AE51" s="41"/>
      <c r="AF51" s="41"/>
      <c r="AG51" s="41"/>
      <c r="AH51" s="41"/>
      <c r="AI51" s="41"/>
      <c r="AJ51" s="16"/>
      <c r="AK51" s="16"/>
      <c r="AL51" s="16"/>
      <c r="AM51" s="16"/>
      <c r="AN51" s="16"/>
      <c r="AO51" s="16"/>
      <c r="AP51" s="16"/>
      <c r="AQ51" s="80"/>
      <c r="AR51" s="81"/>
      <c r="AS51" s="41"/>
      <c r="AT51" s="41"/>
      <c r="AU51" s="41"/>
      <c r="AV51" s="16"/>
      <c r="AW51" s="16"/>
      <c r="AX51" s="16"/>
      <c r="AY51" s="16"/>
      <c r="AZ51" s="16"/>
      <c r="BA51" s="16"/>
      <c r="BB51" s="16"/>
      <c r="BC51" s="16"/>
      <c r="BD51" s="16"/>
      <c r="BE51" s="80"/>
      <c r="BF51" s="81"/>
      <c r="BG51" s="41"/>
      <c r="BH51" s="41"/>
      <c r="BI51" s="41"/>
      <c r="BJ51" s="16"/>
      <c r="BK51" s="16"/>
      <c r="BL51" s="16"/>
      <c r="BM51" s="16"/>
      <c r="BN51" s="16"/>
      <c r="BO51" s="16"/>
      <c r="BP51" s="16"/>
      <c r="BQ51" s="16"/>
      <c r="BR51" s="16"/>
      <c r="BS51" s="80"/>
      <c r="BT51" s="81"/>
      <c r="BU51" s="41"/>
      <c r="BV51" s="41"/>
      <c r="BW51" s="41"/>
      <c r="BX51" s="16"/>
      <c r="BY51" s="16"/>
      <c r="BZ51" s="16"/>
      <c r="CA51" s="16"/>
      <c r="CB51" s="16"/>
      <c r="CC51" s="16"/>
      <c r="CD51" s="16"/>
      <c r="CE51" s="16"/>
      <c r="CF51" s="16"/>
      <c r="CG51" s="80"/>
      <c r="CH51" s="81"/>
      <c r="CI51" s="41"/>
      <c r="CJ51" s="41"/>
      <c r="CK51" s="41"/>
      <c r="CL51" s="16"/>
      <c r="CM51" s="16"/>
      <c r="CN51" s="16"/>
      <c r="CO51" s="16"/>
      <c r="CP51" s="16"/>
      <c r="CQ51" s="16"/>
      <c r="CR51" s="16"/>
      <c r="CS51" s="16"/>
      <c r="CT51" s="16"/>
      <c r="CU51" s="80"/>
      <c r="CV51" s="81"/>
      <c r="CW51" s="41"/>
      <c r="CX51" s="41"/>
      <c r="CY51" s="41"/>
      <c r="CZ51" s="16"/>
      <c r="DA51" s="16"/>
      <c r="DB51" s="16"/>
      <c r="DC51" s="16"/>
      <c r="DD51" s="16"/>
      <c r="DE51" s="16"/>
      <c r="DF51" s="16"/>
      <c r="DG51" s="16"/>
      <c r="DH51" s="16"/>
      <c r="DI51" s="80"/>
      <c r="DJ51" s="81"/>
      <c r="DK51" s="41"/>
      <c r="DL51" s="41"/>
      <c r="DM51" s="41"/>
      <c r="DN51" s="16"/>
      <c r="DO51" s="16"/>
      <c r="DP51" s="16"/>
      <c r="DQ51" s="16"/>
      <c r="DR51" s="16"/>
      <c r="DS51" s="16"/>
      <c r="DT51" s="16"/>
      <c r="DU51" s="16"/>
      <c r="DV51" s="16"/>
      <c r="DW51" s="80"/>
      <c r="DX51" s="81"/>
      <c r="DY51" s="41"/>
      <c r="DZ51" s="41"/>
      <c r="EA51" s="41"/>
      <c r="EB51" s="16"/>
      <c r="EC51" s="16"/>
      <c r="ED51" s="16"/>
      <c r="EE51" s="16"/>
      <c r="EF51" s="16"/>
      <c r="EG51" s="16"/>
      <c r="EH51" s="16"/>
      <c r="EI51" s="16"/>
      <c r="EJ51" s="16"/>
      <c r="EK51" s="80"/>
      <c r="EL51" s="81"/>
      <c r="EM51" s="16"/>
      <c r="EN51" s="16"/>
      <c r="EO51" s="16"/>
      <c r="EP51" s="16"/>
      <c r="EQ51" s="16"/>
      <c r="ER51" s="16"/>
      <c r="ES51" s="16"/>
      <c r="ET51" s="16"/>
      <c r="EU51" s="16"/>
      <c r="EV51" s="16"/>
      <c r="EW51" s="16"/>
      <c r="EX51" s="16"/>
      <c r="EY51" s="80"/>
      <c r="EZ51" s="81"/>
      <c r="FA51" s="16"/>
      <c r="FB51" s="16"/>
      <c r="FC51" s="16"/>
      <c r="FD51" s="16"/>
      <c r="FE51" s="16"/>
      <c r="FF51" s="16"/>
      <c r="FG51" s="16"/>
      <c r="FH51" s="16"/>
      <c r="FI51" s="16"/>
      <c r="FJ51" s="16"/>
      <c r="FK51" s="16"/>
      <c r="FM51" s="80"/>
      <c r="FN51" s="81"/>
      <c r="FO51" s="16"/>
      <c r="FP51" s="16"/>
      <c r="FQ51" s="16"/>
      <c r="FR51" s="16"/>
      <c r="FS51" s="16"/>
      <c r="FT51" s="16"/>
      <c r="FU51" s="16"/>
      <c r="FV51" s="16"/>
      <c r="FW51" s="16"/>
      <c r="FX51" s="16"/>
      <c r="FY51" s="16"/>
      <c r="GA51" s="80"/>
      <c r="GB51" s="81"/>
      <c r="GC51" s="16"/>
      <c r="GD51" s="16"/>
      <c r="GE51" s="16"/>
      <c r="GF51" s="16"/>
      <c r="GG51" s="16"/>
      <c r="GH51" s="16"/>
      <c r="GI51" s="16"/>
      <c r="GJ51" s="16"/>
      <c r="GK51" s="16"/>
      <c r="GL51" s="16"/>
      <c r="GM51" s="16"/>
    </row>
    <row r="52" spans="1:195" s="18" customFormat="1" ht="15" customHeight="1">
      <c r="A52" s="78">
        <v>1996</v>
      </c>
      <c r="B52" s="79" t="s">
        <v>46</v>
      </c>
      <c r="C52" s="15">
        <f t="shared" si="2"/>
        <v>0.95417839509021274</v>
      </c>
      <c r="D52" s="15">
        <f t="shared" si="3"/>
        <v>0.96114158222552759</v>
      </c>
      <c r="E52" s="15">
        <f t="shared" si="4"/>
        <v>0.99275529509482718</v>
      </c>
      <c r="F52" s="16"/>
      <c r="G52" s="33"/>
      <c r="H52" s="16">
        <v>21671</v>
      </c>
      <c r="I52" s="16">
        <f t="shared" si="9"/>
        <v>157</v>
      </c>
      <c r="J52" s="16">
        <v>21514</v>
      </c>
      <c r="K52" s="16">
        <v>20678</v>
      </c>
      <c r="L52" s="16">
        <f t="shared" si="10"/>
        <v>836</v>
      </c>
      <c r="M52" s="16"/>
      <c r="N52" s="16"/>
      <c r="O52" s="78"/>
      <c r="P52" s="79"/>
      <c r="Q52" s="41"/>
      <c r="R52" s="41"/>
      <c r="S52" s="41"/>
      <c r="T52" s="16"/>
      <c r="U52" s="16"/>
      <c r="V52" s="16"/>
      <c r="W52" s="16"/>
      <c r="X52" s="16"/>
      <c r="Y52" s="16"/>
      <c r="Z52" s="16"/>
      <c r="AA52" s="16"/>
      <c r="AB52" s="16"/>
      <c r="AC52" s="78"/>
      <c r="AD52" s="79"/>
      <c r="AE52" s="41"/>
      <c r="AF52" s="41"/>
      <c r="AG52" s="41"/>
      <c r="AH52" s="41"/>
      <c r="AI52" s="41"/>
      <c r="AJ52" s="16"/>
      <c r="AK52" s="16"/>
      <c r="AL52" s="16"/>
      <c r="AM52" s="16"/>
      <c r="AN52" s="16"/>
      <c r="AO52" s="16"/>
      <c r="AP52" s="16"/>
      <c r="AQ52" s="78"/>
      <c r="AR52" s="79"/>
      <c r="AS52" s="41"/>
      <c r="AT52" s="41"/>
      <c r="AU52" s="41"/>
      <c r="AV52" s="16"/>
      <c r="AW52" s="16"/>
      <c r="AX52" s="16"/>
      <c r="AY52" s="16"/>
      <c r="AZ52" s="16"/>
      <c r="BA52" s="16"/>
      <c r="BB52" s="16"/>
      <c r="BC52" s="16"/>
      <c r="BD52" s="16"/>
      <c r="BE52" s="78"/>
      <c r="BF52" s="79"/>
      <c r="BG52" s="41"/>
      <c r="BH52" s="41"/>
      <c r="BI52" s="41"/>
      <c r="BJ52" s="16"/>
      <c r="BK52" s="16"/>
      <c r="BL52" s="16"/>
      <c r="BM52" s="16"/>
      <c r="BN52" s="16"/>
      <c r="BO52" s="16"/>
      <c r="BP52" s="16"/>
      <c r="BQ52" s="16"/>
      <c r="BR52" s="16"/>
      <c r="BS52" s="78"/>
      <c r="BT52" s="79"/>
      <c r="BU52" s="41"/>
      <c r="BV52" s="41"/>
      <c r="BW52" s="41"/>
      <c r="BX52" s="16"/>
      <c r="BY52" s="16"/>
      <c r="BZ52" s="16"/>
      <c r="CA52" s="16"/>
      <c r="CB52" s="16"/>
      <c r="CC52" s="16"/>
      <c r="CD52" s="16"/>
      <c r="CE52" s="16"/>
      <c r="CF52" s="16"/>
      <c r="CG52" s="78"/>
      <c r="CH52" s="79"/>
      <c r="CI52" s="41"/>
      <c r="CJ52" s="41"/>
      <c r="CK52" s="41"/>
      <c r="CL52" s="16"/>
      <c r="CM52" s="16"/>
      <c r="CN52" s="16"/>
      <c r="CO52" s="16"/>
      <c r="CP52" s="16"/>
      <c r="CQ52" s="16"/>
      <c r="CR52" s="16"/>
      <c r="CS52" s="16"/>
      <c r="CT52" s="16"/>
      <c r="CU52" s="78"/>
      <c r="CV52" s="79"/>
      <c r="CW52" s="41"/>
      <c r="CX52" s="41"/>
      <c r="CY52" s="41"/>
      <c r="CZ52" s="16"/>
      <c r="DA52" s="16"/>
      <c r="DB52" s="16"/>
      <c r="DC52" s="16"/>
      <c r="DD52" s="16"/>
      <c r="DE52" s="16"/>
      <c r="DF52" s="16"/>
      <c r="DG52" s="16"/>
      <c r="DH52" s="16"/>
      <c r="DI52" s="78"/>
      <c r="DJ52" s="79"/>
      <c r="DK52" s="41"/>
      <c r="DL52" s="41"/>
      <c r="DM52" s="41"/>
      <c r="DN52" s="16"/>
      <c r="DO52" s="16"/>
      <c r="DP52" s="16"/>
      <c r="DQ52" s="16"/>
      <c r="DR52" s="16"/>
      <c r="DS52" s="16"/>
      <c r="DT52" s="16"/>
      <c r="DU52" s="16"/>
      <c r="DV52" s="16"/>
      <c r="DW52" s="78"/>
      <c r="DX52" s="79"/>
      <c r="DY52" s="41"/>
      <c r="DZ52" s="41"/>
      <c r="EA52" s="41"/>
      <c r="EB52" s="16"/>
      <c r="EC52" s="16"/>
      <c r="ED52" s="16"/>
      <c r="EE52" s="16"/>
      <c r="EF52" s="16"/>
      <c r="EG52" s="16"/>
      <c r="EH52" s="16"/>
      <c r="EI52" s="16"/>
      <c r="EJ52" s="16"/>
      <c r="EK52" s="78"/>
      <c r="EL52" s="79"/>
      <c r="EM52" s="16"/>
      <c r="EN52" s="16"/>
      <c r="EO52" s="16"/>
      <c r="EP52" s="16"/>
      <c r="EQ52" s="16"/>
      <c r="ER52" s="16"/>
      <c r="ES52" s="16"/>
      <c r="ET52" s="16"/>
      <c r="EU52" s="16"/>
      <c r="EV52" s="16"/>
      <c r="EW52" s="16"/>
      <c r="EX52" s="16"/>
      <c r="EY52" s="78"/>
      <c r="EZ52" s="79"/>
      <c r="FA52" s="16"/>
      <c r="FB52" s="16"/>
      <c r="FC52" s="16"/>
      <c r="FD52" s="16"/>
      <c r="FE52" s="16"/>
      <c r="FF52" s="16"/>
      <c r="FG52" s="16"/>
      <c r="FH52" s="16"/>
      <c r="FI52" s="16"/>
      <c r="FJ52" s="16"/>
      <c r="FK52" s="16"/>
      <c r="FM52" s="78"/>
      <c r="FN52" s="79"/>
      <c r="FO52" s="16"/>
      <c r="FP52" s="16"/>
      <c r="FQ52" s="16"/>
      <c r="FR52" s="16"/>
      <c r="FS52" s="16"/>
      <c r="FT52" s="16"/>
      <c r="FU52" s="16"/>
      <c r="FV52" s="16"/>
      <c r="FW52" s="16"/>
      <c r="FX52" s="16"/>
      <c r="FY52" s="16"/>
      <c r="GA52" s="78"/>
      <c r="GB52" s="79"/>
      <c r="GC52" s="16"/>
      <c r="GD52" s="16"/>
      <c r="GE52" s="16"/>
      <c r="GF52" s="16"/>
      <c r="GG52" s="16"/>
      <c r="GH52" s="16"/>
      <c r="GI52" s="16"/>
      <c r="GJ52" s="16"/>
      <c r="GK52" s="16"/>
      <c r="GL52" s="16"/>
      <c r="GM52" s="16"/>
    </row>
    <row r="53" spans="1:195" s="18" customFormat="1" ht="15" customHeight="1">
      <c r="A53" s="80">
        <v>1996</v>
      </c>
      <c r="B53" s="81" t="s">
        <v>47</v>
      </c>
      <c r="C53" s="15">
        <f t="shared" si="2"/>
        <v>0.90752923976608191</v>
      </c>
      <c r="D53" s="15">
        <f t="shared" si="3"/>
        <v>0.96161107614852104</v>
      </c>
      <c r="E53" s="15">
        <f t="shared" si="4"/>
        <v>0.94375913742690054</v>
      </c>
      <c r="F53" s="16"/>
      <c r="G53" s="33"/>
      <c r="H53" s="16">
        <v>21888</v>
      </c>
      <c r="I53" s="16">
        <f t="shared" si="9"/>
        <v>1231</v>
      </c>
      <c r="J53" s="16">
        <v>20657</v>
      </c>
      <c r="K53" s="16">
        <v>19864</v>
      </c>
      <c r="L53" s="16">
        <f t="shared" si="10"/>
        <v>793</v>
      </c>
      <c r="M53" s="16"/>
      <c r="N53" s="16"/>
      <c r="O53" s="80"/>
      <c r="P53" s="81"/>
      <c r="Q53" s="41"/>
      <c r="R53" s="41"/>
      <c r="S53" s="41"/>
      <c r="T53" s="16"/>
      <c r="U53" s="16"/>
      <c r="V53" s="16"/>
      <c r="W53" s="16"/>
      <c r="X53" s="16"/>
      <c r="Y53" s="16"/>
      <c r="Z53" s="16"/>
      <c r="AA53" s="16"/>
      <c r="AB53" s="16"/>
      <c r="AC53" s="80"/>
      <c r="AD53" s="81"/>
      <c r="AE53" s="41"/>
      <c r="AF53" s="41"/>
      <c r="AG53" s="41"/>
      <c r="AH53" s="41"/>
      <c r="AI53" s="41"/>
      <c r="AJ53" s="16"/>
      <c r="AK53" s="16"/>
      <c r="AL53" s="16"/>
      <c r="AM53" s="16"/>
      <c r="AN53" s="16"/>
      <c r="AO53" s="16"/>
      <c r="AP53" s="16"/>
      <c r="AQ53" s="80"/>
      <c r="AR53" s="81"/>
      <c r="AS53" s="41"/>
      <c r="AT53" s="41"/>
      <c r="AU53" s="41"/>
      <c r="AV53" s="16"/>
      <c r="AW53" s="16"/>
      <c r="AX53" s="16"/>
      <c r="AY53" s="16"/>
      <c r="AZ53" s="16"/>
      <c r="BA53" s="16"/>
      <c r="BB53" s="16"/>
      <c r="BC53" s="16"/>
      <c r="BD53" s="16"/>
      <c r="BE53" s="80"/>
      <c r="BF53" s="81"/>
      <c r="BG53" s="41"/>
      <c r="BH53" s="41"/>
      <c r="BI53" s="41"/>
      <c r="BJ53" s="16"/>
      <c r="BK53" s="16"/>
      <c r="BL53" s="16"/>
      <c r="BM53" s="16"/>
      <c r="BN53" s="16"/>
      <c r="BO53" s="16"/>
      <c r="BP53" s="16"/>
      <c r="BQ53" s="16"/>
      <c r="BR53" s="16"/>
      <c r="BS53" s="80"/>
      <c r="BT53" s="81"/>
      <c r="BU53" s="41"/>
      <c r="BV53" s="41"/>
      <c r="BW53" s="41"/>
      <c r="BX53" s="16"/>
      <c r="BY53" s="16"/>
      <c r="BZ53" s="16"/>
      <c r="CA53" s="16"/>
      <c r="CB53" s="16"/>
      <c r="CC53" s="16"/>
      <c r="CD53" s="16"/>
      <c r="CE53" s="16"/>
      <c r="CF53" s="16"/>
      <c r="CG53" s="80"/>
      <c r="CH53" s="81"/>
      <c r="CI53" s="41"/>
      <c r="CJ53" s="41"/>
      <c r="CK53" s="41"/>
      <c r="CL53" s="16"/>
      <c r="CM53" s="16"/>
      <c r="CN53" s="16"/>
      <c r="CO53" s="16"/>
      <c r="CP53" s="16"/>
      <c r="CQ53" s="16"/>
      <c r="CR53" s="16"/>
      <c r="CS53" s="16"/>
      <c r="CT53" s="16"/>
      <c r="CU53" s="80"/>
      <c r="CV53" s="81"/>
      <c r="CW53" s="41"/>
      <c r="CX53" s="41"/>
      <c r="CY53" s="41"/>
      <c r="CZ53" s="16"/>
      <c r="DA53" s="16"/>
      <c r="DB53" s="16"/>
      <c r="DC53" s="16"/>
      <c r="DD53" s="16"/>
      <c r="DE53" s="16"/>
      <c r="DF53" s="16"/>
      <c r="DG53" s="16"/>
      <c r="DH53" s="16"/>
      <c r="DI53" s="80"/>
      <c r="DJ53" s="81"/>
      <c r="DK53" s="41"/>
      <c r="DL53" s="41"/>
      <c r="DM53" s="41"/>
      <c r="DN53" s="16"/>
      <c r="DO53" s="16"/>
      <c r="DP53" s="16"/>
      <c r="DQ53" s="16"/>
      <c r="DR53" s="16"/>
      <c r="DS53" s="16"/>
      <c r="DT53" s="16"/>
      <c r="DU53" s="16"/>
      <c r="DV53" s="16"/>
      <c r="DW53" s="80"/>
      <c r="DX53" s="81"/>
      <c r="DY53" s="41"/>
      <c r="DZ53" s="41"/>
      <c r="EA53" s="41"/>
      <c r="EB53" s="16"/>
      <c r="EC53" s="16"/>
      <c r="ED53" s="16"/>
      <c r="EE53" s="16"/>
      <c r="EF53" s="16"/>
      <c r="EG53" s="16"/>
      <c r="EH53" s="16"/>
      <c r="EI53" s="16"/>
      <c r="EJ53" s="16"/>
      <c r="EK53" s="80"/>
      <c r="EL53" s="81"/>
      <c r="EM53" s="16"/>
      <c r="EN53" s="16"/>
      <c r="EO53" s="16"/>
      <c r="EP53" s="16"/>
      <c r="EQ53" s="16"/>
      <c r="ER53" s="16"/>
      <c r="ES53" s="16"/>
      <c r="ET53" s="16"/>
      <c r="EU53" s="16"/>
      <c r="EV53" s="16"/>
      <c r="EW53" s="16"/>
      <c r="EX53" s="16"/>
      <c r="EY53" s="80"/>
      <c r="EZ53" s="81"/>
      <c r="FA53" s="16"/>
      <c r="FB53" s="16"/>
      <c r="FC53" s="16"/>
      <c r="FD53" s="16"/>
      <c r="FE53" s="16"/>
      <c r="FF53" s="16"/>
      <c r="FG53" s="16"/>
      <c r="FH53" s="16"/>
      <c r="FI53" s="16"/>
      <c r="FJ53" s="16"/>
      <c r="FK53" s="16"/>
      <c r="FM53" s="80"/>
      <c r="FN53" s="81"/>
      <c r="FO53" s="16"/>
      <c r="FP53" s="16"/>
      <c r="FQ53" s="16"/>
      <c r="FR53" s="16"/>
      <c r="FS53" s="16"/>
      <c r="FT53" s="16"/>
      <c r="FU53" s="16"/>
      <c r="FV53" s="16"/>
      <c r="FW53" s="16"/>
      <c r="FX53" s="16"/>
      <c r="FY53" s="16"/>
      <c r="GA53" s="80"/>
      <c r="GB53" s="81"/>
      <c r="GC53" s="16"/>
      <c r="GD53" s="16"/>
      <c r="GE53" s="16"/>
      <c r="GF53" s="16"/>
      <c r="GG53" s="16"/>
      <c r="GH53" s="16"/>
      <c r="GI53" s="16"/>
      <c r="GJ53" s="16"/>
      <c r="GK53" s="16"/>
      <c r="GL53" s="16"/>
      <c r="GM53" s="16"/>
    </row>
    <row r="54" spans="1:195" s="18" customFormat="1" ht="15" customHeight="1">
      <c r="A54" s="78">
        <v>1997</v>
      </c>
      <c r="B54" s="79" t="s">
        <v>36</v>
      </c>
      <c r="C54" s="15">
        <f t="shared" si="2"/>
        <v>0.96419919246298791</v>
      </c>
      <c r="D54" s="15">
        <f t="shared" si="3"/>
        <v>0.9709948495527243</v>
      </c>
      <c r="E54" s="15">
        <f t="shared" si="4"/>
        <v>0.9930013458950202</v>
      </c>
      <c r="F54" s="16"/>
      <c r="G54" s="33"/>
      <c r="H54" s="16">
        <v>22290</v>
      </c>
      <c r="I54" s="16">
        <f t="shared" ref="I54:I65" si="11">H54-J54</f>
        <v>156</v>
      </c>
      <c r="J54" s="16">
        <v>22134</v>
      </c>
      <c r="K54" s="16">
        <v>21492</v>
      </c>
      <c r="L54" s="16">
        <f t="shared" ref="L54:L65" si="12">J54-K54</f>
        <v>642</v>
      </c>
      <c r="M54" s="16"/>
      <c r="N54" s="16"/>
      <c r="O54" s="78"/>
      <c r="P54" s="79"/>
      <c r="Q54" s="41"/>
      <c r="R54" s="41"/>
      <c r="S54" s="41"/>
      <c r="T54" s="16"/>
      <c r="U54" s="16"/>
      <c r="V54" s="16"/>
      <c r="W54" s="16"/>
      <c r="X54" s="16"/>
      <c r="Y54" s="16"/>
      <c r="Z54" s="16"/>
      <c r="AA54" s="16"/>
      <c r="AB54" s="16"/>
      <c r="AC54" s="78"/>
      <c r="AD54" s="79"/>
      <c r="AE54" s="41"/>
      <c r="AF54" s="41"/>
      <c r="AG54" s="41"/>
      <c r="AH54" s="41"/>
      <c r="AI54" s="41"/>
      <c r="AJ54" s="16"/>
      <c r="AK54" s="16"/>
      <c r="AL54" s="16"/>
      <c r="AM54" s="16"/>
      <c r="AN54" s="16"/>
      <c r="AO54" s="16"/>
      <c r="AP54" s="16"/>
      <c r="AQ54" s="78"/>
      <c r="AR54" s="79"/>
      <c r="AS54" s="41"/>
      <c r="AT54" s="41"/>
      <c r="AU54" s="41"/>
      <c r="AV54" s="16"/>
      <c r="AW54" s="16"/>
      <c r="AX54" s="16"/>
      <c r="AY54" s="16"/>
      <c r="AZ54" s="16"/>
      <c r="BA54" s="16"/>
      <c r="BB54" s="16"/>
      <c r="BC54" s="16"/>
      <c r="BD54" s="16"/>
      <c r="BE54" s="78"/>
      <c r="BF54" s="79"/>
      <c r="BG54" s="41"/>
      <c r="BH54" s="41"/>
      <c r="BI54" s="41"/>
      <c r="BJ54" s="16"/>
      <c r="BK54" s="16"/>
      <c r="BL54" s="16"/>
      <c r="BM54" s="16"/>
      <c r="BN54" s="16"/>
      <c r="BO54" s="16"/>
      <c r="BP54" s="16"/>
      <c r="BQ54" s="16"/>
      <c r="BR54" s="16"/>
      <c r="BS54" s="78"/>
      <c r="BT54" s="79"/>
      <c r="BU54" s="41"/>
      <c r="BV54" s="41"/>
      <c r="BW54" s="41"/>
      <c r="BX54" s="16"/>
      <c r="BY54" s="16"/>
      <c r="BZ54" s="16"/>
      <c r="CA54" s="16"/>
      <c r="CB54" s="16"/>
      <c r="CC54" s="16"/>
      <c r="CD54" s="16"/>
      <c r="CE54" s="16"/>
      <c r="CF54" s="16"/>
      <c r="CG54" s="78"/>
      <c r="CH54" s="79"/>
      <c r="CI54" s="41"/>
      <c r="CJ54" s="41"/>
      <c r="CK54" s="41"/>
      <c r="CL54" s="16"/>
      <c r="CM54" s="16"/>
      <c r="CN54" s="16"/>
      <c r="CO54" s="16"/>
      <c r="CP54" s="16"/>
      <c r="CQ54" s="16"/>
      <c r="CR54" s="16"/>
      <c r="CS54" s="16"/>
      <c r="CT54" s="16"/>
      <c r="CU54" s="78"/>
      <c r="CV54" s="79"/>
      <c r="CW54" s="41"/>
      <c r="CX54" s="41"/>
      <c r="CY54" s="41"/>
      <c r="CZ54" s="16"/>
      <c r="DA54" s="16"/>
      <c r="DB54" s="16"/>
      <c r="DC54" s="16"/>
      <c r="DD54" s="16"/>
      <c r="DE54" s="16"/>
      <c r="DF54" s="16"/>
      <c r="DG54" s="16"/>
      <c r="DH54" s="16"/>
      <c r="DI54" s="78"/>
      <c r="DJ54" s="79"/>
      <c r="DK54" s="41"/>
      <c r="DL54" s="41"/>
      <c r="DM54" s="41"/>
      <c r="DN54" s="16"/>
      <c r="DO54" s="16"/>
      <c r="DP54" s="16"/>
      <c r="DQ54" s="16"/>
      <c r="DR54" s="16"/>
      <c r="DS54" s="16"/>
      <c r="DT54" s="16"/>
      <c r="DU54" s="16"/>
      <c r="DV54" s="16"/>
      <c r="DW54" s="78"/>
      <c r="DX54" s="79"/>
      <c r="DY54" s="41"/>
      <c r="DZ54" s="41"/>
      <c r="EA54" s="41"/>
      <c r="EB54" s="16"/>
      <c r="EC54" s="16"/>
      <c r="ED54" s="16"/>
      <c r="EE54" s="16"/>
      <c r="EF54" s="16"/>
      <c r="EG54" s="16"/>
      <c r="EH54" s="16"/>
      <c r="EI54" s="16"/>
      <c r="EJ54" s="16"/>
      <c r="EK54" s="78"/>
      <c r="EL54" s="79"/>
      <c r="EM54" s="16"/>
      <c r="EN54" s="16"/>
      <c r="EO54" s="16"/>
      <c r="EP54" s="16"/>
      <c r="EQ54" s="16"/>
      <c r="ER54" s="16"/>
      <c r="ES54" s="16"/>
      <c r="ET54" s="16"/>
      <c r="EU54" s="16"/>
      <c r="EV54" s="16"/>
      <c r="EW54" s="16"/>
      <c r="EX54" s="16"/>
      <c r="EY54" s="78"/>
      <c r="EZ54" s="79"/>
      <c r="FA54" s="16"/>
      <c r="FB54" s="16"/>
      <c r="FC54" s="16"/>
      <c r="FD54" s="16"/>
      <c r="FE54" s="16"/>
      <c r="FF54" s="16"/>
      <c r="FG54" s="16"/>
      <c r="FH54" s="16"/>
      <c r="FI54" s="16"/>
      <c r="FJ54" s="16"/>
      <c r="FK54" s="16"/>
      <c r="FM54" s="78"/>
      <c r="FN54" s="79"/>
      <c r="FO54" s="16"/>
      <c r="FP54" s="16"/>
      <c r="FQ54" s="16"/>
      <c r="FR54" s="16"/>
      <c r="FS54" s="16"/>
      <c r="FT54" s="16"/>
      <c r="FU54" s="16"/>
      <c r="FV54" s="16"/>
      <c r="FW54" s="16"/>
      <c r="FX54" s="16"/>
      <c r="FY54" s="16"/>
      <c r="GA54" s="78"/>
      <c r="GB54" s="79"/>
      <c r="GC54" s="16"/>
      <c r="GD54" s="16"/>
      <c r="GE54" s="16"/>
      <c r="GF54" s="16"/>
      <c r="GG54" s="16"/>
      <c r="GH54" s="16"/>
      <c r="GI54" s="16"/>
      <c r="GJ54" s="16"/>
      <c r="GK54" s="16"/>
      <c r="GL54" s="16"/>
      <c r="GM54" s="16"/>
    </row>
    <row r="55" spans="1:195" s="18" customFormat="1" ht="15" customHeight="1">
      <c r="A55" s="80">
        <v>1997</v>
      </c>
      <c r="B55" s="81" t="s">
        <v>37</v>
      </c>
      <c r="C55" s="15">
        <f t="shared" si="2"/>
        <v>0.94056082148499209</v>
      </c>
      <c r="D55" s="15">
        <f t="shared" si="3"/>
        <v>0.96251389309891888</v>
      </c>
      <c r="E55" s="15">
        <f t="shared" si="4"/>
        <v>0.97719194312796209</v>
      </c>
      <c r="F55" s="16"/>
      <c r="G55" s="33"/>
      <c r="H55" s="16">
        <v>20256</v>
      </c>
      <c r="I55" s="16">
        <f t="shared" si="11"/>
        <v>462</v>
      </c>
      <c r="J55" s="16">
        <v>19794</v>
      </c>
      <c r="K55" s="16">
        <v>19052</v>
      </c>
      <c r="L55" s="16">
        <f t="shared" si="12"/>
        <v>742</v>
      </c>
      <c r="M55" s="16"/>
      <c r="N55" s="16"/>
      <c r="O55" s="80"/>
      <c r="P55" s="81"/>
      <c r="Q55" s="41"/>
      <c r="R55" s="41"/>
      <c r="S55" s="41"/>
      <c r="T55" s="16"/>
      <c r="U55" s="16"/>
      <c r="V55" s="16"/>
      <c r="W55" s="16"/>
      <c r="X55" s="16"/>
      <c r="Y55" s="16"/>
      <c r="Z55" s="16"/>
      <c r="AA55" s="16"/>
      <c r="AB55" s="16"/>
      <c r="AC55" s="80"/>
      <c r="AD55" s="81"/>
      <c r="AE55" s="41"/>
      <c r="AF55" s="41"/>
      <c r="AG55" s="41"/>
      <c r="AH55" s="41"/>
      <c r="AI55" s="41"/>
      <c r="AJ55" s="16"/>
      <c r="AK55" s="16"/>
      <c r="AL55" s="16"/>
      <c r="AM55" s="16"/>
      <c r="AN55" s="16"/>
      <c r="AO55" s="16"/>
      <c r="AP55" s="16"/>
      <c r="AQ55" s="80"/>
      <c r="AR55" s="81"/>
      <c r="AS55" s="41"/>
      <c r="AT55" s="41"/>
      <c r="AU55" s="41"/>
      <c r="AV55" s="16"/>
      <c r="AW55" s="16"/>
      <c r="AX55" s="16"/>
      <c r="AY55" s="16"/>
      <c r="AZ55" s="16"/>
      <c r="BA55" s="16"/>
      <c r="BB55" s="16"/>
      <c r="BC55" s="16"/>
      <c r="BD55" s="16"/>
      <c r="BE55" s="80"/>
      <c r="BF55" s="81"/>
      <c r="BG55" s="41"/>
      <c r="BH55" s="41"/>
      <c r="BI55" s="41"/>
      <c r="BJ55" s="16"/>
      <c r="BK55" s="16"/>
      <c r="BL55" s="16"/>
      <c r="BM55" s="16"/>
      <c r="BN55" s="16"/>
      <c r="BO55" s="16"/>
      <c r="BP55" s="16"/>
      <c r="BQ55" s="16"/>
      <c r="BR55" s="16"/>
      <c r="BS55" s="80"/>
      <c r="BT55" s="81"/>
      <c r="BU55" s="41"/>
      <c r="BV55" s="41"/>
      <c r="BW55" s="41"/>
      <c r="BX55" s="16"/>
      <c r="BY55" s="16"/>
      <c r="BZ55" s="16"/>
      <c r="CA55" s="16"/>
      <c r="CB55" s="16"/>
      <c r="CC55" s="16"/>
      <c r="CD55" s="16"/>
      <c r="CE55" s="16"/>
      <c r="CF55" s="16"/>
      <c r="CG55" s="80"/>
      <c r="CH55" s="81"/>
      <c r="CI55" s="41"/>
      <c r="CJ55" s="41"/>
      <c r="CK55" s="41"/>
      <c r="CL55" s="16"/>
      <c r="CM55" s="16"/>
      <c r="CN55" s="16"/>
      <c r="CO55" s="16"/>
      <c r="CP55" s="16"/>
      <c r="CQ55" s="16"/>
      <c r="CR55" s="16"/>
      <c r="CS55" s="16"/>
      <c r="CT55" s="16"/>
      <c r="CU55" s="80"/>
      <c r="CV55" s="81"/>
      <c r="CW55" s="41"/>
      <c r="CX55" s="41"/>
      <c r="CY55" s="41"/>
      <c r="CZ55" s="16"/>
      <c r="DA55" s="16"/>
      <c r="DB55" s="16"/>
      <c r="DC55" s="16"/>
      <c r="DD55" s="16"/>
      <c r="DE55" s="16"/>
      <c r="DF55" s="16"/>
      <c r="DG55" s="16"/>
      <c r="DH55" s="16"/>
      <c r="DI55" s="80"/>
      <c r="DJ55" s="81"/>
      <c r="DK55" s="41"/>
      <c r="DL55" s="41"/>
      <c r="DM55" s="41"/>
      <c r="DN55" s="16"/>
      <c r="DO55" s="16"/>
      <c r="DP55" s="16"/>
      <c r="DQ55" s="16"/>
      <c r="DR55" s="16"/>
      <c r="DS55" s="16"/>
      <c r="DT55" s="16"/>
      <c r="DU55" s="16"/>
      <c r="DV55" s="16"/>
      <c r="DW55" s="80"/>
      <c r="DX55" s="81"/>
      <c r="DY55" s="41"/>
      <c r="DZ55" s="41"/>
      <c r="EA55" s="41"/>
      <c r="EB55" s="16"/>
      <c r="EC55" s="16"/>
      <c r="ED55" s="16"/>
      <c r="EE55" s="16"/>
      <c r="EF55" s="16"/>
      <c r="EG55" s="16"/>
      <c r="EH55" s="16"/>
      <c r="EI55" s="16"/>
      <c r="EJ55" s="16"/>
      <c r="EK55" s="80"/>
      <c r="EL55" s="81"/>
      <c r="EM55" s="16"/>
      <c r="EN55" s="16"/>
      <c r="EO55" s="16"/>
      <c r="EP55" s="16"/>
      <c r="EQ55" s="16"/>
      <c r="ER55" s="16"/>
      <c r="ES55" s="16"/>
      <c r="ET55" s="16"/>
      <c r="EU55" s="16"/>
      <c r="EV55" s="16"/>
      <c r="EW55" s="16"/>
      <c r="EX55" s="16"/>
      <c r="EY55" s="80"/>
      <c r="EZ55" s="81"/>
      <c r="FA55" s="16"/>
      <c r="FB55" s="16"/>
      <c r="FC55" s="16"/>
      <c r="FD55" s="16"/>
      <c r="FE55" s="16"/>
      <c r="FF55" s="16"/>
      <c r="FG55" s="16"/>
      <c r="FH55" s="16"/>
      <c r="FI55" s="16"/>
      <c r="FJ55" s="16"/>
      <c r="FK55" s="16"/>
      <c r="FM55" s="80"/>
      <c r="FN55" s="81"/>
      <c r="FO55" s="16"/>
      <c r="FP55" s="16"/>
      <c r="FQ55" s="16"/>
      <c r="FR55" s="16"/>
      <c r="FS55" s="16"/>
      <c r="FT55" s="16"/>
      <c r="FU55" s="16"/>
      <c r="FV55" s="16"/>
      <c r="FW55" s="16"/>
      <c r="FX55" s="16"/>
      <c r="FY55" s="16"/>
      <c r="GA55" s="80"/>
      <c r="GB55" s="81"/>
      <c r="GC55" s="16"/>
      <c r="GD55" s="16"/>
      <c r="GE55" s="16"/>
      <c r="GF55" s="16"/>
      <c r="GG55" s="16"/>
      <c r="GH55" s="16"/>
      <c r="GI55" s="16"/>
      <c r="GJ55" s="16"/>
      <c r="GK55" s="16"/>
      <c r="GL55" s="16"/>
      <c r="GM55" s="16"/>
    </row>
    <row r="56" spans="1:195" s="18" customFormat="1" ht="15" customHeight="1">
      <c r="A56" s="78">
        <v>1997</v>
      </c>
      <c r="B56" s="79" t="s">
        <v>38</v>
      </c>
      <c r="C56" s="15">
        <f t="shared" si="2"/>
        <v>0.96702740041446</v>
      </c>
      <c r="D56" s="15">
        <f t="shared" si="3"/>
        <v>0.97046862002033463</v>
      </c>
      <c r="E56" s="15">
        <f t="shared" si="4"/>
        <v>0.9964540640110523</v>
      </c>
      <c r="F56" s="16"/>
      <c r="G56" s="33"/>
      <c r="H56" s="16">
        <v>21715</v>
      </c>
      <c r="I56" s="16">
        <f t="shared" si="11"/>
        <v>77</v>
      </c>
      <c r="J56" s="16">
        <v>21638</v>
      </c>
      <c r="K56" s="16">
        <v>20999</v>
      </c>
      <c r="L56" s="16">
        <f t="shared" si="12"/>
        <v>639</v>
      </c>
      <c r="M56" s="16"/>
      <c r="N56" s="16"/>
      <c r="O56" s="78"/>
      <c r="P56" s="79"/>
      <c r="Q56" s="41"/>
      <c r="R56" s="41"/>
      <c r="S56" s="41"/>
      <c r="T56" s="16"/>
      <c r="U56" s="16"/>
      <c r="V56" s="16"/>
      <c r="W56" s="16"/>
      <c r="X56" s="16"/>
      <c r="Y56" s="16"/>
      <c r="Z56" s="16"/>
      <c r="AA56" s="16"/>
      <c r="AB56" s="16"/>
      <c r="AC56" s="78"/>
      <c r="AD56" s="79"/>
      <c r="AE56" s="41"/>
      <c r="AF56" s="41"/>
      <c r="AG56" s="41"/>
      <c r="AH56" s="41"/>
      <c r="AI56" s="41"/>
      <c r="AJ56" s="16"/>
      <c r="AK56" s="16"/>
      <c r="AL56" s="16"/>
      <c r="AM56" s="16"/>
      <c r="AN56" s="16"/>
      <c r="AO56" s="16"/>
      <c r="AP56" s="16"/>
      <c r="AQ56" s="78"/>
      <c r="AR56" s="79"/>
      <c r="AS56" s="41"/>
      <c r="AT56" s="41"/>
      <c r="AU56" s="41"/>
      <c r="AV56" s="16"/>
      <c r="AW56" s="16"/>
      <c r="AX56" s="16"/>
      <c r="AY56" s="16"/>
      <c r="AZ56" s="16"/>
      <c r="BA56" s="16"/>
      <c r="BB56" s="16"/>
      <c r="BC56" s="16"/>
      <c r="BD56" s="16"/>
      <c r="BE56" s="78"/>
      <c r="BF56" s="79"/>
      <c r="BG56" s="41"/>
      <c r="BH56" s="41"/>
      <c r="BI56" s="41"/>
      <c r="BJ56" s="16"/>
      <c r="BK56" s="16"/>
      <c r="BL56" s="16"/>
      <c r="BM56" s="16"/>
      <c r="BN56" s="16"/>
      <c r="BO56" s="16"/>
      <c r="BP56" s="16"/>
      <c r="BQ56" s="16"/>
      <c r="BR56" s="16"/>
      <c r="BS56" s="78"/>
      <c r="BT56" s="79"/>
      <c r="BU56" s="41"/>
      <c r="BV56" s="41"/>
      <c r="BW56" s="41"/>
      <c r="BX56" s="16"/>
      <c r="BY56" s="16"/>
      <c r="BZ56" s="16"/>
      <c r="CA56" s="16"/>
      <c r="CB56" s="16"/>
      <c r="CC56" s="16"/>
      <c r="CD56" s="16"/>
      <c r="CE56" s="16"/>
      <c r="CF56" s="16"/>
      <c r="CG56" s="78"/>
      <c r="CH56" s="79"/>
      <c r="CI56" s="41"/>
      <c r="CJ56" s="41"/>
      <c r="CK56" s="41"/>
      <c r="CL56" s="16"/>
      <c r="CM56" s="16"/>
      <c r="CN56" s="16"/>
      <c r="CO56" s="16"/>
      <c r="CP56" s="16"/>
      <c r="CQ56" s="16"/>
      <c r="CR56" s="16"/>
      <c r="CS56" s="16"/>
      <c r="CT56" s="16"/>
      <c r="CU56" s="78"/>
      <c r="CV56" s="79"/>
      <c r="CW56" s="41"/>
      <c r="CX56" s="41"/>
      <c r="CY56" s="41"/>
      <c r="CZ56" s="16"/>
      <c r="DA56" s="16"/>
      <c r="DB56" s="16"/>
      <c r="DC56" s="16"/>
      <c r="DD56" s="16"/>
      <c r="DE56" s="16"/>
      <c r="DF56" s="16"/>
      <c r="DG56" s="16"/>
      <c r="DH56" s="16"/>
      <c r="DI56" s="78"/>
      <c r="DJ56" s="79"/>
      <c r="DK56" s="41"/>
      <c r="DL56" s="41"/>
      <c r="DM56" s="41"/>
      <c r="DN56" s="16"/>
      <c r="DO56" s="16"/>
      <c r="DP56" s="16"/>
      <c r="DQ56" s="16"/>
      <c r="DR56" s="16"/>
      <c r="DS56" s="16"/>
      <c r="DT56" s="16"/>
      <c r="DU56" s="16"/>
      <c r="DV56" s="16"/>
      <c r="DW56" s="78"/>
      <c r="DX56" s="79"/>
      <c r="DY56" s="41"/>
      <c r="DZ56" s="41"/>
      <c r="EA56" s="41"/>
      <c r="EB56" s="16"/>
      <c r="EC56" s="16"/>
      <c r="ED56" s="16"/>
      <c r="EE56" s="16"/>
      <c r="EF56" s="16"/>
      <c r="EG56" s="16"/>
      <c r="EH56" s="16"/>
      <c r="EI56" s="16"/>
      <c r="EJ56" s="16"/>
      <c r="EK56" s="78"/>
      <c r="EL56" s="79"/>
      <c r="EM56" s="16"/>
      <c r="EN56" s="16"/>
      <c r="EO56" s="16"/>
      <c r="EP56" s="16"/>
      <c r="EQ56" s="16"/>
      <c r="ER56" s="16"/>
      <c r="ES56" s="16"/>
      <c r="ET56" s="16"/>
      <c r="EU56" s="16"/>
      <c r="EV56" s="16"/>
      <c r="EW56" s="16"/>
      <c r="EX56" s="16"/>
      <c r="EY56" s="78"/>
      <c r="EZ56" s="79"/>
      <c r="FA56" s="16"/>
      <c r="FB56" s="16"/>
      <c r="FC56" s="16"/>
      <c r="FD56" s="16"/>
      <c r="FE56" s="16"/>
      <c r="FF56" s="16"/>
      <c r="FG56" s="16"/>
      <c r="FH56" s="16"/>
      <c r="FI56" s="16"/>
      <c r="FJ56" s="16"/>
      <c r="FK56" s="16"/>
      <c r="FM56" s="78"/>
      <c r="FN56" s="79"/>
      <c r="FO56" s="16"/>
      <c r="FP56" s="16"/>
      <c r="FQ56" s="16"/>
      <c r="FR56" s="16"/>
      <c r="FS56" s="16"/>
      <c r="FT56" s="16"/>
      <c r="FU56" s="16"/>
      <c r="FV56" s="16"/>
      <c r="FW56" s="16"/>
      <c r="FX56" s="16"/>
      <c r="FY56" s="16"/>
      <c r="GA56" s="78"/>
      <c r="GB56" s="79"/>
      <c r="GC56" s="16"/>
      <c r="GD56" s="16"/>
      <c r="GE56" s="16"/>
      <c r="GF56" s="16"/>
      <c r="GG56" s="16"/>
      <c r="GH56" s="16"/>
      <c r="GI56" s="16"/>
      <c r="GJ56" s="16"/>
      <c r="GK56" s="16"/>
      <c r="GL56" s="16"/>
      <c r="GM56" s="16"/>
    </row>
    <row r="57" spans="1:195" s="18" customFormat="1" ht="15" customHeight="1">
      <c r="A57" s="80">
        <v>1997</v>
      </c>
      <c r="B57" s="81" t="s">
        <v>39</v>
      </c>
      <c r="C57" s="15">
        <f t="shared" si="2"/>
        <v>0.95088264886124574</v>
      </c>
      <c r="D57" s="15">
        <f t="shared" si="3"/>
        <v>0.95745072757413885</v>
      </c>
      <c r="E57" s="15">
        <f t="shared" si="4"/>
        <v>0.99314003475715718</v>
      </c>
      <c r="F57" s="16"/>
      <c r="G57" s="33"/>
      <c r="H57" s="16">
        <v>21866</v>
      </c>
      <c r="I57" s="16">
        <f t="shared" si="11"/>
        <v>150</v>
      </c>
      <c r="J57" s="16">
        <v>21716</v>
      </c>
      <c r="K57" s="16">
        <v>20792</v>
      </c>
      <c r="L57" s="16">
        <f t="shared" si="12"/>
        <v>924</v>
      </c>
      <c r="M57" s="16"/>
      <c r="N57" s="16"/>
      <c r="O57" s="80"/>
      <c r="P57" s="81"/>
      <c r="Q57" s="41"/>
      <c r="R57" s="41"/>
      <c r="S57" s="41"/>
      <c r="T57" s="16"/>
      <c r="U57" s="16"/>
      <c r="V57" s="16"/>
      <c r="W57" s="16"/>
      <c r="X57" s="16"/>
      <c r="Y57" s="16"/>
      <c r="Z57" s="16"/>
      <c r="AA57" s="16"/>
      <c r="AB57" s="16"/>
      <c r="AC57" s="80"/>
      <c r="AD57" s="81"/>
      <c r="AE57" s="41"/>
      <c r="AF57" s="41"/>
      <c r="AG57" s="41"/>
      <c r="AH57" s="41"/>
      <c r="AI57" s="41"/>
      <c r="AJ57" s="16"/>
      <c r="AK57" s="16"/>
      <c r="AL57" s="16"/>
      <c r="AM57" s="16"/>
      <c r="AN57" s="16"/>
      <c r="AO57" s="16"/>
      <c r="AP57" s="16"/>
      <c r="AQ57" s="80"/>
      <c r="AR57" s="81"/>
      <c r="AS57" s="41"/>
      <c r="AT57" s="41"/>
      <c r="AU57" s="41"/>
      <c r="AV57" s="16"/>
      <c r="AW57" s="16"/>
      <c r="AX57" s="16"/>
      <c r="AY57" s="16"/>
      <c r="AZ57" s="16"/>
      <c r="BA57" s="16"/>
      <c r="BB57" s="16"/>
      <c r="BC57" s="16"/>
      <c r="BD57" s="16"/>
      <c r="BE57" s="80"/>
      <c r="BF57" s="81"/>
      <c r="BG57" s="41"/>
      <c r="BH57" s="41"/>
      <c r="BI57" s="41"/>
      <c r="BJ57" s="16"/>
      <c r="BK57" s="16"/>
      <c r="BL57" s="16"/>
      <c r="BM57" s="16"/>
      <c r="BN57" s="16"/>
      <c r="BO57" s="16"/>
      <c r="BP57" s="16"/>
      <c r="BQ57" s="16"/>
      <c r="BR57" s="16"/>
      <c r="BS57" s="80"/>
      <c r="BT57" s="81"/>
      <c r="BU57" s="41"/>
      <c r="BV57" s="41"/>
      <c r="BW57" s="41"/>
      <c r="BX57" s="16"/>
      <c r="BY57" s="16"/>
      <c r="BZ57" s="16"/>
      <c r="CA57" s="16"/>
      <c r="CB57" s="16"/>
      <c r="CC57" s="16"/>
      <c r="CD57" s="16"/>
      <c r="CE57" s="16"/>
      <c r="CF57" s="16"/>
      <c r="CG57" s="80"/>
      <c r="CH57" s="81"/>
      <c r="CI57" s="41"/>
      <c r="CJ57" s="41"/>
      <c r="CK57" s="41"/>
      <c r="CL57" s="16"/>
      <c r="CM57" s="16"/>
      <c r="CN57" s="16"/>
      <c r="CO57" s="16"/>
      <c r="CP57" s="16"/>
      <c r="CQ57" s="16"/>
      <c r="CR57" s="16"/>
      <c r="CS57" s="16"/>
      <c r="CT57" s="16"/>
      <c r="CU57" s="80"/>
      <c r="CV57" s="81"/>
      <c r="CW57" s="41"/>
      <c r="CX57" s="41"/>
      <c r="CY57" s="41"/>
      <c r="CZ57" s="16"/>
      <c r="DA57" s="16"/>
      <c r="DB57" s="16"/>
      <c r="DC57" s="16"/>
      <c r="DD57" s="16"/>
      <c r="DE57" s="16"/>
      <c r="DF57" s="16"/>
      <c r="DG57" s="16"/>
      <c r="DH57" s="16"/>
      <c r="DI57" s="80"/>
      <c r="DJ57" s="81"/>
      <c r="DK57" s="41"/>
      <c r="DL57" s="41"/>
      <c r="DM57" s="41"/>
      <c r="DN57" s="16"/>
      <c r="DO57" s="16"/>
      <c r="DP57" s="16"/>
      <c r="DQ57" s="16"/>
      <c r="DR57" s="16"/>
      <c r="DS57" s="16"/>
      <c r="DT57" s="16"/>
      <c r="DU57" s="16"/>
      <c r="DV57" s="16"/>
      <c r="DW57" s="80"/>
      <c r="DX57" s="81"/>
      <c r="DY57" s="41"/>
      <c r="DZ57" s="41"/>
      <c r="EA57" s="41"/>
      <c r="EB57" s="16"/>
      <c r="EC57" s="16"/>
      <c r="ED57" s="16"/>
      <c r="EE57" s="16"/>
      <c r="EF57" s="16"/>
      <c r="EG57" s="16"/>
      <c r="EH57" s="16"/>
      <c r="EI57" s="16"/>
      <c r="EJ57" s="16"/>
      <c r="EK57" s="80"/>
      <c r="EL57" s="81"/>
      <c r="EM57" s="16"/>
      <c r="EN57" s="16"/>
      <c r="EO57" s="16"/>
      <c r="EP57" s="16"/>
      <c r="EQ57" s="16"/>
      <c r="ER57" s="16"/>
      <c r="ES57" s="16"/>
      <c r="ET57" s="16"/>
      <c r="EU57" s="16"/>
      <c r="EV57" s="16"/>
      <c r="EW57" s="16"/>
      <c r="EX57" s="16"/>
      <c r="EY57" s="80"/>
      <c r="EZ57" s="81"/>
      <c r="FA57" s="16"/>
      <c r="FB57" s="16"/>
      <c r="FC57" s="16"/>
      <c r="FD57" s="16"/>
      <c r="FE57" s="16"/>
      <c r="FF57" s="16"/>
      <c r="FG57" s="16"/>
      <c r="FH57" s="16"/>
      <c r="FI57" s="16"/>
      <c r="FJ57" s="16"/>
      <c r="FK57" s="16"/>
      <c r="FM57" s="80"/>
      <c r="FN57" s="81"/>
      <c r="FO57" s="16"/>
      <c r="FP57" s="16"/>
      <c r="FQ57" s="16"/>
      <c r="FR57" s="16"/>
      <c r="FS57" s="16"/>
      <c r="FT57" s="16"/>
      <c r="FU57" s="16"/>
      <c r="FV57" s="16"/>
      <c r="FW57" s="16"/>
      <c r="FX57" s="16"/>
      <c r="FY57" s="16"/>
      <c r="GA57" s="80"/>
      <c r="GB57" s="81"/>
      <c r="GC57" s="16"/>
      <c r="GD57" s="16"/>
      <c r="GE57" s="16"/>
      <c r="GF57" s="16"/>
      <c r="GG57" s="16"/>
      <c r="GH57" s="16"/>
      <c r="GI57" s="16"/>
      <c r="GJ57" s="16"/>
      <c r="GK57" s="16"/>
      <c r="GL57" s="16"/>
      <c r="GM57" s="16"/>
    </row>
    <row r="58" spans="1:195" s="18" customFormat="1" ht="15" customHeight="1">
      <c r="A58" s="78">
        <v>1997</v>
      </c>
      <c r="B58" s="79" t="s">
        <v>40</v>
      </c>
      <c r="C58" s="15">
        <f t="shared" si="2"/>
        <v>0.94810361195244341</v>
      </c>
      <c r="D58" s="15">
        <f t="shared" si="3"/>
        <v>0.95684109676536333</v>
      </c>
      <c r="E58" s="15">
        <f t="shared" si="4"/>
        <v>0.99086840558745082</v>
      </c>
      <c r="F58" s="16"/>
      <c r="G58" s="33"/>
      <c r="H58" s="16">
        <v>22121</v>
      </c>
      <c r="I58" s="16">
        <f t="shared" si="11"/>
        <v>202</v>
      </c>
      <c r="J58" s="16">
        <v>21919</v>
      </c>
      <c r="K58" s="16">
        <v>20973</v>
      </c>
      <c r="L58" s="16">
        <f t="shared" si="12"/>
        <v>946</v>
      </c>
      <c r="M58" s="16"/>
      <c r="N58" s="16"/>
      <c r="O58" s="78"/>
      <c r="P58" s="79"/>
      <c r="Q58" s="41"/>
      <c r="R58" s="41"/>
      <c r="S58" s="41"/>
      <c r="T58" s="16"/>
      <c r="U58" s="16"/>
      <c r="V58" s="16"/>
      <c r="W58" s="16"/>
      <c r="X58" s="16"/>
      <c r="Y58" s="16"/>
      <c r="Z58" s="16"/>
      <c r="AA58" s="16"/>
      <c r="AB58" s="16"/>
      <c r="AC58" s="78"/>
      <c r="AD58" s="79"/>
      <c r="AE58" s="41"/>
      <c r="AF58" s="41"/>
      <c r="AG58" s="41"/>
      <c r="AH58" s="41"/>
      <c r="AI58" s="41"/>
      <c r="AJ58" s="16"/>
      <c r="AK58" s="16"/>
      <c r="AL58" s="16"/>
      <c r="AM58" s="16"/>
      <c r="AN58" s="16"/>
      <c r="AO58" s="16"/>
      <c r="AP58" s="16"/>
      <c r="AQ58" s="78"/>
      <c r="AR58" s="79"/>
      <c r="AS58" s="41"/>
      <c r="AT58" s="41"/>
      <c r="AU58" s="41"/>
      <c r="AV58" s="16"/>
      <c r="AW58" s="16"/>
      <c r="AX58" s="16"/>
      <c r="AY58" s="16"/>
      <c r="AZ58" s="16"/>
      <c r="BA58" s="16"/>
      <c r="BB58" s="16"/>
      <c r="BC58" s="16"/>
      <c r="BD58" s="16"/>
      <c r="BE58" s="78"/>
      <c r="BF58" s="79"/>
      <c r="BG58" s="41"/>
      <c r="BH58" s="41"/>
      <c r="BI58" s="41"/>
      <c r="BJ58" s="16"/>
      <c r="BK58" s="16"/>
      <c r="BL58" s="16"/>
      <c r="BM58" s="16"/>
      <c r="BN58" s="16"/>
      <c r="BO58" s="16"/>
      <c r="BP58" s="16"/>
      <c r="BQ58" s="16"/>
      <c r="BR58" s="16"/>
      <c r="BS58" s="78"/>
      <c r="BT58" s="79"/>
      <c r="BU58" s="41"/>
      <c r="BV58" s="41"/>
      <c r="BW58" s="41"/>
      <c r="BX58" s="16"/>
      <c r="BY58" s="16"/>
      <c r="BZ58" s="16"/>
      <c r="CA58" s="16"/>
      <c r="CB58" s="16"/>
      <c r="CC58" s="16"/>
      <c r="CD58" s="16"/>
      <c r="CE58" s="16"/>
      <c r="CF58" s="16"/>
      <c r="CG58" s="78"/>
      <c r="CH58" s="79"/>
      <c r="CI58" s="41"/>
      <c r="CJ58" s="41"/>
      <c r="CK58" s="41"/>
      <c r="CL58" s="16"/>
      <c r="CM58" s="16"/>
      <c r="CN58" s="16"/>
      <c r="CO58" s="16"/>
      <c r="CP58" s="16"/>
      <c r="CQ58" s="16"/>
      <c r="CR58" s="16"/>
      <c r="CS58" s="16"/>
      <c r="CT58" s="16"/>
      <c r="CU58" s="78"/>
      <c r="CV58" s="79"/>
      <c r="CW58" s="41"/>
      <c r="CX58" s="41"/>
      <c r="CY58" s="41"/>
      <c r="CZ58" s="16"/>
      <c r="DA58" s="16"/>
      <c r="DB58" s="16"/>
      <c r="DC58" s="16"/>
      <c r="DD58" s="16"/>
      <c r="DE58" s="16"/>
      <c r="DF58" s="16"/>
      <c r="DG58" s="16"/>
      <c r="DH58" s="16"/>
      <c r="DI58" s="78"/>
      <c r="DJ58" s="79"/>
      <c r="DK58" s="41"/>
      <c r="DL58" s="41"/>
      <c r="DM58" s="41"/>
      <c r="DN58" s="16"/>
      <c r="DO58" s="16"/>
      <c r="DP58" s="16"/>
      <c r="DQ58" s="16"/>
      <c r="DR58" s="16"/>
      <c r="DS58" s="16"/>
      <c r="DT58" s="16"/>
      <c r="DU58" s="16"/>
      <c r="DV58" s="16"/>
      <c r="DW58" s="78"/>
      <c r="DX58" s="79"/>
      <c r="DY58" s="41"/>
      <c r="DZ58" s="41"/>
      <c r="EA58" s="41"/>
      <c r="EB58" s="16"/>
      <c r="EC58" s="16"/>
      <c r="ED58" s="16"/>
      <c r="EE58" s="16"/>
      <c r="EF58" s="16"/>
      <c r="EG58" s="16"/>
      <c r="EH58" s="16"/>
      <c r="EI58" s="16"/>
      <c r="EJ58" s="16"/>
      <c r="EK58" s="78"/>
      <c r="EL58" s="79"/>
      <c r="EM58" s="16"/>
      <c r="EN58" s="16"/>
      <c r="EO58" s="16"/>
      <c r="EP58" s="16"/>
      <c r="EQ58" s="16"/>
      <c r="ER58" s="16"/>
      <c r="ES58" s="16"/>
      <c r="ET58" s="16"/>
      <c r="EU58" s="16"/>
      <c r="EV58" s="16"/>
      <c r="EW58" s="16"/>
      <c r="EX58" s="16"/>
      <c r="EY58" s="78"/>
      <c r="EZ58" s="79"/>
      <c r="FA58" s="16"/>
      <c r="FB58" s="16"/>
      <c r="FC58" s="16"/>
      <c r="FD58" s="16"/>
      <c r="FE58" s="16"/>
      <c r="FF58" s="16"/>
      <c r="FG58" s="16"/>
      <c r="FH58" s="16"/>
      <c r="FI58" s="16"/>
      <c r="FJ58" s="16"/>
      <c r="FK58" s="16"/>
      <c r="FM58" s="78"/>
      <c r="FN58" s="79"/>
      <c r="FO58" s="16"/>
      <c r="FP58" s="16"/>
      <c r="FQ58" s="16"/>
      <c r="FR58" s="16"/>
      <c r="FS58" s="16"/>
      <c r="FT58" s="16"/>
      <c r="FU58" s="16"/>
      <c r="FV58" s="16"/>
      <c r="FW58" s="16"/>
      <c r="FX58" s="16"/>
      <c r="FY58" s="16"/>
      <c r="GA58" s="78"/>
      <c r="GB58" s="79"/>
      <c r="GC58" s="16"/>
      <c r="GD58" s="16"/>
      <c r="GE58" s="16"/>
      <c r="GF58" s="16"/>
      <c r="GG58" s="16"/>
      <c r="GH58" s="16"/>
      <c r="GI58" s="16"/>
      <c r="GJ58" s="16"/>
      <c r="GK58" s="16"/>
      <c r="GL58" s="16"/>
      <c r="GM58" s="16"/>
    </row>
    <row r="59" spans="1:195" s="18" customFormat="1" ht="15" customHeight="1">
      <c r="A59" s="80">
        <v>1997</v>
      </c>
      <c r="B59" s="81" t="s">
        <v>41</v>
      </c>
      <c r="C59" s="15">
        <f t="shared" si="2"/>
        <v>0.95685894328647603</v>
      </c>
      <c r="D59" s="15">
        <f t="shared" si="3"/>
        <v>0.96273897776043704</v>
      </c>
      <c r="E59" s="15">
        <f t="shared" si="4"/>
        <v>0.99389238972370331</v>
      </c>
      <c r="F59" s="16"/>
      <c r="G59" s="33"/>
      <c r="H59" s="16">
        <v>20630</v>
      </c>
      <c r="I59" s="16">
        <f t="shared" si="11"/>
        <v>126</v>
      </c>
      <c r="J59" s="16">
        <v>20504</v>
      </c>
      <c r="K59" s="16">
        <v>19740</v>
      </c>
      <c r="L59" s="16">
        <f t="shared" si="12"/>
        <v>764</v>
      </c>
      <c r="M59" s="16"/>
      <c r="N59" s="16"/>
      <c r="O59" s="80"/>
      <c r="P59" s="81"/>
      <c r="Q59" s="41"/>
      <c r="R59" s="41"/>
      <c r="S59" s="41"/>
      <c r="T59" s="16"/>
      <c r="U59" s="16"/>
      <c r="V59" s="16"/>
      <c r="W59" s="16"/>
      <c r="X59" s="16"/>
      <c r="Y59" s="16"/>
      <c r="Z59" s="16"/>
      <c r="AA59" s="16"/>
      <c r="AB59" s="16"/>
      <c r="AC59" s="80"/>
      <c r="AD59" s="81"/>
      <c r="AE59" s="41"/>
      <c r="AF59" s="41"/>
      <c r="AG59" s="41"/>
      <c r="AH59" s="41"/>
      <c r="AI59" s="41"/>
      <c r="AJ59" s="16"/>
      <c r="AK59" s="16"/>
      <c r="AL59" s="16"/>
      <c r="AM59" s="16"/>
      <c r="AN59" s="16"/>
      <c r="AO59" s="16"/>
      <c r="AP59" s="16"/>
      <c r="AQ59" s="80"/>
      <c r="AR59" s="81"/>
      <c r="AS59" s="41"/>
      <c r="AT59" s="41"/>
      <c r="AU59" s="41"/>
      <c r="AV59" s="16"/>
      <c r="AW59" s="16"/>
      <c r="AX59" s="16"/>
      <c r="AY59" s="16"/>
      <c r="AZ59" s="16"/>
      <c r="BA59" s="16"/>
      <c r="BB59" s="16"/>
      <c r="BC59" s="16"/>
      <c r="BD59" s="16"/>
      <c r="BE59" s="80"/>
      <c r="BF59" s="81"/>
      <c r="BG59" s="41"/>
      <c r="BH59" s="41"/>
      <c r="BI59" s="41"/>
      <c r="BJ59" s="16"/>
      <c r="BK59" s="16"/>
      <c r="BL59" s="16"/>
      <c r="BM59" s="16"/>
      <c r="BN59" s="16"/>
      <c r="BO59" s="16"/>
      <c r="BP59" s="16"/>
      <c r="BQ59" s="16"/>
      <c r="BR59" s="16"/>
      <c r="BS59" s="80"/>
      <c r="BT59" s="81"/>
      <c r="BU59" s="41"/>
      <c r="BV59" s="41"/>
      <c r="BW59" s="41"/>
      <c r="BX59" s="16"/>
      <c r="BY59" s="16"/>
      <c r="BZ59" s="16"/>
      <c r="CA59" s="16"/>
      <c r="CB59" s="16"/>
      <c r="CC59" s="16"/>
      <c r="CD59" s="16"/>
      <c r="CE59" s="16"/>
      <c r="CF59" s="16"/>
      <c r="CG59" s="80"/>
      <c r="CH59" s="81"/>
      <c r="CI59" s="41"/>
      <c r="CJ59" s="41"/>
      <c r="CK59" s="41"/>
      <c r="CL59" s="16"/>
      <c r="CM59" s="16"/>
      <c r="CN59" s="16"/>
      <c r="CO59" s="16"/>
      <c r="CP59" s="16"/>
      <c r="CQ59" s="16"/>
      <c r="CR59" s="16"/>
      <c r="CS59" s="16"/>
      <c r="CT59" s="16"/>
      <c r="CU59" s="80"/>
      <c r="CV59" s="81"/>
      <c r="CW59" s="41"/>
      <c r="CX59" s="41"/>
      <c r="CY59" s="41"/>
      <c r="CZ59" s="16"/>
      <c r="DA59" s="16"/>
      <c r="DB59" s="16"/>
      <c r="DC59" s="16"/>
      <c r="DD59" s="16"/>
      <c r="DE59" s="16"/>
      <c r="DF59" s="16"/>
      <c r="DG59" s="16"/>
      <c r="DH59" s="16"/>
      <c r="DI59" s="80"/>
      <c r="DJ59" s="81"/>
      <c r="DK59" s="41"/>
      <c r="DL59" s="41"/>
      <c r="DM59" s="41"/>
      <c r="DN59" s="16"/>
      <c r="DO59" s="16"/>
      <c r="DP59" s="16"/>
      <c r="DQ59" s="16"/>
      <c r="DR59" s="16"/>
      <c r="DS59" s="16"/>
      <c r="DT59" s="16"/>
      <c r="DU59" s="16"/>
      <c r="DV59" s="16"/>
      <c r="DW59" s="80"/>
      <c r="DX59" s="81"/>
      <c r="DY59" s="41"/>
      <c r="DZ59" s="41"/>
      <c r="EA59" s="41"/>
      <c r="EB59" s="16"/>
      <c r="EC59" s="16"/>
      <c r="ED59" s="16"/>
      <c r="EE59" s="16"/>
      <c r="EF59" s="16"/>
      <c r="EG59" s="16"/>
      <c r="EH59" s="16"/>
      <c r="EI59" s="16"/>
      <c r="EJ59" s="16"/>
      <c r="EK59" s="80"/>
      <c r="EL59" s="81"/>
      <c r="EM59" s="16"/>
      <c r="EN59" s="16"/>
      <c r="EO59" s="16"/>
      <c r="EP59" s="16"/>
      <c r="EQ59" s="16"/>
      <c r="ER59" s="16"/>
      <c r="ES59" s="16"/>
      <c r="ET59" s="16"/>
      <c r="EU59" s="16"/>
      <c r="EV59" s="16"/>
      <c r="EW59" s="16"/>
      <c r="EX59" s="16"/>
      <c r="EY59" s="80"/>
      <c r="EZ59" s="81"/>
      <c r="FA59" s="16"/>
      <c r="FB59" s="16"/>
      <c r="FC59" s="16"/>
      <c r="FD59" s="16"/>
      <c r="FE59" s="16"/>
      <c r="FF59" s="16"/>
      <c r="FG59" s="16"/>
      <c r="FH59" s="16"/>
      <c r="FI59" s="16"/>
      <c r="FJ59" s="16"/>
      <c r="FK59" s="16"/>
      <c r="FM59" s="80"/>
      <c r="FN59" s="81"/>
      <c r="FO59" s="16"/>
      <c r="FP59" s="16"/>
      <c r="FQ59" s="16"/>
      <c r="FR59" s="16"/>
      <c r="FS59" s="16"/>
      <c r="FT59" s="16"/>
      <c r="FU59" s="16"/>
      <c r="FV59" s="16"/>
      <c r="FW59" s="16"/>
      <c r="FX59" s="16"/>
      <c r="FY59" s="16"/>
      <c r="GA59" s="80"/>
      <c r="GB59" s="81"/>
      <c r="GC59" s="16"/>
      <c r="GD59" s="16"/>
      <c r="GE59" s="16"/>
      <c r="GF59" s="16"/>
      <c r="GG59" s="16"/>
      <c r="GH59" s="16"/>
      <c r="GI59" s="16"/>
      <c r="GJ59" s="16"/>
      <c r="GK59" s="16"/>
      <c r="GL59" s="16"/>
      <c r="GM59" s="16"/>
    </row>
    <row r="60" spans="1:195" s="18" customFormat="1" ht="15" customHeight="1">
      <c r="A60" s="78">
        <v>1997</v>
      </c>
      <c r="B60" s="79" t="s">
        <v>42</v>
      </c>
      <c r="C60" s="15">
        <f t="shared" si="2"/>
        <v>0.96425249169435212</v>
      </c>
      <c r="D60" s="15">
        <f t="shared" si="3"/>
        <v>0.96798292422625398</v>
      </c>
      <c r="E60" s="15">
        <f t="shared" si="4"/>
        <v>0.99614617940199335</v>
      </c>
      <c r="F60" s="16"/>
      <c r="G60" s="33"/>
      <c r="H60" s="16">
        <v>22575</v>
      </c>
      <c r="I60" s="16">
        <f t="shared" si="11"/>
        <v>87</v>
      </c>
      <c r="J60" s="16">
        <v>22488</v>
      </c>
      <c r="K60" s="16">
        <v>21768</v>
      </c>
      <c r="L60" s="16">
        <f t="shared" si="12"/>
        <v>720</v>
      </c>
      <c r="M60" s="16"/>
      <c r="N60" s="16"/>
      <c r="O60" s="78"/>
      <c r="P60" s="79"/>
      <c r="Q60" s="41"/>
      <c r="R60" s="41"/>
      <c r="S60" s="41"/>
      <c r="T60" s="16"/>
      <c r="U60" s="16"/>
      <c r="V60" s="16"/>
      <c r="W60" s="16"/>
      <c r="X60" s="16"/>
      <c r="Y60" s="16"/>
      <c r="Z60" s="16"/>
      <c r="AA60" s="16"/>
      <c r="AB60" s="16"/>
      <c r="AC60" s="78"/>
      <c r="AD60" s="79"/>
      <c r="AE60" s="41"/>
      <c r="AF60" s="41"/>
      <c r="AG60" s="41"/>
      <c r="AH60" s="41"/>
      <c r="AI60" s="41"/>
      <c r="AJ60" s="16"/>
      <c r="AK60" s="16"/>
      <c r="AL60" s="16"/>
      <c r="AM60" s="16"/>
      <c r="AN60" s="16"/>
      <c r="AO60" s="16"/>
      <c r="AP60" s="16"/>
      <c r="AQ60" s="78"/>
      <c r="AR60" s="79"/>
      <c r="AS60" s="41"/>
      <c r="AT60" s="41"/>
      <c r="AU60" s="41"/>
      <c r="AV60" s="16"/>
      <c r="AW60" s="16"/>
      <c r="AX60" s="16"/>
      <c r="AY60" s="16"/>
      <c r="AZ60" s="16"/>
      <c r="BA60" s="16"/>
      <c r="BB60" s="16"/>
      <c r="BC60" s="16"/>
      <c r="BD60" s="16"/>
      <c r="BE60" s="78"/>
      <c r="BF60" s="79"/>
      <c r="BG60" s="41"/>
      <c r="BH60" s="41"/>
      <c r="BI60" s="41"/>
      <c r="BJ60" s="16"/>
      <c r="BK60" s="16"/>
      <c r="BL60" s="16"/>
      <c r="BM60" s="16"/>
      <c r="BN60" s="16"/>
      <c r="BO60" s="16"/>
      <c r="BP60" s="16"/>
      <c r="BQ60" s="16"/>
      <c r="BR60" s="16"/>
      <c r="BS60" s="78"/>
      <c r="BT60" s="79"/>
      <c r="BU60" s="41"/>
      <c r="BV60" s="41"/>
      <c r="BW60" s="41"/>
      <c r="BX60" s="16"/>
      <c r="BY60" s="16"/>
      <c r="BZ60" s="16"/>
      <c r="CA60" s="16"/>
      <c r="CB60" s="16"/>
      <c r="CC60" s="16"/>
      <c r="CD60" s="16"/>
      <c r="CE60" s="16"/>
      <c r="CF60" s="16"/>
      <c r="CG60" s="78"/>
      <c r="CH60" s="79"/>
      <c r="CI60" s="41"/>
      <c r="CJ60" s="41"/>
      <c r="CK60" s="41"/>
      <c r="CL60" s="16"/>
      <c r="CM60" s="16"/>
      <c r="CN60" s="16"/>
      <c r="CO60" s="16"/>
      <c r="CP60" s="16"/>
      <c r="CQ60" s="16"/>
      <c r="CR60" s="16"/>
      <c r="CS60" s="16"/>
      <c r="CT60" s="16"/>
      <c r="CU60" s="78"/>
      <c r="CV60" s="79"/>
      <c r="CW60" s="41"/>
      <c r="CX60" s="41"/>
      <c r="CY60" s="41"/>
      <c r="CZ60" s="16"/>
      <c r="DA60" s="16"/>
      <c r="DB60" s="16"/>
      <c r="DC60" s="16"/>
      <c r="DD60" s="16"/>
      <c r="DE60" s="16"/>
      <c r="DF60" s="16"/>
      <c r="DG60" s="16"/>
      <c r="DH60" s="16"/>
      <c r="DI60" s="78"/>
      <c r="DJ60" s="79"/>
      <c r="DK60" s="41"/>
      <c r="DL60" s="41"/>
      <c r="DM60" s="41"/>
      <c r="DN60" s="16"/>
      <c r="DO60" s="16"/>
      <c r="DP60" s="16"/>
      <c r="DQ60" s="16"/>
      <c r="DR60" s="16"/>
      <c r="DS60" s="16"/>
      <c r="DT60" s="16"/>
      <c r="DU60" s="16"/>
      <c r="DV60" s="16"/>
      <c r="DW60" s="78"/>
      <c r="DX60" s="79"/>
      <c r="DY60" s="41"/>
      <c r="DZ60" s="41"/>
      <c r="EA60" s="41"/>
      <c r="EB60" s="16"/>
      <c r="EC60" s="16"/>
      <c r="ED60" s="16"/>
      <c r="EE60" s="16"/>
      <c r="EF60" s="16"/>
      <c r="EG60" s="16"/>
      <c r="EH60" s="16"/>
      <c r="EI60" s="16"/>
      <c r="EJ60" s="16"/>
      <c r="EK60" s="78"/>
      <c r="EL60" s="79"/>
      <c r="EM60" s="16"/>
      <c r="EN60" s="16"/>
      <c r="EO60" s="16"/>
      <c r="EP60" s="16"/>
      <c r="EQ60" s="16"/>
      <c r="ER60" s="16"/>
      <c r="ES60" s="16"/>
      <c r="ET60" s="16"/>
      <c r="EU60" s="16"/>
      <c r="EV60" s="16"/>
      <c r="EW60" s="16"/>
      <c r="EX60" s="16"/>
      <c r="EY60" s="78"/>
      <c r="EZ60" s="79"/>
      <c r="FA60" s="16"/>
      <c r="FB60" s="16"/>
      <c r="FC60" s="16"/>
      <c r="FD60" s="16"/>
      <c r="FE60" s="16"/>
      <c r="FF60" s="16"/>
      <c r="FG60" s="16"/>
      <c r="FH60" s="16"/>
      <c r="FI60" s="16"/>
      <c r="FJ60" s="16"/>
      <c r="FK60" s="16"/>
      <c r="FM60" s="78"/>
      <c r="FN60" s="79"/>
      <c r="FO60" s="16"/>
      <c r="FP60" s="16"/>
      <c r="FQ60" s="16"/>
      <c r="FR60" s="16"/>
      <c r="FS60" s="16"/>
      <c r="FT60" s="16"/>
      <c r="FU60" s="16"/>
      <c r="FV60" s="16"/>
      <c r="FW60" s="16"/>
      <c r="FX60" s="16"/>
      <c r="FY60" s="16"/>
      <c r="GA60" s="78"/>
      <c r="GB60" s="79"/>
      <c r="GC60" s="16"/>
      <c r="GD60" s="16"/>
      <c r="GE60" s="16"/>
      <c r="GF60" s="16"/>
      <c r="GG60" s="16"/>
      <c r="GH60" s="16"/>
      <c r="GI60" s="16"/>
      <c r="GJ60" s="16"/>
      <c r="GK60" s="16"/>
      <c r="GL60" s="16"/>
      <c r="GM60" s="16"/>
    </row>
    <row r="61" spans="1:195" s="18" customFormat="1" ht="15" customHeight="1">
      <c r="A61" s="80">
        <v>1997</v>
      </c>
      <c r="B61" s="81" t="s">
        <v>43</v>
      </c>
      <c r="C61" s="15">
        <f t="shared" si="2"/>
        <v>0.96230538104343077</v>
      </c>
      <c r="D61" s="15">
        <f t="shared" si="3"/>
        <v>0.98042671614100185</v>
      </c>
      <c r="E61" s="15">
        <f t="shared" si="4"/>
        <v>0.98151688973868711</v>
      </c>
      <c r="F61" s="16"/>
      <c r="G61" s="33"/>
      <c r="H61" s="16">
        <v>21966</v>
      </c>
      <c r="I61" s="16">
        <f t="shared" si="11"/>
        <v>406</v>
      </c>
      <c r="J61" s="16">
        <v>21560</v>
      </c>
      <c r="K61" s="16">
        <v>21138</v>
      </c>
      <c r="L61" s="16">
        <f t="shared" si="12"/>
        <v>422</v>
      </c>
      <c r="M61" s="16"/>
      <c r="N61" s="16"/>
      <c r="O61" s="80"/>
      <c r="P61" s="81"/>
      <c r="Q61" s="41"/>
      <c r="R61" s="41"/>
      <c r="S61" s="41"/>
      <c r="T61" s="16"/>
      <c r="U61" s="16"/>
      <c r="V61" s="16"/>
      <c r="W61" s="16"/>
      <c r="X61" s="16"/>
      <c r="Y61" s="16"/>
      <c r="Z61" s="16"/>
      <c r="AA61" s="16"/>
      <c r="AB61" s="16"/>
      <c r="AC61" s="80"/>
      <c r="AD61" s="81"/>
      <c r="AE61" s="41"/>
      <c r="AF61" s="41"/>
      <c r="AG61" s="41"/>
      <c r="AH61" s="41"/>
      <c r="AI61" s="41"/>
      <c r="AJ61" s="16"/>
      <c r="AK61" s="16"/>
      <c r="AL61" s="16"/>
      <c r="AM61" s="16"/>
      <c r="AN61" s="16"/>
      <c r="AO61" s="16"/>
      <c r="AP61" s="16"/>
      <c r="AQ61" s="80"/>
      <c r="AR61" s="81"/>
      <c r="AS61" s="41"/>
      <c r="AT61" s="41"/>
      <c r="AU61" s="41"/>
      <c r="AV61" s="16"/>
      <c r="AW61" s="16"/>
      <c r="AX61" s="16"/>
      <c r="AY61" s="16"/>
      <c r="AZ61" s="16"/>
      <c r="BA61" s="16"/>
      <c r="BB61" s="16"/>
      <c r="BC61" s="16"/>
      <c r="BD61" s="16"/>
      <c r="BE61" s="80"/>
      <c r="BF61" s="81"/>
      <c r="BG61" s="41"/>
      <c r="BH61" s="41"/>
      <c r="BI61" s="41"/>
      <c r="BJ61" s="16"/>
      <c r="BK61" s="16"/>
      <c r="BL61" s="16"/>
      <c r="BM61" s="16"/>
      <c r="BN61" s="16"/>
      <c r="BO61" s="16"/>
      <c r="BP61" s="16"/>
      <c r="BQ61" s="16"/>
      <c r="BR61" s="16"/>
      <c r="BS61" s="80"/>
      <c r="BT61" s="81"/>
      <c r="BU61" s="41"/>
      <c r="BV61" s="41"/>
      <c r="BW61" s="41"/>
      <c r="BX61" s="16"/>
      <c r="BY61" s="16"/>
      <c r="BZ61" s="16"/>
      <c r="CA61" s="16"/>
      <c r="CB61" s="16"/>
      <c r="CC61" s="16"/>
      <c r="CD61" s="16"/>
      <c r="CE61" s="16"/>
      <c r="CF61" s="16"/>
      <c r="CG61" s="80"/>
      <c r="CH61" s="81"/>
      <c r="CI61" s="41"/>
      <c r="CJ61" s="41"/>
      <c r="CK61" s="41"/>
      <c r="CL61" s="16"/>
      <c r="CM61" s="16"/>
      <c r="CN61" s="16"/>
      <c r="CO61" s="16"/>
      <c r="CP61" s="16"/>
      <c r="CQ61" s="16"/>
      <c r="CR61" s="16"/>
      <c r="CS61" s="16"/>
      <c r="CT61" s="16"/>
      <c r="CU61" s="80"/>
      <c r="CV61" s="81"/>
      <c r="CW61" s="41"/>
      <c r="CX61" s="41"/>
      <c r="CY61" s="41"/>
      <c r="CZ61" s="16"/>
      <c r="DA61" s="16"/>
      <c r="DB61" s="16"/>
      <c r="DC61" s="16"/>
      <c r="DD61" s="16"/>
      <c r="DE61" s="16"/>
      <c r="DF61" s="16"/>
      <c r="DG61" s="16"/>
      <c r="DH61" s="16"/>
      <c r="DI61" s="80"/>
      <c r="DJ61" s="81"/>
      <c r="DK61" s="41"/>
      <c r="DL61" s="41"/>
      <c r="DM61" s="41"/>
      <c r="DN61" s="16"/>
      <c r="DO61" s="16"/>
      <c r="DP61" s="16"/>
      <c r="DQ61" s="16"/>
      <c r="DR61" s="16"/>
      <c r="DS61" s="16"/>
      <c r="DT61" s="16"/>
      <c r="DU61" s="16"/>
      <c r="DV61" s="16"/>
      <c r="DW61" s="80"/>
      <c r="DX61" s="81"/>
      <c r="DY61" s="41"/>
      <c r="DZ61" s="41"/>
      <c r="EA61" s="41"/>
      <c r="EB61" s="16"/>
      <c r="EC61" s="16"/>
      <c r="ED61" s="16"/>
      <c r="EE61" s="16"/>
      <c r="EF61" s="16"/>
      <c r="EG61" s="16"/>
      <c r="EH61" s="16"/>
      <c r="EI61" s="16"/>
      <c r="EJ61" s="16"/>
      <c r="EK61" s="80"/>
      <c r="EL61" s="81"/>
      <c r="EM61" s="16"/>
      <c r="EN61" s="16"/>
      <c r="EO61" s="16"/>
      <c r="EP61" s="16"/>
      <c r="EQ61" s="16"/>
      <c r="ER61" s="16"/>
      <c r="ES61" s="16"/>
      <c r="ET61" s="16"/>
      <c r="EU61" s="16"/>
      <c r="EV61" s="16"/>
      <c r="EW61" s="16"/>
      <c r="EX61" s="16"/>
      <c r="EY61" s="80"/>
      <c r="EZ61" s="81"/>
      <c r="FA61" s="16"/>
      <c r="FB61" s="16"/>
      <c r="FC61" s="16"/>
      <c r="FD61" s="16"/>
      <c r="FE61" s="16"/>
      <c r="FF61" s="16"/>
      <c r="FG61" s="16"/>
      <c r="FH61" s="16"/>
      <c r="FI61" s="16"/>
      <c r="FJ61" s="16"/>
      <c r="FK61" s="16"/>
      <c r="FM61" s="80"/>
      <c r="FN61" s="81"/>
      <c r="FO61" s="16"/>
      <c r="FP61" s="16"/>
      <c r="FQ61" s="16"/>
      <c r="FR61" s="16"/>
      <c r="FS61" s="16"/>
      <c r="FT61" s="16"/>
      <c r="FU61" s="16"/>
      <c r="FV61" s="16"/>
      <c r="FW61" s="16"/>
      <c r="FX61" s="16"/>
      <c r="FY61" s="16"/>
      <c r="GA61" s="80"/>
      <c r="GB61" s="81"/>
      <c r="GC61" s="16"/>
      <c r="GD61" s="16"/>
      <c r="GE61" s="16"/>
      <c r="GF61" s="16"/>
      <c r="GG61" s="16"/>
      <c r="GH61" s="16"/>
      <c r="GI61" s="16"/>
      <c r="GJ61" s="16"/>
      <c r="GK61" s="16"/>
      <c r="GL61" s="16"/>
      <c r="GM61" s="16"/>
    </row>
    <row r="62" spans="1:195" s="18" customFormat="1" ht="15" customHeight="1">
      <c r="A62" s="78">
        <v>1997</v>
      </c>
      <c r="B62" s="79" t="s">
        <v>44</v>
      </c>
      <c r="C62" s="15">
        <f t="shared" si="2"/>
        <v>0.96641656120050623</v>
      </c>
      <c r="D62" s="15">
        <f t="shared" si="3"/>
        <v>0.97509919277602952</v>
      </c>
      <c r="E62" s="15">
        <f t="shared" si="4"/>
        <v>0.99109564274091488</v>
      </c>
      <c r="F62" s="16"/>
      <c r="G62" s="33"/>
      <c r="H62" s="16">
        <v>22124</v>
      </c>
      <c r="I62" s="16">
        <f t="shared" si="11"/>
        <v>197</v>
      </c>
      <c r="J62" s="16">
        <v>21927</v>
      </c>
      <c r="K62" s="16">
        <v>21381</v>
      </c>
      <c r="L62" s="16">
        <f t="shared" si="12"/>
        <v>546</v>
      </c>
      <c r="M62" s="16"/>
      <c r="N62" s="16"/>
      <c r="O62" s="78"/>
      <c r="P62" s="79"/>
      <c r="Q62" s="41"/>
      <c r="R62" s="41"/>
      <c r="S62" s="41"/>
      <c r="T62" s="16"/>
      <c r="U62" s="16"/>
      <c r="V62" s="16"/>
      <c r="W62" s="16"/>
      <c r="X62" s="16"/>
      <c r="Y62" s="16"/>
      <c r="Z62" s="16"/>
      <c r="AA62" s="16"/>
      <c r="AB62" s="16"/>
      <c r="AC62" s="78"/>
      <c r="AD62" s="79"/>
      <c r="AE62" s="41"/>
      <c r="AF62" s="41"/>
      <c r="AG62" s="41"/>
      <c r="AH62" s="41"/>
      <c r="AI62" s="41"/>
      <c r="AJ62" s="16"/>
      <c r="AK62" s="16"/>
      <c r="AL62" s="16"/>
      <c r="AM62" s="16"/>
      <c r="AN62" s="16"/>
      <c r="AO62" s="16"/>
      <c r="AP62" s="16"/>
      <c r="AQ62" s="78"/>
      <c r="AR62" s="79"/>
      <c r="AS62" s="41"/>
      <c r="AT62" s="41"/>
      <c r="AU62" s="41"/>
      <c r="AV62" s="16"/>
      <c r="AW62" s="16"/>
      <c r="AX62" s="16"/>
      <c r="AY62" s="16"/>
      <c r="AZ62" s="16"/>
      <c r="BA62" s="16"/>
      <c r="BB62" s="16"/>
      <c r="BC62" s="16"/>
      <c r="BD62" s="16"/>
      <c r="BE62" s="78"/>
      <c r="BF62" s="79"/>
      <c r="BG62" s="41"/>
      <c r="BH62" s="41"/>
      <c r="BI62" s="41"/>
      <c r="BJ62" s="16"/>
      <c r="BK62" s="16"/>
      <c r="BL62" s="16"/>
      <c r="BM62" s="16"/>
      <c r="BN62" s="16"/>
      <c r="BO62" s="16"/>
      <c r="BP62" s="16"/>
      <c r="BQ62" s="16"/>
      <c r="BR62" s="16"/>
      <c r="BS62" s="78"/>
      <c r="BT62" s="79"/>
      <c r="BU62" s="41"/>
      <c r="BV62" s="41"/>
      <c r="BW62" s="41"/>
      <c r="BX62" s="16"/>
      <c r="BY62" s="16"/>
      <c r="BZ62" s="16"/>
      <c r="CA62" s="16"/>
      <c r="CB62" s="16"/>
      <c r="CC62" s="16"/>
      <c r="CD62" s="16"/>
      <c r="CE62" s="16"/>
      <c r="CF62" s="16"/>
      <c r="CG62" s="78"/>
      <c r="CH62" s="79"/>
      <c r="CI62" s="41"/>
      <c r="CJ62" s="41"/>
      <c r="CK62" s="41"/>
      <c r="CL62" s="16"/>
      <c r="CM62" s="16"/>
      <c r="CN62" s="16"/>
      <c r="CO62" s="16"/>
      <c r="CP62" s="16"/>
      <c r="CQ62" s="16"/>
      <c r="CR62" s="16"/>
      <c r="CS62" s="16"/>
      <c r="CT62" s="16"/>
      <c r="CU62" s="78"/>
      <c r="CV62" s="79"/>
      <c r="CW62" s="41"/>
      <c r="CX62" s="41"/>
      <c r="CY62" s="41"/>
      <c r="CZ62" s="16"/>
      <c r="DA62" s="16"/>
      <c r="DB62" s="16"/>
      <c r="DC62" s="16"/>
      <c r="DD62" s="16"/>
      <c r="DE62" s="16"/>
      <c r="DF62" s="16"/>
      <c r="DG62" s="16"/>
      <c r="DH62" s="16"/>
      <c r="DI62" s="78"/>
      <c r="DJ62" s="79"/>
      <c r="DK62" s="41"/>
      <c r="DL62" s="41"/>
      <c r="DM62" s="41"/>
      <c r="DN62" s="16"/>
      <c r="DO62" s="16"/>
      <c r="DP62" s="16"/>
      <c r="DQ62" s="16"/>
      <c r="DR62" s="16"/>
      <c r="DS62" s="16"/>
      <c r="DT62" s="16"/>
      <c r="DU62" s="16"/>
      <c r="DV62" s="16"/>
      <c r="DW62" s="78"/>
      <c r="DX62" s="79"/>
      <c r="DY62" s="41"/>
      <c r="DZ62" s="41"/>
      <c r="EA62" s="41"/>
      <c r="EB62" s="16"/>
      <c r="EC62" s="16"/>
      <c r="ED62" s="16"/>
      <c r="EE62" s="16"/>
      <c r="EF62" s="16"/>
      <c r="EG62" s="16"/>
      <c r="EH62" s="16"/>
      <c r="EI62" s="16"/>
      <c r="EJ62" s="16"/>
      <c r="EK62" s="78"/>
      <c r="EL62" s="79"/>
      <c r="EM62" s="16"/>
      <c r="EN62" s="16"/>
      <c r="EO62" s="16"/>
      <c r="EP62" s="16"/>
      <c r="EQ62" s="16"/>
      <c r="ER62" s="16"/>
      <c r="ES62" s="16"/>
      <c r="ET62" s="16"/>
      <c r="EU62" s="16"/>
      <c r="EV62" s="16"/>
      <c r="EW62" s="16"/>
      <c r="EX62" s="16"/>
      <c r="EY62" s="78"/>
      <c r="EZ62" s="79"/>
      <c r="FA62" s="16"/>
      <c r="FB62" s="16"/>
      <c r="FC62" s="16"/>
      <c r="FD62" s="16"/>
      <c r="FE62" s="16"/>
      <c r="FF62" s="16"/>
      <c r="FG62" s="16"/>
      <c r="FH62" s="16"/>
      <c r="FI62" s="16"/>
      <c r="FJ62" s="16"/>
      <c r="FK62" s="16"/>
      <c r="FM62" s="78"/>
      <c r="FN62" s="79"/>
      <c r="FO62" s="16"/>
      <c r="FP62" s="16"/>
      <c r="FQ62" s="16"/>
      <c r="FR62" s="16"/>
      <c r="FS62" s="16"/>
      <c r="FT62" s="16"/>
      <c r="FU62" s="16"/>
      <c r="FV62" s="16"/>
      <c r="FW62" s="16"/>
      <c r="FX62" s="16"/>
      <c r="FY62" s="16"/>
      <c r="GA62" s="78"/>
      <c r="GB62" s="79"/>
      <c r="GC62" s="16"/>
      <c r="GD62" s="16"/>
      <c r="GE62" s="16"/>
      <c r="GF62" s="16"/>
      <c r="GG62" s="16"/>
      <c r="GH62" s="16"/>
      <c r="GI62" s="16"/>
      <c r="GJ62" s="16"/>
      <c r="GK62" s="16"/>
      <c r="GL62" s="16"/>
      <c r="GM62" s="16"/>
    </row>
    <row r="63" spans="1:195" s="18" customFormat="1" ht="15" customHeight="1">
      <c r="A63" s="80">
        <v>1997</v>
      </c>
      <c r="B63" s="81" t="s">
        <v>45</v>
      </c>
      <c r="C63" s="15">
        <f t="shared" si="2"/>
        <v>0.96849261341351811</v>
      </c>
      <c r="D63" s="15">
        <f t="shared" si="3"/>
        <v>0.97285939415163725</v>
      </c>
      <c r="E63" s="15">
        <f t="shared" si="4"/>
        <v>0.99551139582516235</v>
      </c>
      <c r="F63" s="16"/>
      <c r="G63" s="33"/>
      <c r="H63" s="16">
        <v>22947</v>
      </c>
      <c r="I63" s="16">
        <f t="shared" si="11"/>
        <v>103</v>
      </c>
      <c r="J63" s="16">
        <v>22844</v>
      </c>
      <c r="K63" s="16">
        <v>22224</v>
      </c>
      <c r="L63" s="16">
        <f t="shared" si="12"/>
        <v>620</v>
      </c>
      <c r="M63" s="16"/>
      <c r="N63" s="16"/>
      <c r="O63" s="80"/>
      <c r="P63" s="81"/>
      <c r="Q63" s="41"/>
      <c r="R63" s="41"/>
      <c r="S63" s="41"/>
      <c r="T63" s="16"/>
      <c r="U63" s="16"/>
      <c r="V63" s="16"/>
      <c r="W63" s="16"/>
      <c r="X63" s="16"/>
      <c r="Y63" s="16"/>
      <c r="Z63" s="16"/>
      <c r="AA63" s="16"/>
      <c r="AB63" s="16"/>
      <c r="AC63" s="80"/>
      <c r="AD63" s="81"/>
      <c r="AE63" s="41"/>
      <c r="AF63" s="41"/>
      <c r="AG63" s="41"/>
      <c r="AH63" s="41"/>
      <c r="AI63" s="41"/>
      <c r="AJ63" s="16"/>
      <c r="AK63" s="16"/>
      <c r="AL63" s="16"/>
      <c r="AM63" s="16"/>
      <c r="AN63" s="16"/>
      <c r="AO63" s="16"/>
      <c r="AP63" s="16"/>
      <c r="AQ63" s="80"/>
      <c r="AR63" s="81"/>
      <c r="AS63" s="41"/>
      <c r="AT63" s="41"/>
      <c r="AU63" s="41"/>
      <c r="AV63" s="16"/>
      <c r="AW63" s="16"/>
      <c r="AX63" s="16"/>
      <c r="AY63" s="16"/>
      <c r="AZ63" s="16"/>
      <c r="BA63" s="16"/>
      <c r="BB63" s="16"/>
      <c r="BC63" s="16"/>
      <c r="BD63" s="16"/>
      <c r="BE63" s="80"/>
      <c r="BF63" s="81"/>
      <c r="BG63" s="41"/>
      <c r="BH63" s="41"/>
      <c r="BI63" s="41"/>
      <c r="BJ63" s="16"/>
      <c r="BK63" s="16"/>
      <c r="BL63" s="16"/>
      <c r="BM63" s="16"/>
      <c r="BN63" s="16"/>
      <c r="BO63" s="16"/>
      <c r="BP63" s="16"/>
      <c r="BQ63" s="16"/>
      <c r="BR63" s="16"/>
      <c r="BS63" s="80"/>
      <c r="BT63" s="81"/>
      <c r="BU63" s="41"/>
      <c r="BV63" s="41"/>
      <c r="BW63" s="41"/>
      <c r="BX63" s="16"/>
      <c r="BY63" s="16"/>
      <c r="BZ63" s="16"/>
      <c r="CA63" s="16"/>
      <c r="CB63" s="16"/>
      <c r="CC63" s="16"/>
      <c r="CD63" s="16"/>
      <c r="CE63" s="16"/>
      <c r="CF63" s="16"/>
      <c r="CG63" s="80"/>
      <c r="CH63" s="81"/>
      <c r="CI63" s="41"/>
      <c r="CJ63" s="41"/>
      <c r="CK63" s="41"/>
      <c r="CL63" s="16"/>
      <c r="CM63" s="16"/>
      <c r="CN63" s="16"/>
      <c r="CO63" s="16"/>
      <c r="CP63" s="16"/>
      <c r="CQ63" s="16"/>
      <c r="CR63" s="16"/>
      <c r="CS63" s="16"/>
      <c r="CT63" s="16"/>
      <c r="CU63" s="80"/>
      <c r="CV63" s="81"/>
      <c r="CW63" s="41"/>
      <c r="CX63" s="41"/>
      <c r="CY63" s="41"/>
      <c r="CZ63" s="16"/>
      <c r="DA63" s="16"/>
      <c r="DB63" s="16"/>
      <c r="DC63" s="16"/>
      <c r="DD63" s="16"/>
      <c r="DE63" s="16"/>
      <c r="DF63" s="16"/>
      <c r="DG63" s="16"/>
      <c r="DH63" s="16"/>
      <c r="DI63" s="80"/>
      <c r="DJ63" s="81"/>
      <c r="DK63" s="41"/>
      <c r="DL63" s="41"/>
      <c r="DM63" s="41"/>
      <c r="DN63" s="16"/>
      <c r="DO63" s="16"/>
      <c r="DP63" s="16"/>
      <c r="DQ63" s="16"/>
      <c r="DR63" s="16"/>
      <c r="DS63" s="16"/>
      <c r="DT63" s="16"/>
      <c r="DU63" s="16"/>
      <c r="DV63" s="16"/>
      <c r="DW63" s="80"/>
      <c r="DX63" s="81"/>
      <c r="DY63" s="41"/>
      <c r="DZ63" s="41"/>
      <c r="EA63" s="41"/>
      <c r="EB63" s="16"/>
      <c r="EC63" s="16"/>
      <c r="ED63" s="16"/>
      <c r="EE63" s="16"/>
      <c r="EF63" s="16"/>
      <c r="EG63" s="16"/>
      <c r="EH63" s="16"/>
      <c r="EI63" s="16"/>
      <c r="EJ63" s="16"/>
      <c r="EK63" s="80"/>
      <c r="EL63" s="81"/>
      <c r="EM63" s="16"/>
      <c r="EN63" s="16"/>
      <c r="EO63" s="16"/>
      <c r="EP63" s="16"/>
      <c r="EQ63" s="16"/>
      <c r="ER63" s="16"/>
      <c r="ES63" s="16"/>
      <c r="ET63" s="16"/>
      <c r="EU63" s="16"/>
      <c r="EV63" s="16"/>
      <c r="EW63" s="16"/>
      <c r="EX63" s="16"/>
      <c r="EY63" s="80"/>
      <c r="EZ63" s="81"/>
      <c r="FA63" s="16"/>
      <c r="FB63" s="16"/>
      <c r="FC63" s="16"/>
      <c r="FD63" s="16"/>
      <c r="FE63" s="16"/>
      <c r="FF63" s="16"/>
      <c r="FG63" s="16"/>
      <c r="FH63" s="16"/>
      <c r="FI63" s="16"/>
      <c r="FJ63" s="16"/>
      <c r="FK63" s="16"/>
      <c r="FM63" s="80"/>
      <c r="FN63" s="81"/>
      <c r="FO63" s="16"/>
      <c r="FP63" s="16"/>
      <c r="FQ63" s="16"/>
      <c r="FR63" s="16"/>
      <c r="FS63" s="16"/>
      <c r="FT63" s="16"/>
      <c r="FU63" s="16"/>
      <c r="FV63" s="16"/>
      <c r="FW63" s="16"/>
      <c r="FX63" s="16"/>
      <c r="FY63" s="16"/>
      <c r="GA63" s="80"/>
      <c r="GB63" s="81"/>
      <c r="GC63" s="16"/>
      <c r="GD63" s="16"/>
      <c r="GE63" s="16"/>
      <c r="GF63" s="16"/>
      <c r="GG63" s="16"/>
      <c r="GH63" s="16"/>
      <c r="GI63" s="16"/>
      <c r="GJ63" s="16"/>
      <c r="GK63" s="16"/>
      <c r="GL63" s="16"/>
      <c r="GM63" s="16"/>
    </row>
    <row r="64" spans="1:195" s="18" customFormat="1" ht="15" customHeight="1">
      <c r="A64" s="78">
        <v>1997</v>
      </c>
      <c r="B64" s="79" t="s">
        <v>46</v>
      </c>
      <c r="C64" s="15">
        <f t="shared" si="2"/>
        <v>0.95339120746483452</v>
      </c>
      <c r="D64" s="15">
        <f t="shared" si="3"/>
        <v>0.96463128229215589</v>
      </c>
      <c r="E64" s="15">
        <f t="shared" si="4"/>
        <v>0.98834780186620863</v>
      </c>
      <c r="F64" s="16"/>
      <c r="G64" s="33"/>
      <c r="H64" s="16">
        <v>21541</v>
      </c>
      <c r="I64" s="16">
        <f t="shared" si="11"/>
        <v>251</v>
      </c>
      <c r="J64" s="16">
        <v>21290</v>
      </c>
      <c r="K64" s="16">
        <v>20537</v>
      </c>
      <c r="L64" s="16">
        <f t="shared" si="12"/>
        <v>753</v>
      </c>
      <c r="M64" s="16"/>
      <c r="N64" s="16"/>
      <c r="O64" s="78"/>
      <c r="P64" s="79"/>
      <c r="Q64" s="41"/>
      <c r="R64" s="41"/>
      <c r="S64" s="41"/>
      <c r="T64" s="16"/>
      <c r="U64" s="16"/>
      <c r="V64" s="16"/>
      <c r="W64" s="16"/>
      <c r="X64" s="16"/>
      <c r="Y64" s="16"/>
      <c r="Z64" s="16"/>
      <c r="AA64" s="16"/>
      <c r="AB64" s="16"/>
      <c r="AC64" s="78"/>
      <c r="AD64" s="79"/>
      <c r="AE64" s="41"/>
      <c r="AF64" s="41"/>
      <c r="AG64" s="41"/>
      <c r="AH64" s="41"/>
      <c r="AI64" s="41"/>
      <c r="AJ64" s="16"/>
      <c r="AK64" s="16"/>
      <c r="AL64" s="16"/>
      <c r="AM64" s="16"/>
      <c r="AN64" s="16"/>
      <c r="AO64" s="16"/>
      <c r="AP64" s="16"/>
      <c r="AQ64" s="78"/>
      <c r="AR64" s="79"/>
      <c r="AS64" s="41"/>
      <c r="AT64" s="41"/>
      <c r="AU64" s="41"/>
      <c r="AV64" s="16"/>
      <c r="AW64" s="16"/>
      <c r="AX64" s="16"/>
      <c r="AY64" s="16"/>
      <c r="AZ64" s="16"/>
      <c r="BA64" s="16"/>
      <c r="BB64" s="16"/>
      <c r="BC64" s="16"/>
      <c r="BD64" s="16"/>
      <c r="BE64" s="78"/>
      <c r="BF64" s="79"/>
      <c r="BG64" s="41"/>
      <c r="BH64" s="41"/>
      <c r="BI64" s="41"/>
      <c r="BJ64" s="16"/>
      <c r="BK64" s="16"/>
      <c r="BL64" s="16"/>
      <c r="BM64" s="16"/>
      <c r="BN64" s="16"/>
      <c r="BO64" s="16"/>
      <c r="BP64" s="16"/>
      <c r="BQ64" s="16"/>
      <c r="BR64" s="16"/>
      <c r="BS64" s="78"/>
      <c r="BT64" s="79"/>
      <c r="BU64" s="41"/>
      <c r="BV64" s="41"/>
      <c r="BW64" s="41"/>
      <c r="BX64" s="16"/>
      <c r="BY64" s="16"/>
      <c r="BZ64" s="16"/>
      <c r="CA64" s="16"/>
      <c r="CB64" s="16"/>
      <c r="CC64" s="16"/>
      <c r="CD64" s="16"/>
      <c r="CE64" s="16"/>
      <c r="CF64" s="16"/>
      <c r="CG64" s="78"/>
      <c r="CH64" s="79"/>
      <c r="CI64" s="41"/>
      <c r="CJ64" s="41"/>
      <c r="CK64" s="41"/>
      <c r="CL64" s="16"/>
      <c r="CM64" s="16"/>
      <c r="CN64" s="16"/>
      <c r="CO64" s="16"/>
      <c r="CP64" s="16"/>
      <c r="CQ64" s="16"/>
      <c r="CR64" s="16"/>
      <c r="CS64" s="16"/>
      <c r="CT64" s="16"/>
      <c r="CU64" s="78"/>
      <c r="CV64" s="79"/>
      <c r="CW64" s="41"/>
      <c r="CX64" s="41"/>
      <c r="CY64" s="41"/>
      <c r="CZ64" s="16"/>
      <c r="DA64" s="16"/>
      <c r="DB64" s="16"/>
      <c r="DC64" s="16"/>
      <c r="DD64" s="16"/>
      <c r="DE64" s="16"/>
      <c r="DF64" s="16"/>
      <c r="DG64" s="16"/>
      <c r="DH64" s="16"/>
      <c r="DI64" s="78"/>
      <c r="DJ64" s="79"/>
      <c r="DK64" s="41"/>
      <c r="DL64" s="41"/>
      <c r="DM64" s="41"/>
      <c r="DN64" s="16"/>
      <c r="DO64" s="16"/>
      <c r="DP64" s="16"/>
      <c r="DQ64" s="16"/>
      <c r="DR64" s="16"/>
      <c r="DS64" s="16"/>
      <c r="DT64" s="16"/>
      <c r="DU64" s="16"/>
      <c r="DV64" s="16"/>
      <c r="DW64" s="78"/>
      <c r="DX64" s="79"/>
      <c r="DY64" s="41"/>
      <c r="DZ64" s="41"/>
      <c r="EA64" s="41"/>
      <c r="EB64" s="16"/>
      <c r="EC64" s="16"/>
      <c r="ED64" s="16"/>
      <c r="EE64" s="16"/>
      <c r="EF64" s="16"/>
      <c r="EG64" s="16"/>
      <c r="EH64" s="16"/>
      <c r="EI64" s="16"/>
      <c r="EJ64" s="16"/>
      <c r="EK64" s="78"/>
      <c r="EL64" s="79"/>
      <c r="EM64" s="16"/>
      <c r="EN64" s="16"/>
      <c r="EO64" s="16"/>
      <c r="EP64" s="16"/>
      <c r="EQ64" s="16"/>
      <c r="ER64" s="16"/>
      <c r="ES64" s="16"/>
      <c r="ET64" s="16"/>
      <c r="EU64" s="16"/>
      <c r="EV64" s="16"/>
      <c r="EW64" s="16"/>
      <c r="EX64" s="16"/>
      <c r="EY64" s="78"/>
      <c r="EZ64" s="79"/>
      <c r="FA64" s="16"/>
      <c r="FB64" s="16"/>
      <c r="FC64" s="16"/>
      <c r="FD64" s="16"/>
      <c r="FE64" s="16"/>
      <c r="FF64" s="16"/>
      <c r="FG64" s="16"/>
      <c r="FH64" s="16"/>
      <c r="FI64" s="16"/>
      <c r="FJ64" s="16"/>
      <c r="FK64" s="16"/>
      <c r="FM64" s="78"/>
      <c r="FN64" s="79"/>
      <c r="FO64" s="16"/>
      <c r="FP64" s="16"/>
      <c r="FQ64" s="16"/>
      <c r="FR64" s="16"/>
      <c r="FS64" s="16"/>
      <c r="FT64" s="16"/>
      <c r="FU64" s="16"/>
      <c r="FV64" s="16"/>
      <c r="FW64" s="16"/>
      <c r="FX64" s="16"/>
      <c r="FY64" s="16"/>
      <c r="GA64" s="78"/>
      <c r="GB64" s="79"/>
      <c r="GC64" s="16"/>
      <c r="GD64" s="16"/>
      <c r="GE64" s="16"/>
      <c r="GF64" s="16"/>
      <c r="GG64" s="16"/>
      <c r="GH64" s="16"/>
      <c r="GI64" s="16"/>
      <c r="GJ64" s="16"/>
      <c r="GK64" s="16"/>
      <c r="GL64" s="16"/>
      <c r="GM64" s="16"/>
    </row>
    <row r="65" spans="1:195" s="18" customFormat="1" ht="15" customHeight="1">
      <c r="A65" s="80">
        <v>1997</v>
      </c>
      <c r="B65" s="81" t="s">
        <v>47</v>
      </c>
      <c r="C65" s="15">
        <f t="shared" si="2"/>
        <v>0.95513428120063193</v>
      </c>
      <c r="D65" s="15">
        <f t="shared" si="3"/>
        <v>0.97831715210355985</v>
      </c>
      <c r="E65" s="15">
        <f t="shared" si="4"/>
        <v>0.976303317535545</v>
      </c>
      <c r="F65" s="16"/>
      <c r="G65" s="33"/>
      <c r="H65" s="16">
        <v>22155</v>
      </c>
      <c r="I65" s="16">
        <f t="shared" si="11"/>
        <v>525</v>
      </c>
      <c r="J65" s="16">
        <v>21630</v>
      </c>
      <c r="K65" s="16">
        <v>21161</v>
      </c>
      <c r="L65" s="16">
        <f t="shared" si="12"/>
        <v>469</v>
      </c>
      <c r="M65" s="16"/>
      <c r="N65" s="16"/>
      <c r="O65" s="80"/>
      <c r="P65" s="81"/>
      <c r="Q65" s="41"/>
      <c r="R65" s="41"/>
      <c r="S65" s="41"/>
      <c r="T65" s="16"/>
      <c r="U65" s="16"/>
      <c r="V65" s="16"/>
      <c r="W65" s="16"/>
      <c r="X65" s="16"/>
      <c r="Y65" s="16"/>
      <c r="Z65" s="16"/>
      <c r="AA65" s="16"/>
      <c r="AB65" s="16"/>
      <c r="AC65" s="80"/>
      <c r="AD65" s="81"/>
      <c r="AE65" s="41"/>
      <c r="AF65" s="41"/>
      <c r="AG65" s="41"/>
      <c r="AH65" s="41"/>
      <c r="AI65" s="41"/>
      <c r="AJ65" s="16"/>
      <c r="AK65" s="16"/>
      <c r="AL65" s="16"/>
      <c r="AM65" s="16"/>
      <c r="AN65" s="16"/>
      <c r="AO65" s="16"/>
      <c r="AP65" s="16"/>
      <c r="AQ65" s="80"/>
      <c r="AR65" s="81"/>
      <c r="AS65" s="41"/>
      <c r="AT65" s="41"/>
      <c r="AU65" s="41"/>
      <c r="AV65" s="16"/>
      <c r="AW65" s="16"/>
      <c r="AX65" s="16"/>
      <c r="AY65" s="16"/>
      <c r="AZ65" s="16"/>
      <c r="BA65" s="16"/>
      <c r="BB65" s="16"/>
      <c r="BC65" s="16"/>
      <c r="BD65" s="16"/>
      <c r="BE65" s="80"/>
      <c r="BF65" s="81"/>
      <c r="BG65" s="41"/>
      <c r="BH65" s="41"/>
      <c r="BI65" s="41"/>
      <c r="BJ65" s="16"/>
      <c r="BK65" s="16"/>
      <c r="BL65" s="16"/>
      <c r="BM65" s="16"/>
      <c r="BN65" s="16"/>
      <c r="BO65" s="16"/>
      <c r="BP65" s="16"/>
      <c r="BQ65" s="16"/>
      <c r="BR65" s="16"/>
      <c r="BS65" s="80"/>
      <c r="BT65" s="81"/>
      <c r="BU65" s="41"/>
      <c r="BV65" s="41"/>
      <c r="BW65" s="41"/>
      <c r="BX65" s="16"/>
      <c r="BY65" s="16"/>
      <c r="BZ65" s="16"/>
      <c r="CA65" s="16"/>
      <c r="CB65" s="16"/>
      <c r="CC65" s="16"/>
      <c r="CD65" s="16"/>
      <c r="CE65" s="16"/>
      <c r="CF65" s="16"/>
      <c r="CG65" s="80"/>
      <c r="CH65" s="81"/>
      <c r="CI65" s="41"/>
      <c r="CJ65" s="41"/>
      <c r="CK65" s="41"/>
      <c r="CL65" s="16"/>
      <c r="CM65" s="16"/>
      <c r="CN65" s="16"/>
      <c r="CO65" s="16"/>
      <c r="CP65" s="16"/>
      <c r="CQ65" s="16"/>
      <c r="CR65" s="16"/>
      <c r="CS65" s="16"/>
      <c r="CT65" s="16"/>
      <c r="CU65" s="80"/>
      <c r="CV65" s="81"/>
      <c r="CW65" s="41"/>
      <c r="CX65" s="41"/>
      <c r="CY65" s="41"/>
      <c r="CZ65" s="16"/>
      <c r="DA65" s="16"/>
      <c r="DB65" s="16"/>
      <c r="DC65" s="16"/>
      <c r="DD65" s="16"/>
      <c r="DE65" s="16"/>
      <c r="DF65" s="16"/>
      <c r="DG65" s="16"/>
      <c r="DH65" s="16"/>
      <c r="DI65" s="80"/>
      <c r="DJ65" s="81"/>
      <c r="DK65" s="41"/>
      <c r="DL65" s="41"/>
      <c r="DM65" s="41"/>
      <c r="DN65" s="16"/>
      <c r="DO65" s="16"/>
      <c r="DP65" s="16"/>
      <c r="DQ65" s="16"/>
      <c r="DR65" s="16"/>
      <c r="DS65" s="16"/>
      <c r="DT65" s="16"/>
      <c r="DU65" s="16"/>
      <c r="DV65" s="16"/>
      <c r="DW65" s="80"/>
      <c r="DX65" s="81"/>
      <c r="DY65" s="41"/>
      <c r="DZ65" s="41"/>
      <c r="EA65" s="41"/>
      <c r="EB65" s="16"/>
      <c r="EC65" s="16"/>
      <c r="ED65" s="16"/>
      <c r="EE65" s="16"/>
      <c r="EF65" s="16"/>
      <c r="EG65" s="16"/>
      <c r="EH65" s="16"/>
      <c r="EI65" s="16"/>
      <c r="EJ65" s="16"/>
      <c r="EK65" s="80"/>
      <c r="EL65" s="81"/>
      <c r="EM65" s="16"/>
      <c r="EN65" s="16"/>
      <c r="EO65" s="16"/>
      <c r="EP65" s="16"/>
      <c r="EQ65" s="16"/>
      <c r="ER65" s="16"/>
      <c r="ES65" s="16"/>
      <c r="ET65" s="16"/>
      <c r="EU65" s="16"/>
      <c r="EV65" s="16"/>
      <c r="EW65" s="16"/>
      <c r="EX65" s="16"/>
      <c r="EY65" s="80"/>
      <c r="EZ65" s="81"/>
      <c r="FA65" s="16"/>
      <c r="FB65" s="16"/>
      <c r="FC65" s="16"/>
      <c r="FD65" s="16"/>
      <c r="FE65" s="16"/>
      <c r="FF65" s="16"/>
      <c r="FG65" s="16"/>
      <c r="FH65" s="16"/>
      <c r="FI65" s="16"/>
      <c r="FJ65" s="16"/>
      <c r="FK65" s="16"/>
      <c r="FM65" s="80"/>
      <c r="FN65" s="81"/>
      <c r="FO65" s="16"/>
      <c r="FP65" s="16"/>
      <c r="FQ65" s="16"/>
      <c r="FR65" s="16"/>
      <c r="FS65" s="16"/>
      <c r="FT65" s="16"/>
      <c r="FU65" s="16"/>
      <c r="FV65" s="16"/>
      <c r="FW65" s="16"/>
      <c r="FX65" s="16"/>
      <c r="FY65" s="16"/>
      <c r="GA65" s="80"/>
      <c r="GB65" s="81"/>
      <c r="GC65" s="16"/>
      <c r="GD65" s="16"/>
      <c r="GE65" s="16"/>
      <c r="GF65" s="16"/>
      <c r="GG65" s="16"/>
      <c r="GH65" s="16"/>
      <c r="GI65" s="16"/>
      <c r="GJ65" s="16"/>
      <c r="GK65" s="16"/>
      <c r="GL65" s="16"/>
      <c r="GM65" s="16"/>
    </row>
    <row r="66" spans="1:195" s="18" customFormat="1" ht="15" customHeight="1">
      <c r="A66" s="78">
        <v>1998</v>
      </c>
      <c r="B66" s="79" t="s">
        <v>36</v>
      </c>
      <c r="C66" s="15">
        <f t="shared" si="2"/>
        <v>0.97008509129586951</v>
      </c>
      <c r="D66" s="15">
        <f t="shared" si="3"/>
        <v>0.97518488817606697</v>
      </c>
      <c r="E66" s="15">
        <f t="shared" si="4"/>
        <v>0.9947704307746853</v>
      </c>
      <c r="F66" s="16"/>
      <c r="G66" s="33"/>
      <c r="H66" s="16">
        <v>22564</v>
      </c>
      <c r="I66" s="16">
        <f t="shared" ref="I66:I77" si="13">H66-J66</f>
        <v>118</v>
      </c>
      <c r="J66" s="16">
        <v>22446</v>
      </c>
      <c r="K66" s="16">
        <v>21889</v>
      </c>
      <c r="L66" s="16">
        <f t="shared" ref="L66:L77" si="14">J66-K66</f>
        <v>557</v>
      </c>
      <c r="M66" s="16"/>
      <c r="N66" s="16"/>
      <c r="O66" s="78"/>
      <c r="P66" s="79"/>
      <c r="Q66" s="41"/>
      <c r="R66" s="41"/>
      <c r="S66" s="41"/>
      <c r="T66" s="16"/>
      <c r="U66" s="16"/>
      <c r="V66" s="16"/>
      <c r="W66" s="16"/>
      <c r="X66" s="16"/>
      <c r="Y66" s="16"/>
      <c r="Z66" s="16"/>
      <c r="AA66" s="16"/>
      <c r="AB66" s="16"/>
      <c r="AC66" s="78"/>
      <c r="AD66" s="79"/>
      <c r="AE66" s="41"/>
      <c r="AF66" s="41"/>
      <c r="AG66" s="41"/>
      <c r="AH66" s="41"/>
      <c r="AI66" s="41"/>
      <c r="AJ66" s="16"/>
      <c r="AK66" s="16"/>
      <c r="AL66" s="16"/>
      <c r="AM66" s="16"/>
      <c r="AN66" s="16"/>
      <c r="AO66" s="16"/>
      <c r="AP66" s="16"/>
      <c r="AQ66" s="78"/>
      <c r="AR66" s="79"/>
      <c r="AS66" s="41"/>
      <c r="AT66" s="41"/>
      <c r="AU66" s="41"/>
      <c r="AV66" s="16"/>
      <c r="AW66" s="16"/>
      <c r="AX66" s="16"/>
      <c r="AY66" s="16"/>
      <c r="AZ66" s="16"/>
      <c r="BA66" s="16"/>
      <c r="BB66" s="16"/>
      <c r="BC66" s="16"/>
      <c r="BD66" s="16"/>
      <c r="BE66" s="78"/>
      <c r="BF66" s="79"/>
      <c r="BG66" s="41"/>
      <c r="BH66" s="41"/>
      <c r="BI66" s="41"/>
      <c r="BJ66" s="16"/>
      <c r="BK66" s="16"/>
      <c r="BL66" s="16"/>
      <c r="BM66" s="16"/>
      <c r="BN66" s="16"/>
      <c r="BO66" s="16"/>
      <c r="BP66" s="16"/>
      <c r="BQ66" s="16"/>
      <c r="BR66" s="16"/>
      <c r="BS66" s="78"/>
      <c r="BT66" s="79"/>
      <c r="BU66" s="41"/>
      <c r="BV66" s="41"/>
      <c r="BW66" s="41"/>
      <c r="BX66" s="16"/>
      <c r="BY66" s="16"/>
      <c r="BZ66" s="16"/>
      <c r="CA66" s="16"/>
      <c r="CB66" s="16"/>
      <c r="CC66" s="16"/>
      <c r="CD66" s="16"/>
      <c r="CE66" s="16"/>
      <c r="CF66" s="16"/>
      <c r="CG66" s="78"/>
      <c r="CH66" s="79"/>
      <c r="CI66" s="41"/>
      <c r="CJ66" s="41"/>
      <c r="CK66" s="41"/>
      <c r="CL66" s="16"/>
      <c r="CM66" s="16"/>
      <c r="CN66" s="16"/>
      <c r="CO66" s="16"/>
      <c r="CP66" s="16"/>
      <c r="CQ66" s="16"/>
      <c r="CR66" s="16"/>
      <c r="CS66" s="16"/>
      <c r="CT66" s="16"/>
      <c r="CU66" s="78"/>
      <c r="CV66" s="79"/>
      <c r="CW66" s="41"/>
      <c r="CX66" s="41"/>
      <c r="CY66" s="41"/>
      <c r="CZ66" s="16"/>
      <c r="DA66" s="16"/>
      <c r="DB66" s="16"/>
      <c r="DC66" s="16"/>
      <c r="DD66" s="16"/>
      <c r="DE66" s="16"/>
      <c r="DF66" s="16"/>
      <c r="DG66" s="16"/>
      <c r="DH66" s="16"/>
      <c r="DI66" s="78"/>
      <c r="DJ66" s="79"/>
      <c r="DK66" s="41"/>
      <c r="DL66" s="41"/>
      <c r="DM66" s="41"/>
      <c r="DN66" s="16"/>
      <c r="DO66" s="16"/>
      <c r="DP66" s="16"/>
      <c r="DQ66" s="16"/>
      <c r="DR66" s="16"/>
      <c r="DS66" s="16"/>
      <c r="DT66" s="16"/>
      <c r="DU66" s="16"/>
      <c r="DV66" s="16"/>
      <c r="DW66" s="78"/>
      <c r="DX66" s="79"/>
      <c r="DY66" s="41"/>
      <c r="DZ66" s="41"/>
      <c r="EA66" s="41"/>
      <c r="EB66" s="16"/>
      <c r="EC66" s="16"/>
      <c r="ED66" s="16"/>
      <c r="EE66" s="16"/>
      <c r="EF66" s="16"/>
      <c r="EG66" s="16"/>
      <c r="EH66" s="16"/>
      <c r="EI66" s="16"/>
      <c r="EJ66" s="16"/>
      <c r="EK66" s="78"/>
      <c r="EL66" s="79"/>
      <c r="EM66" s="16"/>
      <c r="EN66" s="16"/>
      <c r="EO66" s="16"/>
      <c r="EP66" s="16"/>
      <c r="EQ66" s="16"/>
      <c r="ER66" s="16"/>
      <c r="ES66" s="16"/>
      <c r="ET66" s="16"/>
      <c r="EU66" s="16"/>
      <c r="EV66" s="16"/>
      <c r="EW66" s="16"/>
      <c r="EX66" s="16"/>
      <c r="EY66" s="78"/>
      <c r="EZ66" s="79"/>
      <c r="FA66" s="16"/>
      <c r="FB66" s="16"/>
      <c r="FC66" s="16"/>
      <c r="FD66" s="16"/>
      <c r="FE66" s="16"/>
      <c r="FF66" s="16"/>
      <c r="FG66" s="16"/>
      <c r="FH66" s="16"/>
      <c r="FI66" s="16"/>
      <c r="FJ66" s="16"/>
      <c r="FK66" s="16"/>
      <c r="FM66" s="78"/>
      <c r="FN66" s="79"/>
      <c r="FO66" s="16"/>
      <c r="FP66" s="16"/>
      <c r="FQ66" s="16"/>
      <c r="FR66" s="16"/>
      <c r="FS66" s="16"/>
      <c r="FT66" s="16"/>
      <c r="FU66" s="16"/>
      <c r="FV66" s="16"/>
      <c r="FW66" s="16"/>
      <c r="FX66" s="16"/>
      <c r="FY66" s="16"/>
      <c r="GA66" s="78"/>
      <c r="GB66" s="79"/>
      <c r="GC66" s="16"/>
      <c r="GD66" s="16"/>
      <c r="GE66" s="16"/>
      <c r="GF66" s="16"/>
      <c r="GG66" s="16"/>
      <c r="GH66" s="16"/>
      <c r="GI66" s="16"/>
      <c r="GJ66" s="16"/>
      <c r="GK66" s="16"/>
      <c r="GL66" s="16"/>
      <c r="GM66" s="16"/>
    </row>
    <row r="67" spans="1:195" s="18" customFormat="1" ht="15" customHeight="1">
      <c r="A67" s="80">
        <v>1998</v>
      </c>
      <c r="B67" s="81" t="s">
        <v>37</v>
      </c>
      <c r="C67" s="15">
        <f t="shared" si="2"/>
        <v>0.97524990388312183</v>
      </c>
      <c r="D67" s="15">
        <f t="shared" si="3"/>
        <v>0.97745773324984342</v>
      </c>
      <c r="E67" s="15">
        <f t="shared" si="4"/>
        <v>0.9977412533640907</v>
      </c>
      <c r="F67" s="16"/>
      <c r="G67" s="33"/>
      <c r="H67" s="16">
        <v>20808</v>
      </c>
      <c r="I67" s="16">
        <f t="shared" si="13"/>
        <v>47</v>
      </c>
      <c r="J67" s="16">
        <v>20761</v>
      </c>
      <c r="K67" s="16">
        <v>20293</v>
      </c>
      <c r="L67" s="16">
        <f t="shared" si="14"/>
        <v>468</v>
      </c>
      <c r="M67" s="16"/>
      <c r="N67" s="16"/>
      <c r="O67" s="80"/>
      <c r="P67" s="81"/>
      <c r="Q67" s="41"/>
      <c r="R67" s="41"/>
      <c r="S67" s="41"/>
      <c r="T67" s="16"/>
      <c r="U67" s="16"/>
      <c r="V67" s="16"/>
      <c r="W67" s="16"/>
      <c r="X67" s="16"/>
      <c r="Y67" s="16"/>
      <c r="Z67" s="16"/>
      <c r="AA67" s="16"/>
      <c r="AB67" s="16"/>
      <c r="AC67" s="80"/>
      <c r="AD67" s="81"/>
      <c r="AE67" s="41"/>
      <c r="AF67" s="41"/>
      <c r="AG67" s="41"/>
      <c r="AH67" s="41"/>
      <c r="AI67" s="41"/>
      <c r="AJ67" s="16"/>
      <c r="AK67" s="16"/>
      <c r="AL67" s="16"/>
      <c r="AM67" s="16"/>
      <c r="AN67" s="16"/>
      <c r="AO67" s="16"/>
      <c r="AP67" s="16"/>
      <c r="AQ67" s="80"/>
      <c r="AR67" s="81"/>
      <c r="AS67" s="41"/>
      <c r="AT67" s="41"/>
      <c r="AU67" s="41"/>
      <c r="AV67" s="16"/>
      <c r="AW67" s="16"/>
      <c r="AX67" s="16"/>
      <c r="AY67" s="16"/>
      <c r="AZ67" s="16"/>
      <c r="BA67" s="16"/>
      <c r="BB67" s="16"/>
      <c r="BC67" s="16"/>
      <c r="BD67" s="16"/>
      <c r="BE67" s="80"/>
      <c r="BF67" s="81"/>
      <c r="BG67" s="41"/>
      <c r="BH67" s="41"/>
      <c r="BI67" s="41"/>
      <c r="BJ67" s="16"/>
      <c r="BK67" s="16"/>
      <c r="BL67" s="16"/>
      <c r="BM67" s="16"/>
      <c r="BN67" s="16"/>
      <c r="BO67" s="16"/>
      <c r="BP67" s="16"/>
      <c r="BQ67" s="16"/>
      <c r="BR67" s="16"/>
      <c r="BS67" s="80"/>
      <c r="BT67" s="81"/>
      <c r="BU67" s="41"/>
      <c r="BV67" s="41"/>
      <c r="BW67" s="41"/>
      <c r="BX67" s="16"/>
      <c r="BY67" s="16"/>
      <c r="BZ67" s="16"/>
      <c r="CA67" s="16"/>
      <c r="CB67" s="16"/>
      <c r="CC67" s="16"/>
      <c r="CD67" s="16"/>
      <c r="CE67" s="16"/>
      <c r="CF67" s="16"/>
      <c r="CG67" s="80"/>
      <c r="CH67" s="81"/>
      <c r="CI67" s="41"/>
      <c r="CJ67" s="41"/>
      <c r="CK67" s="41"/>
      <c r="CL67" s="16"/>
      <c r="CM67" s="16"/>
      <c r="CN67" s="16"/>
      <c r="CO67" s="16"/>
      <c r="CP67" s="16"/>
      <c r="CQ67" s="16"/>
      <c r="CR67" s="16"/>
      <c r="CS67" s="16"/>
      <c r="CT67" s="16"/>
      <c r="CU67" s="80"/>
      <c r="CV67" s="81"/>
      <c r="CW67" s="41"/>
      <c r="CX67" s="41"/>
      <c r="CY67" s="41"/>
      <c r="CZ67" s="16"/>
      <c r="DA67" s="16"/>
      <c r="DB67" s="16"/>
      <c r="DC67" s="16"/>
      <c r="DD67" s="16"/>
      <c r="DE67" s="16"/>
      <c r="DF67" s="16"/>
      <c r="DG67" s="16"/>
      <c r="DH67" s="16"/>
      <c r="DI67" s="80"/>
      <c r="DJ67" s="81"/>
      <c r="DK67" s="41"/>
      <c r="DL67" s="41"/>
      <c r="DM67" s="41"/>
      <c r="DN67" s="16"/>
      <c r="DO67" s="16"/>
      <c r="DP67" s="16"/>
      <c r="DQ67" s="16"/>
      <c r="DR67" s="16"/>
      <c r="DS67" s="16"/>
      <c r="DT67" s="16"/>
      <c r="DU67" s="16"/>
      <c r="DV67" s="16"/>
      <c r="DW67" s="80"/>
      <c r="DX67" s="81"/>
      <c r="DY67" s="41"/>
      <c r="DZ67" s="41"/>
      <c r="EA67" s="41"/>
      <c r="EB67" s="16"/>
      <c r="EC67" s="16"/>
      <c r="ED67" s="16"/>
      <c r="EE67" s="16"/>
      <c r="EF67" s="16"/>
      <c r="EG67" s="16"/>
      <c r="EH67" s="16"/>
      <c r="EI67" s="16"/>
      <c r="EJ67" s="16"/>
      <c r="EK67" s="80"/>
      <c r="EL67" s="81"/>
      <c r="EM67" s="16"/>
      <c r="EN67" s="16"/>
      <c r="EO67" s="16"/>
      <c r="EP67" s="16"/>
      <c r="EQ67" s="16"/>
      <c r="ER67" s="16"/>
      <c r="ES67" s="16"/>
      <c r="ET67" s="16"/>
      <c r="EU67" s="16"/>
      <c r="EV67" s="16"/>
      <c r="EW67" s="16"/>
      <c r="EX67" s="16"/>
      <c r="EY67" s="80"/>
      <c r="EZ67" s="81"/>
      <c r="FA67" s="16"/>
      <c r="FB67" s="16"/>
      <c r="FC67" s="16"/>
      <c r="FD67" s="16"/>
      <c r="FE67" s="16"/>
      <c r="FF67" s="16"/>
      <c r="FG67" s="16"/>
      <c r="FH67" s="16"/>
      <c r="FI67" s="16"/>
      <c r="FJ67" s="16"/>
      <c r="FK67" s="16"/>
      <c r="FM67" s="80"/>
      <c r="FN67" s="81"/>
      <c r="FO67" s="16"/>
      <c r="FP67" s="16"/>
      <c r="FQ67" s="16"/>
      <c r="FR67" s="16"/>
      <c r="FS67" s="16"/>
      <c r="FT67" s="16"/>
      <c r="FU67" s="16"/>
      <c r="FV67" s="16"/>
      <c r="FW67" s="16"/>
      <c r="FX67" s="16"/>
      <c r="FY67" s="16"/>
      <c r="GA67" s="80"/>
      <c r="GB67" s="81"/>
      <c r="GC67" s="16"/>
      <c r="GD67" s="16"/>
      <c r="GE67" s="16"/>
      <c r="GF67" s="16"/>
      <c r="GG67" s="16"/>
      <c r="GH67" s="16"/>
      <c r="GI67" s="16"/>
      <c r="GJ67" s="16"/>
      <c r="GK67" s="16"/>
      <c r="GL67" s="16"/>
      <c r="GM67" s="16"/>
    </row>
    <row r="68" spans="1:195" s="18" customFormat="1" ht="15" customHeight="1">
      <c r="A68" s="78">
        <v>1998</v>
      </c>
      <c r="B68" s="79" t="s">
        <v>38</v>
      </c>
      <c r="C68" s="15">
        <f t="shared" si="2"/>
        <v>0.97426502660734537</v>
      </c>
      <c r="D68" s="15">
        <f t="shared" si="3"/>
        <v>0.97810474689087401</v>
      </c>
      <c r="E68" s="15">
        <f t="shared" si="4"/>
        <v>0.9960743260926459</v>
      </c>
      <c r="F68" s="16"/>
      <c r="G68" s="33"/>
      <c r="H68" s="16">
        <v>22926</v>
      </c>
      <c r="I68" s="16">
        <f t="shared" si="13"/>
        <v>90</v>
      </c>
      <c r="J68" s="16">
        <v>22836</v>
      </c>
      <c r="K68" s="16">
        <v>22336</v>
      </c>
      <c r="L68" s="16">
        <f t="shared" si="14"/>
        <v>500</v>
      </c>
      <c r="M68" s="16"/>
      <c r="N68" s="16"/>
      <c r="O68" s="78"/>
      <c r="P68" s="79"/>
      <c r="Q68" s="41"/>
      <c r="R68" s="41"/>
      <c r="S68" s="41"/>
      <c r="T68" s="16"/>
      <c r="U68" s="16"/>
      <c r="V68" s="16"/>
      <c r="W68" s="16"/>
      <c r="X68" s="16"/>
      <c r="Y68" s="16"/>
      <c r="Z68" s="16"/>
      <c r="AA68" s="16"/>
      <c r="AB68" s="16"/>
      <c r="AC68" s="78"/>
      <c r="AD68" s="79"/>
      <c r="AE68" s="41"/>
      <c r="AF68" s="41"/>
      <c r="AG68" s="41"/>
      <c r="AH68" s="41"/>
      <c r="AI68" s="41"/>
      <c r="AJ68" s="16"/>
      <c r="AK68" s="16"/>
      <c r="AL68" s="16"/>
      <c r="AM68" s="16"/>
      <c r="AN68" s="16"/>
      <c r="AO68" s="16"/>
      <c r="AP68" s="16"/>
      <c r="AQ68" s="78"/>
      <c r="AR68" s="79"/>
      <c r="AS68" s="41"/>
      <c r="AT68" s="41"/>
      <c r="AU68" s="41"/>
      <c r="AV68" s="16"/>
      <c r="AW68" s="16"/>
      <c r="AX68" s="16"/>
      <c r="AY68" s="16"/>
      <c r="AZ68" s="16"/>
      <c r="BA68" s="16"/>
      <c r="BB68" s="16"/>
      <c r="BC68" s="16"/>
      <c r="BD68" s="16"/>
      <c r="BE68" s="78"/>
      <c r="BF68" s="79"/>
      <c r="BG68" s="41"/>
      <c r="BH68" s="41"/>
      <c r="BI68" s="41"/>
      <c r="BJ68" s="16"/>
      <c r="BK68" s="16"/>
      <c r="BL68" s="16"/>
      <c r="BM68" s="16"/>
      <c r="BN68" s="16"/>
      <c r="BO68" s="16"/>
      <c r="BP68" s="16"/>
      <c r="BQ68" s="16"/>
      <c r="BR68" s="16"/>
      <c r="BS68" s="78"/>
      <c r="BT68" s="79"/>
      <c r="BU68" s="41"/>
      <c r="BV68" s="41"/>
      <c r="BW68" s="41"/>
      <c r="BX68" s="16"/>
      <c r="BY68" s="16"/>
      <c r="BZ68" s="16"/>
      <c r="CA68" s="16"/>
      <c r="CB68" s="16"/>
      <c r="CC68" s="16"/>
      <c r="CD68" s="16"/>
      <c r="CE68" s="16"/>
      <c r="CF68" s="16"/>
      <c r="CG68" s="78"/>
      <c r="CH68" s="79"/>
      <c r="CI68" s="41"/>
      <c r="CJ68" s="41"/>
      <c r="CK68" s="41"/>
      <c r="CL68" s="16"/>
      <c r="CM68" s="16"/>
      <c r="CN68" s="16"/>
      <c r="CO68" s="16"/>
      <c r="CP68" s="16"/>
      <c r="CQ68" s="16"/>
      <c r="CR68" s="16"/>
      <c r="CS68" s="16"/>
      <c r="CT68" s="16"/>
      <c r="CU68" s="78"/>
      <c r="CV68" s="79"/>
      <c r="CW68" s="41"/>
      <c r="CX68" s="41"/>
      <c r="CY68" s="41"/>
      <c r="CZ68" s="16"/>
      <c r="DA68" s="16"/>
      <c r="DB68" s="16"/>
      <c r="DC68" s="16"/>
      <c r="DD68" s="16"/>
      <c r="DE68" s="16"/>
      <c r="DF68" s="16"/>
      <c r="DG68" s="16"/>
      <c r="DH68" s="16"/>
      <c r="DI68" s="78"/>
      <c r="DJ68" s="79"/>
      <c r="DK68" s="41"/>
      <c r="DL68" s="41"/>
      <c r="DM68" s="41"/>
      <c r="DN68" s="16"/>
      <c r="DO68" s="16"/>
      <c r="DP68" s="16"/>
      <c r="DQ68" s="16"/>
      <c r="DR68" s="16"/>
      <c r="DS68" s="16"/>
      <c r="DT68" s="16"/>
      <c r="DU68" s="16"/>
      <c r="DV68" s="16"/>
      <c r="DW68" s="78"/>
      <c r="DX68" s="79"/>
      <c r="DY68" s="41"/>
      <c r="DZ68" s="41"/>
      <c r="EA68" s="41"/>
      <c r="EB68" s="16"/>
      <c r="EC68" s="16"/>
      <c r="ED68" s="16"/>
      <c r="EE68" s="16"/>
      <c r="EF68" s="16"/>
      <c r="EG68" s="16"/>
      <c r="EH68" s="16"/>
      <c r="EI68" s="16"/>
      <c r="EJ68" s="16"/>
      <c r="EK68" s="78"/>
      <c r="EL68" s="79"/>
      <c r="EM68" s="16"/>
      <c r="EN68" s="16"/>
      <c r="EO68" s="16"/>
      <c r="EP68" s="16"/>
      <c r="EQ68" s="16"/>
      <c r="ER68" s="16"/>
      <c r="ES68" s="16"/>
      <c r="ET68" s="16"/>
      <c r="EU68" s="16"/>
      <c r="EV68" s="16"/>
      <c r="EW68" s="16"/>
      <c r="EX68" s="16"/>
      <c r="EY68" s="78"/>
      <c r="EZ68" s="79"/>
      <c r="FA68" s="16"/>
      <c r="FB68" s="16"/>
      <c r="FC68" s="16"/>
      <c r="FD68" s="16"/>
      <c r="FE68" s="16"/>
      <c r="FF68" s="16"/>
      <c r="FG68" s="16"/>
      <c r="FH68" s="16"/>
      <c r="FI68" s="16"/>
      <c r="FJ68" s="16"/>
      <c r="FK68" s="16"/>
      <c r="FM68" s="78"/>
      <c r="FN68" s="79"/>
      <c r="FO68" s="16"/>
      <c r="FP68" s="16"/>
      <c r="FQ68" s="16"/>
      <c r="FR68" s="16"/>
      <c r="FS68" s="16"/>
      <c r="FT68" s="16"/>
      <c r="FU68" s="16"/>
      <c r="FV68" s="16"/>
      <c r="FW68" s="16"/>
      <c r="FX68" s="16"/>
      <c r="FY68" s="16"/>
      <c r="GA68" s="78"/>
      <c r="GB68" s="79"/>
      <c r="GC68" s="16"/>
      <c r="GD68" s="16"/>
      <c r="GE68" s="16"/>
      <c r="GF68" s="16"/>
      <c r="GG68" s="16"/>
      <c r="GH68" s="16"/>
      <c r="GI68" s="16"/>
      <c r="GJ68" s="16"/>
      <c r="GK68" s="16"/>
      <c r="GL68" s="16"/>
      <c r="GM68" s="16"/>
    </row>
    <row r="69" spans="1:195" s="18" customFormat="1" ht="15" customHeight="1">
      <c r="A69" s="80">
        <v>1998</v>
      </c>
      <c r="B69" s="81" t="s">
        <v>39</v>
      </c>
      <c r="C69" s="15">
        <f t="shared" si="2"/>
        <v>0.96837676438653641</v>
      </c>
      <c r="D69" s="15">
        <f t="shared" si="3"/>
        <v>0.9745048941497837</v>
      </c>
      <c r="E69" s="15">
        <f t="shared" si="4"/>
        <v>0.99371154542164319</v>
      </c>
      <c r="F69" s="16"/>
      <c r="G69" s="33"/>
      <c r="H69" s="16">
        <v>22104</v>
      </c>
      <c r="I69" s="16">
        <f t="shared" si="13"/>
        <v>139</v>
      </c>
      <c r="J69" s="16">
        <v>21965</v>
      </c>
      <c r="K69" s="16">
        <v>21405</v>
      </c>
      <c r="L69" s="16">
        <f t="shared" si="14"/>
        <v>560</v>
      </c>
      <c r="M69" s="16"/>
      <c r="N69" s="16"/>
      <c r="O69" s="80"/>
      <c r="P69" s="81"/>
      <c r="Q69" s="41"/>
      <c r="R69" s="41"/>
      <c r="S69" s="41"/>
      <c r="T69" s="16"/>
      <c r="U69" s="16"/>
      <c r="V69" s="16"/>
      <c r="W69" s="16"/>
      <c r="X69" s="16"/>
      <c r="Y69" s="16"/>
      <c r="Z69" s="16"/>
      <c r="AA69" s="16"/>
      <c r="AB69" s="16"/>
      <c r="AC69" s="80"/>
      <c r="AD69" s="81"/>
      <c r="AE69" s="41"/>
      <c r="AF69" s="41"/>
      <c r="AG69" s="41"/>
      <c r="AH69" s="41"/>
      <c r="AI69" s="41"/>
      <c r="AJ69" s="16"/>
      <c r="AK69" s="16"/>
      <c r="AL69" s="16"/>
      <c r="AM69" s="16"/>
      <c r="AN69" s="16"/>
      <c r="AO69" s="16"/>
      <c r="AP69" s="16"/>
      <c r="AQ69" s="80"/>
      <c r="AR69" s="81"/>
      <c r="AS69" s="41"/>
      <c r="AT69" s="41"/>
      <c r="AU69" s="41"/>
      <c r="AV69" s="16"/>
      <c r="AW69" s="16"/>
      <c r="AX69" s="16"/>
      <c r="AY69" s="16"/>
      <c r="AZ69" s="16"/>
      <c r="BA69" s="16"/>
      <c r="BB69" s="16"/>
      <c r="BC69" s="16"/>
      <c r="BD69" s="16"/>
      <c r="BE69" s="80"/>
      <c r="BF69" s="81"/>
      <c r="BG69" s="41"/>
      <c r="BH69" s="41"/>
      <c r="BI69" s="41"/>
      <c r="BJ69" s="16"/>
      <c r="BK69" s="16"/>
      <c r="BL69" s="16"/>
      <c r="BM69" s="16"/>
      <c r="BN69" s="16"/>
      <c r="BO69" s="16"/>
      <c r="BP69" s="16"/>
      <c r="BQ69" s="16"/>
      <c r="BR69" s="16"/>
      <c r="BS69" s="80"/>
      <c r="BT69" s="81"/>
      <c r="BU69" s="41"/>
      <c r="BV69" s="41"/>
      <c r="BW69" s="41"/>
      <c r="BX69" s="16"/>
      <c r="BY69" s="16"/>
      <c r="BZ69" s="16"/>
      <c r="CA69" s="16"/>
      <c r="CB69" s="16"/>
      <c r="CC69" s="16"/>
      <c r="CD69" s="16"/>
      <c r="CE69" s="16"/>
      <c r="CF69" s="16"/>
      <c r="CG69" s="80"/>
      <c r="CH69" s="81"/>
      <c r="CI69" s="41"/>
      <c r="CJ69" s="41"/>
      <c r="CK69" s="41"/>
      <c r="CL69" s="16"/>
      <c r="CM69" s="16"/>
      <c r="CN69" s="16"/>
      <c r="CO69" s="16"/>
      <c r="CP69" s="16"/>
      <c r="CQ69" s="16"/>
      <c r="CR69" s="16"/>
      <c r="CS69" s="16"/>
      <c r="CT69" s="16"/>
      <c r="CU69" s="80"/>
      <c r="CV69" s="81"/>
      <c r="CW69" s="41"/>
      <c r="CX69" s="41"/>
      <c r="CY69" s="41"/>
      <c r="CZ69" s="16"/>
      <c r="DA69" s="16"/>
      <c r="DB69" s="16"/>
      <c r="DC69" s="16"/>
      <c r="DD69" s="16"/>
      <c r="DE69" s="16"/>
      <c r="DF69" s="16"/>
      <c r="DG69" s="16"/>
      <c r="DH69" s="16"/>
      <c r="DI69" s="80"/>
      <c r="DJ69" s="81"/>
      <c r="DK69" s="41"/>
      <c r="DL69" s="41"/>
      <c r="DM69" s="41"/>
      <c r="DN69" s="16"/>
      <c r="DO69" s="16"/>
      <c r="DP69" s="16"/>
      <c r="DQ69" s="16"/>
      <c r="DR69" s="16"/>
      <c r="DS69" s="16"/>
      <c r="DT69" s="16"/>
      <c r="DU69" s="16"/>
      <c r="DV69" s="16"/>
      <c r="DW69" s="80"/>
      <c r="DX69" s="81"/>
      <c r="DY69" s="41"/>
      <c r="DZ69" s="41"/>
      <c r="EA69" s="41"/>
      <c r="EB69" s="16"/>
      <c r="EC69" s="16"/>
      <c r="ED69" s="16"/>
      <c r="EE69" s="16"/>
      <c r="EF69" s="16"/>
      <c r="EG69" s="16"/>
      <c r="EH69" s="16"/>
      <c r="EI69" s="16"/>
      <c r="EJ69" s="16"/>
      <c r="EK69" s="80"/>
      <c r="EL69" s="81"/>
      <c r="EM69" s="16"/>
      <c r="EN69" s="16"/>
      <c r="EO69" s="16"/>
      <c r="EP69" s="16"/>
      <c r="EQ69" s="16"/>
      <c r="ER69" s="16"/>
      <c r="ES69" s="16"/>
      <c r="ET69" s="16"/>
      <c r="EU69" s="16"/>
      <c r="EV69" s="16"/>
      <c r="EW69" s="16"/>
      <c r="EX69" s="16"/>
      <c r="EY69" s="80"/>
      <c r="EZ69" s="81"/>
      <c r="FA69" s="16"/>
      <c r="FB69" s="16"/>
      <c r="FC69" s="16"/>
      <c r="FD69" s="16"/>
      <c r="FE69" s="16"/>
      <c r="FF69" s="16"/>
      <c r="FG69" s="16"/>
      <c r="FH69" s="16"/>
      <c r="FI69" s="16"/>
      <c r="FJ69" s="16"/>
      <c r="FK69" s="16"/>
      <c r="FM69" s="80"/>
      <c r="FN69" s="81"/>
      <c r="FO69" s="16"/>
      <c r="FP69" s="16"/>
      <c r="FQ69" s="16"/>
      <c r="FR69" s="16"/>
      <c r="FS69" s="16"/>
      <c r="FT69" s="16"/>
      <c r="FU69" s="16"/>
      <c r="FV69" s="16"/>
      <c r="FW69" s="16"/>
      <c r="FX69" s="16"/>
      <c r="FY69" s="16"/>
      <c r="GA69" s="80"/>
      <c r="GB69" s="81"/>
      <c r="GC69" s="16"/>
      <c r="GD69" s="16"/>
      <c r="GE69" s="16"/>
      <c r="GF69" s="16"/>
      <c r="GG69" s="16"/>
      <c r="GH69" s="16"/>
      <c r="GI69" s="16"/>
      <c r="GJ69" s="16"/>
      <c r="GK69" s="16"/>
      <c r="GL69" s="16"/>
      <c r="GM69" s="16"/>
    </row>
    <row r="70" spans="1:195" s="18" customFormat="1" ht="15" customHeight="1">
      <c r="A70" s="78">
        <v>1998</v>
      </c>
      <c r="B70" s="79" t="s">
        <v>40</v>
      </c>
      <c r="C70" s="15">
        <f t="shared" si="2"/>
        <v>0.9747509212501706</v>
      </c>
      <c r="D70" s="15">
        <f t="shared" si="3"/>
        <v>0.97916095420893889</v>
      </c>
      <c r="E70" s="15">
        <f t="shared" si="4"/>
        <v>0.99549611027705742</v>
      </c>
      <c r="F70" s="16"/>
      <c r="G70" s="33"/>
      <c r="H70" s="16">
        <v>21981</v>
      </c>
      <c r="I70" s="16">
        <f t="shared" si="13"/>
        <v>99</v>
      </c>
      <c r="J70" s="16">
        <v>21882</v>
      </c>
      <c r="K70" s="16">
        <v>21426</v>
      </c>
      <c r="L70" s="16">
        <f t="shared" si="14"/>
        <v>456</v>
      </c>
      <c r="M70" s="16"/>
      <c r="N70" s="16"/>
      <c r="O70" s="78"/>
      <c r="P70" s="79"/>
      <c r="Q70" s="41"/>
      <c r="R70" s="41"/>
      <c r="S70" s="41"/>
      <c r="T70" s="16"/>
      <c r="U70" s="16"/>
      <c r="V70" s="16"/>
      <c r="W70" s="16"/>
      <c r="X70" s="16"/>
      <c r="Y70" s="16"/>
      <c r="Z70" s="16"/>
      <c r="AA70" s="16"/>
      <c r="AB70" s="16"/>
      <c r="AC70" s="78"/>
      <c r="AD70" s="79"/>
      <c r="AE70" s="41"/>
      <c r="AF70" s="41"/>
      <c r="AG70" s="41"/>
      <c r="AH70" s="41"/>
      <c r="AI70" s="41"/>
      <c r="AJ70" s="16"/>
      <c r="AK70" s="16"/>
      <c r="AL70" s="16"/>
      <c r="AM70" s="16"/>
      <c r="AN70" s="16"/>
      <c r="AO70" s="16"/>
      <c r="AP70" s="16"/>
      <c r="AQ70" s="78"/>
      <c r="AR70" s="79"/>
      <c r="AS70" s="41"/>
      <c r="AT70" s="41"/>
      <c r="AU70" s="41"/>
      <c r="AV70" s="16"/>
      <c r="AW70" s="16"/>
      <c r="AX70" s="16"/>
      <c r="AY70" s="16"/>
      <c r="AZ70" s="16"/>
      <c r="BA70" s="16"/>
      <c r="BB70" s="16"/>
      <c r="BC70" s="16"/>
      <c r="BD70" s="16"/>
      <c r="BE70" s="78"/>
      <c r="BF70" s="79"/>
      <c r="BG70" s="41"/>
      <c r="BH70" s="41"/>
      <c r="BI70" s="41"/>
      <c r="BJ70" s="16"/>
      <c r="BK70" s="16"/>
      <c r="BL70" s="16"/>
      <c r="BM70" s="16"/>
      <c r="BN70" s="16"/>
      <c r="BO70" s="16"/>
      <c r="BP70" s="16"/>
      <c r="BQ70" s="16"/>
      <c r="BR70" s="16"/>
      <c r="BS70" s="78"/>
      <c r="BT70" s="79"/>
      <c r="BU70" s="41"/>
      <c r="BV70" s="41"/>
      <c r="BW70" s="41"/>
      <c r="BX70" s="16"/>
      <c r="BY70" s="16"/>
      <c r="BZ70" s="16"/>
      <c r="CA70" s="16"/>
      <c r="CB70" s="16"/>
      <c r="CC70" s="16"/>
      <c r="CD70" s="16"/>
      <c r="CE70" s="16"/>
      <c r="CF70" s="16"/>
      <c r="CG70" s="78"/>
      <c r="CH70" s="79"/>
      <c r="CI70" s="41"/>
      <c r="CJ70" s="41"/>
      <c r="CK70" s="41"/>
      <c r="CL70" s="16"/>
      <c r="CM70" s="16"/>
      <c r="CN70" s="16"/>
      <c r="CO70" s="16"/>
      <c r="CP70" s="16"/>
      <c r="CQ70" s="16"/>
      <c r="CR70" s="16"/>
      <c r="CS70" s="16"/>
      <c r="CT70" s="16"/>
      <c r="CU70" s="78"/>
      <c r="CV70" s="79"/>
      <c r="CW70" s="41"/>
      <c r="CX70" s="41"/>
      <c r="CY70" s="41"/>
      <c r="CZ70" s="16"/>
      <c r="DA70" s="16"/>
      <c r="DB70" s="16"/>
      <c r="DC70" s="16"/>
      <c r="DD70" s="16"/>
      <c r="DE70" s="16"/>
      <c r="DF70" s="16"/>
      <c r="DG70" s="16"/>
      <c r="DH70" s="16"/>
      <c r="DI70" s="78"/>
      <c r="DJ70" s="79"/>
      <c r="DK70" s="41"/>
      <c r="DL70" s="41"/>
      <c r="DM70" s="41"/>
      <c r="DN70" s="16"/>
      <c r="DO70" s="16"/>
      <c r="DP70" s="16"/>
      <c r="DQ70" s="16"/>
      <c r="DR70" s="16"/>
      <c r="DS70" s="16"/>
      <c r="DT70" s="16"/>
      <c r="DU70" s="16"/>
      <c r="DV70" s="16"/>
      <c r="DW70" s="78"/>
      <c r="DX70" s="79"/>
      <c r="DY70" s="41"/>
      <c r="DZ70" s="41"/>
      <c r="EA70" s="41"/>
      <c r="EB70" s="16"/>
      <c r="EC70" s="16"/>
      <c r="ED70" s="16"/>
      <c r="EE70" s="16"/>
      <c r="EF70" s="16"/>
      <c r="EG70" s="16"/>
      <c r="EH70" s="16"/>
      <c r="EI70" s="16"/>
      <c r="EJ70" s="16"/>
      <c r="EK70" s="78"/>
      <c r="EL70" s="79"/>
      <c r="EM70" s="16"/>
      <c r="EN70" s="16"/>
      <c r="EO70" s="16"/>
      <c r="EP70" s="16"/>
      <c r="EQ70" s="16"/>
      <c r="ER70" s="16"/>
      <c r="ES70" s="16"/>
      <c r="ET70" s="16"/>
      <c r="EU70" s="16"/>
      <c r="EV70" s="16"/>
      <c r="EW70" s="16"/>
      <c r="EX70" s="16"/>
      <c r="EY70" s="78"/>
      <c r="EZ70" s="79"/>
      <c r="FA70" s="16"/>
      <c r="FB70" s="16"/>
      <c r="FC70" s="16"/>
      <c r="FD70" s="16"/>
      <c r="FE70" s="16"/>
      <c r="FF70" s="16"/>
      <c r="FG70" s="16"/>
      <c r="FH70" s="16"/>
      <c r="FI70" s="16"/>
      <c r="FJ70" s="16"/>
      <c r="FK70" s="16"/>
      <c r="FM70" s="78"/>
      <c r="FN70" s="79"/>
      <c r="FO70" s="16"/>
      <c r="FP70" s="16"/>
      <c r="FQ70" s="16"/>
      <c r="FR70" s="16"/>
      <c r="FS70" s="16"/>
      <c r="FT70" s="16"/>
      <c r="FU70" s="16"/>
      <c r="FV70" s="16"/>
      <c r="FW70" s="16"/>
      <c r="FX70" s="16"/>
      <c r="FY70" s="16"/>
      <c r="GA70" s="78"/>
      <c r="GB70" s="79"/>
      <c r="GC70" s="16"/>
      <c r="GD70" s="16"/>
      <c r="GE70" s="16"/>
      <c r="GF70" s="16"/>
      <c r="GG70" s="16"/>
      <c r="GH70" s="16"/>
      <c r="GI70" s="16"/>
      <c r="GJ70" s="16"/>
      <c r="GK70" s="16"/>
      <c r="GL70" s="16"/>
      <c r="GM70" s="16"/>
    </row>
    <row r="71" spans="1:195" s="18" customFormat="1" ht="15" customHeight="1">
      <c r="A71" s="80">
        <v>1998</v>
      </c>
      <c r="B71" s="81" t="s">
        <v>41</v>
      </c>
      <c r="C71" s="15">
        <f t="shared" ref="C71:C134" si="15">K71/H71</f>
        <v>0.9826515116653628</v>
      </c>
      <c r="D71" s="15">
        <f t="shared" ref="D71:D134" si="16">K71/J71</f>
        <v>0.98441821869813761</v>
      </c>
      <c r="E71" s="15">
        <f t="shared" ref="E71:E134" si="17">J71/H71</f>
        <v>0.99820532879296853</v>
      </c>
      <c r="F71" s="16"/>
      <c r="G71" s="33"/>
      <c r="H71" s="16">
        <v>21731</v>
      </c>
      <c r="I71" s="16">
        <f t="shared" si="13"/>
        <v>39</v>
      </c>
      <c r="J71" s="16">
        <v>21692</v>
      </c>
      <c r="K71" s="16">
        <v>21354</v>
      </c>
      <c r="L71" s="16">
        <f t="shared" si="14"/>
        <v>338</v>
      </c>
      <c r="M71" s="16"/>
      <c r="N71" s="16"/>
      <c r="O71" s="80"/>
      <c r="P71" s="81"/>
      <c r="Q71" s="41"/>
      <c r="R71" s="41"/>
      <c r="S71" s="41"/>
      <c r="T71" s="16"/>
      <c r="U71" s="16"/>
      <c r="V71" s="16"/>
      <c r="W71" s="16"/>
      <c r="X71" s="16"/>
      <c r="Y71" s="16"/>
      <c r="Z71" s="16"/>
      <c r="AA71" s="16"/>
      <c r="AB71" s="16"/>
      <c r="AC71" s="80"/>
      <c r="AD71" s="81"/>
      <c r="AE71" s="41"/>
      <c r="AF71" s="41"/>
      <c r="AG71" s="41"/>
      <c r="AH71" s="41"/>
      <c r="AI71" s="41"/>
      <c r="AJ71" s="16"/>
      <c r="AK71" s="16"/>
      <c r="AL71" s="16"/>
      <c r="AM71" s="16"/>
      <c r="AN71" s="16"/>
      <c r="AO71" s="16"/>
      <c r="AP71" s="16"/>
      <c r="AQ71" s="80"/>
      <c r="AR71" s="81"/>
      <c r="AS71" s="41"/>
      <c r="AT71" s="41"/>
      <c r="AU71" s="41"/>
      <c r="AV71" s="16"/>
      <c r="AW71" s="16"/>
      <c r="AX71" s="16"/>
      <c r="AY71" s="16"/>
      <c r="AZ71" s="16"/>
      <c r="BA71" s="16"/>
      <c r="BB71" s="16"/>
      <c r="BC71" s="16"/>
      <c r="BD71" s="16"/>
      <c r="BE71" s="80"/>
      <c r="BF71" s="81"/>
      <c r="BG71" s="41"/>
      <c r="BH71" s="41"/>
      <c r="BI71" s="41"/>
      <c r="BJ71" s="16"/>
      <c r="BK71" s="16"/>
      <c r="BL71" s="16"/>
      <c r="BM71" s="16"/>
      <c r="BN71" s="16"/>
      <c r="BO71" s="16"/>
      <c r="BP71" s="16"/>
      <c r="BQ71" s="16"/>
      <c r="BR71" s="16"/>
      <c r="BS71" s="80"/>
      <c r="BT71" s="81"/>
      <c r="BU71" s="41"/>
      <c r="BV71" s="41"/>
      <c r="BW71" s="41"/>
      <c r="BX71" s="16"/>
      <c r="BY71" s="16"/>
      <c r="BZ71" s="16"/>
      <c r="CA71" s="16"/>
      <c r="CB71" s="16"/>
      <c r="CC71" s="16"/>
      <c r="CD71" s="16"/>
      <c r="CE71" s="16"/>
      <c r="CF71" s="16"/>
      <c r="CG71" s="80"/>
      <c r="CH71" s="81"/>
      <c r="CI71" s="41"/>
      <c r="CJ71" s="41"/>
      <c r="CK71" s="41"/>
      <c r="CL71" s="16"/>
      <c r="CM71" s="16"/>
      <c r="CN71" s="16"/>
      <c r="CO71" s="16"/>
      <c r="CP71" s="16"/>
      <c r="CQ71" s="16"/>
      <c r="CR71" s="16"/>
      <c r="CS71" s="16"/>
      <c r="CT71" s="16"/>
      <c r="CU71" s="80"/>
      <c r="CV71" s="81"/>
      <c r="CW71" s="41"/>
      <c r="CX71" s="41"/>
      <c r="CY71" s="41"/>
      <c r="CZ71" s="16"/>
      <c r="DA71" s="16"/>
      <c r="DB71" s="16"/>
      <c r="DC71" s="16"/>
      <c r="DD71" s="16"/>
      <c r="DE71" s="16"/>
      <c r="DF71" s="16"/>
      <c r="DG71" s="16"/>
      <c r="DH71" s="16"/>
      <c r="DI71" s="80"/>
      <c r="DJ71" s="81"/>
      <c r="DK71" s="41"/>
      <c r="DL71" s="41"/>
      <c r="DM71" s="41"/>
      <c r="DN71" s="16"/>
      <c r="DO71" s="16"/>
      <c r="DP71" s="16"/>
      <c r="DQ71" s="16"/>
      <c r="DR71" s="16"/>
      <c r="DS71" s="16"/>
      <c r="DT71" s="16"/>
      <c r="DU71" s="16"/>
      <c r="DV71" s="16"/>
      <c r="DW71" s="80"/>
      <c r="DX71" s="81"/>
      <c r="DY71" s="41"/>
      <c r="DZ71" s="41"/>
      <c r="EA71" s="41"/>
      <c r="EB71" s="16"/>
      <c r="EC71" s="16"/>
      <c r="ED71" s="16"/>
      <c r="EE71" s="16"/>
      <c r="EF71" s="16"/>
      <c r="EG71" s="16"/>
      <c r="EH71" s="16"/>
      <c r="EI71" s="16"/>
      <c r="EJ71" s="16"/>
      <c r="EK71" s="80"/>
      <c r="EL71" s="81"/>
      <c r="EM71" s="16"/>
      <c r="EN71" s="16"/>
      <c r="EO71" s="16"/>
      <c r="EP71" s="16"/>
      <c r="EQ71" s="16"/>
      <c r="ER71" s="16"/>
      <c r="ES71" s="16"/>
      <c r="ET71" s="16"/>
      <c r="EU71" s="16"/>
      <c r="EV71" s="16"/>
      <c r="EW71" s="16"/>
      <c r="EX71" s="16"/>
      <c r="EY71" s="80"/>
      <c r="EZ71" s="81"/>
      <c r="FA71" s="16"/>
      <c r="FB71" s="16"/>
      <c r="FC71" s="16"/>
      <c r="FD71" s="16"/>
      <c r="FE71" s="16"/>
      <c r="FF71" s="16"/>
      <c r="FG71" s="16"/>
      <c r="FH71" s="16"/>
      <c r="FI71" s="16"/>
      <c r="FJ71" s="16"/>
      <c r="FK71" s="16"/>
      <c r="FM71" s="80"/>
      <c r="FN71" s="81"/>
      <c r="FO71" s="16"/>
      <c r="FP71" s="16"/>
      <c r="FQ71" s="16"/>
      <c r="FR71" s="16"/>
      <c r="FS71" s="16"/>
      <c r="FT71" s="16"/>
      <c r="FU71" s="16"/>
      <c r="FV71" s="16"/>
      <c r="FW71" s="16"/>
      <c r="FX71" s="16"/>
      <c r="FY71" s="16"/>
      <c r="GA71" s="80"/>
      <c r="GB71" s="81"/>
      <c r="GC71" s="16"/>
      <c r="GD71" s="16"/>
      <c r="GE71" s="16"/>
      <c r="GF71" s="16"/>
      <c r="GG71" s="16"/>
      <c r="GH71" s="16"/>
      <c r="GI71" s="16"/>
      <c r="GJ71" s="16"/>
      <c r="GK71" s="16"/>
      <c r="GL71" s="16"/>
      <c r="GM71" s="16"/>
    </row>
    <row r="72" spans="1:195" s="18" customFormat="1" ht="15" customHeight="1">
      <c r="A72" s="78">
        <v>1998</v>
      </c>
      <c r="B72" s="79" t="s">
        <v>42</v>
      </c>
      <c r="C72" s="15">
        <f t="shared" si="15"/>
        <v>0.96795430763864665</v>
      </c>
      <c r="D72" s="15">
        <f t="shared" si="16"/>
        <v>0.97087506013031877</v>
      </c>
      <c r="E72" s="15">
        <f t="shared" si="17"/>
        <v>0.99699162888036275</v>
      </c>
      <c r="F72" s="16"/>
      <c r="G72" s="33"/>
      <c r="H72" s="16">
        <v>22936</v>
      </c>
      <c r="I72" s="16">
        <f t="shared" si="13"/>
        <v>69</v>
      </c>
      <c r="J72" s="16">
        <v>22867</v>
      </c>
      <c r="K72" s="16">
        <v>22201</v>
      </c>
      <c r="L72" s="16">
        <f t="shared" si="14"/>
        <v>666</v>
      </c>
      <c r="M72" s="16"/>
      <c r="N72" s="16"/>
      <c r="O72" s="78"/>
      <c r="P72" s="79"/>
      <c r="Q72" s="41"/>
      <c r="R72" s="41"/>
      <c r="S72" s="41"/>
      <c r="T72" s="16"/>
      <c r="U72" s="16"/>
      <c r="V72" s="16"/>
      <c r="W72" s="16"/>
      <c r="X72" s="16"/>
      <c r="Y72" s="16"/>
      <c r="Z72" s="16"/>
      <c r="AA72" s="16"/>
      <c r="AB72" s="16"/>
      <c r="AC72" s="78"/>
      <c r="AD72" s="79"/>
      <c r="AE72" s="41"/>
      <c r="AF72" s="41"/>
      <c r="AG72" s="41"/>
      <c r="AH72" s="41"/>
      <c r="AI72" s="41"/>
      <c r="AJ72" s="16"/>
      <c r="AK72" s="16"/>
      <c r="AL72" s="16"/>
      <c r="AM72" s="16"/>
      <c r="AN72" s="16"/>
      <c r="AO72" s="16"/>
      <c r="AP72" s="16"/>
      <c r="AQ72" s="78"/>
      <c r="AR72" s="79"/>
      <c r="AS72" s="41"/>
      <c r="AT72" s="41"/>
      <c r="AU72" s="41"/>
      <c r="AV72" s="16"/>
      <c r="AW72" s="16"/>
      <c r="AX72" s="16"/>
      <c r="AY72" s="16"/>
      <c r="AZ72" s="16"/>
      <c r="BA72" s="16"/>
      <c r="BB72" s="16"/>
      <c r="BC72" s="16"/>
      <c r="BD72" s="16"/>
      <c r="BE72" s="78"/>
      <c r="BF72" s="79"/>
      <c r="BG72" s="41"/>
      <c r="BH72" s="41"/>
      <c r="BI72" s="41"/>
      <c r="BJ72" s="16"/>
      <c r="BK72" s="16"/>
      <c r="BL72" s="16"/>
      <c r="BM72" s="16"/>
      <c r="BN72" s="16"/>
      <c r="BO72" s="16"/>
      <c r="BP72" s="16"/>
      <c r="BQ72" s="16"/>
      <c r="BR72" s="16"/>
      <c r="BS72" s="78"/>
      <c r="BT72" s="79"/>
      <c r="BU72" s="41"/>
      <c r="BV72" s="41"/>
      <c r="BW72" s="41"/>
      <c r="BX72" s="16"/>
      <c r="BY72" s="16"/>
      <c r="BZ72" s="16"/>
      <c r="CA72" s="16"/>
      <c r="CB72" s="16"/>
      <c r="CC72" s="16"/>
      <c r="CD72" s="16"/>
      <c r="CE72" s="16"/>
      <c r="CF72" s="16"/>
      <c r="CG72" s="78"/>
      <c r="CH72" s="79"/>
      <c r="CI72" s="41"/>
      <c r="CJ72" s="41"/>
      <c r="CK72" s="41"/>
      <c r="CL72" s="16"/>
      <c r="CM72" s="16"/>
      <c r="CN72" s="16"/>
      <c r="CO72" s="16"/>
      <c r="CP72" s="16"/>
      <c r="CQ72" s="16"/>
      <c r="CR72" s="16"/>
      <c r="CS72" s="16"/>
      <c r="CT72" s="16"/>
      <c r="CU72" s="78"/>
      <c r="CV72" s="79"/>
      <c r="CW72" s="41"/>
      <c r="CX72" s="41"/>
      <c r="CY72" s="41"/>
      <c r="CZ72" s="16"/>
      <c r="DA72" s="16"/>
      <c r="DB72" s="16"/>
      <c r="DC72" s="16"/>
      <c r="DD72" s="16"/>
      <c r="DE72" s="16"/>
      <c r="DF72" s="16"/>
      <c r="DG72" s="16"/>
      <c r="DH72" s="16"/>
      <c r="DI72" s="78"/>
      <c r="DJ72" s="79"/>
      <c r="DK72" s="41"/>
      <c r="DL72" s="41"/>
      <c r="DM72" s="41"/>
      <c r="DN72" s="16"/>
      <c r="DO72" s="16"/>
      <c r="DP72" s="16"/>
      <c r="DQ72" s="16"/>
      <c r="DR72" s="16"/>
      <c r="DS72" s="16"/>
      <c r="DT72" s="16"/>
      <c r="DU72" s="16"/>
      <c r="DV72" s="16"/>
      <c r="DW72" s="78"/>
      <c r="DX72" s="79"/>
      <c r="DY72" s="41"/>
      <c r="DZ72" s="41"/>
      <c r="EA72" s="41"/>
      <c r="EB72" s="16"/>
      <c r="EC72" s="16"/>
      <c r="ED72" s="16"/>
      <c r="EE72" s="16"/>
      <c r="EF72" s="16"/>
      <c r="EG72" s="16"/>
      <c r="EH72" s="16"/>
      <c r="EI72" s="16"/>
      <c r="EJ72" s="16"/>
      <c r="EK72" s="78"/>
      <c r="EL72" s="79"/>
      <c r="EM72" s="16"/>
      <c r="EN72" s="16"/>
      <c r="EO72" s="16"/>
      <c r="EP72" s="16"/>
      <c r="EQ72" s="16"/>
      <c r="ER72" s="16"/>
      <c r="ES72" s="16"/>
      <c r="ET72" s="16"/>
      <c r="EU72" s="16"/>
      <c r="EV72" s="16"/>
      <c r="EW72" s="16"/>
      <c r="EX72" s="16"/>
      <c r="EY72" s="78"/>
      <c r="EZ72" s="79"/>
      <c r="FA72" s="16"/>
      <c r="FB72" s="16"/>
      <c r="FC72" s="16"/>
      <c r="FD72" s="16"/>
      <c r="FE72" s="16"/>
      <c r="FF72" s="16"/>
      <c r="FG72" s="16"/>
      <c r="FH72" s="16"/>
      <c r="FI72" s="16"/>
      <c r="FJ72" s="16"/>
      <c r="FK72" s="16"/>
      <c r="FM72" s="78"/>
      <c r="FN72" s="79"/>
      <c r="FO72" s="16"/>
      <c r="FP72" s="16"/>
      <c r="FQ72" s="16"/>
      <c r="FR72" s="16"/>
      <c r="FS72" s="16"/>
      <c r="FT72" s="16"/>
      <c r="FU72" s="16"/>
      <c r="FV72" s="16"/>
      <c r="FW72" s="16"/>
      <c r="FX72" s="16"/>
      <c r="FY72" s="16"/>
      <c r="GA72" s="78"/>
      <c r="GB72" s="79"/>
      <c r="GC72" s="16"/>
      <c r="GD72" s="16"/>
      <c r="GE72" s="16"/>
      <c r="GF72" s="16"/>
      <c r="GG72" s="16"/>
      <c r="GH72" s="16"/>
      <c r="GI72" s="16"/>
      <c r="GJ72" s="16"/>
      <c r="GK72" s="16"/>
      <c r="GL72" s="16"/>
      <c r="GM72" s="16"/>
    </row>
    <row r="73" spans="1:195" s="18" customFormat="1" ht="15" customHeight="1">
      <c r="A73" s="80">
        <v>1998</v>
      </c>
      <c r="B73" s="81" t="s">
        <v>43</v>
      </c>
      <c r="C73" s="15">
        <f t="shared" si="15"/>
        <v>0.97440033963065165</v>
      </c>
      <c r="D73" s="15">
        <f t="shared" si="16"/>
        <v>0.97922266308289607</v>
      </c>
      <c r="E73" s="15">
        <f t="shared" si="17"/>
        <v>0.99507535555083848</v>
      </c>
      <c r="F73" s="16"/>
      <c r="G73" s="33"/>
      <c r="H73" s="16">
        <v>23555</v>
      </c>
      <c r="I73" s="16">
        <f t="shared" si="13"/>
        <v>116</v>
      </c>
      <c r="J73" s="16">
        <v>23439</v>
      </c>
      <c r="K73" s="16">
        <v>22952</v>
      </c>
      <c r="L73" s="16">
        <f t="shared" si="14"/>
        <v>487</v>
      </c>
      <c r="M73" s="16"/>
      <c r="N73" s="16"/>
      <c r="O73" s="80"/>
      <c r="P73" s="81"/>
      <c r="Q73" s="41"/>
      <c r="R73" s="41"/>
      <c r="S73" s="41"/>
      <c r="T73" s="16"/>
      <c r="U73" s="16"/>
      <c r="V73" s="16"/>
      <c r="W73" s="16"/>
      <c r="X73" s="16"/>
      <c r="Y73" s="16"/>
      <c r="Z73" s="16"/>
      <c r="AA73" s="16"/>
      <c r="AB73" s="16"/>
      <c r="AC73" s="80"/>
      <c r="AD73" s="81"/>
      <c r="AE73" s="41"/>
      <c r="AF73" s="41"/>
      <c r="AG73" s="41"/>
      <c r="AH73" s="41"/>
      <c r="AI73" s="41"/>
      <c r="AJ73" s="16"/>
      <c r="AK73" s="16"/>
      <c r="AL73" s="16"/>
      <c r="AM73" s="16"/>
      <c r="AN73" s="16"/>
      <c r="AO73" s="16"/>
      <c r="AP73" s="16"/>
      <c r="AQ73" s="80"/>
      <c r="AR73" s="81"/>
      <c r="AS73" s="41"/>
      <c r="AT73" s="41"/>
      <c r="AU73" s="41"/>
      <c r="AV73" s="16"/>
      <c r="AW73" s="16"/>
      <c r="AX73" s="16"/>
      <c r="AY73" s="16"/>
      <c r="AZ73" s="16"/>
      <c r="BA73" s="16"/>
      <c r="BB73" s="16"/>
      <c r="BC73" s="16"/>
      <c r="BD73" s="16"/>
      <c r="BE73" s="80"/>
      <c r="BF73" s="81"/>
      <c r="BG73" s="41"/>
      <c r="BH73" s="41"/>
      <c r="BI73" s="41"/>
      <c r="BJ73" s="16"/>
      <c r="BK73" s="16"/>
      <c r="BL73" s="16"/>
      <c r="BM73" s="16"/>
      <c r="BN73" s="16"/>
      <c r="BO73" s="16"/>
      <c r="BP73" s="16"/>
      <c r="BQ73" s="16"/>
      <c r="BR73" s="16"/>
      <c r="BS73" s="80"/>
      <c r="BT73" s="81"/>
      <c r="BU73" s="41"/>
      <c r="BV73" s="41"/>
      <c r="BW73" s="41"/>
      <c r="BX73" s="16"/>
      <c r="BY73" s="16"/>
      <c r="BZ73" s="16"/>
      <c r="CA73" s="16"/>
      <c r="CB73" s="16"/>
      <c r="CC73" s="16"/>
      <c r="CD73" s="16"/>
      <c r="CE73" s="16"/>
      <c r="CF73" s="16"/>
      <c r="CG73" s="80"/>
      <c r="CH73" s="81"/>
      <c r="CI73" s="41"/>
      <c r="CJ73" s="41"/>
      <c r="CK73" s="41"/>
      <c r="CL73" s="16"/>
      <c r="CM73" s="16"/>
      <c r="CN73" s="16"/>
      <c r="CO73" s="16"/>
      <c r="CP73" s="16"/>
      <c r="CQ73" s="16"/>
      <c r="CR73" s="16"/>
      <c r="CS73" s="16"/>
      <c r="CT73" s="16"/>
      <c r="CU73" s="80"/>
      <c r="CV73" s="81"/>
      <c r="CW73" s="41"/>
      <c r="CX73" s="41"/>
      <c r="CY73" s="41"/>
      <c r="CZ73" s="16"/>
      <c r="DA73" s="16"/>
      <c r="DB73" s="16"/>
      <c r="DC73" s="16"/>
      <c r="DD73" s="16"/>
      <c r="DE73" s="16"/>
      <c r="DF73" s="16"/>
      <c r="DG73" s="16"/>
      <c r="DH73" s="16"/>
      <c r="DI73" s="80"/>
      <c r="DJ73" s="81"/>
      <c r="DK73" s="41"/>
      <c r="DL73" s="41"/>
      <c r="DM73" s="41"/>
      <c r="DN73" s="16"/>
      <c r="DO73" s="16"/>
      <c r="DP73" s="16"/>
      <c r="DQ73" s="16"/>
      <c r="DR73" s="16"/>
      <c r="DS73" s="16"/>
      <c r="DT73" s="16"/>
      <c r="DU73" s="16"/>
      <c r="DV73" s="16"/>
      <c r="DW73" s="80"/>
      <c r="DX73" s="81"/>
      <c r="DY73" s="41"/>
      <c r="DZ73" s="41"/>
      <c r="EA73" s="41"/>
      <c r="EB73" s="16"/>
      <c r="EC73" s="16"/>
      <c r="ED73" s="16"/>
      <c r="EE73" s="16"/>
      <c r="EF73" s="16"/>
      <c r="EG73" s="16"/>
      <c r="EH73" s="16"/>
      <c r="EI73" s="16"/>
      <c r="EJ73" s="16"/>
      <c r="EK73" s="80"/>
      <c r="EL73" s="81"/>
      <c r="EM73" s="16"/>
      <c r="EN73" s="16"/>
      <c r="EO73" s="16"/>
      <c r="EP73" s="16"/>
      <c r="EQ73" s="16"/>
      <c r="ER73" s="16"/>
      <c r="ES73" s="16"/>
      <c r="ET73" s="16"/>
      <c r="EU73" s="16"/>
      <c r="EV73" s="16"/>
      <c r="EW73" s="16"/>
      <c r="EX73" s="16"/>
      <c r="EY73" s="80"/>
      <c r="EZ73" s="81"/>
      <c r="FA73" s="16"/>
      <c r="FB73" s="16"/>
      <c r="FC73" s="16"/>
      <c r="FD73" s="16"/>
      <c r="FE73" s="16"/>
      <c r="FF73" s="16"/>
      <c r="FG73" s="16"/>
      <c r="FH73" s="16"/>
      <c r="FI73" s="16"/>
      <c r="FJ73" s="16"/>
      <c r="FK73" s="16"/>
      <c r="FM73" s="80"/>
      <c r="FN73" s="81"/>
      <c r="FO73" s="16"/>
      <c r="FP73" s="16"/>
      <c r="FQ73" s="16"/>
      <c r="FR73" s="16"/>
      <c r="FS73" s="16"/>
      <c r="FT73" s="16"/>
      <c r="FU73" s="16"/>
      <c r="FV73" s="16"/>
      <c r="FW73" s="16"/>
      <c r="FX73" s="16"/>
      <c r="FY73" s="16"/>
      <c r="GA73" s="80"/>
      <c r="GB73" s="81"/>
      <c r="GC73" s="16"/>
      <c r="GD73" s="16"/>
      <c r="GE73" s="16"/>
      <c r="GF73" s="16"/>
      <c r="GG73" s="16"/>
      <c r="GH73" s="16"/>
      <c r="GI73" s="16"/>
      <c r="GJ73" s="16"/>
      <c r="GK73" s="16"/>
      <c r="GL73" s="16"/>
      <c r="GM73" s="16"/>
    </row>
    <row r="74" spans="1:195" s="18" customFormat="1" ht="15" customHeight="1">
      <c r="A74" s="78">
        <v>1998</v>
      </c>
      <c r="B74" s="79" t="s">
        <v>44</v>
      </c>
      <c r="C74" s="15">
        <f t="shared" si="15"/>
        <v>0.96975959510754961</v>
      </c>
      <c r="D74" s="15">
        <f t="shared" si="16"/>
        <v>0.9759752111719513</v>
      </c>
      <c r="E74" s="15">
        <f t="shared" si="17"/>
        <v>0.99363137916490929</v>
      </c>
      <c r="F74" s="16"/>
      <c r="G74" s="33"/>
      <c r="H74" s="16">
        <v>23710</v>
      </c>
      <c r="I74" s="16">
        <f t="shared" si="13"/>
        <v>151</v>
      </c>
      <c r="J74" s="16">
        <v>23559</v>
      </c>
      <c r="K74" s="16">
        <v>22993</v>
      </c>
      <c r="L74" s="16">
        <f t="shared" si="14"/>
        <v>566</v>
      </c>
      <c r="M74" s="16"/>
      <c r="N74" s="16"/>
      <c r="O74" s="78"/>
      <c r="P74" s="79"/>
      <c r="Q74" s="41"/>
      <c r="R74" s="41"/>
      <c r="S74" s="41"/>
      <c r="T74" s="16"/>
      <c r="U74" s="16"/>
      <c r="V74" s="16"/>
      <c r="W74" s="16"/>
      <c r="X74" s="16"/>
      <c r="Y74" s="16"/>
      <c r="Z74" s="16"/>
      <c r="AA74" s="16"/>
      <c r="AB74" s="16"/>
      <c r="AC74" s="78"/>
      <c r="AD74" s="79"/>
      <c r="AE74" s="41"/>
      <c r="AF74" s="41"/>
      <c r="AG74" s="41"/>
      <c r="AH74" s="41"/>
      <c r="AI74" s="41"/>
      <c r="AJ74" s="16"/>
      <c r="AK74" s="16"/>
      <c r="AL74" s="16"/>
      <c r="AM74" s="16"/>
      <c r="AN74" s="16"/>
      <c r="AO74" s="16"/>
      <c r="AP74" s="16"/>
      <c r="AQ74" s="78"/>
      <c r="AR74" s="79"/>
      <c r="AS74" s="41"/>
      <c r="AT74" s="41"/>
      <c r="AU74" s="41"/>
      <c r="AV74" s="16"/>
      <c r="AW74" s="16"/>
      <c r="AX74" s="16"/>
      <c r="AY74" s="16"/>
      <c r="AZ74" s="16"/>
      <c r="BA74" s="16"/>
      <c r="BB74" s="16"/>
      <c r="BC74" s="16"/>
      <c r="BD74" s="16"/>
      <c r="BE74" s="78"/>
      <c r="BF74" s="79"/>
      <c r="BG74" s="41"/>
      <c r="BH74" s="41"/>
      <c r="BI74" s="41"/>
      <c r="BJ74" s="16"/>
      <c r="BK74" s="16"/>
      <c r="BL74" s="16"/>
      <c r="BM74" s="16"/>
      <c r="BN74" s="16"/>
      <c r="BO74" s="16"/>
      <c r="BP74" s="16"/>
      <c r="BQ74" s="16"/>
      <c r="BR74" s="16"/>
      <c r="BS74" s="78"/>
      <c r="BT74" s="79"/>
      <c r="BU74" s="41"/>
      <c r="BV74" s="41"/>
      <c r="BW74" s="41"/>
      <c r="BX74" s="16"/>
      <c r="BY74" s="16"/>
      <c r="BZ74" s="16"/>
      <c r="CA74" s="16"/>
      <c r="CB74" s="16"/>
      <c r="CC74" s="16"/>
      <c r="CD74" s="16"/>
      <c r="CE74" s="16"/>
      <c r="CF74" s="16"/>
      <c r="CG74" s="78"/>
      <c r="CH74" s="79"/>
      <c r="CI74" s="41"/>
      <c r="CJ74" s="41"/>
      <c r="CK74" s="41"/>
      <c r="CL74" s="16"/>
      <c r="CM74" s="16"/>
      <c r="CN74" s="16"/>
      <c r="CO74" s="16"/>
      <c r="CP74" s="16"/>
      <c r="CQ74" s="16"/>
      <c r="CR74" s="16"/>
      <c r="CS74" s="16"/>
      <c r="CT74" s="16"/>
      <c r="CU74" s="78"/>
      <c r="CV74" s="79"/>
      <c r="CW74" s="41"/>
      <c r="CX74" s="41"/>
      <c r="CY74" s="41"/>
      <c r="CZ74" s="16"/>
      <c r="DA74" s="16"/>
      <c r="DB74" s="16"/>
      <c r="DC74" s="16"/>
      <c r="DD74" s="16"/>
      <c r="DE74" s="16"/>
      <c r="DF74" s="16"/>
      <c r="DG74" s="16"/>
      <c r="DH74" s="16"/>
      <c r="DI74" s="78"/>
      <c r="DJ74" s="79"/>
      <c r="DK74" s="41"/>
      <c r="DL74" s="41"/>
      <c r="DM74" s="41"/>
      <c r="DN74" s="16"/>
      <c r="DO74" s="16"/>
      <c r="DP74" s="16"/>
      <c r="DQ74" s="16"/>
      <c r="DR74" s="16"/>
      <c r="DS74" s="16"/>
      <c r="DT74" s="16"/>
      <c r="DU74" s="16"/>
      <c r="DV74" s="16"/>
      <c r="DW74" s="78"/>
      <c r="DX74" s="79"/>
      <c r="DY74" s="41"/>
      <c r="DZ74" s="41"/>
      <c r="EA74" s="41"/>
      <c r="EB74" s="16"/>
      <c r="EC74" s="16"/>
      <c r="ED74" s="16"/>
      <c r="EE74" s="16"/>
      <c r="EF74" s="16"/>
      <c r="EG74" s="16"/>
      <c r="EH74" s="16"/>
      <c r="EI74" s="16"/>
      <c r="EJ74" s="16"/>
      <c r="EK74" s="78"/>
      <c r="EL74" s="79"/>
      <c r="EM74" s="16"/>
      <c r="EN74" s="16"/>
      <c r="EO74" s="16"/>
      <c r="EP74" s="16"/>
      <c r="EQ74" s="16"/>
      <c r="ER74" s="16"/>
      <c r="ES74" s="16"/>
      <c r="ET74" s="16"/>
      <c r="EU74" s="16"/>
      <c r="EV74" s="16"/>
      <c r="EW74" s="16"/>
      <c r="EX74" s="16"/>
      <c r="EY74" s="78"/>
      <c r="EZ74" s="79"/>
      <c r="FA74" s="16"/>
      <c r="FB74" s="16"/>
      <c r="FC74" s="16"/>
      <c r="FD74" s="16"/>
      <c r="FE74" s="16"/>
      <c r="FF74" s="16"/>
      <c r="FG74" s="16"/>
      <c r="FH74" s="16"/>
      <c r="FI74" s="16"/>
      <c r="FJ74" s="16"/>
      <c r="FK74" s="16"/>
      <c r="FM74" s="78"/>
      <c r="FN74" s="79"/>
      <c r="FO74" s="16"/>
      <c r="FP74" s="16"/>
      <c r="FQ74" s="16"/>
      <c r="FR74" s="16"/>
      <c r="FS74" s="16"/>
      <c r="FT74" s="16"/>
      <c r="FU74" s="16"/>
      <c r="FV74" s="16"/>
      <c r="FW74" s="16"/>
      <c r="FX74" s="16"/>
      <c r="FY74" s="16"/>
      <c r="GA74" s="78"/>
      <c r="GB74" s="79"/>
      <c r="GC74" s="16"/>
      <c r="GD74" s="16"/>
      <c r="GE74" s="16"/>
      <c r="GF74" s="16"/>
      <c r="GG74" s="16"/>
      <c r="GH74" s="16"/>
      <c r="GI74" s="16"/>
      <c r="GJ74" s="16"/>
      <c r="GK74" s="16"/>
      <c r="GL74" s="16"/>
      <c r="GM74" s="16"/>
    </row>
    <row r="75" spans="1:195" s="18" customFormat="1" ht="15" customHeight="1">
      <c r="A75" s="80">
        <v>1998</v>
      </c>
      <c r="B75" s="81" t="s">
        <v>45</v>
      </c>
      <c r="C75" s="15">
        <f t="shared" si="15"/>
        <v>0.96729654194301928</v>
      </c>
      <c r="D75" s="15">
        <f t="shared" si="16"/>
        <v>0.9768725250652962</v>
      </c>
      <c r="E75" s="15">
        <f t="shared" si="17"/>
        <v>0.99019730530179784</v>
      </c>
      <c r="F75" s="16"/>
      <c r="G75" s="33"/>
      <c r="H75" s="16">
        <v>23973</v>
      </c>
      <c r="I75" s="16">
        <f t="shared" si="13"/>
        <v>235</v>
      </c>
      <c r="J75" s="16">
        <v>23738</v>
      </c>
      <c r="K75" s="16">
        <v>23189</v>
      </c>
      <c r="L75" s="16">
        <f t="shared" si="14"/>
        <v>549</v>
      </c>
      <c r="M75" s="16"/>
      <c r="N75" s="16"/>
      <c r="O75" s="80"/>
      <c r="P75" s="81"/>
      <c r="Q75" s="41"/>
      <c r="R75" s="41"/>
      <c r="S75" s="41"/>
      <c r="T75" s="16"/>
      <c r="U75" s="16"/>
      <c r="V75" s="16"/>
      <c r="W75" s="16"/>
      <c r="X75" s="16"/>
      <c r="Y75" s="16"/>
      <c r="Z75" s="16"/>
      <c r="AA75" s="16"/>
      <c r="AB75" s="16"/>
      <c r="AC75" s="80"/>
      <c r="AD75" s="81"/>
      <c r="AE75" s="41"/>
      <c r="AF75" s="41"/>
      <c r="AG75" s="41"/>
      <c r="AH75" s="41"/>
      <c r="AI75" s="41"/>
      <c r="AJ75" s="16"/>
      <c r="AK75" s="16"/>
      <c r="AL75" s="16"/>
      <c r="AM75" s="16"/>
      <c r="AN75" s="16"/>
      <c r="AO75" s="16"/>
      <c r="AP75" s="16"/>
      <c r="AQ75" s="80"/>
      <c r="AR75" s="81"/>
      <c r="AS75" s="41"/>
      <c r="AT75" s="41"/>
      <c r="AU75" s="41"/>
      <c r="AV75" s="16"/>
      <c r="AW75" s="16"/>
      <c r="AX75" s="16"/>
      <c r="AY75" s="16"/>
      <c r="AZ75" s="16"/>
      <c r="BA75" s="16"/>
      <c r="BB75" s="16"/>
      <c r="BC75" s="16"/>
      <c r="BD75" s="16"/>
      <c r="BE75" s="80"/>
      <c r="BF75" s="81"/>
      <c r="BG75" s="41"/>
      <c r="BH75" s="41"/>
      <c r="BI75" s="41"/>
      <c r="BJ75" s="16"/>
      <c r="BK75" s="16"/>
      <c r="BL75" s="16"/>
      <c r="BM75" s="16"/>
      <c r="BN75" s="16"/>
      <c r="BO75" s="16"/>
      <c r="BP75" s="16"/>
      <c r="BQ75" s="16"/>
      <c r="BR75" s="16"/>
      <c r="BS75" s="80"/>
      <c r="BT75" s="81"/>
      <c r="BU75" s="41"/>
      <c r="BV75" s="41"/>
      <c r="BW75" s="41"/>
      <c r="BX75" s="16"/>
      <c r="BY75" s="16"/>
      <c r="BZ75" s="16"/>
      <c r="CA75" s="16"/>
      <c r="CB75" s="16"/>
      <c r="CC75" s="16"/>
      <c r="CD75" s="16"/>
      <c r="CE75" s="16"/>
      <c r="CF75" s="16"/>
      <c r="CG75" s="80"/>
      <c r="CH75" s="81"/>
      <c r="CI75" s="41"/>
      <c r="CJ75" s="41"/>
      <c r="CK75" s="41"/>
      <c r="CL75" s="16"/>
      <c r="CM75" s="16"/>
      <c r="CN75" s="16"/>
      <c r="CO75" s="16"/>
      <c r="CP75" s="16"/>
      <c r="CQ75" s="16"/>
      <c r="CR75" s="16"/>
      <c r="CS75" s="16"/>
      <c r="CT75" s="16"/>
      <c r="CU75" s="80"/>
      <c r="CV75" s="81"/>
      <c r="CW75" s="41"/>
      <c r="CX75" s="41"/>
      <c r="CY75" s="41"/>
      <c r="CZ75" s="16"/>
      <c r="DA75" s="16"/>
      <c r="DB75" s="16"/>
      <c r="DC75" s="16"/>
      <c r="DD75" s="16"/>
      <c r="DE75" s="16"/>
      <c r="DF75" s="16"/>
      <c r="DG75" s="16"/>
      <c r="DH75" s="16"/>
      <c r="DI75" s="80"/>
      <c r="DJ75" s="81"/>
      <c r="DK75" s="41"/>
      <c r="DL75" s="41"/>
      <c r="DM75" s="41"/>
      <c r="DN75" s="16"/>
      <c r="DO75" s="16"/>
      <c r="DP75" s="16"/>
      <c r="DQ75" s="16"/>
      <c r="DR75" s="16"/>
      <c r="DS75" s="16"/>
      <c r="DT75" s="16"/>
      <c r="DU75" s="16"/>
      <c r="DV75" s="16"/>
      <c r="DW75" s="80"/>
      <c r="DX75" s="81"/>
      <c r="DY75" s="41"/>
      <c r="DZ75" s="41"/>
      <c r="EA75" s="41"/>
      <c r="EB75" s="16"/>
      <c r="EC75" s="16"/>
      <c r="ED75" s="16"/>
      <c r="EE75" s="16"/>
      <c r="EF75" s="16"/>
      <c r="EG75" s="16"/>
      <c r="EH75" s="16"/>
      <c r="EI75" s="16"/>
      <c r="EJ75" s="16"/>
      <c r="EK75" s="80"/>
      <c r="EL75" s="81"/>
      <c r="EM75" s="16"/>
      <c r="EN75" s="16"/>
      <c r="EO75" s="16"/>
      <c r="EP75" s="16"/>
      <c r="EQ75" s="16"/>
      <c r="ER75" s="16"/>
      <c r="ES75" s="16"/>
      <c r="ET75" s="16"/>
      <c r="EU75" s="16"/>
      <c r="EV75" s="16"/>
      <c r="EW75" s="16"/>
      <c r="EX75" s="16"/>
      <c r="EY75" s="80"/>
      <c r="EZ75" s="81"/>
      <c r="FA75" s="16"/>
      <c r="FB75" s="16"/>
      <c r="FC75" s="16"/>
      <c r="FD75" s="16"/>
      <c r="FE75" s="16"/>
      <c r="FF75" s="16"/>
      <c r="FG75" s="16"/>
      <c r="FH75" s="16"/>
      <c r="FI75" s="16"/>
      <c r="FJ75" s="16"/>
      <c r="FK75" s="16"/>
      <c r="FM75" s="80"/>
      <c r="FN75" s="81"/>
      <c r="FO75" s="16"/>
      <c r="FP75" s="16"/>
      <c r="FQ75" s="16"/>
      <c r="FR75" s="16"/>
      <c r="FS75" s="16"/>
      <c r="FT75" s="16"/>
      <c r="FU75" s="16"/>
      <c r="FV75" s="16"/>
      <c r="FW75" s="16"/>
      <c r="FX75" s="16"/>
      <c r="FY75" s="16"/>
      <c r="GA75" s="80"/>
      <c r="GB75" s="81"/>
      <c r="GC75" s="16"/>
      <c r="GD75" s="16"/>
      <c r="GE75" s="16"/>
      <c r="GF75" s="16"/>
      <c r="GG75" s="16"/>
      <c r="GH75" s="16"/>
      <c r="GI75" s="16"/>
      <c r="GJ75" s="16"/>
      <c r="GK75" s="16"/>
      <c r="GL75" s="16"/>
      <c r="GM75" s="16"/>
    </row>
    <row r="76" spans="1:195" s="18" customFormat="1" ht="15" customHeight="1">
      <c r="A76" s="78">
        <v>1998</v>
      </c>
      <c r="B76" s="79" t="s">
        <v>46</v>
      </c>
      <c r="C76" s="15">
        <f t="shared" si="15"/>
        <v>0.97167006455997285</v>
      </c>
      <c r="D76" s="15">
        <f t="shared" si="16"/>
        <v>0.97693983003800655</v>
      </c>
      <c r="E76" s="15">
        <f t="shared" si="17"/>
        <v>0.99460584437648658</v>
      </c>
      <c r="F76" s="16"/>
      <c r="G76" s="33"/>
      <c r="H76" s="16">
        <v>23544</v>
      </c>
      <c r="I76" s="16">
        <f t="shared" si="13"/>
        <v>127</v>
      </c>
      <c r="J76" s="16">
        <v>23417</v>
      </c>
      <c r="K76" s="16">
        <v>22877</v>
      </c>
      <c r="L76" s="16">
        <f t="shared" si="14"/>
        <v>540</v>
      </c>
      <c r="M76" s="16"/>
      <c r="N76" s="16"/>
      <c r="O76" s="78"/>
      <c r="P76" s="79"/>
      <c r="Q76" s="41"/>
      <c r="R76" s="41"/>
      <c r="S76" s="41"/>
      <c r="T76" s="16"/>
      <c r="U76" s="16"/>
      <c r="V76" s="16"/>
      <c r="W76" s="16"/>
      <c r="X76" s="16"/>
      <c r="Y76" s="16"/>
      <c r="Z76" s="16"/>
      <c r="AA76" s="16"/>
      <c r="AB76" s="16"/>
      <c r="AC76" s="78"/>
      <c r="AD76" s="79"/>
      <c r="AE76" s="41"/>
      <c r="AF76" s="41"/>
      <c r="AG76" s="41"/>
      <c r="AH76" s="41"/>
      <c r="AI76" s="41"/>
      <c r="AJ76" s="16"/>
      <c r="AK76" s="16"/>
      <c r="AL76" s="16"/>
      <c r="AM76" s="16"/>
      <c r="AN76" s="16"/>
      <c r="AO76" s="16"/>
      <c r="AP76" s="16"/>
      <c r="AQ76" s="78"/>
      <c r="AR76" s="79"/>
      <c r="AS76" s="41"/>
      <c r="AT76" s="41"/>
      <c r="AU76" s="41"/>
      <c r="AV76" s="16"/>
      <c r="AW76" s="16"/>
      <c r="AX76" s="16"/>
      <c r="AY76" s="16"/>
      <c r="AZ76" s="16"/>
      <c r="BA76" s="16"/>
      <c r="BB76" s="16"/>
      <c r="BC76" s="16"/>
      <c r="BD76" s="16"/>
      <c r="BE76" s="78"/>
      <c r="BF76" s="79"/>
      <c r="BG76" s="41"/>
      <c r="BH76" s="41"/>
      <c r="BI76" s="41"/>
      <c r="BJ76" s="16"/>
      <c r="BK76" s="16"/>
      <c r="BL76" s="16"/>
      <c r="BM76" s="16"/>
      <c r="BN76" s="16"/>
      <c r="BO76" s="16"/>
      <c r="BP76" s="16"/>
      <c r="BQ76" s="16"/>
      <c r="BR76" s="16"/>
      <c r="BS76" s="78"/>
      <c r="BT76" s="79"/>
      <c r="BU76" s="41"/>
      <c r="BV76" s="41"/>
      <c r="BW76" s="41"/>
      <c r="BX76" s="16"/>
      <c r="BY76" s="16"/>
      <c r="BZ76" s="16"/>
      <c r="CA76" s="16"/>
      <c r="CB76" s="16"/>
      <c r="CC76" s="16"/>
      <c r="CD76" s="16"/>
      <c r="CE76" s="16"/>
      <c r="CF76" s="16"/>
      <c r="CG76" s="78"/>
      <c r="CH76" s="79"/>
      <c r="CI76" s="41"/>
      <c r="CJ76" s="41"/>
      <c r="CK76" s="41"/>
      <c r="CL76" s="16"/>
      <c r="CM76" s="16"/>
      <c r="CN76" s="16"/>
      <c r="CO76" s="16"/>
      <c r="CP76" s="16"/>
      <c r="CQ76" s="16"/>
      <c r="CR76" s="16"/>
      <c r="CS76" s="16"/>
      <c r="CT76" s="16"/>
      <c r="CU76" s="78"/>
      <c r="CV76" s="79"/>
      <c r="CW76" s="41"/>
      <c r="CX76" s="41"/>
      <c r="CY76" s="41"/>
      <c r="CZ76" s="16"/>
      <c r="DA76" s="16"/>
      <c r="DB76" s="16"/>
      <c r="DC76" s="16"/>
      <c r="DD76" s="16"/>
      <c r="DE76" s="16"/>
      <c r="DF76" s="16"/>
      <c r="DG76" s="16"/>
      <c r="DH76" s="16"/>
      <c r="DI76" s="78"/>
      <c r="DJ76" s="79"/>
      <c r="DK76" s="41"/>
      <c r="DL76" s="41"/>
      <c r="DM76" s="41"/>
      <c r="DN76" s="16"/>
      <c r="DO76" s="16"/>
      <c r="DP76" s="16"/>
      <c r="DQ76" s="16"/>
      <c r="DR76" s="16"/>
      <c r="DS76" s="16"/>
      <c r="DT76" s="16"/>
      <c r="DU76" s="16"/>
      <c r="DV76" s="16"/>
      <c r="DW76" s="78"/>
      <c r="DX76" s="79"/>
      <c r="DY76" s="41"/>
      <c r="DZ76" s="41"/>
      <c r="EA76" s="41"/>
      <c r="EB76" s="16"/>
      <c r="EC76" s="16"/>
      <c r="ED76" s="16"/>
      <c r="EE76" s="16"/>
      <c r="EF76" s="16"/>
      <c r="EG76" s="16"/>
      <c r="EH76" s="16"/>
      <c r="EI76" s="16"/>
      <c r="EJ76" s="16"/>
      <c r="EK76" s="78"/>
      <c r="EL76" s="79"/>
      <c r="EM76" s="16"/>
      <c r="EN76" s="16"/>
      <c r="EO76" s="16"/>
      <c r="EP76" s="16"/>
      <c r="EQ76" s="16"/>
      <c r="ER76" s="16"/>
      <c r="ES76" s="16"/>
      <c r="ET76" s="16"/>
      <c r="EU76" s="16"/>
      <c r="EV76" s="16"/>
      <c r="EW76" s="16"/>
      <c r="EX76" s="16"/>
      <c r="EY76" s="78"/>
      <c r="EZ76" s="79"/>
      <c r="FA76" s="16"/>
      <c r="FB76" s="16"/>
      <c r="FC76" s="16"/>
      <c r="FD76" s="16"/>
      <c r="FE76" s="16"/>
      <c r="FF76" s="16"/>
      <c r="FG76" s="16"/>
      <c r="FH76" s="16"/>
      <c r="FI76" s="16"/>
      <c r="FJ76" s="16"/>
      <c r="FK76" s="16"/>
      <c r="FM76" s="78"/>
      <c r="FN76" s="79"/>
      <c r="FO76" s="16"/>
      <c r="FP76" s="16"/>
      <c r="FQ76" s="16"/>
      <c r="FR76" s="16"/>
      <c r="FS76" s="16"/>
      <c r="FT76" s="16"/>
      <c r="FU76" s="16"/>
      <c r="FV76" s="16"/>
      <c r="FW76" s="16"/>
      <c r="FX76" s="16"/>
      <c r="FY76" s="16"/>
      <c r="GA76" s="78"/>
      <c r="GB76" s="79"/>
      <c r="GC76" s="16"/>
      <c r="GD76" s="16"/>
      <c r="GE76" s="16"/>
      <c r="GF76" s="16"/>
      <c r="GG76" s="16"/>
      <c r="GH76" s="16"/>
      <c r="GI76" s="16"/>
      <c r="GJ76" s="16"/>
      <c r="GK76" s="16"/>
      <c r="GL76" s="16"/>
      <c r="GM76" s="16"/>
    </row>
    <row r="77" spans="1:195" s="18" customFormat="1" ht="15" customHeight="1">
      <c r="A77" s="80">
        <v>1998</v>
      </c>
      <c r="B77" s="81" t="s">
        <v>47</v>
      </c>
      <c r="C77" s="15">
        <f t="shared" si="15"/>
        <v>0.93406639176975303</v>
      </c>
      <c r="D77" s="15">
        <f t="shared" si="16"/>
        <v>0.98165900634712189</v>
      </c>
      <c r="E77" s="15">
        <f t="shared" si="17"/>
        <v>0.95151818068224414</v>
      </c>
      <c r="F77" s="16"/>
      <c r="G77" s="33"/>
      <c r="H77" s="16">
        <v>24009</v>
      </c>
      <c r="I77" s="16">
        <f t="shared" si="13"/>
        <v>1164</v>
      </c>
      <c r="J77" s="16">
        <v>22845</v>
      </c>
      <c r="K77" s="16">
        <v>22426</v>
      </c>
      <c r="L77" s="16">
        <f t="shared" si="14"/>
        <v>419</v>
      </c>
      <c r="M77" s="16"/>
      <c r="N77" s="16"/>
      <c r="O77" s="80"/>
      <c r="P77" s="81"/>
      <c r="Q77" s="41"/>
      <c r="R77" s="41"/>
      <c r="S77" s="41"/>
      <c r="T77" s="16"/>
      <c r="U77" s="16"/>
      <c r="V77" s="16"/>
      <c r="W77" s="16"/>
      <c r="X77" s="16"/>
      <c r="Y77" s="16"/>
      <c r="Z77" s="16"/>
      <c r="AA77" s="16"/>
      <c r="AB77" s="16"/>
      <c r="AC77" s="80"/>
      <c r="AD77" s="81"/>
      <c r="AE77" s="41"/>
      <c r="AF77" s="41"/>
      <c r="AG77" s="41"/>
      <c r="AH77" s="41"/>
      <c r="AI77" s="41"/>
      <c r="AJ77" s="16"/>
      <c r="AK77" s="16"/>
      <c r="AL77" s="16"/>
      <c r="AM77" s="16"/>
      <c r="AN77" s="16"/>
      <c r="AO77" s="16"/>
      <c r="AP77" s="16"/>
      <c r="AQ77" s="80"/>
      <c r="AR77" s="81"/>
      <c r="AS77" s="41"/>
      <c r="AT77" s="41"/>
      <c r="AU77" s="41"/>
      <c r="AV77" s="16"/>
      <c r="AW77" s="16"/>
      <c r="AX77" s="16"/>
      <c r="AY77" s="16"/>
      <c r="AZ77" s="16"/>
      <c r="BA77" s="16"/>
      <c r="BB77" s="16"/>
      <c r="BC77" s="16"/>
      <c r="BD77" s="16"/>
      <c r="BE77" s="80"/>
      <c r="BF77" s="81"/>
      <c r="BG77" s="41"/>
      <c r="BH77" s="41"/>
      <c r="BI77" s="41"/>
      <c r="BJ77" s="16"/>
      <c r="BK77" s="16"/>
      <c r="BL77" s="16"/>
      <c r="BM77" s="16"/>
      <c r="BN77" s="16"/>
      <c r="BO77" s="16"/>
      <c r="BP77" s="16"/>
      <c r="BQ77" s="16"/>
      <c r="BR77" s="16"/>
      <c r="BS77" s="80"/>
      <c r="BT77" s="81"/>
      <c r="BU77" s="41"/>
      <c r="BV77" s="41"/>
      <c r="BW77" s="41"/>
      <c r="BX77" s="16"/>
      <c r="BY77" s="16"/>
      <c r="BZ77" s="16"/>
      <c r="CA77" s="16"/>
      <c r="CB77" s="16"/>
      <c r="CC77" s="16"/>
      <c r="CD77" s="16"/>
      <c r="CE77" s="16"/>
      <c r="CF77" s="16"/>
      <c r="CG77" s="80"/>
      <c r="CH77" s="81"/>
      <c r="CI77" s="41"/>
      <c r="CJ77" s="41"/>
      <c r="CK77" s="41"/>
      <c r="CL77" s="16"/>
      <c r="CM77" s="16"/>
      <c r="CN77" s="16"/>
      <c r="CO77" s="16"/>
      <c r="CP77" s="16"/>
      <c r="CQ77" s="16"/>
      <c r="CR77" s="16"/>
      <c r="CS77" s="16"/>
      <c r="CT77" s="16"/>
      <c r="CU77" s="80"/>
      <c r="CV77" s="81"/>
      <c r="CW77" s="41"/>
      <c r="CX77" s="41"/>
      <c r="CY77" s="41"/>
      <c r="CZ77" s="16"/>
      <c r="DA77" s="16"/>
      <c r="DB77" s="16"/>
      <c r="DC77" s="16"/>
      <c r="DD77" s="16"/>
      <c r="DE77" s="16"/>
      <c r="DF77" s="16"/>
      <c r="DG77" s="16"/>
      <c r="DH77" s="16"/>
      <c r="DI77" s="80"/>
      <c r="DJ77" s="81"/>
      <c r="DK77" s="41"/>
      <c r="DL77" s="41"/>
      <c r="DM77" s="41"/>
      <c r="DN77" s="16"/>
      <c r="DO77" s="16"/>
      <c r="DP77" s="16"/>
      <c r="DQ77" s="16"/>
      <c r="DR77" s="16"/>
      <c r="DS77" s="16"/>
      <c r="DT77" s="16"/>
      <c r="DU77" s="16"/>
      <c r="DV77" s="16"/>
      <c r="DW77" s="80"/>
      <c r="DX77" s="81"/>
      <c r="DY77" s="41"/>
      <c r="DZ77" s="41"/>
      <c r="EA77" s="41"/>
      <c r="EB77" s="16"/>
      <c r="EC77" s="16"/>
      <c r="ED77" s="16"/>
      <c r="EE77" s="16"/>
      <c r="EF77" s="16"/>
      <c r="EG77" s="16"/>
      <c r="EH77" s="16"/>
      <c r="EI77" s="16"/>
      <c r="EJ77" s="16"/>
      <c r="EK77" s="80"/>
      <c r="EL77" s="81"/>
      <c r="EM77" s="16"/>
      <c r="EN77" s="16"/>
      <c r="EO77" s="16"/>
      <c r="EP77" s="16"/>
      <c r="EQ77" s="16"/>
      <c r="ER77" s="16"/>
      <c r="ES77" s="16"/>
      <c r="ET77" s="16"/>
      <c r="EU77" s="16"/>
      <c r="EV77" s="16"/>
      <c r="EW77" s="16"/>
      <c r="EX77" s="16"/>
      <c r="EY77" s="80"/>
      <c r="EZ77" s="81"/>
      <c r="FA77" s="16"/>
      <c r="FB77" s="16"/>
      <c r="FC77" s="16"/>
      <c r="FD77" s="16"/>
      <c r="FE77" s="16"/>
      <c r="FF77" s="16"/>
      <c r="FG77" s="16"/>
      <c r="FH77" s="16"/>
      <c r="FI77" s="16"/>
      <c r="FJ77" s="16"/>
      <c r="FK77" s="16"/>
      <c r="FM77" s="80"/>
      <c r="FN77" s="81"/>
      <c r="FO77" s="16"/>
      <c r="FP77" s="16"/>
      <c r="FQ77" s="16"/>
      <c r="FR77" s="16"/>
      <c r="FS77" s="16"/>
      <c r="FT77" s="16"/>
      <c r="FU77" s="16"/>
      <c r="FV77" s="16"/>
      <c r="FW77" s="16"/>
      <c r="FX77" s="16"/>
      <c r="FY77" s="16"/>
      <c r="GA77" s="80"/>
      <c r="GB77" s="81"/>
      <c r="GC77" s="16"/>
      <c r="GD77" s="16"/>
      <c r="GE77" s="16"/>
      <c r="GF77" s="16"/>
      <c r="GG77" s="16"/>
      <c r="GH77" s="16"/>
      <c r="GI77" s="16"/>
      <c r="GJ77" s="16"/>
      <c r="GK77" s="16"/>
      <c r="GL77" s="16"/>
      <c r="GM77" s="16"/>
    </row>
    <row r="78" spans="1:195" s="18" customFormat="1" ht="15" customHeight="1">
      <c r="A78" s="78">
        <v>1999</v>
      </c>
      <c r="B78" s="79" t="s">
        <v>36</v>
      </c>
      <c r="C78" s="15">
        <f t="shared" si="15"/>
        <v>0.97150661903761293</v>
      </c>
      <c r="D78" s="15">
        <f t="shared" si="16"/>
        <v>0.979782995676867</v>
      </c>
      <c r="E78" s="15">
        <f t="shared" si="17"/>
        <v>0.99155284723681447</v>
      </c>
      <c r="F78" s="16"/>
      <c r="G78" s="33"/>
      <c r="H78" s="16">
        <v>23795</v>
      </c>
      <c r="I78" s="16">
        <f t="shared" ref="I78:I89" si="18">H78-J78</f>
        <v>201</v>
      </c>
      <c r="J78" s="16">
        <v>23594</v>
      </c>
      <c r="K78" s="16">
        <v>23117</v>
      </c>
      <c r="L78" s="16">
        <f t="shared" ref="L78:L89" si="19">J78-K78</f>
        <v>477</v>
      </c>
      <c r="M78" s="16"/>
      <c r="N78" s="16"/>
      <c r="O78" s="78"/>
      <c r="P78" s="79"/>
      <c r="Q78" s="41"/>
      <c r="R78" s="41"/>
      <c r="S78" s="41"/>
      <c r="T78" s="16"/>
      <c r="U78" s="16"/>
      <c r="V78" s="16"/>
      <c r="W78" s="16"/>
      <c r="X78" s="16"/>
      <c r="Y78" s="16"/>
      <c r="Z78" s="16"/>
      <c r="AA78" s="16"/>
      <c r="AB78" s="16"/>
      <c r="AC78" s="78"/>
      <c r="AD78" s="79"/>
      <c r="AE78" s="41"/>
      <c r="AF78" s="41"/>
      <c r="AG78" s="41"/>
      <c r="AH78" s="41"/>
      <c r="AI78" s="41"/>
      <c r="AJ78" s="16"/>
      <c r="AK78" s="16"/>
      <c r="AL78" s="16"/>
      <c r="AM78" s="16"/>
      <c r="AN78" s="16"/>
      <c r="AO78" s="16"/>
      <c r="AP78" s="16"/>
      <c r="AQ78" s="78"/>
      <c r="AR78" s="79"/>
      <c r="AS78" s="41"/>
      <c r="AT78" s="41"/>
      <c r="AU78" s="41"/>
      <c r="AV78" s="16"/>
      <c r="AW78" s="16"/>
      <c r="AX78" s="16"/>
      <c r="AY78" s="16"/>
      <c r="AZ78" s="16"/>
      <c r="BA78" s="16"/>
      <c r="BB78" s="16"/>
      <c r="BC78" s="16"/>
      <c r="BD78" s="16"/>
      <c r="BE78" s="78"/>
      <c r="BF78" s="79"/>
      <c r="BG78" s="41"/>
      <c r="BH78" s="41"/>
      <c r="BI78" s="41"/>
      <c r="BJ78" s="16"/>
      <c r="BK78" s="16"/>
      <c r="BL78" s="16"/>
      <c r="BM78" s="16"/>
      <c r="BN78" s="16"/>
      <c r="BO78" s="16"/>
      <c r="BP78" s="16"/>
      <c r="BQ78" s="16"/>
      <c r="BR78" s="16"/>
      <c r="BS78" s="78"/>
      <c r="BT78" s="79"/>
      <c r="BU78" s="41"/>
      <c r="BV78" s="41"/>
      <c r="BW78" s="41"/>
      <c r="BX78" s="16"/>
      <c r="BY78" s="16"/>
      <c r="BZ78" s="16"/>
      <c r="CA78" s="16"/>
      <c r="CB78" s="16"/>
      <c r="CC78" s="16"/>
      <c r="CD78" s="16"/>
      <c r="CE78" s="16"/>
      <c r="CF78" s="16"/>
      <c r="CG78" s="78"/>
      <c r="CH78" s="79"/>
      <c r="CI78" s="41"/>
      <c r="CJ78" s="41"/>
      <c r="CK78" s="41"/>
      <c r="CL78" s="16"/>
      <c r="CM78" s="16"/>
      <c r="CN78" s="16"/>
      <c r="CO78" s="16"/>
      <c r="CP78" s="16"/>
      <c r="CQ78" s="16"/>
      <c r="CR78" s="16"/>
      <c r="CS78" s="16"/>
      <c r="CT78" s="16"/>
      <c r="CU78" s="78"/>
      <c r="CV78" s="79"/>
      <c r="CW78" s="41"/>
      <c r="CX78" s="41"/>
      <c r="CY78" s="41"/>
      <c r="CZ78" s="16"/>
      <c r="DA78" s="16"/>
      <c r="DB78" s="16"/>
      <c r="DC78" s="16"/>
      <c r="DD78" s="16"/>
      <c r="DE78" s="16"/>
      <c r="DF78" s="16"/>
      <c r="DG78" s="16"/>
      <c r="DH78" s="16"/>
      <c r="DI78" s="78"/>
      <c r="DJ78" s="79"/>
      <c r="DK78" s="41"/>
      <c r="DL78" s="41"/>
      <c r="DM78" s="41"/>
      <c r="DN78" s="16"/>
      <c r="DO78" s="16"/>
      <c r="DP78" s="16"/>
      <c r="DQ78" s="16"/>
      <c r="DR78" s="16"/>
      <c r="DS78" s="16"/>
      <c r="DT78" s="16"/>
      <c r="DU78" s="16"/>
      <c r="DV78" s="16"/>
      <c r="DW78" s="78"/>
      <c r="DX78" s="79"/>
      <c r="DY78" s="41"/>
      <c r="DZ78" s="41"/>
      <c r="EA78" s="41"/>
      <c r="EB78" s="16"/>
      <c r="EC78" s="16"/>
      <c r="ED78" s="16"/>
      <c r="EE78" s="16"/>
      <c r="EF78" s="16"/>
      <c r="EG78" s="16"/>
      <c r="EH78" s="16"/>
      <c r="EI78" s="16"/>
      <c r="EJ78" s="16"/>
      <c r="EK78" s="78"/>
      <c r="EL78" s="79"/>
      <c r="EM78" s="16"/>
      <c r="EN78" s="16"/>
      <c r="EO78" s="16"/>
      <c r="EP78" s="16"/>
      <c r="EQ78" s="16"/>
      <c r="ER78" s="16"/>
      <c r="ES78" s="16"/>
      <c r="ET78" s="16"/>
      <c r="EU78" s="16"/>
      <c r="EV78" s="16"/>
      <c r="EW78" s="16"/>
      <c r="EX78" s="16"/>
      <c r="EY78" s="78"/>
      <c r="EZ78" s="79"/>
      <c r="FA78" s="16"/>
      <c r="FB78" s="16"/>
      <c r="FC78" s="16"/>
      <c r="FD78" s="16"/>
      <c r="FE78" s="16"/>
      <c r="FF78" s="16"/>
      <c r="FG78" s="16"/>
      <c r="FH78" s="16"/>
      <c r="FI78" s="16"/>
      <c r="FJ78" s="16"/>
      <c r="FK78" s="16"/>
      <c r="FM78" s="78"/>
      <c r="FN78" s="79"/>
      <c r="FO78" s="16"/>
      <c r="FP78" s="16"/>
      <c r="FQ78" s="16"/>
      <c r="FR78" s="16"/>
      <c r="FS78" s="16"/>
      <c r="FT78" s="16"/>
      <c r="FU78" s="16"/>
      <c r="FV78" s="16"/>
      <c r="FW78" s="16"/>
      <c r="FX78" s="16"/>
      <c r="FY78" s="16"/>
      <c r="GA78" s="78"/>
      <c r="GB78" s="79"/>
      <c r="GC78" s="16"/>
      <c r="GD78" s="16"/>
      <c r="GE78" s="16"/>
      <c r="GF78" s="16"/>
      <c r="GG78" s="16"/>
      <c r="GH78" s="16"/>
      <c r="GI78" s="16"/>
      <c r="GJ78" s="16"/>
      <c r="GK78" s="16"/>
      <c r="GL78" s="16"/>
      <c r="GM78" s="16"/>
    </row>
    <row r="79" spans="1:195" s="18" customFormat="1" ht="15" customHeight="1">
      <c r="A79" s="80">
        <v>1999</v>
      </c>
      <c r="B79" s="81" t="s">
        <v>37</v>
      </c>
      <c r="C79" s="15">
        <f t="shared" si="15"/>
        <v>0.97509457755359397</v>
      </c>
      <c r="D79" s="15">
        <f t="shared" si="16"/>
        <v>0.97910731244064575</v>
      </c>
      <c r="E79" s="15">
        <f t="shared" si="17"/>
        <v>0.99590163934426235</v>
      </c>
      <c r="F79" s="16"/>
      <c r="G79" s="33"/>
      <c r="H79" s="16">
        <v>22204</v>
      </c>
      <c r="I79" s="16">
        <f t="shared" si="18"/>
        <v>91</v>
      </c>
      <c r="J79" s="16">
        <v>22113</v>
      </c>
      <c r="K79" s="16">
        <v>21651</v>
      </c>
      <c r="L79" s="16">
        <f t="shared" si="19"/>
        <v>462</v>
      </c>
      <c r="M79" s="16"/>
      <c r="N79" s="16"/>
      <c r="O79" s="80"/>
      <c r="P79" s="81"/>
      <c r="Q79" s="41"/>
      <c r="R79" s="41"/>
      <c r="S79" s="41"/>
      <c r="T79" s="16"/>
      <c r="U79" s="16"/>
      <c r="V79" s="16"/>
      <c r="W79" s="16"/>
      <c r="X79" s="16"/>
      <c r="Y79" s="16"/>
      <c r="Z79" s="16"/>
      <c r="AA79" s="16"/>
      <c r="AB79" s="16"/>
      <c r="AC79" s="80"/>
      <c r="AD79" s="81"/>
      <c r="AE79" s="41"/>
      <c r="AF79" s="41"/>
      <c r="AG79" s="41"/>
      <c r="AH79" s="41"/>
      <c r="AI79" s="41"/>
      <c r="AJ79" s="16"/>
      <c r="AK79" s="16"/>
      <c r="AL79" s="16"/>
      <c r="AM79" s="16"/>
      <c r="AN79" s="16"/>
      <c r="AO79" s="16"/>
      <c r="AP79" s="16"/>
      <c r="AQ79" s="80"/>
      <c r="AR79" s="81"/>
      <c r="AS79" s="41"/>
      <c r="AT79" s="41"/>
      <c r="AU79" s="41"/>
      <c r="AV79" s="16"/>
      <c r="AW79" s="16"/>
      <c r="AX79" s="16"/>
      <c r="AY79" s="16"/>
      <c r="AZ79" s="16"/>
      <c r="BA79" s="16"/>
      <c r="BB79" s="16"/>
      <c r="BC79" s="16"/>
      <c r="BD79" s="16"/>
      <c r="BE79" s="80"/>
      <c r="BF79" s="81"/>
      <c r="BG79" s="41"/>
      <c r="BH79" s="41"/>
      <c r="BI79" s="41"/>
      <c r="BJ79" s="16"/>
      <c r="BK79" s="16"/>
      <c r="BL79" s="16"/>
      <c r="BM79" s="16"/>
      <c r="BN79" s="16"/>
      <c r="BO79" s="16"/>
      <c r="BP79" s="16"/>
      <c r="BQ79" s="16"/>
      <c r="BR79" s="16"/>
      <c r="BS79" s="80"/>
      <c r="BT79" s="81"/>
      <c r="BU79" s="41"/>
      <c r="BV79" s="41"/>
      <c r="BW79" s="41"/>
      <c r="BX79" s="16"/>
      <c r="BY79" s="16"/>
      <c r="BZ79" s="16"/>
      <c r="CA79" s="16"/>
      <c r="CB79" s="16"/>
      <c r="CC79" s="16"/>
      <c r="CD79" s="16"/>
      <c r="CE79" s="16"/>
      <c r="CF79" s="16"/>
      <c r="CG79" s="80"/>
      <c r="CH79" s="81"/>
      <c r="CI79" s="41"/>
      <c r="CJ79" s="41"/>
      <c r="CK79" s="41"/>
      <c r="CL79" s="16"/>
      <c r="CM79" s="16"/>
      <c r="CN79" s="16"/>
      <c r="CO79" s="16"/>
      <c r="CP79" s="16"/>
      <c r="CQ79" s="16"/>
      <c r="CR79" s="16"/>
      <c r="CS79" s="16"/>
      <c r="CT79" s="16"/>
      <c r="CU79" s="80"/>
      <c r="CV79" s="81"/>
      <c r="CW79" s="41"/>
      <c r="CX79" s="41"/>
      <c r="CY79" s="41"/>
      <c r="CZ79" s="16"/>
      <c r="DA79" s="16"/>
      <c r="DB79" s="16"/>
      <c r="DC79" s="16"/>
      <c r="DD79" s="16"/>
      <c r="DE79" s="16"/>
      <c r="DF79" s="16"/>
      <c r="DG79" s="16"/>
      <c r="DH79" s="16"/>
      <c r="DI79" s="80"/>
      <c r="DJ79" s="81"/>
      <c r="DK79" s="41"/>
      <c r="DL79" s="41"/>
      <c r="DM79" s="41"/>
      <c r="DN79" s="16"/>
      <c r="DO79" s="16"/>
      <c r="DP79" s="16"/>
      <c r="DQ79" s="16"/>
      <c r="DR79" s="16"/>
      <c r="DS79" s="16"/>
      <c r="DT79" s="16"/>
      <c r="DU79" s="16"/>
      <c r="DV79" s="16"/>
      <c r="DW79" s="80"/>
      <c r="DX79" s="81"/>
      <c r="DY79" s="41"/>
      <c r="DZ79" s="41"/>
      <c r="EA79" s="41"/>
      <c r="EB79" s="16"/>
      <c r="EC79" s="16"/>
      <c r="ED79" s="16"/>
      <c r="EE79" s="16"/>
      <c r="EF79" s="16"/>
      <c r="EG79" s="16"/>
      <c r="EH79" s="16"/>
      <c r="EI79" s="16"/>
      <c r="EJ79" s="16"/>
      <c r="EK79" s="80"/>
      <c r="EL79" s="81"/>
      <c r="EM79" s="16"/>
      <c r="EN79" s="16"/>
      <c r="EO79" s="16"/>
      <c r="EP79" s="16"/>
      <c r="EQ79" s="16"/>
      <c r="ER79" s="16"/>
      <c r="ES79" s="16"/>
      <c r="ET79" s="16"/>
      <c r="EU79" s="16"/>
      <c r="EV79" s="16"/>
      <c r="EW79" s="16"/>
      <c r="EX79" s="16"/>
      <c r="EY79" s="80"/>
      <c r="EZ79" s="81"/>
      <c r="FA79" s="16"/>
      <c r="FB79" s="16"/>
      <c r="FC79" s="16"/>
      <c r="FD79" s="16"/>
      <c r="FE79" s="16"/>
      <c r="FF79" s="16"/>
      <c r="FG79" s="16"/>
      <c r="FH79" s="16"/>
      <c r="FI79" s="16"/>
      <c r="FJ79" s="16"/>
      <c r="FK79" s="16"/>
      <c r="FM79" s="80"/>
      <c r="FN79" s="81"/>
      <c r="FO79" s="16"/>
      <c r="FP79" s="16"/>
      <c r="FQ79" s="16"/>
      <c r="FR79" s="16"/>
      <c r="FS79" s="16"/>
      <c r="FT79" s="16"/>
      <c r="FU79" s="16"/>
      <c r="FV79" s="16"/>
      <c r="FW79" s="16"/>
      <c r="FX79" s="16"/>
      <c r="FY79" s="16"/>
      <c r="GA79" s="80"/>
      <c r="GB79" s="81"/>
      <c r="GC79" s="16"/>
      <c r="GD79" s="16"/>
      <c r="GE79" s="16"/>
      <c r="GF79" s="16"/>
      <c r="GG79" s="16"/>
      <c r="GH79" s="16"/>
      <c r="GI79" s="16"/>
      <c r="GJ79" s="16"/>
      <c r="GK79" s="16"/>
      <c r="GL79" s="16"/>
      <c r="GM79" s="16"/>
    </row>
    <row r="80" spans="1:195" s="18" customFormat="1" ht="15" customHeight="1">
      <c r="A80" s="78">
        <v>1999</v>
      </c>
      <c r="B80" s="79" t="s">
        <v>38</v>
      </c>
      <c r="C80" s="15">
        <f t="shared" si="15"/>
        <v>0.94826771653543307</v>
      </c>
      <c r="D80" s="15">
        <f t="shared" si="16"/>
        <v>0.95887575142322545</v>
      </c>
      <c r="E80" s="15">
        <f t="shared" si="17"/>
        <v>0.98893700787401573</v>
      </c>
      <c r="F80" s="16"/>
      <c r="G80" s="33"/>
      <c r="H80" s="16">
        <v>25400</v>
      </c>
      <c r="I80" s="16">
        <f t="shared" si="18"/>
        <v>281</v>
      </c>
      <c r="J80" s="16">
        <v>25119</v>
      </c>
      <c r="K80" s="16">
        <v>24086</v>
      </c>
      <c r="L80" s="16">
        <f t="shared" si="19"/>
        <v>1033</v>
      </c>
      <c r="M80" s="16"/>
      <c r="N80" s="16"/>
      <c r="O80" s="78"/>
      <c r="P80" s="79"/>
      <c r="Q80" s="41"/>
      <c r="R80" s="41"/>
      <c r="S80" s="41"/>
      <c r="T80" s="16"/>
      <c r="U80" s="16"/>
      <c r="V80" s="16"/>
      <c r="W80" s="16"/>
      <c r="X80" s="16"/>
      <c r="Y80" s="16"/>
      <c r="Z80" s="16"/>
      <c r="AA80" s="16"/>
      <c r="AB80" s="16"/>
      <c r="AC80" s="78"/>
      <c r="AD80" s="79"/>
      <c r="AE80" s="41"/>
      <c r="AF80" s="41"/>
      <c r="AG80" s="41"/>
      <c r="AH80" s="41"/>
      <c r="AI80" s="41"/>
      <c r="AJ80" s="16"/>
      <c r="AK80" s="16"/>
      <c r="AL80" s="16"/>
      <c r="AM80" s="16"/>
      <c r="AN80" s="16"/>
      <c r="AO80" s="16"/>
      <c r="AP80" s="16"/>
      <c r="AQ80" s="78"/>
      <c r="AR80" s="79"/>
      <c r="AS80" s="41"/>
      <c r="AT80" s="41"/>
      <c r="AU80" s="41"/>
      <c r="AV80" s="16"/>
      <c r="AW80" s="16"/>
      <c r="AX80" s="16"/>
      <c r="AY80" s="16"/>
      <c r="AZ80" s="16"/>
      <c r="BA80" s="16"/>
      <c r="BB80" s="16"/>
      <c r="BC80" s="16"/>
      <c r="BD80" s="16"/>
      <c r="BE80" s="78"/>
      <c r="BF80" s="79"/>
      <c r="BG80" s="41"/>
      <c r="BH80" s="41"/>
      <c r="BI80" s="41"/>
      <c r="BJ80" s="16"/>
      <c r="BK80" s="16"/>
      <c r="BL80" s="16"/>
      <c r="BM80" s="16"/>
      <c r="BN80" s="16"/>
      <c r="BO80" s="16"/>
      <c r="BP80" s="16"/>
      <c r="BQ80" s="16"/>
      <c r="BR80" s="16"/>
      <c r="BS80" s="78"/>
      <c r="BT80" s="79"/>
      <c r="BU80" s="41"/>
      <c r="BV80" s="41"/>
      <c r="BW80" s="41"/>
      <c r="BX80" s="16"/>
      <c r="BY80" s="16"/>
      <c r="BZ80" s="16"/>
      <c r="CA80" s="16"/>
      <c r="CB80" s="16"/>
      <c r="CC80" s="16"/>
      <c r="CD80" s="16"/>
      <c r="CE80" s="16"/>
      <c r="CF80" s="16"/>
      <c r="CG80" s="78"/>
      <c r="CH80" s="79"/>
      <c r="CI80" s="41"/>
      <c r="CJ80" s="41"/>
      <c r="CK80" s="41"/>
      <c r="CL80" s="16"/>
      <c r="CM80" s="16"/>
      <c r="CN80" s="16"/>
      <c r="CO80" s="16"/>
      <c r="CP80" s="16"/>
      <c r="CQ80" s="16"/>
      <c r="CR80" s="16"/>
      <c r="CS80" s="16"/>
      <c r="CT80" s="16"/>
      <c r="CU80" s="78"/>
      <c r="CV80" s="79"/>
      <c r="CW80" s="41"/>
      <c r="CX80" s="41"/>
      <c r="CY80" s="41"/>
      <c r="CZ80" s="16"/>
      <c r="DA80" s="16"/>
      <c r="DB80" s="16"/>
      <c r="DC80" s="16"/>
      <c r="DD80" s="16"/>
      <c r="DE80" s="16"/>
      <c r="DF80" s="16"/>
      <c r="DG80" s="16"/>
      <c r="DH80" s="16"/>
      <c r="DI80" s="78"/>
      <c r="DJ80" s="79"/>
      <c r="DK80" s="41"/>
      <c r="DL80" s="41"/>
      <c r="DM80" s="41"/>
      <c r="DN80" s="16"/>
      <c r="DO80" s="16"/>
      <c r="DP80" s="16"/>
      <c r="DQ80" s="16"/>
      <c r="DR80" s="16"/>
      <c r="DS80" s="16"/>
      <c r="DT80" s="16"/>
      <c r="DU80" s="16"/>
      <c r="DV80" s="16"/>
      <c r="DW80" s="78"/>
      <c r="DX80" s="79"/>
      <c r="DY80" s="41"/>
      <c r="DZ80" s="41"/>
      <c r="EA80" s="41"/>
      <c r="EB80" s="16"/>
      <c r="EC80" s="16"/>
      <c r="ED80" s="16"/>
      <c r="EE80" s="16"/>
      <c r="EF80" s="16"/>
      <c r="EG80" s="16"/>
      <c r="EH80" s="16"/>
      <c r="EI80" s="16"/>
      <c r="EJ80" s="16"/>
      <c r="EK80" s="78"/>
      <c r="EL80" s="79"/>
      <c r="EM80" s="16"/>
      <c r="EN80" s="16"/>
      <c r="EO80" s="16"/>
      <c r="EP80" s="16"/>
      <c r="EQ80" s="16"/>
      <c r="ER80" s="16"/>
      <c r="ES80" s="16"/>
      <c r="ET80" s="16"/>
      <c r="EU80" s="16"/>
      <c r="EV80" s="16"/>
      <c r="EW80" s="16"/>
      <c r="EX80" s="16"/>
      <c r="EY80" s="78"/>
      <c r="EZ80" s="79"/>
      <c r="FA80" s="16"/>
      <c r="FB80" s="16"/>
      <c r="FC80" s="16"/>
      <c r="FD80" s="16"/>
      <c r="FE80" s="16"/>
      <c r="FF80" s="16"/>
      <c r="FG80" s="16"/>
      <c r="FH80" s="16"/>
      <c r="FI80" s="16"/>
      <c r="FJ80" s="16"/>
      <c r="FK80" s="16"/>
      <c r="FM80" s="78"/>
      <c r="FN80" s="79"/>
      <c r="FO80" s="16"/>
      <c r="FP80" s="16"/>
      <c r="FQ80" s="16"/>
      <c r="FR80" s="16"/>
      <c r="FS80" s="16"/>
      <c r="FT80" s="16"/>
      <c r="FU80" s="16"/>
      <c r="FV80" s="16"/>
      <c r="FW80" s="16"/>
      <c r="FX80" s="16"/>
      <c r="FY80" s="16"/>
      <c r="GA80" s="78"/>
      <c r="GB80" s="79"/>
      <c r="GC80" s="16"/>
      <c r="GD80" s="16"/>
      <c r="GE80" s="16"/>
      <c r="GF80" s="16"/>
      <c r="GG80" s="16"/>
      <c r="GH80" s="16"/>
      <c r="GI80" s="16"/>
      <c r="GJ80" s="16"/>
      <c r="GK80" s="16"/>
      <c r="GL80" s="16"/>
      <c r="GM80" s="16"/>
    </row>
    <row r="81" spans="1:195" s="18" customFormat="1" ht="15" customHeight="1">
      <c r="A81" s="80">
        <v>1999</v>
      </c>
      <c r="B81" s="81" t="s">
        <v>39</v>
      </c>
      <c r="C81" s="15">
        <f t="shared" si="15"/>
        <v>0.93926879630754279</v>
      </c>
      <c r="D81" s="15">
        <f t="shared" si="16"/>
        <v>0.94844644317252658</v>
      </c>
      <c r="E81" s="15">
        <f t="shared" si="17"/>
        <v>0.99032349487833515</v>
      </c>
      <c r="F81" s="16"/>
      <c r="G81" s="33"/>
      <c r="H81" s="16">
        <v>24699</v>
      </c>
      <c r="I81" s="16">
        <f t="shared" si="18"/>
        <v>239</v>
      </c>
      <c r="J81" s="16">
        <v>24460</v>
      </c>
      <c r="K81" s="16">
        <v>23199</v>
      </c>
      <c r="L81" s="16">
        <f t="shared" si="19"/>
        <v>1261</v>
      </c>
      <c r="M81" s="16"/>
      <c r="N81" s="16"/>
      <c r="O81" s="80"/>
      <c r="P81" s="81"/>
      <c r="Q81" s="41"/>
      <c r="R81" s="41"/>
      <c r="S81" s="41"/>
      <c r="T81" s="16"/>
      <c r="U81" s="16"/>
      <c r="V81" s="16"/>
      <c r="W81" s="16"/>
      <c r="X81" s="16"/>
      <c r="Y81" s="16"/>
      <c r="Z81" s="16"/>
      <c r="AA81" s="16"/>
      <c r="AB81" s="16"/>
      <c r="AC81" s="80"/>
      <c r="AD81" s="81"/>
      <c r="AE81" s="41"/>
      <c r="AF81" s="41"/>
      <c r="AG81" s="41"/>
      <c r="AH81" s="41"/>
      <c r="AI81" s="41"/>
      <c r="AJ81" s="16"/>
      <c r="AK81" s="16"/>
      <c r="AL81" s="16"/>
      <c r="AM81" s="16"/>
      <c r="AN81" s="16"/>
      <c r="AO81" s="16"/>
      <c r="AP81" s="16"/>
      <c r="AQ81" s="80"/>
      <c r="AR81" s="81"/>
      <c r="AS81" s="41"/>
      <c r="AT81" s="41"/>
      <c r="AU81" s="41"/>
      <c r="AV81" s="16"/>
      <c r="AW81" s="16"/>
      <c r="AX81" s="16"/>
      <c r="AY81" s="16"/>
      <c r="AZ81" s="16"/>
      <c r="BA81" s="16"/>
      <c r="BB81" s="16"/>
      <c r="BC81" s="16"/>
      <c r="BD81" s="16"/>
      <c r="BE81" s="80"/>
      <c r="BF81" s="81"/>
      <c r="BG81" s="41"/>
      <c r="BH81" s="41"/>
      <c r="BI81" s="41"/>
      <c r="BJ81" s="16"/>
      <c r="BK81" s="16"/>
      <c r="BL81" s="16"/>
      <c r="BM81" s="16"/>
      <c r="BN81" s="16"/>
      <c r="BO81" s="16"/>
      <c r="BP81" s="16"/>
      <c r="BQ81" s="16"/>
      <c r="BR81" s="16"/>
      <c r="BS81" s="80"/>
      <c r="BT81" s="81"/>
      <c r="BU81" s="41"/>
      <c r="BV81" s="41"/>
      <c r="BW81" s="41"/>
      <c r="BX81" s="16"/>
      <c r="BY81" s="16"/>
      <c r="BZ81" s="16"/>
      <c r="CA81" s="16"/>
      <c r="CB81" s="16"/>
      <c r="CC81" s="16"/>
      <c r="CD81" s="16"/>
      <c r="CE81" s="16"/>
      <c r="CF81" s="16"/>
      <c r="CG81" s="80"/>
      <c r="CH81" s="81"/>
      <c r="CI81" s="41"/>
      <c r="CJ81" s="41"/>
      <c r="CK81" s="41"/>
      <c r="CL81" s="16"/>
      <c r="CM81" s="16"/>
      <c r="CN81" s="16"/>
      <c r="CO81" s="16"/>
      <c r="CP81" s="16"/>
      <c r="CQ81" s="16"/>
      <c r="CR81" s="16"/>
      <c r="CS81" s="16"/>
      <c r="CT81" s="16"/>
      <c r="CU81" s="80"/>
      <c r="CV81" s="81"/>
      <c r="CW81" s="41"/>
      <c r="CX81" s="41"/>
      <c r="CY81" s="41"/>
      <c r="CZ81" s="16"/>
      <c r="DA81" s="16"/>
      <c r="DB81" s="16"/>
      <c r="DC81" s="16"/>
      <c r="DD81" s="16"/>
      <c r="DE81" s="16"/>
      <c r="DF81" s="16"/>
      <c r="DG81" s="16"/>
      <c r="DH81" s="16"/>
      <c r="DI81" s="80"/>
      <c r="DJ81" s="81"/>
      <c r="DK81" s="41"/>
      <c r="DL81" s="41"/>
      <c r="DM81" s="41"/>
      <c r="DN81" s="16"/>
      <c r="DO81" s="16"/>
      <c r="DP81" s="16"/>
      <c r="DQ81" s="16"/>
      <c r="DR81" s="16"/>
      <c r="DS81" s="16"/>
      <c r="DT81" s="16"/>
      <c r="DU81" s="16"/>
      <c r="DV81" s="16"/>
      <c r="DW81" s="80"/>
      <c r="DX81" s="81"/>
      <c r="DY81" s="41"/>
      <c r="DZ81" s="41"/>
      <c r="EA81" s="41"/>
      <c r="EB81" s="16"/>
      <c r="EC81" s="16"/>
      <c r="ED81" s="16"/>
      <c r="EE81" s="16"/>
      <c r="EF81" s="16"/>
      <c r="EG81" s="16"/>
      <c r="EH81" s="16"/>
      <c r="EI81" s="16"/>
      <c r="EJ81" s="16"/>
      <c r="EK81" s="80"/>
      <c r="EL81" s="81"/>
      <c r="EM81" s="16"/>
      <c r="EN81" s="16"/>
      <c r="EO81" s="16"/>
      <c r="EP81" s="16"/>
      <c r="EQ81" s="16"/>
      <c r="ER81" s="16"/>
      <c r="ES81" s="16"/>
      <c r="ET81" s="16"/>
      <c r="EU81" s="16"/>
      <c r="EV81" s="16"/>
      <c r="EW81" s="16"/>
      <c r="EX81" s="16"/>
      <c r="EY81" s="80"/>
      <c r="EZ81" s="81"/>
      <c r="FA81" s="16"/>
      <c r="FB81" s="16"/>
      <c r="FC81" s="16"/>
      <c r="FD81" s="16"/>
      <c r="FE81" s="16"/>
      <c r="FF81" s="16"/>
      <c r="FG81" s="16"/>
      <c r="FH81" s="16"/>
      <c r="FI81" s="16"/>
      <c r="FJ81" s="16"/>
      <c r="FK81" s="16"/>
      <c r="FM81" s="80"/>
      <c r="FN81" s="81"/>
      <c r="FO81" s="16"/>
      <c r="FP81" s="16"/>
      <c r="FQ81" s="16"/>
      <c r="FR81" s="16"/>
      <c r="FS81" s="16"/>
      <c r="FT81" s="16"/>
      <c r="FU81" s="16"/>
      <c r="FV81" s="16"/>
      <c r="FW81" s="16"/>
      <c r="FX81" s="16"/>
      <c r="FY81" s="16"/>
      <c r="GA81" s="80"/>
      <c r="GB81" s="81"/>
      <c r="GC81" s="16"/>
      <c r="GD81" s="16"/>
      <c r="GE81" s="16"/>
      <c r="GF81" s="16"/>
      <c r="GG81" s="16"/>
      <c r="GH81" s="16"/>
      <c r="GI81" s="16"/>
      <c r="GJ81" s="16"/>
      <c r="GK81" s="16"/>
      <c r="GL81" s="16"/>
      <c r="GM81" s="16"/>
    </row>
    <row r="82" spans="1:195" s="18" customFormat="1" ht="15" customHeight="1">
      <c r="A82" s="78">
        <v>1999</v>
      </c>
      <c r="B82" s="79" t="s">
        <v>40</v>
      </c>
      <c r="C82" s="15">
        <f t="shared" si="15"/>
        <v>0.95870147523287885</v>
      </c>
      <c r="D82" s="15">
        <f t="shared" si="16"/>
        <v>0.96979010797913212</v>
      </c>
      <c r="E82" s="15">
        <f t="shared" si="17"/>
        <v>0.98856594570823175</v>
      </c>
      <c r="F82" s="16"/>
      <c r="G82" s="33"/>
      <c r="H82" s="16">
        <v>25013</v>
      </c>
      <c r="I82" s="16">
        <f t="shared" si="18"/>
        <v>286</v>
      </c>
      <c r="J82" s="16">
        <v>24727</v>
      </c>
      <c r="K82" s="16">
        <v>23980</v>
      </c>
      <c r="L82" s="16">
        <f t="shared" si="19"/>
        <v>747</v>
      </c>
      <c r="M82" s="16"/>
      <c r="N82" s="16"/>
      <c r="O82" s="78"/>
      <c r="P82" s="79"/>
      <c r="Q82" s="41"/>
      <c r="R82" s="41"/>
      <c r="S82" s="41"/>
      <c r="T82" s="16"/>
      <c r="U82" s="16"/>
      <c r="V82" s="16"/>
      <c r="W82" s="16"/>
      <c r="X82" s="16"/>
      <c r="Y82" s="16"/>
      <c r="Z82" s="16"/>
      <c r="AA82" s="16"/>
      <c r="AB82" s="16"/>
      <c r="AC82" s="78"/>
      <c r="AD82" s="79"/>
      <c r="AE82" s="41"/>
      <c r="AF82" s="41"/>
      <c r="AG82" s="41"/>
      <c r="AH82" s="41"/>
      <c r="AI82" s="41"/>
      <c r="AJ82" s="16"/>
      <c r="AK82" s="16"/>
      <c r="AL82" s="16"/>
      <c r="AM82" s="16"/>
      <c r="AN82" s="16"/>
      <c r="AO82" s="16"/>
      <c r="AP82" s="16"/>
      <c r="AQ82" s="78"/>
      <c r="AR82" s="79"/>
      <c r="AS82" s="41"/>
      <c r="AT82" s="41"/>
      <c r="AU82" s="41"/>
      <c r="AV82" s="16"/>
      <c r="AW82" s="16"/>
      <c r="AX82" s="16"/>
      <c r="AY82" s="16"/>
      <c r="AZ82" s="16"/>
      <c r="BA82" s="16"/>
      <c r="BB82" s="16"/>
      <c r="BC82" s="16"/>
      <c r="BD82" s="16"/>
      <c r="BE82" s="78"/>
      <c r="BF82" s="79"/>
      <c r="BG82" s="41"/>
      <c r="BH82" s="41"/>
      <c r="BI82" s="41"/>
      <c r="BJ82" s="16"/>
      <c r="BK82" s="16"/>
      <c r="BL82" s="16"/>
      <c r="BM82" s="16"/>
      <c r="BN82" s="16"/>
      <c r="BO82" s="16"/>
      <c r="BP82" s="16"/>
      <c r="BQ82" s="16"/>
      <c r="BR82" s="16"/>
      <c r="BS82" s="78"/>
      <c r="BT82" s="79"/>
      <c r="BU82" s="41"/>
      <c r="BV82" s="41"/>
      <c r="BW82" s="41"/>
      <c r="BX82" s="16"/>
      <c r="BY82" s="16"/>
      <c r="BZ82" s="16"/>
      <c r="CA82" s="16"/>
      <c r="CB82" s="16"/>
      <c r="CC82" s="16"/>
      <c r="CD82" s="16"/>
      <c r="CE82" s="16"/>
      <c r="CF82" s="16"/>
      <c r="CG82" s="78"/>
      <c r="CH82" s="79"/>
      <c r="CI82" s="41"/>
      <c r="CJ82" s="41"/>
      <c r="CK82" s="41"/>
      <c r="CL82" s="16"/>
      <c r="CM82" s="16"/>
      <c r="CN82" s="16"/>
      <c r="CO82" s="16"/>
      <c r="CP82" s="16"/>
      <c r="CQ82" s="16"/>
      <c r="CR82" s="16"/>
      <c r="CS82" s="16"/>
      <c r="CT82" s="16"/>
      <c r="CU82" s="78"/>
      <c r="CV82" s="79"/>
      <c r="CW82" s="41"/>
      <c r="CX82" s="41"/>
      <c r="CY82" s="41"/>
      <c r="CZ82" s="16"/>
      <c r="DA82" s="16"/>
      <c r="DB82" s="16"/>
      <c r="DC82" s="16"/>
      <c r="DD82" s="16"/>
      <c r="DE82" s="16"/>
      <c r="DF82" s="16"/>
      <c r="DG82" s="16"/>
      <c r="DH82" s="16"/>
      <c r="DI82" s="78"/>
      <c r="DJ82" s="79"/>
      <c r="DK82" s="41"/>
      <c r="DL82" s="41"/>
      <c r="DM82" s="41"/>
      <c r="DN82" s="16"/>
      <c r="DO82" s="16"/>
      <c r="DP82" s="16"/>
      <c r="DQ82" s="16"/>
      <c r="DR82" s="16"/>
      <c r="DS82" s="16"/>
      <c r="DT82" s="16"/>
      <c r="DU82" s="16"/>
      <c r="DV82" s="16"/>
      <c r="DW82" s="78"/>
      <c r="DX82" s="79"/>
      <c r="DY82" s="41"/>
      <c r="DZ82" s="41"/>
      <c r="EA82" s="41"/>
      <c r="EB82" s="16"/>
      <c r="EC82" s="16"/>
      <c r="ED82" s="16"/>
      <c r="EE82" s="16"/>
      <c r="EF82" s="16"/>
      <c r="EG82" s="16"/>
      <c r="EH82" s="16"/>
      <c r="EI82" s="16"/>
      <c r="EJ82" s="16"/>
      <c r="EK82" s="78"/>
      <c r="EL82" s="79"/>
      <c r="EM82" s="16"/>
      <c r="EN82" s="16"/>
      <c r="EO82" s="16"/>
      <c r="EP82" s="16"/>
      <c r="EQ82" s="16"/>
      <c r="ER82" s="16"/>
      <c r="ES82" s="16"/>
      <c r="ET82" s="16"/>
      <c r="EU82" s="16"/>
      <c r="EV82" s="16"/>
      <c r="EW82" s="16"/>
      <c r="EX82" s="16"/>
      <c r="EY82" s="78"/>
      <c r="EZ82" s="79"/>
      <c r="FA82" s="16"/>
      <c r="FB82" s="16"/>
      <c r="FC82" s="16"/>
      <c r="FD82" s="16"/>
      <c r="FE82" s="16"/>
      <c r="FF82" s="16"/>
      <c r="FG82" s="16"/>
      <c r="FH82" s="16"/>
      <c r="FI82" s="16"/>
      <c r="FJ82" s="16"/>
      <c r="FK82" s="16"/>
      <c r="FM82" s="78"/>
      <c r="FN82" s="79"/>
      <c r="FO82" s="16"/>
      <c r="FP82" s="16"/>
      <c r="FQ82" s="16"/>
      <c r="FR82" s="16"/>
      <c r="FS82" s="16"/>
      <c r="FT82" s="16"/>
      <c r="FU82" s="16"/>
      <c r="FV82" s="16"/>
      <c r="FW82" s="16"/>
      <c r="FX82" s="16"/>
      <c r="FY82" s="16"/>
      <c r="GA82" s="78"/>
      <c r="GB82" s="79"/>
      <c r="GC82" s="16"/>
      <c r="GD82" s="16"/>
      <c r="GE82" s="16"/>
      <c r="GF82" s="16"/>
      <c r="GG82" s="16"/>
      <c r="GH82" s="16"/>
      <c r="GI82" s="16"/>
      <c r="GJ82" s="16"/>
      <c r="GK82" s="16"/>
      <c r="GL82" s="16"/>
      <c r="GM82" s="16"/>
    </row>
    <row r="83" spans="1:195" s="18" customFormat="1" ht="15" customHeight="1">
      <c r="A83" s="80">
        <v>1999</v>
      </c>
      <c r="B83" s="81" t="s">
        <v>41</v>
      </c>
      <c r="C83" s="15">
        <f t="shared" si="15"/>
        <v>0.96258059250795724</v>
      </c>
      <c r="D83" s="15">
        <f t="shared" si="16"/>
        <v>0.97118036971468569</v>
      </c>
      <c r="E83" s="15">
        <f t="shared" si="17"/>
        <v>0.9911450257079899</v>
      </c>
      <c r="F83" s="16"/>
      <c r="G83" s="33"/>
      <c r="H83" s="16">
        <v>24506</v>
      </c>
      <c r="I83" s="16">
        <f t="shared" si="18"/>
        <v>217</v>
      </c>
      <c r="J83" s="16">
        <v>24289</v>
      </c>
      <c r="K83" s="16">
        <v>23589</v>
      </c>
      <c r="L83" s="16">
        <f t="shared" si="19"/>
        <v>700</v>
      </c>
      <c r="M83" s="16"/>
      <c r="N83" s="16"/>
      <c r="O83" s="80"/>
      <c r="P83" s="81"/>
      <c r="Q83" s="41"/>
      <c r="R83" s="41"/>
      <c r="S83" s="41"/>
      <c r="T83" s="16"/>
      <c r="U83" s="16"/>
      <c r="V83" s="16"/>
      <c r="W83" s="16"/>
      <c r="X83" s="16"/>
      <c r="Y83" s="16"/>
      <c r="Z83" s="16"/>
      <c r="AA83" s="16"/>
      <c r="AB83" s="16"/>
      <c r="AC83" s="80"/>
      <c r="AD83" s="81"/>
      <c r="AE83" s="41"/>
      <c r="AF83" s="41"/>
      <c r="AG83" s="41"/>
      <c r="AH83" s="41"/>
      <c r="AI83" s="41"/>
      <c r="AJ83" s="16"/>
      <c r="AK83" s="16"/>
      <c r="AL83" s="16"/>
      <c r="AM83" s="16"/>
      <c r="AN83" s="16"/>
      <c r="AO83" s="16"/>
      <c r="AP83" s="16"/>
      <c r="AQ83" s="80"/>
      <c r="AR83" s="81"/>
      <c r="AS83" s="41"/>
      <c r="AT83" s="41"/>
      <c r="AU83" s="41"/>
      <c r="AV83" s="16"/>
      <c r="AW83" s="16"/>
      <c r="AX83" s="16"/>
      <c r="AY83" s="16"/>
      <c r="AZ83" s="16"/>
      <c r="BA83" s="16"/>
      <c r="BB83" s="16"/>
      <c r="BC83" s="16"/>
      <c r="BD83" s="16"/>
      <c r="BE83" s="80"/>
      <c r="BF83" s="81"/>
      <c r="BG83" s="41"/>
      <c r="BH83" s="41"/>
      <c r="BI83" s="41"/>
      <c r="BJ83" s="16"/>
      <c r="BK83" s="16"/>
      <c r="BL83" s="16"/>
      <c r="BM83" s="16"/>
      <c r="BN83" s="16"/>
      <c r="BO83" s="16"/>
      <c r="BP83" s="16"/>
      <c r="BQ83" s="16"/>
      <c r="BR83" s="16"/>
      <c r="BS83" s="80"/>
      <c r="BT83" s="81"/>
      <c r="BU83" s="41"/>
      <c r="BV83" s="41"/>
      <c r="BW83" s="41"/>
      <c r="BX83" s="16"/>
      <c r="BY83" s="16"/>
      <c r="BZ83" s="16"/>
      <c r="CA83" s="16"/>
      <c r="CB83" s="16"/>
      <c r="CC83" s="16"/>
      <c r="CD83" s="16"/>
      <c r="CE83" s="16"/>
      <c r="CF83" s="16"/>
      <c r="CG83" s="80"/>
      <c r="CH83" s="81"/>
      <c r="CI83" s="41"/>
      <c r="CJ83" s="41"/>
      <c r="CK83" s="41"/>
      <c r="CL83" s="16"/>
      <c r="CM83" s="16"/>
      <c r="CN83" s="16"/>
      <c r="CO83" s="16"/>
      <c r="CP83" s="16"/>
      <c r="CQ83" s="16"/>
      <c r="CR83" s="16"/>
      <c r="CS83" s="16"/>
      <c r="CT83" s="16"/>
      <c r="CU83" s="80"/>
      <c r="CV83" s="81"/>
      <c r="CW83" s="41"/>
      <c r="CX83" s="41"/>
      <c r="CY83" s="41"/>
      <c r="CZ83" s="16"/>
      <c r="DA83" s="16"/>
      <c r="DB83" s="16"/>
      <c r="DC83" s="16"/>
      <c r="DD83" s="16"/>
      <c r="DE83" s="16"/>
      <c r="DF83" s="16"/>
      <c r="DG83" s="16"/>
      <c r="DH83" s="16"/>
      <c r="DI83" s="80"/>
      <c r="DJ83" s="81"/>
      <c r="DK83" s="41"/>
      <c r="DL83" s="41"/>
      <c r="DM83" s="41"/>
      <c r="DN83" s="16"/>
      <c r="DO83" s="16"/>
      <c r="DP83" s="16"/>
      <c r="DQ83" s="16"/>
      <c r="DR83" s="16"/>
      <c r="DS83" s="16"/>
      <c r="DT83" s="16"/>
      <c r="DU83" s="16"/>
      <c r="DV83" s="16"/>
      <c r="DW83" s="80"/>
      <c r="DX83" s="81"/>
      <c r="DY83" s="41"/>
      <c r="DZ83" s="41"/>
      <c r="EA83" s="41"/>
      <c r="EB83" s="16"/>
      <c r="EC83" s="16"/>
      <c r="ED83" s="16"/>
      <c r="EE83" s="16"/>
      <c r="EF83" s="16"/>
      <c r="EG83" s="16"/>
      <c r="EH83" s="16"/>
      <c r="EI83" s="16"/>
      <c r="EJ83" s="16"/>
      <c r="EK83" s="80"/>
      <c r="EL83" s="81"/>
      <c r="EM83" s="16"/>
      <c r="EN83" s="16"/>
      <c r="EO83" s="16"/>
      <c r="EP83" s="16"/>
      <c r="EQ83" s="16"/>
      <c r="ER83" s="16"/>
      <c r="ES83" s="16"/>
      <c r="ET83" s="16"/>
      <c r="EU83" s="16"/>
      <c r="EV83" s="16"/>
      <c r="EW83" s="16"/>
      <c r="EX83" s="16"/>
      <c r="EY83" s="80"/>
      <c r="EZ83" s="81"/>
      <c r="FA83" s="16"/>
      <c r="FB83" s="16"/>
      <c r="FC83" s="16"/>
      <c r="FD83" s="16"/>
      <c r="FE83" s="16"/>
      <c r="FF83" s="16"/>
      <c r="FG83" s="16"/>
      <c r="FH83" s="16"/>
      <c r="FI83" s="16"/>
      <c r="FJ83" s="16"/>
      <c r="FK83" s="16"/>
      <c r="FM83" s="80"/>
      <c r="FN83" s="81"/>
      <c r="FO83" s="16"/>
      <c r="FP83" s="16"/>
      <c r="FQ83" s="16"/>
      <c r="FR83" s="16"/>
      <c r="FS83" s="16"/>
      <c r="FT83" s="16"/>
      <c r="FU83" s="16"/>
      <c r="FV83" s="16"/>
      <c r="FW83" s="16"/>
      <c r="FX83" s="16"/>
      <c r="FY83" s="16"/>
      <c r="GA83" s="80"/>
      <c r="GB83" s="81"/>
      <c r="GC83" s="16"/>
      <c r="GD83" s="16"/>
      <c r="GE83" s="16"/>
      <c r="GF83" s="16"/>
      <c r="GG83" s="16"/>
      <c r="GH83" s="16"/>
      <c r="GI83" s="16"/>
      <c r="GJ83" s="16"/>
      <c r="GK83" s="16"/>
      <c r="GL83" s="16"/>
      <c r="GM83" s="16"/>
    </row>
    <row r="84" spans="1:195" s="18" customFormat="1" ht="15" customHeight="1">
      <c r="A84" s="78">
        <v>1999</v>
      </c>
      <c r="B84" s="79" t="s">
        <v>42</v>
      </c>
      <c r="C84" s="15">
        <f t="shared" si="15"/>
        <v>0.96881951219512197</v>
      </c>
      <c r="D84" s="15">
        <f t="shared" si="16"/>
        <v>0.9761717521233092</v>
      </c>
      <c r="E84" s="15">
        <f t="shared" si="17"/>
        <v>0.9924682926829268</v>
      </c>
      <c r="F84" s="16"/>
      <c r="G84" s="33"/>
      <c r="H84" s="16">
        <v>25625</v>
      </c>
      <c r="I84" s="16">
        <f t="shared" si="18"/>
        <v>193</v>
      </c>
      <c r="J84" s="16">
        <v>25432</v>
      </c>
      <c r="K84" s="16">
        <v>24826</v>
      </c>
      <c r="L84" s="16">
        <f t="shared" si="19"/>
        <v>606</v>
      </c>
      <c r="M84" s="16"/>
      <c r="N84" s="16"/>
      <c r="O84" s="78"/>
      <c r="P84" s="79"/>
      <c r="Q84" s="41"/>
      <c r="R84" s="41"/>
      <c r="S84" s="41"/>
      <c r="T84" s="16"/>
      <c r="U84" s="16"/>
      <c r="V84" s="16"/>
      <c r="W84" s="16"/>
      <c r="X84" s="16"/>
      <c r="Y84" s="16"/>
      <c r="Z84" s="16"/>
      <c r="AA84" s="16"/>
      <c r="AB84" s="16"/>
      <c r="AC84" s="78"/>
      <c r="AD84" s="79"/>
      <c r="AE84" s="41"/>
      <c r="AF84" s="41"/>
      <c r="AG84" s="41"/>
      <c r="AH84" s="41"/>
      <c r="AI84" s="41"/>
      <c r="AJ84" s="16"/>
      <c r="AK84" s="16"/>
      <c r="AL84" s="16"/>
      <c r="AM84" s="16"/>
      <c r="AN84" s="16"/>
      <c r="AO84" s="16"/>
      <c r="AP84" s="16"/>
      <c r="AQ84" s="78"/>
      <c r="AR84" s="79"/>
      <c r="AS84" s="41"/>
      <c r="AT84" s="41"/>
      <c r="AU84" s="41"/>
      <c r="AV84" s="16"/>
      <c r="AW84" s="16"/>
      <c r="AX84" s="16"/>
      <c r="AY84" s="16"/>
      <c r="AZ84" s="16"/>
      <c r="BA84" s="16"/>
      <c r="BB84" s="16"/>
      <c r="BC84" s="16"/>
      <c r="BD84" s="16"/>
      <c r="BE84" s="78"/>
      <c r="BF84" s="79"/>
      <c r="BG84" s="41"/>
      <c r="BH84" s="41"/>
      <c r="BI84" s="41"/>
      <c r="BJ84" s="16"/>
      <c r="BK84" s="16"/>
      <c r="BL84" s="16"/>
      <c r="BM84" s="16"/>
      <c r="BN84" s="16"/>
      <c r="BO84" s="16"/>
      <c r="BP84" s="16"/>
      <c r="BQ84" s="16"/>
      <c r="BR84" s="16"/>
      <c r="BS84" s="78"/>
      <c r="BT84" s="79"/>
      <c r="BU84" s="41"/>
      <c r="BV84" s="41"/>
      <c r="BW84" s="41"/>
      <c r="BX84" s="16"/>
      <c r="BY84" s="16"/>
      <c r="BZ84" s="16"/>
      <c r="CA84" s="16"/>
      <c r="CB84" s="16"/>
      <c r="CC84" s="16"/>
      <c r="CD84" s="16"/>
      <c r="CE84" s="16"/>
      <c r="CF84" s="16"/>
      <c r="CG84" s="78"/>
      <c r="CH84" s="79"/>
      <c r="CI84" s="41"/>
      <c r="CJ84" s="41"/>
      <c r="CK84" s="41"/>
      <c r="CL84" s="16"/>
      <c r="CM84" s="16"/>
      <c r="CN84" s="16"/>
      <c r="CO84" s="16"/>
      <c r="CP84" s="16"/>
      <c r="CQ84" s="16"/>
      <c r="CR84" s="16"/>
      <c r="CS84" s="16"/>
      <c r="CT84" s="16"/>
      <c r="CU84" s="78"/>
      <c r="CV84" s="79"/>
      <c r="CW84" s="41"/>
      <c r="CX84" s="41"/>
      <c r="CY84" s="41"/>
      <c r="CZ84" s="16"/>
      <c r="DA84" s="16"/>
      <c r="DB84" s="16"/>
      <c r="DC84" s="16"/>
      <c r="DD84" s="16"/>
      <c r="DE84" s="16"/>
      <c r="DF84" s="16"/>
      <c r="DG84" s="16"/>
      <c r="DH84" s="16"/>
      <c r="DI84" s="78"/>
      <c r="DJ84" s="79"/>
      <c r="DK84" s="41"/>
      <c r="DL84" s="41"/>
      <c r="DM84" s="41"/>
      <c r="DN84" s="16"/>
      <c r="DO84" s="16"/>
      <c r="DP84" s="16"/>
      <c r="DQ84" s="16"/>
      <c r="DR84" s="16"/>
      <c r="DS84" s="16"/>
      <c r="DT84" s="16"/>
      <c r="DU84" s="16"/>
      <c r="DV84" s="16"/>
      <c r="DW84" s="78"/>
      <c r="DX84" s="79"/>
      <c r="DY84" s="41"/>
      <c r="DZ84" s="41"/>
      <c r="EA84" s="41"/>
      <c r="EB84" s="16"/>
      <c r="EC84" s="16"/>
      <c r="ED84" s="16"/>
      <c r="EE84" s="16"/>
      <c r="EF84" s="16"/>
      <c r="EG84" s="16"/>
      <c r="EH84" s="16"/>
      <c r="EI84" s="16"/>
      <c r="EJ84" s="16"/>
      <c r="EK84" s="78"/>
      <c r="EL84" s="79"/>
      <c r="EM84" s="16"/>
      <c r="EN84" s="16"/>
      <c r="EO84" s="16"/>
      <c r="EP84" s="16"/>
      <c r="EQ84" s="16"/>
      <c r="ER84" s="16"/>
      <c r="ES84" s="16"/>
      <c r="ET84" s="16"/>
      <c r="EU84" s="16"/>
      <c r="EV84" s="16"/>
      <c r="EW84" s="16"/>
      <c r="EX84" s="16"/>
      <c r="EY84" s="78"/>
      <c r="EZ84" s="79"/>
      <c r="FA84" s="16"/>
      <c r="FB84" s="16"/>
      <c r="FC84" s="16"/>
      <c r="FD84" s="16"/>
      <c r="FE84" s="16"/>
      <c r="FF84" s="16"/>
      <c r="FG84" s="16"/>
      <c r="FH84" s="16"/>
      <c r="FI84" s="16"/>
      <c r="FJ84" s="16"/>
      <c r="FK84" s="16"/>
      <c r="FM84" s="78"/>
      <c r="FN84" s="79"/>
      <c r="FO84" s="16"/>
      <c r="FP84" s="16"/>
      <c r="FQ84" s="16"/>
      <c r="FR84" s="16"/>
      <c r="FS84" s="16"/>
      <c r="FT84" s="16"/>
      <c r="FU84" s="16"/>
      <c r="FV84" s="16"/>
      <c r="FW84" s="16"/>
      <c r="FX84" s="16"/>
      <c r="FY84" s="16"/>
      <c r="GA84" s="78"/>
      <c r="GB84" s="79"/>
      <c r="GC84" s="16"/>
      <c r="GD84" s="16"/>
      <c r="GE84" s="16"/>
      <c r="GF84" s="16"/>
      <c r="GG84" s="16"/>
      <c r="GH84" s="16"/>
      <c r="GI84" s="16"/>
      <c r="GJ84" s="16"/>
      <c r="GK84" s="16"/>
      <c r="GL84" s="16"/>
      <c r="GM84" s="16"/>
    </row>
    <row r="85" spans="1:195" s="18" customFormat="1" ht="15" customHeight="1">
      <c r="A85" s="80">
        <v>1999</v>
      </c>
      <c r="B85" s="81" t="s">
        <v>43</v>
      </c>
      <c r="C85" s="15">
        <f t="shared" si="15"/>
        <v>0.96664568911264948</v>
      </c>
      <c r="D85" s="15">
        <f t="shared" si="16"/>
        <v>0.97388547652070534</v>
      </c>
      <c r="E85" s="15">
        <f t="shared" si="17"/>
        <v>0.99256607929515417</v>
      </c>
      <c r="F85" s="16"/>
      <c r="G85" s="33"/>
      <c r="H85" s="16">
        <v>25424</v>
      </c>
      <c r="I85" s="16">
        <f t="shared" si="18"/>
        <v>189</v>
      </c>
      <c r="J85" s="16">
        <v>25235</v>
      </c>
      <c r="K85" s="16">
        <v>24576</v>
      </c>
      <c r="L85" s="16">
        <f t="shared" si="19"/>
        <v>659</v>
      </c>
      <c r="M85" s="16"/>
      <c r="N85" s="16"/>
      <c r="O85" s="80"/>
      <c r="P85" s="81"/>
      <c r="Q85" s="41"/>
      <c r="R85" s="41"/>
      <c r="S85" s="41"/>
      <c r="T85" s="16"/>
      <c r="U85" s="16"/>
      <c r="V85" s="16"/>
      <c r="W85" s="16"/>
      <c r="X85" s="16"/>
      <c r="Y85" s="16"/>
      <c r="Z85" s="16"/>
      <c r="AA85" s="16"/>
      <c r="AB85" s="16"/>
      <c r="AC85" s="80"/>
      <c r="AD85" s="81"/>
      <c r="AE85" s="41"/>
      <c r="AF85" s="41"/>
      <c r="AG85" s="41"/>
      <c r="AH85" s="41"/>
      <c r="AI85" s="41"/>
      <c r="AJ85" s="16"/>
      <c r="AK85" s="16"/>
      <c r="AL85" s="16"/>
      <c r="AM85" s="16"/>
      <c r="AN85" s="16"/>
      <c r="AO85" s="16"/>
      <c r="AP85" s="16"/>
      <c r="AQ85" s="80"/>
      <c r="AR85" s="81"/>
      <c r="AS85" s="41"/>
      <c r="AT85" s="41"/>
      <c r="AU85" s="41"/>
      <c r="AV85" s="16"/>
      <c r="AW85" s="16"/>
      <c r="AX85" s="16"/>
      <c r="AY85" s="16"/>
      <c r="AZ85" s="16"/>
      <c r="BA85" s="16"/>
      <c r="BB85" s="16"/>
      <c r="BC85" s="16"/>
      <c r="BD85" s="16"/>
      <c r="BE85" s="80"/>
      <c r="BF85" s="81"/>
      <c r="BG85" s="41"/>
      <c r="BH85" s="41"/>
      <c r="BI85" s="41"/>
      <c r="BJ85" s="16"/>
      <c r="BK85" s="16"/>
      <c r="BL85" s="16"/>
      <c r="BM85" s="16"/>
      <c r="BN85" s="16"/>
      <c r="BO85" s="16"/>
      <c r="BP85" s="16"/>
      <c r="BQ85" s="16"/>
      <c r="BR85" s="16"/>
      <c r="BS85" s="80"/>
      <c r="BT85" s="81"/>
      <c r="BU85" s="41"/>
      <c r="BV85" s="41"/>
      <c r="BW85" s="41"/>
      <c r="BX85" s="16"/>
      <c r="BY85" s="16"/>
      <c r="BZ85" s="16"/>
      <c r="CA85" s="16"/>
      <c r="CB85" s="16"/>
      <c r="CC85" s="16"/>
      <c r="CD85" s="16"/>
      <c r="CE85" s="16"/>
      <c r="CF85" s="16"/>
      <c r="CG85" s="80"/>
      <c r="CH85" s="81"/>
      <c r="CI85" s="41"/>
      <c r="CJ85" s="41"/>
      <c r="CK85" s="41"/>
      <c r="CL85" s="16"/>
      <c r="CM85" s="16"/>
      <c r="CN85" s="16"/>
      <c r="CO85" s="16"/>
      <c r="CP85" s="16"/>
      <c r="CQ85" s="16"/>
      <c r="CR85" s="16"/>
      <c r="CS85" s="16"/>
      <c r="CT85" s="16"/>
      <c r="CU85" s="80"/>
      <c r="CV85" s="81"/>
      <c r="CW85" s="41"/>
      <c r="CX85" s="41"/>
      <c r="CY85" s="41"/>
      <c r="CZ85" s="16"/>
      <c r="DA85" s="16"/>
      <c r="DB85" s="16"/>
      <c r="DC85" s="16"/>
      <c r="DD85" s="16"/>
      <c r="DE85" s="16"/>
      <c r="DF85" s="16"/>
      <c r="DG85" s="16"/>
      <c r="DH85" s="16"/>
      <c r="DI85" s="80"/>
      <c r="DJ85" s="81"/>
      <c r="DK85" s="41"/>
      <c r="DL85" s="41"/>
      <c r="DM85" s="41"/>
      <c r="DN85" s="16"/>
      <c r="DO85" s="16"/>
      <c r="DP85" s="16"/>
      <c r="DQ85" s="16"/>
      <c r="DR85" s="16"/>
      <c r="DS85" s="16"/>
      <c r="DT85" s="16"/>
      <c r="DU85" s="16"/>
      <c r="DV85" s="16"/>
      <c r="DW85" s="80"/>
      <c r="DX85" s="81"/>
      <c r="DY85" s="41"/>
      <c r="DZ85" s="41"/>
      <c r="EA85" s="41"/>
      <c r="EB85" s="16"/>
      <c r="EC85" s="16"/>
      <c r="ED85" s="16"/>
      <c r="EE85" s="16"/>
      <c r="EF85" s="16"/>
      <c r="EG85" s="16"/>
      <c r="EH85" s="16"/>
      <c r="EI85" s="16"/>
      <c r="EJ85" s="16"/>
      <c r="EK85" s="80"/>
      <c r="EL85" s="81"/>
      <c r="EM85" s="16"/>
      <c r="EN85" s="16"/>
      <c r="EO85" s="16"/>
      <c r="EP85" s="16"/>
      <c r="EQ85" s="16"/>
      <c r="ER85" s="16"/>
      <c r="ES85" s="16"/>
      <c r="ET85" s="16"/>
      <c r="EU85" s="16"/>
      <c r="EV85" s="16"/>
      <c r="EW85" s="16"/>
      <c r="EX85" s="16"/>
      <c r="EY85" s="80"/>
      <c r="EZ85" s="81"/>
      <c r="FA85" s="16"/>
      <c r="FB85" s="16"/>
      <c r="FC85" s="16"/>
      <c r="FD85" s="16"/>
      <c r="FE85" s="16"/>
      <c r="FF85" s="16"/>
      <c r="FG85" s="16"/>
      <c r="FH85" s="16"/>
      <c r="FI85" s="16"/>
      <c r="FJ85" s="16"/>
      <c r="FK85" s="16"/>
      <c r="FM85" s="80"/>
      <c r="FN85" s="81"/>
      <c r="FO85" s="16"/>
      <c r="FP85" s="16"/>
      <c r="FQ85" s="16"/>
      <c r="FR85" s="16"/>
      <c r="FS85" s="16"/>
      <c r="FT85" s="16"/>
      <c r="FU85" s="16"/>
      <c r="FV85" s="16"/>
      <c r="FW85" s="16"/>
      <c r="FX85" s="16"/>
      <c r="FY85" s="16"/>
      <c r="GA85" s="80"/>
      <c r="GB85" s="81"/>
      <c r="GC85" s="16"/>
      <c r="GD85" s="16"/>
      <c r="GE85" s="16"/>
      <c r="GF85" s="16"/>
      <c r="GG85" s="16"/>
      <c r="GH85" s="16"/>
      <c r="GI85" s="16"/>
      <c r="GJ85" s="16"/>
      <c r="GK85" s="16"/>
      <c r="GL85" s="16"/>
      <c r="GM85" s="16"/>
    </row>
    <row r="86" spans="1:195" s="18" customFormat="1" ht="15" customHeight="1">
      <c r="A86" s="78">
        <v>1999</v>
      </c>
      <c r="B86" s="79" t="s">
        <v>44</v>
      </c>
      <c r="C86" s="15">
        <f t="shared" si="15"/>
        <v>0.96262642225031603</v>
      </c>
      <c r="D86" s="15">
        <f t="shared" si="16"/>
        <v>0.97281111510360518</v>
      </c>
      <c r="E86" s="15">
        <f t="shared" si="17"/>
        <v>0.98953065739570167</v>
      </c>
      <c r="F86" s="16"/>
      <c r="G86" s="33"/>
      <c r="H86" s="16">
        <v>25312</v>
      </c>
      <c r="I86" s="16">
        <f t="shared" si="18"/>
        <v>265</v>
      </c>
      <c r="J86" s="16">
        <v>25047</v>
      </c>
      <c r="K86" s="16">
        <v>24366</v>
      </c>
      <c r="L86" s="16">
        <f t="shared" si="19"/>
        <v>681</v>
      </c>
      <c r="M86" s="16"/>
      <c r="N86" s="16"/>
      <c r="O86" s="78"/>
      <c r="P86" s="79"/>
      <c r="Q86" s="41"/>
      <c r="R86" s="41"/>
      <c r="S86" s="41"/>
      <c r="T86" s="16"/>
      <c r="U86" s="16"/>
      <c r="V86" s="16"/>
      <c r="W86" s="16"/>
      <c r="X86" s="16"/>
      <c r="Y86" s="16"/>
      <c r="Z86" s="16"/>
      <c r="AA86" s="16"/>
      <c r="AB86" s="16"/>
      <c r="AC86" s="78"/>
      <c r="AD86" s="79"/>
      <c r="AE86" s="41"/>
      <c r="AF86" s="41"/>
      <c r="AG86" s="41"/>
      <c r="AH86" s="41"/>
      <c r="AI86" s="41"/>
      <c r="AJ86" s="16"/>
      <c r="AK86" s="16"/>
      <c r="AL86" s="16"/>
      <c r="AM86" s="16"/>
      <c r="AN86" s="16"/>
      <c r="AO86" s="16"/>
      <c r="AP86" s="16"/>
      <c r="AQ86" s="78"/>
      <c r="AR86" s="79"/>
      <c r="AS86" s="41"/>
      <c r="AT86" s="41"/>
      <c r="AU86" s="41"/>
      <c r="AV86" s="16"/>
      <c r="AW86" s="16"/>
      <c r="AX86" s="16"/>
      <c r="AY86" s="16"/>
      <c r="AZ86" s="16"/>
      <c r="BA86" s="16"/>
      <c r="BB86" s="16"/>
      <c r="BC86" s="16"/>
      <c r="BD86" s="16"/>
      <c r="BE86" s="78"/>
      <c r="BF86" s="79"/>
      <c r="BG86" s="41"/>
      <c r="BH86" s="41"/>
      <c r="BI86" s="41"/>
      <c r="BJ86" s="16"/>
      <c r="BK86" s="16"/>
      <c r="BL86" s="16"/>
      <c r="BM86" s="16"/>
      <c r="BN86" s="16"/>
      <c r="BO86" s="16"/>
      <c r="BP86" s="16"/>
      <c r="BQ86" s="16"/>
      <c r="BR86" s="16"/>
      <c r="BS86" s="78"/>
      <c r="BT86" s="79"/>
      <c r="BU86" s="41"/>
      <c r="BV86" s="41"/>
      <c r="BW86" s="41"/>
      <c r="BX86" s="16"/>
      <c r="BY86" s="16"/>
      <c r="BZ86" s="16"/>
      <c r="CA86" s="16"/>
      <c r="CB86" s="16"/>
      <c r="CC86" s="16"/>
      <c r="CD86" s="16"/>
      <c r="CE86" s="16"/>
      <c r="CF86" s="16"/>
      <c r="CG86" s="78"/>
      <c r="CH86" s="79"/>
      <c r="CI86" s="41"/>
      <c r="CJ86" s="41"/>
      <c r="CK86" s="41"/>
      <c r="CL86" s="16"/>
      <c r="CM86" s="16"/>
      <c r="CN86" s="16"/>
      <c r="CO86" s="16"/>
      <c r="CP86" s="16"/>
      <c r="CQ86" s="16"/>
      <c r="CR86" s="16"/>
      <c r="CS86" s="16"/>
      <c r="CT86" s="16"/>
      <c r="CU86" s="78"/>
      <c r="CV86" s="79"/>
      <c r="CW86" s="41"/>
      <c r="CX86" s="41"/>
      <c r="CY86" s="41"/>
      <c r="CZ86" s="16"/>
      <c r="DA86" s="16"/>
      <c r="DB86" s="16"/>
      <c r="DC86" s="16"/>
      <c r="DD86" s="16"/>
      <c r="DE86" s="16"/>
      <c r="DF86" s="16"/>
      <c r="DG86" s="16"/>
      <c r="DH86" s="16"/>
      <c r="DI86" s="78"/>
      <c r="DJ86" s="79"/>
      <c r="DK86" s="41"/>
      <c r="DL86" s="41"/>
      <c r="DM86" s="41"/>
      <c r="DN86" s="16"/>
      <c r="DO86" s="16"/>
      <c r="DP86" s="16"/>
      <c r="DQ86" s="16"/>
      <c r="DR86" s="16"/>
      <c r="DS86" s="16"/>
      <c r="DT86" s="16"/>
      <c r="DU86" s="16"/>
      <c r="DV86" s="16"/>
      <c r="DW86" s="78"/>
      <c r="DX86" s="79"/>
      <c r="DY86" s="41"/>
      <c r="DZ86" s="41"/>
      <c r="EA86" s="41"/>
      <c r="EB86" s="16"/>
      <c r="EC86" s="16"/>
      <c r="ED86" s="16"/>
      <c r="EE86" s="16"/>
      <c r="EF86" s="16"/>
      <c r="EG86" s="16"/>
      <c r="EH86" s="16"/>
      <c r="EI86" s="16"/>
      <c r="EJ86" s="16"/>
      <c r="EK86" s="78"/>
      <c r="EL86" s="79"/>
      <c r="EM86" s="16"/>
      <c r="EN86" s="16"/>
      <c r="EO86" s="16"/>
      <c r="EP86" s="16"/>
      <c r="EQ86" s="16"/>
      <c r="ER86" s="16"/>
      <c r="ES86" s="16"/>
      <c r="ET86" s="16"/>
      <c r="EU86" s="16"/>
      <c r="EV86" s="16"/>
      <c r="EW86" s="16"/>
      <c r="EX86" s="16"/>
      <c r="EY86" s="78"/>
      <c r="EZ86" s="79"/>
      <c r="FA86" s="16"/>
      <c r="FB86" s="16"/>
      <c r="FC86" s="16"/>
      <c r="FD86" s="16"/>
      <c r="FE86" s="16"/>
      <c r="FF86" s="16"/>
      <c r="FG86" s="16"/>
      <c r="FH86" s="16"/>
      <c r="FI86" s="16"/>
      <c r="FJ86" s="16"/>
      <c r="FK86" s="16"/>
      <c r="FM86" s="78"/>
      <c r="FN86" s="79"/>
      <c r="FO86" s="16"/>
      <c r="FP86" s="16"/>
      <c r="FQ86" s="16"/>
      <c r="FR86" s="16"/>
      <c r="FS86" s="16"/>
      <c r="FT86" s="16"/>
      <c r="FU86" s="16"/>
      <c r="FV86" s="16"/>
      <c r="FW86" s="16"/>
      <c r="FX86" s="16"/>
      <c r="FY86" s="16"/>
      <c r="GA86" s="78"/>
      <c r="GB86" s="79"/>
      <c r="GC86" s="16"/>
      <c r="GD86" s="16"/>
      <c r="GE86" s="16"/>
      <c r="GF86" s="16"/>
      <c r="GG86" s="16"/>
      <c r="GH86" s="16"/>
      <c r="GI86" s="16"/>
      <c r="GJ86" s="16"/>
      <c r="GK86" s="16"/>
      <c r="GL86" s="16"/>
      <c r="GM86" s="16"/>
    </row>
    <row r="87" spans="1:195" s="18" customFormat="1" ht="15" customHeight="1">
      <c r="A87" s="80">
        <v>1999</v>
      </c>
      <c r="B87" s="81" t="s">
        <v>45</v>
      </c>
      <c r="C87" s="15">
        <f t="shared" si="15"/>
        <v>0.9768344355126124</v>
      </c>
      <c r="D87" s="15">
        <f t="shared" si="16"/>
        <v>0.98549798250169784</v>
      </c>
      <c r="E87" s="15">
        <f t="shared" si="17"/>
        <v>0.99120896527145286</v>
      </c>
      <c r="F87" s="16"/>
      <c r="G87" s="33"/>
      <c r="H87" s="16">
        <v>25253</v>
      </c>
      <c r="I87" s="16">
        <f t="shared" si="18"/>
        <v>222</v>
      </c>
      <c r="J87" s="16">
        <v>25031</v>
      </c>
      <c r="K87" s="16">
        <v>24668</v>
      </c>
      <c r="L87" s="16">
        <f t="shared" si="19"/>
        <v>363</v>
      </c>
      <c r="M87" s="16"/>
      <c r="N87" s="16"/>
      <c r="O87" s="80"/>
      <c r="P87" s="81"/>
      <c r="Q87" s="41"/>
      <c r="R87" s="41"/>
      <c r="S87" s="41"/>
      <c r="T87" s="16"/>
      <c r="U87" s="16"/>
      <c r="V87" s="16"/>
      <c r="W87" s="16"/>
      <c r="X87" s="16"/>
      <c r="Y87" s="16"/>
      <c r="Z87" s="16"/>
      <c r="AA87" s="16"/>
      <c r="AB87" s="16"/>
      <c r="AC87" s="80"/>
      <c r="AD87" s="81"/>
      <c r="AE87" s="41"/>
      <c r="AF87" s="41"/>
      <c r="AG87" s="41"/>
      <c r="AH87" s="41"/>
      <c r="AI87" s="41"/>
      <c r="AJ87" s="16"/>
      <c r="AK87" s="16"/>
      <c r="AL87" s="16"/>
      <c r="AM87" s="16"/>
      <c r="AN87" s="16"/>
      <c r="AO87" s="16"/>
      <c r="AP87" s="16"/>
      <c r="AQ87" s="80"/>
      <c r="AR87" s="81"/>
      <c r="AS87" s="41"/>
      <c r="AT87" s="41"/>
      <c r="AU87" s="41"/>
      <c r="AV87" s="16"/>
      <c r="AW87" s="16"/>
      <c r="AX87" s="16"/>
      <c r="AY87" s="16"/>
      <c r="AZ87" s="16"/>
      <c r="BA87" s="16"/>
      <c r="BB87" s="16"/>
      <c r="BC87" s="16"/>
      <c r="BD87" s="16"/>
      <c r="BE87" s="80"/>
      <c r="BF87" s="81"/>
      <c r="BG87" s="41"/>
      <c r="BH87" s="41"/>
      <c r="BI87" s="41"/>
      <c r="BJ87" s="16"/>
      <c r="BK87" s="16"/>
      <c r="BL87" s="16"/>
      <c r="BM87" s="16"/>
      <c r="BN87" s="16"/>
      <c r="BO87" s="16"/>
      <c r="BP87" s="16"/>
      <c r="BQ87" s="16"/>
      <c r="BR87" s="16"/>
      <c r="BS87" s="80"/>
      <c r="BT87" s="81"/>
      <c r="BU87" s="41"/>
      <c r="BV87" s="41"/>
      <c r="BW87" s="41"/>
      <c r="BX87" s="16"/>
      <c r="BY87" s="16"/>
      <c r="BZ87" s="16"/>
      <c r="CA87" s="16"/>
      <c r="CB87" s="16"/>
      <c r="CC87" s="16"/>
      <c r="CD87" s="16"/>
      <c r="CE87" s="16"/>
      <c r="CF87" s="16"/>
      <c r="CG87" s="80"/>
      <c r="CH87" s="81"/>
      <c r="CI87" s="41"/>
      <c r="CJ87" s="41"/>
      <c r="CK87" s="41"/>
      <c r="CL87" s="16"/>
      <c r="CM87" s="16"/>
      <c r="CN87" s="16"/>
      <c r="CO87" s="16"/>
      <c r="CP87" s="16"/>
      <c r="CQ87" s="16"/>
      <c r="CR87" s="16"/>
      <c r="CS87" s="16"/>
      <c r="CT87" s="16"/>
      <c r="CU87" s="80"/>
      <c r="CV87" s="81"/>
      <c r="CW87" s="41"/>
      <c r="CX87" s="41"/>
      <c r="CY87" s="41"/>
      <c r="CZ87" s="16"/>
      <c r="DA87" s="16"/>
      <c r="DB87" s="16"/>
      <c r="DC87" s="16"/>
      <c r="DD87" s="16"/>
      <c r="DE87" s="16"/>
      <c r="DF87" s="16"/>
      <c r="DG87" s="16"/>
      <c r="DH87" s="16"/>
      <c r="DI87" s="80"/>
      <c r="DJ87" s="81"/>
      <c r="DK87" s="41"/>
      <c r="DL87" s="41"/>
      <c r="DM87" s="41"/>
      <c r="DN87" s="16"/>
      <c r="DO87" s="16"/>
      <c r="DP87" s="16"/>
      <c r="DQ87" s="16"/>
      <c r="DR87" s="16"/>
      <c r="DS87" s="16"/>
      <c r="DT87" s="16"/>
      <c r="DU87" s="16"/>
      <c r="DV87" s="16"/>
      <c r="DW87" s="80"/>
      <c r="DX87" s="81"/>
      <c r="DY87" s="41"/>
      <c r="DZ87" s="41"/>
      <c r="EA87" s="41"/>
      <c r="EB87" s="16"/>
      <c r="EC87" s="16"/>
      <c r="ED87" s="16"/>
      <c r="EE87" s="16"/>
      <c r="EF87" s="16"/>
      <c r="EG87" s="16"/>
      <c r="EH87" s="16"/>
      <c r="EI87" s="16"/>
      <c r="EJ87" s="16"/>
      <c r="EK87" s="80"/>
      <c r="EL87" s="81"/>
      <c r="EM87" s="16"/>
      <c r="EN87" s="16"/>
      <c r="EO87" s="16"/>
      <c r="EP87" s="16"/>
      <c r="EQ87" s="16"/>
      <c r="ER87" s="16"/>
      <c r="ES87" s="16"/>
      <c r="ET87" s="16"/>
      <c r="EU87" s="16"/>
      <c r="EV87" s="16"/>
      <c r="EW87" s="16"/>
      <c r="EX87" s="16"/>
      <c r="EY87" s="80"/>
      <c r="EZ87" s="81"/>
      <c r="FA87" s="16"/>
      <c r="FB87" s="16"/>
      <c r="FC87" s="16"/>
      <c r="FD87" s="16"/>
      <c r="FE87" s="16"/>
      <c r="FF87" s="16"/>
      <c r="FG87" s="16"/>
      <c r="FH87" s="16"/>
      <c r="FI87" s="16"/>
      <c r="FJ87" s="16"/>
      <c r="FK87" s="16"/>
      <c r="FM87" s="80"/>
      <c r="FN87" s="81"/>
      <c r="FO87" s="16"/>
      <c r="FP87" s="16"/>
      <c r="FQ87" s="16"/>
      <c r="FR87" s="16"/>
      <c r="FS87" s="16"/>
      <c r="FT87" s="16"/>
      <c r="FU87" s="16"/>
      <c r="FV87" s="16"/>
      <c r="FW87" s="16"/>
      <c r="FX87" s="16"/>
      <c r="FY87" s="16"/>
      <c r="GA87" s="80"/>
      <c r="GB87" s="81"/>
      <c r="GC87" s="16"/>
      <c r="GD87" s="16"/>
      <c r="GE87" s="16"/>
      <c r="GF87" s="16"/>
      <c r="GG87" s="16"/>
      <c r="GH87" s="16"/>
      <c r="GI87" s="16"/>
      <c r="GJ87" s="16"/>
      <c r="GK87" s="16"/>
      <c r="GL87" s="16"/>
      <c r="GM87" s="16"/>
    </row>
    <row r="88" spans="1:195" s="18" customFormat="1" ht="15" customHeight="1">
      <c r="A88" s="78">
        <v>1999</v>
      </c>
      <c r="B88" s="79" t="s">
        <v>46</v>
      </c>
      <c r="C88" s="15">
        <f t="shared" si="15"/>
        <v>0.96811113742205379</v>
      </c>
      <c r="D88" s="15">
        <f t="shared" si="16"/>
        <v>0.97912425657605873</v>
      </c>
      <c r="E88" s="15">
        <f t="shared" si="17"/>
        <v>0.98875207198673931</v>
      </c>
      <c r="F88" s="16"/>
      <c r="G88" s="33"/>
      <c r="H88" s="16">
        <v>25338</v>
      </c>
      <c r="I88" s="16">
        <f t="shared" si="18"/>
        <v>285</v>
      </c>
      <c r="J88" s="16">
        <v>25053</v>
      </c>
      <c r="K88" s="16">
        <v>24530</v>
      </c>
      <c r="L88" s="16">
        <f t="shared" si="19"/>
        <v>523</v>
      </c>
      <c r="M88" s="16"/>
      <c r="N88" s="16"/>
      <c r="O88" s="78"/>
      <c r="P88" s="79"/>
      <c r="Q88" s="41"/>
      <c r="R88" s="41"/>
      <c r="S88" s="41"/>
      <c r="T88" s="16"/>
      <c r="U88" s="16"/>
      <c r="V88" s="16"/>
      <c r="W88" s="16"/>
      <c r="X88" s="16"/>
      <c r="Y88" s="16"/>
      <c r="Z88" s="16"/>
      <c r="AA88" s="16"/>
      <c r="AB88" s="16"/>
      <c r="AC88" s="78"/>
      <c r="AD88" s="79"/>
      <c r="AE88" s="41"/>
      <c r="AF88" s="41"/>
      <c r="AG88" s="41"/>
      <c r="AH88" s="41"/>
      <c r="AI88" s="41"/>
      <c r="AJ88" s="16"/>
      <c r="AK88" s="16"/>
      <c r="AL88" s="16"/>
      <c r="AM88" s="16"/>
      <c r="AN88" s="16"/>
      <c r="AO88" s="16"/>
      <c r="AP88" s="16"/>
      <c r="AQ88" s="78"/>
      <c r="AR88" s="79"/>
      <c r="AS88" s="41"/>
      <c r="AT88" s="41"/>
      <c r="AU88" s="41"/>
      <c r="AV88" s="16"/>
      <c r="AW88" s="16"/>
      <c r="AX88" s="16"/>
      <c r="AY88" s="16"/>
      <c r="AZ88" s="16"/>
      <c r="BA88" s="16"/>
      <c r="BB88" s="16"/>
      <c r="BC88" s="16"/>
      <c r="BD88" s="16"/>
      <c r="BE88" s="78"/>
      <c r="BF88" s="79"/>
      <c r="BG88" s="41"/>
      <c r="BH88" s="41"/>
      <c r="BI88" s="41"/>
      <c r="BJ88" s="16"/>
      <c r="BK88" s="16"/>
      <c r="BL88" s="16"/>
      <c r="BM88" s="16"/>
      <c r="BN88" s="16"/>
      <c r="BO88" s="16"/>
      <c r="BP88" s="16"/>
      <c r="BQ88" s="16"/>
      <c r="BR88" s="16"/>
      <c r="BS88" s="78"/>
      <c r="BT88" s="79"/>
      <c r="BU88" s="41"/>
      <c r="BV88" s="41"/>
      <c r="BW88" s="41"/>
      <c r="BX88" s="16"/>
      <c r="BY88" s="16"/>
      <c r="BZ88" s="16"/>
      <c r="CA88" s="16"/>
      <c r="CB88" s="16"/>
      <c r="CC88" s="16"/>
      <c r="CD88" s="16"/>
      <c r="CE88" s="16"/>
      <c r="CF88" s="16"/>
      <c r="CG88" s="78"/>
      <c r="CH88" s="79"/>
      <c r="CI88" s="41"/>
      <c r="CJ88" s="41"/>
      <c r="CK88" s="41"/>
      <c r="CL88" s="16"/>
      <c r="CM88" s="16"/>
      <c r="CN88" s="16"/>
      <c r="CO88" s="16"/>
      <c r="CP88" s="16"/>
      <c r="CQ88" s="16"/>
      <c r="CR88" s="16"/>
      <c r="CS88" s="16"/>
      <c r="CT88" s="16"/>
      <c r="CU88" s="78"/>
      <c r="CV88" s="79"/>
      <c r="CW88" s="41"/>
      <c r="CX88" s="41"/>
      <c r="CY88" s="41"/>
      <c r="CZ88" s="16"/>
      <c r="DA88" s="16"/>
      <c r="DB88" s="16"/>
      <c r="DC88" s="16"/>
      <c r="DD88" s="16"/>
      <c r="DE88" s="16"/>
      <c r="DF88" s="16"/>
      <c r="DG88" s="16"/>
      <c r="DH88" s="16"/>
      <c r="DI88" s="78"/>
      <c r="DJ88" s="79"/>
      <c r="DK88" s="41"/>
      <c r="DL88" s="41"/>
      <c r="DM88" s="41"/>
      <c r="DN88" s="16"/>
      <c r="DO88" s="16"/>
      <c r="DP88" s="16"/>
      <c r="DQ88" s="16"/>
      <c r="DR88" s="16"/>
      <c r="DS88" s="16"/>
      <c r="DT88" s="16"/>
      <c r="DU88" s="16"/>
      <c r="DV88" s="16"/>
      <c r="DW88" s="78"/>
      <c r="DX88" s="79"/>
      <c r="DY88" s="41"/>
      <c r="DZ88" s="41"/>
      <c r="EA88" s="41"/>
      <c r="EB88" s="16"/>
      <c r="EC88" s="16"/>
      <c r="ED88" s="16"/>
      <c r="EE88" s="16"/>
      <c r="EF88" s="16"/>
      <c r="EG88" s="16"/>
      <c r="EH88" s="16"/>
      <c r="EI88" s="16"/>
      <c r="EJ88" s="16"/>
      <c r="EK88" s="78"/>
      <c r="EL88" s="79"/>
      <c r="EM88" s="16"/>
      <c r="EN88" s="16"/>
      <c r="EO88" s="16"/>
      <c r="EP88" s="16"/>
      <c r="EQ88" s="16"/>
      <c r="ER88" s="16"/>
      <c r="ES88" s="16"/>
      <c r="ET88" s="16"/>
      <c r="EU88" s="16"/>
      <c r="EV88" s="16"/>
      <c r="EW88" s="16"/>
      <c r="EX88" s="16"/>
      <c r="EY88" s="78"/>
      <c r="EZ88" s="79"/>
      <c r="FA88" s="16"/>
      <c r="FB88" s="16"/>
      <c r="FC88" s="16"/>
      <c r="FD88" s="16"/>
      <c r="FE88" s="16"/>
      <c r="FF88" s="16"/>
      <c r="FG88" s="16"/>
      <c r="FH88" s="16"/>
      <c r="FI88" s="16"/>
      <c r="FJ88" s="16"/>
      <c r="FK88" s="16"/>
      <c r="FM88" s="78"/>
      <c r="FN88" s="79"/>
      <c r="FO88" s="16"/>
      <c r="FP88" s="16"/>
      <c r="FQ88" s="16"/>
      <c r="FR88" s="16"/>
      <c r="FS88" s="16"/>
      <c r="FT88" s="16"/>
      <c r="FU88" s="16"/>
      <c r="FV88" s="16"/>
      <c r="FW88" s="16"/>
      <c r="FX88" s="16"/>
      <c r="FY88" s="16"/>
      <c r="GA88" s="78"/>
      <c r="GB88" s="79"/>
      <c r="GC88" s="16"/>
      <c r="GD88" s="16"/>
      <c r="GE88" s="16"/>
      <c r="GF88" s="16"/>
      <c r="GG88" s="16"/>
      <c r="GH88" s="16"/>
      <c r="GI88" s="16"/>
      <c r="GJ88" s="16"/>
      <c r="GK88" s="16"/>
      <c r="GL88" s="16"/>
      <c r="GM88" s="16"/>
    </row>
    <row r="89" spans="1:195" s="18" customFormat="1" ht="15" customHeight="1">
      <c r="A89" s="80">
        <v>1999</v>
      </c>
      <c r="B89" s="81" t="s">
        <v>47</v>
      </c>
      <c r="C89" s="15">
        <f t="shared" si="15"/>
        <v>0.96785004481508907</v>
      </c>
      <c r="D89" s="15">
        <f t="shared" si="16"/>
        <v>0.97495485593153808</v>
      </c>
      <c r="E89" s="15">
        <f t="shared" si="17"/>
        <v>0.9927126768247535</v>
      </c>
      <c r="F89" s="16"/>
      <c r="G89" s="33"/>
      <c r="H89" s="16">
        <v>25661</v>
      </c>
      <c r="I89" s="16">
        <f t="shared" si="18"/>
        <v>187</v>
      </c>
      <c r="J89" s="16">
        <v>25474</v>
      </c>
      <c r="K89" s="16">
        <v>24836</v>
      </c>
      <c r="L89" s="16">
        <f t="shared" si="19"/>
        <v>638</v>
      </c>
      <c r="M89" s="16"/>
      <c r="N89" s="16"/>
      <c r="O89" s="80"/>
      <c r="P89" s="81"/>
      <c r="Q89" s="41"/>
      <c r="R89" s="41"/>
      <c r="S89" s="41"/>
      <c r="T89" s="16"/>
      <c r="U89" s="16"/>
      <c r="V89" s="16"/>
      <c r="W89" s="16"/>
      <c r="X89" s="16"/>
      <c r="Y89" s="16"/>
      <c r="Z89" s="16"/>
      <c r="AA89" s="16"/>
      <c r="AB89" s="16"/>
      <c r="AC89" s="80"/>
      <c r="AD89" s="81"/>
      <c r="AE89" s="41"/>
      <c r="AF89" s="41"/>
      <c r="AG89" s="41"/>
      <c r="AH89" s="41"/>
      <c r="AI89" s="41"/>
      <c r="AJ89" s="16"/>
      <c r="AK89" s="16"/>
      <c r="AL89" s="16"/>
      <c r="AM89" s="16"/>
      <c r="AN89" s="16"/>
      <c r="AO89" s="16"/>
      <c r="AP89" s="16"/>
      <c r="AQ89" s="80"/>
      <c r="AR89" s="81"/>
      <c r="AS89" s="41"/>
      <c r="AT89" s="41"/>
      <c r="AU89" s="41"/>
      <c r="AV89" s="16"/>
      <c r="AW89" s="16"/>
      <c r="AX89" s="16"/>
      <c r="AY89" s="16"/>
      <c r="AZ89" s="16"/>
      <c r="BA89" s="16"/>
      <c r="BB89" s="16"/>
      <c r="BC89" s="16"/>
      <c r="BD89" s="16"/>
      <c r="BE89" s="80"/>
      <c r="BF89" s="81"/>
      <c r="BG89" s="41"/>
      <c r="BH89" s="41"/>
      <c r="BI89" s="41"/>
      <c r="BJ89" s="16"/>
      <c r="BK89" s="16"/>
      <c r="BL89" s="16"/>
      <c r="BM89" s="16"/>
      <c r="BN89" s="16"/>
      <c r="BO89" s="16"/>
      <c r="BP89" s="16"/>
      <c r="BQ89" s="16"/>
      <c r="BR89" s="16"/>
      <c r="BS89" s="80"/>
      <c r="BT89" s="81"/>
      <c r="BU89" s="41"/>
      <c r="BV89" s="41"/>
      <c r="BW89" s="41"/>
      <c r="BX89" s="16"/>
      <c r="BY89" s="16"/>
      <c r="BZ89" s="16"/>
      <c r="CA89" s="16"/>
      <c r="CB89" s="16"/>
      <c r="CC89" s="16"/>
      <c r="CD89" s="16"/>
      <c r="CE89" s="16"/>
      <c r="CF89" s="16"/>
      <c r="CG89" s="80"/>
      <c r="CH89" s="81"/>
      <c r="CI89" s="41"/>
      <c r="CJ89" s="41"/>
      <c r="CK89" s="41"/>
      <c r="CL89" s="16"/>
      <c r="CM89" s="16"/>
      <c r="CN89" s="16"/>
      <c r="CO89" s="16"/>
      <c r="CP89" s="16"/>
      <c r="CQ89" s="16"/>
      <c r="CR89" s="16"/>
      <c r="CS89" s="16"/>
      <c r="CT89" s="16"/>
      <c r="CU89" s="80"/>
      <c r="CV89" s="81"/>
      <c r="CW89" s="41"/>
      <c r="CX89" s="41"/>
      <c r="CY89" s="41"/>
      <c r="CZ89" s="16"/>
      <c r="DA89" s="16"/>
      <c r="DB89" s="16"/>
      <c r="DC89" s="16"/>
      <c r="DD89" s="16"/>
      <c r="DE89" s="16"/>
      <c r="DF89" s="16"/>
      <c r="DG89" s="16"/>
      <c r="DH89" s="16"/>
      <c r="DI89" s="80"/>
      <c r="DJ89" s="81"/>
      <c r="DK89" s="41"/>
      <c r="DL89" s="41"/>
      <c r="DM89" s="41"/>
      <c r="DN89" s="16"/>
      <c r="DO89" s="16"/>
      <c r="DP89" s="16"/>
      <c r="DQ89" s="16"/>
      <c r="DR89" s="16"/>
      <c r="DS89" s="16"/>
      <c r="DT89" s="16"/>
      <c r="DU89" s="16"/>
      <c r="DV89" s="16"/>
      <c r="DW89" s="80"/>
      <c r="DX89" s="81"/>
      <c r="DY89" s="41"/>
      <c r="DZ89" s="41"/>
      <c r="EA89" s="41"/>
      <c r="EB89" s="16"/>
      <c r="EC89" s="16"/>
      <c r="ED89" s="16"/>
      <c r="EE89" s="16"/>
      <c r="EF89" s="16"/>
      <c r="EG89" s="16"/>
      <c r="EH89" s="16"/>
      <c r="EI89" s="16"/>
      <c r="EJ89" s="16"/>
      <c r="EK89" s="80"/>
      <c r="EL89" s="81"/>
      <c r="EM89" s="16"/>
      <c r="EN89" s="16"/>
      <c r="EO89" s="16"/>
      <c r="EP89" s="16"/>
      <c r="EQ89" s="16"/>
      <c r="ER89" s="16"/>
      <c r="ES89" s="16"/>
      <c r="ET89" s="16"/>
      <c r="EU89" s="16"/>
      <c r="EV89" s="16"/>
      <c r="EW89" s="16"/>
      <c r="EX89" s="16"/>
      <c r="EY89" s="80"/>
      <c r="EZ89" s="81"/>
      <c r="FA89" s="16"/>
      <c r="FB89" s="16"/>
      <c r="FC89" s="16"/>
      <c r="FD89" s="16"/>
      <c r="FE89" s="16"/>
      <c r="FF89" s="16"/>
      <c r="FG89" s="16"/>
      <c r="FH89" s="16"/>
      <c r="FI89" s="16"/>
      <c r="FJ89" s="16"/>
      <c r="FK89" s="16"/>
      <c r="FM89" s="80"/>
      <c r="FN89" s="81"/>
      <c r="FO89" s="16"/>
      <c r="FP89" s="16"/>
      <c r="FQ89" s="16"/>
      <c r="FR89" s="16"/>
      <c r="FS89" s="16"/>
      <c r="FT89" s="16"/>
      <c r="FU89" s="16"/>
      <c r="FV89" s="16"/>
      <c r="FW89" s="16"/>
      <c r="FX89" s="16"/>
      <c r="FY89" s="16"/>
      <c r="GA89" s="80"/>
      <c r="GB89" s="81"/>
      <c r="GC89" s="16"/>
      <c r="GD89" s="16"/>
      <c r="GE89" s="16"/>
      <c r="GF89" s="16"/>
      <c r="GG89" s="16"/>
      <c r="GH89" s="16"/>
      <c r="GI89" s="16"/>
      <c r="GJ89" s="16"/>
      <c r="GK89" s="16"/>
      <c r="GL89" s="16"/>
      <c r="GM89" s="16"/>
    </row>
    <row r="90" spans="1:195" s="18" customFormat="1" ht="15" customHeight="1">
      <c r="A90" s="78">
        <v>2000</v>
      </c>
      <c r="B90" s="79" t="s">
        <v>36</v>
      </c>
      <c r="C90" s="15">
        <f t="shared" si="15"/>
        <v>0.96915641821539433</v>
      </c>
      <c r="D90" s="15">
        <f t="shared" si="16"/>
        <v>0.9774519516544482</v>
      </c>
      <c r="E90" s="15">
        <f t="shared" si="17"/>
        <v>0.99151310361086009</v>
      </c>
      <c r="F90" s="16"/>
      <c r="G90" s="33"/>
      <c r="H90" s="16">
        <v>25451</v>
      </c>
      <c r="I90" s="16">
        <f t="shared" ref="I90:I101" si="20">H90-J90</f>
        <v>216</v>
      </c>
      <c r="J90" s="16">
        <v>25235</v>
      </c>
      <c r="K90" s="16">
        <v>24666</v>
      </c>
      <c r="L90" s="16">
        <f t="shared" ref="L90:L101" si="21">J90-K90</f>
        <v>569</v>
      </c>
      <c r="M90" s="16"/>
      <c r="N90" s="16"/>
      <c r="O90" s="78"/>
      <c r="P90" s="79"/>
      <c r="Q90" s="41"/>
      <c r="R90" s="41"/>
      <c r="S90" s="41"/>
      <c r="T90" s="16"/>
      <c r="U90" s="16"/>
      <c r="V90" s="16"/>
      <c r="W90" s="16"/>
      <c r="X90" s="16"/>
      <c r="Y90" s="16"/>
      <c r="Z90" s="16"/>
      <c r="AA90" s="16"/>
      <c r="AB90" s="16"/>
      <c r="AC90" s="78"/>
      <c r="AD90" s="79"/>
      <c r="AE90" s="41"/>
      <c r="AF90" s="41"/>
      <c r="AG90" s="41"/>
      <c r="AH90" s="41"/>
      <c r="AI90" s="41"/>
      <c r="AJ90" s="16"/>
      <c r="AK90" s="16"/>
      <c r="AL90" s="16"/>
      <c r="AM90" s="16"/>
      <c r="AN90" s="16"/>
      <c r="AO90" s="16"/>
      <c r="AP90" s="16"/>
      <c r="AQ90" s="78"/>
      <c r="AR90" s="79"/>
      <c r="AS90" s="41"/>
      <c r="AT90" s="41"/>
      <c r="AU90" s="41"/>
      <c r="AV90" s="16"/>
      <c r="AW90" s="16"/>
      <c r="AX90" s="16"/>
      <c r="AY90" s="16"/>
      <c r="AZ90" s="16"/>
      <c r="BA90" s="16"/>
      <c r="BB90" s="16"/>
      <c r="BC90" s="16"/>
      <c r="BD90" s="16"/>
      <c r="BE90" s="78"/>
      <c r="BF90" s="79"/>
      <c r="BG90" s="41"/>
      <c r="BH90" s="41"/>
      <c r="BI90" s="41"/>
      <c r="BJ90" s="16"/>
      <c r="BK90" s="16"/>
      <c r="BL90" s="16"/>
      <c r="BM90" s="16"/>
      <c r="BN90" s="16"/>
      <c r="BO90" s="16"/>
      <c r="BP90" s="16"/>
      <c r="BQ90" s="16"/>
      <c r="BR90" s="16"/>
      <c r="BS90" s="78"/>
      <c r="BT90" s="79"/>
      <c r="BU90" s="41"/>
      <c r="BV90" s="41"/>
      <c r="BW90" s="41"/>
      <c r="BX90" s="16"/>
      <c r="BY90" s="16"/>
      <c r="BZ90" s="16"/>
      <c r="CA90" s="16"/>
      <c r="CB90" s="16"/>
      <c r="CC90" s="16"/>
      <c r="CD90" s="16"/>
      <c r="CE90" s="16"/>
      <c r="CF90" s="16"/>
      <c r="CG90" s="78"/>
      <c r="CH90" s="79"/>
      <c r="CI90" s="41"/>
      <c r="CJ90" s="41"/>
      <c r="CK90" s="41"/>
      <c r="CL90" s="16"/>
      <c r="CM90" s="16"/>
      <c r="CN90" s="16"/>
      <c r="CO90" s="16"/>
      <c r="CP90" s="16"/>
      <c r="CQ90" s="16"/>
      <c r="CR90" s="16"/>
      <c r="CS90" s="16"/>
      <c r="CT90" s="16"/>
      <c r="CU90" s="78"/>
      <c r="CV90" s="79"/>
      <c r="CW90" s="41"/>
      <c r="CX90" s="41"/>
      <c r="CY90" s="41"/>
      <c r="CZ90" s="16"/>
      <c r="DA90" s="16"/>
      <c r="DB90" s="16"/>
      <c r="DC90" s="16"/>
      <c r="DD90" s="16"/>
      <c r="DE90" s="16"/>
      <c r="DF90" s="16"/>
      <c r="DG90" s="16"/>
      <c r="DH90" s="16"/>
      <c r="DI90" s="78"/>
      <c r="DJ90" s="79"/>
      <c r="DK90" s="41"/>
      <c r="DL90" s="41"/>
      <c r="DM90" s="41"/>
      <c r="DN90" s="16"/>
      <c r="DO90" s="16"/>
      <c r="DP90" s="16"/>
      <c r="DQ90" s="16"/>
      <c r="DR90" s="16"/>
      <c r="DS90" s="16"/>
      <c r="DT90" s="16"/>
      <c r="DU90" s="16"/>
      <c r="DV90" s="16"/>
      <c r="DW90" s="78"/>
      <c r="DX90" s="79"/>
      <c r="DY90" s="41"/>
      <c r="DZ90" s="41"/>
      <c r="EA90" s="41"/>
      <c r="EB90" s="16"/>
      <c r="EC90" s="16"/>
      <c r="ED90" s="16"/>
      <c r="EE90" s="16"/>
      <c r="EF90" s="16"/>
      <c r="EG90" s="16"/>
      <c r="EH90" s="16"/>
      <c r="EI90" s="16"/>
      <c r="EJ90" s="16"/>
      <c r="EK90" s="78"/>
      <c r="EL90" s="79"/>
      <c r="EM90" s="16"/>
      <c r="EN90" s="16"/>
      <c r="EO90" s="16"/>
      <c r="EP90" s="16"/>
      <c r="EQ90" s="16"/>
      <c r="ER90" s="16"/>
      <c r="ES90" s="16"/>
      <c r="ET90" s="16"/>
      <c r="EU90" s="16"/>
      <c r="EV90" s="16"/>
      <c r="EW90" s="16"/>
      <c r="EX90" s="16"/>
      <c r="EY90" s="78"/>
      <c r="EZ90" s="79"/>
      <c r="FA90" s="16"/>
      <c r="FB90" s="16"/>
      <c r="FC90" s="16"/>
      <c r="FD90" s="16"/>
      <c r="FE90" s="16"/>
      <c r="FF90" s="16"/>
      <c r="FG90" s="16"/>
      <c r="FH90" s="16"/>
      <c r="FI90" s="16"/>
      <c r="FJ90" s="16"/>
      <c r="FK90" s="16"/>
      <c r="FM90" s="78"/>
      <c r="FN90" s="79"/>
      <c r="FO90" s="16"/>
      <c r="FP90" s="16"/>
      <c r="FQ90" s="16"/>
      <c r="FR90" s="16"/>
      <c r="FS90" s="16"/>
      <c r="FT90" s="16"/>
      <c r="FU90" s="16"/>
      <c r="FV90" s="16"/>
      <c r="FW90" s="16"/>
      <c r="FX90" s="16"/>
      <c r="FY90" s="16"/>
      <c r="GA90" s="78"/>
      <c r="GB90" s="79"/>
      <c r="GC90" s="16"/>
      <c r="GD90" s="16"/>
      <c r="GE90" s="16"/>
      <c r="GF90" s="16"/>
      <c r="GG90" s="16"/>
      <c r="GH90" s="16"/>
      <c r="GI90" s="16"/>
      <c r="GJ90" s="16"/>
      <c r="GK90" s="16"/>
      <c r="GL90" s="16"/>
      <c r="GM90" s="16"/>
    </row>
    <row r="91" spans="1:195" s="18" customFormat="1" ht="15" customHeight="1">
      <c r="A91" s="80">
        <v>2000</v>
      </c>
      <c r="B91" s="81" t="s">
        <v>37</v>
      </c>
      <c r="C91" s="15">
        <f t="shared" si="15"/>
        <v>0.96485766946549256</v>
      </c>
      <c r="D91" s="15">
        <f t="shared" si="16"/>
        <v>0.97270625154843504</v>
      </c>
      <c r="E91" s="15">
        <f t="shared" si="17"/>
        <v>0.9919311898423101</v>
      </c>
      <c r="F91" s="16"/>
      <c r="G91" s="33"/>
      <c r="H91" s="16">
        <v>24415</v>
      </c>
      <c r="I91" s="16">
        <f t="shared" si="20"/>
        <v>197</v>
      </c>
      <c r="J91" s="16">
        <v>24218</v>
      </c>
      <c r="K91" s="16">
        <v>23557</v>
      </c>
      <c r="L91" s="16">
        <f t="shared" si="21"/>
        <v>661</v>
      </c>
      <c r="M91" s="16"/>
      <c r="N91" s="16"/>
      <c r="O91" s="80"/>
      <c r="P91" s="81"/>
      <c r="Q91" s="41"/>
      <c r="R91" s="41"/>
      <c r="S91" s="41"/>
      <c r="T91" s="16"/>
      <c r="U91" s="16"/>
      <c r="V91" s="16"/>
      <c r="W91" s="16"/>
      <c r="X91" s="16"/>
      <c r="Y91" s="16"/>
      <c r="Z91" s="16"/>
      <c r="AA91" s="16"/>
      <c r="AB91" s="16"/>
      <c r="AC91" s="80"/>
      <c r="AD91" s="81"/>
      <c r="AE91" s="41"/>
      <c r="AF91" s="41"/>
      <c r="AG91" s="41"/>
      <c r="AH91" s="41"/>
      <c r="AI91" s="41"/>
      <c r="AJ91" s="16"/>
      <c r="AK91" s="16"/>
      <c r="AL91" s="16"/>
      <c r="AM91" s="16"/>
      <c r="AN91" s="16"/>
      <c r="AO91" s="16"/>
      <c r="AP91" s="16"/>
      <c r="AQ91" s="80"/>
      <c r="AR91" s="81"/>
      <c r="AS91" s="41"/>
      <c r="AT91" s="41"/>
      <c r="AU91" s="41"/>
      <c r="AV91" s="16"/>
      <c r="AW91" s="16"/>
      <c r="AX91" s="16"/>
      <c r="AY91" s="16"/>
      <c r="AZ91" s="16"/>
      <c r="BA91" s="16"/>
      <c r="BB91" s="16"/>
      <c r="BC91" s="16"/>
      <c r="BD91" s="16"/>
      <c r="BE91" s="80"/>
      <c r="BF91" s="81"/>
      <c r="BG91" s="41"/>
      <c r="BH91" s="41"/>
      <c r="BI91" s="41"/>
      <c r="BJ91" s="16"/>
      <c r="BK91" s="16"/>
      <c r="BL91" s="16"/>
      <c r="BM91" s="16"/>
      <c r="BN91" s="16"/>
      <c r="BO91" s="16"/>
      <c r="BP91" s="16"/>
      <c r="BQ91" s="16"/>
      <c r="BR91" s="16"/>
      <c r="BS91" s="80"/>
      <c r="BT91" s="81"/>
      <c r="BU91" s="41"/>
      <c r="BV91" s="41"/>
      <c r="BW91" s="41"/>
      <c r="BX91" s="16"/>
      <c r="BY91" s="16"/>
      <c r="BZ91" s="16"/>
      <c r="CA91" s="16"/>
      <c r="CB91" s="16"/>
      <c r="CC91" s="16"/>
      <c r="CD91" s="16"/>
      <c r="CE91" s="16"/>
      <c r="CF91" s="16"/>
      <c r="CG91" s="80"/>
      <c r="CH91" s="81"/>
      <c r="CI91" s="41"/>
      <c r="CJ91" s="41"/>
      <c r="CK91" s="41"/>
      <c r="CL91" s="16"/>
      <c r="CM91" s="16"/>
      <c r="CN91" s="16"/>
      <c r="CO91" s="16"/>
      <c r="CP91" s="16"/>
      <c r="CQ91" s="16"/>
      <c r="CR91" s="16"/>
      <c r="CS91" s="16"/>
      <c r="CT91" s="16"/>
      <c r="CU91" s="80"/>
      <c r="CV91" s="81"/>
      <c r="CW91" s="41"/>
      <c r="CX91" s="41"/>
      <c r="CY91" s="41"/>
      <c r="CZ91" s="16"/>
      <c r="DA91" s="16"/>
      <c r="DB91" s="16"/>
      <c r="DC91" s="16"/>
      <c r="DD91" s="16"/>
      <c r="DE91" s="16"/>
      <c r="DF91" s="16"/>
      <c r="DG91" s="16"/>
      <c r="DH91" s="16"/>
      <c r="DI91" s="80"/>
      <c r="DJ91" s="81"/>
      <c r="DK91" s="41"/>
      <c r="DL91" s="41"/>
      <c r="DM91" s="41"/>
      <c r="DN91" s="16"/>
      <c r="DO91" s="16"/>
      <c r="DP91" s="16"/>
      <c r="DQ91" s="16"/>
      <c r="DR91" s="16"/>
      <c r="DS91" s="16"/>
      <c r="DT91" s="16"/>
      <c r="DU91" s="16"/>
      <c r="DV91" s="16"/>
      <c r="DW91" s="80"/>
      <c r="DX91" s="81"/>
      <c r="DY91" s="41"/>
      <c r="DZ91" s="41"/>
      <c r="EA91" s="41"/>
      <c r="EB91" s="16"/>
      <c r="EC91" s="16"/>
      <c r="ED91" s="16"/>
      <c r="EE91" s="16"/>
      <c r="EF91" s="16"/>
      <c r="EG91" s="16"/>
      <c r="EH91" s="16"/>
      <c r="EI91" s="16"/>
      <c r="EJ91" s="16"/>
      <c r="EK91" s="80"/>
      <c r="EL91" s="81"/>
      <c r="EM91" s="16"/>
      <c r="EN91" s="16"/>
      <c r="EO91" s="16"/>
      <c r="EP91" s="16"/>
      <c r="EQ91" s="16"/>
      <c r="ER91" s="16"/>
      <c r="ES91" s="16"/>
      <c r="ET91" s="16"/>
      <c r="EU91" s="16"/>
      <c r="EV91" s="16"/>
      <c r="EW91" s="16"/>
      <c r="EX91" s="16"/>
      <c r="EY91" s="80"/>
      <c r="EZ91" s="81"/>
      <c r="FA91" s="16"/>
      <c r="FB91" s="16"/>
      <c r="FC91" s="16"/>
      <c r="FD91" s="16"/>
      <c r="FE91" s="16"/>
      <c r="FF91" s="16"/>
      <c r="FG91" s="16"/>
      <c r="FH91" s="16"/>
      <c r="FI91" s="16"/>
      <c r="FJ91" s="16"/>
      <c r="FK91" s="16"/>
      <c r="FM91" s="80"/>
      <c r="FN91" s="81"/>
      <c r="FO91" s="16"/>
      <c r="FP91" s="16"/>
      <c r="FQ91" s="16"/>
      <c r="FR91" s="16"/>
      <c r="FS91" s="16"/>
      <c r="FT91" s="16"/>
      <c r="FU91" s="16"/>
      <c r="FV91" s="16"/>
      <c r="FW91" s="16"/>
      <c r="FX91" s="16"/>
      <c r="FY91" s="16"/>
      <c r="GA91" s="80"/>
      <c r="GB91" s="81"/>
      <c r="GC91" s="16"/>
      <c r="GD91" s="16"/>
      <c r="GE91" s="16"/>
      <c r="GF91" s="16"/>
      <c r="GG91" s="16"/>
      <c r="GH91" s="16"/>
      <c r="GI91" s="16"/>
      <c r="GJ91" s="16"/>
      <c r="GK91" s="16"/>
      <c r="GL91" s="16"/>
      <c r="GM91" s="16"/>
    </row>
    <row r="92" spans="1:195" s="18" customFormat="1" ht="15" customHeight="1">
      <c r="A92" s="78">
        <v>2000</v>
      </c>
      <c r="B92" s="79" t="s">
        <v>38</v>
      </c>
      <c r="C92" s="15">
        <f t="shared" si="15"/>
        <v>0.97552247896760436</v>
      </c>
      <c r="D92" s="15">
        <f t="shared" si="16"/>
        <v>0.98127512923607119</v>
      </c>
      <c r="E92" s="15">
        <f t="shared" si="17"/>
        <v>0.99413757661121471</v>
      </c>
      <c r="F92" s="16"/>
      <c r="G92" s="33"/>
      <c r="H92" s="16">
        <v>26269</v>
      </c>
      <c r="I92" s="16">
        <f t="shared" si="20"/>
        <v>154</v>
      </c>
      <c r="J92" s="16">
        <v>26115</v>
      </c>
      <c r="K92" s="16">
        <v>25626</v>
      </c>
      <c r="L92" s="16">
        <f t="shared" si="21"/>
        <v>489</v>
      </c>
      <c r="M92" s="16"/>
      <c r="N92" s="16"/>
      <c r="O92" s="78"/>
      <c r="P92" s="79"/>
      <c r="Q92" s="41"/>
      <c r="R92" s="41"/>
      <c r="S92" s="41"/>
      <c r="T92" s="16"/>
      <c r="U92" s="16"/>
      <c r="V92" s="16"/>
      <c r="W92" s="16"/>
      <c r="X92" s="16"/>
      <c r="Y92" s="16"/>
      <c r="Z92" s="16"/>
      <c r="AA92" s="16"/>
      <c r="AB92" s="16"/>
      <c r="AC92" s="78"/>
      <c r="AD92" s="79"/>
      <c r="AE92" s="41"/>
      <c r="AF92" s="41"/>
      <c r="AG92" s="41"/>
      <c r="AH92" s="41"/>
      <c r="AI92" s="41"/>
      <c r="AJ92" s="16"/>
      <c r="AK92" s="16"/>
      <c r="AL92" s="16"/>
      <c r="AM92" s="16"/>
      <c r="AN92" s="16"/>
      <c r="AO92" s="16"/>
      <c r="AP92" s="16"/>
      <c r="AQ92" s="78"/>
      <c r="AR92" s="79"/>
      <c r="AS92" s="41"/>
      <c r="AT92" s="41"/>
      <c r="AU92" s="41"/>
      <c r="AV92" s="16"/>
      <c r="AW92" s="16"/>
      <c r="AX92" s="16"/>
      <c r="AY92" s="16"/>
      <c r="AZ92" s="16"/>
      <c r="BA92" s="16"/>
      <c r="BB92" s="16"/>
      <c r="BC92" s="16"/>
      <c r="BD92" s="16"/>
      <c r="BE92" s="78"/>
      <c r="BF92" s="79"/>
      <c r="BG92" s="41"/>
      <c r="BH92" s="41"/>
      <c r="BI92" s="41"/>
      <c r="BJ92" s="16"/>
      <c r="BK92" s="16"/>
      <c r="BL92" s="16"/>
      <c r="BM92" s="16"/>
      <c r="BN92" s="16"/>
      <c r="BO92" s="16"/>
      <c r="BP92" s="16"/>
      <c r="BQ92" s="16"/>
      <c r="BR92" s="16"/>
      <c r="BS92" s="78"/>
      <c r="BT92" s="79"/>
      <c r="BU92" s="41"/>
      <c r="BV92" s="41"/>
      <c r="BW92" s="41"/>
      <c r="BX92" s="16"/>
      <c r="BY92" s="16"/>
      <c r="BZ92" s="16"/>
      <c r="CA92" s="16"/>
      <c r="CB92" s="16"/>
      <c r="CC92" s="16"/>
      <c r="CD92" s="16"/>
      <c r="CE92" s="16"/>
      <c r="CF92" s="16"/>
      <c r="CG92" s="78"/>
      <c r="CH92" s="79"/>
      <c r="CI92" s="41"/>
      <c r="CJ92" s="41"/>
      <c r="CK92" s="41"/>
      <c r="CL92" s="16"/>
      <c r="CM92" s="16"/>
      <c r="CN92" s="16"/>
      <c r="CO92" s="16"/>
      <c r="CP92" s="16"/>
      <c r="CQ92" s="16"/>
      <c r="CR92" s="16"/>
      <c r="CS92" s="16"/>
      <c r="CT92" s="16"/>
      <c r="CU92" s="78"/>
      <c r="CV92" s="79"/>
      <c r="CW92" s="41"/>
      <c r="CX92" s="41"/>
      <c r="CY92" s="41"/>
      <c r="CZ92" s="16"/>
      <c r="DA92" s="16"/>
      <c r="DB92" s="16"/>
      <c r="DC92" s="16"/>
      <c r="DD92" s="16"/>
      <c r="DE92" s="16"/>
      <c r="DF92" s="16"/>
      <c r="DG92" s="16"/>
      <c r="DH92" s="16"/>
      <c r="DI92" s="78"/>
      <c r="DJ92" s="79"/>
      <c r="DK92" s="41"/>
      <c r="DL92" s="41"/>
      <c r="DM92" s="41"/>
      <c r="DN92" s="16"/>
      <c r="DO92" s="16"/>
      <c r="DP92" s="16"/>
      <c r="DQ92" s="16"/>
      <c r="DR92" s="16"/>
      <c r="DS92" s="16"/>
      <c r="DT92" s="16"/>
      <c r="DU92" s="16"/>
      <c r="DV92" s="16"/>
      <c r="DW92" s="78"/>
      <c r="DX92" s="79"/>
      <c r="DY92" s="41"/>
      <c r="DZ92" s="41"/>
      <c r="EA92" s="41"/>
      <c r="EB92" s="16"/>
      <c r="EC92" s="16"/>
      <c r="ED92" s="16"/>
      <c r="EE92" s="16"/>
      <c r="EF92" s="16"/>
      <c r="EG92" s="16"/>
      <c r="EH92" s="16"/>
      <c r="EI92" s="16"/>
      <c r="EJ92" s="16"/>
      <c r="EK92" s="78"/>
      <c r="EL92" s="79"/>
      <c r="EM92" s="16"/>
      <c r="EN92" s="16"/>
      <c r="EO92" s="16"/>
      <c r="EP92" s="16"/>
      <c r="EQ92" s="16"/>
      <c r="ER92" s="16"/>
      <c r="ES92" s="16"/>
      <c r="ET92" s="16"/>
      <c r="EU92" s="16"/>
      <c r="EV92" s="16"/>
      <c r="EW92" s="16"/>
      <c r="EX92" s="16"/>
      <c r="EY92" s="78"/>
      <c r="EZ92" s="79"/>
      <c r="FA92" s="16"/>
      <c r="FB92" s="16"/>
      <c r="FC92" s="16"/>
      <c r="FD92" s="16"/>
      <c r="FE92" s="16"/>
      <c r="FF92" s="16"/>
      <c r="FG92" s="16"/>
      <c r="FH92" s="16"/>
      <c r="FI92" s="16"/>
      <c r="FJ92" s="16"/>
      <c r="FK92" s="16"/>
      <c r="FM92" s="78"/>
      <c r="FN92" s="79"/>
      <c r="FO92" s="16"/>
      <c r="FP92" s="16"/>
      <c r="FQ92" s="16"/>
      <c r="FR92" s="16"/>
      <c r="FS92" s="16"/>
      <c r="FT92" s="16"/>
      <c r="FU92" s="16"/>
      <c r="FV92" s="16"/>
      <c r="FW92" s="16"/>
      <c r="FX92" s="16"/>
      <c r="FY92" s="16"/>
      <c r="GA92" s="78"/>
      <c r="GB92" s="79"/>
      <c r="GC92" s="16"/>
      <c r="GD92" s="16"/>
      <c r="GE92" s="16"/>
      <c r="GF92" s="16"/>
      <c r="GG92" s="16"/>
      <c r="GH92" s="16"/>
      <c r="GI92" s="16"/>
      <c r="GJ92" s="16"/>
      <c r="GK92" s="16"/>
      <c r="GL92" s="16"/>
      <c r="GM92" s="16"/>
    </row>
    <row r="93" spans="1:195" s="18" customFormat="1" ht="15" customHeight="1">
      <c r="A93" s="80">
        <v>2000</v>
      </c>
      <c r="B93" s="81" t="s">
        <v>39</v>
      </c>
      <c r="C93" s="15">
        <f t="shared" si="15"/>
        <v>0.97018947717567061</v>
      </c>
      <c r="D93" s="15">
        <f t="shared" si="16"/>
        <v>0.97569111453946544</v>
      </c>
      <c r="E93" s="15">
        <f t="shared" si="17"/>
        <v>0.99436129192752598</v>
      </c>
      <c r="F93" s="16"/>
      <c r="G93" s="33"/>
      <c r="H93" s="16">
        <v>24119</v>
      </c>
      <c r="I93" s="16">
        <f t="shared" si="20"/>
        <v>136</v>
      </c>
      <c r="J93" s="16">
        <v>23983</v>
      </c>
      <c r="K93" s="16">
        <v>23400</v>
      </c>
      <c r="L93" s="16">
        <f t="shared" si="21"/>
        <v>583</v>
      </c>
      <c r="M93" s="16"/>
      <c r="N93" s="16"/>
      <c r="O93" s="80"/>
      <c r="P93" s="81"/>
      <c r="Q93" s="41"/>
      <c r="R93" s="41"/>
      <c r="S93" s="41"/>
      <c r="T93" s="16"/>
      <c r="U93" s="16"/>
      <c r="V93" s="16"/>
      <c r="W93" s="16"/>
      <c r="X93" s="16"/>
      <c r="Y93" s="16"/>
      <c r="Z93" s="16"/>
      <c r="AA93" s="16"/>
      <c r="AB93" s="16"/>
      <c r="AC93" s="80"/>
      <c r="AD93" s="81"/>
      <c r="AE93" s="41"/>
      <c r="AF93" s="41"/>
      <c r="AG93" s="41"/>
      <c r="AH93" s="41"/>
      <c r="AI93" s="41"/>
      <c r="AJ93" s="16"/>
      <c r="AK93" s="16"/>
      <c r="AL93" s="16"/>
      <c r="AM93" s="16"/>
      <c r="AN93" s="16"/>
      <c r="AO93" s="16"/>
      <c r="AP93" s="16"/>
      <c r="AQ93" s="80"/>
      <c r="AR93" s="81"/>
      <c r="AS93" s="41"/>
      <c r="AT93" s="41"/>
      <c r="AU93" s="41"/>
      <c r="AV93" s="16"/>
      <c r="AW93" s="16"/>
      <c r="AX93" s="16"/>
      <c r="AY93" s="16"/>
      <c r="AZ93" s="16"/>
      <c r="BA93" s="16"/>
      <c r="BB93" s="16"/>
      <c r="BC93" s="16"/>
      <c r="BD93" s="16"/>
      <c r="BE93" s="80"/>
      <c r="BF93" s="81"/>
      <c r="BG93" s="41"/>
      <c r="BH93" s="41"/>
      <c r="BI93" s="41"/>
      <c r="BJ93" s="16"/>
      <c r="BK93" s="16"/>
      <c r="BL93" s="16"/>
      <c r="BM93" s="16"/>
      <c r="BN93" s="16"/>
      <c r="BO93" s="16"/>
      <c r="BP93" s="16"/>
      <c r="BQ93" s="16"/>
      <c r="BR93" s="16"/>
      <c r="BS93" s="80"/>
      <c r="BT93" s="81"/>
      <c r="BU93" s="41"/>
      <c r="BV93" s="41"/>
      <c r="BW93" s="41"/>
      <c r="BX93" s="16"/>
      <c r="BY93" s="16"/>
      <c r="BZ93" s="16"/>
      <c r="CA93" s="16"/>
      <c r="CB93" s="16"/>
      <c r="CC93" s="16"/>
      <c r="CD93" s="16"/>
      <c r="CE93" s="16"/>
      <c r="CF93" s="16"/>
      <c r="CG93" s="80"/>
      <c r="CH93" s="81"/>
      <c r="CI93" s="41"/>
      <c r="CJ93" s="41"/>
      <c r="CK93" s="41"/>
      <c r="CL93" s="16"/>
      <c r="CM93" s="16"/>
      <c r="CN93" s="16"/>
      <c r="CO93" s="16"/>
      <c r="CP93" s="16"/>
      <c r="CQ93" s="16"/>
      <c r="CR93" s="16"/>
      <c r="CS93" s="16"/>
      <c r="CT93" s="16"/>
      <c r="CU93" s="80"/>
      <c r="CV93" s="81"/>
      <c r="CW93" s="41"/>
      <c r="CX93" s="41"/>
      <c r="CY93" s="41"/>
      <c r="CZ93" s="16"/>
      <c r="DA93" s="16"/>
      <c r="DB93" s="16"/>
      <c r="DC93" s="16"/>
      <c r="DD93" s="16"/>
      <c r="DE93" s="16"/>
      <c r="DF93" s="16"/>
      <c r="DG93" s="16"/>
      <c r="DH93" s="16"/>
      <c r="DI93" s="80"/>
      <c r="DJ93" s="81"/>
      <c r="DK93" s="41"/>
      <c r="DL93" s="41"/>
      <c r="DM93" s="41"/>
      <c r="DN93" s="16"/>
      <c r="DO93" s="16"/>
      <c r="DP93" s="16"/>
      <c r="DQ93" s="16"/>
      <c r="DR93" s="16"/>
      <c r="DS93" s="16"/>
      <c r="DT93" s="16"/>
      <c r="DU93" s="16"/>
      <c r="DV93" s="16"/>
      <c r="DW93" s="80"/>
      <c r="DX93" s="81"/>
      <c r="DY93" s="41"/>
      <c r="DZ93" s="41"/>
      <c r="EA93" s="41"/>
      <c r="EB93" s="16"/>
      <c r="EC93" s="16"/>
      <c r="ED93" s="16"/>
      <c r="EE93" s="16"/>
      <c r="EF93" s="16"/>
      <c r="EG93" s="16"/>
      <c r="EH93" s="16"/>
      <c r="EI93" s="16"/>
      <c r="EJ93" s="16"/>
      <c r="EK93" s="80"/>
      <c r="EL93" s="81"/>
      <c r="EM93" s="16"/>
      <c r="EN93" s="16"/>
      <c r="EO93" s="16"/>
      <c r="EP93" s="16"/>
      <c r="EQ93" s="16"/>
      <c r="ER93" s="16"/>
      <c r="ES93" s="16"/>
      <c r="ET93" s="16"/>
      <c r="EU93" s="16"/>
      <c r="EV93" s="16"/>
      <c r="EW93" s="16"/>
      <c r="EX93" s="16"/>
      <c r="EY93" s="80"/>
      <c r="EZ93" s="81"/>
      <c r="FA93" s="16"/>
      <c r="FB93" s="16"/>
      <c r="FC93" s="16"/>
      <c r="FD93" s="16"/>
      <c r="FE93" s="16"/>
      <c r="FF93" s="16"/>
      <c r="FG93" s="16"/>
      <c r="FH93" s="16"/>
      <c r="FI93" s="16"/>
      <c r="FJ93" s="16"/>
      <c r="FK93" s="16"/>
      <c r="FM93" s="80"/>
      <c r="FN93" s="81"/>
      <c r="FO93" s="16"/>
      <c r="FP93" s="16"/>
      <c r="FQ93" s="16"/>
      <c r="FR93" s="16"/>
      <c r="FS93" s="16"/>
      <c r="FT93" s="16"/>
      <c r="FU93" s="16"/>
      <c r="FV93" s="16"/>
      <c r="FW93" s="16"/>
      <c r="FX93" s="16"/>
      <c r="FY93" s="16"/>
      <c r="GA93" s="80"/>
      <c r="GB93" s="81"/>
      <c r="GC93" s="16"/>
      <c r="GD93" s="16"/>
      <c r="GE93" s="16"/>
      <c r="GF93" s="16"/>
      <c r="GG93" s="16"/>
      <c r="GH93" s="16"/>
      <c r="GI93" s="16"/>
      <c r="GJ93" s="16"/>
      <c r="GK93" s="16"/>
      <c r="GL93" s="16"/>
      <c r="GM93" s="16"/>
    </row>
    <row r="94" spans="1:195" s="18" customFormat="1" ht="15" customHeight="1">
      <c r="A94" s="78">
        <v>2000</v>
      </c>
      <c r="B94" s="79" t="s">
        <v>40</v>
      </c>
      <c r="C94" s="15">
        <f t="shared" si="15"/>
        <v>0.94862125854348334</v>
      </c>
      <c r="D94" s="15">
        <f t="shared" si="16"/>
        <v>0.96399489062749477</v>
      </c>
      <c r="E94" s="15">
        <f t="shared" si="17"/>
        <v>0.98405216434912401</v>
      </c>
      <c r="F94" s="16"/>
      <c r="G94" s="33"/>
      <c r="H94" s="16">
        <v>25458</v>
      </c>
      <c r="I94" s="16">
        <f t="shared" si="20"/>
        <v>406</v>
      </c>
      <c r="J94" s="16">
        <v>25052</v>
      </c>
      <c r="K94" s="16">
        <v>24150</v>
      </c>
      <c r="L94" s="16">
        <f t="shared" si="21"/>
        <v>902</v>
      </c>
      <c r="M94" s="16"/>
      <c r="N94" s="16"/>
      <c r="O94" s="78"/>
      <c r="P94" s="79"/>
      <c r="Q94" s="41"/>
      <c r="R94" s="41"/>
      <c r="S94" s="41"/>
      <c r="T94" s="16"/>
      <c r="U94" s="16"/>
      <c r="V94" s="16"/>
      <c r="W94" s="16"/>
      <c r="X94" s="16"/>
      <c r="Y94" s="16"/>
      <c r="Z94" s="16"/>
      <c r="AA94" s="16"/>
      <c r="AB94" s="16"/>
      <c r="AC94" s="78"/>
      <c r="AD94" s="79"/>
      <c r="AE94" s="41"/>
      <c r="AF94" s="41"/>
      <c r="AG94" s="41"/>
      <c r="AH94" s="41"/>
      <c r="AI94" s="41"/>
      <c r="AJ94" s="16"/>
      <c r="AK94" s="16"/>
      <c r="AL94" s="16"/>
      <c r="AM94" s="16"/>
      <c r="AN94" s="16"/>
      <c r="AO94" s="16"/>
      <c r="AP94" s="16"/>
      <c r="AQ94" s="78"/>
      <c r="AR94" s="79"/>
      <c r="AS94" s="41"/>
      <c r="AT94" s="41"/>
      <c r="AU94" s="41"/>
      <c r="AV94" s="16"/>
      <c r="AW94" s="16"/>
      <c r="AX94" s="16"/>
      <c r="AY94" s="16"/>
      <c r="AZ94" s="16"/>
      <c r="BA94" s="16"/>
      <c r="BB94" s="16"/>
      <c r="BC94" s="16"/>
      <c r="BD94" s="16"/>
      <c r="BE94" s="78"/>
      <c r="BF94" s="79"/>
      <c r="BG94" s="41"/>
      <c r="BH94" s="41"/>
      <c r="BI94" s="41"/>
      <c r="BJ94" s="16"/>
      <c r="BK94" s="16"/>
      <c r="BL94" s="16"/>
      <c r="BM94" s="16"/>
      <c r="BN94" s="16"/>
      <c r="BO94" s="16"/>
      <c r="BP94" s="16"/>
      <c r="BQ94" s="16"/>
      <c r="BR94" s="16"/>
      <c r="BS94" s="78"/>
      <c r="BT94" s="79"/>
      <c r="BU94" s="41"/>
      <c r="BV94" s="41"/>
      <c r="BW94" s="41"/>
      <c r="BX94" s="16"/>
      <c r="BY94" s="16"/>
      <c r="BZ94" s="16"/>
      <c r="CA94" s="16"/>
      <c r="CB94" s="16"/>
      <c r="CC94" s="16"/>
      <c r="CD94" s="16"/>
      <c r="CE94" s="16"/>
      <c r="CF94" s="16"/>
      <c r="CG94" s="78"/>
      <c r="CH94" s="79"/>
      <c r="CI94" s="41"/>
      <c r="CJ94" s="41"/>
      <c r="CK94" s="41"/>
      <c r="CL94" s="16"/>
      <c r="CM94" s="16"/>
      <c r="CN94" s="16"/>
      <c r="CO94" s="16"/>
      <c r="CP94" s="16"/>
      <c r="CQ94" s="16"/>
      <c r="CR94" s="16"/>
      <c r="CS94" s="16"/>
      <c r="CT94" s="16"/>
      <c r="CU94" s="78"/>
      <c r="CV94" s="79"/>
      <c r="CW94" s="41"/>
      <c r="CX94" s="41"/>
      <c r="CY94" s="41"/>
      <c r="CZ94" s="16"/>
      <c r="DA94" s="16"/>
      <c r="DB94" s="16"/>
      <c r="DC94" s="16"/>
      <c r="DD94" s="16"/>
      <c r="DE94" s="16"/>
      <c r="DF94" s="16"/>
      <c r="DG94" s="16"/>
      <c r="DH94" s="16"/>
      <c r="DI94" s="78"/>
      <c r="DJ94" s="79"/>
      <c r="DK94" s="41"/>
      <c r="DL94" s="41"/>
      <c r="DM94" s="41"/>
      <c r="DN94" s="16"/>
      <c r="DO94" s="16"/>
      <c r="DP94" s="16"/>
      <c r="DQ94" s="16"/>
      <c r="DR94" s="16"/>
      <c r="DS94" s="16"/>
      <c r="DT94" s="16"/>
      <c r="DU94" s="16"/>
      <c r="DV94" s="16"/>
      <c r="DW94" s="78"/>
      <c r="DX94" s="79"/>
      <c r="DY94" s="41"/>
      <c r="DZ94" s="41"/>
      <c r="EA94" s="41"/>
      <c r="EB94" s="16"/>
      <c r="EC94" s="16"/>
      <c r="ED94" s="16"/>
      <c r="EE94" s="16"/>
      <c r="EF94" s="16"/>
      <c r="EG94" s="16"/>
      <c r="EH94" s="16"/>
      <c r="EI94" s="16"/>
      <c r="EJ94" s="16"/>
      <c r="EK94" s="78"/>
      <c r="EL94" s="79"/>
      <c r="EM94" s="16"/>
      <c r="EN94" s="16"/>
      <c r="EO94" s="16"/>
      <c r="EP94" s="16"/>
      <c r="EQ94" s="16"/>
      <c r="ER94" s="16"/>
      <c r="ES94" s="16"/>
      <c r="ET94" s="16"/>
      <c r="EU94" s="16"/>
      <c r="EV94" s="16"/>
      <c r="EW94" s="16"/>
      <c r="EX94" s="16"/>
      <c r="EY94" s="78"/>
      <c r="EZ94" s="79"/>
      <c r="FA94" s="16"/>
      <c r="FB94" s="16"/>
      <c r="FC94" s="16"/>
      <c r="FD94" s="16"/>
      <c r="FE94" s="16"/>
      <c r="FF94" s="16"/>
      <c r="FG94" s="16"/>
      <c r="FH94" s="16"/>
      <c r="FI94" s="16"/>
      <c r="FJ94" s="16"/>
      <c r="FK94" s="16"/>
      <c r="FM94" s="78"/>
      <c r="FN94" s="79"/>
      <c r="FO94" s="16"/>
      <c r="FP94" s="16"/>
      <c r="FQ94" s="16"/>
      <c r="FR94" s="16"/>
      <c r="FS94" s="16"/>
      <c r="FT94" s="16"/>
      <c r="FU94" s="16"/>
      <c r="FV94" s="16"/>
      <c r="FW94" s="16"/>
      <c r="FX94" s="16"/>
      <c r="FY94" s="16"/>
      <c r="GA94" s="78"/>
      <c r="GB94" s="79"/>
      <c r="GC94" s="16"/>
      <c r="GD94" s="16"/>
      <c r="GE94" s="16"/>
      <c r="GF94" s="16"/>
      <c r="GG94" s="16"/>
      <c r="GH94" s="16"/>
      <c r="GI94" s="16"/>
      <c r="GJ94" s="16"/>
      <c r="GK94" s="16"/>
      <c r="GL94" s="16"/>
      <c r="GM94" s="16"/>
    </row>
    <row r="95" spans="1:195" s="18" customFormat="1" ht="15" customHeight="1">
      <c r="A95" s="80">
        <v>2000</v>
      </c>
      <c r="B95" s="81" t="s">
        <v>41</v>
      </c>
      <c r="C95" s="15">
        <f t="shared" si="15"/>
        <v>0.89911748036596228</v>
      </c>
      <c r="D95" s="15">
        <f t="shared" si="16"/>
        <v>0.94146072654825996</v>
      </c>
      <c r="E95" s="15">
        <f t="shared" si="17"/>
        <v>0.95502388470569188</v>
      </c>
      <c r="F95" s="16"/>
      <c r="G95" s="33"/>
      <c r="H95" s="16">
        <v>24702</v>
      </c>
      <c r="I95" s="16">
        <f t="shared" si="20"/>
        <v>1111</v>
      </c>
      <c r="J95" s="16">
        <v>23591</v>
      </c>
      <c r="K95" s="16">
        <v>22210</v>
      </c>
      <c r="L95" s="16">
        <f t="shared" si="21"/>
        <v>1381</v>
      </c>
      <c r="M95" s="16"/>
      <c r="N95" s="16"/>
      <c r="O95" s="80"/>
      <c r="P95" s="81"/>
      <c r="Q95" s="41"/>
      <c r="R95" s="41"/>
      <c r="S95" s="41"/>
      <c r="T95" s="16"/>
      <c r="U95" s="16"/>
      <c r="V95" s="16"/>
      <c r="W95" s="16"/>
      <c r="X95" s="16"/>
      <c r="Y95" s="16"/>
      <c r="Z95" s="16"/>
      <c r="AA95" s="16"/>
      <c r="AB95" s="16"/>
      <c r="AC95" s="80"/>
      <c r="AD95" s="81"/>
      <c r="AE95" s="41"/>
      <c r="AF95" s="41"/>
      <c r="AG95" s="41"/>
      <c r="AH95" s="41"/>
      <c r="AI95" s="41"/>
      <c r="AJ95" s="16"/>
      <c r="AK95" s="16"/>
      <c r="AL95" s="16"/>
      <c r="AM95" s="16"/>
      <c r="AN95" s="16"/>
      <c r="AO95" s="16"/>
      <c r="AP95" s="16"/>
      <c r="AQ95" s="80"/>
      <c r="AR95" s="81"/>
      <c r="AS95" s="41"/>
      <c r="AT95" s="41"/>
      <c r="AU95" s="41"/>
      <c r="AV95" s="16"/>
      <c r="AW95" s="16"/>
      <c r="AX95" s="16"/>
      <c r="AY95" s="16"/>
      <c r="AZ95" s="16"/>
      <c r="BA95" s="16"/>
      <c r="BB95" s="16"/>
      <c r="BC95" s="16"/>
      <c r="BD95" s="16"/>
      <c r="BE95" s="80"/>
      <c r="BF95" s="81"/>
      <c r="BG95" s="41"/>
      <c r="BH95" s="41"/>
      <c r="BI95" s="41"/>
      <c r="BJ95" s="16"/>
      <c r="BK95" s="16"/>
      <c r="BL95" s="16"/>
      <c r="BM95" s="16"/>
      <c r="BN95" s="16"/>
      <c r="BO95" s="16"/>
      <c r="BP95" s="16"/>
      <c r="BQ95" s="16"/>
      <c r="BR95" s="16"/>
      <c r="BS95" s="80"/>
      <c r="BT95" s="81"/>
      <c r="BU95" s="41"/>
      <c r="BV95" s="41"/>
      <c r="BW95" s="41"/>
      <c r="BX95" s="16"/>
      <c r="BY95" s="16"/>
      <c r="BZ95" s="16"/>
      <c r="CA95" s="16"/>
      <c r="CB95" s="16"/>
      <c r="CC95" s="16"/>
      <c r="CD95" s="16"/>
      <c r="CE95" s="16"/>
      <c r="CF95" s="16"/>
      <c r="CG95" s="80"/>
      <c r="CH95" s="81"/>
      <c r="CI95" s="41"/>
      <c r="CJ95" s="41"/>
      <c r="CK95" s="41"/>
      <c r="CL95" s="16"/>
      <c r="CM95" s="16"/>
      <c r="CN95" s="16"/>
      <c r="CO95" s="16"/>
      <c r="CP95" s="16"/>
      <c r="CQ95" s="16"/>
      <c r="CR95" s="16"/>
      <c r="CS95" s="16"/>
      <c r="CT95" s="16"/>
      <c r="CU95" s="80"/>
      <c r="CV95" s="81"/>
      <c r="CW95" s="41"/>
      <c r="CX95" s="41"/>
      <c r="CY95" s="41"/>
      <c r="CZ95" s="16"/>
      <c r="DA95" s="16"/>
      <c r="DB95" s="16"/>
      <c r="DC95" s="16"/>
      <c r="DD95" s="16"/>
      <c r="DE95" s="16"/>
      <c r="DF95" s="16"/>
      <c r="DG95" s="16"/>
      <c r="DH95" s="16"/>
      <c r="DI95" s="80"/>
      <c r="DJ95" s="81"/>
      <c r="DK95" s="41"/>
      <c r="DL95" s="41"/>
      <c r="DM95" s="41"/>
      <c r="DN95" s="16"/>
      <c r="DO95" s="16"/>
      <c r="DP95" s="16"/>
      <c r="DQ95" s="16"/>
      <c r="DR95" s="16"/>
      <c r="DS95" s="16"/>
      <c r="DT95" s="16"/>
      <c r="DU95" s="16"/>
      <c r="DV95" s="16"/>
      <c r="DW95" s="80"/>
      <c r="DX95" s="81"/>
      <c r="DY95" s="41"/>
      <c r="DZ95" s="41"/>
      <c r="EA95" s="41"/>
      <c r="EB95" s="16"/>
      <c r="EC95" s="16"/>
      <c r="ED95" s="16"/>
      <c r="EE95" s="16"/>
      <c r="EF95" s="16"/>
      <c r="EG95" s="16"/>
      <c r="EH95" s="16"/>
      <c r="EI95" s="16"/>
      <c r="EJ95" s="16"/>
      <c r="EK95" s="80"/>
      <c r="EL95" s="81"/>
      <c r="EM95" s="16"/>
      <c r="EN95" s="16"/>
      <c r="EO95" s="16"/>
      <c r="EP95" s="16"/>
      <c r="EQ95" s="16"/>
      <c r="ER95" s="16"/>
      <c r="ES95" s="16"/>
      <c r="ET95" s="16"/>
      <c r="EU95" s="16"/>
      <c r="EV95" s="16"/>
      <c r="EW95" s="16"/>
      <c r="EX95" s="16"/>
      <c r="EY95" s="80"/>
      <c r="EZ95" s="81"/>
      <c r="FA95" s="16"/>
      <c r="FB95" s="16"/>
      <c r="FC95" s="16"/>
      <c r="FD95" s="16"/>
      <c r="FE95" s="16"/>
      <c r="FF95" s="16"/>
      <c r="FG95" s="16"/>
      <c r="FH95" s="16"/>
      <c r="FI95" s="16"/>
      <c r="FJ95" s="16"/>
      <c r="FK95" s="16"/>
      <c r="FM95" s="80"/>
      <c r="FN95" s="81"/>
      <c r="FO95" s="16"/>
      <c r="FP95" s="16"/>
      <c r="FQ95" s="16"/>
      <c r="FR95" s="16"/>
      <c r="FS95" s="16"/>
      <c r="FT95" s="16"/>
      <c r="FU95" s="16"/>
      <c r="FV95" s="16"/>
      <c r="FW95" s="16"/>
      <c r="FX95" s="16"/>
      <c r="FY95" s="16"/>
      <c r="GA95" s="80"/>
      <c r="GB95" s="81"/>
      <c r="GC95" s="16"/>
      <c r="GD95" s="16"/>
      <c r="GE95" s="16"/>
      <c r="GF95" s="16"/>
      <c r="GG95" s="16"/>
      <c r="GH95" s="16"/>
      <c r="GI95" s="16"/>
      <c r="GJ95" s="16"/>
      <c r="GK95" s="16"/>
      <c r="GL95" s="16"/>
      <c r="GM95" s="16"/>
    </row>
    <row r="96" spans="1:195" s="18" customFormat="1" ht="15" customHeight="1">
      <c r="A96" s="78">
        <v>2000</v>
      </c>
      <c r="B96" s="79" t="s">
        <v>42</v>
      </c>
      <c r="C96" s="15">
        <f t="shared" si="15"/>
        <v>0.97204896304381727</v>
      </c>
      <c r="D96" s="15">
        <f t="shared" si="16"/>
        <v>0.98030350684069822</v>
      </c>
      <c r="E96" s="15">
        <f t="shared" si="17"/>
        <v>0.99157960392951816</v>
      </c>
      <c r="F96" s="16"/>
      <c r="G96" s="33"/>
      <c r="H96" s="16">
        <v>25652</v>
      </c>
      <c r="I96" s="16">
        <f t="shared" si="20"/>
        <v>216</v>
      </c>
      <c r="J96" s="16">
        <v>25436</v>
      </c>
      <c r="K96" s="16">
        <v>24935</v>
      </c>
      <c r="L96" s="16">
        <f t="shared" si="21"/>
        <v>501</v>
      </c>
      <c r="M96" s="16"/>
      <c r="N96" s="16"/>
      <c r="O96" s="78"/>
      <c r="P96" s="79"/>
      <c r="Q96" s="41"/>
      <c r="R96" s="41"/>
      <c r="S96" s="41"/>
      <c r="T96" s="16"/>
      <c r="U96" s="16"/>
      <c r="V96" s="16"/>
      <c r="W96" s="16"/>
      <c r="X96" s="16"/>
      <c r="Y96" s="16"/>
      <c r="Z96" s="16"/>
      <c r="AA96" s="16"/>
      <c r="AB96" s="16"/>
      <c r="AC96" s="78"/>
      <c r="AD96" s="79"/>
      <c r="AE96" s="41"/>
      <c r="AF96" s="41"/>
      <c r="AG96" s="41"/>
      <c r="AH96" s="41"/>
      <c r="AI96" s="41"/>
      <c r="AJ96" s="16"/>
      <c r="AK96" s="16"/>
      <c r="AL96" s="16"/>
      <c r="AM96" s="16"/>
      <c r="AN96" s="16"/>
      <c r="AO96" s="16"/>
      <c r="AP96" s="16"/>
      <c r="AQ96" s="78"/>
      <c r="AR96" s="79"/>
      <c r="AS96" s="41"/>
      <c r="AT96" s="41"/>
      <c r="AU96" s="41"/>
      <c r="AV96" s="16"/>
      <c r="AW96" s="16"/>
      <c r="AX96" s="16"/>
      <c r="AY96" s="16"/>
      <c r="AZ96" s="16"/>
      <c r="BA96" s="16"/>
      <c r="BB96" s="16"/>
      <c r="BC96" s="16"/>
      <c r="BD96" s="16"/>
      <c r="BE96" s="78"/>
      <c r="BF96" s="79"/>
      <c r="BG96" s="41"/>
      <c r="BH96" s="41"/>
      <c r="BI96" s="41"/>
      <c r="BJ96" s="16"/>
      <c r="BK96" s="16"/>
      <c r="BL96" s="16"/>
      <c r="BM96" s="16"/>
      <c r="BN96" s="16"/>
      <c r="BO96" s="16"/>
      <c r="BP96" s="16"/>
      <c r="BQ96" s="16"/>
      <c r="BR96" s="16"/>
      <c r="BS96" s="78"/>
      <c r="BT96" s="79"/>
      <c r="BU96" s="41"/>
      <c r="BV96" s="41"/>
      <c r="BW96" s="41"/>
      <c r="BX96" s="16"/>
      <c r="BY96" s="16"/>
      <c r="BZ96" s="16"/>
      <c r="CA96" s="16"/>
      <c r="CB96" s="16"/>
      <c r="CC96" s="16"/>
      <c r="CD96" s="16"/>
      <c r="CE96" s="16"/>
      <c r="CF96" s="16"/>
      <c r="CG96" s="78"/>
      <c r="CH96" s="79"/>
      <c r="CI96" s="41"/>
      <c r="CJ96" s="41"/>
      <c r="CK96" s="41"/>
      <c r="CL96" s="16"/>
      <c r="CM96" s="16"/>
      <c r="CN96" s="16"/>
      <c r="CO96" s="16"/>
      <c r="CP96" s="16"/>
      <c r="CQ96" s="16"/>
      <c r="CR96" s="16"/>
      <c r="CS96" s="16"/>
      <c r="CT96" s="16"/>
      <c r="CU96" s="78"/>
      <c r="CV96" s="79"/>
      <c r="CW96" s="41"/>
      <c r="CX96" s="41"/>
      <c r="CY96" s="41"/>
      <c r="CZ96" s="16"/>
      <c r="DA96" s="16"/>
      <c r="DB96" s="16"/>
      <c r="DC96" s="16"/>
      <c r="DD96" s="16"/>
      <c r="DE96" s="16"/>
      <c r="DF96" s="16"/>
      <c r="DG96" s="16"/>
      <c r="DH96" s="16"/>
      <c r="DI96" s="78"/>
      <c r="DJ96" s="79"/>
      <c r="DK96" s="41"/>
      <c r="DL96" s="41"/>
      <c r="DM96" s="41"/>
      <c r="DN96" s="16"/>
      <c r="DO96" s="16"/>
      <c r="DP96" s="16"/>
      <c r="DQ96" s="16"/>
      <c r="DR96" s="16"/>
      <c r="DS96" s="16"/>
      <c r="DT96" s="16"/>
      <c r="DU96" s="16"/>
      <c r="DV96" s="16"/>
      <c r="DW96" s="78"/>
      <c r="DX96" s="79"/>
      <c r="DY96" s="41"/>
      <c r="DZ96" s="41"/>
      <c r="EA96" s="41"/>
      <c r="EB96" s="16"/>
      <c r="EC96" s="16"/>
      <c r="ED96" s="16"/>
      <c r="EE96" s="16"/>
      <c r="EF96" s="16"/>
      <c r="EG96" s="16"/>
      <c r="EH96" s="16"/>
      <c r="EI96" s="16"/>
      <c r="EJ96" s="16"/>
      <c r="EK96" s="78"/>
      <c r="EL96" s="79"/>
      <c r="EM96" s="16"/>
      <c r="EN96" s="16"/>
      <c r="EO96" s="16"/>
      <c r="EP96" s="16"/>
      <c r="EQ96" s="16"/>
      <c r="ER96" s="16"/>
      <c r="ES96" s="16"/>
      <c r="ET96" s="16"/>
      <c r="EU96" s="16"/>
      <c r="EV96" s="16"/>
      <c r="EW96" s="16"/>
      <c r="EX96" s="16"/>
      <c r="EY96" s="78"/>
      <c r="EZ96" s="79"/>
      <c r="FA96" s="16"/>
      <c r="FB96" s="16"/>
      <c r="FC96" s="16"/>
      <c r="FD96" s="16"/>
      <c r="FE96" s="16"/>
      <c r="FF96" s="16"/>
      <c r="FG96" s="16"/>
      <c r="FH96" s="16"/>
      <c r="FI96" s="16"/>
      <c r="FJ96" s="16"/>
      <c r="FK96" s="16"/>
      <c r="FM96" s="78"/>
      <c r="FN96" s="79"/>
      <c r="FO96" s="16"/>
      <c r="FP96" s="16"/>
      <c r="FQ96" s="16"/>
      <c r="FR96" s="16"/>
      <c r="FS96" s="16"/>
      <c r="FT96" s="16"/>
      <c r="FU96" s="16"/>
      <c r="FV96" s="16"/>
      <c r="FW96" s="16"/>
      <c r="FX96" s="16"/>
      <c r="FY96" s="16"/>
      <c r="GA96" s="78"/>
      <c r="GB96" s="79"/>
      <c r="GC96" s="16"/>
      <c r="GD96" s="16"/>
      <c r="GE96" s="16"/>
      <c r="GF96" s="16"/>
      <c r="GG96" s="16"/>
      <c r="GH96" s="16"/>
      <c r="GI96" s="16"/>
      <c r="GJ96" s="16"/>
      <c r="GK96" s="16"/>
      <c r="GL96" s="16"/>
      <c r="GM96" s="16"/>
    </row>
    <row r="97" spans="1:195" s="18" customFormat="1" ht="15" customHeight="1">
      <c r="A97" s="80">
        <v>2000</v>
      </c>
      <c r="B97" s="81" t="s">
        <v>43</v>
      </c>
      <c r="C97" s="15">
        <f t="shared" si="15"/>
        <v>0.97085314469055628</v>
      </c>
      <c r="D97" s="15">
        <f t="shared" si="16"/>
        <v>0.97853190991973815</v>
      </c>
      <c r="E97" s="15">
        <f t="shared" si="17"/>
        <v>0.99215276972438049</v>
      </c>
      <c r="F97" s="16"/>
      <c r="G97" s="33"/>
      <c r="H97" s="16">
        <v>25869</v>
      </c>
      <c r="I97" s="16">
        <f t="shared" si="20"/>
        <v>203</v>
      </c>
      <c r="J97" s="16">
        <v>25666</v>
      </c>
      <c r="K97" s="16">
        <v>25115</v>
      </c>
      <c r="L97" s="16">
        <f t="shared" si="21"/>
        <v>551</v>
      </c>
      <c r="M97" s="16"/>
      <c r="N97" s="16"/>
      <c r="O97" s="80"/>
      <c r="P97" s="81"/>
      <c r="Q97" s="41"/>
      <c r="R97" s="41"/>
      <c r="S97" s="41"/>
      <c r="T97" s="16"/>
      <c r="U97" s="16"/>
      <c r="V97" s="16"/>
      <c r="W97" s="16"/>
      <c r="X97" s="16"/>
      <c r="Y97" s="16"/>
      <c r="Z97" s="16"/>
      <c r="AA97" s="16"/>
      <c r="AB97" s="16"/>
      <c r="AC97" s="80"/>
      <c r="AD97" s="81"/>
      <c r="AE97" s="41"/>
      <c r="AF97" s="41"/>
      <c r="AG97" s="41"/>
      <c r="AH97" s="41"/>
      <c r="AI97" s="41"/>
      <c r="AJ97" s="16"/>
      <c r="AK97" s="16"/>
      <c r="AL97" s="16"/>
      <c r="AM97" s="16"/>
      <c r="AN97" s="16"/>
      <c r="AO97" s="16"/>
      <c r="AP97" s="16"/>
      <c r="AQ97" s="80"/>
      <c r="AR97" s="81"/>
      <c r="AS97" s="41"/>
      <c r="AT97" s="41"/>
      <c r="AU97" s="41"/>
      <c r="AV97" s="16"/>
      <c r="AW97" s="16"/>
      <c r="AX97" s="16"/>
      <c r="AY97" s="16"/>
      <c r="AZ97" s="16"/>
      <c r="BA97" s="16"/>
      <c r="BB97" s="16"/>
      <c r="BC97" s="16"/>
      <c r="BD97" s="16"/>
      <c r="BE97" s="80"/>
      <c r="BF97" s="81"/>
      <c r="BG97" s="41"/>
      <c r="BH97" s="41"/>
      <c r="BI97" s="41"/>
      <c r="BJ97" s="16"/>
      <c r="BK97" s="16"/>
      <c r="BL97" s="16"/>
      <c r="BM97" s="16"/>
      <c r="BN97" s="16"/>
      <c r="BO97" s="16"/>
      <c r="BP97" s="16"/>
      <c r="BQ97" s="16"/>
      <c r="BR97" s="16"/>
      <c r="BS97" s="80"/>
      <c r="BT97" s="81"/>
      <c r="BU97" s="41"/>
      <c r="BV97" s="41"/>
      <c r="BW97" s="41"/>
      <c r="BX97" s="16"/>
      <c r="BY97" s="16"/>
      <c r="BZ97" s="16"/>
      <c r="CA97" s="16"/>
      <c r="CB97" s="16"/>
      <c r="CC97" s="16"/>
      <c r="CD97" s="16"/>
      <c r="CE97" s="16"/>
      <c r="CF97" s="16"/>
      <c r="CG97" s="80"/>
      <c r="CH97" s="81"/>
      <c r="CI97" s="41"/>
      <c r="CJ97" s="41"/>
      <c r="CK97" s="41"/>
      <c r="CL97" s="16"/>
      <c r="CM97" s="16"/>
      <c r="CN97" s="16"/>
      <c r="CO97" s="16"/>
      <c r="CP97" s="16"/>
      <c r="CQ97" s="16"/>
      <c r="CR97" s="16"/>
      <c r="CS97" s="16"/>
      <c r="CT97" s="16"/>
      <c r="CU97" s="80"/>
      <c r="CV97" s="81"/>
      <c r="CW97" s="41"/>
      <c r="CX97" s="41"/>
      <c r="CY97" s="41"/>
      <c r="CZ97" s="16"/>
      <c r="DA97" s="16"/>
      <c r="DB97" s="16"/>
      <c r="DC97" s="16"/>
      <c r="DD97" s="16"/>
      <c r="DE97" s="16"/>
      <c r="DF97" s="16"/>
      <c r="DG97" s="16"/>
      <c r="DH97" s="16"/>
      <c r="DI97" s="80"/>
      <c r="DJ97" s="81"/>
      <c r="DK97" s="41"/>
      <c r="DL97" s="41"/>
      <c r="DM97" s="41"/>
      <c r="DN97" s="16"/>
      <c r="DO97" s="16"/>
      <c r="DP97" s="16"/>
      <c r="DQ97" s="16"/>
      <c r="DR97" s="16"/>
      <c r="DS97" s="16"/>
      <c r="DT97" s="16"/>
      <c r="DU97" s="16"/>
      <c r="DV97" s="16"/>
      <c r="DW97" s="80"/>
      <c r="DX97" s="81"/>
      <c r="DY97" s="41"/>
      <c r="DZ97" s="41"/>
      <c r="EA97" s="41"/>
      <c r="EB97" s="16"/>
      <c r="EC97" s="16"/>
      <c r="ED97" s="16"/>
      <c r="EE97" s="16"/>
      <c r="EF97" s="16"/>
      <c r="EG97" s="16"/>
      <c r="EH97" s="16"/>
      <c r="EI97" s="16"/>
      <c r="EJ97" s="16"/>
      <c r="EK97" s="80"/>
      <c r="EL97" s="81"/>
      <c r="EM97" s="16"/>
      <c r="EN97" s="16"/>
      <c r="EO97" s="16"/>
      <c r="EP97" s="16"/>
      <c r="EQ97" s="16"/>
      <c r="ER97" s="16"/>
      <c r="ES97" s="16"/>
      <c r="ET97" s="16"/>
      <c r="EU97" s="16"/>
      <c r="EV97" s="16"/>
      <c r="EW97" s="16"/>
      <c r="EX97" s="16"/>
      <c r="EY97" s="80"/>
      <c r="EZ97" s="81"/>
      <c r="FA97" s="16"/>
      <c r="FB97" s="16"/>
      <c r="FC97" s="16"/>
      <c r="FD97" s="16"/>
      <c r="FE97" s="16"/>
      <c r="FF97" s="16"/>
      <c r="FG97" s="16"/>
      <c r="FH97" s="16"/>
      <c r="FI97" s="16"/>
      <c r="FJ97" s="16"/>
      <c r="FK97" s="16"/>
      <c r="FM97" s="80"/>
      <c r="FN97" s="81"/>
      <c r="FO97" s="16"/>
      <c r="FP97" s="16"/>
      <c r="FQ97" s="16"/>
      <c r="FR97" s="16"/>
      <c r="FS97" s="16"/>
      <c r="FT97" s="16"/>
      <c r="FU97" s="16"/>
      <c r="FV97" s="16"/>
      <c r="FW97" s="16"/>
      <c r="FX97" s="16"/>
      <c r="FY97" s="16"/>
      <c r="GA97" s="80"/>
      <c r="GB97" s="81"/>
      <c r="GC97" s="16"/>
      <c r="GD97" s="16"/>
      <c r="GE97" s="16"/>
      <c r="GF97" s="16"/>
      <c r="GG97" s="16"/>
      <c r="GH97" s="16"/>
      <c r="GI97" s="16"/>
      <c r="GJ97" s="16"/>
      <c r="GK97" s="16"/>
      <c r="GL97" s="16"/>
      <c r="GM97" s="16"/>
    </row>
    <row r="98" spans="1:195" s="18" customFormat="1" ht="15" customHeight="1">
      <c r="A98" s="78">
        <v>2000</v>
      </c>
      <c r="B98" s="79" t="s">
        <v>44</v>
      </c>
      <c r="C98" s="15">
        <f t="shared" si="15"/>
        <v>0.96781508593252707</v>
      </c>
      <c r="D98" s="15">
        <f t="shared" si="16"/>
        <v>0.9747565813198702</v>
      </c>
      <c r="E98" s="15">
        <f t="shared" si="17"/>
        <v>0.99287873965626994</v>
      </c>
      <c r="F98" s="16"/>
      <c r="G98" s="33"/>
      <c r="H98" s="16">
        <v>25136</v>
      </c>
      <c r="I98" s="16">
        <f t="shared" si="20"/>
        <v>179</v>
      </c>
      <c r="J98" s="16">
        <v>24957</v>
      </c>
      <c r="K98" s="16">
        <v>24327</v>
      </c>
      <c r="L98" s="16">
        <f t="shared" si="21"/>
        <v>630</v>
      </c>
      <c r="M98" s="16"/>
      <c r="N98" s="16"/>
      <c r="O98" s="78"/>
      <c r="P98" s="79"/>
      <c r="Q98" s="41"/>
      <c r="R98" s="41"/>
      <c r="S98" s="41"/>
      <c r="T98" s="16"/>
      <c r="U98" s="16"/>
      <c r="V98" s="16"/>
      <c r="W98" s="16"/>
      <c r="X98" s="16"/>
      <c r="Y98" s="16"/>
      <c r="Z98" s="16"/>
      <c r="AA98" s="16"/>
      <c r="AB98" s="16"/>
      <c r="AC98" s="78"/>
      <c r="AD98" s="79"/>
      <c r="AE98" s="41"/>
      <c r="AF98" s="41"/>
      <c r="AG98" s="41"/>
      <c r="AH98" s="41"/>
      <c r="AI98" s="41"/>
      <c r="AJ98" s="16"/>
      <c r="AK98" s="16"/>
      <c r="AL98" s="16"/>
      <c r="AM98" s="16"/>
      <c r="AN98" s="16"/>
      <c r="AO98" s="16"/>
      <c r="AP98" s="16"/>
      <c r="AQ98" s="78"/>
      <c r="AR98" s="79"/>
      <c r="AS98" s="41"/>
      <c r="AT98" s="41"/>
      <c r="AU98" s="41"/>
      <c r="AV98" s="16"/>
      <c r="AW98" s="16"/>
      <c r="AX98" s="16"/>
      <c r="AY98" s="16"/>
      <c r="AZ98" s="16"/>
      <c r="BA98" s="16"/>
      <c r="BB98" s="16"/>
      <c r="BC98" s="16"/>
      <c r="BD98" s="16"/>
      <c r="BE98" s="78"/>
      <c r="BF98" s="79"/>
      <c r="BG98" s="41"/>
      <c r="BH98" s="41"/>
      <c r="BI98" s="41"/>
      <c r="BJ98" s="16"/>
      <c r="BK98" s="16"/>
      <c r="BL98" s="16"/>
      <c r="BM98" s="16"/>
      <c r="BN98" s="16"/>
      <c r="BO98" s="16"/>
      <c r="BP98" s="16"/>
      <c r="BQ98" s="16"/>
      <c r="BR98" s="16"/>
      <c r="BS98" s="78"/>
      <c r="BT98" s="79"/>
      <c r="BU98" s="41"/>
      <c r="BV98" s="41"/>
      <c r="BW98" s="41"/>
      <c r="BX98" s="16"/>
      <c r="BY98" s="16"/>
      <c r="BZ98" s="16"/>
      <c r="CA98" s="16"/>
      <c r="CB98" s="16"/>
      <c r="CC98" s="16"/>
      <c r="CD98" s="16"/>
      <c r="CE98" s="16"/>
      <c r="CF98" s="16"/>
      <c r="CG98" s="78"/>
      <c r="CH98" s="79"/>
      <c r="CI98" s="41"/>
      <c r="CJ98" s="41"/>
      <c r="CK98" s="41"/>
      <c r="CL98" s="16"/>
      <c r="CM98" s="16"/>
      <c r="CN98" s="16"/>
      <c r="CO98" s="16"/>
      <c r="CP98" s="16"/>
      <c r="CQ98" s="16"/>
      <c r="CR98" s="16"/>
      <c r="CS98" s="16"/>
      <c r="CT98" s="16"/>
      <c r="CU98" s="78"/>
      <c r="CV98" s="79"/>
      <c r="CW98" s="41"/>
      <c r="CX98" s="41"/>
      <c r="CY98" s="41"/>
      <c r="CZ98" s="16"/>
      <c r="DA98" s="16"/>
      <c r="DB98" s="16"/>
      <c r="DC98" s="16"/>
      <c r="DD98" s="16"/>
      <c r="DE98" s="16"/>
      <c r="DF98" s="16"/>
      <c r="DG98" s="16"/>
      <c r="DH98" s="16"/>
      <c r="DI98" s="78"/>
      <c r="DJ98" s="79"/>
      <c r="DK98" s="41"/>
      <c r="DL98" s="41"/>
      <c r="DM98" s="41"/>
      <c r="DN98" s="16"/>
      <c r="DO98" s="16"/>
      <c r="DP98" s="16"/>
      <c r="DQ98" s="16"/>
      <c r="DR98" s="16"/>
      <c r="DS98" s="16"/>
      <c r="DT98" s="16"/>
      <c r="DU98" s="16"/>
      <c r="DV98" s="16"/>
      <c r="DW98" s="78"/>
      <c r="DX98" s="79"/>
      <c r="DY98" s="41"/>
      <c r="DZ98" s="41"/>
      <c r="EA98" s="41"/>
      <c r="EB98" s="16"/>
      <c r="EC98" s="16"/>
      <c r="ED98" s="16"/>
      <c r="EE98" s="16"/>
      <c r="EF98" s="16"/>
      <c r="EG98" s="16"/>
      <c r="EH98" s="16"/>
      <c r="EI98" s="16"/>
      <c r="EJ98" s="16"/>
      <c r="EK98" s="78"/>
      <c r="EL98" s="79"/>
      <c r="EM98" s="16"/>
      <c r="EN98" s="16"/>
      <c r="EO98" s="16"/>
      <c r="EP98" s="16"/>
      <c r="EQ98" s="16"/>
      <c r="ER98" s="16"/>
      <c r="ES98" s="16"/>
      <c r="ET98" s="16"/>
      <c r="EU98" s="16"/>
      <c r="EV98" s="16"/>
      <c r="EW98" s="16"/>
      <c r="EX98" s="16"/>
      <c r="EY98" s="78"/>
      <c r="EZ98" s="79"/>
      <c r="FA98" s="16"/>
      <c r="FB98" s="16"/>
      <c r="FC98" s="16"/>
      <c r="FD98" s="16"/>
      <c r="FE98" s="16"/>
      <c r="FF98" s="16"/>
      <c r="FG98" s="16"/>
      <c r="FH98" s="16"/>
      <c r="FI98" s="16"/>
      <c r="FJ98" s="16"/>
      <c r="FK98" s="16"/>
      <c r="FM98" s="78"/>
      <c r="FN98" s="79"/>
      <c r="FO98" s="16"/>
      <c r="FP98" s="16"/>
      <c r="FQ98" s="16"/>
      <c r="FR98" s="16"/>
      <c r="FS98" s="16"/>
      <c r="FT98" s="16"/>
      <c r="FU98" s="16"/>
      <c r="FV98" s="16"/>
      <c r="FW98" s="16"/>
      <c r="FX98" s="16"/>
      <c r="FY98" s="16"/>
      <c r="GA98" s="78"/>
      <c r="GB98" s="79"/>
      <c r="GC98" s="16"/>
      <c r="GD98" s="16"/>
      <c r="GE98" s="16"/>
      <c r="GF98" s="16"/>
      <c r="GG98" s="16"/>
      <c r="GH98" s="16"/>
      <c r="GI98" s="16"/>
      <c r="GJ98" s="16"/>
      <c r="GK98" s="16"/>
      <c r="GL98" s="16"/>
      <c r="GM98" s="16"/>
    </row>
    <row r="99" spans="1:195" s="18" customFormat="1" ht="15" customHeight="1">
      <c r="A99" s="80">
        <v>2000</v>
      </c>
      <c r="B99" s="81" t="s">
        <v>45</v>
      </c>
      <c r="C99" s="15">
        <f t="shared" si="15"/>
        <v>0.96648988410921233</v>
      </c>
      <c r="D99" s="15">
        <f t="shared" si="16"/>
        <v>0.97723932472691166</v>
      </c>
      <c r="E99" s="15">
        <f t="shared" si="17"/>
        <v>0.98900019642506387</v>
      </c>
      <c r="F99" s="16"/>
      <c r="G99" s="33"/>
      <c r="H99" s="16">
        <v>25455</v>
      </c>
      <c r="I99" s="16">
        <f t="shared" si="20"/>
        <v>280</v>
      </c>
      <c r="J99" s="16">
        <v>25175</v>
      </c>
      <c r="K99" s="16">
        <v>24602</v>
      </c>
      <c r="L99" s="16">
        <f t="shared" si="21"/>
        <v>573</v>
      </c>
      <c r="M99" s="16"/>
      <c r="N99" s="16"/>
      <c r="O99" s="80"/>
      <c r="P99" s="81"/>
      <c r="Q99" s="41"/>
      <c r="R99" s="41"/>
      <c r="S99" s="41"/>
      <c r="T99" s="16"/>
      <c r="U99" s="16"/>
      <c r="V99" s="16"/>
      <c r="W99" s="16"/>
      <c r="X99" s="16"/>
      <c r="Y99" s="16"/>
      <c r="Z99" s="16"/>
      <c r="AA99" s="16"/>
      <c r="AB99" s="16"/>
      <c r="AC99" s="80"/>
      <c r="AD99" s="81"/>
      <c r="AE99" s="41"/>
      <c r="AF99" s="41"/>
      <c r="AG99" s="41"/>
      <c r="AH99" s="41"/>
      <c r="AI99" s="41"/>
      <c r="AJ99" s="16"/>
      <c r="AK99" s="16"/>
      <c r="AL99" s="16"/>
      <c r="AM99" s="16"/>
      <c r="AN99" s="16"/>
      <c r="AO99" s="16"/>
      <c r="AP99" s="16"/>
      <c r="AQ99" s="80"/>
      <c r="AR99" s="81"/>
      <c r="AS99" s="41"/>
      <c r="AT99" s="41"/>
      <c r="AU99" s="41"/>
      <c r="AV99" s="16"/>
      <c r="AW99" s="16"/>
      <c r="AX99" s="16"/>
      <c r="AY99" s="16"/>
      <c r="AZ99" s="16"/>
      <c r="BA99" s="16"/>
      <c r="BB99" s="16"/>
      <c r="BC99" s="16"/>
      <c r="BD99" s="16"/>
      <c r="BE99" s="80"/>
      <c r="BF99" s="81"/>
      <c r="BG99" s="41"/>
      <c r="BH99" s="41"/>
      <c r="BI99" s="41"/>
      <c r="BJ99" s="16"/>
      <c r="BK99" s="16"/>
      <c r="BL99" s="16"/>
      <c r="BM99" s="16"/>
      <c r="BN99" s="16"/>
      <c r="BO99" s="16"/>
      <c r="BP99" s="16"/>
      <c r="BQ99" s="16"/>
      <c r="BR99" s="16"/>
      <c r="BS99" s="80"/>
      <c r="BT99" s="81"/>
      <c r="BU99" s="41"/>
      <c r="BV99" s="41"/>
      <c r="BW99" s="41"/>
      <c r="BX99" s="16"/>
      <c r="BY99" s="16"/>
      <c r="BZ99" s="16"/>
      <c r="CA99" s="16"/>
      <c r="CB99" s="16"/>
      <c r="CC99" s="16"/>
      <c r="CD99" s="16"/>
      <c r="CE99" s="16"/>
      <c r="CF99" s="16"/>
      <c r="CG99" s="80"/>
      <c r="CH99" s="81"/>
      <c r="CI99" s="41"/>
      <c r="CJ99" s="41"/>
      <c r="CK99" s="41"/>
      <c r="CL99" s="16"/>
      <c r="CM99" s="16"/>
      <c r="CN99" s="16"/>
      <c r="CO99" s="16"/>
      <c r="CP99" s="16"/>
      <c r="CQ99" s="16"/>
      <c r="CR99" s="16"/>
      <c r="CS99" s="16"/>
      <c r="CT99" s="16"/>
      <c r="CU99" s="80"/>
      <c r="CV99" s="81"/>
      <c r="CW99" s="41"/>
      <c r="CX99" s="41"/>
      <c r="CY99" s="41"/>
      <c r="CZ99" s="16"/>
      <c r="DA99" s="16"/>
      <c r="DB99" s="16"/>
      <c r="DC99" s="16"/>
      <c r="DD99" s="16"/>
      <c r="DE99" s="16"/>
      <c r="DF99" s="16"/>
      <c r="DG99" s="16"/>
      <c r="DH99" s="16"/>
      <c r="DI99" s="80"/>
      <c r="DJ99" s="81"/>
      <c r="DK99" s="41"/>
      <c r="DL99" s="41"/>
      <c r="DM99" s="41"/>
      <c r="DN99" s="16"/>
      <c r="DO99" s="16"/>
      <c r="DP99" s="16"/>
      <c r="DQ99" s="16"/>
      <c r="DR99" s="16"/>
      <c r="DS99" s="16"/>
      <c r="DT99" s="16"/>
      <c r="DU99" s="16"/>
      <c r="DV99" s="16"/>
      <c r="DW99" s="80"/>
      <c r="DX99" s="81"/>
      <c r="DY99" s="41"/>
      <c r="DZ99" s="41"/>
      <c r="EA99" s="41"/>
      <c r="EB99" s="16"/>
      <c r="EC99" s="16"/>
      <c r="ED99" s="16"/>
      <c r="EE99" s="16"/>
      <c r="EF99" s="16"/>
      <c r="EG99" s="16"/>
      <c r="EH99" s="16"/>
      <c r="EI99" s="16"/>
      <c r="EJ99" s="16"/>
      <c r="EK99" s="80"/>
      <c r="EL99" s="81"/>
      <c r="EM99" s="16"/>
      <c r="EN99" s="16"/>
      <c r="EO99" s="16"/>
      <c r="EP99" s="16"/>
      <c r="EQ99" s="16"/>
      <c r="ER99" s="16"/>
      <c r="ES99" s="16"/>
      <c r="ET99" s="16"/>
      <c r="EU99" s="16"/>
      <c r="EV99" s="16"/>
      <c r="EW99" s="16"/>
      <c r="EX99" s="16"/>
      <c r="EY99" s="80"/>
      <c r="EZ99" s="81"/>
      <c r="FA99" s="16"/>
      <c r="FB99" s="16"/>
      <c r="FC99" s="16"/>
      <c r="FD99" s="16"/>
      <c r="FE99" s="16"/>
      <c r="FF99" s="16"/>
      <c r="FG99" s="16"/>
      <c r="FH99" s="16"/>
      <c r="FI99" s="16"/>
      <c r="FJ99" s="16"/>
      <c r="FK99" s="16"/>
      <c r="FM99" s="80"/>
      <c r="FN99" s="81"/>
      <c r="FO99" s="16"/>
      <c r="FP99" s="16"/>
      <c r="FQ99" s="16"/>
      <c r="FR99" s="16"/>
      <c r="FS99" s="16"/>
      <c r="FT99" s="16"/>
      <c r="FU99" s="16"/>
      <c r="FV99" s="16"/>
      <c r="FW99" s="16"/>
      <c r="FX99" s="16"/>
      <c r="FY99" s="16"/>
      <c r="GA99" s="80"/>
      <c r="GB99" s="81"/>
      <c r="GC99" s="16"/>
      <c r="GD99" s="16"/>
      <c r="GE99" s="16"/>
      <c r="GF99" s="16"/>
      <c r="GG99" s="16"/>
      <c r="GH99" s="16"/>
      <c r="GI99" s="16"/>
      <c r="GJ99" s="16"/>
      <c r="GK99" s="16"/>
      <c r="GL99" s="16"/>
      <c r="GM99" s="16"/>
    </row>
    <row r="100" spans="1:195" s="18" customFormat="1" ht="15" customHeight="1">
      <c r="A100" s="78">
        <v>2000</v>
      </c>
      <c r="B100" s="79" t="s">
        <v>46</v>
      </c>
      <c r="C100" s="15">
        <f t="shared" si="15"/>
        <v>0.92036934732854547</v>
      </c>
      <c r="D100" s="15">
        <f t="shared" si="16"/>
        <v>0.96928894984000336</v>
      </c>
      <c r="E100" s="15">
        <f t="shared" si="17"/>
        <v>0.94953042380238339</v>
      </c>
      <c r="F100" s="16"/>
      <c r="G100" s="33"/>
      <c r="H100" s="16">
        <v>25342</v>
      </c>
      <c r="I100" s="16">
        <f t="shared" si="20"/>
        <v>1279</v>
      </c>
      <c r="J100" s="16">
        <v>24063</v>
      </c>
      <c r="K100" s="16">
        <v>23324</v>
      </c>
      <c r="L100" s="16">
        <f t="shared" si="21"/>
        <v>739</v>
      </c>
      <c r="M100" s="16"/>
      <c r="N100" s="16"/>
      <c r="O100" s="78"/>
      <c r="P100" s="79"/>
      <c r="Q100" s="41"/>
      <c r="R100" s="41"/>
      <c r="S100" s="41"/>
      <c r="T100" s="16"/>
      <c r="U100" s="16"/>
      <c r="V100" s="16"/>
      <c r="W100" s="16"/>
      <c r="X100" s="16"/>
      <c r="Y100" s="16"/>
      <c r="Z100" s="16"/>
      <c r="AA100" s="16"/>
      <c r="AB100" s="16"/>
      <c r="AC100" s="78"/>
      <c r="AD100" s="79"/>
      <c r="AE100" s="41"/>
      <c r="AF100" s="41"/>
      <c r="AG100" s="41"/>
      <c r="AH100" s="41"/>
      <c r="AI100" s="41"/>
      <c r="AJ100" s="16"/>
      <c r="AK100" s="16"/>
      <c r="AL100" s="16"/>
      <c r="AM100" s="16"/>
      <c r="AN100" s="16"/>
      <c r="AO100" s="16"/>
      <c r="AP100" s="16"/>
      <c r="AQ100" s="78"/>
      <c r="AR100" s="79"/>
      <c r="AS100" s="41"/>
      <c r="AT100" s="41"/>
      <c r="AU100" s="41"/>
      <c r="AV100" s="16"/>
      <c r="AW100" s="16"/>
      <c r="AX100" s="16"/>
      <c r="AY100" s="16"/>
      <c r="AZ100" s="16"/>
      <c r="BA100" s="16"/>
      <c r="BB100" s="16"/>
      <c r="BC100" s="16"/>
      <c r="BD100" s="16"/>
      <c r="BE100" s="78"/>
      <c r="BF100" s="79"/>
      <c r="BG100" s="41"/>
      <c r="BH100" s="41"/>
      <c r="BI100" s="41"/>
      <c r="BJ100" s="16"/>
      <c r="BK100" s="16"/>
      <c r="BL100" s="16"/>
      <c r="BM100" s="16"/>
      <c r="BN100" s="16"/>
      <c r="BO100" s="16"/>
      <c r="BP100" s="16"/>
      <c r="BQ100" s="16"/>
      <c r="BR100" s="16"/>
      <c r="BS100" s="78"/>
      <c r="BT100" s="79"/>
      <c r="BU100" s="41"/>
      <c r="BV100" s="41"/>
      <c r="BW100" s="41"/>
      <c r="BX100" s="16"/>
      <c r="BY100" s="16"/>
      <c r="BZ100" s="16"/>
      <c r="CA100" s="16"/>
      <c r="CB100" s="16"/>
      <c r="CC100" s="16"/>
      <c r="CD100" s="16"/>
      <c r="CE100" s="16"/>
      <c r="CF100" s="16"/>
      <c r="CG100" s="78"/>
      <c r="CH100" s="79"/>
      <c r="CI100" s="41"/>
      <c r="CJ100" s="41"/>
      <c r="CK100" s="41"/>
      <c r="CL100" s="16"/>
      <c r="CM100" s="16"/>
      <c r="CN100" s="16"/>
      <c r="CO100" s="16"/>
      <c r="CP100" s="16"/>
      <c r="CQ100" s="16"/>
      <c r="CR100" s="16"/>
      <c r="CS100" s="16"/>
      <c r="CT100" s="16"/>
      <c r="CU100" s="78"/>
      <c r="CV100" s="79"/>
      <c r="CW100" s="41"/>
      <c r="CX100" s="41"/>
      <c r="CY100" s="41"/>
      <c r="CZ100" s="16"/>
      <c r="DA100" s="16"/>
      <c r="DB100" s="16"/>
      <c r="DC100" s="16"/>
      <c r="DD100" s="16"/>
      <c r="DE100" s="16"/>
      <c r="DF100" s="16"/>
      <c r="DG100" s="16"/>
      <c r="DH100" s="16"/>
      <c r="DI100" s="78"/>
      <c r="DJ100" s="79"/>
      <c r="DK100" s="41"/>
      <c r="DL100" s="41"/>
      <c r="DM100" s="41"/>
      <c r="DN100" s="16"/>
      <c r="DO100" s="16"/>
      <c r="DP100" s="16"/>
      <c r="DQ100" s="16"/>
      <c r="DR100" s="16"/>
      <c r="DS100" s="16"/>
      <c r="DT100" s="16"/>
      <c r="DU100" s="16"/>
      <c r="DV100" s="16"/>
      <c r="DW100" s="78"/>
      <c r="DX100" s="79"/>
      <c r="DY100" s="41"/>
      <c r="DZ100" s="41"/>
      <c r="EA100" s="41"/>
      <c r="EB100" s="16"/>
      <c r="EC100" s="16"/>
      <c r="ED100" s="16"/>
      <c r="EE100" s="16"/>
      <c r="EF100" s="16"/>
      <c r="EG100" s="16"/>
      <c r="EH100" s="16"/>
      <c r="EI100" s="16"/>
      <c r="EJ100" s="16"/>
      <c r="EK100" s="78"/>
      <c r="EL100" s="79"/>
      <c r="EM100" s="16"/>
      <c r="EN100" s="16"/>
      <c r="EO100" s="16"/>
      <c r="EP100" s="16"/>
      <c r="EQ100" s="16"/>
      <c r="ER100" s="16"/>
      <c r="ES100" s="16"/>
      <c r="ET100" s="16"/>
      <c r="EU100" s="16"/>
      <c r="EV100" s="16"/>
      <c r="EW100" s="16"/>
      <c r="EX100" s="16"/>
      <c r="EY100" s="78"/>
      <c r="EZ100" s="79"/>
      <c r="FA100" s="16"/>
      <c r="FB100" s="16"/>
      <c r="FC100" s="16"/>
      <c r="FD100" s="16"/>
      <c r="FE100" s="16"/>
      <c r="FF100" s="16"/>
      <c r="FG100" s="16"/>
      <c r="FH100" s="16"/>
      <c r="FI100" s="16"/>
      <c r="FJ100" s="16"/>
      <c r="FK100" s="16"/>
      <c r="FM100" s="78"/>
      <c r="FN100" s="79"/>
      <c r="FO100" s="16"/>
      <c r="FP100" s="16"/>
      <c r="FQ100" s="16"/>
      <c r="FR100" s="16"/>
      <c r="FS100" s="16"/>
      <c r="FT100" s="16"/>
      <c r="FU100" s="16"/>
      <c r="FV100" s="16"/>
      <c r="FW100" s="16"/>
      <c r="FX100" s="16"/>
      <c r="FY100" s="16"/>
      <c r="GA100" s="78"/>
      <c r="GB100" s="79"/>
      <c r="GC100" s="16"/>
      <c r="GD100" s="16"/>
      <c r="GE100" s="16"/>
      <c r="GF100" s="16"/>
      <c r="GG100" s="16"/>
      <c r="GH100" s="16"/>
      <c r="GI100" s="16"/>
      <c r="GJ100" s="16"/>
      <c r="GK100" s="16"/>
      <c r="GL100" s="16"/>
      <c r="GM100" s="16"/>
    </row>
    <row r="101" spans="1:195" s="18" customFormat="1" ht="15" customHeight="1">
      <c r="A101" s="80">
        <v>2000</v>
      </c>
      <c r="B101" s="81" t="s">
        <v>47</v>
      </c>
      <c r="C101" s="15">
        <f t="shared" si="15"/>
        <v>0.93270546566851809</v>
      </c>
      <c r="D101" s="15">
        <f t="shared" si="16"/>
        <v>0.9640970170986396</v>
      </c>
      <c r="E101" s="15">
        <f t="shared" si="17"/>
        <v>0.96743942686951623</v>
      </c>
      <c r="F101" s="16"/>
      <c r="G101" s="33"/>
      <c r="H101" s="16">
        <v>24846</v>
      </c>
      <c r="I101" s="16">
        <f t="shared" si="20"/>
        <v>809</v>
      </c>
      <c r="J101" s="16">
        <v>24037</v>
      </c>
      <c r="K101" s="16">
        <v>23174</v>
      </c>
      <c r="L101" s="16">
        <f t="shared" si="21"/>
        <v>863</v>
      </c>
      <c r="M101" s="16"/>
      <c r="N101" s="16"/>
      <c r="O101" s="80"/>
      <c r="P101" s="81"/>
      <c r="Q101" s="41"/>
      <c r="R101" s="41"/>
      <c r="S101" s="41"/>
      <c r="T101" s="16"/>
      <c r="U101" s="16"/>
      <c r="V101" s="16"/>
      <c r="W101" s="16"/>
      <c r="X101" s="16"/>
      <c r="Y101" s="16"/>
      <c r="Z101" s="16"/>
      <c r="AA101" s="16"/>
      <c r="AB101" s="16"/>
      <c r="AC101" s="80"/>
      <c r="AD101" s="81"/>
      <c r="AE101" s="41"/>
      <c r="AF101" s="41"/>
      <c r="AG101" s="41"/>
      <c r="AH101" s="41"/>
      <c r="AI101" s="41"/>
      <c r="AJ101" s="16"/>
      <c r="AK101" s="16"/>
      <c r="AL101" s="16"/>
      <c r="AM101" s="16"/>
      <c r="AN101" s="16"/>
      <c r="AO101" s="16"/>
      <c r="AP101" s="16"/>
      <c r="AQ101" s="80"/>
      <c r="AR101" s="81"/>
      <c r="AS101" s="41"/>
      <c r="AT101" s="41"/>
      <c r="AU101" s="41"/>
      <c r="AV101" s="16"/>
      <c r="AW101" s="16"/>
      <c r="AX101" s="16"/>
      <c r="AY101" s="16"/>
      <c r="AZ101" s="16"/>
      <c r="BA101" s="16"/>
      <c r="BB101" s="16"/>
      <c r="BC101" s="16"/>
      <c r="BD101" s="16"/>
      <c r="BE101" s="80"/>
      <c r="BF101" s="81"/>
      <c r="BG101" s="41"/>
      <c r="BH101" s="41"/>
      <c r="BI101" s="41"/>
      <c r="BJ101" s="16"/>
      <c r="BK101" s="16"/>
      <c r="BL101" s="16"/>
      <c r="BM101" s="16"/>
      <c r="BN101" s="16"/>
      <c r="BO101" s="16"/>
      <c r="BP101" s="16"/>
      <c r="BQ101" s="16"/>
      <c r="BR101" s="16"/>
      <c r="BS101" s="80"/>
      <c r="BT101" s="81"/>
      <c r="BU101" s="41"/>
      <c r="BV101" s="41"/>
      <c r="BW101" s="41"/>
      <c r="BX101" s="16"/>
      <c r="BY101" s="16"/>
      <c r="BZ101" s="16"/>
      <c r="CA101" s="16"/>
      <c r="CB101" s="16"/>
      <c r="CC101" s="16"/>
      <c r="CD101" s="16"/>
      <c r="CE101" s="16"/>
      <c r="CF101" s="16"/>
      <c r="CG101" s="80"/>
      <c r="CH101" s="81"/>
      <c r="CI101" s="41"/>
      <c r="CJ101" s="41"/>
      <c r="CK101" s="41"/>
      <c r="CL101" s="16"/>
      <c r="CM101" s="16"/>
      <c r="CN101" s="16"/>
      <c r="CO101" s="16"/>
      <c r="CP101" s="16"/>
      <c r="CQ101" s="16"/>
      <c r="CR101" s="16"/>
      <c r="CS101" s="16"/>
      <c r="CT101" s="16"/>
      <c r="CU101" s="80"/>
      <c r="CV101" s="81"/>
      <c r="CW101" s="41"/>
      <c r="CX101" s="41"/>
      <c r="CY101" s="41"/>
      <c r="CZ101" s="16"/>
      <c r="DA101" s="16"/>
      <c r="DB101" s="16"/>
      <c r="DC101" s="16"/>
      <c r="DD101" s="16"/>
      <c r="DE101" s="16"/>
      <c r="DF101" s="16"/>
      <c r="DG101" s="16"/>
      <c r="DH101" s="16"/>
      <c r="DI101" s="80"/>
      <c r="DJ101" s="81"/>
      <c r="DK101" s="41"/>
      <c r="DL101" s="41"/>
      <c r="DM101" s="41"/>
      <c r="DN101" s="16"/>
      <c r="DO101" s="16"/>
      <c r="DP101" s="16"/>
      <c r="DQ101" s="16"/>
      <c r="DR101" s="16"/>
      <c r="DS101" s="16"/>
      <c r="DT101" s="16"/>
      <c r="DU101" s="16"/>
      <c r="DV101" s="16"/>
      <c r="DW101" s="80"/>
      <c r="DX101" s="81"/>
      <c r="DY101" s="41"/>
      <c r="DZ101" s="41"/>
      <c r="EA101" s="41"/>
      <c r="EB101" s="16"/>
      <c r="EC101" s="16"/>
      <c r="ED101" s="16"/>
      <c r="EE101" s="16"/>
      <c r="EF101" s="16"/>
      <c r="EG101" s="16"/>
      <c r="EH101" s="16"/>
      <c r="EI101" s="16"/>
      <c r="EJ101" s="16"/>
      <c r="EK101" s="80"/>
      <c r="EL101" s="81"/>
      <c r="EM101" s="16"/>
      <c r="EN101" s="16"/>
      <c r="EO101" s="16"/>
      <c r="EP101" s="16"/>
      <c r="EQ101" s="16"/>
      <c r="ER101" s="16"/>
      <c r="ES101" s="16"/>
      <c r="ET101" s="16"/>
      <c r="EU101" s="16"/>
      <c r="EV101" s="16"/>
      <c r="EW101" s="16"/>
      <c r="EX101" s="16"/>
      <c r="EY101" s="80"/>
      <c r="EZ101" s="81"/>
      <c r="FA101" s="16"/>
      <c r="FB101" s="16"/>
      <c r="FC101" s="16"/>
      <c r="FD101" s="16"/>
      <c r="FE101" s="16"/>
      <c r="FF101" s="16"/>
      <c r="FG101" s="16"/>
      <c r="FH101" s="16"/>
      <c r="FI101" s="16"/>
      <c r="FJ101" s="16"/>
      <c r="FK101" s="16"/>
      <c r="FM101" s="80"/>
      <c r="FN101" s="81"/>
      <c r="FO101" s="16"/>
      <c r="FP101" s="16"/>
      <c r="FQ101" s="16"/>
      <c r="FR101" s="16"/>
      <c r="FS101" s="16"/>
      <c r="FT101" s="16"/>
      <c r="FU101" s="16"/>
      <c r="FV101" s="16"/>
      <c r="FW101" s="16"/>
      <c r="FX101" s="16"/>
      <c r="FY101" s="16"/>
      <c r="GA101" s="80"/>
      <c r="GB101" s="81"/>
      <c r="GC101" s="16"/>
      <c r="GD101" s="16"/>
      <c r="GE101" s="16"/>
      <c r="GF101" s="16"/>
      <c r="GG101" s="16"/>
      <c r="GH101" s="16"/>
      <c r="GI101" s="16"/>
      <c r="GJ101" s="16"/>
      <c r="GK101" s="16"/>
      <c r="GL101" s="16"/>
      <c r="GM101" s="16"/>
    </row>
    <row r="102" spans="1:195" s="18" customFormat="1" ht="15" customHeight="1">
      <c r="A102" s="78">
        <v>2001</v>
      </c>
      <c r="B102" s="79" t="s">
        <v>36</v>
      </c>
      <c r="C102" s="15">
        <f t="shared" si="15"/>
        <v>0.9305374907723134</v>
      </c>
      <c r="D102" s="15">
        <f t="shared" si="16"/>
        <v>0.96366813498853254</v>
      </c>
      <c r="E102" s="15">
        <f t="shared" si="17"/>
        <v>0.96562027630330083</v>
      </c>
      <c r="F102" s="16"/>
      <c r="G102" s="33"/>
      <c r="H102" s="16">
        <v>28447</v>
      </c>
      <c r="I102" s="16">
        <f t="shared" ref="I102:I113" si="22">H102-J102</f>
        <v>978</v>
      </c>
      <c r="J102" s="16">
        <v>27469</v>
      </c>
      <c r="K102" s="16">
        <v>26471</v>
      </c>
      <c r="L102" s="16">
        <f t="shared" ref="L102:L113" si="23">J102-K102</f>
        <v>998</v>
      </c>
      <c r="M102" s="16"/>
      <c r="N102" s="16"/>
      <c r="O102" s="78"/>
      <c r="P102" s="79"/>
      <c r="Q102" s="41"/>
      <c r="R102" s="41"/>
      <c r="S102" s="41"/>
      <c r="T102" s="16"/>
      <c r="U102" s="16"/>
      <c r="V102" s="16"/>
      <c r="W102" s="16"/>
      <c r="X102" s="16"/>
      <c r="Y102" s="16"/>
      <c r="Z102" s="16"/>
      <c r="AA102" s="16"/>
      <c r="AB102" s="16"/>
      <c r="AC102" s="78"/>
      <c r="AD102" s="79"/>
      <c r="AE102" s="41"/>
      <c r="AF102" s="41"/>
      <c r="AG102" s="41"/>
      <c r="AH102" s="41"/>
      <c r="AI102" s="41"/>
      <c r="AJ102" s="16"/>
      <c r="AK102" s="16"/>
      <c r="AL102" s="16"/>
      <c r="AM102" s="16"/>
      <c r="AN102" s="16"/>
      <c r="AO102" s="16"/>
      <c r="AP102" s="16"/>
      <c r="AQ102" s="78"/>
      <c r="AR102" s="79"/>
      <c r="AS102" s="41"/>
      <c r="AT102" s="41"/>
      <c r="AU102" s="41"/>
      <c r="AV102" s="16"/>
      <c r="AW102" s="16"/>
      <c r="AX102" s="16"/>
      <c r="AY102" s="16"/>
      <c r="AZ102" s="16"/>
      <c r="BA102" s="16"/>
      <c r="BB102" s="16"/>
      <c r="BC102" s="16"/>
      <c r="BD102" s="16"/>
      <c r="BE102" s="78"/>
      <c r="BF102" s="79"/>
      <c r="BG102" s="41"/>
      <c r="BH102" s="41"/>
      <c r="BI102" s="41"/>
      <c r="BJ102" s="16"/>
      <c r="BK102" s="16"/>
      <c r="BL102" s="16"/>
      <c r="BM102" s="16"/>
      <c r="BN102" s="16"/>
      <c r="BO102" s="16"/>
      <c r="BP102" s="16"/>
      <c r="BQ102" s="16"/>
      <c r="BR102" s="16"/>
      <c r="BS102" s="78"/>
      <c r="BT102" s="79"/>
      <c r="BU102" s="41"/>
      <c r="BV102" s="41"/>
      <c r="BW102" s="41"/>
      <c r="BX102" s="16"/>
      <c r="BY102" s="16"/>
      <c r="BZ102" s="16"/>
      <c r="CA102" s="16"/>
      <c r="CB102" s="16"/>
      <c r="CC102" s="16"/>
      <c r="CD102" s="16"/>
      <c r="CE102" s="16"/>
      <c r="CF102" s="16"/>
      <c r="CG102" s="78"/>
      <c r="CH102" s="79"/>
      <c r="CI102" s="41"/>
      <c r="CJ102" s="41"/>
      <c r="CK102" s="41"/>
      <c r="CL102" s="16"/>
      <c r="CM102" s="16"/>
      <c r="CN102" s="16"/>
      <c r="CO102" s="16"/>
      <c r="CP102" s="16"/>
      <c r="CQ102" s="16"/>
      <c r="CR102" s="16"/>
      <c r="CS102" s="16"/>
      <c r="CT102" s="16"/>
      <c r="CU102" s="78"/>
      <c r="CV102" s="79"/>
      <c r="CW102" s="41"/>
      <c r="CX102" s="41"/>
      <c r="CY102" s="41"/>
      <c r="CZ102" s="16"/>
      <c r="DA102" s="16"/>
      <c r="DB102" s="16"/>
      <c r="DC102" s="16"/>
      <c r="DD102" s="16"/>
      <c r="DE102" s="16"/>
      <c r="DF102" s="16"/>
      <c r="DG102" s="16"/>
      <c r="DH102" s="16"/>
      <c r="DI102" s="78"/>
      <c r="DJ102" s="79"/>
      <c r="DK102" s="41"/>
      <c r="DL102" s="41"/>
      <c r="DM102" s="41"/>
      <c r="DN102" s="16"/>
      <c r="DO102" s="16"/>
      <c r="DP102" s="16"/>
      <c r="DQ102" s="16"/>
      <c r="DR102" s="16"/>
      <c r="DS102" s="16"/>
      <c r="DT102" s="16"/>
      <c r="DU102" s="16"/>
      <c r="DV102" s="16"/>
      <c r="DW102" s="78"/>
      <c r="DX102" s="79"/>
      <c r="DY102" s="41"/>
      <c r="DZ102" s="41"/>
      <c r="EA102" s="41"/>
      <c r="EB102" s="16"/>
      <c r="EC102" s="16"/>
      <c r="ED102" s="16"/>
      <c r="EE102" s="16"/>
      <c r="EF102" s="16"/>
      <c r="EG102" s="16"/>
      <c r="EH102" s="16"/>
      <c r="EI102" s="16"/>
      <c r="EJ102" s="16"/>
      <c r="EK102" s="78"/>
      <c r="EL102" s="79"/>
      <c r="EM102" s="16"/>
      <c r="EN102" s="16"/>
      <c r="EO102" s="16"/>
      <c r="EP102" s="16"/>
      <c r="EQ102" s="16"/>
      <c r="ER102" s="16"/>
      <c r="ES102" s="16"/>
      <c r="ET102" s="16"/>
      <c r="EU102" s="16"/>
      <c r="EV102" s="16"/>
      <c r="EW102" s="16"/>
      <c r="EX102" s="16"/>
      <c r="EY102" s="78"/>
      <c r="EZ102" s="79"/>
      <c r="FA102" s="16"/>
      <c r="FB102" s="16"/>
      <c r="FC102" s="16"/>
      <c r="FD102" s="16"/>
      <c r="FE102" s="16"/>
      <c r="FF102" s="16"/>
      <c r="FG102" s="16"/>
      <c r="FH102" s="16"/>
      <c r="FI102" s="16"/>
      <c r="FJ102" s="16"/>
      <c r="FK102" s="16"/>
      <c r="FM102" s="78"/>
      <c r="FN102" s="79"/>
      <c r="FO102" s="16"/>
      <c r="FP102" s="16"/>
      <c r="FQ102" s="16"/>
      <c r="FR102" s="16"/>
      <c r="FS102" s="16"/>
      <c r="FT102" s="16"/>
      <c r="FU102" s="16"/>
      <c r="FV102" s="16"/>
      <c r="FW102" s="16"/>
      <c r="FX102" s="16"/>
      <c r="FY102" s="16"/>
      <c r="GA102" s="78"/>
      <c r="GB102" s="79"/>
      <c r="GC102" s="16"/>
      <c r="GD102" s="16"/>
      <c r="GE102" s="16"/>
      <c r="GF102" s="16"/>
      <c r="GG102" s="16"/>
      <c r="GH102" s="16"/>
      <c r="GI102" s="16"/>
      <c r="GJ102" s="16"/>
      <c r="GK102" s="16"/>
      <c r="GL102" s="16"/>
      <c r="GM102" s="16"/>
    </row>
    <row r="103" spans="1:195" s="18" customFormat="1" ht="15" customHeight="1">
      <c r="A103" s="80">
        <v>2001</v>
      </c>
      <c r="B103" s="81" t="s">
        <v>37</v>
      </c>
      <c r="C103" s="15">
        <f t="shared" si="15"/>
        <v>0.94928863769245764</v>
      </c>
      <c r="D103" s="15">
        <f t="shared" si="16"/>
        <v>0.95893215734141823</v>
      </c>
      <c r="E103" s="15">
        <f t="shared" si="17"/>
        <v>0.98994348080296235</v>
      </c>
      <c r="F103" s="16"/>
      <c r="G103" s="33"/>
      <c r="H103" s="16">
        <v>25655</v>
      </c>
      <c r="I103" s="16">
        <f t="shared" si="22"/>
        <v>258</v>
      </c>
      <c r="J103" s="16">
        <v>25397</v>
      </c>
      <c r="K103" s="16">
        <v>24354</v>
      </c>
      <c r="L103" s="16">
        <f t="shared" si="23"/>
        <v>1043</v>
      </c>
      <c r="M103" s="16"/>
      <c r="N103" s="16"/>
      <c r="O103" s="80"/>
      <c r="P103" s="81"/>
      <c r="Q103" s="41"/>
      <c r="R103" s="41"/>
      <c r="S103" s="41"/>
      <c r="T103" s="16"/>
      <c r="U103" s="16"/>
      <c r="V103" s="16"/>
      <c r="W103" s="16"/>
      <c r="X103" s="16"/>
      <c r="Y103" s="16"/>
      <c r="Z103" s="16"/>
      <c r="AA103" s="16"/>
      <c r="AB103" s="16"/>
      <c r="AC103" s="80"/>
      <c r="AD103" s="81"/>
      <c r="AE103" s="41"/>
      <c r="AF103" s="41"/>
      <c r="AG103" s="41"/>
      <c r="AH103" s="41"/>
      <c r="AI103" s="41"/>
      <c r="AJ103" s="16"/>
      <c r="AK103" s="16"/>
      <c r="AL103" s="16"/>
      <c r="AM103" s="16"/>
      <c r="AN103" s="16"/>
      <c r="AO103" s="16"/>
      <c r="AP103" s="16"/>
      <c r="AQ103" s="80"/>
      <c r="AR103" s="81"/>
      <c r="AS103" s="41"/>
      <c r="AT103" s="41"/>
      <c r="AU103" s="41"/>
      <c r="AV103" s="16"/>
      <c r="AW103" s="16"/>
      <c r="AX103" s="16"/>
      <c r="AY103" s="16"/>
      <c r="AZ103" s="16"/>
      <c r="BA103" s="16"/>
      <c r="BB103" s="16"/>
      <c r="BC103" s="16"/>
      <c r="BD103" s="16"/>
      <c r="BE103" s="80"/>
      <c r="BF103" s="81"/>
      <c r="BG103" s="41"/>
      <c r="BH103" s="41"/>
      <c r="BI103" s="41"/>
      <c r="BJ103" s="16"/>
      <c r="BK103" s="16"/>
      <c r="BL103" s="16"/>
      <c r="BM103" s="16"/>
      <c r="BN103" s="16"/>
      <c r="BO103" s="16"/>
      <c r="BP103" s="16"/>
      <c r="BQ103" s="16"/>
      <c r="BR103" s="16"/>
      <c r="BS103" s="80"/>
      <c r="BT103" s="81"/>
      <c r="BU103" s="41"/>
      <c r="BV103" s="41"/>
      <c r="BW103" s="41"/>
      <c r="BX103" s="16"/>
      <c r="BY103" s="16"/>
      <c r="BZ103" s="16"/>
      <c r="CA103" s="16"/>
      <c r="CB103" s="16"/>
      <c r="CC103" s="16"/>
      <c r="CD103" s="16"/>
      <c r="CE103" s="16"/>
      <c r="CF103" s="16"/>
      <c r="CG103" s="80"/>
      <c r="CH103" s="81"/>
      <c r="CI103" s="41"/>
      <c r="CJ103" s="41"/>
      <c r="CK103" s="41"/>
      <c r="CL103" s="16"/>
      <c r="CM103" s="16"/>
      <c r="CN103" s="16"/>
      <c r="CO103" s="16"/>
      <c r="CP103" s="16"/>
      <c r="CQ103" s="16"/>
      <c r="CR103" s="16"/>
      <c r="CS103" s="16"/>
      <c r="CT103" s="16"/>
      <c r="CU103" s="80"/>
      <c r="CV103" s="81"/>
      <c r="CW103" s="41"/>
      <c r="CX103" s="41"/>
      <c r="CY103" s="41"/>
      <c r="CZ103" s="16"/>
      <c r="DA103" s="16"/>
      <c r="DB103" s="16"/>
      <c r="DC103" s="16"/>
      <c r="DD103" s="16"/>
      <c r="DE103" s="16"/>
      <c r="DF103" s="16"/>
      <c r="DG103" s="16"/>
      <c r="DH103" s="16"/>
      <c r="DI103" s="80"/>
      <c r="DJ103" s="81"/>
      <c r="DK103" s="41"/>
      <c r="DL103" s="41"/>
      <c r="DM103" s="41"/>
      <c r="DN103" s="16"/>
      <c r="DO103" s="16"/>
      <c r="DP103" s="16"/>
      <c r="DQ103" s="16"/>
      <c r="DR103" s="16"/>
      <c r="DS103" s="16"/>
      <c r="DT103" s="16"/>
      <c r="DU103" s="16"/>
      <c r="DV103" s="16"/>
      <c r="DW103" s="80"/>
      <c r="DX103" s="81"/>
      <c r="DY103" s="41"/>
      <c r="DZ103" s="41"/>
      <c r="EA103" s="41"/>
      <c r="EB103" s="16"/>
      <c r="EC103" s="16"/>
      <c r="ED103" s="16"/>
      <c r="EE103" s="16"/>
      <c r="EF103" s="16"/>
      <c r="EG103" s="16"/>
      <c r="EH103" s="16"/>
      <c r="EI103" s="16"/>
      <c r="EJ103" s="16"/>
      <c r="EK103" s="80"/>
      <c r="EL103" s="81"/>
      <c r="EM103" s="16"/>
      <c r="EN103" s="16"/>
      <c r="EO103" s="16"/>
      <c r="EP103" s="16"/>
      <c r="EQ103" s="16"/>
      <c r="ER103" s="16"/>
      <c r="ES103" s="16"/>
      <c r="ET103" s="16"/>
      <c r="EU103" s="16"/>
      <c r="EV103" s="16"/>
      <c r="EW103" s="16"/>
      <c r="EX103" s="16"/>
      <c r="EY103" s="80"/>
      <c r="EZ103" s="81"/>
      <c r="FA103" s="16"/>
      <c r="FB103" s="16"/>
      <c r="FC103" s="16"/>
      <c r="FD103" s="16"/>
      <c r="FE103" s="16"/>
      <c r="FF103" s="16"/>
      <c r="FG103" s="16"/>
      <c r="FH103" s="16"/>
      <c r="FI103" s="16"/>
      <c r="FJ103" s="16"/>
      <c r="FK103" s="16"/>
      <c r="FM103" s="80"/>
      <c r="FN103" s="81"/>
      <c r="FO103" s="16"/>
      <c r="FP103" s="16"/>
      <c r="FQ103" s="16"/>
      <c r="FR103" s="16"/>
      <c r="FS103" s="16"/>
      <c r="FT103" s="16"/>
      <c r="FU103" s="16"/>
      <c r="FV103" s="16"/>
      <c r="FW103" s="16"/>
      <c r="FX103" s="16"/>
      <c r="FY103" s="16"/>
      <c r="GA103" s="80"/>
      <c r="GB103" s="81"/>
      <c r="GC103" s="16"/>
      <c r="GD103" s="16"/>
      <c r="GE103" s="16"/>
      <c r="GF103" s="16"/>
      <c r="GG103" s="16"/>
      <c r="GH103" s="16"/>
      <c r="GI103" s="16"/>
      <c r="GJ103" s="16"/>
      <c r="GK103" s="16"/>
      <c r="GL103" s="16"/>
      <c r="GM103" s="16"/>
    </row>
    <row r="104" spans="1:195" s="18" customFormat="1" ht="15" customHeight="1">
      <c r="A104" s="78">
        <v>2001</v>
      </c>
      <c r="B104" s="79" t="s">
        <v>38</v>
      </c>
      <c r="C104" s="15">
        <f t="shared" si="15"/>
        <v>0.93072024207452231</v>
      </c>
      <c r="D104" s="15">
        <f t="shared" si="16"/>
        <v>0.94613348594320057</v>
      </c>
      <c r="E104" s="15">
        <f t="shared" si="17"/>
        <v>0.98370922909116498</v>
      </c>
      <c r="F104" s="16"/>
      <c r="G104" s="33"/>
      <c r="H104" s="16">
        <v>28421</v>
      </c>
      <c r="I104" s="16">
        <f t="shared" si="22"/>
        <v>463</v>
      </c>
      <c r="J104" s="16">
        <v>27958</v>
      </c>
      <c r="K104" s="16">
        <v>26452</v>
      </c>
      <c r="L104" s="16">
        <f t="shared" si="23"/>
        <v>1506</v>
      </c>
      <c r="M104" s="16"/>
      <c r="N104" s="16"/>
      <c r="O104" s="78"/>
      <c r="P104" s="79"/>
      <c r="Q104" s="41"/>
      <c r="R104" s="41"/>
      <c r="S104" s="41"/>
      <c r="T104" s="16"/>
      <c r="U104" s="16"/>
      <c r="V104" s="16"/>
      <c r="W104" s="16"/>
      <c r="X104" s="16"/>
      <c r="Y104" s="16"/>
      <c r="Z104" s="16"/>
      <c r="AA104" s="16"/>
      <c r="AB104" s="16"/>
      <c r="AC104" s="78"/>
      <c r="AD104" s="79"/>
      <c r="AE104" s="41"/>
      <c r="AF104" s="41"/>
      <c r="AG104" s="41"/>
      <c r="AH104" s="41"/>
      <c r="AI104" s="41"/>
      <c r="AJ104" s="16"/>
      <c r="AK104" s="16"/>
      <c r="AL104" s="16"/>
      <c r="AM104" s="16"/>
      <c r="AN104" s="16"/>
      <c r="AO104" s="16"/>
      <c r="AP104" s="16"/>
      <c r="AQ104" s="78"/>
      <c r="AR104" s="79"/>
      <c r="AS104" s="41"/>
      <c r="AT104" s="41"/>
      <c r="AU104" s="41"/>
      <c r="AV104" s="16"/>
      <c r="AW104" s="16"/>
      <c r="AX104" s="16"/>
      <c r="AY104" s="16"/>
      <c r="AZ104" s="16"/>
      <c r="BA104" s="16"/>
      <c r="BB104" s="16"/>
      <c r="BC104" s="16"/>
      <c r="BD104" s="16"/>
      <c r="BE104" s="78"/>
      <c r="BF104" s="79"/>
      <c r="BG104" s="41"/>
      <c r="BH104" s="41"/>
      <c r="BI104" s="41"/>
      <c r="BJ104" s="16"/>
      <c r="BK104" s="16"/>
      <c r="BL104" s="16"/>
      <c r="BM104" s="16"/>
      <c r="BN104" s="16"/>
      <c r="BO104" s="16"/>
      <c r="BP104" s="16"/>
      <c r="BQ104" s="16"/>
      <c r="BR104" s="16"/>
      <c r="BS104" s="78"/>
      <c r="BT104" s="79"/>
      <c r="BU104" s="41"/>
      <c r="BV104" s="41"/>
      <c r="BW104" s="41"/>
      <c r="BX104" s="16"/>
      <c r="BY104" s="16"/>
      <c r="BZ104" s="16"/>
      <c r="CA104" s="16"/>
      <c r="CB104" s="16"/>
      <c r="CC104" s="16"/>
      <c r="CD104" s="16"/>
      <c r="CE104" s="16"/>
      <c r="CF104" s="16"/>
      <c r="CG104" s="78"/>
      <c r="CH104" s="79"/>
      <c r="CI104" s="41"/>
      <c r="CJ104" s="41"/>
      <c r="CK104" s="41"/>
      <c r="CL104" s="16"/>
      <c r="CM104" s="16"/>
      <c r="CN104" s="16"/>
      <c r="CO104" s="16"/>
      <c r="CP104" s="16"/>
      <c r="CQ104" s="16"/>
      <c r="CR104" s="16"/>
      <c r="CS104" s="16"/>
      <c r="CT104" s="16"/>
      <c r="CU104" s="78"/>
      <c r="CV104" s="79"/>
      <c r="CW104" s="41"/>
      <c r="CX104" s="41"/>
      <c r="CY104" s="41"/>
      <c r="CZ104" s="16"/>
      <c r="DA104" s="16"/>
      <c r="DB104" s="16"/>
      <c r="DC104" s="16"/>
      <c r="DD104" s="16"/>
      <c r="DE104" s="16"/>
      <c r="DF104" s="16"/>
      <c r="DG104" s="16"/>
      <c r="DH104" s="16"/>
      <c r="DI104" s="78"/>
      <c r="DJ104" s="79"/>
      <c r="DK104" s="41"/>
      <c r="DL104" s="41"/>
      <c r="DM104" s="41"/>
      <c r="DN104" s="16"/>
      <c r="DO104" s="16"/>
      <c r="DP104" s="16"/>
      <c r="DQ104" s="16"/>
      <c r="DR104" s="16"/>
      <c r="DS104" s="16"/>
      <c r="DT104" s="16"/>
      <c r="DU104" s="16"/>
      <c r="DV104" s="16"/>
      <c r="DW104" s="78"/>
      <c r="DX104" s="79"/>
      <c r="DY104" s="41"/>
      <c r="DZ104" s="41"/>
      <c r="EA104" s="41"/>
      <c r="EB104" s="16"/>
      <c r="EC104" s="16"/>
      <c r="ED104" s="16"/>
      <c r="EE104" s="16"/>
      <c r="EF104" s="16"/>
      <c r="EG104" s="16"/>
      <c r="EH104" s="16"/>
      <c r="EI104" s="16"/>
      <c r="EJ104" s="16"/>
      <c r="EK104" s="78"/>
      <c r="EL104" s="79"/>
      <c r="EM104" s="16"/>
      <c r="EN104" s="16"/>
      <c r="EO104" s="16"/>
      <c r="EP104" s="16"/>
      <c r="EQ104" s="16"/>
      <c r="ER104" s="16"/>
      <c r="ES104" s="16"/>
      <c r="ET104" s="16"/>
      <c r="EU104" s="16"/>
      <c r="EV104" s="16"/>
      <c r="EW104" s="16"/>
      <c r="EX104" s="16"/>
      <c r="EY104" s="78"/>
      <c r="EZ104" s="79"/>
      <c r="FA104" s="16"/>
      <c r="FB104" s="16"/>
      <c r="FC104" s="16"/>
      <c r="FD104" s="16"/>
      <c r="FE104" s="16"/>
      <c r="FF104" s="16"/>
      <c r="FG104" s="16"/>
      <c r="FH104" s="16"/>
      <c r="FI104" s="16"/>
      <c r="FJ104" s="16"/>
      <c r="FK104" s="16"/>
      <c r="FM104" s="78"/>
      <c r="FN104" s="79"/>
      <c r="FO104" s="16"/>
      <c r="FP104" s="16"/>
      <c r="FQ104" s="16"/>
      <c r="FR104" s="16"/>
      <c r="FS104" s="16"/>
      <c r="FT104" s="16"/>
      <c r="FU104" s="16"/>
      <c r="FV104" s="16"/>
      <c r="FW104" s="16"/>
      <c r="FX104" s="16"/>
      <c r="FY104" s="16"/>
      <c r="GA104" s="78"/>
      <c r="GB104" s="79"/>
      <c r="GC104" s="16"/>
      <c r="GD104" s="16"/>
      <c r="GE104" s="16"/>
      <c r="GF104" s="16"/>
      <c r="GG104" s="16"/>
      <c r="GH104" s="16"/>
      <c r="GI104" s="16"/>
      <c r="GJ104" s="16"/>
      <c r="GK104" s="16"/>
      <c r="GL104" s="16"/>
      <c r="GM104" s="16"/>
    </row>
    <row r="105" spans="1:195" s="18" customFormat="1" ht="15" customHeight="1">
      <c r="A105" s="80">
        <v>2001</v>
      </c>
      <c r="B105" s="81" t="s">
        <v>39</v>
      </c>
      <c r="C105" s="15">
        <f t="shared" si="15"/>
        <v>0.95454029726561018</v>
      </c>
      <c r="D105" s="15">
        <f t="shared" si="16"/>
        <v>0.96203544882790171</v>
      </c>
      <c r="E105" s="15">
        <f t="shared" si="17"/>
        <v>0.9922090692485156</v>
      </c>
      <c r="F105" s="16"/>
      <c r="G105" s="33"/>
      <c r="H105" s="16">
        <v>26441</v>
      </c>
      <c r="I105" s="16">
        <f t="shared" si="22"/>
        <v>206</v>
      </c>
      <c r="J105" s="16">
        <v>26235</v>
      </c>
      <c r="K105" s="16">
        <v>25239</v>
      </c>
      <c r="L105" s="16">
        <f t="shared" si="23"/>
        <v>996</v>
      </c>
      <c r="M105" s="16"/>
      <c r="N105" s="16"/>
      <c r="O105" s="80"/>
      <c r="P105" s="81"/>
      <c r="Q105" s="41"/>
      <c r="R105" s="41"/>
      <c r="S105" s="41"/>
      <c r="T105" s="16"/>
      <c r="U105" s="16"/>
      <c r="V105" s="16"/>
      <c r="W105" s="16"/>
      <c r="X105" s="16"/>
      <c r="Y105" s="16"/>
      <c r="Z105" s="16"/>
      <c r="AA105" s="16"/>
      <c r="AB105" s="16"/>
      <c r="AC105" s="80"/>
      <c r="AD105" s="81"/>
      <c r="AE105" s="41"/>
      <c r="AF105" s="41"/>
      <c r="AG105" s="41"/>
      <c r="AH105" s="41"/>
      <c r="AI105" s="41"/>
      <c r="AJ105" s="16"/>
      <c r="AK105" s="16"/>
      <c r="AL105" s="16"/>
      <c r="AM105" s="16"/>
      <c r="AN105" s="16"/>
      <c r="AO105" s="16"/>
      <c r="AP105" s="16"/>
      <c r="AQ105" s="80"/>
      <c r="AR105" s="81"/>
      <c r="AS105" s="41"/>
      <c r="AT105" s="41"/>
      <c r="AU105" s="41"/>
      <c r="AV105" s="16"/>
      <c r="AW105" s="16"/>
      <c r="AX105" s="16"/>
      <c r="AY105" s="16"/>
      <c r="AZ105" s="16"/>
      <c r="BA105" s="16"/>
      <c r="BB105" s="16"/>
      <c r="BC105" s="16"/>
      <c r="BD105" s="16"/>
      <c r="BE105" s="80"/>
      <c r="BF105" s="81"/>
      <c r="BG105" s="41"/>
      <c r="BH105" s="41"/>
      <c r="BI105" s="41"/>
      <c r="BJ105" s="16"/>
      <c r="BK105" s="16"/>
      <c r="BL105" s="16"/>
      <c r="BM105" s="16"/>
      <c r="BN105" s="16"/>
      <c r="BO105" s="16"/>
      <c r="BP105" s="16"/>
      <c r="BQ105" s="16"/>
      <c r="BR105" s="16"/>
      <c r="BS105" s="80"/>
      <c r="BT105" s="81"/>
      <c r="BU105" s="41"/>
      <c r="BV105" s="41"/>
      <c r="BW105" s="41"/>
      <c r="BX105" s="16"/>
      <c r="BY105" s="16"/>
      <c r="BZ105" s="16"/>
      <c r="CA105" s="16"/>
      <c r="CB105" s="16"/>
      <c r="CC105" s="16"/>
      <c r="CD105" s="16"/>
      <c r="CE105" s="16"/>
      <c r="CF105" s="16"/>
      <c r="CG105" s="80"/>
      <c r="CH105" s="81"/>
      <c r="CI105" s="41"/>
      <c r="CJ105" s="41"/>
      <c r="CK105" s="41"/>
      <c r="CL105" s="16"/>
      <c r="CM105" s="16"/>
      <c r="CN105" s="16"/>
      <c r="CO105" s="16"/>
      <c r="CP105" s="16"/>
      <c r="CQ105" s="16"/>
      <c r="CR105" s="16"/>
      <c r="CS105" s="16"/>
      <c r="CT105" s="16"/>
      <c r="CU105" s="80"/>
      <c r="CV105" s="81"/>
      <c r="CW105" s="41"/>
      <c r="CX105" s="41"/>
      <c r="CY105" s="41"/>
      <c r="CZ105" s="16"/>
      <c r="DA105" s="16"/>
      <c r="DB105" s="16"/>
      <c r="DC105" s="16"/>
      <c r="DD105" s="16"/>
      <c r="DE105" s="16"/>
      <c r="DF105" s="16"/>
      <c r="DG105" s="16"/>
      <c r="DH105" s="16"/>
      <c r="DI105" s="80"/>
      <c r="DJ105" s="81"/>
      <c r="DK105" s="41"/>
      <c r="DL105" s="41"/>
      <c r="DM105" s="41"/>
      <c r="DN105" s="16"/>
      <c r="DO105" s="16"/>
      <c r="DP105" s="16"/>
      <c r="DQ105" s="16"/>
      <c r="DR105" s="16"/>
      <c r="DS105" s="16"/>
      <c r="DT105" s="16"/>
      <c r="DU105" s="16"/>
      <c r="DV105" s="16"/>
      <c r="DW105" s="80"/>
      <c r="DX105" s="81"/>
      <c r="DY105" s="41"/>
      <c r="DZ105" s="41"/>
      <c r="EA105" s="41"/>
      <c r="EB105" s="16"/>
      <c r="EC105" s="16"/>
      <c r="ED105" s="16"/>
      <c r="EE105" s="16"/>
      <c r="EF105" s="16"/>
      <c r="EG105" s="16"/>
      <c r="EH105" s="16"/>
      <c r="EI105" s="16"/>
      <c r="EJ105" s="16"/>
      <c r="EK105" s="80"/>
      <c r="EL105" s="81"/>
      <c r="EM105" s="16"/>
      <c r="EN105" s="16"/>
      <c r="EO105" s="16"/>
      <c r="EP105" s="16"/>
      <c r="EQ105" s="16"/>
      <c r="ER105" s="16"/>
      <c r="ES105" s="16"/>
      <c r="ET105" s="16"/>
      <c r="EU105" s="16"/>
      <c r="EV105" s="16"/>
      <c r="EW105" s="16"/>
      <c r="EX105" s="16"/>
      <c r="EY105" s="80"/>
      <c r="EZ105" s="81"/>
      <c r="FA105" s="16"/>
      <c r="FB105" s="16"/>
      <c r="FC105" s="16"/>
      <c r="FD105" s="16"/>
      <c r="FE105" s="16"/>
      <c r="FF105" s="16"/>
      <c r="FG105" s="16"/>
      <c r="FH105" s="16"/>
      <c r="FI105" s="16"/>
      <c r="FJ105" s="16"/>
      <c r="FK105" s="16"/>
      <c r="FM105" s="80"/>
      <c r="FN105" s="81"/>
      <c r="FO105" s="16"/>
      <c r="FP105" s="16"/>
      <c r="FQ105" s="16"/>
      <c r="FR105" s="16"/>
      <c r="FS105" s="16"/>
      <c r="FT105" s="16"/>
      <c r="FU105" s="16"/>
      <c r="FV105" s="16"/>
      <c r="FW105" s="16"/>
      <c r="FX105" s="16"/>
      <c r="FY105" s="16"/>
      <c r="GA105" s="80"/>
      <c r="GB105" s="81"/>
      <c r="GC105" s="16"/>
      <c r="GD105" s="16"/>
      <c r="GE105" s="16"/>
      <c r="GF105" s="16"/>
      <c r="GG105" s="16"/>
      <c r="GH105" s="16"/>
      <c r="GI105" s="16"/>
      <c r="GJ105" s="16"/>
      <c r="GK105" s="16"/>
      <c r="GL105" s="16"/>
      <c r="GM105" s="16"/>
    </row>
    <row r="106" spans="1:195" s="18" customFormat="1" ht="15" customHeight="1">
      <c r="A106" s="78">
        <v>2001</v>
      </c>
      <c r="B106" s="79" t="s">
        <v>40</v>
      </c>
      <c r="C106" s="15">
        <f t="shared" si="15"/>
        <v>0.94438969449528365</v>
      </c>
      <c r="D106" s="15">
        <f t="shared" si="16"/>
        <v>0.95443389179383209</v>
      </c>
      <c r="E106" s="15">
        <f t="shared" si="17"/>
        <v>0.98947627762917079</v>
      </c>
      <c r="F106" s="16"/>
      <c r="G106" s="33"/>
      <c r="H106" s="16">
        <v>28412</v>
      </c>
      <c r="I106" s="16">
        <f t="shared" si="22"/>
        <v>299</v>
      </c>
      <c r="J106" s="16">
        <v>28113</v>
      </c>
      <c r="K106" s="16">
        <v>26832</v>
      </c>
      <c r="L106" s="16">
        <f t="shared" si="23"/>
        <v>1281</v>
      </c>
      <c r="M106" s="16"/>
      <c r="N106" s="16"/>
      <c r="O106" s="78"/>
      <c r="P106" s="79"/>
      <c r="Q106" s="41"/>
      <c r="R106" s="41"/>
      <c r="S106" s="41"/>
      <c r="T106" s="16"/>
      <c r="U106" s="16"/>
      <c r="V106" s="16"/>
      <c r="W106" s="16"/>
      <c r="X106" s="16"/>
      <c r="Y106" s="16"/>
      <c r="Z106" s="16"/>
      <c r="AA106" s="16"/>
      <c r="AB106" s="16"/>
      <c r="AC106" s="78"/>
      <c r="AD106" s="79"/>
      <c r="AE106" s="41"/>
      <c r="AF106" s="41"/>
      <c r="AG106" s="41"/>
      <c r="AH106" s="41"/>
      <c r="AI106" s="41"/>
      <c r="AJ106" s="16"/>
      <c r="AK106" s="16"/>
      <c r="AL106" s="16"/>
      <c r="AM106" s="16"/>
      <c r="AN106" s="16"/>
      <c r="AO106" s="16"/>
      <c r="AP106" s="16"/>
      <c r="AQ106" s="78"/>
      <c r="AR106" s="79"/>
      <c r="AS106" s="41"/>
      <c r="AT106" s="41"/>
      <c r="AU106" s="41"/>
      <c r="AV106" s="16"/>
      <c r="AW106" s="16"/>
      <c r="AX106" s="16"/>
      <c r="AY106" s="16"/>
      <c r="AZ106" s="16"/>
      <c r="BA106" s="16"/>
      <c r="BB106" s="16"/>
      <c r="BC106" s="16"/>
      <c r="BD106" s="16"/>
      <c r="BE106" s="78"/>
      <c r="BF106" s="79"/>
      <c r="BG106" s="41"/>
      <c r="BH106" s="41"/>
      <c r="BI106" s="41"/>
      <c r="BJ106" s="16"/>
      <c r="BK106" s="16"/>
      <c r="BL106" s="16"/>
      <c r="BM106" s="16"/>
      <c r="BN106" s="16"/>
      <c r="BO106" s="16"/>
      <c r="BP106" s="16"/>
      <c r="BQ106" s="16"/>
      <c r="BR106" s="16"/>
      <c r="BS106" s="78"/>
      <c r="BT106" s="79"/>
      <c r="BU106" s="41"/>
      <c r="BV106" s="41"/>
      <c r="BW106" s="41"/>
      <c r="BX106" s="16"/>
      <c r="BY106" s="16"/>
      <c r="BZ106" s="16"/>
      <c r="CA106" s="16"/>
      <c r="CB106" s="16"/>
      <c r="CC106" s="16"/>
      <c r="CD106" s="16"/>
      <c r="CE106" s="16"/>
      <c r="CF106" s="16"/>
      <c r="CG106" s="78"/>
      <c r="CH106" s="79"/>
      <c r="CI106" s="41"/>
      <c r="CJ106" s="41"/>
      <c r="CK106" s="41"/>
      <c r="CL106" s="16"/>
      <c r="CM106" s="16"/>
      <c r="CN106" s="16"/>
      <c r="CO106" s="16"/>
      <c r="CP106" s="16"/>
      <c r="CQ106" s="16"/>
      <c r="CR106" s="16"/>
      <c r="CS106" s="16"/>
      <c r="CT106" s="16"/>
      <c r="CU106" s="78"/>
      <c r="CV106" s="79"/>
      <c r="CW106" s="41"/>
      <c r="CX106" s="41"/>
      <c r="CY106" s="41"/>
      <c r="CZ106" s="16"/>
      <c r="DA106" s="16"/>
      <c r="DB106" s="16"/>
      <c r="DC106" s="16"/>
      <c r="DD106" s="16"/>
      <c r="DE106" s="16"/>
      <c r="DF106" s="16"/>
      <c r="DG106" s="16"/>
      <c r="DH106" s="16"/>
      <c r="DI106" s="78"/>
      <c r="DJ106" s="79"/>
      <c r="DK106" s="41"/>
      <c r="DL106" s="41"/>
      <c r="DM106" s="41"/>
      <c r="DN106" s="16"/>
      <c r="DO106" s="16"/>
      <c r="DP106" s="16"/>
      <c r="DQ106" s="16"/>
      <c r="DR106" s="16"/>
      <c r="DS106" s="16"/>
      <c r="DT106" s="16"/>
      <c r="DU106" s="16"/>
      <c r="DV106" s="16"/>
      <c r="DW106" s="78"/>
      <c r="DX106" s="79"/>
      <c r="DY106" s="41"/>
      <c r="DZ106" s="41"/>
      <c r="EA106" s="41"/>
      <c r="EB106" s="16"/>
      <c r="EC106" s="16"/>
      <c r="ED106" s="16"/>
      <c r="EE106" s="16"/>
      <c r="EF106" s="16"/>
      <c r="EG106" s="16"/>
      <c r="EH106" s="16"/>
      <c r="EI106" s="16"/>
      <c r="EJ106" s="16"/>
      <c r="EK106" s="78"/>
      <c r="EL106" s="79"/>
      <c r="EM106" s="16"/>
      <c r="EN106" s="16"/>
      <c r="EO106" s="16"/>
      <c r="EP106" s="16"/>
      <c r="EQ106" s="16"/>
      <c r="ER106" s="16"/>
      <c r="ES106" s="16"/>
      <c r="ET106" s="16"/>
      <c r="EU106" s="16"/>
      <c r="EV106" s="16"/>
      <c r="EW106" s="16"/>
      <c r="EX106" s="16"/>
      <c r="EY106" s="78"/>
      <c r="EZ106" s="79"/>
      <c r="FA106" s="16"/>
      <c r="FB106" s="16"/>
      <c r="FC106" s="16"/>
      <c r="FD106" s="16"/>
      <c r="FE106" s="16"/>
      <c r="FF106" s="16"/>
      <c r="FG106" s="16"/>
      <c r="FH106" s="16"/>
      <c r="FI106" s="16"/>
      <c r="FJ106" s="16"/>
      <c r="FK106" s="16"/>
      <c r="FM106" s="78"/>
      <c r="FN106" s="79"/>
      <c r="FO106" s="16"/>
      <c r="FP106" s="16"/>
      <c r="FQ106" s="16"/>
      <c r="FR106" s="16"/>
      <c r="FS106" s="16"/>
      <c r="FT106" s="16"/>
      <c r="FU106" s="16"/>
      <c r="FV106" s="16"/>
      <c r="FW106" s="16"/>
      <c r="FX106" s="16"/>
      <c r="FY106" s="16"/>
      <c r="GA106" s="78"/>
      <c r="GB106" s="79"/>
      <c r="GC106" s="16"/>
      <c r="GD106" s="16"/>
      <c r="GE106" s="16"/>
      <c r="GF106" s="16"/>
      <c r="GG106" s="16"/>
      <c r="GH106" s="16"/>
      <c r="GI106" s="16"/>
      <c r="GJ106" s="16"/>
      <c r="GK106" s="16"/>
      <c r="GL106" s="16"/>
      <c r="GM106" s="16"/>
    </row>
    <row r="107" spans="1:195" s="18" customFormat="1" ht="15" customHeight="1">
      <c r="A107" s="80">
        <v>2001</v>
      </c>
      <c r="B107" s="81" t="s">
        <v>41</v>
      </c>
      <c r="C107" s="15">
        <f t="shared" si="15"/>
        <v>0.93984417466932413</v>
      </c>
      <c r="D107" s="15">
        <f t="shared" si="16"/>
        <v>0.95750572251347554</v>
      </c>
      <c r="E107" s="15">
        <f t="shared" si="17"/>
        <v>0.98155462946185901</v>
      </c>
      <c r="F107" s="16"/>
      <c r="G107" s="33"/>
      <c r="H107" s="16">
        <v>27595</v>
      </c>
      <c r="I107" s="16">
        <f t="shared" si="22"/>
        <v>509</v>
      </c>
      <c r="J107" s="16">
        <v>27086</v>
      </c>
      <c r="K107" s="16">
        <v>25935</v>
      </c>
      <c r="L107" s="16">
        <f t="shared" si="23"/>
        <v>1151</v>
      </c>
      <c r="M107" s="16"/>
      <c r="N107" s="16"/>
      <c r="O107" s="80"/>
      <c r="P107" s="81"/>
      <c r="Q107" s="41"/>
      <c r="R107" s="41"/>
      <c r="S107" s="41"/>
      <c r="T107" s="16"/>
      <c r="U107" s="16"/>
      <c r="V107" s="16"/>
      <c r="W107" s="16"/>
      <c r="X107" s="16"/>
      <c r="Y107" s="16"/>
      <c r="Z107" s="16"/>
      <c r="AA107" s="16"/>
      <c r="AB107" s="16"/>
      <c r="AC107" s="80"/>
      <c r="AD107" s="81"/>
      <c r="AE107" s="41"/>
      <c r="AF107" s="41"/>
      <c r="AG107" s="41"/>
      <c r="AH107" s="41"/>
      <c r="AI107" s="41"/>
      <c r="AJ107" s="16"/>
      <c r="AK107" s="16"/>
      <c r="AL107" s="16"/>
      <c r="AM107" s="16"/>
      <c r="AN107" s="16"/>
      <c r="AO107" s="16"/>
      <c r="AP107" s="16"/>
      <c r="AQ107" s="80"/>
      <c r="AR107" s="81"/>
      <c r="AS107" s="41"/>
      <c r="AT107" s="41"/>
      <c r="AU107" s="41"/>
      <c r="AV107" s="16"/>
      <c r="AW107" s="16"/>
      <c r="AX107" s="16"/>
      <c r="AY107" s="16"/>
      <c r="AZ107" s="16"/>
      <c r="BA107" s="16"/>
      <c r="BB107" s="16"/>
      <c r="BC107" s="16"/>
      <c r="BD107" s="16"/>
      <c r="BE107" s="80"/>
      <c r="BF107" s="81"/>
      <c r="BG107" s="41"/>
      <c r="BH107" s="41"/>
      <c r="BI107" s="41"/>
      <c r="BJ107" s="16"/>
      <c r="BK107" s="16"/>
      <c r="BL107" s="16"/>
      <c r="BM107" s="16"/>
      <c r="BN107" s="16"/>
      <c r="BO107" s="16"/>
      <c r="BP107" s="16"/>
      <c r="BQ107" s="16"/>
      <c r="BR107" s="16"/>
      <c r="BS107" s="80"/>
      <c r="BT107" s="81"/>
      <c r="BU107" s="41"/>
      <c r="BV107" s="41"/>
      <c r="BW107" s="41"/>
      <c r="BX107" s="16"/>
      <c r="BY107" s="16"/>
      <c r="BZ107" s="16"/>
      <c r="CA107" s="16"/>
      <c r="CB107" s="16"/>
      <c r="CC107" s="16"/>
      <c r="CD107" s="16"/>
      <c r="CE107" s="16"/>
      <c r="CF107" s="16"/>
      <c r="CG107" s="80"/>
      <c r="CH107" s="81"/>
      <c r="CI107" s="41"/>
      <c r="CJ107" s="41"/>
      <c r="CK107" s="41"/>
      <c r="CL107" s="16"/>
      <c r="CM107" s="16"/>
      <c r="CN107" s="16"/>
      <c r="CO107" s="16"/>
      <c r="CP107" s="16"/>
      <c r="CQ107" s="16"/>
      <c r="CR107" s="16"/>
      <c r="CS107" s="16"/>
      <c r="CT107" s="16"/>
      <c r="CU107" s="80"/>
      <c r="CV107" s="81"/>
      <c r="CW107" s="41"/>
      <c r="CX107" s="41"/>
      <c r="CY107" s="41"/>
      <c r="CZ107" s="16"/>
      <c r="DA107" s="16"/>
      <c r="DB107" s="16"/>
      <c r="DC107" s="16"/>
      <c r="DD107" s="16"/>
      <c r="DE107" s="16"/>
      <c r="DF107" s="16"/>
      <c r="DG107" s="16"/>
      <c r="DH107" s="16"/>
      <c r="DI107" s="80"/>
      <c r="DJ107" s="81"/>
      <c r="DK107" s="41"/>
      <c r="DL107" s="41"/>
      <c r="DM107" s="41"/>
      <c r="DN107" s="16"/>
      <c r="DO107" s="16"/>
      <c r="DP107" s="16"/>
      <c r="DQ107" s="16"/>
      <c r="DR107" s="16"/>
      <c r="DS107" s="16"/>
      <c r="DT107" s="16"/>
      <c r="DU107" s="16"/>
      <c r="DV107" s="16"/>
      <c r="DW107" s="80"/>
      <c r="DX107" s="81"/>
      <c r="DY107" s="41"/>
      <c r="DZ107" s="41"/>
      <c r="EA107" s="41"/>
      <c r="EB107" s="16"/>
      <c r="EC107" s="16"/>
      <c r="ED107" s="16"/>
      <c r="EE107" s="16"/>
      <c r="EF107" s="16"/>
      <c r="EG107" s="16"/>
      <c r="EH107" s="16"/>
      <c r="EI107" s="16"/>
      <c r="EJ107" s="16"/>
      <c r="EK107" s="80"/>
      <c r="EL107" s="81"/>
      <c r="EM107" s="16"/>
      <c r="EN107" s="16"/>
      <c r="EO107" s="16"/>
      <c r="EP107" s="16"/>
      <c r="EQ107" s="16"/>
      <c r="ER107" s="16"/>
      <c r="ES107" s="16"/>
      <c r="ET107" s="16"/>
      <c r="EU107" s="16"/>
      <c r="EV107" s="16"/>
      <c r="EW107" s="16"/>
      <c r="EX107" s="16"/>
      <c r="EY107" s="80"/>
      <c r="EZ107" s="81"/>
      <c r="FA107" s="16"/>
      <c r="FB107" s="16"/>
      <c r="FC107" s="16"/>
      <c r="FD107" s="16"/>
      <c r="FE107" s="16"/>
      <c r="FF107" s="16"/>
      <c r="FG107" s="16"/>
      <c r="FH107" s="16"/>
      <c r="FI107" s="16"/>
      <c r="FJ107" s="16"/>
      <c r="FK107" s="16"/>
      <c r="FM107" s="80"/>
      <c r="FN107" s="81"/>
      <c r="FO107" s="16"/>
      <c r="FP107" s="16"/>
      <c r="FQ107" s="16"/>
      <c r="FR107" s="16"/>
      <c r="FS107" s="16"/>
      <c r="FT107" s="16"/>
      <c r="FU107" s="16"/>
      <c r="FV107" s="16"/>
      <c r="FW107" s="16"/>
      <c r="FX107" s="16"/>
      <c r="FY107" s="16"/>
      <c r="GA107" s="80"/>
      <c r="GB107" s="81"/>
      <c r="GC107" s="16"/>
      <c r="GD107" s="16"/>
      <c r="GE107" s="16"/>
      <c r="GF107" s="16"/>
      <c r="GG107" s="16"/>
      <c r="GH107" s="16"/>
      <c r="GI107" s="16"/>
      <c r="GJ107" s="16"/>
      <c r="GK107" s="16"/>
      <c r="GL107" s="16"/>
      <c r="GM107" s="16"/>
    </row>
    <row r="108" spans="1:195" s="18" customFormat="1" ht="15" customHeight="1">
      <c r="A108" s="78">
        <v>2001</v>
      </c>
      <c r="B108" s="79" t="s">
        <v>42</v>
      </c>
      <c r="C108" s="15">
        <f t="shared" si="15"/>
        <v>0.89808827663761592</v>
      </c>
      <c r="D108" s="15">
        <f t="shared" si="16"/>
        <v>0.96317792937097202</v>
      </c>
      <c r="E108" s="15">
        <f t="shared" si="17"/>
        <v>0.93242198481866745</v>
      </c>
      <c r="F108" s="16"/>
      <c r="G108" s="33"/>
      <c r="H108" s="16">
        <v>28456</v>
      </c>
      <c r="I108" s="16">
        <f t="shared" si="22"/>
        <v>1923</v>
      </c>
      <c r="J108" s="16">
        <v>26533</v>
      </c>
      <c r="K108" s="16">
        <v>25556</v>
      </c>
      <c r="L108" s="16">
        <f t="shared" si="23"/>
        <v>977</v>
      </c>
      <c r="M108" s="16"/>
      <c r="N108" s="16"/>
      <c r="O108" s="78"/>
      <c r="P108" s="79"/>
      <c r="Q108" s="41"/>
      <c r="R108" s="41"/>
      <c r="S108" s="41"/>
      <c r="T108" s="16"/>
      <c r="U108" s="16"/>
      <c r="V108" s="16"/>
      <c r="W108" s="16"/>
      <c r="X108" s="16"/>
      <c r="Y108" s="16"/>
      <c r="Z108" s="16"/>
      <c r="AA108" s="16"/>
      <c r="AB108" s="16"/>
      <c r="AC108" s="78"/>
      <c r="AD108" s="79"/>
      <c r="AE108" s="41"/>
      <c r="AF108" s="41"/>
      <c r="AG108" s="41"/>
      <c r="AH108" s="41"/>
      <c r="AI108" s="41"/>
      <c r="AJ108" s="16"/>
      <c r="AK108" s="16"/>
      <c r="AL108" s="16"/>
      <c r="AM108" s="16"/>
      <c r="AN108" s="16"/>
      <c r="AO108" s="16"/>
      <c r="AP108" s="16"/>
      <c r="AQ108" s="78"/>
      <c r="AR108" s="79"/>
      <c r="AS108" s="41"/>
      <c r="AT108" s="41"/>
      <c r="AU108" s="41"/>
      <c r="AV108" s="16"/>
      <c r="AW108" s="16"/>
      <c r="AX108" s="16"/>
      <c r="AY108" s="16"/>
      <c r="AZ108" s="16"/>
      <c r="BA108" s="16"/>
      <c r="BB108" s="16"/>
      <c r="BC108" s="16"/>
      <c r="BD108" s="16"/>
      <c r="BE108" s="78"/>
      <c r="BF108" s="79"/>
      <c r="BG108" s="41"/>
      <c r="BH108" s="41"/>
      <c r="BI108" s="41"/>
      <c r="BJ108" s="16"/>
      <c r="BK108" s="16"/>
      <c r="BL108" s="16"/>
      <c r="BM108" s="16"/>
      <c r="BN108" s="16"/>
      <c r="BO108" s="16"/>
      <c r="BP108" s="16"/>
      <c r="BQ108" s="16"/>
      <c r="BR108" s="16"/>
      <c r="BS108" s="78"/>
      <c r="BT108" s="79"/>
      <c r="BU108" s="41"/>
      <c r="BV108" s="41"/>
      <c r="BW108" s="41"/>
      <c r="BX108" s="16"/>
      <c r="BY108" s="16"/>
      <c r="BZ108" s="16"/>
      <c r="CA108" s="16"/>
      <c r="CB108" s="16"/>
      <c r="CC108" s="16"/>
      <c r="CD108" s="16"/>
      <c r="CE108" s="16"/>
      <c r="CF108" s="16"/>
      <c r="CG108" s="78"/>
      <c r="CH108" s="79"/>
      <c r="CI108" s="41"/>
      <c r="CJ108" s="41"/>
      <c r="CK108" s="41"/>
      <c r="CL108" s="16"/>
      <c r="CM108" s="16"/>
      <c r="CN108" s="16"/>
      <c r="CO108" s="16"/>
      <c r="CP108" s="16"/>
      <c r="CQ108" s="16"/>
      <c r="CR108" s="16"/>
      <c r="CS108" s="16"/>
      <c r="CT108" s="16"/>
      <c r="CU108" s="78"/>
      <c r="CV108" s="79"/>
      <c r="CW108" s="41"/>
      <c r="CX108" s="41"/>
      <c r="CY108" s="41"/>
      <c r="CZ108" s="16"/>
      <c r="DA108" s="16"/>
      <c r="DB108" s="16"/>
      <c r="DC108" s="16"/>
      <c r="DD108" s="16"/>
      <c r="DE108" s="16"/>
      <c r="DF108" s="16"/>
      <c r="DG108" s="16"/>
      <c r="DH108" s="16"/>
      <c r="DI108" s="78"/>
      <c r="DJ108" s="79"/>
      <c r="DK108" s="41"/>
      <c r="DL108" s="41"/>
      <c r="DM108" s="41"/>
      <c r="DN108" s="16"/>
      <c r="DO108" s="16"/>
      <c r="DP108" s="16"/>
      <c r="DQ108" s="16"/>
      <c r="DR108" s="16"/>
      <c r="DS108" s="16"/>
      <c r="DT108" s="16"/>
      <c r="DU108" s="16"/>
      <c r="DV108" s="16"/>
      <c r="DW108" s="78"/>
      <c r="DX108" s="79"/>
      <c r="DY108" s="41"/>
      <c r="DZ108" s="41"/>
      <c r="EA108" s="41"/>
      <c r="EB108" s="16"/>
      <c r="EC108" s="16"/>
      <c r="ED108" s="16"/>
      <c r="EE108" s="16"/>
      <c r="EF108" s="16"/>
      <c r="EG108" s="16"/>
      <c r="EH108" s="16"/>
      <c r="EI108" s="16"/>
      <c r="EJ108" s="16"/>
      <c r="EK108" s="78"/>
      <c r="EL108" s="79"/>
      <c r="EM108" s="16"/>
      <c r="EN108" s="16"/>
      <c r="EO108" s="16"/>
      <c r="EP108" s="16"/>
      <c r="EQ108" s="16"/>
      <c r="ER108" s="16"/>
      <c r="ES108" s="16"/>
      <c r="ET108" s="16"/>
      <c r="EU108" s="16"/>
      <c r="EV108" s="16"/>
      <c r="EW108" s="16"/>
      <c r="EX108" s="16"/>
      <c r="EY108" s="78"/>
      <c r="EZ108" s="79"/>
      <c r="FA108" s="16"/>
      <c r="FB108" s="16"/>
      <c r="FC108" s="16"/>
      <c r="FD108" s="16"/>
      <c r="FE108" s="16"/>
      <c r="FF108" s="16"/>
      <c r="FG108" s="16"/>
      <c r="FH108" s="16"/>
      <c r="FI108" s="16"/>
      <c r="FJ108" s="16"/>
      <c r="FK108" s="16"/>
      <c r="FM108" s="78"/>
      <c r="FN108" s="79"/>
      <c r="FO108" s="16"/>
      <c r="FP108" s="16"/>
      <c r="FQ108" s="16"/>
      <c r="FR108" s="16"/>
      <c r="FS108" s="16"/>
      <c r="FT108" s="16"/>
      <c r="FU108" s="16"/>
      <c r="FV108" s="16"/>
      <c r="FW108" s="16"/>
      <c r="FX108" s="16"/>
      <c r="FY108" s="16"/>
      <c r="GA108" s="78"/>
      <c r="GB108" s="79"/>
      <c r="GC108" s="16"/>
      <c r="GD108" s="16"/>
      <c r="GE108" s="16"/>
      <c r="GF108" s="16"/>
      <c r="GG108" s="16"/>
      <c r="GH108" s="16"/>
      <c r="GI108" s="16"/>
      <c r="GJ108" s="16"/>
      <c r="GK108" s="16"/>
      <c r="GL108" s="16"/>
      <c r="GM108" s="16"/>
    </row>
    <row r="109" spans="1:195" s="18" customFormat="1" ht="15" customHeight="1">
      <c r="A109" s="80">
        <v>2001</v>
      </c>
      <c r="B109" s="81" t="s">
        <v>43</v>
      </c>
      <c r="C109" s="15">
        <f t="shared" si="15"/>
        <v>0.94082881139183627</v>
      </c>
      <c r="D109" s="15">
        <f t="shared" si="16"/>
        <v>0.95916138125440453</v>
      </c>
      <c r="E109" s="15">
        <f t="shared" si="17"/>
        <v>0.98088687657691909</v>
      </c>
      <c r="F109" s="16"/>
      <c r="G109" s="33"/>
      <c r="H109" s="16">
        <v>28933</v>
      </c>
      <c r="I109" s="16">
        <f t="shared" si="22"/>
        <v>553</v>
      </c>
      <c r="J109" s="16">
        <v>28380</v>
      </c>
      <c r="K109" s="16">
        <v>27221</v>
      </c>
      <c r="L109" s="16">
        <f t="shared" si="23"/>
        <v>1159</v>
      </c>
      <c r="M109" s="16"/>
      <c r="N109" s="16"/>
      <c r="O109" s="80"/>
      <c r="P109" s="81"/>
      <c r="Q109" s="41"/>
      <c r="R109" s="41"/>
      <c r="S109" s="41"/>
      <c r="T109" s="16"/>
      <c r="U109" s="16"/>
      <c r="V109" s="16"/>
      <c r="W109" s="16"/>
      <c r="X109" s="16"/>
      <c r="Y109" s="16"/>
      <c r="Z109" s="16"/>
      <c r="AA109" s="16"/>
      <c r="AB109" s="16"/>
      <c r="AC109" s="80"/>
      <c r="AD109" s="81"/>
      <c r="AE109" s="41"/>
      <c r="AF109" s="41"/>
      <c r="AG109" s="41"/>
      <c r="AH109" s="41"/>
      <c r="AI109" s="41"/>
      <c r="AJ109" s="16"/>
      <c r="AK109" s="16"/>
      <c r="AL109" s="16"/>
      <c r="AM109" s="16"/>
      <c r="AN109" s="16"/>
      <c r="AO109" s="16"/>
      <c r="AP109" s="16"/>
      <c r="AQ109" s="80"/>
      <c r="AR109" s="81"/>
      <c r="AS109" s="41"/>
      <c r="AT109" s="41"/>
      <c r="AU109" s="41"/>
      <c r="AV109" s="16"/>
      <c r="AW109" s="16"/>
      <c r="AX109" s="16"/>
      <c r="AY109" s="16"/>
      <c r="AZ109" s="16"/>
      <c r="BA109" s="16"/>
      <c r="BB109" s="16"/>
      <c r="BC109" s="16"/>
      <c r="BD109" s="16"/>
      <c r="BE109" s="80"/>
      <c r="BF109" s="81"/>
      <c r="BG109" s="41"/>
      <c r="BH109" s="41"/>
      <c r="BI109" s="41"/>
      <c r="BJ109" s="16"/>
      <c r="BK109" s="16"/>
      <c r="BL109" s="16"/>
      <c r="BM109" s="16"/>
      <c r="BN109" s="16"/>
      <c r="BO109" s="16"/>
      <c r="BP109" s="16"/>
      <c r="BQ109" s="16"/>
      <c r="BR109" s="16"/>
      <c r="BS109" s="80"/>
      <c r="BT109" s="81"/>
      <c r="BU109" s="41"/>
      <c r="BV109" s="41"/>
      <c r="BW109" s="41"/>
      <c r="BX109" s="16"/>
      <c r="BY109" s="16"/>
      <c r="BZ109" s="16"/>
      <c r="CA109" s="16"/>
      <c r="CB109" s="16"/>
      <c r="CC109" s="16"/>
      <c r="CD109" s="16"/>
      <c r="CE109" s="16"/>
      <c r="CF109" s="16"/>
      <c r="CG109" s="80"/>
      <c r="CH109" s="81"/>
      <c r="CI109" s="41"/>
      <c r="CJ109" s="41"/>
      <c r="CK109" s="41"/>
      <c r="CL109" s="16"/>
      <c r="CM109" s="16"/>
      <c r="CN109" s="16"/>
      <c r="CO109" s="16"/>
      <c r="CP109" s="16"/>
      <c r="CQ109" s="16"/>
      <c r="CR109" s="16"/>
      <c r="CS109" s="16"/>
      <c r="CT109" s="16"/>
      <c r="CU109" s="80"/>
      <c r="CV109" s="81"/>
      <c r="CW109" s="41"/>
      <c r="CX109" s="41"/>
      <c r="CY109" s="41"/>
      <c r="CZ109" s="16"/>
      <c r="DA109" s="16"/>
      <c r="DB109" s="16"/>
      <c r="DC109" s="16"/>
      <c r="DD109" s="16"/>
      <c r="DE109" s="16"/>
      <c r="DF109" s="16"/>
      <c r="DG109" s="16"/>
      <c r="DH109" s="16"/>
      <c r="DI109" s="80"/>
      <c r="DJ109" s="81"/>
      <c r="DK109" s="41"/>
      <c r="DL109" s="41"/>
      <c r="DM109" s="41"/>
      <c r="DN109" s="16"/>
      <c r="DO109" s="16"/>
      <c r="DP109" s="16"/>
      <c r="DQ109" s="16"/>
      <c r="DR109" s="16"/>
      <c r="DS109" s="16"/>
      <c r="DT109" s="16"/>
      <c r="DU109" s="16"/>
      <c r="DV109" s="16"/>
      <c r="DW109" s="80"/>
      <c r="DX109" s="81"/>
      <c r="DY109" s="41"/>
      <c r="DZ109" s="41"/>
      <c r="EA109" s="41"/>
      <c r="EB109" s="16"/>
      <c r="EC109" s="16"/>
      <c r="ED109" s="16"/>
      <c r="EE109" s="16"/>
      <c r="EF109" s="16"/>
      <c r="EG109" s="16"/>
      <c r="EH109" s="16"/>
      <c r="EI109" s="16"/>
      <c r="EJ109" s="16"/>
      <c r="EK109" s="80"/>
      <c r="EL109" s="81"/>
      <c r="EM109" s="16"/>
      <c r="EN109" s="16"/>
      <c r="EO109" s="16"/>
      <c r="EP109" s="16"/>
      <c r="EQ109" s="16"/>
      <c r="ER109" s="16"/>
      <c r="ES109" s="16"/>
      <c r="ET109" s="16"/>
      <c r="EU109" s="16"/>
      <c r="EV109" s="16"/>
      <c r="EW109" s="16"/>
      <c r="EX109" s="16"/>
      <c r="EY109" s="80"/>
      <c r="EZ109" s="81"/>
      <c r="FA109" s="16"/>
      <c r="FB109" s="16"/>
      <c r="FC109" s="16"/>
      <c r="FD109" s="16"/>
      <c r="FE109" s="16"/>
      <c r="FF109" s="16"/>
      <c r="FG109" s="16"/>
      <c r="FH109" s="16"/>
      <c r="FI109" s="16"/>
      <c r="FJ109" s="16"/>
      <c r="FK109" s="16"/>
      <c r="FM109" s="80"/>
      <c r="FN109" s="81"/>
      <c r="FO109" s="16"/>
      <c r="FP109" s="16"/>
      <c r="FQ109" s="16"/>
      <c r="FR109" s="16"/>
      <c r="FS109" s="16"/>
      <c r="FT109" s="16"/>
      <c r="FU109" s="16"/>
      <c r="FV109" s="16"/>
      <c r="FW109" s="16"/>
      <c r="FX109" s="16"/>
      <c r="FY109" s="16"/>
      <c r="GA109" s="80"/>
      <c r="GB109" s="81"/>
      <c r="GC109" s="16"/>
      <c r="GD109" s="16"/>
      <c r="GE109" s="16"/>
      <c r="GF109" s="16"/>
      <c r="GG109" s="16"/>
      <c r="GH109" s="16"/>
      <c r="GI109" s="16"/>
      <c r="GJ109" s="16"/>
      <c r="GK109" s="16"/>
      <c r="GL109" s="16"/>
      <c r="GM109" s="16"/>
    </row>
    <row r="110" spans="1:195" s="18" customFormat="1" ht="15" customHeight="1">
      <c r="A110" s="78">
        <v>2001</v>
      </c>
      <c r="B110" s="79" t="s">
        <v>44</v>
      </c>
      <c r="C110" s="15">
        <f t="shared" si="15"/>
        <v>0.95127778179975386</v>
      </c>
      <c r="D110" s="15">
        <f t="shared" si="16"/>
        <v>0.96963435782016749</v>
      </c>
      <c r="E110" s="15">
        <f t="shared" si="17"/>
        <v>0.98106855860421338</v>
      </c>
      <c r="F110" s="16"/>
      <c r="G110" s="33"/>
      <c r="H110" s="16">
        <v>27626</v>
      </c>
      <c r="I110" s="16">
        <f t="shared" si="22"/>
        <v>523</v>
      </c>
      <c r="J110" s="16">
        <v>27103</v>
      </c>
      <c r="K110" s="16">
        <v>26280</v>
      </c>
      <c r="L110" s="16">
        <f t="shared" si="23"/>
        <v>823</v>
      </c>
      <c r="M110" s="16"/>
      <c r="N110" s="16"/>
      <c r="O110" s="78"/>
      <c r="P110" s="79"/>
      <c r="Q110" s="41"/>
      <c r="R110" s="41"/>
      <c r="S110" s="41"/>
      <c r="T110" s="16"/>
      <c r="U110" s="16"/>
      <c r="V110" s="16"/>
      <c r="W110" s="16"/>
      <c r="X110" s="16"/>
      <c r="Y110" s="16"/>
      <c r="Z110" s="16"/>
      <c r="AA110" s="16"/>
      <c r="AB110" s="16"/>
      <c r="AC110" s="78"/>
      <c r="AD110" s="79"/>
      <c r="AE110" s="41"/>
      <c r="AF110" s="41"/>
      <c r="AG110" s="41"/>
      <c r="AH110" s="41"/>
      <c r="AI110" s="41"/>
      <c r="AJ110" s="16"/>
      <c r="AK110" s="16"/>
      <c r="AL110" s="16"/>
      <c r="AM110" s="16"/>
      <c r="AN110" s="16"/>
      <c r="AO110" s="16"/>
      <c r="AP110" s="16"/>
      <c r="AQ110" s="78"/>
      <c r="AR110" s="79"/>
      <c r="AS110" s="41"/>
      <c r="AT110" s="41"/>
      <c r="AU110" s="41"/>
      <c r="AV110" s="16"/>
      <c r="AW110" s="16"/>
      <c r="AX110" s="16"/>
      <c r="AY110" s="16"/>
      <c r="AZ110" s="16"/>
      <c r="BA110" s="16"/>
      <c r="BB110" s="16"/>
      <c r="BC110" s="16"/>
      <c r="BD110" s="16"/>
      <c r="BE110" s="78"/>
      <c r="BF110" s="79"/>
      <c r="BG110" s="41"/>
      <c r="BH110" s="41"/>
      <c r="BI110" s="41"/>
      <c r="BJ110" s="16"/>
      <c r="BK110" s="16"/>
      <c r="BL110" s="16"/>
      <c r="BM110" s="16"/>
      <c r="BN110" s="16"/>
      <c r="BO110" s="16"/>
      <c r="BP110" s="16"/>
      <c r="BQ110" s="16"/>
      <c r="BR110" s="16"/>
      <c r="BS110" s="78"/>
      <c r="BT110" s="79"/>
      <c r="BU110" s="41"/>
      <c r="BV110" s="41"/>
      <c r="BW110" s="41"/>
      <c r="BX110" s="16"/>
      <c r="BY110" s="16"/>
      <c r="BZ110" s="16"/>
      <c r="CA110" s="16"/>
      <c r="CB110" s="16"/>
      <c r="CC110" s="16"/>
      <c r="CD110" s="16"/>
      <c r="CE110" s="16"/>
      <c r="CF110" s="16"/>
      <c r="CG110" s="78"/>
      <c r="CH110" s="79"/>
      <c r="CI110" s="41"/>
      <c r="CJ110" s="41"/>
      <c r="CK110" s="41"/>
      <c r="CL110" s="16"/>
      <c r="CM110" s="16"/>
      <c r="CN110" s="16"/>
      <c r="CO110" s="16"/>
      <c r="CP110" s="16"/>
      <c r="CQ110" s="16"/>
      <c r="CR110" s="16"/>
      <c r="CS110" s="16"/>
      <c r="CT110" s="16"/>
      <c r="CU110" s="78"/>
      <c r="CV110" s="79"/>
      <c r="CW110" s="41"/>
      <c r="CX110" s="41"/>
      <c r="CY110" s="41"/>
      <c r="CZ110" s="16"/>
      <c r="DA110" s="16"/>
      <c r="DB110" s="16"/>
      <c r="DC110" s="16"/>
      <c r="DD110" s="16"/>
      <c r="DE110" s="16"/>
      <c r="DF110" s="16"/>
      <c r="DG110" s="16"/>
      <c r="DH110" s="16"/>
      <c r="DI110" s="78"/>
      <c r="DJ110" s="79"/>
      <c r="DK110" s="41"/>
      <c r="DL110" s="41"/>
      <c r="DM110" s="41"/>
      <c r="DN110" s="16"/>
      <c r="DO110" s="16"/>
      <c r="DP110" s="16"/>
      <c r="DQ110" s="16"/>
      <c r="DR110" s="16"/>
      <c r="DS110" s="16"/>
      <c r="DT110" s="16"/>
      <c r="DU110" s="16"/>
      <c r="DV110" s="16"/>
      <c r="DW110" s="78"/>
      <c r="DX110" s="79"/>
      <c r="DY110" s="41"/>
      <c r="DZ110" s="41"/>
      <c r="EA110" s="41"/>
      <c r="EB110" s="16"/>
      <c r="EC110" s="16"/>
      <c r="ED110" s="16"/>
      <c r="EE110" s="16"/>
      <c r="EF110" s="16"/>
      <c r="EG110" s="16"/>
      <c r="EH110" s="16"/>
      <c r="EI110" s="16"/>
      <c r="EJ110" s="16"/>
      <c r="EK110" s="78"/>
      <c r="EL110" s="79"/>
      <c r="EM110" s="16"/>
      <c r="EN110" s="16"/>
      <c r="EO110" s="16"/>
      <c r="EP110" s="16"/>
      <c r="EQ110" s="16"/>
      <c r="ER110" s="16"/>
      <c r="ES110" s="16"/>
      <c r="ET110" s="16"/>
      <c r="EU110" s="16"/>
      <c r="EV110" s="16"/>
      <c r="EW110" s="16"/>
      <c r="EX110" s="16"/>
      <c r="EY110" s="78"/>
      <c r="EZ110" s="79"/>
      <c r="FA110" s="16"/>
      <c r="FB110" s="16"/>
      <c r="FC110" s="16"/>
      <c r="FD110" s="16"/>
      <c r="FE110" s="16"/>
      <c r="FF110" s="16"/>
      <c r="FG110" s="16"/>
      <c r="FH110" s="16"/>
      <c r="FI110" s="16"/>
      <c r="FJ110" s="16"/>
      <c r="FK110" s="16"/>
      <c r="FM110" s="78"/>
      <c r="FN110" s="79"/>
      <c r="FO110" s="16"/>
      <c r="FP110" s="16"/>
      <c r="FQ110" s="16"/>
      <c r="FR110" s="16"/>
      <c r="FS110" s="16"/>
      <c r="FT110" s="16"/>
      <c r="FU110" s="16"/>
      <c r="FV110" s="16"/>
      <c r="FW110" s="16"/>
      <c r="FX110" s="16"/>
      <c r="FY110" s="16"/>
      <c r="GA110" s="78"/>
      <c r="GB110" s="79"/>
      <c r="GC110" s="16"/>
      <c r="GD110" s="16"/>
      <c r="GE110" s="16"/>
      <c r="GF110" s="16"/>
      <c r="GG110" s="16"/>
      <c r="GH110" s="16"/>
      <c r="GI110" s="16"/>
      <c r="GJ110" s="16"/>
      <c r="GK110" s="16"/>
      <c r="GL110" s="16"/>
      <c r="GM110" s="16"/>
    </row>
    <row r="111" spans="1:195" s="18" customFormat="1" ht="15" customHeight="1">
      <c r="A111" s="80">
        <v>2001</v>
      </c>
      <c r="B111" s="81" t="s">
        <v>45</v>
      </c>
      <c r="C111" s="15">
        <f t="shared" si="15"/>
        <v>0.93118026197241666</v>
      </c>
      <c r="D111" s="15">
        <f t="shared" si="16"/>
        <v>0.95011137432379877</v>
      </c>
      <c r="E111" s="15">
        <f t="shared" si="17"/>
        <v>0.98007484926190314</v>
      </c>
      <c r="F111" s="16"/>
      <c r="G111" s="33"/>
      <c r="H111" s="16">
        <v>28858</v>
      </c>
      <c r="I111" s="16">
        <f t="shared" si="22"/>
        <v>575</v>
      </c>
      <c r="J111" s="16">
        <v>28283</v>
      </c>
      <c r="K111" s="16">
        <v>26872</v>
      </c>
      <c r="L111" s="16">
        <f t="shared" si="23"/>
        <v>1411</v>
      </c>
      <c r="M111" s="16"/>
      <c r="N111" s="16"/>
      <c r="O111" s="80"/>
      <c r="P111" s="81"/>
      <c r="Q111" s="41"/>
      <c r="R111" s="41"/>
      <c r="S111" s="41"/>
      <c r="T111" s="16"/>
      <c r="U111" s="16"/>
      <c r="V111" s="16"/>
      <c r="W111" s="16"/>
      <c r="X111" s="16"/>
      <c r="Y111" s="16"/>
      <c r="Z111" s="16"/>
      <c r="AA111" s="16"/>
      <c r="AB111" s="16"/>
      <c r="AC111" s="80"/>
      <c r="AD111" s="81"/>
      <c r="AE111" s="41"/>
      <c r="AF111" s="41"/>
      <c r="AG111" s="41"/>
      <c r="AH111" s="41"/>
      <c r="AI111" s="41"/>
      <c r="AJ111" s="16"/>
      <c r="AK111" s="16"/>
      <c r="AL111" s="16"/>
      <c r="AM111" s="16"/>
      <c r="AN111" s="16"/>
      <c r="AO111" s="16"/>
      <c r="AP111" s="16"/>
      <c r="AQ111" s="80"/>
      <c r="AR111" s="81"/>
      <c r="AS111" s="41"/>
      <c r="AT111" s="41"/>
      <c r="AU111" s="41"/>
      <c r="AV111" s="16"/>
      <c r="AW111" s="16"/>
      <c r="AX111" s="16"/>
      <c r="AY111" s="16"/>
      <c r="AZ111" s="16"/>
      <c r="BA111" s="16"/>
      <c r="BB111" s="16"/>
      <c r="BC111" s="16"/>
      <c r="BD111" s="16"/>
      <c r="BE111" s="80"/>
      <c r="BF111" s="81"/>
      <c r="BG111" s="41"/>
      <c r="BH111" s="41"/>
      <c r="BI111" s="41"/>
      <c r="BJ111" s="16"/>
      <c r="BK111" s="16"/>
      <c r="BL111" s="16"/>
      <c r="BM111" s="16"/>
      <c r="BN111" s="16"/>
      <c r="BO111" s="16"/>
      <c r="BP111" s="16"/>
      <c r="BQ111" s="16"/>
      <c r="BR111" s="16"/>
      <c r="BS111" s="80"/>
      <c r="BT111" s="81"/>
      <c r="BU111" s="41"/>
      <c r="BV111" s="41"/>
      <c r="BW111" s="41"/>
      <c r="BX111" s="16"/>
      <c r="BY111" s="16"/>
      <c r="BZ111" s="16"/>
      <c r="CA111" s="16"/>
      <c r="CB111" s="16"/>
      <c r="CC111" s="16"/>
      <c r="CD111" s="16"/>
      <c r="CE111" s="16"/>
      <c r="CF111" s="16"/>
      <c r="CG111" s="80"/>
      <c r="CH111" s="81"/>
      <c r="CI111" s="41"/>
      <c r="CJ111" s="41"/>
      <c r="CK111" s="41"/>
      <c r="CL111" s="16"/>
      <c r="CM111" s="16"/>
      <c r="CN111" s="16"/>
      <c r="CO111" s="16"/>
      <c r="CP111" s="16"/>
      <c r="CQ111" s="16"/>
      <c r="CR111" s="16"/>
      <c r="CS111" s="16"/>
      <c r="CT111" s="16"/>
      <c r="CU111" s="80"/>
      <c r="CV111" s="81"/>
      <c r="CW111" s="41"/>
      <c r="CX111" s="41"/>
      <c r="CY111" s="41"/>
      <c r="CZ111" s="16"/>
      <c r="DA111" s="16"/>
      <c r="DB111" s="16"/>
      <c r="DC111" s="16"/>
      <c r="DD111" s="16"/>
      <c r="DE111" s="16"/>
      <c r="DF111" s="16"/>
      <c r="DG111" s="16"/>
      <c r="DH111" s="16"/>
      <c r="DI111" s="80"/>
      <c r="DJ111" s="81"/>
      <c r="DK111" s="41"/>
      <c r="DL111" s="41"/>
      <c r="DM111" s="41"/>
      <c r="DN111" s="16"/>
      <c r="DO111" s="16"/>
      <c r="DP111" s="16"/>
      <c r="DQ111" s="16"/>
      <c r="DR111" s="16"/>
      <c r="DS111" s="16"/>
      <c r="DT111" s="16"/>
      <c r="DU111" s="16"/>
      <c r="DV111" s="16"/>
      <c r="DW111" s="80"/>
      <c r="DX111" s="81"/>
      <c r="DY111" s="41"/>
      <c r="DZ111" s="41"/>
      <c r="EA111" s="41"/>
      <c r="EB111" s="16"/>
      <c r="EC111" s="16"/>
      <c r="ED111" s="16"/>
      <c r="EE111" s="16"/>
      <c r="EF111" s="16"/>
      <c r="EG111" s="16"/>
      <c r="EH111" s="16"/>
      <c r="EI111" s="16"/>
      <c r="EJ111" s="16"/>
      <c r="EK111" s="80"/>
      <c r="EL111" s="81"/>
      <c r="EM111" s="16"/>
      <c r="EN111" s="16"/>
      <c r="EO111" s="16"/>
      <c r="EP111" s="16"/>
      <c r="EQ111" s="16"/>
      <c r="ER111" s="16"/>
      <c r="ES111" s="16"/>
      <c r="ET111" s="16"/>
      <c r="EU111" s="16"/>
      <c r="EV111" s="16"/>
      <c r="EW111" s="16"/>
      <c r="EX111" s="16"/>
      <c r="EY111" s="80"/>
      <c r="EZ111" s="81"/>
      <c r="FA111" s="16"/>
      <c r="FB111" s="16"/>
      <c r="FC111" s="16"/>
      <c r="FD111" s="16"/>
      <c r="FE111" s="16"/>
      <c r="FF111" s="16"/>
      <c r="FG111" s="16"/>
      <c r="FH111" s="16"/>
      <c r="FI111" s="16"/>
      <c r="FJ111" s="16"/>
      <c r="FK111" s="16"/>
      <c r="FM111" s="80"/>
      <c r="FN111" s="81"/>
      <c r="FO111" s="16"/>
      <c r="FP111" s="16"/>
      <c r="FQ111" s="16"/>
      <c r="FR111" s="16"/>
      <c r="FS111" s="16"/>
      <c r="FT111" s="16"/>
      <c r="FU111" s="16"/>
      <c r="FV111" s="16"/>
      <c r="FW111" s="16"/>
      <c r="FX111" s="16"/>
      <c r="FY111" s="16"/>
      <c r="GA111" s="80"/>
      <c r="GB111" s="81"/>
      <c r="GC111" s="16"/>
      <c r="GD111" s="16"/>
      <c r="GE111" s="16"/>
      <c r="GF111" s="16"/>
      <c r="GG111" s="16"/>
      <c r="GH111" s="16"/>
      <c r="GI111" s="16"/>
      <c r="GJ111" s="16"/>
      <c r="GK111" s="16"/>
      <c r="GL111" s="16"/>
      <c r="GM111" s="16"/>
    </row>
    <row r="112" spans="1:195" s="18" customFormat="1" ht="15" customHeight="1">
      <c r="A112" s="78">
        <v>2001</v>
      </c>
      <c r="B112" s="79" t="s">
        <v>46</v>
      </c>
      <c r="C112" s="15">
        <f t="shared" si="15"/>
        <v>0.93559056798378204</v>
      </c>
      <c r="D112" s="15">
        <f t="shared" si="16"/>
        <v>0.95246026286252217</v>
      </c>
      <c r="E112" s="15">
        <f t="shared" si="17"/>
        <v>0.98228829533734041</v>
      </c>
      <c r="F112" s="16"/>
      <c r="G112" s="33"/>
      <c r="H112" s="16">
        <v>28117</v>
      </c>
      <c r="I112" s="16">
        <f t="shared" si="22"/>
        <v>498</v>
      </c>
      <c r="J112" s="16">
        <v>27619</v>
      </c>
      <c r="K112" s="16">
        <v>26306</v>
      </c>
      <c r="L112" s="16">
        <f t="shared" si="23"/>
        <v>1313</v>
      </c>
      <c r="M112" s="16"/>
      <c r="N112" s="16"/>
      <c r="O112" s="78"/>
      <c r="P112" s="79"/>
      <c r="Q112" s="41"/>
      <c r="R112" s="41"/>
      <c r="S112" s="41"/>
      <c r="T112" s="16"/>
      <c r="U112" s="16"/>
      <c r="V112" s="16"/>
      <c r="W112" s="16"/>
      <c r="X112" s="16"/>
      <c r="Y112" s="16"/>
      <c r="Z112" s="16"/>
      <c r="AA112" s="16"/>
      <c r="AB112" s="16"/>
      <c r="AC112" s="78"/>
      <c r="AD112" s="79"/>
      <c r="AE112" s="41"/>
      <c r="AF112" s="41"/>
      <c r="AG112" s="41"/>
      <c r="AH112" s="41"/>
      <c r="AI112" s="41"/>
      <c r="AJ112" s="16"/>
      <c r="AK112" s="16"/>
      <c r="AL112" s="16"/>
      <c r="AM112" s="16"/>
      <c r="AN112" s="16"/>
      <c r="AO112" s="16"/>
      <c r="AP112" s="16"/>
      <c r="AQ112" s="78"/>
      <c r="AR112" s="79"/>
      <c r="AS112" s="41"/>
      <c r="AT112" s="41"/>
      <c r="AU112" s="41"/>
      <c r="AV112" s="16"/>
      <c r="AW112" s="16"/>
      <c r="AX112" s="16"/>
      <c r="AY112" s="16"/>
      <c r="AZ112" s="16"/>
      <c r="BA112" s="16"/>
      <c r="BB112" s="16"/>
      <c r="BC112" s="16"/>
      <c r="BD112" s="16"/>
      <c r="BE112" s="78"/>
      <c r="BF112" s="79"/>
      <c r="BG112" s="41"/>
      <c r="BH112" s="41"/>
      <c r="BI112" s="41"/>
      <c r="BJ112" s="16"/>
      <c r="BK112" s="16"/>
      <c r="BL112" s="16"/>
      <c r="BM112" s="16"/>
      <c r="BN112" s="16"/>
      <c r="BO112" s="16"/>
      <c r="BP112" s="16"/>
      <c r="BQ112" s="16"/>
      <c r="BR112" s="16"/>
      <c r="BS112" s="78"/>
      <c r="BT112" s="79"/>
      <c r="BU112" s="41"/>
      <c r="BV112" s="41"/>
      <c r="BW112" s="41"/>
      <c r="BX112" s="16"/>
      <c r="BY112" s="16"/>
      <c r="BZ112" s="16"/>
      <c r="CA112" s="16"/>
      <c r="CB112" s="16"/>
      <c r="CC112" s="16"/>
      <c r="CD112" s="16"/>
      <c r="CE112" s="16"/>
      <c r="CF112" s="16"/>
      <c r="CG112" s="78"/>
      <c r="CH112" s="79"/>
      <c r="CI112" s="41"/>
      <c r="CJ112" s="41"/>
      <c r="CK112" s="41"/>
      <c r="CL112" s="16"/>
      <c r="CM112" s="16"/>
      <c r="CN112" s="16"/>
      <c r="CO112" s="16"/>
      <c r="CP112" s="16"/>
      <c r="CQ112" s="16"/>
      <c r="CR112" s="16"/>
      <c r="CS112" s="16"/>
      <c r="CT112" s="16"/>
      <c r="CU112" s="78"/>
      <c r="CV112" s="79"/>
      <c r="CW112" s="41"/>
      <c r="CX112" s="41"/>
      <c r="CY112" s="41"/>
      <c r="CZ112" s="16"/>
      <c r="DA112" s="16"/>
      <c r="DB112" s="16"/>
      <c r="DC112" s="16"/>
      <c r="DD112" s="16"/>
      <c r="DE112" s="16"/>
      <c r="DF112" s="16"/>
      <c r="DG112" s="16"/>
      <c r="DH112" s="16"/>
      <c r="DI112" s="78"/>
      <c r="DJ112" s="79"/>
      <c r="DK112" s="41"/>
      <c r="DL112" s="41"/>
      <c r="DM112" s="41"/>
      <c r="DN112" s="16"/>
      <c r="DO112" s="16"/>
      <c r="DP112" s="16"/>
      <c r="DQ112" s="16"/>
      <c r="DR112" s="16"/>
      <c r="DS112" s="16"/>
      <c r="DT112" s="16"/>
      <c r="DU112" s="16"/>
      <c r="DV112" s="16"/>
      <c r="DW112" s="78"/>
      <c r="DX112" s="79"/>
      <c r="DY112" s="41"/>
      <c r="DZ112" s="41"/>
      <c r="EA112" s="41"/>
      <c r="EB112" s="16"/>
      <c r="EC112" s="16"/>
      <c r="ED112" s="16"/>
      <c r="EE112" s="16"/>
      <c r="EF112" s="16"/>
      <c r="EG112" s="16"/>
      <c r="EH112" s="16"/>
      <c r="EI112" s="16"/>
      <c r="EJ112" s="16"/>
      <c r="EK112" s="78"/>
      <c r="EL112" s="79"/>
      <c r="EM112" s="16"/>
      <c r="EN112" s="16"/>
      <c r="EO112" s="16"/>
      <c r="EP112" s="16"/>
      <c r="EQ112" s="16"/>
      <c r="ER112" s="16"/>
      <c r="ES112" s="16"/>
      <c r="ET112" s="16"/>
      <c r="EU112" s="16"/>
      <c r="EV112" s="16"/>
      <c r="EW112" s="16"/>
      <c r="EX112" s="16"/>
      <c r="EY112" s="78"/>
      <c r="EZ112" s="79"/>
      <c r="FA112" s="16"/>
      <c r="FB112" s="16"/>
      <c r="FC112" s="16"/>
      <c r="FD112" s="16"/>
      <c r="FE112" s="16"/>
      <c r="FF112" s="16"/>
      <c r="FG112" s="16"/>
      <c r="FH112" s="16"/>
      <c r="FI112" s="16"/>
      <c r="FJ112" s="16"/>
      <c r="FK112" s="16"/>
      <c r="FM112" s="78"/>
      <c r="FN112" s="79"/>
      <c r="FO112" s="16"/>
      <c r="FP112" s="16"/>
      <c r="FQ112" s="16"/>
      <c r="FR112" s="16"/>
      <c r="FS112" s="16"/>
      <c r="FT112" s="16"/>
      <c r="FU112" s="16"/>
      <c r="FV112" s="16"/>
      <c r="FW112" s="16"/>
      <c r="FX112" s="16"/>
      <c r="FY112" s="16"/>
      <c r="GA112" s="78"/>
      <c r="GB112" s="79"/>
      <c r="GC112" s="16"/>
      <c r="GD112" s="16"/>
      <c r="GE112" s="16"/>
      <c r="GF112" s="16"/>
      <c r="GG112" s="16"/>
      <c r="GH112" s="16"/>
      <c r="GI112" s="16"/>
      <c r="GJ112" s="16"/>
      <c r="GK112" s="16"/>
      <c r="GL112" s="16"/>
      <c r="GM112" s="16"/>
    </row>
    <row r="113" spans="1:195" s="18" customFormat="1" ht="15" customHeight="1">
      <c r="A113" s="80">
        <v>2001</v>
      </c>
      <c r="B113" s="81" t="s">
        <v>47</v>
      </c>
      <c r="C113" s="15">
        <f t="shared" si="15"/>
        <v>0.83734895909157081</v>
      </c>
      <c r="D113" s="15">
        <f t="shared" si="16"/>
        <v>0.95926450967311538</v>
      </c>
      <c r="E113" s="15">
        <f t="shared" si="17"/>
        <v>0.87290726452176448</v>
      </c>
      <c r="F113" s="16"/>
      <c r="G113" s="33"/>
      <c r="H113" s="16">
        <v>27476</v>
      </c>
      <c r="I113" s="16">
        <f t="shared" si="22"/>
        <v>3492</v>
      </c>
      <c r="J113" s="16">
        <v>23984</v>
      </c>
      <c r="K113" s="16">
        <v>23007</v>
      </c>
      <c r="L113" s="16">
        <f t="shared" si="23"/>
        <v>977</v>
      </c>
      <c r="M113" s="16"/>
      <c r="N113" s="16"/>
      <c r="O113" s="80"/>
      <c r="P113" s="81"/>
      <c r="Q113" s="41"/>
      <c r="R113" s="41"/>
      <c r="S113" s="41"/>
      <c r="T113" s="16"/>
      <c r="U113" s="16"/>
      <c r="V113" s="16"/>
      <c r="W113" s="16"/>
      <c r="X113" s="16"/>
      <c r="Y113" s="16"/>
      <c r="Z113" s="16"/>
      <c r="AA113" s="16"/>
      <c r="AB113" s="16"/>
      <c r="AC113" s="80"/>
      <c r="AD113" s="81"/>
      <c r="AE113" s="41"/>
      <c r="AF113" s="41"/>
      <c r="AG113" s="41"/>
      <c r="AH113" s="41"/>
      <c r="AI113" s="41"/>
      <c r="AJ113" s="16"/>
      <c r="AK113" s="16"/>
      <c r="AL113" s="16"/>
      <c r="AM113" s="16"/>
      <c r="AN113" s="16"/>
      <c r="AO113" s="16"/>
      <c r="AP113" s="16"/>
      <c r="AQ113" s="80"/>
      <c r="AR113" s="81"/>
      <c r="AS113" s="41"/>
      <c r="AT113" s="41"/>
      <c r="AU113" s="41"/>
      <c r="AV113" s="16"/>
      <c r="AW113" s="16"/>
      <c r="AX113" s="16"/>
      <c r="AY113" s="16"/>
      <c r="AZ113" s="16"/>
      <c r="BA113" s="16"/>
      <c r="BB113" s="16"/>
      <c r="BC113" s="16"/>
      <c r="BD113" s="16"/>
      <c r="BE113" s="80"/>
      <c r="BF113" s="81"/>
      <c r="BG113" s="41"/>
      <c r="BH113" s="41"/>
      <c r="BI113" s="41"/>
      <c r="BJ113" s="16"/>
      <c r="BK113" s="16"/>
      <c r="BL113" s="16"/>
      <c r="BM113" s="16"/>
      <c r="BN113" s="16"/>
      <c r="BO113" s="16"/>
      <c r="BP113" s="16"/>
      <c r="BQ113" s="16"/>
      <c r="BR113" s="16"/>
      <c r="BS113" s="80"/>
      <c r="BT113" s="81"/>
      <c r="BU113" s="41"/>
      <c r="BV113" s="41"/>
      <c r="BW113" s="41"/>
      <c r="BX113" s="16"/>
      <c r="BY113" s="16"/>
      <c r="BZ113" s="16"/>
      <c r="CA113" s="16"/>
      <c r="CB113" s="16"/>
      <c r="CC113" s="16"/>
      <c r="CD113" s="16"/>
      <c r="CE113" s="16"/>
      <c r="CF113" s="16"/>
      <c r="CG113" s="80"/>
      <c r="CH113" s="81"/>
      <c r="CI113" s="41"/>
      <c r="CJ113" s="41"/>
      <c r="CK113" s="41"/>
      <c r="CL113" s="16"/>
      <c r="CM113" s="16"/>
      <c r="CN113" s="16"/>
      <c r="CO113" s="16"/>
      <c r="CP113" s="16"/>
      <c r="CQ113" s="16"/>
      <c r="CR113" s="16"/>
      <c r="CS113" s="16"/>
      <c r="CT113" s="16"/>
      <c r="CU113" s="80"/>
      <c r="CV113" s="81"/>
      <c r="CW113" s="41"/>
      <c r="CX113" s="41"/>
      <c r="CY113" s="41"/>
      <c r="CZ113" s="16"/>
      <c r="DA113" s="16"/>
      <c r="DB113" s="16"/>
      <c r="DC113" s="16"/>
      <c r="DD113" s="16"/>
      <c r="DE113" s="16"/>
      <c r="DF113" s="16"/>
      <c r="DG113" s="16"/>
      <c r="DH113" s="16"/>
      <c r="DI113" s="80"/>
      <c r="DJ113" s="81"/>
      <c r="DK113" s="41"/>
      <c r="DL113" s="41"/>
      <c r="DM113" s="41"/>
      <c r="DN113" s="16"/>
      <c r="DO113" s="16"/>
      <c r="DP113" s="16"/>
      <c r="DQ113" s="16"/>
      <c r="DR113" s="16"/>
      <c r="DS113" s="16"/>
      <c r="DT113" s="16"/>
      <c r="DU113" s="16"/>
      <c r="DV113" s="16"/>
      <c r="DW113" s="80"/>
      <c r="DX113" s="81"/>
      <c r="DY113" s="41"/>
      <c r="DZ113" s="41"/>
      <c r="EA113" s="41"/>
      <c r="EB113" s="16"/>
      <c r="EC113" s="16"/>
      <c r="ED113" s="16"/>
      <c r="EE113" s="16"/>
      <c r="EF113" s="16"/>
      <c r="EG113" s="16"/>
      <c r="EH113" s="16"/>
      <c r="EI113" s="16"/>
      <c r="EJ113" s="16"/>
      <c r="EK113" s="80"/>
      <c r="EL113" s="81"/>
      <c r="EM113" s="16"/>
      <c r="EN113" s="16"/>
      <c r="EO113" s="16"/>
      <c r="EP113" s="16"/>
      <c r="EQ113" s="16"/>
      <c r="ER113" s="16"/>
      <c r="ES113" s="16"/>
      <c r="ET113" s="16"/>
      <c r="EU113" s="16"/>
      <c r="EV113" s="16"/>
      <c r="EW113" s="16"/>
      <c r="EX113" s="16"/>
      <c r="EY113" s="80"/>
      <c r="EZ113" s="81"/>
      <c r="FA113" s="16"/>
      <c r="FB113" s="16"/>
      <c r="FC113" s="16"/>
      <c r="FD113" s="16"/>
      <c r="FE113" s="16"/>
      <c r="FF113" s="16"/>
      <c r="FG113" s="16"/>
      <c r="FH113" s="16"/>
      <c r="FI113" s="16"/>
      <c r="FJ113" s="16"/>
      <c r="FK113" s="16"/>
      <c r="FM113" s="80"/>
      <c r="FN113" s="81"/>
      <c r="FO113" s="16"/>
      <c r="FP113" s="16"/>
      <c r="FQ113" s="16"/>
      <c r="FR113" s="16"/>
      <c r="FS113" s="16"/>
      <c r="FT113" s="16"/>
      <c r="FU113" s="16"/>
      <c r="FV113" s="16"/>
      <c r="FW113" s="16"/>
      <c r="FX113" s="16"/>
      <c r="FY113" s="16"/>
      <c r="GA113" s="80"/>
      <c r="GB113" s="81"/>
      <c r="GC113" s="16"/>
      <c r="GD113" s="16"/>
      <c r="GE113" s="16"/>
      <c r="GF113" s="16"/>
      <c r="GG113" s="16"/>
      <c r="GH113" s="16"/>
      <c r="GI113" s="16"/>
      <c r="GJ113" s="16"/>
      <c r="GK113" s="16"/>
      <c r="GL113" s="16"/>
      <c r="GM113" s="16"/>
    </row>
    <row r="114" spans="1:195" s="18" customFormat="1" ht="15" customHeight="1">
      <c r="A114" s="78">
        <v>2002</v>
      </c>
      <c r="B114" s="79" t="s">
        <v>36</v>
      </c>
      <c r="C114" s="15">
        <f t="shared" si="15"/>
        <v>0.9476510544471709</v>
      </c>
      <c r="D114" s="15">
        <f t="shared" si="16"/>
        <v>0.95897362075790837</v>
      </c>
      <c r="E114" s="15">
        <f t="shared" si="17"/>
        <v>0.98819303673672609</v>
      </c>
      <c r="F114" s="16"/>
      <c r="G114" s="33"/>
      <c r="H114" s="16">
        <v>28119</v>
      </c>
      <c r="I114" s="16">
        <f t="shared" ref="I114:I125" si="24">H114-J114</f>
        <v>332</v>
      </c>
      <c r="J114" s="16">
        <v>27787</v>
      </c>
      <c r="K114" s="16">
        <v>26647</v>
      </c>
      <c r="L114" s="16">
        <f t="shared" ref="L114:L125" si="25">J114-K114</f>
        <v>1140</v>
      </c>
      <c r="M114" s="16"/>
      <c r="N114" s="16"/>
      <c r="O114" s="78"/>
      <c r="P114" s="79"/>
      <c r="Q114" s="41"/>
      <c r="R114" s="41"/>
      <c r="S114" s="41"/>
      <c r="T114" s="16"/>
      <c r="U114" s="16"/>
      <c r="V114" s="16"/>
      <c r="W114" s="16"/>
      <c r="X114" s="16"/>
      <c r="Y114" s="16"/>
      <c r="Z114" s="16"/>
      <c r="AA114" s="16"/>
      <c r="AB114" s="16"/>
      <c r="AC114" s="78"/>
      <c r="AD114" s="79"/>
      <c r="AE114" s="41"/>
      <c r="AF114" s="41"/>
      <c r="AG114" s="41"/>
      <c r="AH114" s="41"/>
      <c r="AI114" s="41"/>
      <c r="AJ114" s="16"/>
      <c r="AK114" s="16"/>
      <c r="AL114" s="16"/>
      <c r="AM114" s="16"/>
      <c r="AN114" s="16"/>
      <c r="AO114" s="16"/>
      <c r="AP114" s="16"/>
      <c r="AQ114" s="78"/>
      <c r="AR114" s="79"/>
      <c r="AS114" s="41"/>
      <c r="AT114" s="41"/>
      <c r="AU114" s="41"/>
      <c r="AV114" s="16"/>
      <c r="AW114" s="16"/>
      <c r="AX114" s="16"/>
      <c r="AY114" s="16"/>
      <c r="AZ114" s="16"/>
      <c r="BA114" s="16"/>
      <c r="BB114" s="16"/>
      <c r="BC114" s="16"/>
      <c r="BD114" s="16"/>
      <c r="BE114" s="78"/>
      <c r="BF114" s="79"/>
      <c r="BG114" s="41"/>
      <c r="BH114" s="41"/>
      <c r="BI114" s="41"/>
      <c r="BJ114" s="16"/>
      <c r="BK114" s="16"/>
      <c r="BL114" s="16"/>
      <c r="BM114" s="16"/>
      <c r="BN114" s="16"/>
      <c r="BO114" s="16"/>
      <c r="BP114" s="16"/>
      <c r="BQ114" s="16"/>
      <c r="BR114" s="16"/>
      <c r="BS114" s="78"/>
      <c r="BT114" s="79"/>
      <c r="BU114" s="41"/>
      <c r="BV114" s="41"/>
      <c r="BW114" s="41"/>
      <c r="BX114" s="16"/>
      <c r="BY114" s="16"/>
      <c r="BZ114" s="16"/>
      <c r="CA114" s="16"/>
      <c r="CB114" s="16"/>
      <c r="CC114" s="16"/>
      <c r="CD114" s="16"/>
      <c r="CE114" s="16"/>
      <c r="CF114" s="16"/>
      <c r="CG114" s="78"/>
      <c r="CH114" s="79"/>
      <c r="CI114" s="41"/>
      <c r="CJ114" s="41"/>
      <c r="CK114" s="41"/>
      <c r="CL114" s="16"/>
      <c r="CM114" s="16"/>
      <c r="CN114" s="16"/>
      <c r="CO114" s="16"/>
      <c r="CP114" s="16"/>
      <c r="CQ114" s="16"/>
      <c r="CR114" s="16"/>
      <c r="CS114" s="16"/>
      <c r="CT114" s="16"/>
      <c r="CU114" s="78"/>
      <c r="CV114" s="79"/>
      <c r="CW114" s="41"/>
      <c r="CX114" s="41"/>
      <c r="CY114" s="41"/>
      <c r="CZ114" s="16"/>
      <c r="DA114" s="16"/>
      <c r="DB114" s="16"/>
      <c r="DC114" s="16"/>
      <c r="DD114" s="16"/>
      <c r="DE114" s="16"/>
      <c r="DF114" s="16"/>
      <c r="DG114" s="16"/>
      <c r="DH114" s="16"/>
      <c r="DI114" s="78"/>
      <c r="DJ114" s="79"/>
      <c r="DK114" s="41"/>
      <c r="DL114" s="41"/>
      <c r="DM114" s="41"/>
      <c r="DN114" s="16"/>
      <c r="DO114" s="16"/>
      <c r="DP114" s="16"/>
      <c r="DQ114" s="16"/>
      <c r="DR114" s="16"/>
      <c r="DS114" s="16"/>
      <c r="DT114" s="16"/>
      <c r="DU114" s="16"/>
      <c r="DV114" s="16"/>
      <c r="DW114" s="78"/>
      <c r="DX114" s="79"/>
      <c r="DY114" s="41"/>
      <c r="DZ114" s="41"/>
      <c r="EA114" s="41"/>
      <c r="EB114" s="16"/>
      <c r="EC114" s="16"/>
      <c r="ED114" s="16"/>
      <c r="EE114" s="16"/>
      <c r="EF114" s="16"/>
      <c r="EG114" s="16"/>
      <c r="EH114" s="16"/>
      <c r="EI114" s="16"/>
      <c r="EJ114" s="16"/>
      <c r="EK114" s="78"/>
      <c r="EL114" s="79"/>
      <c r="EM114" s="16"/>
      <c r="EN114" s="16"/>
      <c r="EO114" s="16"/>
      <c r="EP114" s="16"/>
      <c r="EQ114" s="16"/>
      <c r="ER114" s="16"/>
      <c r="ES114" s="16"/>
      <c r="ET114" s="16"/>
      <c r="EU114" s="16"/>
      <c r="EV114" s="16"/>
      <c r="EW114" s="16"/>
      <c r="EX114" s="16"/>
      <c r="EY114" s="78"/>
      <c r="EZ114" s="79"/>
      <c r="FA114" s="16"/>
      <c r="FB114" s="16"/>
      <c r="FC114" s="16"/>
      <c r="FD114" s="16"/>
      <c r="FE114" s="16"/>
      <c r="FF114" s="16"/>
      <c r="FG114" s="16"/>
      <c r="FH114" s="16"/>
      <c r="FI114" s="16"/>
      <c r="FJ114" s="16"/>
      <c r="FK114" s="16"/>
      <c r="FM114" s="78"/>
      <c r="FN114" s="79"/>
      <c r="FO114" s="16"/>
      <c r="FP114" s="16"/>
      <c r="FQ114" s="16"/>
      <c r="FR114" s="16"/>
      <c r="FS114" s="16"/>
      <c r="FT114" s="16"/>
      <c r="FU114" s="16"/>
      <c r="FV114" s="16"/>
      <c r="FW114" s="16"/>
      <c r="FX114" s="16"/>
      <c r="FY114" s="16"/>
      <c r="GA114" s="78"/>
      <c r="GB114" s="79"/>
      <c r="GC114" s="16"/>
      <c r="GD114" s="16"/>
      <c r="GE114" s="16"/>
      <c r="GF114" s="16"/>
      <c r="GG114" s="16"/>
      <c r="GH114" s="16"/>
      <c r="GI114" s="16"/>
      <c r="GJ114" s="16"/>
      <c r="GK114" s="16"/>
      <c r="GL114" s="16"/>
      <c r="GM114" s="16"/>
    </row>
    <row r="115" spans="1:195" s="18" customFormat="1" ht="15" customHeight="1">
      <c r="A115" s="80">
        <v>2002</v>
      </c>
      <c r="B115" s="81" t="s">
        <v>37</v>
      </c>
      <c r="C115" s="15">
        <f t="shared" si="15"/>
        <v>0.92269010629599346</v>
      </c>
      <c r="D115" s="15">
        <f t="shared" si="16"/>
        <v>0.94831715618303292</v>
      </c>
      <c r="E115" s="15">
        <f t="shared" si="17"/>
        <v>0.97297628781684387</v>
      </c>
      <c r="F115" s="16"/>
      <c r="G115" s="33"/>
      <c r="H115" s="16">
        <v>24460</v>
      </c>
      <c r="I115" s="16">
        <f t="shared" si="24"/>
        <v>661</v>
      </c>
      <c r="J115" s="16">
        <v>23799</v>
      </c>
      <c r="K115" s="16">
        <v>22569</v>
      </c>
      <c r="L115" s="16">
        <f t="shared" si="25"/>
        <v>1230</v>
      </c>
      <c r="M115" s="16"/>
      <c r="N115" s="16"/>
      <c r="O115" s="80"/>
      <c r="P115" s="81"/>
      <c r="Q115" s="41"/>
      <c r="R115" s="41"/>
      <c r="S115" s="41"/>
      <c r="T115" s="16"/>
      <c r="U115" s="16"/>
      <c r="V115" s="16"/>
      <c r="W115" s="16"/>
      <c r="X115" s="16"/>
      <c r="Y115" s="16"/>
      <c r="Z115" s="16"/>
      <c r="AA115" s="16"/>
      <c r="AB115" s="16"/>
      <c r="AC115" s="80"/>
      <c r="AD115" s="81"/>
      <c r="AE115" s="41"/>
      <c r="AF115" s="41"/>
      <c r="AG115" s="41"/>
      <c r="AH115" s="41"/>
      <c r="AI115" s="41"/>
      <c r="AJ115" s="16"/>
      <c r="AK115" s="16"/>
      <c r="AL115" s="16"/>
      <c r="AM115" s="16"/>
      <c r="AN115" s="16"/>
      <c r="AO115" s="16"/>
      <c r="AP115" s="16"/>
      <c r="AQ115" s="80"/>
      <c r="AR115" s="81"/>
      <c r="AS115" s="41"/>
      <c r="AT115" s="41"/>
      <c r="AU115" s="41"/>
      <c r="AV115" s="16"/>
      <c r="AW115" s="16"/>
      <c r="AX115" s="16"/>
      <c r="AY115" s="16"/>
      <c r="AZ115" s="16"/>
      <c r="BA115" s="16"/>
      <c r="BB115" s="16"/>
      <c r="BC115" s="16"/>
      <c r="BD115" s="16"/>
      <c r="BE115" s="80"/>
      <c r="BF115" s="81"/>
      <c r="BG115" s="41"/>
      <c r="BH115" s="41"/>
      <c r="BI115" s="41"/>
      <c r="BJ115" s="16"/>
      <c r="BK115" s="16"/>
      <c r="BL115" s="16"/>
      <c r="BM115" s="16"/>
      <c r="BN115" s="16"/>
      <c r="BO115" s="16"/>
      <c r="BP115" s="16"/>
      <c r="BQ115" s="16"/>
      <c r="BR115" s="16"/>
      <c r="BS115" s="80"/>
      <c r="BT115" s="81"/>
      <c r="BU115" s="41"/>
      <c r="BV115" s="41"/>
      <c r="BW115" s="41"/>
      <c r="BX115" s="16"/>
      <c r="BY115" s="16"/>
      <c r="BZ115" s="16"/>
      <c r="CA115" s="16"/>
      <c r="CB115" s="16"/>
      <c r="CC115" s="16"/>
      <c r="CD115" s="16"/>
      <c r="CE115" s="16"/>
      <c r="CF115" s="16"/>
      <c r="CG115" s="80"/>
      <c r="CH115" s="81"/>
      <c r="CI115" s="41"/>
      <c r="CJ115" s="41"/>
      <c r="CK115" s="41"/>
      <c r="CL115" s="16"/>
      <c r="CM115" s="16"/>
      <c r="CN115" s="16"/>
      <c r="CO115" s="16"/>
      <c r="CP115" s="16"/>
      <c r="CQ115" s="16"/>
      <c r="CR115" s="16"/>
      <c r="CS115" s="16"/>
      <c r="CT115" s="16"/>
      <c r="CU115" s="80"/>
      <c r="CV115" s="81"/>
      <c r="CW115" s="41"/>
      <c r="CX115" s="41"/>
      <c r="CY115" s="41"/>
      <c r="CZ115" s="16"/>
      <c r="DA115" s="16"/>
      <c r="DB115" s="16"/>
      <c r="DC115" s="16"/>
      <c r="DD115" s="16"/>
      <c r="DE115" s="16"/>
      <c r="DF115" s="16"/>
      <c r="DG115" s="16"/>
      <c r="DH115" s="16"/>
      <c r="DI115" s="80"/>
      <c r="DJ115" s="81"/>
      <c r="DK115" s="41"/>
      <c r="DL115" s="41"/>
      <c r="DM115" s="41"/>
      <c r="DN115" s="16"/>
      <c r="DO115" s="16"/>
      <c r="DP115" s="16"/>
      <c r="DQ115" s="16"/>
      <c r="DR115" s="16"/>
      <c r="DS115" s="16"/>
      <c r="DT115" s="16"/>
      <c r="DU115" s="16"/>
      <c r="DV115" s="16"/>
      <c r="DW115" s="80"/>
      <c r="DX115" s="81"/>
      <c r="DY115" s="41"/>
      <c r="DZ115" s="41"/>
      <c r="EA115" s="41"/>
      <c r="EB115" s="16"/>
      <c r="EC115" s="16"/>
      <c r="ED115" s="16"/>
      <c r="EE115" s="16"/>
      <c r="EF115" s="16"/>
      <c r="EG115" s="16"/>
      <c r="EH115" s="16"/>
      <c r="EI115" s="16"/>
      <c r="EJ115" s="16"/>
      <c r="EK115" s="80"/>
      <c r="EL115" s="81"/>
      <c r="EM115" s="16"/>
      <c r="EN115" s="16"/>
      <c r="EO115" s="16"/>
      <c r="EP115" s="16"/>
      <c r="EQ115" s="16"/>
      <c r="ER115" s="16"/>
      <c r="ES115" s="16"/>
      <c r="ET115" s="16"/>
      <c r="EU115" s="16"/>
      <c r="EV115" s="16"/>
      <c r="EW115" s="16"/>
      <c r="EX115" s="16"/>
      <c r="EY115" s="80"/>
      <c r="EZ115" s="81"/>
      <c r="FA115" s="16"/>
      <c r="FB115" s="16"/>
      <c r="FC115" s="16"/>
      <c r="FD115" s="16"/>
      <c r="FE115" s="16"/>
      <c r="FF115" s="16"/>
      <c r="FG115" s="16"/>
      <c r="FH115" s="16"/>
      <c r="FI115" s="16"/>
      <c r="FJ115" s="16"/>
      <c r="FK115" s="16"/>
      <c r="FM115" s="80"/>
      <c r="FN115" s="81"/>
      <c r="FO115" s="16"/>
      <c r="FP115" s="16"/>
      <c r="FQ115" s="16"/>
      <c r="FR115" s="16"/>
      <c r="FS115" s="16"/>
      <c r="FT115" s="16"/>
      <c r="FU115" s="16"/>
      <c r="FV115" s="16"/>
      <c r="FW115" s="16"/>
      <c r="FX115" s="16"/>
      <c r="FY115" s="16"/>
      <c r="GA115" s="80"/>
      <c r="GB115" s="81"/>
      <c r="GC115" s="16"/>
      <c r="GD115" s="16"/>
      <c r="GE115" s="16"/>
      <c r="GF115" s="16"/>
      <c r="GG115" s="16"/>
      <c r="GH115" s="16"/>
      <c r="GI115" s="16"/>
      <c r="GJ115" s="16"/>
      <c r="GK115" s="16"/>
      <c r="GL115" s="16"/>
      <c r="GM115" s="16"/>
    </row>
    <row r="116" spans="1:195" s="18" customFormat="1" ht="15" customHeight="1">
      <c r="A116" s="78">
        <v>2002</v>
      </c>
      <c r="B116" s="79" t="s">
        <v>38</v>
      </c>
      <c r="C116" s="15">
        <f t="shared" si="15"/>
        <v>0.89254976303317535</v>
      </c>
      <c r="D116" s="15">
        <f t="shared" si="16"/>
        <v>0.91645579475999528</v>
      </c>
      <c r="E116" s="15">
        <f t="shared" si="17"/>
        <v>0.97391469194312796</v>
      </c>
      <c r="F116" s="16"/>
      <c r="G116" s="33"/>
      <c r="H116" s="16">
        <v>26375</v>
      </c>
      <c r="I116" s="16">
        <f t="shared" si="24"/>
        <v>688</v>
      </c>
      <c r="J116" s="16">
        <v>25687</v>
      </c>
      <c r="K116" s="16">
        <v>23541</v>
      </c>
      <c r="L116" s="16">
        <f t="shared" si="25"/>
        <v>2146</v>
      </c>
      <c r="M116" s="16"/>
      <c r="N116" s="16"/>
      <c r="O116" s="78"/>
      <c r="P116" s="79"/>
      <c r="Q116" s="41"/>
      <c r="R116" s="41"/>
      <c r="S116" s="41"/>
      <c r="T116" s="16"/>
      <c r="U116" s="16"/>
      <c r="V116" s="16"/>
      <c r="W116" s="16"/>
      <c r="X116" s="16"/>
      <c r="Y116" s="16"/>
      <c r="Z116" s="16"/>
      <c r="AA116" s="16"/>
      <c r="AB116" s="16"/>
      <c r="AC116" s="78"/>
      <c r="AD116" s="79"/>
      <c r="AE116" s="41"/>
      <c r="AF116" s="41"/>
      <c r="AG116" s="41"/>
      <c r="AH116" s="41"/>
      <c r="AI116" s="41"/>
      <c r="AJ116" s="16"/>
      <c r="AK116" s="16"/>
      <c r="AL116" s="16"/>
      <c r="AM116" s="16"/>
      <c r="AN116" s="16"/>
      <c r="AO116" s="16"/>
      <c r="AP116" s="16"/>
      <c r="AQ116" s="78"/>
      <c r="AR116" s="79"/>
      <c r="AS116" s="41"/>
      <c r="AT116" s="41"/>
      <c r="AU116" s="41"/>
      <c r="AV116" s="16"/>
      <c r="AW116" s="16"/>
      <c r="AX116" s="16"/>
      <c r="AY116" s="16"/>
      <c r="AZ116" s="16"/>
      <c r="BA116" s="16"/>
      <c r="BB116" s="16"/>
      <c r="BC116" s="16"/>
      <c r="BD116" s="16"/>
      <c r="BE116" s="78"/>
      <c r="BF116" s="79"/>
      <c r="BG116" s="41"/>
      <c r="BH116" s="41"/>
      <c r="BI116" s="41"/>
      <c r="BJ116" s="16"/>
      <c r="BK116" s="16"/>
      <c r="BL116" s="16"/>
      <c r="BM116" s="16"/>
      <c r="BN116" s="16"/>
      <c r="BO116" s="16"/>
      <c r="BP116" s="16"/>
      <c r="BQ116" s="16"/>
      <c r="BR116" s="16"/>
      <c r="BS116" s="78"/>
      <c r="BT116" s="79"/>
      <c r="BU116" s="41"/>
      <c r="BV116" s="41"/>
      <c r="BW116" s="41"/>
      <c r="BX116" s="16"/>
      <c r="BY116" s="16"/>
      <c r="BZ116" s="16"/>
      <c r="CA116" s="16"/>
      <c r="CB116" s="16"/>
      <c r="CC116" s="16"/>
      <c r="CD116" s="16"/>
      <c r="CE116" s="16"/>
      <c r="CF116" s="16"/>
      <c r="CG116" s="78"/>
      <c r="CH116" s="79"/>
      <c r="CI116" s="41"/>
      <c r="CJ116" s="41"/>
      <c r="CK116" s="41"/>
      <c r="CL116" s="16"/>
      <c r="CM116" s="16"/>
      <c r="CN116" s="16"/>
      <c r="CO116" s="16"/>
      <c r="CP116" s="16"/>
      <c r="CQ116" s="16"/>
      <c r="CR116" s="16"/>
      <c r="CS116" s="16"/>
      <c r="CT116" s="16"/>
      <c r="CU116" s="78"/>
      <c r="CV116" s="79"/>
      <c r="CW116" s="41"/>
      <c r="CX116" s="41"/>
      <c r="CY116" s="41"/>
      <c r="CZ116" s="16"/>
      <c r="DA116" s="16"/>
      <c r="DB116" s="16"/>
      <c r="DC116" s="16"/>
      <c r="DD116" s="16"/>
      <c r="DE116" s="16"/>
      <c r="DF116" s="16"/>
      <c r="DG116" s="16"/>
      <c r="DH116" s="16"/>
      <c r="DI116" s="78"/>
      <c r="DJ116" s="79"/>
      <c r="DK116" s="41"/>
      <c r="DL116" s="41"/>
      <c r="DM116" s="41"/>
      <c r="DN116" s="16"/>
      <c r="DO116" s="16"/>
      <c r="DP116" s="16"/>
      <c r="DQ116" s="16"/>
      <c r="DR116" s="16"/>
      <c r="DS116" s="16"/>
      <c r="DT116" s="16"/>
      <c r="DU116" s="16"/>
      <c r="DV116" s="16"/>
      <c r="DW116" s="78"/>
      <c r="DX116" s="79"/>
      <c r="DY116" s="41"/>
      <c r="DZ116" s="41"/>
      <c r="EA116" s="41"/>
      <c r="EB116" s="16"/>
      <c r="EC116" s="16"/>
      <c r="ED116" s="16"/>
      <c r="EE116" s="16"/>
      <c r="EF116" s="16"/>
      <c r="EG116" s="16"/>
      <c r="EH116" s="16"/>
      <c r="EI116" s="16"/>
      <c r="EJ116" s="16"/>
      <c r="EK116" s="78"/>
      <c r="EL116" s="79"/>
      <c r="EM116" s="16"/>
      <c r="EN116" s="16"/>
      <c r="EO116" s="16"/>
      <c r="EP116" s="16"/>
      <c r="EQ116" s="16"/>
      <c r="ER116" s="16"/>
      <c r="ES116" s="16"/>
      <c r="ET116" s="16"/>
      <c r="EU116" s="16"/>
      <c r="EV116" s="16"/>
      <c r="EW116" s="16"/>
      <c r="EX116" s="16"/>
      <c r="EY116" s="78"/>
      <c r="EZ116" s="79"/>
      <c r="FA116" s="16"/>
      <c r="FB116" s="16"/>
      <c r="FC116" s="16"/>
      <c r="FD116" s="16"/>
      <c r="FE116" s="16"/>
      <c r="FF116" s="16"/>
      <c r="FG116" s="16"/>
      <c r="FH116" s="16"/>
      <c r="FI116" s="16"/>
      <c r="FJ116" s="16"/>
      <c r="FK116" s="16"/>
      <c r="FM116" s="78"/>
      <c r="FN116" s="79"/>
      <c r="FO116" s="16"/>
      <c r="FP116" s="16"/>
      <c r="FQ116" s="16"/>
      <c r="FR116" s="16"/>
      <c r="FS116" s="16"/>
      <c r="FT116" s="16"/>
      <c r="FU116" s="16"/>
      <c r="FV116" s="16"/>
      <c r="FW116" s="16"/>
      <c r="FX116" s="16"/>
      <c r="FY116" s="16"/>
      <c r="GA116" s="78"/>
      <c r="GB116" s="79"/>
      <c r="GC116" s="16"/>
      <c r="GD116" s="16"/>
      <c r="GE116" s="16"/>
      <c r="GF116" s="16"/>
      <c r="GG116" s="16"/>
      <c r="GH116" s="16"/>
      <c r="GI116" s="16"/>
      <c r="GJ116" s="16"/>
      <c r="GK116" s="16"/>
      <c r="GL116" s="16"/>
      <c r="GM116" s="16"/>
    </row>
    <row r="117" spans="1:195" s="18" customFormat="1" ht="15" customHeight="1">
      <c r="A117" s="80">
        <v>2002</v>
      </c>
      <c r="B117" s="81" t="s">
        <v>39</v>
      </c>
      <c r="C117" s="15">
        <f t="shared" si="15"/>
        <v>0.95242760296249851</v>
      </c>
      <c r="D117" s="15">
        <f t="shared" si="16"/>
        <v>0.96299377946828324</v>
      </c>
      <c r="E117" s="15">
        <f t="shared" si="17"/>
        <v>0.98902778322034568</v>
      </c>
      <c r="F117" s="16"/>
      <c r="G117" s="33"/>
      <c r="H117" s="16">
        <v>25519</v>
      </c>
      <c r="I117" s="16">
        <f t="shared" si="24"/>
        <v>280</v>
      </c>
      <c r="J117" s="16">
        <v>25239</v>
      </c>
      <c r="K117" s="16">
        <v>24305</v>
      </c>
      <c r="L117" s="16">
        <f t="shared" si="25"/>
        <v>934</v>
      </c>
      <c r="M117" s="16"/>
      <c r="N117" s="16"/>
      <c r="O117" s="80"/>
      <c r="P117" s="81"/>
      <c r="Q117" s="41"/>
      <c r="R117" s="41"/>
      <c r="S117" s="41"/>
      <c r="T117" s="16"/>
      <c r="U117" s="16"/>
      <c r="V117" s="16"/>
      <c r="W117" s="16"/>
      <c r="X117" s="16"/>
      <c r="Y117" s="16"/>
      <c r="Z117" s="16"/>
      <c r="AA117" s="16"/>
      <c r="AB117" s="16"/>
      <c r="AC117" s="80"/>
      <c r="AD117" s="81"/>
      <c r="AE117" s="41"/>
      <c r="AF117" s="41"/>
      <c r="AG117" s="41"/>
      <c r="AH117" s="41"/>
      <c r="AI117" s="41"/>
      <c r="AJ117" s="16"/>
      <c r="AK117" s="16"/>
      <c r="AL117" s="16"/>
      <c r="AM117" s="16"/>
      <c r="AN117" s="16"/>
      <c r="AO117" s="16"/>
      <c r="AP117" s="16"/>
      <c r="AQ117" s="80"/>
      <c r="AR117" s="81"/>
      <c r="AS117" s="41"/>
      <c r="AT117" s="41"/>
      <c r="AU117" s="41"/>
      <c r="AV117" s="16"/>
      <c r="AW117" s="16"/>
      <c r="AX117" s="16"/>
      <c r="AY117" s="16"/>
      <c r="AZ117" s="16"/>
      <c r="BA117" s="16"/>
      <c r="BB117" s="16"/>
      <c r="BC117" s="16"/>
      <c r="BD117" s="16"/>
      <c r="BE117" s="80"/>
      <c r="BF117" s="81"/>
      <c r="BG117" s="41"/>
      <c r="BH117" s="41"/>
      <c r="BI117" s="41"/>
      <c r="BJ117" s="16"/>
      <c r="BK117" s="16"/>
      <c r="BL117" s="16"/>
      <c r="BM117" s="16"/>
      <c r="BN117" s="16"/>
      <c r="BO117" s="16"/>
      <c r="BP117" s="16"/>
      <c r="BQ117" s="16"/>
      <c r="BR117" s="16"/>
      <c r="BS117" s="80"/>
      <c r="BT117" s="81"/>
      <c r="BU117" s="41"/>
      <c r="BV117" s="41"/>
      <c r="BW117" s="41"/>
      <c r="BX117" s="16"/>
      <c r="BY117" s="16"/>
      <c r="BZ117" s="16"/>
      <c r="CA117" s="16"/>
      <c r="CB117" s="16"/>
      <c r="CC117" s="16"/>
      <c r="CD117" s="16"/>
      <c r="CE117" s="16"/>
      <c r="CF117" s="16"/>
      <c r="CG117" s="80"/>
      <c r="CH117" s="81"/>
      <c r="CI117" s="41"/>
      <c r="CJ117" s="41"/>
      <c r="CK117" s="41"/>
      <c r="CL117" s="16"/>
      <c r="CM117" s="16"/>
      <c r="CN117" s="16"/>
      <c r="CO117" s="16"/>
      <c r="CP117" s="16"/>
      <c r="CQ117" s="16"/>
      <c r="CR117" s="16"/>
      <c r="CS117" s="16"/>
      <c r="CT117" s="16"/>
      <c r="CU117" s="80"/>
      <c r="CV117" s="81"/>
      <c r="CW117" s="41"/>
      <c r="CX117" s="41"/>
      <c r="CY117" s="41"/>
      <c r="CZ117" s="16"/>
      <c r="DA117" s="16"/>
      <c r="DB117" s="16"/>
      <c r="DC117" s="16"/>
      <c r="DD117" s="16"/>
      <c r="DE117" s="16"/>
      <c r="DF117" s="16"/>
      <c r="DG117" s="16"/>
      <c r="DH117" s="16"/>
      <c r="DI117" s="80"/>
      <c r="DJ117" s="81"/>
      <c r="DK117" s="41"/>
      <c r="DL117" s="41"/>
      <c r="DM117" s="41"/>
      <c r="DN117" s="16"/>
      <c r="DO117" s="16"/>
      <c r="DP117" s="16"/>
      <c r="DQ117" s="16"/>
      <c r="DR117" s="16"/>
      <c r="DS117" s="16"/>
      <c r="DT117" s="16"/>
      <c r="DU117" s="16"/>
      <c r="DV117" s="16"/>
      <c r="DW117" s="80"/>
      <c r="DX117" s="81"/>
      <c r="DY117" s="41"/>
      <c r="DZ117" s="41"/>
      <c r="EA117" s="41"/>
      <c r="EB117" s="16"/>
      <c r="EC117" s="16"/>
      <c r="ED117" s="16"/>
      <c r="EE117" s="16"/>
      <c r="EF117" s="16"/>
      <c r="EG117" s="16"/>
      <c r="EH117" s="16"/>
      <c r="EI117" s="16"/>
      <c r="EJ117" s="16"/>
      <c r="EK117" s="80"/>
      <c r="EL117" s="81"/>
      <c r="EM117" s="16"/>
      <c r="EN117" s="16"/>
      <c r="EO117" s="16"/>
      <c r="EP117" s="16"/>
      <c r="EQ117" s="16"/>
      <c r="ER117" s="16"/>
      <c r="ES117" s="16"/>
      <c r="ET117" s="16"/>
      <c r="EU117" s="16"/>
      <c r="EV117" s="16"/>
      <c r="EW117" s="16"/>
      <c r="EX117" s="16"/>
      <c r="EY117" s="80"/>
      <c r="EZ117" s="81"/>
      <c r="FA117" s="16"/>
      <c r="FB117" s="16"/>
      <c r="FC117" s="16"/>
      <c r="FD117" s="16"/>
      <c r="FE117" s="16"/>
      <c r="FF117" s="16"/>
      <c r="FG117" s="16"/>
      <c r="FH117" s="16"/>
      <c r="FI117" s="16"/>
      <c r="FJ117" s="16"/>
      <c r="FK117" s="16"/>
      <c r="FM117" s="80"/>
      <c r="FN117" s="81"/>
      <c r="FO117" s="16"/>
      <c r="FP117" s="16"/>
      <c r="FQ117" s="16"/>
      <c r="FR117" s="16"/>
      <c r="FS117" s="16"/>
      <c r="FT117" s="16"/>
      <c r="FU117" s="16"/>
      <c r="FV117" s="16"/>
      <c r="FW117" s="16"/>
      <c r="FX117" s="16"/>
      <c r="FY117" s="16"/>
      <c r="GA117" s="80"/>
      <c r="GB117" s="81"/>
      <c r="GC117" s="16"/>
      <c r="GD117" s="16"/>
      <c r="GE117" s="16"/>
      <c r="GF117" s="16"/>
      <c r="GG117" s="16"/>
      <c r="GH117" s="16"/>
      <c r="GI117" s="16"/>
      <c r="GJ117" s="16"/>
      <c r="GK117" s="16"/>
      <c r="GL117" s="16"/>
      <c r="GM117" s="16"/>
    </row>
    <row r="118" spans="1:195" s="18" customFormat="1" ht="15" customHeight="1">
      <c r="A118" s="78">
        <v>2002</v>
      </c>
      <c r="B118" s="79" t="s">
        <v>40</v>
      </c>
      <c r="C118" s="15">
        <f t="shared" si="15"/>
        <v>0.85958010361079729</v>
      </c>
      <c r="D118" s="15">
        <f t="shared" si="16"/>
        <v>0.90635781172991625</v>
      </c>
      <c r="E118" s="15">
        <f t="shared" si="17"/>
        <v>0.94838935846998795</v>
      </c>
      <c r="F118" s="16"/>
      <c r="G118" s="33"/>
      <c r="H118" s="16">
        <v>25673</v>
      </c>
      <c r="I118" s="16">
        <f t="shared" si="24"/>
        <v>1325</v>
      </c>
      <c r="J118" s="16">
        <v>24348</v>
      </c>
      <c r="K118" s="16">
        <v>22068</v>
      </c>
      <c r="L118" s="16">
        <f t="shared" si="25"/>
        <v>2280</v>
      </c>
      <c r="M118" s="16"/>
      <c r="N118" s="16"/>
      <c r="O118" s="78"/>
      <c r="P118" s="79"/>
      <c r="Q118" s="41"/>
      <c r="R118" s="41"/>
      <c r="S118" s="41"/>
      <c r="T118" s="16"/>
      <c r="U118" s="16"/>
      <c r="V118" s="16"/>
      <c r="W118" s="16"/>
      <c r="X118" s="16"/>
      <c r="Y118" s="16"/>
      <c r="Z118" s="16"/>
      <c r="AA118" s="16"/>
      <c r="AB118" s="16"/>
      <c r="AC118" s="78"/>
      <c r="AD118" s="79"/>
      <c r="AE118" s="41"/>
      <c r="AF118" s="41"/>
      <c r="AG118" s="41"/>
      <c r="AH118" s="41"/>
      <c r="AI118" s="41"/>
      <c r="AJ118" s="16"/>
      <c r="AK118" s="16"/>
      <c r="AL118" s="16"/>
      <c r="AM118" s="16"/>
      <c r="AN118" s="16"/>
      <c r="AO118" s="16"/>
      <c r="AP118" s="16"/>
      <c r="AQ118" s="78"/>
      <c r="AR118" s="79"/>
      <c r="AS118" s="41"/>
      <c r="AT118" s="41"/>
      <c r="AU118" s="41"/>
      <c r="AV118" s="16"/>
      <c r="AW118" s="16"/>
      <c r="AX118" s="16"/>
      <c r="AY118" s="16"/>
      <c r="AZ118" s="16"/>
      <c r="BA118" s="16"/>
      <c r="BB118" s="16"/>
      <c r="BC118" s="16"/>
      <c r="BD118" s="16"/>
      <c r="BE118" s="78"/>
      <c r="BF118" s="79"/>
      <c r="BG118" s="41"/>
      <c r="BH118" s="41"/>
      <c r="BI118" s="41"/>
      <c r="BJ118" s="16"/>
      <c r="BK118" s="16"/>
      <c r="BL118" s="16"/>
      <c r="BM118" s="16"/>
      <c r="BN118" s="16"/>
      <c r="BO118" s="16"/>
      <c r="BP118" s="16"/>
      <c r="BQ118" s="16"/>
      <c r="BR118" s="16"/>
      <c r="BS118" s="78"/>
      <c r="BT118" s="79"/>
      <c r="BU118" s="41"/>
      <c r="BV118" s="41"/>
      <c r="BW118" s="41"/>
      <c r="BX118" s="16"/>
      <c r="BY118" s="16"/>
      <c r="BZ118" s="16"/>
      <c r="CA118" s="16"/>
      <c r="CB118" s="16"/>
      <c r="CC118" s="16"/>
      <c r="CD118" s="16"/>
      <c r="CE118" s="16"/>
      <c r="CF118" s="16"/>
      <c r="CG118" s="78"/>
      <c r="CH118" s="79"/>
      <c r="CI118" s="41"/>
      <c r="CJ118" s="41"/>
      <c r="CK118" s="41"/>
      <c r="CL118" s="16"/>
      <c r="CM118" s="16"/>
      <c r="CN118" s="16"/>
      <c r="CO118" s="16"/>
      <c r="CP118" s="16"/>
      <c r="CQ118" s="16"/>
      <c r="CR118" s="16"/>
      <c r="CS118" s="16"/>
      <c r="CT118" s="16"/>
      <c r="CU118" s="78"/>
      <c r="CV118" s="79"/>
      <c r="CW118" s="41"/>
      <c r="CX118" s="41"/>
      <c r="CY118" s="41"/>
      <c r="CZ118" s="16"/>
      <c r="DA118" s="16"/>
      <c r="DB118" s="16"/>
      <c r="DC118" s="16"/>
      <c r="DD118" s="16"/>
      <c r="DE118" s="16"/>
      <c r="DF118" s="16"/>
      <c r="DG118" s="16"/>
      <c r="DH118" s="16"/>
      <c r="DI118" s="78"/>
      <c r="DJ118" s="79"/>
      <c r="DK118" s="41"/>
      <c r="DL118" s="41"/>
      <c r="DM118" s="41"/>
      <c r="DN118" s="16"/>
      <c r="DO118" s="16"/>
      <c r="DP118" s="16"/>
      <c r="DQ118" s="16"/>
      <c r="DR118" s="16"/>
      <c r="DS118" s="16"/>
      <c r="DT118" s="16"/>
      <c r="DU118" s="16"/>
      <c r="DV118" s="16"/>
      <c r="DW118" s="78"/>
      <c r="DX118" s="79"/>
      <c r="DY118" s="41"/>
      <c r="DZ118" s="41"/>
      <c r="EA118" s="41"/>
      <c r="EB118" s="16"/>
      <c r="EC118" s="16"/>
      <c r="ED118" s="16"/>
      <c r="EE118" s="16"/>
      <c r="EF118" s="16"/>
      <c r="EG118" s="16"/>
      <c r="EH118" s="16"/>
      <c r="EI118" s="16"/>
      <c r="EJ118" s="16"/>
      <c r="EK118" s="78"/>
      <c r="EL118" s="79"/>
      <c r="EM118" s="16"/>
      <c r="EN118" s="16"/>
      <c r="EO118" s="16"/>
      <c r="EP118" s="16"/>
      <c r="EQ118" s="16"/>
      <c r="ER118" s="16"/>
      <c r="ES118" s="16"/>
      <c r="ET118" s="16"/>
      <c r="EU118" s="16"/>
      <c r="EV118" s="16"/>
      <c r="EW118" s="16"/>
      <c r="EX118" s="16"/>
      <c r="EY118" s="78"/>
      <c r="EZ118" s="79"/>
      <c r="FA118" s="16"/>
      <c r="FB118" s="16"/>
      <c r="FC118" s="16"/>
      <c r="FD118" s="16"/>
      <c r="FE118" s="16"/>
      <c r="FF118" s="16"/>
      <c r="FG118" s="16"/>
      <c r="FH118" s="16"/>
      <c r="FI118" s="16"/>
      <c r="FJ118" s="16"/>
      <c r="FK118" s="16"/>
      <c r="FM118" s="78"/>
      <c r="FN118" s="79"/>
      <c r="FO118" s="16"/>
      <c r="FP118" s="16"/>
      <c r="FQ118" s="16"/>
      <c r="FR118" s="16"/>
      <c r="FS118" s="16"/>
      <c r="FT118" s="16"/>
      <c r="FU118" s="16"/>
      <c r="FV118" s="16"/>
      <c r="FW118" s="16"/>
      <c r="FX118" s="16"/>
      <c r="FY118" s="16"/>
      <c r="GA118" s="78"/>
      <c r="GB118" s="79"/>
      <c r="GC118" s="16"/>
      <c r="GD118" s="16"/>
      <c r="GE118" s="16"/>
      <c r="GF118" s="16"/>
      <c r="GG118" s="16"/>
      <c r="GH118" s="16"/>
      <c r="GI118" s="16"/>
      <c r="GJ118" s="16"/>
      <c r="GK118" s="16"/>
      <c r="GL118" s="16"/>
      <c r="GM118" s="16"/>
    </row>
    <row r="119" spans="1:195" s="18" customFormat="1" ht="15" customHeight="1">
      <c r="A119" s="80">
        <v>2002</v>
      </c>
      <c r="B119" s="81" t="s">
        <v>41</v>
      </c>
      <c r="C119" s="15">
        <f t="shared" si="15"/>
        <v>0.87468733341534421</v>
      </c>
      <c r="D119" s="15">
        <f t="shared" si="16"/>
        <v>0.92816116961099993</v>
      </c>
      <c r="E119" s="15">
        <f t="shared" si="17"/>
        <v>0.94238733751588966</v>
      </c>
      <c r="F119" s="16"/>
      <c r="G119" s="33"/>
      <c r="H119" s="16">
        <v>24387</v>
      </c>
      <c r="I119" s="16">
        <f t="shared" si="24"/>
        <v>1405</v>
      </c>
      <c r="J119" s="16">
        <v>22982</v>
      </c>
      <c r="K119" s="16">
        <v>21331</v>
      </c>
      <c r="L119" s="16">
        <f t="shared" si="25"/>
        <v>1651</v>
      </c>
      <c r="M119" s="16"/>
      <c r="N119" s="16"/>
      <c r="O119" s="80"/>
      <c r="P119" s="81"/>
      <c r="Q119" s="41"/>
      <c r="R119" s="41"/>
      <c r="S119" s="41"/>
      <c r="T119" s="16"/>
      <c r="U119" s="16"/>
      <c r="V119" s="16"/>
      <c r="W119" s="16"/>
      <c r="X119" s="16"/>
      <c r="Y119" s="16"/>
      <c r="Z119" s="16"/>
      <c r="AA119" s="16"/>
      <c r="AB119" s="16"/>
      <c r="AC119" s="80"/>
      <c r="AD119" s="81"/>
      <c r="AE119" s="41"/>
      <c r="AF119" s="41"/>
      <c r="AG119" s="41"/>
      <c r="AH119" s="41"/>
      <c r="AI119" s="41"/>
      <c r="AJ119" s="16"/>
      <c r="AK119" s="16"/>
      <c r="AL119" s="16"/>
      <c r="AM119" s="16"/>
      <c r="AN119" s="16"/>
      <c r="AO119" s="16"/>
      <c r="AP119" s="16"/>
      <c r="AQ119" s="80"/>
      <c r="AR119" s="81"/>
      <c r="AS119" s="41"/>
      <c r="AT119" s="41"/>
      <c r="AU119" s="41"/>
      <c r="AV119" s="16"/>
      <c r="AW119" s="16"/>
      <c r="AX119" s="16"/>
      <c r="AY119" s="16"/>
      <c r="AZ119" s="16"/>
      <c r="BA119" s="16"/>
      <c r="BB119" s="16"/>
      <c r="BC119" s="16"/>
      <c r="BD119" s="16"/>
      <c r="BE119" s="80"/>
      <c r="BF119" s="81"/>
      <c r="BG119" s="41"/>
      <c r="BH119" s="41"/>
      <c r="BI119" s="41"/>
      <c r="BJ119" s="16"/>
      <c r="BK119" s="16"/>
      <c r="BL119" s="16"/>
      <c r="BM119" s="16"/>
      <c r="BN119" s="16"/>
      <c r="BO119" s="16"/>
      <c r="BP119" s="16"/>
      <c r="BQ119" s="16"/>
      <c r="BR119" s="16"/>
      <c r="BS119" s="80"/>
      <c r="BT119" s="81"/>
      <c r="BU119" s="41"/>
      <c r="BV119" s="41"/>
      <c r="BW119" s="41"/>
      <c r="BX119" s="16"/>
      <c r="BY119" s="16"/>
      <c r="BZ119" s="16"/>
      <c r="CA119" s="16"/>
      <c r="CB119" s="16"/>
      <c r="CC119" s="16"/>
      <c r="CD119" s="16"/>
      <c r="CE119" s="16"/>
      <c r="CF119" s="16"/>
      <c r="CG119" s="80"/>
      <c r="CH119" s="81"/>
      <c r="CI119" s="41"/>
      <c r="CJ119" s="41"/>
      <c r="CK119" s="41"/>
      <c r="CL119" s="16"/>
      <c r="CM119" s="16"/>
      <c r="CN119" s="16"/>
      <c r="CO119" s="16"/>
      <c r="CP119" s="16"/>
      <c r="CQ119" s="16"/>
      <c r="CR119" s="16"/>
      <c r="CS119" s="16"/>
      <c r="CT119" s="16"/>
      <c r="CU119" s="80"/>
      <c r="CV119" s="81"/>
      <c r="CW119" s="41"/>
      <c r="CX119" s="41"/>
      <c r="CY119" s="41"/>
      <c r="CZ119" s="16"/>
      <c r="DA119" s="16"/>
      <c r="DB119" s="16"/>
      <c r="DC119" s="16"/>
      <c r="DD119" s="16"/>
      <c r="DE119" s="16"/>
      <c r="DF119" s="16"/>
      <c r="DG119" s="16"/>
      <c r="DH119" s="16"/>
      <c r="DI119" s="80"/>
      <c r="DJ119" s="81"/>
      <c r="DK119" s="41"/>
      <c r="DL119" s="41"/>
      <c r="DM119" s="41"/>
      <c r="DN119" s="16"/>
      <c r="DO119" s="16"/>
      <c r="DP119" s="16"/>
      <c r="DQ119" s="16"/>
      <c r="DR119" s="16"/>
      <c r="DS119" s="16"/>
      <c r="DT119" s="16"/>
      <c r="DU119" s="16"/>
      <c r="DV119" s="16"/>
      <c r="DW119" s="80"/>
      <c r="DX119" s="81"/>
      <c r="DY119" s="41"/>
      <c r="DZ119" s="41"/>
      <c r="EA119" s="41"/>
      <c r="EB119" s="16"/>
      <c r="EC119" s="16"/>
      <c r="ED119" s="16"/>
      <c r="EE119" s="16"/>
      <c r="EF119" s="16"/>
      <c r="EG119" s="16"/>
      <c r="EH119" s="16"/>
      <c r="EI119" s="16"/>
      <c r="EJ119" s="16"/>
      <c r="EK119" s="80"/>
      <c r="EL119" s="81"/>
      <c r="EM119" s="16"/>
      <c r="EN119" s="16"/>
      <c r="EO119" s="16"/>
      <c r="EP119" s="16"/>
      <c r="EQ119" s="16"/>
      <c r="ER119" s="16"/>
      <c r="ES119" s="16"/>
      <c r="ET119" s="16"/>
      <c r="EU119" s="16"/>
      <c r="EV119" s="16"/>
      <c r="EW119" s="16"/>
      <c r="EX119" s="16"/>
      <c r="EY119" s="80"/>
      <c r="EZ119" s="81"/>
      <c r="FA119" s="16"/>
      <c r="FB119" s="16"/>
      <c r="FC119" s="16"/>
      <c r="FD119" s="16"/>
      <c r="FE119" s="16"/>
      <c r="FF119" s="16"/>
      <c r="FG119" s="16"/>
      <c r="FH119" s="16"/>
      <c r="FI119" s="16"/>
      <c r="FJ119" s="16"/>
      <c r="FK119" s="16"/>
      <c r="FM119" s="80"/>
      <c r="FN119" s="81"/>
      <c r="FO119" s="16"/>
      <c r="FP119" s="16"/>
      <c r="FQ119" s="16"/>
      <c r="FR119" s="16"/>
      <c r="FS119" s="16"/>
      <c r="FT119" s="16"/>
      <c r="FU119" s="16"/>
      <c r="FV119" s="16"/>
      <c r="FW119" s="16"/>
      <c r="FX119" s="16"/>
      <c r="FY119" s="16"/>
      <c r="GA119" s="80"/>
      <c r="GB119" s="81"/>
      <c r="GC119" s="16"/>
      <c r="GD119" s="16"/>
      <c r="GE119" s="16"/>
      <c r="GF119" s="16"/>
      <c r="GG119" s="16"/>
      <c r="GH119" s="16"/>
      <c r="GI119" s="16"/>
      <c r="GJ119" s="16"/>
      <c r="GK119" s="16"/>
      <c r="GL119" s="16"/>
      <c r="GM119" s="16"/>
    </row>
    <row r="120" spans="1:195" s="18" customFormat="1" ht="15" customHeight="1">
      <c r="A120" s="78">
        <v>2002</v>
      </c>
      <c r="B120" s="79" t="s">
        <v>42</v>
      </c>
      <c r="C120" s="15">
        <f t="shared" si="15"/>
        <v>0.84336697212233691</v>
      </c>
      <c r="D120" s="15">
        <f t="shared" si="16"/>
        <v>0.89247135842880521</v>
      </c>
      <c r="E120" s="15">
        <f t="shared" si="17"/>
        <v>0.94497931407802649</v>
      </c>
      <c r="F120" s="16"/>
      <c r="G120" s="33"/>
      <c r="H120" s="16">
        <v>25863</v>
      </c>
      <c r="I120" s="16">
        <f t="shared" si="24"/>
        <v>1423</v>
      </c>
      <c r="J120" s="16">
        <v>24440</v>
      </c>
      <c r="K120" s="16">
        <v>21812</v>
      </c>
      <c r="L120" s="16">
        <f t="shared" si="25"/>
        <v>2628</v>
      </c>
      <c r="M120" s="16"/>
      <c r="N120" s="16"/>
      <c r="O120" s="78"/>
      <c r="P120" s="79"/>
      <c r="Q120" s="41"/>
      <c r="R120" s="41"/>
      <c r="S120" s="41"/>
      <c r="T120" s="16"/>
      <c r="U120" s="16"/>
      <c r="V120" s="16"/>
      <c r="W120" s="16"/>
      <c r="X120" s="16"/>
      <c r="Y120" s="16"/>
      <c r="Z120" s="16"/>
      <c r="AA120" s="16"/>
      <c r="AB120" s="16"/>
      <c r="AC120" s="78"/>
      <c r="AD120" s="79"/>
      <c r="AE120" s="41"/>
      <c r="AF120" s="41"/>
      <c r="AG120" s="41"/>
      <c r="AH120" s="41"/>
      <c r="AI120" s="41"/>
      <c r="AJ120" s="16"/>
      <c r="AK120" s="16"/>
      <c r="AL120" s="16"/>
      <c r="AM120" s="16"/>
      <c r="AN120" s="16"/>
      <c r="AO120" s="16"/>
      <c r="AP120" s="16"/>
      <c r="AQ120" s="78"/>
      <c r="AR120" s="79"/>
      <c r="AS120" s="41"/>
      <c r="AT120" s="41"/>
      <c r="AU120" s="41"/>
      <c r="AV120" s="16"/>
      <c r="AW120" s="16"/>
      <c r="AX120" s="16"/>
      <c r="AY120" s="16"/>
      <c r="AZ120" s="16"/>
      <c r="BA120" s="16"/>
      <c r="BB120" s="16"/>
      <c r="BC120" s="16"/>
      <c r="BD120" s="16"/>
      <c r="BE120" s="78"/>
      <c r="BF120" s="79"/>
      <c r="BG120" s="41"/>
      <c r="BH120" s="41"/>
      <c r="BI120" s="41"/>
      <c r="BJ120" s="16"/>
      <c r="BK120" s="16"/>
      <c r="BL120" s="16"/>
      <c r="BM120" s="16"/>
      <c r="BN120" s="16"/>
      <c r="BO120" s="16"/>
      <c r="BP120" s="16"/>
      <c r="BQ120" s="16"/>
      <c r="BR120" s="16"/>
      <c r="BS120" s="78"/>
      <c r="BT120" s="79"/>
      <c r="BU120" s="41"/>
      <c r="BV120" s="41"/>
      <c r="BW120" s="41"/>
      <c r="BX120" s="16"/>
      <c r="BY120" s="16"/>
      <c r="BZ120" s="16"/>
      <c r="CA120" s="16"/>
      <c r="CB120" s="16"/>
      <c r="CC120" s="16"/>
      <c r="CD120" s="16"/>
      <c r="CE120" s="16"/>
      <c r="CF120" s="16"/>
      <c r="CG120" s="78"/>
      <c r="CH120" s="79"/>
      <c r="CI120" s="41"/>
      <c r="CJ120" s="41"/>
      <c r="CK120" s="41"/>
      <c r="CL120" s="16"/>
      <c r="CM120" s="16"/>
      <c r="CN120" s="16"/>
      <c r="CO120" s="16"/>
      <c r="CP120" s="16"/>
      <c r="CQ120" s="16"/>
      <c r="CR120" s="16"/>
      <c r="CS120" s="16"/>
      <c r="CT120" s="16"/>
      <c r="CU120" s="78"/>
      <c r="CV120" s="79"/>
      <c r="CW120" s="41"/>
      <c r="CX120" s="41"/>
      <c r="CY120" s="41"/>
      <c r="CZ120" s="16"/>
      <c r="DA120" s="16"/>
      <c r="DB120" s="16"/>
      <c r="DC120" s="16"/>
      <c r="DD120" s="16"/>
      <c r="DE120" s="16"/>
      <c r="DF120" s="16"/>
      <c r="DG120" s="16"/>
      <c r="DH120" s="16"/>
      <c r="DI120" s="78"/>
      <c r="DJ120" s="79"/>
      <c r="DK120" s="41"/>
      <c r="DL120" s="41"/>
      <c r="DM120" s="41"/>
      <c r="DN120" s="16"/>
      <c r="DO120" s="16"/>
      <c r="DP120" s="16"/>
      <c r="DQ120" s="16"/>
      <c r="DR120" s="16"/>
      <c r="DS120" s="16"/>
      <c r="DT120" s="16"/>
      <c r="DU120" s="16"/>
      <c r="DV120" s="16"/>
      <c r="DW120" s="78"/>
      <c r="DX120" s="79"/>
      <c r="DY120" s="41"/>
      <c r="DZ120" s="41"/>
      <c r="EA120" s="41"/>
      <c r="EB120" s="16"/>
      <c r="EC120" s="16"/>
      <c r="ED120" s="16"/>
      <c r="EE120" s="16"/>
      <c r="EF120" s="16"/>
      <c r="EG120" s="16"/>
      <c r="EH120" s="16"/>
      <c r="EI120" s="16"/>
      <c r="EJ120" s="16"/>
      <c r="EK120" s="78"/>
      <c r="EL120" s="79"/>
      <c r="EM120" s="16"/>
      <c r="EN120" s="16"/>
      <c r="EO120" s="16"/>
      <c r="EP120" s="16"/>
      <c r="EQ120" s="16"/>
      <c r="ER120" s="16"/>
      <c r="ES120" s="16"/>
      <c r="ET120" s="16"/>
      <c r="EU120" s="16"/>
      <c r="EV120" s="16"/>
      <c r="EW120" s="16"/>
      <c r="EX120" s="16"/>
      <c r="EY120" s="78"/>
      <c r="EZ120" s="79"/>
      <c r="FA120" s="16"/>
      <c r="FB120" s="16"/>
      <c r="FC120" s="16"/>
      <c r="FD120" s="16"/>
      <c r="FE120" s="16"/>
      <c r="FF120" s="16"/>
      <c r="FG120" s="16"/>
      <c r="FH120" s="16"/>
      <c r="FI120" s="16"/>
      <c r="FJ120" s="16"/>
      <c r="FK120" s="16"/>
      <c r="FM120" s="78"/>
      <c r="FN120" s="79"/>
      <c r="FO120" s="16"/>
      <c r="FP120" s="16"/>
      <c r="FQ120" s="16"/>
      <c r="FR120" s="16"/>
      <c r="FS120" s="16"/>
      <c r="FT120" s="16"/>
      <c r="FU120" s="16"/>
      <c r="FV120" s="16"/>
      <c r="FW120" s="16"/>
      <c r="FX120" s="16"/>
      <c r="FY120" s="16"/>
      <c r="GA120" s="78"/>
      <c r="GB120" s="79"/>
      <c r="GC120" s="16"/>
      <c r="GD120" s="16"/>
      <c r="GE120" s="16"/>
      <c r="GF120" s="16"/>
      <c r="GG120" s="16"/>
      <c r="GH120" s="16"/>
      <c r="GI120" s="16"/>
      <c r="GJ120" s="16"/>
      <c r="GK120" s="16"/>
      <c r="GL120" s="16"/>
      <c r="GM120" s="16"/>
    </row>
    <row r="121" spans="1:195" s="18" customFormat="1" ht="15" customHeight="1">
      <c r="A121" s="80">
        <v>2002</v>
      </c>
      <c r="B121" s="81" t="s">
        <v>43</v>
      </c>
      <c r="C121" s="15">
        <f t="shared" si="15"/>
        <v>0.97801606518313544</v>
      </c>
      <c r="D121" s="15">
        <f t="shared" si="16"/>
        <v>0.98463860083578392</v>
      </c>
      <c r="E121" s="15">
        <f t="shared" si="17"/>
        <v>0.99327414581651874</v>
      </c>
      <c r="F121" s="16"/>
      <c r="G121" s="33"/>
      <c r="H121" s="16">
        <v>26019</v>
      </c>
      <c r="I121" s="16">
        <f t="shared" si="24"/>
        <v>175</v>
      </c>
      <c r="J121" s="16">
        <v>25844</v>
      </c>
      <c r="K121" s="16">
        <v>25447</v>
      </c>
      <c r="L121" s="16">
        <f t="shared" si="25"/>
        <v>397</v>
      </c>
      <c r="M121" s="16"/>
      <c r="N121" s="16"/>
      <c r="O121" s="80"/>
      <c r="P121" s="81"/>
      <c r="Q121" s="41"/>
      <c r="R121" s="41"/>
      <c r="S121" s="41"/>
      <c r="T121" s="16"/>
      <c r="U121" s="16"/>
      <c r="V121" s="16"/>
      <c r="W121" s="16"/>
      <c r="X121" s="16"/>
      <c r="Y121" s="16"/>
      <c r="Z121" s="16"/>
      <c r="AA121" s="16"/>
      <c r="AB121" s="16"/>
      <c r="AC121" s="80"/>
      <c r="AD121" s="81"/>
      <c r="AE121" s="41"/>
      <c r="AF121" s="41"/>
      <c r="AG121" s="41"/>
      <c r="AH121" s="41"/>
      <c r="AI121" s="41"/>
      <c r="AJ121" s="16"/>
      <c r="AK121" s="16"/>
      <c r="AL121" s="16"/>
      <c r="AM121" s="16"/>
      <c r="AN121" s="16"/>
      <c r="AO121" s="16"/>
      <c r="AP121" s="16"/>
      <c r="AQ121" s="80"/>
      <c r="AR121" s="81"/>
      <c r="AS121" s="41"/>
      <c r="AT121" s="41"/>
      <c r="AU121" s="41"/>
      <c r="AV121" s="16"/>
      <c r="AW121" s="16"/>
      <c r="AX121" s="16"/>
      <c r="AY121" s="16"/>
      <c r="AZ121" s="16"/>
      <c r="BA121" s="16"/>
      <c r="BB121" s="16"/>
      <c r="BC121" s="16"/>
      <c r="BD121" s="16"/>
      <c r="BE121" s="80"/>
      <c r="BF121" s="81"/>
      <c r="BG121" s="41"/>
      <c r="BH121" s="41"/>
      <c r="BI121" s="41"/>
      <c r="BJ121" s="16"/>
      <c r="BK121" s="16"/>
      <c r="BL121" s="16"/>
      <c r="BM121" s="16"/>
      <c r="BN121" s="16"/>
      <c r="BO121" s="16"/>
      <c r="BP121" s="16"/>
      <c r="BQ121" s="16"/>
      <c r="BR121" s="16"/>
      <c r="BS121" s="80"/>
      <c r="BT121" s="81"/>
      <c r="BU121" s="41"/>
      <c r="BV121" s="41"/>
      <c r="BW121" s="41"/>
      <c r="BX121" s="16"/>
      <c r="BY121" s="16"/>
      <c r="BZ121" s="16"/>
      <c r="CA121" s="16"/>
      <c r="CB121" s="16"/>
      <c r="CC121" s="16"/>
      <c r="CD121" s="16"/>
      <c r="CE121" s="16"/>
      <c r="CF121" s="16"/>
      <c r="CG121" s="80"/>
      <c r="CH121" s="81"/>
      <c r="CI121" s="41"/>
      <c r="CJ121" s="41"/>
      <c r="CK121" s="41"/>
      <c r="CL121" s="16"/>
      <c r="CM121" s="16"/>
      <c r="CN121" s="16"/>
      <c r="CO121" s="16"/>
      <c r="CP121" s="16"/>
      <c r="CQ121" s="16"/>
      <c r="CR121" s="16"/>
      <c r="CS121" s="16"/>
      <c r="CT121" s="16"/>
      <c r="CU121" s="80"/>
      <c r="CV121" s="81"/>
      <c r="CW121" s="41"/>
      <c r="CX121" s="41"/>
      <c r="CY121" s="41"/>
      <c r="CZ121" s="16"/>
      <c r="DA121" s="16"/>
      <c r="DB121" s="16"/>
      <c r="DC121" s="16"/>
      <c r="DD121" s="16"/>
      <c r="DE121" s="16"/>
      <c r="DF121" s="16"/>
      <c r="DG121" s="16"/>
      <c r="DH121" s="16"/>
      <c r="DI121" s="80"/>
      <c r="DJ121" s="81"/>
      <c r="DK121" s="41"/>
      <c r="DL121" s="41"/>
      <c r="DM121" s="41"/>
      <c r="DN121" s="16"/>
      <c r="DO121" s="16"/>
      <c r="DP121" s="16"/>
      <c r="DQ121" s="16"/>
      <c r="DR121" s="16"/>
      <c r="DS121" s="16"/>
      <c r="DT121" s="16"/>
      <c r="DU121" s="16"/>
      <c r="DV121" s="16"/>
      <c r="DW121" s="80"/>
      <c r="DX121" s="81"/>
      <c r="DY121" s="41"/>
      <c r="DZ121" s="41"/>
      <c r="EA121" s="41"/>
      <c r="EB121" s="16"/>
      <c r="EC121" s="16"/>
      <c r="ED121" s="16"/>
      <c r="EE121" s="16"/>
      <c r="EF121" s="16"/>
      <c r="EG121" s="16"/>
      <c r="EH121" s="16"/>
      <c r="EI121" s="16"/>
      <c r="EJ121" s="16"/>
      <c r="EK121" s="80"/>
      <c r="EL121" s="81"/>
      <c r="EM121" s="16"/>
      <c r="EN121" s="16"/>
      <c r="EO121" s="16"/>
      <c r="EP121" s="16"/>
      <c r="EQ121" s="16"/>
      <c r="ER121" s="16"/>
      <c r="ES121" s="16"/>
      <c r="ET121" s="16"/>
      <c r="EU121" s="16"/>
      <c r="EV121" s="16"/>
      <c r="EW121" s="16"/>
      <c r="EX121" s="16"/>
      <c r="EY121" s="80"/>
      <c r="EZ121" s="81"/>
      <c r="FA121" s="16"/>
      <c r="FB121" s="16"/>
      <c r="FC121" s="16"/>
      <c r="FD121" s="16"/>
      <c r="FE121" s="16"/>
      <c r="FF121" s="16"/>
      <c r="FG121" s="16"/>
      <c r="FH121" s="16"/>
      <c r="FI121" s="16"/>
      <c r="FJ121" s="16"/>
      <c r="FK121" s="16"/>
      <c r="FM121" s="80"/>
      <c r="FN121" s="81"/>
      <c r="FO121" s="16"/>
      <c r="FP121" s="16"/>
      <c r="FQ121" s="16"/>
      <c r="FR121" s="16"/>
      <c r="FS121" s="16"/>
      <c r="FT121" s="16"/>
      <c r="FU121" s="16"/>
      <c r="FV121" s="16"/>
      <c r="FW121" s="16"/>
      <c r="FX121" s="16"/>
      <c r="FY121" s="16"/>
      <c r="GA121" s="80"/>
      <c r="GB121" s="81"/>
      <c r="GC121" s="16"/>
      <c r="GD121" s="16"/>
      <c r="GE121" s="16"/>
      <c r="GF121" s="16"/>
      <c r="GG121" s="16"/>
      <c r="GH121" s="16"/>
      <c r="GI121" s="16"/>
      <c r="GJ121" s="16"/>
      <c r="GK121" s="16"/>
      <c r="GL121" s="16"/>
      <c r="GM121" s="16"/>
    </row>
    <row r="122" spans="1:195" s="18" customFormat="1" ht="15" customHeight="1">
      <c r="A122" s="78">
        <v>2002</v>
      </c>
      <c r="B122" s="79" t="s">
        <v>44</v>
      </c>
      <c r="C122" s="15">
        <f t="shared" si="15"/>
        <v>0.8017109192155597</v>
      </c>
      <c r="D122" s="15">
        <f t="shared" si="16"/>
        <v>0.87826010078684469</v>
      </c>
      <c r="E122" s="15">
        <f t="shared" si="17"/>
        <v>0.91283996449035587</v>
      </c>
      <c r="F122" s="16"/>
      <c r="G122" s="33"/>
      <c r="H122" s="16">
        <v>24782</v>
      </c>
      <c r="I122" s="16">
        <f t="shared" si="24"/>
        <v>2160</v>
      </c>
      <c r="J122" s="16">
        <v>22622</v>
      </c>
      <c r="K122" s="16">
        <v>19868</v>
      </c>
      <c r="L122" s="16">
        <f t="shared" si="25"/>
        <v>2754</v>
      </c>
      <c r="M122" s="16"/>
      <c r="N122" s="16"/>
      <c r="O122" s="78"/>
      <c r="P122" s="79"/>
      <c r="Q122" s="41"/>
      <c r="R122" s="41"/>
      <c r="S122" s="41"/>
      <c r="T122" s="16"/>
      <c r="U122" s="16"/>
      <c r="V122" s="16"/>
      <c r="W122" s="16"/>
      <c r="X122" s="16"/>
      <c r="Y122" s="16"/>
      <c r="Z122" s="16"/>
      <c r="AA122" s="16"/>
      <c r="AB122" s="16"/>
      <c r="AC122" s="78"/>
      <c r="AD122" s="79"/>
      <c r="AE122" s="41"/>
      <c r="AF122" s="41"/>
      <c r="AG122" s="41"/>
      <c r="AH122" s="41"/>
      <c r="AI122" s="41"/>
      <c r="AJ122" s="16"/>
      <c r="AK122" s="16"/>
      <c r="AL122" s="16"/>
      <c r="AM122" s="16"/>
      <c r="AN122" s="16"/>
      <c r="AO122" s="16"/>
      <c r="AP122" s="16"/>
      <c r="AQ122" s="78"/>
      <c r="AR122" s="79"/>
      <c r="AS122" s="41"/>
      <c r="AT122" s="41"/>
      <c r="AU122" s="41"/>
      <c r="AV122" s="16"/>
      <c r="AW122" s="16"/>
      <c r="AX122" s="16"/>
      <c r="AY122" s="16"/>
      <c r="AZ122" s="16"/>
      <c r="BA122" s="16"/>
      <c r="BB122" s="16"/>
      <c r="BC122" s="16"/>
      <c r="BD122" s="16"/>
      <c r="BE122" s="78"/>
      <c r="BF122" s="79"/>
      <c r="BG122" s="41"/>
      <c r="BH122" s="41"/>
      <c r="BI122" s="41"/>
      <c r="BJ122" s="16"/>
      <c r="BK122" s="16"/>
      <c r="BL122" s="16"/>
      <c r="BM122" s="16"/>
      <c r="BN122" s="16"/>
      <c r="BO122" s="16"/>
      <c r="BP122" s="16"/>
      <c r="BQ122" s="16"/>
      <c r="BR122" s="16"/>
      <c r="BS122" s="78"/>
      <c r="BT122" s="79"/>
      <c r="BU122" s="41"/>
      <c r="BV122" s="41"/>
      <c r="BW122" s="41"/>
      <c r="BX122" s="16"/>
      <c r="BY122" s="16"/>
      <c r="BZ122" s="16"/>
      <c r="CA122" s="16"/>
      <c r="CB122" s="16"/>
      <c r="CC122" s="16"/>
      <c r="CD122" s="16"/>
      <c r="CE122" s="16"/>
      <c r="CF122" s="16"/>
      <c r="CG122" s="78"/>
      <c r="CH122" s="79"/>
      <c r="CI122" s="41"/>
      <c r="CJ122" s="41"/>
      <c r="CK122" s="41"/>
      <c r="CL122" s="16"/>
      <c r="CM122" s="16"/>
      <c r="CN122" s="16"/>
      <c r="CO122" s="16"/>
      <c r="CP122" s="16"/>
      <c r="CQ122" s="16"/>
      <c r="CR122" s="16"/>
      <c r="CS122" s="16"/>
      <c r="CT122" s="16"/>
      <c r="CU122" s="78"/>
      <c r="CV122" s="79"/>
      <c r="CW122" s="41"/>
      <c r="CX122" s="41"/>
      <c r="CY122" s="41"/>
      <c r="CZ122" s="16"/>
      <c r="DA122" s="16"/>
      <c r="DB122" s="16"/>
      <c r="DC122" s="16"/>
      <c r="DD122" s="16"/>
      <c r="DE122" s="16"/>
      <c r="DF122" s="16"/>
      <c r="DG122" s="16"/>
      <c r="DH122" s="16"/>
      <c r="DI122" s="78"/>
      <c r="DJ122" s="79"/>
      <c r="DK122" s="41"/>
      <c r="DL122" s="41"/>
      <c r="DM122" s="41"/>
      <c r="DN122" s="16"/>
      <c r="DO122" s="16"/>
      <c r="DP122" s="16"/>
      <c r="DQ122" s="16"/>
      <c r="DR122" s="16"/>
      <c r="DS122" s="16"/>
      <c r="DT122" s="16"/>
      <c r="DU122" s="16"/>
      <c r="DV122" s="16"/>
      <c r="DW122" s="78"/>
      <c r="DX122" s="79"/>
      <c r="DY122" s="41"/>
      <c r="DZ122" s="41"/>
      <c r="EA122" s="41"/>
      <c r="EB122" s="16"/>
      <c r="EC122" s="16"/>
      <c r="ED122" s="16"/>
      <c r="EE122" s="16"/>
      <c r="EF122" s="16"/>
      <c r="EG122" s="16"/>
      <c r="EH122" s="16"/>
      <c r="EI122" s="16"/>
      <c r="EJ122" s="16"/>
      <c r="EK122" s="78"/>
      <c r="EL122" s="79"/>
      <c r="EM122" s="16"/>
      <c r="EN122" s="16"/>
      <c r="EO122" s="16"/>
      <c r="EP122" s="16"/>
      <c r="EQ122" s="16"/>
      <c r="ER122" s="16"/>
      <c r="ES122" s="16"/>
      <c r="ET122" s="16"/>
      <c r="EU122" s="16"/>
      <c r="EV122" s="16"/>
      <c r="EW122" s="16"/>
      <c r="EX122" s="16"/>
      <c r="EY122" s="78"/>
      <c r="EZ122" s="79"/>
      <c r="FA122" s="16"/>
      <c r="FB122" s="16"/>
      <c r="FC122" s="16"/>
      <c r="FD122" s="16"/>
      <c r="FE122" s="16"/>
      <c r="FF122" s="16"/>
      <c r="FG122" s="16"/>
      <c r="FH122" s="16"/>
      <c r="FI122" s="16"/>
      <c r="FJ122" s="16"/>
      <c r="FK122" s="16"/>
      <c r="FM122" s="78"/>
      <c r="FN122" s="79"/>
      <c r="FO122" s="16"/>
      <c r="FP122" s="16"/>
      <c r="FQ122" s="16"/>
      <c r="FR122" s="16"/>
      <c r="FS122" s="16"/>
      <c r="FT122" s="16"/>
      <c r="FU122" s="16"/>
      <c r="FV122" s="16"/>
      <c r="FW122" s="16"/>
      <c r="FX122" s="16"/>
      <c r="FY122" s="16"/>
      <c r="GA122" s="78"/>
      <c r="GB122" s="79"/>
      <c r="GC122" s="16"/>
      <c r="GD122" s="16"/>
      <c r="GE122" s="16"/>
      <c r="GF122" s="16"/>
      <c r="GG122" s="16"/>
      <c r="GH122" s="16"/>
      <c r="GI122" s="16"/>
      <c r="GJ122" s="16"/>
      <c r="GK122" s="16"/>
      <c r="GL122" s="16"/>
      <c r="GM122" s="16"/>
    </row>
    <row r="123" spans="1:195" s="18" customFormat="1" ht="15" customHeight="1">
      <c r="A123" s="80">
        <v>2002</v>
      </c>
      <c r="B123" s="81" t="s">
        <v>45</v>
      </c>
      <c r="C123" s="15">
        <f t="shared" si="15"/>
        <v>0.83448415101958406</v>
      </c>
      <c r="D123" s="15">
        <f t="shared" si="16"/>
        <v>0.8553807947019868</v>
      </c>
      <c r="E123" s="15">
        <f t="shared" si="17"/>
        <v>0.97557036139713305</v>
      </c>
      <c r="F123" s="16"/>
      <c r="G123" s="33"/>
      <c r="H123" s="16">
        <v>24765</v>
      </c>
      <c r="I123" s="16">
        <f t="shared" si="24"/>
        <v>605</v>
      </c>
      <c r="J123" s="16">
        <v>24160</v>
      </c>
      <c r="K123" s="16">
        <v>20666</v>
      </c>
      <c r="L123" s="16">
        <f t="shared" si="25"/>
        <v>3494</v>
      </c>
      <c r="M123" s="16"/>
      <c r="N123" s="16"/>
      <c r="O123" s="80"/>
      <c r="P123" s="81"/>
      <c r="Q123" s="41"/>
      <c r="R123" s="41"/>
      <c r="S123" s="41"/>
      <c r="T123" s="16"/>
      <c r="U123" s="16"/>
      <c r="V123" s="16"/>
      <c r="W123" s="16"/>
      <c r="X123" s="16"/>
      <c r="Y123" s="16"/>
      <c r="Z123" s="16"/>
      <c r="AA123" s="16"/>
      <c r="AB123" s="16"/>
      <c r="AC123" s="80"/>
      <c r="AD123" s="81"/>
      <c r="AE123" s="41"/>
      <c r="AF123" s="41"/>
      <c r="AG123" s="41"/>
      <c r="AH123" s="41"/>
      <c r="AI123" s="41"/>
      <c r="AJ123" s="16"/>
      <c r="AK123" s="16"/>
      <c r="AL123" s="16"/>
      <c r="AM123" s="16"/>
      <c r="AN123" s="16"/>
      <c r="AO123" s="16"/>
      <c r="AP123" s="16"/>
      <c r="AQ123" s="80"/>
      <c r="AR123" s="81"/>
      <c r="AS123" s="41"/>
      <c r="AT123" s="41"/>
      <c r="AU123" s="41"/>
      <c r="AV123" s="16"/>
      <c r="AW123" s="16"/>
      <c r="AX123" s="16"/>
      <c r="AY123" s="16"/>
      <c r="AZ123" s="16"/>
      <c r="BA123" s="16"/>
      <c r="BB123" s="16"/>
      <c r="BC123" s="16"/>
      <c r="BD123" s="16"/>
      <c r="BE123" s="80"/>
      <c r="BF123" s="81"/>
      <c r="BG123" s="41"/>
      <c r="BH123" s="41"/>
      <c r="BI123" s="41"/>
      <c r="BJ123" s="16"/>
      <c r="BK123" s="16"/>
      <c r="BL123" s="16"/>
      <c r="BM123" s="16"/>
      <c r="BN123" s="16"/>
      <c r="BO123" s="16"/>
      <c r="BP123" s="16"/>
      <c r="BQ123" s="16"/>
      <c r="BR123" s="16"/>
      <c r="BS123" s="80"/>
      <c r="BT123" s="81"/>
      <c r="BU123" s="41"/>
      <c r="BV123" s="41"/>
      <c r="BW123" s="41"/>
      <c r="BX123" s="16"/>
      <c r="BY123" s="16"/>
      <c r="BZ123" s="16"/>
      <c r="CA123" s="16"/>
      <c r="CB123" s="16"/>
      <c r="CC123" s="16"/>
      <c r="CD123" s="16"/>
      <c r="CE123" s="16"/>
      <c r="CF123" s="16"/>
      <c r="CG123" s="80"/>
      <c r="CH123" s="81"/>
      <c r="CI123" s="41"/>
      <c r="CJ123" s="41"/>
      <c r="CK123" s="41"/>
      <c r="CL123" s="16"/>
      <c r="CM123" s="16"/>
      <c r="CN123" s="16"/>
      <c r="CO123" s="16"/>
      <c r="CP123" s="16"/>
      <c r="CQ123" s="16"/>
      <c r="CR123" s="16"/>
      <c r="CS123" s="16"/>
      <c r="CT123" s="16"/>
      <c r="CU123" s="80"/>
      <c r="CV123" s="81"/>
      <c r="CW123" s="41"/>
      <c r="CX123" s="41"/>
      <c r="CY123" s="41"/>
      <c r="CZ123" s="16"/>
      <c r="DA123" s="16"/>
      <c r="DB123" s="16"/>
      <c r="DC123" s="16"/>
      <c r="DD123" s="16"/>
      <c r="DE123" s="16"/>
      <c r="DF123" s="16"/>
      <c r="DG123" s="16"/>
      <c r="DH123" s="16"/>
      <c r="DI123" s="80"/>
      <c r="DJ123" s="81"/>
      <c r="DK123" s="41"/>
      <c r="DL123" s="41"/>
      <c r="DM123" s="41"/>
      <c r="DN123" s="16"/>
      <c r="DO123" s="16"/>
      <c r="DP123" s="16"/>
      <c r="DQ123" s="16"/>
      <c r="DR123" s="16"/>
      <c r="DS123" s="16"/>
      <c r="DT123" s="16"/>
      <c r="DU123" s="16"/>
      <c r="DV123" s="16"/>
      <c r="DW123" s="80"/>
      <c r="DX123" s="81"/>
      <c r="DY123" s="41"/>
      <c r="DZ123" s="41"/>
      <c r="EA123" s="41"/>
      <c r="EB123" s="16"/>
      <c r="EC123" s="16"/>
      <c r="ED123" s="16"/>
      <c r="EE123" s="16"/>
      <c r="EF123" s="16"/>
      <c r="EG123" s="16"/>
      <c r="EH123" s="16"/>
      <c r="EI123" s="16"/>
      <c r="EJ123" s="16"/>
      <c r="EK123" s="80"/>
      <c r="EL123" s="81"/>
      <c r="EM123" s="16"/>
      <c r="EN123" s="16"/>
      <c r="EO123" s="16"/>
      <c r="EP123" s="16"/>
      <c r="EQ123" s="16"/>
      <c r="ER123" s="16"/>
      <c r="ES123" s="16"/>
      <c r="ET123" s="16"/>
      <c r="EU123" s="16"/>
      <c r="EV123" s="16"/>
      <c r="EW123" s="16"/>
      <c r="EX123" s="16"/>
      <c r="EY123" s="80"/>
      <c r="EZ123" s="81"/>
      <c r="FA123" s="16"/>
      <c r="FB123" s="16"/>
      <c r="FC123" s="16"/>
      <c r="FD123" s="16"/>
      <c r="FE123" s="16"/>
      <c r="FF123" s="16"/>
      <c r="FG123" s="16"/>
      <c r="FH123" s="16"/>
      <c r="FI123" s="16"/>
      <c r="FJ123" s="16"/>
      <c r="FK123" s="16"/>
      <c r="FM123" s="80"/>
      <c r="FN123" s="81"/>
      <c r="FO123" s="16"/>
      <c r="FP123" s="16"/>
      <c r="FQ123" s="16"/>
      <c r="FR123" s="16"/>
      <c r="FS123" s="16"/>
      <c r="FT123" s="16"/>
      <c r="FU123" s="16"/>
      <c r="FV123" s="16"/>
      <c r="FW123" s="16"/>
      <c r="FX123" s="16"/>
      <c r="FY123" s="16"/>
      <c r="GA123" s="80"/>
      <c r="GB123" s="81"/>
      <c r="GC123" s="16"/>
      <c r="GD123" s="16"/>
      <c r="GE123" s="16"/>
      <c r="GF123" s="16"/>
      <c r="GG123" s="16"/>
      <c r="GH123" s="16"/>
      <c r="GI123" s="16"/>
      <c r="GJ123" s="16"/>
      <c r="GK123" s="16"/>
      <c r="GL123" s="16"/>
      <c r="GM123" s="16"/>
    </row>
    <row r="124" spans="1:195" s="18" customFormat="1" ht="15" customHeight="1">
      <c r="A124" s="78">
        <v>2002</v>
      </c>
      <c r="B124" s="79" t="s">
        <v>46</v>
      </c>
      <c r="C124" s="15">
        <f t="shared" si="15"/>
        <v>0.81064891846921794</v>
      </c>
      <c r="D124" s="15">
        <f t="shared" si="16"/>
        <v>0.84407484407484412</v>
      </c>
      <c r="E124" s="15">
        <f t="shared" si="17"/>
        <v>0.96039933444259562</v>
      </c>
      <c r="F124" s="16"/>
      <c r="G124" s="33"/>
      <c r="H124" s="16">
        <v>24040</v>
      </c>
      <c r="I124" s="16">
        <f t="shared" si="24"/>
        <v>952</v>
      </c>
      <c r="J124" s="16">
        <v>23088</v>
      </c>
      <c r="K124" s="16">
        <v>19488</v>
      </c>
      <c r="L124" s="16">
        <f t="shared" si="25"/>
        <v>3600</v>
      </c>
      <c r="M124" s="16"/>
      <c r="N124" s="16"/>
      <c r="O124" s="78"/>
      <c r="P124" s="79"/>
      <c r="Q124" s="41"/>
      <c r="R124" s="41"/>
      <c r="S124" s="41"/>
      <c r="T124" s="16"/>
      <c r="U124" s="16"/>
      <c r="V124" s="16"/>
      <c r="W124" s="16"/>
      <c r="X124" s="16"/>
      <c r="Y124" s="16"/>
      <c r="Z124" s="16"/>
      <c r="AA124" s="16"/>
      <c r="AB124" s="16"/>
      <c r="AC124" s="78"/>
      <c r="AD124" s="79"/>
      <c r="AE124" s="41"/>
      <c r="AF124" s="41"/>
      <c r="AG124" s="41"/>
      <c r="AH124" s="41"/>
      <c r="AI124" s="41"/>
      <c r="AJ124" s="16"/>
      <c r="AK124" s="16"/>
      <c r="AL124" s="16"/>
      <c r="AM124" s="16"/>
      <c r="AN124" s="16"/>
      <c r="AO124" s="16"/>
      <c r="AP124" s="16"/>
      <c r="AQ124" s="78"/>
      <c r="AR124" s="79"/>
      <c r="AS124" s="41"/>
      <c r="AT124" s="41"/>
      <c r="AU124" s="41"/>
      <c r="AV124" s="16"/>
      <c r="AW124" s="16"/>
      <c r="AX124" s="16"/>
      <c r="AY124" s="16"/>
      <c r="AZ124" s="16"/>
      <c r="BA124" s="16"/>
      <c r="BB124" s="16"/>
      <c r="BC124" s="16"/>
      <c r="BD124" s="16"/>
      <c r="BE124" s="78"/>
      <c r="BF124" s="79"/>
      <c r="BG124" s="41"/>
      <c r="BH124" s="41"/>
      <c r="BI124" s="41"/>
      <c r="BJ124" s="16"/>
      <c r="BK124" s="16"/>
      <c r="BL124" s="16"/>
      <c r="BM124" s="16"/>
      <c r="BN124" s="16"/>
      <c r="BO124" s="16"/>
      <c r="BP124" s="16"/>
      <c r="BQ124" s="16"/>
      <c r="BR124" s="16"/>
      <c r="BS124" s="78"/>
      <c r="BT124" s="79"/>
      <c r="BU124" s="41"/>
      <c r="BV124" s="41"/>
      <c r="BW124" s="41"/>
      <c r="BX124" s="16"/>
      <c r="BY124" s="16"/>
      <c r="BZ124" s="16"/>
      <c r="CA124" s="16"/>
      <c r="CB124" s="16"/>
      <c r="CC124" s="16"/>
      <c r="CD124" s="16"/>
      <c r="CE124" s="16"/>
      <c r="CF124" s="16"/>
      <c r="CG124" s="78"/>
      <c r="CH124" s="79"/>
      <c r="CI124" s="41"/>
      <c r="CJ124" s="41"/>
      <c r="CK124" s="41"/>
      <c r="CL124" s="16"/>
      <c r="CM124" s="16"/>
      <c r="CN124" s="16"/>
      <c r="CO124" s="16"/>
      <c r="CP124" s="16"/>
      <c r="CQ124" s="16"/>
      <c r="CR124" s="16"/>
      <c r="CS124" s="16"/>
      <c r="CT124" s="16"/>
      <c r="CU124" s="78"/>
      <c r="CV124" s="79"/>
      <c r="CW124" s="41"/>
      <c r="CX124" s="41"/>
      <c r="CY124" s="41"/>
      <c r="CZ124" s="16"/>
      <c r="DA124" s="16"/>
      <c r="DB124" s="16"/>
      <c r="DC124" s="16"/>
      <c r="DD124" s="16"/>
      <c r="DE124" s="16"/>
      <c r="DF124" s="16"/>
      <c r="DG124" s="16"/>
      <c r="DH124" s="16"/>
      <c r="DI124" s="78"/>
      <c r="DJ124" s="79"/>
      <c r="DK124" s="41"/>
      <c r="DL124" s="41"/>
      <c r="DM124" s="41"/>
      <c r="DN124" s="16"/>
      <c r="DO124" s="16"/>
      <c r="DP124" s="16"/>
      <c r="DQ124" s="16"/>
      <c r="DR124" s="16"/>
      <c r="DS124" s="16"/>
      <c r="DT124" s="16"/>
      <c r="DU124" s="16"/>
      <c r="DV124" s="16"/>
      <c r="DW124" s="78"/>
      <c r="DX124" s="79"/>
      <c r="DY124" s="41"/>
      <c r="DZ124" s="41"/>
      <c r="EA124" s="41"/>
      <c r="EB124" s="16"/>
      <c r="EC124" s="16"/>
      <c r="ED124" s="16"/>
      <c r="EE124" s="16"/>
      <c r="EF124" s="16"/>
      <c r="EG124" s="16"/>
      <c r="EH124" s="16"/>
      <c r="EI124" s="16"/>
      <c r="EJ124" s="16"/>
      <c r="EK124" s="78"/>
      <c r="EL124" s="79"/>
      <c r="EM124" s="16"/>
      <c r="EN124" s="16"/>
      <c r="EO124" s="16"/>
      <c r="EP124" s="16"/>
      <c r="EQ124" s="16"/>
      <c r="ER124" s="16"/>
      <c r="ES124" s="16"/>
      <c r="ET124" s="16"/>
      <c r="EU124" s="16"/>
      <c r="EV124" s="16"/>
      <c r="EW124" s="16"/>
      <c r="EX124" s="16"/>
      <c r="EY124" s="78"/>
      <c r="EZ124" s="79"/>
      <c r="FA124" s="16"/>
      <c r="FB124" s="16"/>
      <c r="FC124" s="16"/>
      <c r="FD124" s="16"/>
      <c r="FE124" s="16"/>
      <c r="FF124" s="16"/>
      <c r="FG124" s="16"/>
      <c r="FH124" s="16"/>
      <c r="FI124" s="16"/>
      <c r="FJ124" s="16"/>
      <c r="FK124" s="16"/>
      <c r="FM124" s="78"/>
      <c r="FN124" s="79"/>
      <c r="FO124" s="16"/>
      <c r="FP124" s="16"/>
      <c r="FQ124" s="16"/>
      <c r="FR124" s="16"/>
      <c r="FS124" s="16"/>
      <c r="FT124" s="16"/>
      <c r="FU124" s="16"/>
      <c r="FV124" s="16"/>
      <c r="FW124" s="16"/>
      <c r="FX124" s="16"/>
      <c r="FY124" s="16"/>
      <c r="GA124" s="78"/>
      <c r="GB124" s="79"/>
      <c r="GC124" s="16"/>
      <c r="GD124" s="16"/>
      <c r="GE124" s="16"/>
      <c r="GF124" s="16"/>
      <c r="GG124" s="16"/>
      <c r="GH124" s="16"/>
      <c r="GI124" s="16"/>
      <c r="GJ124" s="16"/>
      <c r="GK124" s="16"/>
      <c r="GL124" s="16"/>
      <c r="GM124" s="16"/>
    </row>
    <row r="125" spans="1:195" s="18" customFormat="1" ht="15" customHeight="1">
      <c r="A125" s="80">
        <v>2002</v>
      </c>
      <c r="B125" s="81" t="s">
        <v>47</v>
      </c>
      <c r="C125" s="15">
        <f t="shared" si="15"/>
        <v>0.86377227114478805</v>
      </c>
      <c r="D125" s="15">
        <f t="shared" si="16"/>
        <v>0.89307190649614632</v>
      </c>
      <c r="E125" s="15">
        <f t="shared" si="17"/>
        <v>0.96719229981568711</v>
      </c>
      <c r="F125" s="16"/>
      <c r="G125" s="33"/>
      <c r="H125" s="16">
        <v>24415</v>
      </c>
      <c r="I125" s="16">
        <f t="shared" si="24"/>
        <v>801</v>
      </c>
      <c r="J125" s="16">
        <v>23614</v>
      </c>
      <c r="K125" s="16">
        <v>21089</v>
      </c>
      <c r="L125" s="16">
        <f t="shared" si="25"/>
        <v>2525</v>
      </c>
      <c r="M125" s="16"/>
      <c r="N125" s="16"/>
      <c r="O125" s="80"/>
      <c r="P125" s="81"/>
      <c r="Q125" s="41"/>
      <c r="R125" s="41"/>
      <c r="S125" s="41"/>
      <c r="T125" s="16"/>
      <c r="U125" s="16"/>
      <c r="V125" s="16"/>
      <c r="W125" s="16"/>
      <c r="X125" s="16"/>
      <c r="Y125" s="16"/>
      <c r="Z125" s="16"/>
      <c r="AA125" s="16"/>
      <c r="AB125" s="16"/>
      <c r="AC125" s="80"/>
      <c r="AD125" s="81"/>
      <c r="AE125" s="41"/>
      <c r="AF125" s="41"/>
      <c r="AG125" s="41"/>
      <c r="AH125" s="41"/>
      <c r="AI125" s="41"/>
      <c r="AJ125" s="16"/>
      <c r="AK125" s="16"/>
      <c r="AL125" s="16"/>
      <c r="AM125" s="16"/>
      <c r="AN125" s="16"/>
      <c r="AO125" s="16"/>
      <c r="AP125" s="16"/>
      <c r="AQ125" s="80"/>
      <c r="AR125" s="81"/>
      <c r="AS125" s="41"/>
      <c r="AT125" s="41"/>
      <c r="AU125" s="41"/>
      <c r="AV125" s="16"/>
      <c r="AW125" s="16"/>
      <c r="AX125" s="16"/>
      <c r="AY125" s="16"/>
      <c r="AZ125" s="16"/>
      <c r="BA125" s="16"/>
      <c r="BB125" s="16"/>
      <c r="BC125" s="16"/>
      <c r="BD125" s="16"/>
      <c r="BE125" s="80"/>
      <c r="BF125" s="81"/>
      <c r="BG125" s="41"/>
      <c r="BH125" s="41"/>
      <c r="BI125" s="41"/>
      <c r="BJ125" s="16"/>
      <c r="BK125" s="16"/>
      <c r="BL125" s="16"/>
      <c r="BM125" s="16"/>
      <c r="BN125" s="16"/>
      <c r="BO125" s="16"/>
      <c r="BP125" s="16"/>
      <c r="BQ125" s="16"/>
      <c r="BR125" s="16"/>
      <c r="BS125" s="80"/>
      <c r="BT125" s="81"/>
      <c r="BU125" s="41"/>
      <c r="BV125" s="41"/>
      <c r="BW125" s="41"/>
      <c r="BX125" s="16"/>
      <c r="BY125" s="16"/>
      <c r="BZ125" s="16"/>
      <c r="CA125" s="16"/>
      <c r="CB125" s="16"/>
      <c r="CC125" s="16"/>
      <c r="CD125" s="16"/>
      <c r="CE125" s="16"/>
      <c r="CF125" s="16"/>
      <c r="CG125" s="80"/>
      <c r="CH125" s="81"/>
      <c r="CI125" s="41"/>
      <c r="CJ125" s="41"/>
      <c r="CK125" s="41"/>
      <c r="CL125" s="16"/>
      <c r="CM125" s="16"/>
      <c r="CN125" s="16"/>
      <c r="CO125" s="16"/>
      <c r="CP125" s="16"/>
      <c r="CQ125" s="16"/>
      <c r="CR125" s="16"/>
      <c r="CS125" s="16"/>
      <c r="CT125" s="16"/>
      <c r="CU125" s="80"/>
      <c r="CV125" s="81"/>
      <c r="CW125" s="41"/>
      <c r="CX125" s="41"/>
      <c r="CY125" s="41"/>
      <c r="CZ125" s="16"/>
      <c r="DA125" s="16"/>
      <c r="DB125" s="16"/>
      <c r="DC125" s="16"/>
      <c r="DD125" s="16"/>
      <c r="DE125" s="16"/>
      <c r="DF125" s="16"/>
      <c r="DG125" s="16"/>
      <c r="DH125" s="16"/>
      <c r="DI125" s="80"/>
      <c r="DJ125" s="81"/>
      <c r="DK125" s="41"/>
      <c r="DL125" s="41"/>
      <c r="DM125" s="41"/>
      <c r="DN125" s="16"/>
      <c r="DO125" s="16"/>
      <c r="DP125" s="16"/>
      <c r="DQ125" s="16"/>
      <c r="DR125" s="16"/>
      <c r="DS125" s="16"/>
      <c r="DT125" s="16"/>
      <c r="DU125" s="16"/>
      <c r="DV125" s="16"/>
      <c r="DW125" s="80"/>
      <c r="DX125" s="81"/>
      <c r="DY125" s="41"/>
      <c r="DZ125" s="41"/>
      <c r="EA125" s="41"/>
      <c r="EB125" s="16"/>
      <c r="EC125" s="16"/>
      <c r="ED125" s="16"/>
      <c r="EE125" s="16"/>
      <c r="EF125" s="16"/>
      <c r="EG125" s="16"/>
      <c r="EH125" s="16"/>
      <c r="EI125" s="16"/>
      <c r="EJ125" s="16"/>
      <c r="EK125" s="80"/>
      <c r="EL125" s="81"/>
      <c r="EM125" s="16"/>
      <c r="EN125" s="16"/>
      <c r="EO125" s="16"/>
      <c r="EP125" s="16"/>
      <c r="EQ125" s="16"/>
      <c r="ER125" s="16"/>
      <c r="ES125" s="16"/>
      <c r="ET125" s="16"/>
      <c r="EU125" s="16"/>
      <c r="EV125" s="16"/>
      <c r="EW125" s="16"/>
      <c r="EX125" s="16"/>
      <c r="EY125" s="80"/>
      <c r="EZ125" s="81"/>
      <c r="FA125" s="16"/>
      <c r="FB125" s="16"/>
      <c r="FC125" s="16"/>
      <c r="FD125" s="16"/>
      <c r="FE125" s="16"/>
      <c r="FF125" s="16"/>
      <c r="FG125" s="16"/>
      <c r="FH125" s="16"/>
      <c r="FI125" s="16"/>
      <c r="FJ125" s="16"/>
      <c r="FK125" s="16"/>
      <c r="FM125" s="80"/>
      <c r="FN125" s="81"/>
      <c r="FO125" s="16"/>
      <c r="FP125" s="16"/>
      <c r="FQ125" s="16"/>
      <c r="FR125" s="16"/>
      <c r="FS125" s="16"/>
      <c r="FT125" s="16"/>
      <c r="FU125" s="16"/>
      <c r="FV125" s="16"/>
      <c r="FW125" s="16"/>
      <c r="FX125" s="16"/>
      <c r="FY125" s="16"/>
      <c r="GA125" s="80"/>
      <c r="GB125" s="81"/>
      <c r="GC125" s="16"/>
      <c r="GD125" s="16"/>
      <c r="GE125" s="16"/>
      <c r="GF125" s="16"/>
      <c r="GG125" s="16"/>
      <c r="GH125" s="16"/>
      <c r="GI125" s="16"/>
      <c r="GJ125" s="16"/>
      <c r="GK125" s="16"/>
      <c r="GL125" s="16"/>
      <c r="GM125" s="16"/>
    </row>
    <row r="126" spans="1:195" s="18" customFormat="1" ht="15" customHeight="1">
      <c r="A126" s="78">
        <v>2003</v>
      </c>
      <c r="B126" s="79" t="s">
        <v>36</v>
      </c>
      <c r="C126" s="15">
        <f t="shared" si="15"/>
        <v>0.84770725096001809</v>
      </c>
      <c r="D126" s="15">
        <f t="shared" si="16"/>
        <v>0.89030176504080472</v>
      </c>
      <c r="E126" s="15">
        <f t="shared" si="17"/>
        <v>0.95215721707702738</v>
      </c>
      <c r="F126" s="16"/>
      <c r="G126" s="33"/>
      <c r="H126" s="16">
        <f>1168+1230+1594+1515+2771+2734+11123</f>
        <v>22135</v>
      </c>
      <c r="I126" s="16">
        <f t="shared" ref="I126:I134" si="26">H126-J126</f>
        <v>1059</v>
      </c>
      <c r="J126" s="16">
        <f>1033+1223+1533+1507+2659+2674+10447</f>
        <v>21076</v>
      </c>
      <c r="K126" s="16">
        <f>72+1157+1389+1485+2406+2431+9824</f>
        <v>18764</v>
      </c>
      <c r="L126" s="16">
        <f t="shared" ref="L126:L134" si="27">J126-K126</f>
        <v>2312</v>
      </c>
      <c r="M126" s="16"/>
      <c r="N126" s="16"/>
      <c r="O126" s="78"/>
      <c r="P126" s="79"/>
      <c r="Q126" s="41"/>
      <c r="R126" s="41"/>
      <c r="S126" s="41"/>
      <c r="T126" s="16"/>
      <c r="U126" s="16"/>
      <c r="V126" s="16"/>
      <c r="W126" s="16"/>
      <c r="X126" s="16"/>
      <c r="Y126" s="16"/>
      <c r="Z126" s="16"/>
      <c r="AA126" s="16"/>
      <c r="AB126" s="16"/>
      <c r="AC126" s="78"/>
      <c r="AD126" s="79"/>
      <c r="AE126" s="41"/>
      <c r="AF126" s="41"/>
      <c r="AG126" s="41"/>
      <c r="AH126" s="41"/>
      <c r="AI126" s="41"/>
      <c r="AJ126" s="16"/>
      <c r="AK126" s="16"/>
      <c r="AL126" s="16"/>
      <c r="AM126" s="16"/>
      <c r="AN126" s="16"/>
      <c r="AO126" s="16"/>
      <c r="AP126" s="16"/>
      <c r="AQ126" s="78"/>
      <c r="AR126" s="79"/>
      <c r="AS126" s="41"/>
      <c r="AT126" s="41"/>
      <c r="AU126" s="41"/>
      <c r="AV126" s="16"/>
      <c r="AW126" s="16"/>
      <c r="AX126" s="16"/>
      <c r="AY126" s="16"/>
      <c r="AZ126" s="16"/>
      <c r="BA126" s="16"/>
      <c r="BB126" s="16"/>
      <c r="BC126" s="16"/>
      <c r="BD126" s="16"/>
      <c r="BE126" s="78"/>
      <c r="BF126" s="79"/>
      <c r="BG126" s="41"/>
      <c r="BH126" s="41"/>
      <c r="BI126" s="41"/>
      <c r="BJ126" s="16"/>
      <c r="BK126" s="16"/>
      <c r="BL126" s="16"/>
      <c r="BM126" s="16"/>
      <c r="BN126" s="16"/>
      <c r="BO126" s="16"/>
      <c r="BP126" s="16"/>
      <c r="BQ126" s="16"/>
      <c r="BR126" s="16"/>
      <c r="BS126" s="78"/>
      <c r="BT126" s="79"/>
      <c r="BU126" s="41"/>
      <c r="BV126" s="41"/>
      <c r="BW126" s="41"/>
      <c r="BX126" s="16"/>
      <c r="BY126" s="16"/>
      <c r="BZ126" s="16"/>
      <c r="CA126" s="16"/>
      <c r="CB126" s="16"/>
      <c r="CC126" s="16"/>
      <c r="CD126" s="16"/>
      <c r="CE126" s="16"/>
      <c r="CF126" s="16"/>
      <c r="CG126" s="78"/>
      <c r="CH126" s="79"/>
      <c r="CI126" s="41"/>
      <c r="CJ126" s="41"/>
      <c r="CK126" s="41"/>
      <c r="CL126" s="16"/>
      <c r="CM126" s="16"/>
      <c r="CN126" s="16"/>
      <c r="CO126" s="16"/>
      <c r="CP126" s="16"/>
      <c r="CQ126" s="16"/>
      <c r="CR126" s="16"/>
      <c r="CS126" s="16"/>
      <c r="CT126" s="16"/>
      <c r="CU126" s="78"/>
      <c r="CV126" s="79"/>
      <c r="CW126" s="41"/>
      <c r="CX126" s="41"/>
      <c r="CY126" s="41"/>
      <c r="CZ126" s="16"/>
      <c r="DA126" s="16"/>
      <c r="DB126" s="16"/>
      <c r="DC126" s="16"/>
      <c r="DD126" s="16"/>
      <c r="DE126" s="16"/>
      <c r="DF126" s="16"/>
      <c r="DG126" s="16"/>
      <c r="DH126" s="16"/>
      <c r="DI126" s="78"/>
      <c r="DJ126" s="79"/>
      <c r="DK126" s="41"/>
      <c r="DL126" s="41"/>
      <c r="DM126" s="41"/>
      <c r="DN126" s="16"/>
      <c r="DO126" s="16"/>
      <c r="DP126" s="16"/>
      <c r="DQ126" s="16"/>
      <c r="DR126" s="16"/>
      <c r="DS126" s="16"/>
      <c r="DT126" s="16"/>
      <c r="DU126" s="16"/>
      <c r="DV126" s="16"/>
      <c r="DW126" s="78"/>
      <c r="DX126" s="79"/>
      <c r="DY126" s="41"/>
      <c r="DZ126" s="41"/>
      <c r="EA126" s="41"/>
      <c r="EB126" s="16"/>
      <c r="EC126" s="16"/>
      <c r="ED126" s="16"/>
      <c r="EE126" s="16"/>
      <c r="EF126" s="16"/>
      <c r="EG126" s="16"/>
      <c r="EH126" s="16"/>
      <c r="EI126" s="16"/>
      <c r="EJ126" s="16"/>
      <c r="EK126" s="78"/>
      <c r="EL126" s="79"/>
      <c r="EM126" s="16"/>
      <c r="EN126" s="16"/>
      <c r="EO126" s="16"/>
      <c r="EP126" s="16"/>
      <c r="EQ126" s="16"/>
      <c r="ER126" s="16"/>
      <c r="ES126" s="16"/>
      <c r="ET126" s="16"/>
      <c r="EU126" s="16"/>
      <c r="EV126" s="16"/>
      <c r="EW126" s="16"/>
      <c r="EX126" s="16"/>
      <c r="EY126" s="78"/>
      <c r="EZ126" s="79"/>
      <c r="FA126" s="16"/>
      <c r="FB126" s="16"/>
      <c r="FC126" s="16"/>
      <c r="FD126" s="16"/>
      <c r="FE126" s="16"/>
      <c r="FF126" s="16"/>
      <c r="FG126" s="16"/>
      <c r="FH126" s="16"/>
      <c r="FI126" s="16"/>
      <c r="FJ126" s="16"/>
      <c r="FK126" s="16"/>
      <c r="FM126" s="78"/>
      <c r="FN126" s="79"/>
      <c r="FO126" s="16"/>
      <c r="FP126" s="16"/>
      <c r="FQ126" s="16"/>
      <c r="FR126" s="16"/>
      <c r="FS126" s="16"/>
      <c r="FT126" s="16"/>
      <c r="FU126" s="16"/>
      <c r="FV126" s="16"/>
      <c r="FW126" s="16"/>
      <c r="FX126" s="16"/>
      <c r="FY126" s="16"/>
      <c r="GA126" s="78"/>
      <c r="GB126" s="79"/>
      <c r="GC126" s="16"/>
      <c r="GD126" s="16"/>
      <c r="GE126" s="16"/>
      <c r="GF126" s="16"/>
      <c r="GG126" s="16"/>
      <c r="GH126" s="16"/>
      <c r="GI126" s="16"/>
      <c r="GJ126" s="16"/>
      <c r="GK126" s="16"/>
      <c r="GL126" s="16"/>
      <c r="GM126" s="16"/>
    </row>
    <row r="127" spans="1:195" s="18" customFormat="1" ht="15" customHeight="1">
      <c r="A127" s="80">
        <v>2003</v>
      </c>
      <c r="B127" s="81" t="s">
        <v>37</v>
      </c>
      <c r="C127" s="15">
        <f t="shared" si="15"/>
        <v>0.80678877165040808</v>
      </c>
      <c r="D127" s="15">
        <f t="shared" si="16"/>
        <v>0.87593213011996107</v>
      </c>
      <c r="E127" s="15">
        <f t="shared" si="17"/>
        <v>0.92106310969540117</v>
      </c>
      <c r="F127" s="16"/>
      <c r="G127" s="33"/>
      <c r="H127" s="16">
        <f>1056+1112+1448+1376+2508+2476+10116</f>
        <v>20092</v>
      </c>
      <c r="I127" s="16">
        <f t="shared" si="26"/>
        <v>1586</v>
      </c>
      <c r="J127" s="16">
        <f>910+1089+1379+1357+2394+2406+8971</f>
        <v>18506</v>
      </c>
      <c r="K127" s="16">
        <f>40+1028+1264+1300+2058+2085+8435</f>
        <v>16210</v>
      </c>
      <c r="L127" s="16">
        <f t="shared" si="27"/>
        <v>2296</v>
      </c>
      <c r="M127" s="16"/>
      <c r="N127" s="16"/>
      <c r="O127" s="80"/>
      <c r="P127" s="81"/>
      <c r="Q127" s="41"/>
      <c r="R127" s="41"/>
      <c r="S127" s="41"/>
      <c r="T127" s="16"/>
      <c r="U127" s="16"/>
      <c r="V127" s="16"/>
      <c r="W127" s="16"/>
      <c r="X127" s="16"/>
      <c r="Y127" s="16"/>
      <c r="Z127" s="16"/>
      <c r="AA127" s="16"/>
      <c r="AB127" s="16"/>
      <c r="AC127" s="80"/>
      <c r="AD127" s="81"/>
      <c r="AE127" s="41"/>
      <c r="AF127" s="41"/>
      <c r="AG127" s="41"/>
      <c r="AH127" s="41"/>
      <c r="AI127" s="41"/>
      <c r="AJ127" s="16"/>
      <c r="AK127" s="16"/>
      <c r="AL127" s="16"/>
      <c r="AM127" s="16"/>
      <c r="AN127" s="16"/>
      <c r="AO127" s="16"/>
      <c r="AP127" s="16"/>
      <c r="AQ127" s="80"/>
      <c r="AR127" s="81"/>
      <c r="AS127" s="41"/>
      <c r="AT127" s="41"/>
      <c r="AU127" s="41"/>
      <c r="AV127" s="16"/>
      <c r="AW127" s="16"/>
      <c r="AX127" s="16"/>
      <c r="AY127" s="16"/>
      <c r="AZ127" s="16"/>
      <c r="BA127" s="16"/>
      <c r="BB127" s="16"/>
      <c r="BC127" s="16"/>
      <c r="BD127" s="16"/>
      <c r="BE127" s="80"/>
      <c r="BF127" s="81"/>
      <c r="BG127" s="41"/>
      <c r="BH127" s="41"/>
      <c r="BI127" s="41"/>
      <c r="BJ127" s="16"/>
      <c r="BK127" s="16"/>
      <c r="BL127" s="16"/>
      <c r="BM127" s="16"/>
      <c r="BN127" s="16"/>
      <c r="BO127" s="16"/>
      <c r="BP127" s="16"/>
      <c r="BQ127" s="16"/>
      <c r="BR127" s="16"/>
      <c r="BS127" s="80"/>
      <c r="BT127" s="81"/>
      <c r="BU127" s="41"/>
      <c r="BV127" s="41"/>
      <c r="BW127" s="41"/>
      <c r="BX127" s="16"/>
      <c r="BY127" s="16"/>
      <c r="BZ127" s="16"/>
      <c r="CA127" s="16"/>
      <c r="CB127" s="16"/>
      <c r="CC127" s="16"/>
      <c r="CD127" s="16"/>
      <c r="CE127" s="16"/>
      <c r="CF127" s="16"/>
      <c r="CG127" s="80"/>
      <c r="CH127" s="81"/>
      <c r="CI127" s="41"/>
      <c r="CJ127" s="41"/>
      <c r="CK127" s="41"/>
      <c r="CL127" s="16"/>
      <c r="CM127" s="16"/>
      <c r="CN127" s="16"/>
      <c r="CO127" s="16"/>
      <c r="CP127" s="16"/>
      <c r="CQ127" s="16"/>
      <c r="CR127" s="16"/>
      <c r="CS127" s="16"/>
      <c r="CT127" s="16"/>
      <c r="CU127" s="80"/>
      <c r="CV127" s="81"/>
      <c r="CW127" s="41"/>
      <c r="CX127" s="41"/>
      <c r="CY127" s="41"/>
      <c r="CZ127" s="16"/>
      <c r="DA127" s="16"/>
      <c r="DB127" s="16"/>
      <c r="DC127" s="16"/>
      <c r="DD127" s="16"/>
      <c r="DE127" s="16"/>
      <c r="DF127" s="16"/>
      <c r="DG127" s="16"/>
      <c r="DH127" s="16"/>
      <c r="DI127" s="80"/>
      <c r="DJ127" s="81"/>
      <c r="DK127" s="41"/>
      <c r="DL127" s="41"/>
      <c r="DM127" s="41"/>
      <c r="DN127" s="16"/>
      <c r="DO127" s="16"/>
      <c r="DP127" s="16"/>
      <c r="DQ127" s="16"/>
      <c r="DR127" s="16"/>
      <c r="DS127" s="16"/>
      <c r="DT127" s="16"/>
      <c r="DU127" s="16"/>
      <c r="DV127" s="16"/>
      <c r="DW127" s="80"/>
      <c r="DX127" s="81"/>
      <c r="DY127" s="41"/>
      <c r="DZ127" s="41"/>
      <c r="EA127" s="41"/>
      <c r="EB127" s="16"/>
      <c r="EC127" s="16"/>
      <c r="ED127" s="16"/>
      <c r="EE127" s="16"/>
      <c r="EF127" s="16"/>
      <c r="EG127" s="16"/>
      <c r="EH127" s="16"/>
      <c r="EI127" s="16"/>
      <c r="EJ127" s="16"/>
      <c r="EK127" s="80"/>
      <c r="EL127" s="81"/>
      <c r="EM127" s="16"/>
      <c r="EN127" s="16"/>
      <c r="EO127" s="16"/>
      <c r="EP127" s="16"/>
      <c r="EQ127" s="16"/>
      <c r="ER127" s="16"/>
      <c r="ES127" s="16"/>
      <c r="ET127" s="16"/>
      <c r="EU127" s="16"/>
      <c r="EV127" s="16"/>
      <c r="EW127" s="16"/>
      <c r="EX127" s="16"/>
      <c r="EY127" s="80"/>
      <c r="EZ127" s="81"/>
      <c r="FA127" s="16"/>
      <c r="FB127" s="16"/>
      <c r="FC127" s="16"/>
      <c r="FD127" s="16"/>
      <c r="FE127" s="16"/>
      <c r="FF127" s="16"/>
      <c r="FG127" s="16"/>
      <c r="FH127" s="16"/>
      <c r="FI127" s="16"/>
      <c r="FJ127" s="16"/>
      <c r="FK127" s="16"/>
      <c r="FM127" s="80"/>
      <c r="FN127" s="81"/>
      <c r="FO127" s="16"/>
      <c r="FP127" s="16"/>
      <c r="FQ127" s="16"/>
      <c r="FR127" s="16"/>
      <c r="FS127" s="16"/>
      <c r="FT127" s="16"/>
      <c r="FU127" s="16"/>
      <c r="FV127" s="16"/>
      <c r="FW127" s="16"/>
      <c r="FX127" s="16"/>
      <c r="FY127" s="16"/>
      <c r="GA127" s="80"/>
      <c r="GB127" s="81"/>
      <c r="GC127" s="16"/>
      <c r="GD127" s="16"/>
      <c r="GE127" s="16"/>
      <c r="GF127" s="16"/>
      <c r="GG127" s="16"/>
      <c r="GH127" s="16"/>
      <c r="GI127" s="16"/>
      <c r="GJ127" s="16"/>
      <c r="GK127" s="16"/>
      <c r="GL127" s="16"/>
      <c r="GM127" s="16"/>
    </row>
    <row r="128" spans="1:195" s="18" customFormat="1" ht="15" customHeight="1">
      <c r="A128" s="78">
        <v>2003</v>
      </c>
      <c r="B128" s="79" t="s">
        <v>38</v>
      </c>
      <c r="C128" s="15">
        <f t="shared" si="15"/>
        <v>0.7746075715604801</v>
      </c>
      <c r="D128" s="15">
        <f t="shared" si="16"/>
        <v>0.851804843377164</v>
      </c>
      <c r="E128" s="15">
        <f t="shared" si="17"/>
        <v>0.90937211449676825</v>
      </c>
      <c r="F128" s="16"/>
      <c r="G128" s="33"/>
      <c r="H128" s="16">
        <f>1166+1228+1578+1491+2726+2681+10790</f>
        <v>21660</v>
      </c>
      <c r="I128" s="16">
        <f t="shared" si="26"/>
        <v>1963</v>
      </c>
      <c r="J128" s="16">
        <f>958+1175+1454+1408+2517+2487+9698</f>
        <v>19697</v>
      </c>
      <c r="K128" s="16">
        <f>44+1117+1298+1333+2035+2055+8896</f>
        <v>16778</v>
      </c>
      <c r="L128" s="16">
        <f t="shared" si="27"/>
        <v>2919</v>
      </c>
      <c r="M128" s="16"/>
      <c r="N128" s="16"/>
      <c r="O128" s="78"/>
      <c r="P128" s="79"/>
      <c r="Q128" s="41"/>
      <c r="R128" s="41"/>
      <c r="S128" s="41"/>
      <c r="T128" s="16"/>
      <c r="U128" s="16"/>
      <c r="V128" s="16"/>
      <c r="W128" s="16"/>
      <c r="X128" s="16"/>
      <c r="Y128" s="16"/>
      <c r="Z128" s="16"/>
      <c r="AA128" s="16"/>
      <c r="AB128" s="16"/>
      <c r="AC128" s="78"/>
      <c r="AD128" s="79"/>
      <c r="AE128" s="41"/>
      <c r="AF128" s="41"/>
      <c r="AG128" s="41"/>
      <c r="AH128" s="41"/>
      <c r="AI128" s="41"/>
      <c r="AJ128" s="16"/>
      <c r="AK128" s="16"/>
      <c r="AL128" s="16"/>
      <c r="AM128" s="16"/>
      <c r="AN128" s="16"/>
      <c r="AO128" s="16"/>
      <c r="AP128" s="16"/>
      <c r="AQ128" s="78"/>
      <c r="AR128" s="79"/>
      <c r="AS128" s="41"/>
      <c r="AT128" s="41"/>
      <c r="AU128" s="41"/>
      <c r="AV128" s="16"/>
      <c r="AW128" s="16"/>
      <c r="AX128" s="16"/>
      <c r="AY128" s="16"/>
      <c r="AZ128" s="16"/>
      <c r="BA128" s="16"/>
      <c r="BB128" s="16"/>
      <c r="BC128" s="16"/>
      <c r="BD128" s="16"/>
      <c r="BE128" s="78"/>
      <c r="BF128" s="79"/>
      <c r="BG128" s="41"/>
      <c r="BH128" s="41"/>
      <c r="BI128" s="41"/>
      <c r="BJ128" s="16"/>
      <c r="BK128" s="16"/>
      <c r="BL128" s="16"/>
      <c r="BM128" s="16"/>
      <c r="BN128" s="16"/>
      <c r="BO128" s="16"/>
      <c r="BP128" s="16"/>
      <c r="BQ128" s="16"/>
      <c r="BR128" s="16"/>
      <c r="BS128" s="78"/>
      <c r="BT128" s="79"/>
      <c r="BU128" s="41"/>
      <c r="BV128" s="41"/>
      <c r="BW128" s="41"/>
      <c r="BX128" s="16"/>
      <c r="BY128" s="16"/>
      <c r="BZ128" s="16"/>
      <c r="CA128" s="16"/>
      <c r="CB128" s="16"/>
      <c r="CC128" s="16"/>
      <c r="CD128" s="16"/>
      <c r="CE128" s="16"/>
      <c r="CF128" s="16"/>
      <c r="CG128" s="78"/>
      <c r="CH128" s="79"/>
      <c r="CI128" s="41"/>
      <c r="CJ128" s="41"/>
      <c r="CK128" s="41"/>
      <c r="CL128" s="16"/>
      <c r="CM128" s="16"/>
      <c r="CN128" s="16"/>
      <c r="CO128" s="16"/>
      <c r="CP128" s="16"/>
      <c r="CQ128" s="16"/>
      <c r="CR128" s="16"/>
      <c r="CS128" s="16"/>
      <c r="CT128" s="16"/>
      <c r="CU128" s="78"/>
      <c r="CV128" s="79"/>
      <c r="CW128" s="41"/>
      <c r="CX128" s="41"/>
      <c r="CY128" s="41"/>
      <c r="CZ128" s="16"/>
      <c r="DA128" s="16"/>
      <c r="DB128" s="16"/>
      <c r="DC128" s="16"/>
      <c r="DD128" s="16"/>
      <c r="DE128" s="16"/>
      <c r="DF128" s="16"/>
      <c r="DG128" s="16"/>
      <c r="DH128" s="16"/>
      <c r="DI128" s="78"/>
      <c r="DJ128" s="79"/>
      <c r="DK128" s="41"/>
      <c r="DL128" s="41"/>
      <c r="DM128" s="41"/>
      <c r="DN128" s="16"/>
      <c r="DO128" s="16"/>
      <c r="DP128" s="16"/>
      <c r="DQ128" s="16"/>
      <c r="DR128" s="16"/>
      <c r="DS128" s="16"/>
      <c r="DT128" s="16"/>
      <c r="DU128" s="16"/>
      <c r="DV128" s="16"/>
      <c r="DW128" s="78"/>
      <c r="DX128" s="79"/>
      <c r="DY128" s="41"/>
      <c r="DZ128" s="41"/>
      <c r="EA128" s="41"/>
      <c r="EB128" s="16"/>
      <c r="EC128" s="16"/>
      <c r="ED128" s="16"/>
      <c r="EE128" s="16"/>
      <c r="EF128" s="16"/>
      <c r="EG128" s="16"/>
      <c r="EH128" s="16"/>
      <c r="EI128" s="16"/>
      <c r="EJ128" s="16"/>
      <c r="EK128" s="78"/>
      <c r="EL128" s="79"/>
      <c r="EM128" s="16"/>
      <c r="EN128" s="16"/>
      <c r="EO128" s="16"/>
      <c r="EP128" s="16"/>
      <c r="EQ128" s="16"/>
      <c r="ER128" s="16"/>
      <c r="ES128" s="16"/>
      <c r="ET128" s="16"/>
      <c r="EU128" s="16"/>
      <c r="EV128" s="16"/>
      <c r="EW128" s="16"/>
      <c r="EX128" s="16"/>
      <c r="EY128" s="78"/>
      <c r="EZ128" s="79"/>
      <c r="FA128" s="16"/>
      <c r="FB128" s="16"/>
      <c r="FC128" s="16"/>
      <c r="FD128" s="16"/>
      <c r="FE128" s="16"/>
      <c r="FF128" s="16"/>
      <c r="FG128" s="16"/>
      <c r="FH128" s="16"/>
      <c r="FI128" s="16"/>
      <c r="FJ128" s="16"/>
      <c r="FK128" s="16"/>
      <c r="FM128" s="78"/>
      <c r="FN128" s="79"/>
      <c r="FO128" s="16"/>
      <c r="FP128" s="16"/>
      <c r="FQ128" s="16"/>
      <c r="FR128" s="16"/>
      <c r="FS128" s="16"/>
      <c r="FT128" s="16"/>
      <c r="FU128" s="16"/>
      <c r="FV128" s="16"/>
      <c r="FW128" s="16"/>
      <c r="FX128" s="16"/>
      <c r="FY128" s="16"/>
      <c r="GA128" s="78"/>
      <c r="GB128" s="79"/>
      <c r="GC128" s="16"/>
      <c r="GD128" s="16"/>
      <c r="GE128" s="16"/>
      <c r="GF128" s="16"/>
      <c r="GG128" s="16"/>
      <c r="GH128" s="16"/>
      <c r="GI128" s="16"/>
      <c r="GJ128" s="16"/>
      <c r="GK128" s="16"/>
      <c r="GL128" s="16"/>
      <c r="GM128" s="16"/>
    </row>
    <row r="129" spans="1:195" s="18" customFormat="1" ht="15" customHeight="1">
      <c r="A129" s="80">
        <v>2003</v>
      </c>
      <c r="B129" s="81" t="s">
        <v>39</v>
      </c>
      <c r="C129" s="15">
        <f t="shared" si="15"/>
        <v>0.8373290878441656</v>
      </c>
      <c r="D129" s="15">
        <f t="shared" si="16"/>
        <v>0.87502446662752009</v>
      </c>
      <c r="E129" s="15">
        <f t="shared" si="17"/>
        <v>0.95692077168008993</v>
      </c>
      <c r="F129" s="16"/>
      <c r="G129" s="33"/>
      <c r="H129" s="16">
        <v>21356</v>
      </c>
      <c r="I129" s="16">
        <f t="shared" si="26"/>
        <v>920</v>
      </c>
      <c r="J129" s="16">
        <v>20436</v>
      </c>
      <c r="K129" s="16">
        <v>17882</v>
      </c>
      <c r="L129" s="16">
        <f t="shared" si="27"/>
        <v>2554</v>
      </c>
      <c r="M129" s="16"/>
      <c r="N129" s="16"/>
      <c r="O129" s="80"/>
      <c r="P129" s="81"/>
      <c r="Q129" s="41"/>
      <c r="R129" s="41"/>
      <c r="S129" s="41"/>
      <c r="T129" s="16"/>
      <c r="U129" s="16"/>
      <c r="V129" s="16"/>
      <c r="W129" s="16"/>
      <c r="X129" s="16"/>
      <c r="Y129" s="16"/>
      <c r="Z129" s="16"/>
      <c r="AA129" s="16"/>
      <c r="AB129" s="16"/>
      <c r="AC129" s="80"/>
      <c r="AD129" s="81"/>
      <c r="AE129" s="41"/>
      <c r="AF129" s="41"/>
      <c r="AG129" s="41"/>
      <c r="AH129" s="41"/>
      <c r="AI129" s="41"/>
      <c r="AJ129" s="16"/>
      <c r="AK129" s="16"/>
      <c r="AL129" s="16"/>
      <c r="AM129" s="16"/>
      <c r="AN129" s="16"/>
      <c r="AO129" s="16"/>
      <c r="AP129" s="16"/>
      <c r="AQ129" s="80"/>
      <c r="AR129" s="81"/>
      <c r="AS129" s="41"/>
      <c r="AT129" s="41"/>
      <c r="AU129" s="41"/>
      <c r="AV129" s="16"/>
      <c r="AW129" s="16"/>
      <c r="AX129" s="16"/>
      <c r="AY129" s="16"/>
      <c r="AZ129" s="16"/>
      <c r="BA129" s="16"/>
      <c r="BB129" s="16"/>
      <c r="BC129" s="16"/>
      <c r="BD129" s="16"/>
      <c r="BE129" s="80"/>
      <c r="BF129" s="81"/>
      <c r="BG129" s="41"/>
      <c r="BH129" s="41"/>
      <c r="BI129" s="41"/>
      <c r="BJ129" s="16"/>
      <c r="BK129" s="16"/>
      <c r="BL129" s="16"/>
      <c r="BM129" s="16"/>
      <c r="BN129" s="16"/>
      <c r="BO129" s="16"/>
      <c r="BP129" s="16"/>
      <c r="BQ129" s="16"/>
      <c r="BR129" s="16"/>
      <c r="BS129" s="80"/>
      <c r="BT129" s="81"/>
      <c r="BU129" s="41"/>
      <c r="BV129" s="41"/>
      <c r="BW129" s="41"/>
      <c r="BX129" s="16"/>
      <c r="BY129" s="16"/>
      <c r="BZ129" s="16"/>
      <c r="CA129" s="16"/>
      <c r="CB129" s="16"/>
      <c r="CC129" s="16"/>
      <c r="CD129" s="16"/>
      <c r="CE129" s="16"/>
      <c r="CF129" s="16"/>
      <c r="CG129" s="80"/>
      <c r="CH129" s="81"/>
      <c r="CI129" s="41"/>
      <c r="CJ129" s="41"/>
      <c r="CK129" s="41"/>
      <c r="CL129" s="16"/>
      <c r="CM129" s="16"/>
      <c r="CN129" s="16"/>
      <c r="CO129" s="16"/>
      <c r="CP129" s="16"/>
      <c r="CQ129" s="16"/>
      <c r="CR129" s="16"/>
      <c r="CS129" s="16"/>
      <c r="CT129" s="16"/>
      <c r="CU129" s="80"/>
      <c r="CV129" s="81"/>
      <c r="CW129" s="41"/>
      <c r="CX129" s="41"/>
      <c r="CY129" s="41"/>
      <c r="CZ129" s="16"/>
      <c r="DA129" s="16"/>
      <c r="DB129" s="16"/>
      <c r="DC129" s="16"/>
      <c r="DD129" s="16"/>
      <c r="DE129" s="16"/>
      <c r="DF129" s="16"/>
      <c r="DG129" s="16"/>
      <c r="DH129" s="16"/>
      <c r="DI129" s="80"/>
      <c r="DJ129" s="81"/>
      <c r="DK129" s="41"/>
      <c r="DL129" s="41"/>
      <c r="DM129" s="41"/>
      <c r="DN129" s="16"/>
      <c r="DO129" s="16"/>
      <c r="DP129" s="16"/>
      <c r="DQ129" s="16"/>
      <c r="DR129" s="16"/>
      <c r="DS129" s="16"/>
      <c r="DT129" s="16"/>
      <c r="DU129" s="16"/>
      <c r="DV129" s="16"/>
      <c r="DW129" s="80"/>
      <c r="DX129" s="81"/>
      <c r="DY129" s="41"/>
      <c r="DZ129" s="41"/>
      <c r="EA129" s="41"/>
      <c r="EB129" s="16"/>
      <c r="EC129" s="16"/>
      <c r="ED129" s="16"/>
      <c r="EE129" s="16"/>
      <c r="EF129" s="16"/>
      <c r="EG129" s="16"/>
      <c r="EH129" s="16"/>
      <c r="EI129" s="16"/>
      <c r="EJ129" s="16"/>
      <c r="EK129" s="80"/>
      <c r="EL129" s="81"/>
      <c r="EM129" s="16"/>
      <c r="EN129" s="16"/>
      <c r="EO129" s="16"/>
      <c r="EP129" s="16"/>
      <c r="EQ129" s="16"/>
      <c r="ER129" s="16"/>
      <c r="ES129" s="16"/>
      <c r="ET129" s="16"/>
      <c r="EU129" s="16"/>
      <c r="EV129" s="16"/>
      <c r="EW129" s="16"/>
      <c r="EX129" s="16"/>
      <c r="EY129" s="80"/>
      <c r="EZ129" s="81"/>
      <c r="FA129" s="16"/>
      <c r="FB129" s="16"/>
      <c r="FC129" s="16"/>
      <c r="FD129" s="16"/>
      <c r="FE129" s="16"/>
      <c r="FF129" s="16"/>
      <c r="FG129" s="16"/>
      <c r="FH129" s="16"/>
      <c r="FI129" s="16"/>
      <c r="FJ129" s="16"/>
      <c r="FK129" s="16"/>
      <c r="FM129" s="80"/>
      <c r="FN129" s="81"/>
      <c r="FO129" s="16"/>
      <c r="FP129" s="16"/>
      <c r="FQ129" s="16"/>
      <c r="FR129" s="16"/>
      <c r="FS129" s="16"/>
      <c r="FT129" s="16"/>
      <c r="FU129" s="16"/>
      <c r="FV129" s="16"/>
      <c r="FW129" s="16"/>
      <c r="FX129" s="16"/>
      <c r="FY129" s="16"/>
      <c r="GA129" s="80"/>
      <c r="GB129" s="81"/>
      <c r="GC129" s="16"/>
      <c r="GD129" s="16"/>
      <c r="GE129" s="16"/>
      <c r="GF129" s="16"/>
      <c r="GG129" s="16"/>
      <c r="GH129" s="16"/>
      <c r="GI129" s="16"/>
      <c r="GJ129" s="16"/>
      <c r="GK129" s="16"/>
      <c r="GL129" s="16"/>
      <c r="GM129" s="16"/>
    </row>
    <row r="130" spans="1:195" s="18" customFormat="1" ht="15" customHeight="1">
      <c r="A130" s="78">
        <v>2003</v>
      </c>
      <c r="B130" s="79" t="s">
        <v>40</v>
      </c>
      <c r="C130" s="15">
        <f t="shared" si="15"/>
        <v>0.82390938452440521</v>
      </c>
      <c r="D130" s="15">
        <f t="shared" si="16"/>
        <v>0.87518724329548203</v>
      </c>
      <c r="E130" s="15">
        <f t="shared" si="17"/>
        <v>0.94140927080016379</v>
      </c>
      <c r="F130" s="16"/>
      <c r="G130" s="33"/>
      <c r="H130" s="16">
        <v>21983</v>
      </c>
      <c r="I130" s="16">
        <f t="shared" si="26"/>
        <v>1288</v>
      </c>
      <c r="J130" s="16">
        <v>20695</v>
      </c>
      <c r="K130" s="16">
        <v>18112</v>
      </c>
      <c r="L130" s="16">
        <f t="shared" si="27"/>
        <v>2583</v>
      </c>
      <c r="M130" s="16"/>
      <c r="N130" s="16"/>
      <c r="O130" s="78"/>
      <c r="P130" s="79"/>
      <c r="Q130" s="41"/>
      <c r="R130" s="41"/>
      <c r="S130" s="41"/>
      <c r="T130" s="16"/>
      <c r="U130" s="16"/>
      <c r="V130" s="16"/>
      <c r="W130" s="16"/>
      <c r="X130" s="16"/>
      <c r="Y130" s="16"/>
      <c r="Z130" s="16"/>
      <c r="AA130" s="16"/>
      <c r="AB130" s="16"/>
      <c r="AC130" s="78"/>
      <c r="AD130" s="79"/>
      <c r="AE130" s="41"/>
      <c r="AF130" s="41"/>
      <c r="AG130" s="41"/>
      <c r="AH130" s="41"/>
      <c r="AI130" s="41"/>
      <c r="AJ130" s="16"/>
      <c r="AK130" s="16"/>
      <c r="AL130" s="16"/>
      <c r="AM130" s="16"/>
      <c r="AN130" s="16"/>
      <c r="AO130" s="16"/>
      <c r="AP130" s="16"/>
      <c r="AQ130" s="78"/>
      <c r="AR130" s="79"/>
      <c r="AS130" s="41"/>
      <c r="AT130" s="41"/>
      <c r="AU130" s="41"/>
      <c r="AV130" s="16"/>
      <c r="AW130" s="16"/>
      <c r="AX130" s="16"/>
      <c r="AY130" s="16"/>
      <c r="AZ130" s="16"/>
      <c r="BA130" s="16"/>
      <c r="BB130" s="16"/>
      <c r="BC130" s="16"/>
      <c r="BD130" s="16"/>
      <c r="BE130" s="78"/>
      <c r="BF130" s="79"/>
      <c r="BG130" s="41"/>
      <c r="BH130" s="41"/>
      <c r="BI130" s="41"/>
      <c r="BJ130" s="16"/>
      <c r="BK130" s="16"/>
      <c r="BL130" s="16"/>
      <c r="BM130" s="16"/>
      <c r="BN130" s="16"/>
      <c r="BO130" s="16"/>
      <c r="BP130" s="16"/>
      <c r="BQ130" s="16"/>
      <c r="BR130" s="16"/>
      <c r="BS130" s="78"/>
      <c r="BT130" s="79"/>
      <c r="BU130" s="41"/>
      <c r="BV130" s="41"/>
      <c r="BW130" s="41"/>
      <c r="BX130" s="16"/>
      <c r="BY130" s="16"/>
      <c r="BZ130" s="16"/>
      <c r="CA130" s="16"/>
      <c r="CB130" s="16"/>
      <c r="CC130" s="16"/>
      <c r="CD130" s="16"/>
      <c r="CE130" s="16"/>
      <c r="CF130" s="16"/>
      <c r="CG130" s="78"/>
      <c r="CH130" s="79"/>
      <c r="CI130" s="41"/>
      <c r="CJ130" s="41"/>
      <c r="CK130" s="41"/>
      <c r="CL130" s="16"/>
      <c r="CM130" s="16"/>
      <c r="CN130" s="16"/>
      <c r="CO130" s="16"/>
      <c r="CP130" s="16"/>
      <c r="CQ130" s="16"/>
      <c r="CR130" s="16"/>
      <c r="CS130" s="16"/>
      <c r="CT130" s="16"/>
      <c r="CU130" s="78"/>
      <c r="CV130" s="79"/>
      <c r="CW130" s="41"/>
      <c r="CX130" s="41"/>
      <c r="CY130" s="41"/>
      <c r="CZ130" s="16"/>
      <c r="DA130" s="16"/>
      <c r="DB130" s="16"/>
      <c r="DC130" s="16"/>
      <c r="DD130" s="16"/>
      <c r="DE130" s="16"/>
      <c r="DF130" s="16"/>
      <c r="DG130" s="16"/>
      <c r="DH130" s="16"/>
      <c r="DI130" s="78"/>
      <c r="DJ130" s="79"/>
      <c r="DK130" s="41"/>
      <c r="DL130" s="41"/>
      <c r="DM130" s="41"/>
      <c r="DN130" s="16"/>
      <c r="DO130" s="16"/>
      <c r="DP130" s="16"/>
      <c r="DQ130" s="16"/>
      <c r="DR130" s="16"/>
      <c r="DS130" s="16"/>
      <c r="DT130" s="16"/>
      <c r="DU130" s="16"/>
      <c r="DV130" s="16"/>
      <c r="DW130" s="78"/>
      <c r="DX130" s="79"/>
      <c r="DY130" s="41"/>
      <c r="DZ130" s="41"/>
      <c r="EA130" s="41"/>
      <c r="EB130" s="16"/>
      <c r="EC130" s="16"/>
      <c r="ED130" s="16"/>
      <c r="EE130" s="16"/>
      <c r="EF130" s="16"/>
      <c r="EG130" s="16"/>
      <c r="EH130" s="16"/>
      <c r="EI130" s="16"/>
      <c r="EJ130" s="16"/>
      <c r="EK130" s="78"/>
      <c r="EL130" s="79"/>
      <c r="EM130" s="16"/>
      <c r="EN130" s="16"/>
      <c r="EO130" s="16"/>
      <c r="EP130" s="16"/>
      <c r="EQ130" s="16"/>
      <c r="ER130" s="16"/>
      <c r="ES130" s="16"/>
      <c r="ET130" s="16"/>
      <c r="EU130" s="16"/>
      <c r="EV130" s="16"/>
      <c r="EW130" s="16"/>
      <c r="EX130" s="16"/>
      <c r="EY130" s="78"/>
      <c r="EZ130" s="79"/>
      <c r="FA130" s="16"/>
      <c r="FB130" s="16"/>
      <c r="FC130" s="16"/>
      <c r="FD130" s="16"/>
      <c r="FE130" s="16"/>
      <c r="FF130" s="16"/>
      <c r="FG130" s="16"/>
      <c r="FH130" s="16"/>
      <c r="FI130" s="16"/>
      <c r="FJ130" s="16"/>
      <c r="FK130" s="16"/>
      <c r="FM130" s="78"/>
      <c r="FN130" s="79"/>
      <c r="FO130" s="16"/>
      <c r="FP130" s="16"/>
      <c r="FQ130" s="16"/>
      <c r="FR130" s="16"/>
      <c r="FS130" s="16"/>
      <c r="FT130" s="16"/>
      <c r="FU130" s="16"/>
      <c r="FV130" s="16"/>
      <c r="FW130" s="16"/>
      <c r="FX130" s="16"/>
      <c r="FY130" s="16"/>
      <c r="GA130" s="78"/>
      <c r="GB130" s="79"/>
      <c r="GC130" s="16"/>
      <c r="GD130" s="16"/>
      <c r="GE130" s="16"/>
      <c r="GF130" s="16"/>
      <c r="GG130" s="16"/>
      <c r="GH130" s="16"/>
      <c r="GI130" s="16"/>
      <c r="GJ130" s="16"/>
      <c r="GK130" s="16"/>
      <c r="GL130" s="16"/>
      <c r="GM130" s="16"/>
    </row>
    <row r="131" spans="1:195" s="18" customFormat="1" ht="15" customHeight="1">
      <c r="A131" s="80">
        <v>2003</v>
      </c>
      <c r="B131" s="81" t="s">
        <v>41</v>
      </c>
      <c r="C131" s="15">
        <f t="shared" si="15"/>
        <v>0.82157459351526096</v>
      </c>
      <c r="D131" s="15">
        <f t="shared" si="16"/>
        <v>0.87751993093992786</v>
      </c>
      <c r="E131" s="15">
        <f t="shared" si="17"/>
        <v>0.93624607777883428</v>
      </c>
      <c r="F131" s="16"/>
      <c r="G131" s="33"/>
      <c r="H131" s="16">
        <v>21034</v>
      </c>
      <c r="I131" s="16">
        <f t="shared" si="26"/>
        <v>1341</v>
      </c>
      <c r="J131" s="16">
        <v>19693</v>
      </c>
      <c r="K131" s="16">
        <v>17281</v>
      </c>
      <c r="L131" s="16">
        <f t="shared" si="27"/>
        <v>2412</v>
      </c>
      <c r="M131" s="16"/>
      <c r="N131" s="16"/>
      <c r="O131" s="80"/>
      <c r="P131" s="81"/>
      <c r="Q131" s="41"/>
      <c r="R131" s="41"/>
      <c r="S131" s="41"/>
      <c r="T131" s="16"/>
      <c r="U131" s="16"/>
      <c r="V131" s="16"/>
      <c r="W131" s="16"/>
      <c r="X131" s="16"/>
      <c r="Y131" s="16"/>
      <c r="Z131" s="16"/>
      <c r="AA131" s="16"/>
      <c r="AB131" s="16"/>
      <c r="AC131" s="80"/>
      <c r="AD131" s="81"/>
      <c r="AE131" s="41"/>
      <c r="AF131" s="41"/>
      <c r="AG131" s="41"/>
      <c r="AH131" s="41"/>
      <c r="AI131" s="41"/>
      <c r="AJ131" s="16"/>
      <c r="AK131" s="16"/>
      <c r="AL131" s="16"/>
      <c r="AM131" s="16"/>
      <c r="AN131" s="16"/>
      <c r="AO131" s="16"/>
      <c r="AP131" s="16"/>
      <c r="AQ131" s="80"/>
      <c r="AR131" s="81"/>
      <c r="AS131" s="41"/>
      <c r="AT131" s="41"/>
      <c r="AU131" s="41"/>
      <c r="AV131" s="16"/>
      <c r="AW131" s="16"/>
      <c r="AX131" s="16"/>
      <c r="AY131" s="16"/>
      <c r="AZ131" s="16"/>
      <c r="BA131" s="16"/>
      <c r="BB131" s="16"/>
      <c r="BC131" s="16"/>
      <c r="BD131" s="16"/>
      <c r="BE131" s="80"/>
      <c r="BF131" s="81"/>
      <c r="BG131" s="41"/>
      <c r="BH131" s="41"/>
      <c r="BI131" s="41"/>
      <c r="BJ131" s="16"/>
      <c r="BK131" s="16"/>
      <c r="BL131" s="16"/>
      <c r="BM131" s="16"/>
      <c r="BN131" s="16"/>
      <c r="BO131" s="16"/>
      <c r="BP131" s="16"/>
      <c r="BQ131" s="16"/>
      <c r="BR131" s="16"/>
      <c r="BS131" s="80"/>
      <c r="BT131" s="81"/>
      <c r="BU131" s="41"/>
      <c r="BV131" s="41"/>
      <c r="BW131" s="41"/>
      <c r="BX131" s="16"/>
      <c r="BY131" s="16"/>
      <c r="BZ131" s="16"/>
      <c r="CA131" s="16"/>
      <c r="CB131" s="16"/>
      <c r="CC131" s="16"/>
      <c r="CD131" s="16"/>
      <c r="CE131" s="16"/>
      <c r="CF131" s="16"/>
      <c r="CG131" s="80"/>
      <c r="CH131" s="81"/>
      <c r="CI131" s="41"/>
      <c r="CJ131" s="41"/>
      <c r="CK131" s="41"/>
      <c r="CL131" s="16"/>
      <c r="CM131" s="16"/>
      <c r="CN131" s="16"/>
      <c r="CO131" s="16"/>
      <c r="CP131" s="16"/>
      <c r="CQ131" s="16"/>
      <c r="CR131" s="16"/>
      <c r="CS131" s="16"/>
      <c r="CT131" s="16"/>
      <c r="CU131" s="80"/>
      <c r="CV131" s="81"/>
      <c r="CW131" s="41"/>
      <c r="CX131" s="41"/>
      <c r="CY131" s="41"/>
      <c r="CZ131" s="16"/>
      <c r="DA131" s="16"/>
      <c r="DB131" s="16"/>
      <c r="DC131" s="16"/>
      <c r="DD131" s="16"/>
      <c r="DE131" s="16"/>
      <c r="DF131" s="16"/>
      <c r="DG131" s="16"/>
      <c r="DH131" s="16"/>
      <c r="DI131" s="80"/>
      <c r="DJ131" s="81"/>
      <c r="DK131" s="41"/>
      <c r="DL131" s="41"/>
      <c r="DM131" s="41"/>
      <c r="DN131" s="16"/>
      <c r="DO131" s="16"/>
      <c r="DP131" s="16"/>
      <c r="DQ131" s="16"/>
      <c r="DR131" s="16"/>
      <c r="DS131" s="16"/>
      <c r="DT131" s="16"/>
      <c r="DU131" s="16"/>
      <c r="DV131" s="16"/>
      <c r="DW131" s="80"/>
      <c r="DX131" s="81"/>
      <c r="DY131" s="41"/>
      <c r="DZ131" s="41"/>
      <c r="EA131" s="41"/>
      <c r="EB131" s="16"/>
      <c r="EC131" s="16"/>
      <c r="ED131" s="16"/>
      <c r="EE131" s="16"/>
      <c r="EF131" s="16"/>
      <c r="EG131" s="16"/>
      <c r="EH131" s="16"/>
      <c r="EI131" s="16"/>
      <c r="EJ131" s="16"/>
      <c r="EK131" s="80"/>
      <c r="EL131" s="81"/>
      <c r="EM131" s="16"/>
      <c r="EN131" s="16"/>
      <c r="EO131" s="16"/>
      <c r="EP131" s="16"/>
      <c r="EQ131" s="16"/>
      <c r="ER131" s="16"/>
      <c r="ES131" s="16"/>
      <c r="ET131" s="16"/>
      <c r="EU131" s="16"/>
      <c r="EV131" s="16"/>
      <c r="EW131" s="16"/>
      <c r="EX131" s="16"/>
      <c r="EY131" s="80"/>
      <c r="EZ131" s="81"/>
      <c r="FA131" s="16"/>
      <c r="FB131" s="16"/>
      <c r="FC131" s="16"/>
      <c r="FD131" s="16"/>
      <c r="FE131" s="16"/>
      <c r="FF131" s="16"/>
      <c r="FG131" s="16"/>
      <c r="FH131" s="16"/>
      <c r="FI131" s="16"/>
      <c r="FJ131" s="16"/>
      <c r="FK131" s="16"/>
      <c r="FM131" s="80"/>
      <c r="FN131" s="81"/>
      <c r="FO131" s="16"/>
      <c r="FP131" s="16"/>
      <c r="FQ131" s="16"/>
      <c r="FR131" s="16"/>
      <c r="FS131" s="16"/>
      <c r="FT131" s="16"/>
      <c r="FU131" s="16"/>
      <c r="FV131" s="16"/>
      <c r="FW131" s="16"/>
      <c r="FX131" s="16"/>
      <c r="FY131" s="16"/>
      <c r="GA131" s="80"/>
      <c r="GB131" s="81"/>
      <c r="GC131" s="16"/>
      <c r="GD131" s="16"/>
      <c r="GE131" s="16"/>
      <c r="GF131" s="16"/>
      <c r="GG131" s="16"/>
      <c r="GH131" s="16"/>
      <c r="GI131" s="16"/>
      <c r="GJ131" s="16"/>
      <c r="GK131" s="16"/>
      <c r="GL131" s="16"/>
      <c r="GM131" s="16"/>
    </row>
    <row r="132" spans="1:195" s="18" customFormat="1" ht="15" customHeight="1">
      <c r="A132" s="78">
        <v>2003</v>
      </c>
      <c r="B132" s="79" t="s">
        <v>42</v>
      </c>
      <c r="C132" s="15">
        <f t="shared" si="15"/>
        <v>0.83433557896640598</v>
      </c>
      <c r="D132" s="15">
        <f t="shared" si="16"/>
        <v>0.88351048549267452</v>
      </c>
      <c r="E132" s="15">
        <f t="shared" si="17"/>
        <v>0.94434145679793824</v>
      </c>
      <c r="F132" s="16"/>
      <c r="G132" s="33"/>
      <c r="H132" s="16">
        <v>22117</v>
      </c>
      <c r="I132" s="16">
        <f t="shared" si="26"/>
        <v>1231</v>
      </c>
      <c r="J132" s="16">
        <v>20886</v>
      </c>
      <c r="K132" s="16">
        <v>18453</v>
      </c>
      <c r="L132" s="16">
        <f t="shared" si="27"/>
        <v>2433</v>
      </c>
      <c r="M132" s="16"/>
      <c r="N132" s="16"/>
      <c r="O132" s="78"/>
      <c r="P132" s="79"/>
      <c r="Q132" s="41"/>
      <c r="R132" s="41"/>
      <c r="S132" s="41"/>
      <c r="T132" s="16"/>
      <c r="U132" s="16"/>
      <c r="V132" s="16"/>
      <c r="W132" s="16"/>
      <c r="X132" s="16"/>
      <c r="Y132" s="16"/>
      <c r="Z132" s="16"/>
      <c r="AA132" s="16"/>
      <c r="AB132" s="16"/>
      <c r="AC132" s="78"/>
      <c r="AD132" s="79"/>
      <c r="AE132" s="41"/>
      <c r="AF132" s="41"/>
      <c r="AG132" s="41"/>
      <c r="AH132" s="41"/>
      <c r="AI132" s="41"/>
      <c r="AJ132" s="16"/>
      <c r="AK132" s="16"/>
      <c r="AL132" s="16"/>
      <c r="AM132" s="16"/>
      <c r="AN132" s="16"/>
      <c r="AO132" s="16"/>
      <c r="AP132" s="16"/>
      <c r="AQ132" s="78"/>
      <c r="AR132" s="79"/>
      <c r="AS132" s="41"/>
      <c r="AT132" s="41"/>
      <c r="AU132" s="41"/>
      <c r="AV132" s="16"/>
      <c r="AW132" s="16"/>
      <c r="AX132" s="16"/>
      <c r="AY132" s="16"/>
      <c r="AZ132" s="16"/>
      <c r="BA132" s="16"/>
      <c r="BB132" s="16"/>
      <c r="BC132" s="16"/>
      <c r="BD132" s="16"/>
      <c r="BE132" s="78"/>
      <c r="BF132" s="79"/>
      <c r="BG132" s="41"/>
      <c r="BH132" s="41"/>
      <c r="BI132" s="41"/>
      <c r="BJ132" s="16"/>
      <c r="BK132" s="16"/>
      <c r="BL132" s="16"/>
      <c r="BM132" s="16"/>
      <c r="BN132" s="16"/>
      <c r="BO132" s="16"/>
      <c r="BP132" s="16"/>
      <c r="BQ132" s="16"/>
      <c r="BR132" s="16"/>
      <c r="BS132" s="78"/>
      <c r="BT132" s="79"/>
      <c r="BU132" s="41"/>
      <c r="BV132" s="41"/>
      <c r="BW132" s="41"/>
      <c r="BX132" s="16"/>
      <c r="BY132" s="16"/>
      <c r="BZ132" s="16"/>
      <c r="CA132" s="16"/>
      <c r="CB132" s="16"/>
      <c r="CC132" s="16"/>
      <c r="CD132" s="16"/>
      <c r="CE132" s="16"/>
      <c r="CF132" s="16"/>
      <c r="CG132" s="78"/>
      <c r="CH132" s="79"/>
      <c r="CI132" s="41"/>
      <c r="CJ132" s="41"/>
      <c r="CK132" s="41"/>
      <c r="CL132" s="16"/>
      <c r="CM132" s="16"/>
      <c r="CN132" s="16"/>
      <c r="CO132" s="16"/>
      <c r="CP132" s="16"/>
      <c r="CQ132" s="16"/>
      <c r="CR132" s="16"/>
      <c r="CS132" s="16"/>
      <c r="CT132" s="16"/>
      <c r="CU132" s="78"/>
      <c r="CV132" s="79"/>
      <c r="CW132" s="41"/>
      <c r="CX132" s="41"/>
      <c r="CY132" s="41"/>
      <c r="CZ132" s="16"/>
      <c r="DA132" s="16"/>
      <c r="DB132" s="16"/>
      <c r="DC132" s="16"/>
      <c r="DD132" s="16"/>
      <c r="DE132" s="16"/>
      <c r="DF132" s="16"/>
      <c r="DG132" s="16"/>
      <c r="DH132" s="16"/>
      <c r="DI132" s="78"/>
      <c r="DJ132" s="79"/>
      <c r="DK132" s="41"/>
      <c r="DL132" s="41"/>
      <c r="DM132" s="41"/>
      <c r="DN132" s="16"/>
      <c r="DO132" s="16"/>
      <c r="DP132" s="16"/>
      <c r="DQ132" s="16"/>
      <c r="DR132" s="16"/>
      <c r="DS132" s="16"/>
      <c r="DT132" s="16"/>
      <c r="DU132" s="16"/>
      <c r="DV132" s="16"/>
      <c r="DW132" s="78"/>
      <c r="DX132" s="79"/>
      <c r="DY132" s="41"/>
      <c r="DZ132" s="41"/>
      <c r="EA132" s="41"/>
      <c r="EB132" s="16"/>
      <c r="EC132" s="16"/>
      <c r="ED132" s="16"/>
      <c r="EE132" s="16"/>
      <c r="EF132" s="16"/>
      <c r="EG132" s="16"/>
      <c r="EH132" s="16"/>
      <c r="EI132" s="16"/>
      <c r="EJ132" s="16"/>
      <c r="EK132" s="78"/>
      <c r="EL132" s="79"/>
      <c r="EM132" s="16"/>
      <c r="EN132" s="16"/>
      <c r="EO132" s="16"/>
      <c r="EP132" s="16"/>
      <c r="EQ132" s="16"/>
      <c r="ER132" s="16"/>
      <c r="ES132" s="16"/>
      <c r="ET132" s="16"/>
      <c r="EU132" s="16"/>
      <c r="EV132" s="16"/>
      <c r="EW132" s="16"/>
      <c r="EX132" s="16"/>
      <c r="EY132" s="78"/>
      <c r="EZ132" s="79"/>
      <c r="FA132" s="16"/>
      <c r="FB132" s="16"/>
      <c r="FC132" s="16"/>
      <c r="FD132" s="16"/>
      <c r="FE132" s="16"/>
      <c r="FF132" s="16"/>
      <c r="FG132" s="16"/>
      <c r="FH132" s="16"/>
      <c r="FI132" s="16"/>
      <c r="FJ132" s="16"/>
      <c r="FK132" s="16"/>
      <c r="FM132" s="78"/>
      <c r="FN132" s="79"/>
      <c r="FO132" s="16"/>
      <c r="FP132" s="16"/>
      <c r="FQ132" s="16"/>
      <c r="FR132" s="16"/>
      <c r="FS132" s="16"/>
      <c r="FT132" s="16"/>
      <c r="FU132" s="16"/>
      <c r="FV132" s="16"/>
      <c r="FW132" s="16"/>
      <c r="FX132" s="16"/>
      <c r="FY132" s="16"/>
      <c r="GA132" s="78"/>
      <c r="GB132" s="79"/>
      <c r="GC132" s="16"/>
      <c r="GD132" s="16"/>
      <c r="GE132" s="16"/>
      <c r="GF132" s="16"/>
      <c r="GG132" s="16"/>
      <c r="GH132" s="16"/>
      <c r="GI132" s="16"/>
      <c r="GJ132" s="16"/>
      <c r="GK132" s="16"/>
      <c r="GL132" s="16"/>
      <c r="GM132" s="16"/>
    </row>
    <row r="133" spans="1:195" s="18" customFormat="1" ht="15" customHeight="1">
      <c r="A133" s="80">
        <v>2003</v>
      </c>
      <c r="B133" s="81" t="s">
        <v>43</v>
      </c>
      <c r="C133" s="15">
        <f t="shared" si="15"/>
        <v>0.85063945703864441</v>
      </c>
      <c r="D133" s="15">
        <f t="shared" si="16"/>
        <v>0.89337147844639475</v>
      </c>
      <c r="E133" s="15">
        <f t="shared" si="17"/>
        <v>0.95216769010572977</v>
      </c>
      <c r="F133" s="16"/>
      <c r="G133" s="33"/>
      <c r="H133" s="16">
        <v>21659</v>
      </c>
      <c r="I133" s="16">
        <f t="shared" si="26"/>
        <v>1036</v>
      </c>
      <c r="J133" s="16">
        <v>20623</v>
      </c>
      <c r="K133" s="16">
        <v>18424</v>
      </c>
      <c r="L133" s="16">
        <f t="shared" si="27"/>
        <v>2199</v>
      </c>
      <c r="M133" s="16"/>
      <c r="N133" s="16"/>
      <c r="O133" s="80"/>
      <c r="P133" s="81"/>
      <c r="Q133" s="41"/>
      <c r="R133" s="41"/>
      <c r="S133" s="41"/>
      <c r="T133" s="16"/>
      <c r="U133" s="16"/>
      <c r="V133" s="16"/>
      <c r="W133" s="16"/>
      <c r="X133" s="16"/>
      <c r="Y133" s="16"/>
      <c r="Z133" s="16"/>
      <c r="AA133" s="16"/>
      <c r="AB133" s="16"/>
      <c r="AC133" s="80"/>
      <c r="AD133" s="81"/>
      <c r="AE133" s="41"/>
      <c r="AF133" s="41"/>
      <c r="AG133" s="41"/>
      <c r="AH133" s="41"/>
      <c r="AI133" s="41"/>
      <c r="AJ133" s="16"/>
      <c r="AK133" s="16"/>
      <c r="AL133" s="16"/>
      <c r="AM133" s="16"/>
      <c r="AN133" s="16"/>
      <c r="AO133" s="16"/>
      <c r="AP133" s="16"/>
      <c r="AQ133" s="80"/>
      <c r="AR133" s="81"/>
      <c r="AS133" s="41"/>
      <c r="AT133" s="41"/>
      <c r="AU133" s="41"/>
      <c r="AV133" s="16"/>
      <c r="AW133" s="16"/>
      <c r="AX133" s="16"/>
      <c r="AY133" s="16"/>
      <c r="AZ133" s="16"/>
      <c r="BA133" s="16"/>
      <c r="BB133" s="16"/>
      <c r="BC133" s="16"/>
      <c r="BD133" s="16"/>
      <c r="BE133" s="80"/>
      <c r="BF133" s="81"/>
      <c r="BG133" s="41"/>
      <c r="BH133" s="41"/>
      <c r="BI133" s="41"/>
      <c r="BJ133" s="16"/>
      <c r="BK133" s="16"/>
      <c r="BL133" s="16"/>
      <c r="BM133" s="16"/>
      <c r="BN133" s="16"/>
      <c r="BO133" s="16"/>
      <c r="BP133" s="16"/>
      <c r="BQ133" s="16"/>
      <c r="BR133" s="16"/>
      <c r="BS133" s="80"/>
      <c r="BT133" s="81"/>
      <c r="BU133" s="41"/>
      <c r="BV133" s="41"/>
      <c r="BW133" s="41"/>
      <c r="BX133" s="16"/>
      <c r="BY133" s="16"/>
      <c r="BZ133" s="16"/>
      <c r="CA133" s="16"/>
      <c r="CB133" s="16"/>
      <c r="CC133" s="16"/>
      <c r="CD133" s="16"/>
      <c r="CE133" s="16"/>
      <c r="CF133" s="16"/>
      <c r="CG133" s="80"/>
      <c r="CH133" s="81"/>
      <c r="CI133" s="41"/>
      <c r="CJ133" s="41"/>
      <c r="CK133" s="41"/>
      <c r="CL133" s="16"/>
      <c r="CM133" s="16"/>
      <c r="CN133" s="16"/>
      <c r="CO133" s="16"/>
      <c r="CP133" s="16"/>
      <c r="CQ133" s="16"/>
      <c r="CR133" s="16"/>
      <c r="CS133" s="16"/>
      <c r="CT133" s="16"/>
      <c r="CU133" s="80"/>
      <c r="CV133" s="81"/>
      <c r="CW133" s="41"/>
      <c r="CX133" s="41"/>
      <c r="CY133" s="41"/>
      <c r="CZ133" s="16"/>
      <c r="DA133" s="16"/>
      <c r="DB133" s="16"/>
      <c r="DC133" s="16"/>
      <c r="DD133" s="16"/>
      <c r="DE133" s="16"/>
      <c r="DF133" s="16"/>
      <c r="DG133" s="16"/>
      <c r="DH133" s="16"/>
      <c r="DI133" s="80"/>
      <c r="DJ133" s="81"/>
      <c r="DK133" s="41"/>
      <c r="DL133" s="41"/>
      <c r="DM133" s="41"/>
      <c r="DN133" s="16"/>
      <c r="DO133" s="16"/>
      <c r="DP133" s="16"/>
      <c r="DQ133" s="16"/>
      <c r="DR133" s="16"/>
      <c r="DS133" s="16"/>
      <c r="DT133" s="16"/>
      <c r="DU133" s="16"/>
      <c r="DV133" s="16"/>
      <c r="DW133" s="80"/>
      <c r="DX133" s="81"/>
      <c r="DY133" s="41"/>
      <c r="DZ133" s="41"/>
      <c r="EA133" s="41"/>
      <c r="EB133" s="16"/>
      <c r="EC133" s="16"/>
      <c r="ED133" s="16"/>
      <c r="EE133" s="16"/>
      <c r="EF133" s="16"/>
      <c r="EG133" s="16"/>
      <c r="EH133" s="16"/>
      <c r="EI133" s="16"/>
      <c r="EJ133" s="16"/>
      <c r="EK133" s="80"/>
      <c r="EL133" s="81"/>
      <c r="EM133" s="16"/>
      <c r="EN133" s="16"/>
      <c r="EO133" s="16"/>
      <c r="EP133" s="16"/>
      <c r="EQ133" s="16"/>
      <c r="ER133" s="16"/>
      <c r="ES133" s="16"/>
      <c r="ET133" s="16"/>
      <c r="EU133" s="16"/>
      <c r="EV133" s="16"/>
      <c r="EW133" s="16"/>
      <c r="EX133" s="16"/>
      <c r="EY133" s="80"/>
      <c r="EZ133" s="81"/>
      <c r="FA133" s="16"/>
      <c r="FB133" s="16"/>
      <c r="FC133" s="16"/>
      <c r="FD133" s="16"/>
      <c r="FE133" s="16"/>
      <c r="FF133" s="16"/>
      <c r="FG133" s="16"/>
      <c r="FH133" s="16"/>
      <c r="FI133" s="16"/>
      <c r="FJ133" s="16"/>
      <c r="FK133" s="16"/>
      <c r="FM133" s="80"/>
      <c r="FN133" s="81"/>
      <c r="FO133" s="16"/>
      <c r="FP133" s="16"/>
      <c r="FQ133" s="16"/>
      <c r="FR133" s="16"/>
      <c r="FS133" s="16"/>
      <c r="FT133" s="16"/>
      <c r="FU133" s="16"/>
      <c r="FV133" s="16"/>
      <c r="FW133" s="16"/>
      <c r="FX133" s="16"/>
      <c r="FY133" s="16"/>
      <c r="GA133" s="80"/>
      <c r="GB133" s="81"/>
      <c r="GC133" s="16"/>
      <c r="GD133" s="16"/>
      <c r="GE133" s="16"/>
      <c r="GF133" s="16"/>
      <c r="GG133" s="16"/>
      <c r="GH133" s="16"/>
      <c r="GI133" s="16"/>
      <c r="GJ133" s="16"/>
      <c r="GK133" s="16"/>
      <c r="GL133" s="16"/>
      <c r="GM133" s="16"/>
    </row>
    <row r="134" spans="1:195" s="18" customFormat="1" ht="15" customHeight="1">
      <c r="A134" s="78">
        <v>2003</v>
      </c>
      <c r="B134" s="79" t="s">
        <v>44</v>
      </c>
      <c r="C134" s="15">
        <f t="shared" si="15"/>
        <v>0.8115125841016696</v>
      </c>
      <c r="D134" s="15">
        <f t="shared" si="16"/>
        <v>0.86304128902316213</v>
      </c>
      <c r="E134" s="15">
        <f t="shared" si="17"/>
        <v>0.94029404435584352</v>
      </c>
      <c r="F134" s="16"/>
      <c r="G134" s="33"/>
      <c r="H13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20065</v>
      </c>
      <c r="I134" s="16">
        <f t="shared" si="26"/>
        <v>1198</v>
      </c>
      <c r="J13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18867</v>
      </c>
      <c r="K13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16283</v>
      </c>
      <c r="L134" s="16">
        <f t="shared" si="27"/>
        <v>2584</v>
      </c>
      <c r="M134" s="16"/>
      <c r="N134" s="16"/>
      <c r="O134" s="90">
        <v>2003</v>
      </c>
      <c r="P134" s="91" t="s">
        <v>44</v>
      </c>
      <c r="Q134" s="42">
        <f t="shared" ref="Q134:Q149" si="28">Y134/V134</f>
        <v>0.88230519480519476</v>
      </c>
      <c r="R134" s="42">
        <f t="shared" ref="R134:R149" si="29">Y134/X134</f>
        <v>0.89909015715467333</v>
      </c>
      <c r="S134" s="42">
        <f t="shared" ref="S134:S149" si="30">X134/V134</f>
        <v>0.98133116883116878</v>
      </c>
      <c r="T134" s="43"/>
      <c r="U134" s="43"/>
      <c r="V134" s="30">
        <v>3696</v>
      </c>
      <c r="W134" s="30">
        <f t="shared" ref="W134:W172" si="31">V134-X134</f>
        <v>69</v>
      </c>
      <c r="X134" s="30">
        <v>3627</v>
      </c>
      <c r="Y134" s="30">
        <v>3261</v>
      </c>
      <c r="Z134" s="30">
        <f t="shared" ref="Z134:Z149" si="32">X134-Y134</f>
        <v>366</v>
      </c>
      <c r="AA134" s="16"/>
      <c r="AB134" s="16"/>
      <c r="AC134" s="78">
        <v>2003</v>
      </c>
      <c r="AD134" s="79" t="s">
        <v>44</v>
      </c>
      <c r="AE134" s="15">
        <f t="shared" ref="AE134:AE149" si="33">AM134/AJ134</f>
        <v>0.81555269922879181</v>
      </c>
      <c r="AF134" s="15">
        <f t="shared" ref="AF134:AF149" si="34">AM134/AL134</f>
        <v>0.86209239130434778</v>
      </c>
      <c r="AG134" s="15">
        <f t="shared" ref="AG134:AG149" si="35">AL134/AJ134</f>
        <v>0.94601542416452444</v>
      </c>
      <c r="AH134" s="15"/>
      <c r="AI134" s="15"/>
      <c r="AJ134" s="16">
        <v>1556</v>
      </c>
      <c r="AK134" s="16">
        <f t="shared" ref="AK134:AK171" si="36">AJ134-AL134</f>
        <v>84</v>
      </c>
      <c r="AL134" s="16">
        <v>1472</v>
      </c>
      <c r="AM134" s="16">
        <v>1269</v>
      </c>
      <c r="AN134" s="16">
        <f t="shared" ref="AN134:AN149" si="37">AL134-AM134</f>
        <v>203</v>
      </c>
      <c r="AO134" s="16"/>
      <c r="AP134" s="16"/>
      <c r="AQ134" s="78">
        <v>2003</v>
      </c>
      <c r="AR134" s="79" t="s">
        <v>44</v>
      </c>
      <c r="AS134" s="15">
        <f t="shared" ref="AS134:AS149" si="38">BA134/AX134</f>
        <v>0.87287801026450851</v>
      </c>
      <c r="AT134" s="15">
        <f t="shared" ref="AT134:AT149" si="39">BA134/AZ134</f>
        <v>0.9095022624434389</v>
      </c>
      <c r="AU134" s="15">
        <f t="shared" ref="AU134:AU149" si="40">AZ134/AX134</f>
        <v>0.95973154362416102</v>
      </c>
      <c r="AV134" s="16"/>
      <c r="AW134" s="16"/>
      <c r="AX134" s="16">
        <v>5066</v>
      </c>
      <c r="AY134" s="16">
        <f t="shared" ref="AY134:AY149" si="41">AX134-AZ134</f>
        <v>204</v>
      </c>
      <c r="AZ134" s="16">
        <v>4862</v>
      </c>
      <c r="BA134" s="16">
        <v>4422</v>
      </c>
      <c r="BB134" s="16">
        <f t="shared" ref="BB134:BB149" si="42">AZ134-BA134</f>
        <v>440</v>
      </c>
      <c r="BC134" s="16"/>
      <c r="BD134" s="16"/>
      <c r="BE134" s="78">
        <v>2003</v>
      </c>
      <c r="BF134" s="79" t="s">
        <v>44</v>
      </c>
      <c r="BG134" s="15">
        <f t="shared" ref="BG134:BG149" si="43">BO134/BL134</f>
        <v>0.76398601398601396</v>
      </c>
      <c r="BH134" s="15">
        <f t="shared" ref="BH134:BH149" si="44">BO134/BN134</f>
        <v>0.9377682403433476</v>
      </c>
      <c r="BI134" s="15">
        <f t="shared" ref="BI134:BI149" si="45">BN134/BL134</f>
        <v>0.81468531468531469</v>
      </c>
      <c r="BJ134" s="16"/>
      <c r="BK134" s="16"/>
      <c r="BL134" s="16">
        <v>572</v>
      </c>
      <c r="BM134" s="16">
        <f t="shared" ref="BM134:BM149" si="46">BL134-BN134</f>
        <v>106</v>
      </c>
      <c r="BN134" s="16">
        <v>466</v>
      </c>
      <c r="BO134" s="16">
        <v>437</v>
      </c>
      <c r="BP134" s="16">
        <f t="shared" ref="BP134:BP149" si="47">BN134-BO134</f>
        <v>29</v>
      </c>
      <c r="BQ134" s="16"/>
      <c r="BR134" s="16"/>
      <c r="BS134" s="78">
        <v>2003</v>
      </c>
      <c r="BT134" s="79" t="s">
        <v>44</v>
      </c>
      <c r="BU134" s="15">
        <f t="shared" ref="BU134:BU149" si="48">CC134/BZ134</f>
        <v>0.80847076461769118</v>
      </c>
      <c r="BV134" s="15">
        <f t="shared" ref="BV134:BV149" si="49">CC134/CB134</f>
        <v>0.90364474235441983</v>
      </c>
      <c r="BW134" s="15">
        <f t="shared" ref="BW134:BW149" si="50">CB134/BZ134</f>
        <v>0.89467766116941527</v>
      </c>
      <c r="BX134" s="16"/>
      <c r="BY134" s="16"/>
      <c r="BZ134" s="16">
        <v>2668</v>
      </c>
      <c r="CA134" s="16">
        <f t="shared" ref="CA134:CA149" si="51">BZ134-CB134</f>
        <v>281</v>
      </c>
      <c r="CB134" s="16">
        <v>2387</v>
      </c>
      <c r="CC134" s="16">
        <v>2157</v>
      </c>
      <c r="CD134" s="16">
        <f t="shared" ref="CD134:CD149" si="52">CB134-CC134</f>
        <v>230</v>
      </c>
      <c r="CE134" s="16"/>
      <c r="CF134" s="16"/>
      <c r="CG134" s="78">
        <v>2003</v>
      </c>
      <c r="CH134" s="79" t="s">
        <v>44</v>
      </c>
      <c r="CI134" s="15">
        <f t="shared" ref="CI134:CI149" si="53">CQ134/CN134</f>
        <v>0.86555555555555552</v>
      </c>
      <c r="CJ134" s="15">
        <f t="shared" ref="CJ134:CJ149" si="54">CQ134/CP134</f>
        <v>0.89953810623556585</v>
      </c>
      <c r="CK134" s="15">
        <f t="shared" ref="CK134:CK149" si="55">CP134/CN134</f>
        <v>0.9622222222222222</v>
      </c>
      <c r="CL134" s="16"/>
      <c r="CM134" s="16"/>
      <c r="CN134" s="16">
        <v>2700</v>
      </c>
      <c r="CO134" s="16">
        <f t="shared" ref="CO134:CO149" si="56">CN134-CP134</f>
        <v>102</v>
      </c>
      <c r="CP134" s="16">
        <v>2598</v>
      </c>
      <c r="CQ134" s="16">
        <v>2337</v>
      </c>
      <c r="CR134" s="16">
        <f t="shared" ref="CR134:CR149" si="57">CP134-CQ134</f>
        <v>261</v>
      </c>
      <c r="CS134" s="16"/>
      <c r="CT134" s="16"/>
      <c r="CU134" s="78">
        <v>2003</v>
      </c>
      <c r="CV134" s="79" t="s">
        <v>44</v>
      </c>
      <c r="CW134" s="15">
        <f t="shared" ref="CW134:CW197" si="58">DE134/DB134</f>
        <v>0.88469318948078224</v>
      </c>
      <c r="CX134" s="15">
        <f t="shared" ref="CX134:CX197" si="59">DE134/DD134</f>
        <v>0.96898079763663225</v>
      </c>
      <c r="CY134" s="15">
        <f t="shared" ref="CY134:CY197" si="60">DD134/DB134</f>
        <v>0.91301416048550232</v>
      </c>
      <c r="CZ134" s="16"/>
      <c r="DA134" s="16"/>
      <c r="DB134" s="16">
        <v>1483</v>
      </c>
      <c r="DC134" s="16">
        <f t="shared" ref="DC134:DC197" si="61">DB134-DD134</f>
        <v>129</v>
      </c>
      <c r="DD134" s="16">
        <v>1354</v>
      </c>
      <c r="DE134" s="16">
        <v>1312</v>
      </c>
      <c r="DF134" s="16">
        <f t="shared" ref="DF134:DF197" si="62">DD134-DE134</f>
        <v>42</v>
      </c>
      <c r="DG134" s="16"/>
      <c r="DH134" s="16"/>
      <c r="DI134" s="78">
        <v>2003</v>
      </c>
      <c r="DJ134" s="79" t="s">
        <v>44</v>
      </c>
      <c r="DK134" s="15">
        <f t="shared" ref="DK134:DK149" si="63">DS134/DP134</f>
        <v>4.9469964664310952E-2</v>
      </c>
      <c r="DL134" s="15">
        <f t="shared" ref="DL134:DL149" si="64">DS134/DR134</f>
        <v>5.9322033898305086E-2</v>
      </c>
      <c r="DM134" s="15">
        <f t="shared" ref="DM134:DM149" si="65">DR134/DP134</f>
        <v>0.83392226148409898</v>
      </c>
      <c r="DN134" s="16"/>
      <c r="DO134" s="16"/>
      <c r="DP134" s="16">
        <v>1132</v>
      </c>
      <c r="DQ134" s="16">
        <f t="shared" ref="DQ134:DQ149" si="66">DP134-DR134</f>
        <v>188</v>
      </c>
      <c r="DR134" s="16">
        <v>944</v>
      </c>
      <c r="DS134" s="16">
        <v>56</v>
      </c>
      <c r="DT134" s="16">
        <f t="shared" ref="DT134:DT149" si="67">DR134-DS134</f>
        <v>888</v>
      </c>
      <c r="DU134" s="16"/>
      <c r="DV134" s="16"/>
      <c r="DW134" s="78">
        <v>2003</v>
      </c>
      <c r="DX134" s="79" t="s">
        <v>44</v>
      </c>
      <c r="DY134" s="15">
        <f t="shared" ref="DY134:DY149" si="68">EG134/ED134</f>
        <v>0.86577181208053688</v>
      </c>
      <c r="DZ134" s="15">
        <f t="shared" ref="DZ134:DZ149" si="69">EG134/EF134</f>
        <v>0.89196197061365601</v>
      </c>
      <c r="EA134" s="15">
        <f t="shared" ref="EA134:EA149" si="70">EF134/ED134</f>
        <v>0.97063758389261745</v>
      </c>
      <c r="EB134" s="16"/>
      <c r="EC134" s="16"/>
      <c r="ED134" s="16">
        <v>1192</v>
      </c>
      <c r="EE134" s="16">
        <f t="shared" ref="EE134:EE149" si="71">ED134-EF134</f>
        <v>35</v>
      </c>
      <c r="EF134" s="16">
        <v>1157</v>
      </c>
      <c r="EG134" s="16">
        <v>1032</v>
      </c>
      <c r="EH134" s="16">
        <f t="shared" ref="EH134:EH149" si="72">EF134-EG134</f>
        <v>125</v>
      </c>
      <c r="EI134" s="16"/>
      <c r="EJ134" s="16"/>
      <c r="EK134" s="78"/>
      <c r="EL134" s="79"/>
      <c r="EM134" s="16"/>
      <c r="EN134" s="16"/>
      <c r="EO134" s="16"/>
      <c r="EP134" s="16"/>
      <c r="EQ134" s="16"/>
      <c r="ER134" s="16"/>
      <c r="ES134" s="16"/>
      <c r="ET134" s="16"/>
      <c r="EU134" s="16"/>
      <c r="EV134" s="16"/>
      <c r="EW134" s="16"/>
      <c r="EX134" s="16"/>
      <c r="EY134" s="78"/>
      <c r="EZ134" s="79"/>
      <c r="FA134" s="16"/>
      <c r="FB134" s="16"/>
      <c r="FC134" s="16"/>
      <c r="FD134" s="16"/>
      <c r="FE134" s="16"/>
      <c r="FF134" s="16"/>
      <c r="FG134" s="16"/>
      <c r="FH134" s="16"/>
      <c r="FI134" s="16"/>
      <c r="FJ134" s="16"/>
      <c r="FK134" s="16"/>
      <c r="FM134" s="78"/>
      <c r="FN134" s="79"/>
      <c r="FO134" s="16"/>
      <c r="FP134" s="16"/>
      <c r="FQ134" s="16"/>
      <c r="FR134" s="16"/>
      <c r="FS134" s="16"/>
      <c r="FT134" s="16"/>
      <c r="FU134" s="16"/>
      <c r="FV134" s="16"/>
      <c r="FW134" s="16"/>
      <c r="FX134" s="16"/>
      <c r="FY134" s="16"/>
      <c r="GA134" s="78"/>
      <c r="GB134" s="79"/>
      <c r="GC134" s="16"/>
      <c r="GD134" s="16"/>
      <c r="GE134" s="16"/>
      <c r="GF134" s="16"/>
      <c r="GG134" s="16"/>
      <c r="GH134" s="16"/>
      <c r="GI134" s="16"/>
      <c r="GJ134" s="16"/>
      <c r="GK134" s="16"/>
      <c r="GL134" s="16"/>
      <c r="GM134" s="16"/>
    </row>
    <row r="135" spans="1:195" s="18" customFormat="1" ht="15" customHeight="1">
      <c r="A135" s="80">
        <v>2003</v>
      </c>
      <c r="B135" s="81" t="s">
        <v>45</v>
      </c>
      <c r="C135" s="15">
        <f t="shared" ref="C135:C198" si="73">K135/H135</f>
        <v>0.85443161807865387</v>
      </c>
      <c r="D135" s="15">
        <f t="shared" ref="D135:D198" si="74">K135/J135</f>
        <v>0.89081544188892858</v>
      </c>
      <c r="E135" s="15">
        <f t="shared" ref="E135:E198" si="75">J135/H135</f>
        <v>0.95915672079827818</v>
      </c>
      <c r="F135" s="16"/>
      <c r="G135" s="33"/>
      <c r="H13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20444</v>
      </c>
      <c r="I135" s="16">
        <f t="shared" ref="I135:I198" si="76">H135-J135</f>
        <v>835</v>
      </c>
      <c r="J13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19609</v>
      </c>
      <c r="K13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17468</v>
      </c>
      <c r="L135" s="16">
        <f t="shared" ref="L135:L198" si="77">J135-K135</f>
        <v>2141</v>
      </c>
      <c r="M135" s="16"/>
      <c r="N135" s="16"/>
      <c r="O135" s="92">
        <v>2003</v>
      </c>
      <c r="P135" s="93" t="s">
        <v>45</v>
      </c>
      <c r="Q135" s="42">
        <f t="shared" si="28"/>
        <v>0.92227841362789464</v>
      </c>
      <c r="R135" s="42">
        <f t="shared" si="29"/>
        <v>0.93673965936739656</v>
      </c>
      <c r="S135" s="42">
        <f t="shared" si="30"/>
        <v>0.98456215065211605</v>
      </c>
      <c r="T135" s="43"/>
      <c r="U135" s="43"/>
      <c r="V135" s="30">
        <v>3757</v>
      </c>
      <c r="W135" s="30">
        <f t="shared" si="31"/>
        <v>58</v>
      </c>
      <c r="X135" s="30">
        <v>3699</v>
      </c>
      <c r="Y135" s="30">
        <v>3465</v>
      </c>
      <c r="Z135" s="30">
        <f t="shared" si="32"/>
        <v>234</v>
      </c>
      <c r="AA135" s="16"/>
      <c r="AB135" s="16"/>
      <c r="AC135" s="80">
        <v>2003</v>
      </c>
      <c r="AD135" s="81" t="s">
        <v>45</v>
      </c>
      <c r="AE135" s="15">
        <f t="shared" si="33"/>
        <v>0.88781431334622829</v>
      </c>
      <c r="AF135" s="15">
        <f t="shared" si="34"/>
        <v>0.89183937823834192</v>
      </c>
      <c r="AG135" s="15">
        <f t="shared" si="35"/>
        <v>0.99548678272082525</v>
      </c>
      <c r="AH135" s="15"/>
      <c r="AI135" s="15"/>
      <c r="AJ135" s="16">
        <v>1551</v>
      </c>
      <c r="AK135" s="16">
        <f t="shared" si="36"/>
        <v>7</v>
      </c>
      <c r="AL135" s="16">
        <v>1544</v>
      </c>
      <c r="AM135" s="16">
        <v>1377</v>
      </c>
      <c r="AN135" s="16">
        <f t="shared" si="37"/>
        <v>167</v>
      </c>
      <c r="AO135" s="16"/>
      <c r="AP135" s="16"/>
      <c r="AQ135" s="80">
        <v>2003</v>
      </c>
      <c r="AR135" s="81" t="s">
        <v>45</v>
      </c>
      <c r="AS135" s="15">
        <f t="shared" si="38"/>
        <v>0.94341463414634141</v>
      </c>
      <c r="AT135" s="15">
        <f t="shared" si="39"/>
        <v>0.9578050713153724</v>
      </c>
      <c r="AU135" s="15">
        <f t="shared" si="40"/>
        <v>0.98497560975609755</v>
      </c>
      <c r="AV135" s="16"/>
      <c r="AW135" s="16"/>
      <c r="AX135" s="16">
        <v>5125</v>
      </c>
      <c r="AY135" s="16">
        <f t="shared" si="41"/>
        <v>77</v>
      </c>
      <c r="AZ135" s="16">
        <v>5048</v>
      </c>
      <c r="BA135" s="16">
        <v>4835</v>
      </c>
      <c r="BB135" s="16">
        <f t="shared" si="42"/>
        <v>213</v>
      </c>
      <c r="BC135" s="16"/>
      <c r="BD135" s="16"/>
      <c r="BE135" s="80">
        <v>2003</v>
      </c>
      <c r="BF135" s="81" t="s">
        <v>45</v>
      </c>
      <c r="BG135" s="15">
        <f t="shared" si="43"/>
        <v>0.77609427609427606</v>
      </c>
      <c r="BH135" s="15">
        <f t="shared" si="44"/>
        <v>0.93699186991869921</v>
      </c>
      <c r="BI135" s="15">
        <f t="shared" si="45"/>
        <v>0.82828282828282829</v>
      </c>
      <c r="BJ135" s="16"/>
      <c r="BK135" s="16"/>
      <c r="BL135" s="16">
        <v>594</v>
      </c>
      <c r="BM135" s="16">
        <f t="shared" si="46"/>
        <v>102</v>
      </c>
      <c r="BN135" s="16">
        <v>492</v>
      </c>
      <c r="BO135" s="16">
        <v>461</v>
      </c>
      <c r="BP135" s="16">
        <f t="shared" si="47"/>
        <v>31</v>
      </c>
      <c r="BQ135" s="16"/>
      <c r="BR135" s="16"/>
      <c r="BS135" s="80">
        <v>2003</v>
      </c>
      <c r="BT135" s="81" t="s">
        <v>45</v>
      </c>
      <c r="BU135" s="15">
        <f t="shared" si="48"/>
        <v>0.84857351865398678</v>
      </c>
      <c r="BV135" s="15">
        <f t="shared" si="49"/>
        <v>0.90625</v>
      </c>
      <c r="BW135" s="15">
        <f t="shared" si="50"/>
        <v>0.93635698610095097</v>
      </c>
      <c r="BX135" s="16"/>
      <c r="BY135" s="16"/>
      <c r="BZ135" s="16">
        <v>2734</v>
      </c>
      <c r="CA135" s="16">
        <f t="shared" si="51"/>
        <v>174</v>
      </c>
      <c r="CB135" s="16">
        <v>2560</v>
      </c>
      <c r="CC135" s="16">
        <v>2320</v>
      </c>
      <c r="CD135" s="16">
        <f t="shared" si="52"/>
        <v>240</v>
      </c>
      <c r="CE135" s="16"/>
      <c r="CF135" s="16"/>
      <c r="CG135" s="80">
        <v>2003</v>
      </c>
      <c r="CH135" s="81" t="s">
        <v>45</v>
      </c>
      <c r="CI135" s="15">
        <f t="shared" si="53"/>
        <v>0.87513533020570189</v>
      </c>
      <c r="CJ135" s="15">
        <f t="shared" si="54"/>
        <v>0.90182223875046486</v>
      </c>
      <c r="CK135" s="15">
        <f t="shared" si="55"/>
        <v>0.97040779501984842</v>
      </c>
      <c r="CL135" s="16"/>
      <c r="CM135" s="16"/>
      <c r="CN135" s="16">
        <v>2771</v>
      </c>
      <c r="CO135" s="16">
        <f t="shared" si="56"/>
        <v>82</v>
      </c>
      <c r="CP135" s="16">
        <v>2689</v>
      </c>
      <c r="CQ135" s="16">
        <v>2425</v>
      </c>
      <c r="CR135" s="16">
        <f t="shared" si="57"/>
        <v>264</v>
      </c>
      <c r="CS135" s="16"/>
      <c r="CT135" s="16"/>
      <c r="CU135" s="80">
        <v>2003</v>
      </c>
      <c r="CV135" s="81" t="s">
        <v>45</v>
      </c>
      <c r="CW135" s="15">
        <f t="shared" si="58"/>
        <v>0.91875825627476881</v>
      </c>
      <c r="CX135" s="15">
        <f t="shared" si="59"/>
        <v>0.98026779422128263</v>
      </c>
      <c r="CY135" s="15">
        <f t="shared" si="60"/>
        <v>0.93725231175693524</v>
      </c>
      <c r="CZ135" s="16"/>
      <c r="DA135" s="16"/>
      <c r="DB135" s="16">
        <v>1514</v>
      </c>
      <c r="DC135" s="16">
        <f t="shared" si="61"/>
        <v>95</v>
      </c>
      <c r="DD135" s="16">
        <v>1419</v>
      </c>
      <c r="DE135" s="16">
        <v>1391</v>
      </c>
      <c r="DF135" s="16">
        <f t="shared" si="62"/>
        <v>28</v>
      </c>
      <c r="DG135" s="16"/>
      <c r="DH135" s="16"/>
      <c r="DI135" s="80">
        <v>2003</v>
      </c>
      <c r="DJ135" s="81" t="s">
        <v>45</v>
      </c>
      <c r="DK135" s="15">
        <f t="shared" si="63"/>
        <v>4.1952054794520549E-2</v>
      </c>
      <c r="DL135" s="15">
        <f t="shared" si="64"/>
        <v>5.0882658359293877E-2</v>
      </c>
      <c r="DM135" s="15">
        <f t="shared" si="65"/>
        <v>0.82448630136986301</v>
      </c>
      <c r="DN135" s="16"/>
      <c r="DO135" s="16"/>
      <c r="DP135" s="16">
        <v>1168</v>
      </c>
      <c r="DQ135" s="16">
        <f t="shared" si="66"/>
        <v>205</v>
      </c>
      <c r="DR135" s="16">
        <v>963</v>
      </c>
      <c r="DS135" s="16">
        <v>49</v>
      </c>
      <c r="DT135" s="16">
        <f t="shared" si="67"/>
        <v>914</v>
      </c>
      <c r="DU135" s="16"/>
      <c r="DV135" s="16"/>
      <c r="DW135" s="80">
        <v>2003</v>
      </c>
      <c r="DX135" s="81" t="s">
        <v>45</v>
      </c>
      <c r="DY135" s="15">
        <f t="shared" si="68"/>
        <v>0.93089430894308944</v>
      </c>
      <c r="DZ135" s="15">
        <f t="shared" si="69"/>
        <v>0.95815899581589958</v>
      </c>
      <c r="EA135" s="15">
        <f t="shared" si="70"/>
        <v>0.97154471544715448</v>
      </c>
      <c r="EB135" s="16"/>
      <c r="EC135" s="16"/>
      <c r="ED135" s="16">
        <v>1230</v>
      </c>
      <c r="EE135" s="16">
        <f t="shared" si="71"/>
        <v>35</v>
      </c>
      <c r="EF135" s="16">
        <v>1195</v>
      </c>
      <c r="EG135" s="16">
        <v>1145</v>
      </c>
      <c r="EH135" s="16">
        <f t="shared" si="72"/>
        <v>50</v>
      </c>
      <c r="EI135" s="16"/>
      <c r="EJ135" s="16"/>
      <c r="EK135" s="80"/>
      <c r="EL135" s="81"/>
      <c r="EM135" s="16"/>
      <c r="EN135" s="16"/>
      <c r="EO135" s="16"/>
      <c r="EP135" s="16"/>
      <c r="EQ135" s="16"/>
      <c r="ER135" s="16"/>
      <c r="ES135" s="16"/>
      <c r="ET135" s="16"/>
      <c r="EU135" s="16"/>
      <c r="EV135" s="16"/>
      <c r="EW135" s="16"/>
      <c r="EX135" s="16"/>
      <c r="EY135" s="80"/>
      <c r="EZ135" s="81"/>
      <c r="FA135" s="16"/>
      <c r="FB135" s="16"/>
      <c r="FC135" s="16"/>
      <c r="FD135" s="16"/>
      <c r="FE135" s="16"/>
      <c r="FF135" s="16"/>
      <c r="FG135" s="16"/>
      <c r="FH135" s="16"/>
      <c r="FI135" s="16"/>
      <c r="FJ135" s="16"/>
      <c r="FK135" s="16"/>
      <c r="FM135" s="80"/>
      <c r="FN135" s="81"/>
      <c r="FO135" s="16"/>
      <c r="FP135" s="16"/>
      <c r="FQ135" s="16"/>
      <c r="FR135" s="16"/>
      <c r="FS135" s="16"/>
      <c r="FT135" s="16"/>
      <c r="FU135" s="16"/>
      <c r="FV135" s="16"/>
      <c r="FW135" s="16"/>
      <c r="FX135" s="16"/>
      <c r="FY135" s="16"/>
      <c r="GA135" s="80"/>
      <c r="GB135" s="81"/>
      <c r="GC135" s="16"/>
      <c r="GD135" s="16"/>
      <c r="GE135" s="16"/>
      <c r="GF135" s="16"/>
      <c r="GG135" s="16"/>
      <c r="GH135" s="16"/>
      <c r="GI135" s="16"/>
      <c r="GJ135" s="16"/>
      <c r="GK135" s="16"/>
      <c r="GL135" s="16"/>
      <c r="GM135" s="16"/>
    </row>
    <row r="136" spans="1:195" s="18" customFormat="1" ht="15" customHeight="1">
      <c r="A136" s="78">
        <v>2003</v>
      </c>
      <c r="B136" s="79" t="s">
        <v>46</v>
      </c>
      <c r="C136" s="15">
        <f t="shared" si="73"/>
        <v>0.83836162814481485</v>
      </c>
      <c r="D136" s="15">
        <f t="shared" si="74"/>
        <v>0.87556742323097458</v>
      </c>
      <c r="E136" s="15">
        <f t="shared" si="75"/>
        <v>0.95750664757619142</v>
      </c>
      <c r="F136" s="16"/>
      <c r="G136" s="33"/>
      <c r="H13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19556</v>
      </c>
      <c r="I136" s="16">
        <f t="shared" si="76"/>
        <v>831</v>
      </c>
      <c r="J13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18725</v>
      </c>
      <c r="K13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16395</v>
      </c>
      <c r="L136" s="16">
        <f t="shared" si="77"/>
        <v>2330</v>
      </c>
      <c r="M136" s="16"/>
      <c r="N136" s="16"/>
      <c r="O136" s="90">
        <v>2003</v>
      </c>
      <c r="P136" s="91" t="s">
        <v>46</v>
      </c>
      <c r="Q136" s="42">
        <f t="shared" si="28"/>
        <v>0.91438164521544485</v>
      </c>
      <c r="R136" s="42">
        <f t="shared" si="29"/>
        <v>0.92630385487528344</v>
      </c>
      <c r="S136" s="42">
        <f t="shared" si="30"/>
        <v>0.987129266927812</v>
      </c>
      <c r="T136" s="43"/>
      <c r="U136" s="43"/>
      <c r="V136" s="30">
        <v>3574</v>
      </c>
      <c r="W136" s="30">
        <f t="shared" si="31"/>
        <v>46</v>
      </c>
      <c r="X136" s="30">
        <v>3528</v>
      </c>
      <c r="Y136" s="30">
        <v>3268</v>
      </c>
      <c r="Z136" s="30">
        <f t="shared" si="32"/>
        <v>260</v>
      </c>
      <c r="AA136" s="16"/>
      <c r="AB136" s="16"/>
      <c r="AC136" s="78">
        <v>2003</v>
      </c>
      <c r="AD136" s="79" t="s">
        <v>46</v>
      </c>
      <c r="AE136" s="15">
        <f t="shared" si="33"/>
        <v>0.90380761523046094</v>
      </c>
      <c r="AF136" s="15">
        <f t="shared" si="34"/>
        <v>0.91791044776119401</v>
      </c>
      <c r="AG136" s="15">
        <f t="shared" si="35"/>
        <v>0.9846359385437542</v>
      </c>
      <c r="AH136" s="15"/>
      <c r="AI136" s="15"/>
      <c r="AJ136" s="16">
        <v>1497</v>
      </c>
      <c r="AK136" s="16">
        <f t="shared" si="36"/>
        <v>23</v>
      </c>
      <c r="AL136" s="16">
        <v>1474</v>
      </c>
      <c r="AM136" s="16">
        <v>1353</v>
      </c>
      <c r="AN136" s="16">
        <f t="shared" si="37"/>
        <v>121</v>
      </c>
      <c r="AO136" s="16"/>
      <c r="AP136" s="16"/>
      <c r="AQ136" s="78">
        <v>2003</v>
      </c>
      <c r="AR136" s="79" t="s">
        <v>46</v>
      </c>
      <c r="AS136" s="15">
        <f t="shared" si="38"/>
        <v>0.91846718304117403</v>
      </c>
      <c r="AT136" s="15">
        <f t="shared" si="39"/>
        <v>0.94743481917577799</v>
      </c>
      <c r="AU136" s="15">
        <f t="shared" si="40"/>
        <v>0.96942519364044033</v>
      </c>
      <c r="AV136" s="16"/>
      <c r="AW136" s="16"/>
      <c r="AX136" s="16">
        <v>4906</v>
      </c>
      <c r="AY136" s="16">
        <f t="shared" si="41"/>
        <v>150</v>
      </c>
      <c r="AZ136" s="16">
        <v>4756</v>
      </c>
      <c r="BA136" s="16">
        <v>4506</v>
      </c>
      <c r="BB136" s="16">
        <f t="shared" si="42"/>
        <v>250</v>
      </c>
      <c r="BC136" s="16"/>
      <c r="BD136" s="16"/>
      <c r="BE136" s="78">
        <v>2003</v>
      </c>
      <c r="BF136" s="79" t="s">
        <v>46</v>
      </c>
      <c r="BG136" s="15">
        <f t="shared" si="43"/>
        <v>0.8037037037037037</v>
      </c>
      <c r="BH136" s="15">
        <f t="shared" si="44"/>
        <v>0.94967177242888401</v>
      </c>
      <c r="BI136" s="15">
        <f t="shared" si="45"/>
        <v>0.84629629629629632</v>
      </c>
      <c r="BJ136" s="16"/>
      <c r="BK136" s="16"/>
      <c r="BL136" s="16">
        <v>540</v>
      </c>
      <c r="BM136" s="16">
        <f t="shared" si="46"/>
        <v>83</v>
      </c>
      <c r="BN136" s="16">
        <v>457</v>
      </c>
      <c r="BO136" s="16">
        <v>434</v>
      </c>
      <c r="BP136" s="16">
        <f t="shared" si="47"/>
        <v>23</v>
      </c>
      <c r="BQ136" s="16"/>
      <c r="BR136" s="16"/>
      <c r="BS136" s="78">
        <v>2003</v>
      </c>
      <c r="BT136" s="79" t="s">
        <v>46</v>
      </c>
      <c r="BU136" s="15">
        <f t="shared" si="48"/>
        <v>0.78891013384321229</v>
      </c>
      <c r="BV136" s="15">
        <f t="shared" si="49"/>
        <v>0.82191235059760959</v>
      </c>
      <c r="BW136" s="15">
        <f t="shared" si="50"/>
        <v>0.95984703632887192</v>
      </c>
      <c r="BX136" s="16"/>
      <c r="BY136" s="16"/>
      <c r="BZ136" s="16">
        <v>2615</v>
      </c>
      <c r="CA136" s="16">
        <f t="shared" si="51"/>
        <v>105</v>
      </c>
      <c r="CB136" s="16">
        <v>2510</v>
      </c>
      <c r="CC136" s="16">
        <v>2063</v>
      </c>
      <c r="CD136" s="16">
        <f t="shared" si="52"/>
        <v>447</v>
      </c>
      <c r="CE136" s="16"/>
      <c r="CF136" s="16"/>
      <c r="CG136" s="78">
        <v>2003</v>
      </c>
      <c r="CH136" s="79" t="s">
        <v>46</v>
      </c>
      <c r="CI136" s="15">
        <f t="shared" si="53"/>
        <v>0.863653483992467</v>
      </c>
      <c r="CJ136" s="15">
        <f t="shared" si="54"/>
        <v>0.89500390320062451</v>
      </c>
      <c r="CK136" s="15">
        <f t="shared" si="55"/>
        <v>0.96497175141242941</v>
      </c>
      <c r="CL136" s="16"/>
      <c r="CM136" s="16"/>
      <c r="CN136" s="16">
        <v>2655</v>
      </c>
      <c r="CO136" s="16">
        <f t="shared" si="56"/>
        <v>93</v>
      </c>
      <c r="CP136" s="16">
        <v>2562</v>
      </c>
      <c r="CQ136" s="16">
        <v>2293</v>
      </c>
      <c r="CR136" s="16">
        <f t="shared" si="57"/>
        <v>269</v>
      </c>
      <c r="CS136" s="16"/>
      <c r="CT136" s="16"/>
      <c r="CU136" s="78">
        <v>2003</v>
      </c>
      <c r="CV136" s="79" t="s">
        <v>46</v>
      </c>
      <c r="CW136" s="15">
        <f t="shared" si="58"/>
        <v>0.93512767425810905</v>
      </c>
      <c r="CX136" s="15">
        <f t="shared" si="59"/>
        <v>0.98832968636032092</v>
      </c>
      <c r="CY136" s="15">
        <f t="shared" si="60"/>
        <v>0.94616977225672882</v>
      </c>
      <c r="CZ136" s="16"/>
      <c r="DA136" s="16"/>
      <c r="DB136" s="16">
        <v>1449</v>
      </c>
      <c r="DC136" s="16">
        <f t="shared" si="61"/>
        <v>78</v>
      </c>
      <c r="DD136" s="16">
        <v>1371</v>
      </c>
      <c r="DE136" s="16">
        <v>1355</v>
      </c>
      <c r="DF136" s="16">
        <f t="shared" si="62"/>
        <v>16</v>
      </c>
      <c r="DG136" s="16"/>
      <c r="DH136" s="16"/>
      <c r="DI136" s="78">
        <v>2003</v>
      </c>
      <c r="DJ136" s="79" t="s">
        <v>46</v>
      </c>
      <c r="DK136" s="15">
        <f t="shared" si="63"/>
        <v>3.2743362831858407E-2</v>
      </c>
      <c r="DL136" s="15">
        <f t="shared" si="64"/>
        <v>3.9827771797631861E-2</v>
      </c>
      <c r="DM136" s="15">
        <f t="shared" si="65"/>
        <v>0.8221238938053097</v>
      </c>
      <c r="DN136" s="16"/>
      <c r="DO136" s="16"/>
      <c r="DP136" s="16">
        <v>1130</v>
      </c>
      <c r="DQ136" s="16">
        <f t="shared" si="66"/>
        <v>201</v>
      </c>
      <c r="DR136" s="16">
        <v>929</v>
      </c>
      <c r="DS136" s="16">
        <v>37</v>
      </c>
      <c r="DT136" s="16">
        <f t="shared" si="67"/>
        <v>892</v>
      </c>
      <c r="DU136" s="16"/>
      <c r="DV136" s="16"/>
      <c r="DW136" s="78">
        <v>2003</v>
      </c>
      <c r="DX136" s="79" t="s">
        <v>46</v>
      </c>
      <c r="DY136" s="15">
        <f t="shared" si="68"/>
        <v>0.9126050420168067</v>
      </c>
      <c r="DZ136" s="15">
        <f t="shared" si="69"/>
        <v>0.95430579964850615</v>
      </c>
      <c r="EA136" s="15">
        <f t="shared" si="70"/>
        <v>0.95630252100840341</v>
      </c>
      <c r="EB136" s="16"/>
      <c r="EC136" s="16"/>
      <c r="ED136" s="16">
        <v>1190</v>
      </c>
      <c r="EE136" s="16">
        <f t="shared" si="71"/>
        <v>52</v>
      </c>
      <c r="EF136" s="16">
        <v>1138</v>
      </c>
      <c r="EG136" s="16">
        <v>1086</v>
      </c>
      <c r="EH136" s="16">
        <f t="shared" si="72"/>
        <v>52</v>
      </c>
      <c r="EI136" s="16"/>
      <c r="EJ136" s="16"/>
      <c r="EK136" s="78"/>
      <c r="EL136" s="79"/>
      <c r="EM136" s="16"/>
      <c r="EN136" s="16"/>
      <c r="EO136" s="16"/>
      <c r="EP136" s="16"/>
      <c r="EQ136" s="16"/>
      <c r="ER136" s="16"/>
      <c r="ES136" s="16"/>
      <c r="ET136" s="16"/>
      <c r="EU136" s="16"/>
      <c r="EV136" s="16"/>
      <c r="EW136" s="16"/>
      <c r="EX136" s="16"/>
      <c r="EY136" s="78"/>
      <c r="EZ136" s="79"/>
      <c r="FA136" s="16"/>
      <c r="FB136" s="16"/>
      <c r="FC136" s="16"/>
      <c r="FD136" s="16"/>
      <c r="FE136" s="16"/>
      <c r="FF136" s="16"/>
      <c r="FG136" s="16"/>
      <c r="FH136" s="16"/>
      <c r="FI136" s="16"/>
      <c r="FJ136" s="16"/>
      <c r="FK136" s="16"/>
      <c r="FM136" s="78"/>
      <c r="FN136" s="79"/>
      <c r="FO136" s="16"/>
      <c r="FP136" s="16"/>
      <c r="FQ136" s="16"/>
      <c r="FR136" s="16"/>
      <c r="FS136" s="16"/>
      <c r="FT136" s="16"/>
      <c r="FU136" s="16"/>
      <c r="FV136" s="16"/>
      <c r="FW136" s="16"/>
      <c r="FX136" s="16"/>
      <c r="FY136" s="16"/>
      <c r="GA136" s="78"/>
      <c r="GB136" s="79"/>
      <c r="GC136" s="16"/>
      <c r="GD136" s="16"/>
      <c r="GE136" s="16"/>
      <c r="GF136" s="16"/>
      <c r="GG136" s="16"/>
      <c r="GH136" s="16"/>
      <c r="GI136" s="16"/>
      <c r="GJ136" s="16"/>
      <c r="GK136" s="16"/>
      <c r="GL136" s="16"/>
      <c r="GM136" s="16"/>
    </row>
    <row r="137" spans="1:195" s="18" customFormat="1" ht="15" customHeight="1">
      <c r="A137" s="80">
        <v>2003</v>
      </c>
      <c r="B137" s="81" t="s">
        <v>47</v>
      </c>
      <c r="C137" s="15">
        <f t="shared" si="73"/>
        <v>0.81000347342827372</v>
      </c>
      <c r="D137" s="15">
        <f t="shared" si="74"/>
        <v>0.8665463424992037</v>
      </c>
      <c r="E137" s="15">
        <f t="shared" si="75"/>
        <v>0.93474916885823456</v>
      </c>
      <c r="F137" s="16"/>
      <c r="G137" s="33"/>
      <c r="H13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20153</v>
      </c>
      <c r="I137" s="16">
        <f t="shared" si="76"/>
        <v>1315</v>
      </c>
      <c r="J13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18838</v>
      </c>
      <c r="K13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16324</v>
      </c>
      <c r="L137" s="16">
        <f t="shared" si="77"/>
        <v>2514</v>
      </c>
      <c r="M137" s="16"/>
      <c r="N137" s="16"/>
      <c r="O137" s="92">
        <v>2003</v>
      </c>
      <c r="P137" s="93" t="s">
        <v>47</v>
      </c>
      <c r="Q137" s="42">
        <f t="shared" si="28"/>
        <v>0.87785636561479874</v>
      </c>
      <c r="R137" s="42">
        <f t="shared" si="29"/>
        <v>0.89514563106796119</v>
      </c>
      <c r="S137" s="42">
        <f t="shared" si="30"/>
        <v>0.98068552774755169</v>
      </c>
      <c r="T137" s="43"/>
      <c r="U137" s="43"/>
      <c r="V137" s="30">
        <v>3676</v>
      </c>
      <c r="W137" s="30">
        <f t="shared" si="31"/>
        <v>71</v>
      </c>
      <c r="X137" s="30">
        <v>3605</v>
      </c>
      <c r="Y137" s="30">
        <v>3227</v>
      </c>
      <c r="Z137" s="30">
        <f t="shared" si="32"/>
        <v>378</v>
      </c>
      <c r="AA137" s="16"/>
      <c r="AB137" s="16"/>
      <c r="AC137" s="80">
        <v>2003</v>
      </c>
      <c r="AD137" s="81" t="s">
        <v>47</v>
      </c>
      <c r="AE137" s="15">
        <f t="shared" si="33"/>
        <v>0.8817766165904638</v>
      </c>
      <c r="AF137" s="15">
        <f t="shared" si="34"/>
        <v>0.9196185286103542</v>
      </c>
      <c r="AG137" s="15">
        <f t="shared" si="35"/>
        <v>0.95885042455911174</v>
      </c>
      <c r="AH137" s="15"/>
      <c r="AI137" s="15"/>
      <c r="AJ137" s="16">
        <v>1531</v>
      </c>
      <c r="AK137" s="16">
        <f t="shared" si="36"/>
        <v>63</v>
      </c>
      <c r="AL137" s="16">
        <v>1468</v>
      </c>
      <c r="AM137" s="16">
        <v>1350</v>
      </c>
      <c r="AN137" s="16">
        <f t="shared" si="37"/>
        <v>118</v>
      </c>
      <c r="AO137" s="16"/>
      <c r="AP137" s="16"/>
      <c r="AQ137" s="80">
        <v>2003</v>
      </c>
      <c r="AR137" s="81" t="s">
        <v>47</v>
      </c>
      <c r="AS137" s="15">
        <f t="shared" si="38"/>
        <v>0.88701350277998414</v>
      </c>
      <c r="AT137" s="15">
        <f t="shared" si="39"/>
        <v>0.92160099030328035</v>
      </c>
      <c r="AU137" s="15">
        <f t="shared" si="40"/>
        <v>0.96247021445591741</v>
      </c>
      <c r="AV137" s="16"/>
      <c r="AW137" s="16"/>
      <c r="AX137" s="16">
        <v>5036</v>
      </c>
      <c r="AY137" s="16">
        <f t="shared" si="41"/>
        <v>189</v>
      </c>
      <c r="AZ137" s="16">
        <v>4847</v>
      </c>
      <c r="BA137" s="16">
        <v>4467</v>
      </c>
      <c r="BB137" s="16">
        <f t="shared" si="42"/>
        <v>380</v>
      </c>
      <c r="BC137" s="16"/>
      <c r="BD137" s="16"/>
      <c r="BE137" s="80">
        <v>2003</v>
      </c>
      <c r="BF137" s="81" t="s">
        <v>47</v>
      </c>
      <c r="BG137" s="15">
        <f t="shared" si="43"/>
        <v>0.74426807760141089</v>
      </c>
      <c r="BH137" s="15">
        <f t="shared" si="44"/>
        <v>0.91938997821350765</v>
      </c>
      <c r="BI137" s="15">
        <f t="shared" si="45"/>
        <v>0.80952380952380953</v>
      </c>
      <c r="BJ137" s="16"/>
      <c r="BK137" s="16"/>
      <c r="BL137" s="16">
        <v>567</v>
      </c>
      <c r="BM137" s="16">
        <f t="shared" si="46"/>
        <v>108</v>
      </c>
      <c r="BN137" s="16">
        <v>459</v>
      </c>
      <c r="BO137" s="16">
        <v>422</v>
      </c>
      <c r="BP137" s="16">
        <f t="shared" si="47"/>
        <v>37</v>
      </c>
      <c r="BQ137" s="16"/>
      <c r="BR137" s="16"/>
      <c r="BS137" s="80">
        <v>2003</v>
      </c>
      <c r="BT137" s="81" t="s">
        <v>47</v>
      </c>
      <c r="BU137" s="15">
        <f t="shared" si="48"/>
        <v>0.8276627218934911</v>
      </c>
      <c r="BV137" s="15">
        <f t="shared" si="49"/>
        <v>0.8558317399617591</v>
      </c>
      <c r="BW137" s="15">
        <f t="shared" si="50"/>
        <v>0.96708579881656809</v>
      </c>
      <c r="BX137" s="16"/>
      <c r="BY137" s="16"/>
      <c r="BZ137" s="16">
        <v>2704</v>
      </c>
      <c r="CA137" s="16">
        <f t="shared" si="51"/>
        <v>89</v>
      </c>
      <c r="CB137" s="16">
        <v>2615</v>
      </c>
      <c r="CC137" s="16">
        <v>2238</v>
      </c>
      <c r="CD137" s="16">
        <f t="shared" si="52"/>
        <v>377</v>
      </c>
      <c r="CE137" s="16"/>
      <c r="CF137" s="16"/>
      <c r="CG137" s="80">
        <v>2003</v>
      </c>
      <c r="CH137" s="81" t="s">
        <v>47</v>
      </c>
      <c r="CI137" s="15">
        <f t="shared" si="53"/>
        <v>0.84777858703568831</v>
      </c>
      <c r="CJ137" s="15">
        <f t="shared" si="54"/>
        <v>0.88382687927107062</v>
      </c>
      <c r="CK137" s="15">
        <f t="shared" si="55"/>
        <v>0.95921340131099786</v>
      </c>
      <c r="CL137" s="16"/>
      <c r="CM137" s="16"/>
      <c r="CN137" s="16">
        <v>2746</v>
      </c>
      <c r="CO137" s="16">
        <f t="shared" si="56"/>
        <v>112</v>
      </c>
      <c r="CP137" s="16">
        <v>2634</v>
      </c>
      <c r="CQ137" s="16">
        <v>2328</v>
      </c>
      <c r="CR137" s="16">
        <f t="shared" si="57"/>
        <v>306</v>
      </c>
      <c r="CS137" s="16"/>
      <c r="CT137" s="16"/>
      <c r="CU137" s="80">
        <v>2003</v>
      </c>
      <c r="CV137" s="81" t="s">
        <v>47</v>
      </c>
      <c r="CW137" s="15">
        <f t="shared" si="58"/>
        <v>0.8252168112074717</v>
      </c>
      <c r="CX137" s="15">
        <f t="shared" si="59"/>
        <v>0.96339563862928346</v>
      </c>
      <c r="CY137" s="15">
        <f t="shared" si="60"/>
        <v>0.85657104736490997</v>
      </c>
      <c r="CZ137" s="16"/>
      <c r="DA137" s="16"/>
      <c r="DB137" s="16">
        <v>1499</v>
      </c>
      <c r="DC137" s="16">
        <f t="shared" si="61"/>
        <v>215</v>
      </c>
      <c r="DD137" s="16">
        <v>1284</v>
      </c>
      <c r="DE137" s="16">
        <v>1237</v>
      </c>
      <c r="DF137" s="16">
        <f t="shared" si="62"/>
        <v>47</v>
      </c>
      <c r="DG137" s="16"/>
      <c r="DH137" s="16"/>
      <c r="DI137" s="80">
        <v>2003</v>
      </c>
      <c r="DJ137" s="81" t="s">
        <v>47</v>
      </c>
      <c r="DK137" s="15">
        <f t="shared" si="63"/>
        <v>1.2006861063464836E-2</v>
      </c>
      <c r="DL137" s="15">
        <f t="shared" si="64"/>
        <v>1.7971758664955071E-2</v>
      </c>
      <c r="DM137" s="15">
        <f t="shared" si="65"/>
        <v>0.66809605488850776</v>
      </c>
      <c r="DN137" s="16"/>
      <c r="DO137" s="16"/>
      <c r="DP137" s="16">
        <v>1166</v>
      </c>
      <c r="DQ137" s="16">
        <f t="shared" si="66"/>
        <v>387</v>
      </c>
      <c r="DR137" s="16">
        <v>779</v>
      </c>
      <c r="DS137" s="16">
        <v>14</v>
      </c>
      <c r="DT137" s="16">
        <f t="shared" si="67"/>
        <v>765</v>
      </c>
      <c r="DU137" s="16"/>
      <c r="DV137" s="16"/>
      <c r="DW137" s="80">
        <v>2003</v>
      </c>
      <c r="DX137" s="81" t="s">
        <v>47</v>
      </c>
      <c r="DY137" s="15">
        <f t="shared" si="68"/>
        <v>0.84771986970684043</v>
      </c>
      <c r="DZ137" s="15">
        <f t="shared" si="69"/>
        <v>0.90758500435919787</v>
      </c>
      <c r="EA137" s="15">
        <f t="shared" si="70"/>
        <v>0.93403908794788271</v>
      </c>
      <c r="EB137" s="16"/>
      <c r="EC137" s="16"/>
      <c r="ED137" s="16">
        <v>1228</v>
      </c>
      <c r="EE137" s="16">
        <f t="shared" si="71"/>
        <v>81</v>
      </c>
      <c r="EF137" s="16">
        <v>1147</v>
      </c>
      <c r="EG137" s="16">
        <v>1041</v>
      </c>
      <c r="EH137" s="16">
        <f t="shared" si="72"/>
        <v>106</v>
      </c>
      <c r="EI137" s="16"/>
      <c r="EJ137" s="16"/>
      <c r="EK137" s="80"/>
      <c r="EL137" s="81"/>
      <c r="EM137" s="16"/>
      <c r="EN137" s="16"/>
      <c r="EO137" s="16"/>
      <c r="EP137" s="16"/>
      <c r="EQ137" s="16"/>
      <c r="ER137" s="16"/>
      <c r="ES137" s="16"/>
      <c r="ET137" s="16"/>
      <c r="EU137" s="16"/>
      <c r="EV137" s="16"/>
      <c r="EW137" s="16"/>
      <c r="EX137" s="16"/>
      <c r="EY137" s="80"/>
      <c r="EZ137" s="81"/>
      <c r="FA137" s="16"/>
      <c r="FB137" s="16"/>
      <c r="FC137" s="16"/>
      <c r="FD137" s="16"/>
      <c r="FE137" s="16"/>
      <c r="FF137" s="16"/>
      <c r="FG137" s="16"/>
      <c r="FH137" s="16"/>
      <c r="FI137" s="16"/>
      <c r="FJ137" s="16"/>
      <c r="FK137" s="16"/>
      <c r="FM137" s="80"/>
      <c r="FN137" s="81"/>
      <c r="FO137" s="16"/>
      <c r="FP137" s="16"/>
      <c r="FQ137" s="16"/>
      <c r="FR137" s="16"/>
      <c r="FS137" s="16"/>
      <c r="FT137" s="16"/>
      <c r="FU137" s="16"/>
      <c r="FV137" s="16"/>
      <c r="FW137" s="16"/>
      <c r="FX137" s="16"/>
      <c r="FY137" s="16"/>
      <c r="GA137" s="80"/>
      <c r="GB137" s="81"/>
      <c r="GC137" s="16"/>
      <c r="GD137" s="16"/>
      <c r="GE137" s="16"/>
      <c r="GF137" s="16"/>
      <c r="GG137" s="16"/>
      <c r="GH137" s="16"/>
      <c r="GI137" s="16"/>
      <c r="GJ137" s="16"/>
      <c r="GK137" s="16"/>
      <c r="GL137" s="16"/>
      <c r="GM137" s="16"/>
    </row>
    <row r="138" spans="1:195" s="18" customFormat="1" ht="15" customHeight="1">
      <c r="A138" s="78">
        <v>2004</v>
      </c>
      <c r="B138" s="79" t="s">
        <v>36</v>
      </c>
      <c r="C138" s="15">
        <f t="shared" si="73"/>
        <v>0.82744169994576744</v>
      </c>
      <c r="D138" s="15">
        <f t="shared" si="74"/>
        <v>0.88266540443883457</v>
      </c>
      <c r="E138" s="15">
        <f t="shared" si="75"/>
        <v>0.93743529063747966</v>
      </c>
      <c r="F138" s="16"/>
      <c r="G138" s="33"/>
      <c r="H13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20283</v>
      </c>
      <c r="I138" s="16">
        <f t="shared" si="76"/>
        <v>1269</v>
      </c>
      <c r="J13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19014</v>
      </c>
      <c r="K13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16783</v>
      </c>
      <c r="L138" s="16">
        <f t="shared" si="77"/>
        <v>2231</v>
      </c>
      <c r="M138" s="16"/>
      <c r="N138" s="16"/>
      <c r="O138" s="90">
        <v>2004</v>
      </c>
      <c r="P138" s="91" t="s">
        <v>36</v>
      </c>
      <c r="Q138" s="42">
        <f t="shared" si="28"/>
        <v>0.89499192245557346</v>
      </c>
      <c r="R138" s="42">
        <f t="shared" si="29"/>
        <v>0.9251322015029223</v>
      </c>
      <c r="S138" s="42">
        <f t="shared" si="30"/>
        <v>0.96742057081313948</v>
      </c>
      <c r="T138" s="43"/>
      <c r="U138" s="43"/>
      <c r="V138" s="30">
        <v>3714</v>
      </c>
      <c r="W138" s="30">
        <f t="shared" si="31"/>
        <v>121</v>
      </c>
      <c r="X138" s="30">
        <v>3593</v>
      </c>
      <c r="Y138" s="30">
        <v>3324</v>
      </c>
      <c r="Z138" s="30">
        <f t="shared" si="32"/>
        <v>269</v>
      </c>
      <c r="AA138" s="16"/>
      <c r="AB138" s="16"/>
      <c r="AC138" s="78">
        <v>2004</v>
      </c>
      <c r="AD138" s="79" t="s">
        <v>36</v>
      </c>
      <c r="AE138" s="15">
        <f t="shared" si="33"/>
        <v>0.92387096774193544</v>
      </c>
      <c r="AF138" s="15">
        <f t="shared" si="34"/>
        <v>0.92926670992861782</v>
      </c>
      <c r="AG138" s="15">
        <f t="shared" si="35"/>
        <v>0.99419354838709673</v>
      </c>
      <c r="AH138" s="15"/>
      <c r="AI138" s="15"/>
      <c r="AJ138" s="16">
        <v>1550</v>
      </c>
      <c r="AK138" s="16">
        <f t="shared" si="36"/>
        <v>9</v>
      </c>
      <c r="AL138" s="16">
        <v>1541</v>
      </c>
      <c r="AM138" s="16">
        <v>1432</v>
      </c>
      <c r="AN138" s="16">
        <f t="shared" si="37"/>
        <v>109</v>
      </c>
      <c r="AO138" s="16"/>
      <c r="AP138" s="16"/>
      <c r="AQ138" s="78">
        <v>2004</v>
      </c>
      <c r="AR138" s="79" t="s">
        <v>36</v>
      </c>
      <c r="AS138" s="15">
        <f t="shared" si="38"/>
        <v>0.89842829076620823</v>
      </c>
      <c r="AT138" s="15">
        <f t="shared" si="39"/>
        <v>0.93022782750203414</v>
      </c>
      <c r="AU138" s="15">
        <f t="shared" si="40"/>
        <v>0.96581532416502947</v>
      </c>
      <c r="AV138" s="16"/>
      <c r="AW138" s="16"/>
      <c r="AX138" s="16">
        <v>5090</v>
      </c>
      <c r="AY138" s="16">
        <f t="shared" si="41"/>
        <v>174</v>
      </c>
      <c r="AZ138" s="16">
        <v>4916</v>
      </c>
      <c r="BA138" s="16">
        <v>4573</v>
      </c>
      <c r="BB138" s="16">
        <f t="shared" si="42"/>
        <v>343</v>
      </c>
      <c r="BC138" s="16"/>
      <c r="BD138" s="16"/>
      <c r="BE138" s="78">
        <v>2004</v>
      </c>
      <c r="BF138" s="79" t="s">
        <v>36</v>
      </c>
      <c r="BG138" s="15">
        <f t="shared" si="43"/>
        <v>0.63492063492063489</v>
      </c>
      <c r="BH138" s="15">
        <f t="shared" si="44"/>
        <v>0.93264248704663211</v>
      </c>
      <c r="BI138" s="15">
        <f t="shared" si="45"/>
        <v>0.6807760141093474</v>
      </c>
      <c r="BJ138" s="16"/>
      <c r="BK138" s="16"/>
      <c r="BL138" s="16">
        <v>567</v>
      </c>
      <c r="BM138" s="16">
        <f t="shared" si="46"/>
        <v>181</v>
      </c>
      <c r="BN138" s="16">
        <v>386</v>
      </c>
      <c r="BO138" s="16">
        <v>360</v>
      </c>
      <c r="BP138" s="16">
        <f t="shared" si="47"/>
        <v>26</v>
      </c>
      <c r="BQ138" s="16"/>
      <c r="BR138" s="16"/>
      <c r="BS138" s="78">
        <v>2004</v>
      </c>
      <c r="BT138" s="79" t="s">
        <v>36</v>
      </c>
      <c r="BU138" s="15">
        <f t="shared" si="48"/>
        <v>0.85023976392475098</v>
      </c>
      <c r="BV138" s="15">
        <f t="shared" si="49"/>
        <v>0.88314176245210729</v>
      </c>
      <c r="BW138" s="15">
        <f t="shared" si="50"/>
        <v>0.96274437476945773</v>
      </c>
      <c r="BX138" s="16"/>
      <c r="BY138" s="16"/>
      <c r="BZ138" s="16">
        <v>2711</v>
      </c>
      <c r="CA138" s="16">
        <f t="shared" si="51"/>
        <v>101</v>
      </c>
      <c r="CB138" s="16">
        <v>2610</v>
      </c>
      <c r="CC138" s="16">
        <v>2305</v>
      </c>
      <c r="CD138" s="16">
        <f t="shared" si="52"/>
        <v>305</v>
      </c>
      <c r="CE138" s="16"/>
      <c r="CF138" s="16"/>
      <c r="CG138" s="78">
        <v>2004</v>
      </c>
      <c r="CH138" s="79" t="s">
        <v>36</v>
      </c>
      <c r="CI138" s="15">
        <f t="shared" si="53"/>
        <v>0.86695747001090517</v>
      </c>
      <c r="CJ138" s="15">
        <f t="shared" si="54"/>
        <v>0.90136054421768708</v>
      </c>
      <c r="CK138" s="15">
        <f t="shared" si="55"/>
        <v>0.96183206106870234</v>
      </c>
      <c r="CL138" s="16"/>
      <c r="CM138" s="16"/>
      <c r="CN138" s="16">
        <v>2751</v>
      </c>
      <c r="CO138" s="16">
        <f t="shared" si="56"/>
        <v>105</v>
      </c>
      <c r="CP138" s="16">
        <v>2646</v>
      </c>
      <c r="CQ138" s="16">
        <v>2385</v>
      </c>
      <c r="CR138" s="16">
        <f t="shared" si="57"/>
        <v>261</v>
      </c>
      <c r="CS138" s="16"/>
      <c r="CT138" s="16"/>
      <c r="CU138" s="78">
        <v>2004</v>
      </c>
      <c r="CV138" s="79" t="s">
        <v>36</v>
      </c>
      <c r="CW138" s="15">
        <f t="shared" si="58"/>
        <v>0.86884154460719043</v>
      </c>
      <c r="CX138" s="15">
        <f t="shared" si="59"/>
        <v>0.96168017686072216</v>
      </c>
      <c r="CY138" s="15">
        <f t="shared" si="60"/>
        <v>0.90346205059920104</v>
      </c>
      <c r="CZ138" s="16"/>
      <c r="DA138" s="16"/>
      <c r="DB138" s="16">
        <v>1502</v>
      </c>
      <c r="DC138" s="16">
        <f t="shared" si="61"/>
        <v>145</v>
      </c>
      <c r="DD138" s="16">
        <v>1357</v>
      </c>
      <c r="DE138" s="16">
        <v>1305</v>
      </c>
      <c r="DF138" s="16">
        <f t="shared" si="62"/>
        <v>52</v>
      </c>
      <c r="DG138" s="16"/>
      <c r="DH138" s="16"/>
      <c r="DI138" s="78">
        <v>2004</v>
      </c>
      <c r="DJ138" s="79" t="s">
        <v>36</v>
      </c>
      <c r="DK138" s="15">
        <f t="shared" si="63"/>
        <v>7.7054794520547941E-3</v>
      </c>
      <c r="DL138" s="15">
        <f t="shared" si="64"/>
        <v>1.1597938144329897E-2</v>
      </c>
      <c r="DM138" s="15">
        <f t="shared" si="65"/>
        <v>0.66438356164383561</v>
      </c>
      <c r="DN138" s="16"/>
      <c r="DO138" s="16"/>
      <c r="DP138" s="16">
        <v>1168</v>
      </c>
      <c r="DQ138" s="16">
        <f t="shared" si="66"/>
        <v>392</v>
      </c>
      <c r="DR138" s="16">
        <v>776</v>
      </c>
      <c r="DS138" s="16">
        <v>9</v>
      </c>
      <c r="DT138" s="16">
        <f t="shared" si="67"/>
        <v>767</v>
      </c>
      <c r="DU138" s="16"/>
      <c r="DV138" s="16"/>
      <c r="DW138" s="78">
        <v>2004</v>
      </c>
      <c r="DX138" s="79" t="s">
        <v>36</v>
      </c>
      <c r="DY138" s="15">
        <f t="shared" si="68"/>
        <v>0.88617886178861793</v>
      </c>
      <c r="DZ138" s="15">
        <f t="shared" si="69"/>
        <v>0.91673675357443229</v>
      </c>
      <c r="EA138" s="15">
        <f t="shared" si="70"/>
        <v>0.96666666666666667</v>
      </c>
      <c r="EB138" s="16"/>
      <c r="EC138" s="16"/>
      <c r="ED138" s="16">
        <v>1230</v>
      </c>
      <c r="EE138" s="16">
        <f t="shared" si="71"/>
        <v>41</v>
      </c>
      <c r="EF138" s="16">
        <v>1189</v>
      </c>
      <c r="EG138" s="16">
        <v>1090</v>
      </c>
      <c r="EH138" s="16">
        <f t="shared" si="72"/>
        <v>99</v>
      </c>
      <c r="EI138" s="16"/>
      <c r="EJ138" s="16"/>
      <c r="EK138" s="78"/>
      <c r="EL138" s="79"/>
      <c r="EM138" s="16"/>
      <c r="EN138" s="16"/>
      <c r="EO138" s="16"/>
      <c r="EP138" s="16"/>
      <c r="EQ138" s="16"/>
      <c r="ER138" s="16"/>
      <c r="ES138" s="16"/>
      <c r="ET138" s="16"/>
      <c r="EU138" s="16"/>
      <c r="EV138" s="16"/>
      <c r="EW138" s="16"/>
      <c r="EX138" s="16"/>
      <c r="EY138" s="78"/>
      <c r="EZ138" s="79"/>
      <c r="FA138" s="16"/>
      <c r="FB138" s="16"/>
      <c r="FC138" s="16"/>
      <c r="FD138" s="16"/>
      <c r="FE138" s="16"/>
      <c r="FF138" s="16"/>
      <c r="FG138" s="16"/>
      <c r="FH138" s="16"/>
      <c r="FI138" s="16"/>
      <c r="FJ138" s="16"/>
      <c r="FK138" s="16"/>
      <c r="FM138" s="78"/>
      <c r="FN138" s="79"/>
      <c r="FO138" s="16"/>
      <c r="FP138" s="16"/>
      <c r="FQ138" s="16"/>
      <c r="FR138" s="16"/>
      <c r="FS138" s="16"/>
      <c r="FT138" s="16"/>
      <c r="FU138" s="16"/>
      <c r="FV138" s="16"/>
      <c r="FW138" s="16"/>
      <c r="FX138" s="16"/>
      <c r="FY138" s="16"/>
      <c r="GA138" s="78"/>
      <c r="GB138" s="79"/>
      <c r="GC138" s="16"/>
      <c r="GD138" s="16"/>
      <c r="GE138" s="16"/>
      <c r="GF138" s="16"/>
      <c r="GG138" s="16"/>
      <c r="GH138" s="16"/>
      <c r="GI138" s="16"/>
      <c r="GJ138" s="16"/>
      <c r="GK138" s="16"/>
      <c r="GL138" s="16"/>
      <c r="GM138" s="16"/>
    </row>
    <row r="139" spans="1:195" s="18" customFormat="1" ht="15" customHeight="1">
      <c r="A139" s="80">
        <v>2004</v>
      </c>
      <c r="B139" s="81" t="s">
        <v>37</v>
      </c>
      <c r="C139" s="15">
        <f t="shared" si="73"/>
        <v>0.80314919163726373</v>
      </c>
      <c r="D139" s="15">
        <f t="shared" si="74"/>
        <v>0.8637856819211599</v>
      </c>
      <c r="E139" s="15">
        <f t="shared" si="75"/>
        <v>0.92980146400547681</v>
      </c>
      <c r="F139" s="16"/>
      <c r="G139" s="33"/>
      <c r="H13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18989</v>
      </c>
      <c r="I139" s="16">
        <f t="shared" si="76"/>
        <v>1333</v>
      </c>
      <c r="J13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17656</v>
      </c>
      <c r="K13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15251</v>
      </c>
      <c r="L139" s="16">
        <f t="shared" si="77"/>
        <v>2405</v>
      </c>
      <c r="M139" s="16"/>
      <c r="N139" s="16"/>
      <c r="O139" s="92">
        <v>2004</v>
      </c>
      <c r="P139" s="93" t="s">
        <v>37</v>
      </c>
      <c r="Q139" s="42">
        <f t="shared" si="28"/>
        <v>0.86428982173663027</v>
      </c>
      <c r="R139" s="42">
        <f t="shared" si="29"/>
        <v>0.89145907473309605</v>
      </c>
      <c r="S139" s="42">
        <f t="shared" si="30"/>
        <v>0.96952271420356528</v>
      </c>
      <c r="T139" s="43"/>
      <c r="U139" s="43"/>
      <c r="V139" s="30">
        <v>3478</v>
      </c>
      <c r="W139" s="30">
        <f t="shared" si="31"/>
        <v>106</v>
      </c>
      <c r="X139" s="30">
        <v>3372</v>
      </c>
      <c r="Y139" s="30">
        <v>3006</v>
      </c>
      <c r="Z139" s="30">
        <f t="shared" si="32"/>
        <v>366</v>
      </c>
      <c r="AA139" s="16"/>
      <c r="AB139" s="16"/>
      <c r="AC139" s="80">
        <v>2004</v>
      </c>
      <c r="AD139" s="81" t="s">
        <v>37</v>
      </c>
      <c r="AE139" s="15">
        <f t="shared" si="33"/>
        <v>0.9140679140679141</v>
      </c>
      <c r="AF139" s="15">
        <f t="shared" si="34"/>
        <v>0.92691496837666898</v>
      </c>
      <c r="AG139" s="15">
        <f t="shared" si="35"/>
        <v>0.9861399861399861</v>
      </c>
      <c r="AH139" s="15"/>
      <c r="AI139" s="15"/>
      <c r="AJ139" s="16">
        <v>1443</v>
      </c>
      <c r="AK139" s="16">
        <f t="shared" si="36"/>
        <v>20</v>
      </c>
      <c r="AL139" s="16">
        <v>1423</v>
      </c>
      <c r="AM139" s="16">
        <v>1319</v>
      </c>
      <c r="AN139" s="16">
        <f t="shared" si="37"/>
        <v>104</v>
      </c>
      <c r="AO139" s="16"/>
      <c r="AP139" s="16"/>
      <c r="AQ139" s="80">
        <v>2004</v>
      </c>
      <c r="AR139" s="81" t="s">
        <v>37</v>
      </c>
      <c r="AS139" s="15">
        <f t="shared" si="38"/>
        <v>0.86690496215306978</v>
      </c>
      <c r="AT139" s="15">
        <f t="shared" si="39"/>
        <v>0.90139921294271974</v>
      </c>
      <c r="AU139" s="15">
        <f t="shared" si="40"/>
        <v>0.96173254835996635</v>
      </c>
      <c r="AV139" s="16"/>
      <c r="AW139" s="16"/>
      <c r="AX139" s="16">
        <v>4756</v>
      </c>
      <c r="AY139" s="16">
        <f t="shared" si="41"/>
        <v>182</v>
      </c>
      <c r="AZ139" s="16">
        <v>4574</v>
      </c>
      <c r="BA139" s="16">
        <v>4123</v>
      </c>
      <c r="BB139" s="16">
        <f t="shared" si="42"/>
        <v>451</v>
      </c>
      <c r="BC139" s="16"/>
      <c r="BD139" s="16"/>
      <c r="BE139" s="80">
        <v>2004</v>
      </c>
      <c r="BF139" s="81" t="s">
        <v>37</v>
      </c>
      <c r="BG139" s="15">
        <f t="shared" si="43"/>
        <v>0.62037037037037035</v>
      </c>
      <c r="BH139" s="15">
        <f t="shared" si="44"/>
        <v>0.8885941644562334</v>
      </c>
      <c r="BI139" s="15">
        <f t="shared" si="45"/>
        <v>0.69814814814814818</v>
      </c>
      <c r="BJ139" s="16"/>
      <c r="BK139" s="16"/>
      <c r="BL139" s="16">
        <v>540</v>
      </c>
      <c r="BM139" s="16">
        <f t="shared" si="46"/>
        <v>163</v>
      </c>
      <c r="BN139" s="16">
        <v>377</v>
      </c>
      <c r="BO139" s="16">
        <v>335</v>
      </c>
      <c r="BP139" s="16">
        <f t="shared" si="47"/>
        <v>42</v>
      </c>
      <c r="BQ139" s="16"/>
      <c r="BR139" s="16"/>
      <c r="BS139" s="80">
        <v>2004</v>
      </c>
      <c r="BT139" s="81" t="s">
        <v>37</v>
      </c>
      <c r="BU139" s="15">
        <f t="shared" si="48"/>
        <v>0.82494099134539733</v>
      </c>
      <c r="BV139" s="15">
        <f t="shared" si="49"/>
        <v>0.86796357615894038</v>
      </c>
      <c r="BW139" s="15">
        <f t="shared" si="50"/>
        <v>0.95043273013375296</v>
      </c>
      <c r="BX139" s="16"/>
      <c r="BY139" s="16"/>
      <c r="BZ139" s="16">
        <v>2542</v>
      </c>
      <c r="CA139" s="16">
        <f t="shared" si="51"/>
        <v>126</v>
      </c>
      <c r="CB139" s="16">
        <v>2416</v>
      </c>
      <c r="CC139" s="16">
        <v>2097</v>
      </c>
      <c r="CD139" s="16">
        <f t="shared" si="52"/>
        <v>319</v>
      </c>
      <c r="CE139" s="16"/>
      <c r="CF139" s="16"/>
      <c r="CG139" s="80">
        <v>2004</v>
      </c>
      <c r="CH139" s="81" t="s">
        <v>37</v>
      </c>
      <c r="CI139" s="15">
        <f t="shared" si="53"/>
        <v>0.8290034897246995</v>
      </c>
      <c r="CJ139" s="15">
        <f t="shared" si="54"/>
        <v>0.88824262567511425</v>
      </c>
      <c r="CK139" s="15">
        <f t="shared" si="55"/>
        <v>0.93330748352074444</v>
      </c>
      <c r="CL139" s="16"/>
      <c r="CM139" s="16"/>
      <c r="CN139" s="16">
        <v>2579</v>
      </c>
      <c r="CO139" s="16">
        <f t="shared" si="56"/>
        <v>172</v>
      </c>
      <c r="CP139" s="16">
        <v>2407</v>
      </c>
      <c r="CQ139" s="16">
        <v>2138</v>
      </c>
      <c r="CR139" s="16">
        <f t="shared" si="57"/>
        <v>269</v>
      </c>
      <c r="CS139" s="16"/>
      <c r="CT139" s="16"/>
      <c r="CU139" s="80">
        <v>2004</v>
      </c>
      <c r="CV139" s="81" t="s">
        <v>37</v>
      </c>
      <c r="CW139" s="15">
        <f t="shared" si="58"/>
        <v>0.89354151880766497</v>
      </c>
      <c r="CX139" s="15">
        <f t="shared" si="59"/>
        <v>0.98590446358653094</v>
      </c>
      <c r="CY139" s="15">
        <f t="shared" si="60"/>
        <v>0.90631653655074518</v>
      </c>
      <c r="CZ139" s="16"/>
      <c r="DA139" s="16"/>
      <c r="DB139" s="16">
        <v>1409</v>
      </c>
      <c r="DC139" s="16">
        <f t="shared" si="61"/>
        <v>132</v>
      </c>
      <c r="DD139" s="16">
        <v>1277</v>
      </c>
      <c r="DE139" s="16">
        <v>1259</v>
      </c>
      <c r="DF139" s="16">
        <f t="shared" si="62"/>
        <v>18</v>
      </c>
      <c r="DG139" s="16"/>
      <c r="DH139" s="16"/>
      <c r="DI139" s="80">
        <v>2004</v>
      </c>
      <c r="DJ139" s="81" t="s">
        <v>37</v>
      </c>
      <c r="DK139" s="15">
        <f t="shared" si="63"/>
        <v>2.3809523809523808E-2</v>
      </c>
      <c r="DL139" s="15">
        <f t="shared" si="64"/>
        <v>3.5470668485675309E-2</v>
      </c>
      <c r="DM139" s="15">
        <f t="shared" si="65"/>
        <v>0.67124542124542119</v>
      </c>
      <c r="DN139" s="16"/>
      <c r="DO139" s="16"/>
      <c r="DP139" s="16">
        <v>1092</v>
      </c>
      <c r="DQ139" s="16">
        <f t="shared" si="66"/>
        <v>359</v>
      </c>
      <c r="DR139" s="16">
        <v>733</v>
      </c>
      <c r="DS139" s="16">
        <v>26</v>
      </c>
      <c r="DT139" s="16">
        <f t="shared" si="67"/>
        <v>707</v>
      </c>
      <c r="DU139" s="16"/>
      <c r="DV139" s="16"/>
      <c r="DW139" s="80">
        <v>2004</v>
      </c>
      <c r="DX139" s="81" t="s">
        <v>37</v>
      </c>
      <c r="DY139" s="15">
        <f t="shared" si="68"/>
        <v>0.82434782608695656</v>
      </c>
      <c r="DZ139" s="15">
        <f t="shared" si="69"/>
        <v>0.88022284122562677</v>
      </c>
      <c r="EA139" s="15">
        <f t="shared" si="70"/>
        <v>0.93652173913043479</v>
      </c>
      <c r="EB139" s="16"/>
      <c r="EC139" s="16"/>
      <c r="ED139" s="16">
        <v>1150</v>
      </c>
      <c r="EE139" s="16">
        <f t="shared" si="71"/>
        <v>73</v>
      </c>
      <c r="EF139" s="16">
        <v>1077</v>
      </c>
      <c r="EG139" s="16">
        <v>948</v>
      </c>
      <c r="EH139" s="16">
        <f t="shared" si="72"/>
        <v>129</v>
      </c>
      <c r="EI139" s="16"/>
      <c r="EJ139" s="16"/>
      <c r="EK139" s="80"/>
      <c r="EL139" s="81"/>
      <c r="EM139" s="16"/>
      <c r="EN139" s="16"/>
      <c r="EO139" s="16"/>
      <c r="EP139" s="16"/>
      <c r="EQ139" s="16"/>
      <c r="ER139" s="16"/>
      <c r="ES139" s="16"/>
      <c r="ET139" s="16"/>
      <c r="EU139" s="16"/>
      <c r="EV139" s="16"/>
      <c r="EW139" s="16"/>
      <c r="EX139" s="16"/>
      <c r="EY139" s="80"/>
      <c r="EZ139" s="81"/>
      <c r="FA139" s="16"/>
      <c r="FB139" s="16"/>
      <c r="FC139" s="16"/>
      <c r="FD139" s="16"/>
      <c r="FE139" s="16"/>
      <c r="FF139" s="16"/>
      <c r="FG139" s="16"/>
      <c r="FH139" s="16"/>
      <c r="FI139" s="16"/>
      <c r="FJ139" s="16"/>
      <c r="FK139" s="16"/>
      <c r="FM139" s="80"/>
      <c r="FN139" s="81"/>
      <c r="FO139" s="16"/>
      <c r="FP139" s="16"/>
      <c r="FQ139" s="16"/>
      <c r="FR139" s="16"/>
      <c r="FS139" s="16"/>
      <c r="FT139" s="16"/>
      <c r="FU139" s="16"/>
      <c r="FV139" s="16"/>
      <c r="FW139" s="16"/>
      <c r="FX139" s="16"/>
      <c r="FY139" s="16"/>
      <c r="GA139" s="80"/>
      <c r="GB139" s="81"/>
      <c r="GC139" s="16"/>
      <c r="GD139" s="16"/>
      <c r="GE139" s="16"/>
      <c r="GF139" s="16"/>
      <c r="GG139" s="16"/>
      <c r="GH139" s="16"/>
      <c r="GI139" s="16"/>
      <c r="GJ139" s="16"/>
      <c r="GK139" s="16"/>
      <c r="GL139" s="16"/>
      <c r="GM139" s="16"/>
    </row>
    <row r="140" spans="1:195" s="18" customFormat="1" ht="15" customHeight="1">
      <c r="A140" s="78">
        <v>2004</v>
      </c>
      <c r="B140" s="79" t="s">
        <v>38</v>
      </c>
      <c r="C140" s="15">
        <f t="shared" si="73"/>
        <v>0.79673934015049197</v>
      </c>
      <c r="D140" s="15">
        <f t="shared" si="74"/>
        <v>0.84738111116811166</v>
      </c>
      <c r="E140" s="15">
        <f t="shared" si="75"/>
        <v>0.94023731429673929</v>
      </c>
      <c r="F140" s="16"/>
      <c r="G140" s="33"/>
      <c r="H14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20732</v>
      </c>
      <c r="I140" s="16">
        <f t="shared" si="76"/>
        <v>1239</v>
      </c>
      <c r="J14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19493</v>
      </c>
      <c r="K14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16518</v>
      </c>
      <c r="L140" s="16">
        <f t="shared" si="77"/>
        <v>2975</v>
      </c>
      <c r="M140" s="16"/>
      <c r="N140" s="16"/>
      <c r="O140" s="90">
        <v>2004</v>
      </c>
      <c r="P140" s="91" t="s">
        <v>38</v>
      </c>
      <c r="Q140" s="42">
        <f t="shared" si="28"/>
        <v>0.84431137724550898</v>
      </c>
      <c r="R140" s="42">
        <f t="shared" si="29"/>
        <v>0.8604404351286814</v>
      </c>
      <c r="S140" s="42">
        <f t="shared" si="30"/>
        <v>0.98125488154126528</v>
      </c>
      <c r="T140" s="43"/>
      <c r="U140" s="43"/>
      <c r="V140" s="30">
        <v>3841</v>
      </c>
      <c r="W140" s="30">
        <f t="shared" si="31"/>
        <v>72</v>
      </c>
      <c r="X140" s="30">
        <v>3769</v>
      </c>
      <c r="Y140" s="30">
        <v>3243</v>
      </c>
      <c r="Z140" s="30">
        <f t="shared" si="32"/>
        <v>526</v>
      </c>
      <c r="AA140" s="16"/>
      <c r="AB140" s="16"/>
      <c r="AC140" s="78">
        <v>2004</v>
      </c>
      <c r="AD140" s="79" t="s">
        <v>38</v>
      </c>
      <c r="AE140" s="15">
        <f t="shared" si="33"/>
        <v>0.90351437699680515</v>
      </c>
      <c r="AF140" s="15">
        <f t="shared" si="34"/>
        <v>0.91049581455247908</v>
      </c>
      <c r="AG140" s="15">
        <f t="shared" si="35"/>
        <v>0.99233226837060706</v>
      </c>
      <c r="AH140" s="15"/>
      <c r="AI140" s="15"/>
      <c r="AJ140" s="16">
        <v>1565</v>
      </c>
      <c r="AK140" s="16">
        <f t="shared" si="36"/>
        <v>12</v>
      </c>
      <c r="AL140" s="16">
        <v>1553</v>
      </c>
      <c r="AM140" s="16">
        <v>1414</v>
      </c>
      <c r="AN140" s="16">
        <f t="shared" si="37"/>
        <v>139</v>
      </c>
      <c r="AO140" s="16"/>
      <c r="AP140" s="16"/>
      <c r="AQ140" s="78">
        <v>2004</v>
      </c>
      <c r="AR140" s="79" t="s">
        <v>38</v>
      </c>
      <c r="AS140" s="15">
        <f t="shared" si="38"/>
        <v>0.85722510074841685</v>
      </c>
      <c r="AT140" s="15">
        <f t="shared" si="39"/>
        <v>0.88280632411067195</v>
      </c>
      <c r="AU140" s="15">
        <f t="shared" si="40"/>
        <v>0.97102283630781039</v>
      </c>
      <c r="AV140" s="16"/>
      <c r="AW140" s="16"/>
      <c r="AX140" s="16">
        <v>5211</v>
      </c>
      <c r="AY140" s="16">
        <f t="shared" si="41"/>
        <v>151</v>
      </c>
      <c r="AZ140" s="16">
        <v>5060</v>
      </c>
      <c r="BA140" s="16">
        <v>4467</v>
      </c>
      <c r="BB140" s="16">
        <f t="shared" si="42"/>
        <v>593</v>
      </c>
      <c r="BC140" s="16"/>
      <c r="BD140" s="16"/>
      <c r="BE140" s="78">
        <v>2004</v>
      </c>
      <c r="BF140" s="79" t="s">
        <v>38</v>
      </c>
      <c r="BG140" s="15">
        <f t="shared" si="43"/>
        <v>0.6843800322061192</v>
      </c>
      <c r="BH140" s="15">
        <f t="shared" si="44"/>
        <v>0.87090163934426235</v>
      </c>
      <c r="BI140" s="15">
        <f t="shared" si="45"/>
        <v>0.78582930756843805</v>
      </c>
      <c r="BJ140" s="16"/>
      <c r="BK140" s="16"/>
      <c r="BL140" s="16">
        <v>621</v>
      </c>
      <c r="BM140" s="16">
        <f t="shared" si="46"/>
        <v>133</v>
      </c>
      <c r="BN140" s="16">
        <v>488</v>
      </c>
      <c r="BO140" s="16">
        <v>425</v>
      </c>
      <c r="BP140" s="16">
        <f t="shared" si="47"/>
        <v>63</v>
      </c>
      <c r="BQ140" s="16"/>
      <c r="BR140" s="16"/>
      <c r="BS140" s="78">
        <v>2004</v>
      </c>
      <c r="BT140" s="79" t="s">
        <v>38</v>
      </c>
      <c r="BU140" s="15">
        <f t="shared" si="48"/>
        <v>0.77785817655571632</v>
      </c>
      <c r="BV140" s="15">
        <f t="shared" si="49"/>
        <v>0.8288357748650732</v>
      </c>
      <c r="BW140" s="15">
        <f t="shared" si="50"/>
        <v>0.93849493487698987</v>
      </c>
      <c r="BX140" s="16"/>
      <c r="BY140" s="16"/>
      <c r="BZ140" s="16">
        <v>2764</v>
      </c>
      <c r="CA140" s="16">
        <f t="shared" si="51"/>
        <v>170</v>
      </c>
      <c r="CB140" s="16">
        <v>2594</v>
      </c>
      <c r="CC140" s="16">
        <v>2150</v>
      </c>
      <c r="CD140" s="16">
        <f t="shared" si="52"/>
        <v>444</v>
      </c>
      <c r="CE140" s="16"/>
      <c r="CF140" s="16"/>
      <c r="CG140" s="78">
        <v>2004</v>
      </c>
      <c r="CH140" s="79" t="s">
        <v>38</v>
      </c>
      <c r="CI140" s="15">
        <f t="shared" si="53"/>
        <v>0.81509298998569379</v>
      </c>
      <c r="CJ140" s="15">
        <f t="shared" si="54"/>
        <v>0.8705118411000764</v>
      </c>
      <c r="CK140" s="15">
        <f t="shared" si="55"/>
        <v>0.9363376251788269</v>
      </c>
      <c r="CL140" s="16"/>
      <c r="CM140" s="16"/>
      <c r="CN140" s="16">
        <v>2796</v>
      </c>
      <c r="CO140" s="16">
        <f t="shared" si="56"/>
        <v>178</v>
      </c>
      <c r="CP140" s="16">
        <v>2618</v>
      </c>
      <c r="CQ140" s="16">
        <v>2279</v>
      </c>
      <c r="CR140" s="16">
        <f t="shared" si="57"/>
        <v>339</v>
      </c>
      <c r="CS140" s="16"/>
      <c r="CT140" s="16"/>
      <c r="CU140" s="78">
        <v>2004</v>
      </c>
      <c r="CV140" s="79" t="s">
        <v>38</v>
      </c>
      <c r="CW140" s="15">
        <f t="shared" si="58"/>
        <v>0.96801566579634468</v>
      </c>
      <c r="CX140" s="15">
        <f t="shared" si="59"/>
        <v>0.98932621747831884</v>
      </c>
      <c r="CY140" s="15">
        <f t="shared" si="60"/>
        <v>0.97845953002610964</v>
      </c>
      <c r="CZ140" s="16"/>
      <c r="DA140" s="16"/>
      <c r="DB140" s="16">
        <v>1532</v>
      </c>
      <c r="DC140" s="16">
        <f t="shared" si="61"/>
        <v>33</v>
      </c>
      <c r="DD140" s="16">
        <v>1499</v>
      </c>
      <c r="DE140" s="16">
        <v>1483</v>
      </c>
      <c r="DF140" s="16">
        <f t="shared" si="62"/>
        <v>16</v>
      </c>
      <c r="DG140" s="16"/>
      <c r="DH140" s="16"/>
      <c r="DI140" s="78">
        <v>2004</v>
      </c>
      <c r="DJ140" s="79" t="s">
        <v>38</v>
      </c>
      <c r="DK140" s="15">
        <f t="shared" si="63"/>
        <v>1.282051282051282E-2</v>
      </c>
      <c r="DL140" s="15">
        <f t="shared" si="64"/>
        <v>1.968503937007874E-2</v>
      </c>
      <c r="DM140" s="15">
        <f t="shared" si="65"/>
        <v>0.6512820512820513</v>
      </c>
      <c r="DN140" s="16"/>
      <c r="DO140" s="16"/>
      <c r="DP140" s="16">
        <v>1170</v>
      </c>
      <c r="DQ140" s="16">
        <f t="shared" si="66"/>
        <v>408</v>
      </c>
      <c r="DR140" s="16">
        <v>762</v>
      </c>
      <c r="DS140" s="16">
        <v>15</v>
      </c>
      <c r="DT140" s="16">
        <f t="shared" si="67"/>
        <v>747</v>
      </c>
      <c r="DU140" s="16"/>
      <c r="DV140" s="16"/>
      <c r="DW140" s="78">
        <v>2004</v>
      </c>
      <c r="DX140" s="79" t="s">
        <v>38</v>
      </c>
      <c r="DY140" s="15">
        <f t="shared" si="68"/>
        <v>0.84577922077922074</v>
      </c>
      <c r="DZ140" s="15">
        <f t="shared" si="69"/>
        <v>0.9060869565217391</v>
      </c>
      <c r="EA140" s="15">
        <f t="shared" si="70"/>
        <v>0.93344155844155841</v>
      </c>
      <c r="EB140" s="16"/>
      <c r="EC140" s="16"/>
      <c r="ED140" s="16">
        <v>1232</v>
      </c>
      <c r="EE140" s="16">
        <f t="shared" si="71"/>
        <v>82</v>
      </c>
      <c r="EF140" s="16">
        <v>1150</v>
      </c>
      <c r="EG140" s="16">
        <v>1042</v>
      </c>
      <c r="EH140" s="16">
        <f t="shared" si="72"/>
        <v>108</v>
      </c>
      <c r="EI140" s="16"/>
      <c r="EJ140" s="16"/>
      <c r="EK140" s="78"/>
      <c r="EL140" s="79"/>
      <c r="EM140" s="16"/>
      <c r="EN140" s="16"/>
      <c r="EO140" s="16"/>
      <c r="EP140" s="16"/>
      <c r="EQ140" s="16"/>
      <c r="ER140" s="16"/>
      <c r="ES140" s="16"/>
      <c r="ET140" s="16"/>
      <c r="EU140" s="16"/>
      <c r="EV140" s="16"/>
      <c r="EW140" s="16"/>
      <c r="EX140" s="16"/>
      <c r="EY140" s="78"/>
      <c r="EZ140" s="79"/>
      <c r="FA140" s="16"/>
      <c r="FB140" s="16"/>
      <c r="FC140" s="16"/>
      <c r="FD140" s="16"/>
      <c r="FE140" s="16"/>
      <c r="FF140" s="16"/>
      <c r="FG140" s="16"/>
      <c r="FH140" s="16"/>
      <c r="FI140" s="16"/>
      <c r="FJ140" s="16"/>
      <c r="FK140" s="16"/>
      <c r="FM140" s="78"/>
      <c r="FN140" s="79"/>
      <c r="FO140" s="16"/>
      <c r="FP140" s="16"/>
      <c r="FQ140" s="16"/>
      <c r="FR140" s="16"/>
      <c r="FS140" s="16"/>
      <c r="FT140" s="16"/>
      <c r="FU140" s="16"/>
      <c r="FV140" s="16"/>
      <c r="FW140" s="16"/>
      <c r="FX140" s="16"/>
      <c r="FY140" s="16"/>
      <c r="GA140" s="78"/>
      <c r="GB140" s="79"/>
      <c r="GC140" s="16"/>
      <c r="GD140" s="16"/>
      <c r="GE140" s="16"/>
      <c r="GF140" s="16"/>
      <c r="GG140" s="16"/>
      <c r="GH140" s="16"/>
      <c r="GI140" s="16"/>
      <c r="GJ140" s="16"/>
      <c r="GK140" s="16"/>
      <c r="GL140" s="16"/>
      <c r="GM140" s="16"/>
    </row>
    <row r="141" spans="1:195" s="18" customFormat="1" ht="15" customHeight="1">
      <c r="A141" s="80">
        <v>2004</v>
      </c>
      <c r="B141" s="81" t="s">
        <v>39</v>
      </c>
      <c r="C141" s="15">
        <f t="shared" si="73"/>
        <v>0.80240826283282296</v>
      </c>
      <c r="D141" s="15">
        <f t="shared" si="74"/>
        <v>0.85941408638612482</v>
      </c>
      <c r="E141" s="15">
        <f t="shared" si="75"/>
        <v>0.93366896766491925</v>
      </c>
      <c r="F141" s="16"/>
      <c r="G141" s="33"/>
      <c r="H14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19267</v>
      </c>
      <c r="I141" s="16">
        <f t="shared" si="76"/>
        <v>1278</v>
      </c>
      <c r="J14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17989</v>
      </c>
      <c r="K14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15460</v>
      </c>
      <c r="L141" s="16">
        <f t="shared" si="77"/>
        <v>2529</v>
      </c>
      <c r="M141" s="16"/>
      <c r="N141" s="16"/>
      <c r="O141" s="92">
        <v>2004</v>
      </c>
      <c r="P141" s="93" t="s">
        <v>39</v>
      </c>
      <c r="Q141" s="42">
        <f t="shared" si="28"/>
        <v>0.86250358063592092</v>
      </c>
      <c r="R141" s="42">
        <f t="shared" si="29"/>
        <v>0.88532784475154369</v>
      </c>
      <c r="S141" s="42">
        <f t="shared" si="30"/>
        <v>0.97421942136923523</v>
      </c>
      <c r="T141" s="43"/>
      <c r="U141" s="43"/>
      <c r="V141" s="30">
        <v>3491</v>
      </c>
      <c r="W141" s="30">
        <f t="shared" si="31"/>
        <v>90</v>
      </c>
      <c r="X141" s="30">
        <v>3401</v>
      </c>
      <c r="Y141" s="30">
        <v>3011</v>
      </c>
      <c r="Z141" s="30">
        <f t="shared" si="32"/>
        <v>390</v>
      </c>
      <c r="AA141" s="16"/>
      <c r="AB141" s="16"/>
      <c r="AC141" s="80">
        <v>2004</v>
      </c>
      <c r="AD141" s="81" t="s">
        <v>39</v>
      </c>
      <c r="AE141" s="15">
        <f t="shared" si="33"/>
        <v>0.89939230249831192</v>
      </c>
      <c r="AF141" s="15">
        <f t="shared" si="34"/>
        <v>0.91672401927047487</v>
      </c>
      <c r="AG141" s="15">
        <f t="shared" si="35"/>
        <v>0.98109385550303851</v>
      </c>
      <c r="AH141" s="15"/>
      <c r="AI141" s="15"/>
      <c r="AJ141" s="16">
        <v>1481</v>
      </c>
      <c r="AK141" s="16">
        <f t="shared" si="36"/>
        <v>28</v>
      </c>
      <c r="AL141" s="16">
        <v>1453</v>
      </c>
      <c r="AM141" s="16">
        <v>1332</v>
      </c>
      <c r="AN141" s="16">
        <f t="shared" si="37"/>
        <v>121</v>
      </c>
      <c r="AO141" s="16"/>
      <c r="AP141" s="16"/>
      <c r="AQ141" s="80">
        <v>2004</v>
      </c>
      <c r="AR141" s="81" t="s">
        <v>39</v>
      </c>
      <c r="AS141" s="15">
        <f t="shared" si="38"/>
        <v>0.87632288856609253</v>
      </c>
      <c r="AT141" s="15">
        <f t="shared" si="39"/>
        <v>0.90119504908237302</v>
      </c>
      <c r="AU141" s="15">
        <f t="shared" si="40"/>
        <v>0.97240091305250054</v>
      </c>
      <c r="AV141" s="16"/>
      <c r="AW141" s="16"/>
      <c r="AX141" s="16">
        <v>4819</v>
      </c>
      <c r="AY141" s="16">
        <f t="shared" si="41"/>
        <v>133</v>
      </c>
      <c r="AZ141" s="16">
        <v>4686</v>
      </c>
      <c r="BA141" s="16">
        <v>4223</v>
      </c>
      <c r="BB141" s="16">
        <f t="shared" si="42"/>
        <v>463</v>
      </c>
      <c r="BC141" s="16"/>
      <c r="BD141" s="16"/>
      <c r="BE141" s="80">
        <v>2004</v>
      </c>
      <c r="BF141" s="81" t="s">
        <v>39</v>
      </c>
      <c r="BG141" s="15">
        <f t="shared" si="43"/>
        <v>0.64327485380116955</v>
      </c>
      <c r="BH141" s="15">
        <f t="shared" si="44"/>
        <v>0.87765957446808507</v>
      </c>
      <c r="BI141" s="15">
        <f t="shared" si="45"/>
        <v>0.73294346978557501</v>
      </c>
      <c r="BJ141" s="16"/>
      <c r="BK141" s="16"/>
      <c r="BL141" s="16">
        <v>513</v>
      </c>
      <c r="BM141" s="16">
        <f t="shared" si="46"/>
        <v>137</v>
      </c>
      <c r="BN141" s="16">
        <v>376</v>
      </c>
      <c r="BO141" s="16">
        <v>330</v>
      </c>
      <c r="BP141" s="16">
        <f t="shared" si="47"/>
        <v>46</v>
      </c>
      <c r="BQ141" s="16"/>
      <c r="BR141" s="16"/>
      <c r="BS141" s="80">
        <v>2004</v>
      </c>
      <c r="BT141" s="81" t="s">
        <v>39</v>
      </c>
      <c r="BU141" s="15">
        <f t="shared" si="48"/>
        <v>0.81083172147001936</v>
      </c>
      <c r="BV141" s="15">
        <f t="shared" si="49"/>
        <v>0.86898839137645112</v>
      </c>
      <c r="BW141" s="15">
        <f t="shared" si="50"/>
        <v>0.93307543520309477</v>
      </c>
      <c r="BX141" s="16"/>
      <c r="BY141" s="16"/>
      <c r="BZ141" s="16">
        <v>2585</v>
      </c>
      <c r="CA141" s="16">
        <f t="shared" si="51"/>
        <v>173</v>
      </c>
      <c r="CB141" s="16">
        <v>2412</v>
      </c>
      <c r="CC141" s="16">
        <v>2096</v>
      </c>
      <c r="CD141" s="16">
        <f t="shared" si="52"/>
        <v>316</v>
      </c>
      <c r="CE141" s="16"/>
      <c r="CF141" s="16"/>
      <c r="CG141" s="80">
        <v>2004</v>
      </c>
      <c r="CH141" s="81" t="s">
        <v>39</v>
      </c>
      <c r="CI141" s="15">
        <f t="shared" si="53"/>
        <v>0.82851711026615971</v>
      </c>
      <c r="CJ141" s="15">
        <f t="shared" si="54"/>
        <v>0.87510040160642566</v>
      </c>
      <c r="CK141" s="15">
        <f t="shared" si="55"/>
        <v>0.94676806083650189</v>
      </c>
      <c r="CL141" s="16"/>
      <c r="CM141" s="16"/>
      <c r="CN141" s="16">
        <v>2630</v>
      </c>
      <c r="CO141" s="16">
        <f t="shared" si="56"/>
        <v>140</v>
      </c>
      <c r="CP141" s="16">
        <v>2490</v>
      </c>
      <c r="CQ141" s="16">
        <v>2179</v>
      </c>
      <c r="CR141" s="16">
        <f t="shared" si="57"/>
        <v>311</v>
      </c>
      <c r="CS141" s="16"/>
      <c r="CT141" s="16"/>
      <c r="CU141" s="80">
        <v>2004</v>
      </c>
      <c r="CV141" s="81" t="s">
        <v>39</v>
      </c>
      <c r="CW141" s="15">
        <f t="shared" si="58"/>
        <v>0.93854748603351956</v>
      </c>
      <c r="CX141" s="15">
        <f t="shared" si="59"/>
        <v>0.97532656023222064</v>
      </c>
      <c r="CY141" s="15">
        <f t="shared" si="60"/>
        <v>0.96229050279329609</v>
      </c>
      <c r="CZ141" s="16"/>
      <c r="DA141" s="16"/>
      <c r="DB141" s="16">
        <v>1432</v>
      </c>
      <c r="DC141" s="16">
        <f t="shared" si="61"/>
        <v>54</v>
      </c>
      <c r="DD141" s="16">
        <v>1378</v>
      </c>
      <c r="DE141" s="16">
        <v>1344</v>
      </c>
      <c r="DF141" s="16">
        <f t="shared" si="62"/>
        <v>34</v>
      </c>
      <c r="DG141" s="16"/>
      <c r="DH141" s="16"/>
      <c r="DI141" s="80">
        <v>2004</v>
      </c>
      <c r="DJ141" s="81" t="s">
        <v>39</v>
      </c>
      <c r="DK141" s="15">
        <f t="shared" si="63"/>
        <v>1.7730496453900711E-2</v>
      </c>
      <c r="DL141" s="15">
        <f t="shared" si="64"/>
        <v>2.7662517289073305E-2</v>
      </c>
      <c r="DM141" s="15">
        <f t="shared" si="65"/>
        <v>0.64095744680851063</v>
      </c>
      <c r="DN141" s="16"/>
      <c r="DO141" s="16"/>
      <c r="DP141" s="16">
        <v>1128</v>
      </c>
      <c r="DQ141" s="16">
        <f t="shared" si="66"/>
        <v>405</v>
      </c>
      <c r="DR141" s="16">
        <v>723</v>
      </c>
      <c r="DS141" s="16">
        <v>20</v>
      </c>
      <c r="DT141" s="16">
        <f t="shared" si="67"/>
        <v>703</v>
      </c>
      <c r="DU141" s="16"/>
      <c r="DV141" s="16"/>
      <c r="DW141" s="80">
        <v>2004</v>
      </c>
      <c r="DX141" s="81" t="s">
        <v>39</v>
      </c>
      <c r="DY141" s="15">
        <f t="shared" si="68"/>
        <v>0.77861952861952866</v>
      </c>
      <c r="DZ141" s="15">
        <f t="shared" si="69"/>
        <v>0.86448598130841126</v>
      </c>
      <c r="EA141" s="15">
        <f t="shared" si="70"/>
        <v>0.90067340067340063</v>
      </c>
      <c r="EB141" s="16"/>
      <c r="EC141" s="16"/>
      <c r="ED141" s="16">
        <v>1188</v>
      </c>
      <c r="EE141" s="16">
        <f t="shared" si="71"/>
        <v>118</v>
      </c>
      <c r="EF141" s="16">
        <v>1070</v>
      </c>
      <c r="EG141" s="16">
        <v>925</v>
      </c>
      <c r="EH141" s="16">
        <f t="shared" si="72"/>
        <v>145</v>
      </c>
      <c r="EI141" s="16"/>
      <c r="EJ141" s="16"/>
      <c r="EK141" s="80"/>
      <c r="EL141" s="81"/>
      <c r="EM141" s="16"/>
      <c r="EN141" s="16"/>
      <c r="EO141" s="16"/>
      <c r="EP141" s="16"/>
      <c r="EQ141" s="16"/>
      <c r="ER141" s="16"/>
      <c r="ES141" s="16"/>
      <c r="ET141" s="16"/>
      <c r="EU141" s="16"/>
      <c r="EV141" s="16"/>
      <c r="EW141" s="16"/>
      <c r="EX141" s="16"/>
      <c r="EY141" s="80"/>
      <c r="EZ141" s="81"/>
      <c r="FA141" s="16"/>
      <c r="FB141" s="16"/>
      <c r="FC141" s="16"/>
      <c r="FD141" s="16"/>
      <c r="FE141" s="16"/>
      <c r="FF141" s="16"/>
      <c r="FG141" s="16"/>
      <c r="FH141" s="16"/>
      <c r="FI141" s="16"/>
      <c r="FJ141" s="16"/>
      <c r="FK141" s="16"/>
      <c r="FM141" s="80"/>
      <c r="FN141" s="81"/>
      <c r="FO141" s="16"/>
      <c r="FP141" s="16"/>
      <c r="FQ141" s="16"/>
      <c r="FR141" s="16"/>
      <c r="FS141" s="16"/>
      <c r="FT141" s="16"/>
      <c r="FU141" s="16"/>
      <c r="FV141" s="16"/>
      <c r="FW141" s="16"/>
      <c r="FX141" s="16"/>
      <c r="FY141" s="16"/>
      <c r="GA141" s="80"/>
      <c r="GB141" s="81"/>
      <c r="GC141" s="16"/>
      <c r="GD141" s="16"/>
      <c r="GE141" s="16"/>
      <c r="GF141" s="16"/>
      <c r="GG141" s="16"/>
      <c r="GH141" s="16"/>
      <c r="GI141" s="16"/>
      <c r="GJ141" s="16"/>
      <c r="GK141" s="16"/>
      <c r="GL141" s="16"/>
      <c r="GM141" s="16"/>
    </row>
    <row r="142" spans="1:195" s="18" customFormat="1" ht="15" customHeight="1">
      <c r="A142" s="78">
        <v>2004</v>
      </c>
      <c r="B142" s="79" t="s">
        <v>40</v>
      </c>
      <c r="C142" s="15">
        <f t="shared" si="73"/>
        <v>0.72600946531064348</v>
      </c>
      <c r="D142" s="15">
        <f t="shared" si="74"/>
        <v>0.79791943337760074</v>
      </c>
      <c r="E142" s="15">
        <f t="shared" si="75"/>
        <v>0.90987815929916427</v>
      </c>
      <c r="F142" s="16"/>
      <c r="G142" s="33"/>
      <c r="H14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19862</v>
      </c>
      <c r="I142" s="16">
        <f t="shared" si="76"/>
        <v>1790</v>
      </c>
      <c r="J14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18072</v>
      </c>
      <c r="K14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14420</v>
      </c>
      <c r="L142" s="16">
        <f t="shared" si="77"/>
        <v>3652</v>
      </c>
      <c r="M142" s="16"/>
      <c r="N142" s="16"/>
      <c r="O142" s="90">
        <v>2004</v>
      </c>
      <c r="P142" s="91" t="s">
        <v>40</v>
      </c>
      <c r="Q142" s="42">
        <f t="shared" si="28"/>
        <v>0.79499304589707931</v>
      </c>
      <c r="R142" s="42">
        <f t="shared" si="29"/>
        <v>0.84232242852932504</v>
      </c>
      <c r="S142" s="42">
        <f t="shared" si="30"/>
        <v>0.94381084840055629</v>
      </c>
      <c r="T142" s="43"/>
      <c r="U142" s="43"/>
      <c r="V142" s="30">
        <v>3595</v>
      </c>
      <c r="W142" s="30">
        <f t="shared" si="31"/>
        <v>202</v>
      </c>
      <c r="X142" s="30">
        <v>3393</v>
      </c>
      <c r="Y142" s="30">
        <v>2858</v>
      </c>
      <c r="Z142" s="30">
        <f t="shared" si="32"/>
        <v>535</v>
      </c>
      <c r="AA142" s="16"/>
      <c r="AB142" s="16"/>
      <c r="AC142" s="78">
        <v>2004</v>
      </c>
      <c r="AD142" s="79" t="s">
        <v>40</v>
      </c>
      <c r="AE142" s="15">
        <f t="shared" si="33"/>
        <v>0.85638649900727992</v>
      </c>
      <c r="AF142" s="15">
        <f t="shared" si="34"/>
        <v>0.89861111111111114</v>
      </c>
      <c r="AG142" s="15">
        <f t="shared" si="35"/>
        <v>0.95301125082726668</v>
      </c>
      <c r="AH142" s="15"/>
      <c r="AI142" s="15"/>
      <c r="AJ142" s="16">
        <v>1511</v>
      </c>
      <c r="AK142" s="16">
        <f t="shared" si="36"/>
        <v>71</v>
      </c>
      <c r="AL142" s="16">
        <v>1440</v>
      </c>
      <c r="AM142" s="16">
        <v>1294</v>
      </c>
      <c r="AN142" s="16">
        <f t="shared" si="37"/>
        <v>146</v>
      </c>
      <c r="AO142" s="16"/>
      <c r="AP142" s="16"/>
      <c r="AQ142" s="78">
        <v>2004</v>
      </c>
      <c r="AR142" s="79" t="s">
        <v>40</v>
      </c>
      <c r="AS142" s="15">
        <f t="shared" si="38"/>
        <v>0.81928441479684655</v>
      </c>
      <c r="AT142" s="15">
        <f t="shared" si="39"/>
        <v>0.87386804657179817</v>
      </c>
      <c r="AU142" s="15">
        <f t="shared" si="40"/>
        <v>0.9375379017586416</v>
      </c>
      <c r="AV142" s="16"/>
      <c r="AW142" s="16"/>
      <c r="AX142" s="16">
        <v>4947</v>
      </c>
      <c r="AY142" s="16">
        <f t="shared" si="41"/>
        <v>309</v>
      </c>
      <c r="AZ142" s="16">
        <v>4638</v>
      </c>
      <c r="BA142" s="16">
        <v>4053</v>
      </c>
      <c r="BB142" s="16">
        <f t="shared" si="42"/>
        <v>585</v>
      </c>
      <c r="BC142" s="16"/>
      <c r="BD142" s="16"/>
      <c r="BE142" s="78">
        <v>2004</v>
      </c>
      <c r="BF142" s="79" t="s">
        <v>40</v>
      </c>
      <c r="BG142" s="15">
        <f t="shared" si="43"/>
        <v>0.36296296296296299</v>
      </c>
      <c r="BH142" s="15">
        <f t="shared" si="44"/>
        <v>0.60493827160493829</v>
      </c>
      <c r="BI142" s="15">
        <f t="shared" si="45"/>
        <v>0.6</v>
      </c>
      <c r="BJ142" s="16"/>
      <c r="BK142" s="16"/>
      <c r="BL142" s="16">
        <v>540</v>
      </c>
      <c r="BM142" s="16">
        <f t="shared" si="46"/>
        <v>216</v>
      </c>
      <c r="BN142" s="16">
        <v>324</v>
      </c>
      <c r="BO142" s="16">
        <v>196</v>
      </c>
      <c r="BP142" s="16">
        <f t="shared" si="47"/>
        <v>128</v>
      </c>
      <c r="BQ142" s="16"/>
      <c r="BR142" s="16"/>
      <c r="BS142" s="78">
        <v>2004</v>
      </c>
      <c r="BT142" s="79" t="s">
        <v>40</v>
      </c>
      <c r="BU142" s="15">
        <f t="shared" si="48"/>
        <v>0.61892296185489903</v>
      </c>
      <c r="BV142" s="15">
        <f t="shared" si="49"/>
        <v>0.69684210526315793</v>
      </c>
      <c r="BW142" s="15">
        <f t="shared" si="50"/>
        <v>0.88818249813014216</v>
      </c>
      <c r="BX142" s="16"/>
      <c r="BY142" s="16"/>
      <c r="BZ142" s="16">
        <v>2674</v>
      </c>
      <c r="CA142" s="16">
        <f t="shared" si="51"/>
        <v>299</v>
      </c>
      <c r="CB142" s="16">
        <v>2375</v>
      </c>
      <c r="CC142" s="16">
        <v>1655</v>
      </c>
      <c r="CD142" s="16">
        <f t="shared" si="52"/>
        <v>720</v>
      </c>
      <c r="CE142" s="16"/>
      <c r="CF142" s="16"/>
      <c r="CG142" s="78">
        <v>2004</v>
      </c>
      <c r="CH142" s="79" t="s">
        <v>40</v>
      </c>
      <c r="CI142" s="15">
        <f t="shared" si="53"/>
        <v>0.75009187798603449</v>
      </c>
      <c r="CJ142" s="15">
        <f t="shared" si="54"/>
        <v>0.80640063216120106</v>
      </c>
      <c r="CK142" s="15">
        <f t="shared" si="55"/>
        <v>0.93017273061374495</v>
      </c>
      <c r="CL142" s="16"/>
      <c r="CM142" s="16"/>
      <c r="CN142" s="16">
        <v>2721</v>
      </c>
      <c r="CO142" s="16">
        <f t="shared" si="56"/>
        <v>190</v>
      </c>
      <c r="CP142" s="16">
        <v>2531</v>
      </c>
      <c r="CQ142" s="16">
        <v>2041</v>
      </c>
      <c r="CR142" s="16">
        <f t="shared" si="57"/>
        <v>490</v>
      </c>
      <c r="CS142" s="16"/>
      <c r="CT142" s="16"/>
      <c r="CU142" s="78">
        <v>2004</v>
      </c>
      <c r="CV142" s="79" t="s">
        <v>40</v>
      </c>
      <c r="CW142" s="15">
        <f t="shared" si="58"/>
        <v>0.91442048517520214</v>
      </c>
      <c r="CX142" s="15">
        <f t="shared" si="59"/>
        <v>0.96377840909090906</v>
      </c>
      <c r="CY142" s="15">
        <f t="shared" si="60"/>
        <v>0.94878706199460916</v>
      </c>
      <c r="CZ142" s="16"/>
      <c r="DA142" s="16"/>
      <c r="DB142" s="16">
        <v>1484</v>
      </c>
      <c r="DC142" s="16">
        <f t="shared" si="61"/>
        <v>76</v>
      </c>
      <c r="DD142" s="16">
        <v>1408</v>
      </c>
      <c r="DE142" s="16">
        <v>1357</v>
      </c>
      <c r="DF142" s="16">
        <f t="shared" si="62"/>
        <v>51</v>
      </c>
      <c r="DG142" s="16"/>
      <c r="DH142" s="16"/>
      <c r="DI142" s="78">
        <v>2004</v>
      </c>
      <c r="DJ142" s="79" t="s">
        <v>40</v>
      </c>
      <c r="DK142" s="15">
        <f t="shared" si="63"/>
        <v>2.5773195876288658E-2</v>
      </c>
      <c r="DL142" s="15">
        <f t="shared" si="64"/>
        <v>3.7974683544303799E-2</v>
      </c>
      <c r="DM142" s="15">
        <f t="shared" si="65"/>
        <v>0.67869415807560141</v>
      </c>
      <c r="DN142" s="16"/>
      <c r="DO142" s="16"/>
      <c r="DP142" s="16">
        <v>1164</v>
      </c>
      <c r="DQ142" s="16">
        <f t="shared" si="66"/>
        <v>374</v>
      </c>
      <c r="DR142" s="16">
        <v>790</v>
      </c>
      <c r="DS142" s="16">
        <v>30</v>
      </c>
      <c r="DT142" s="16">
        <f t="shared" si="67"/>
        <v>760</v>
      </c>
      <c r="DU142" s="16"/>
      <c r="DV142" s="16"/>
      <c r="DW142" s="78">
        <v>2004</v>
      </c>
      <c r="DX142" s="79" t="s">
        <v>40</v>
      </c>
      <c r="DY142" s="15">
        <f t="shared" si="68"/>
        <v>0.76345840130505704</v>
      </c>
      <c r="DZ142" s="15">
        <f t="shared" si="69"/>
        <v>0.79795396419437337</v>
      </c>
      <c r="EA142" s="15">
        <f t="shared" si="70"/>
        <v>0.95676998368678634</v>
      </c>
      <c r="EB142" s="16"/>
      <c r="EC142" s="16"/>
      <c r="ED142" s="16">
        <v>1226</v>
      </c>
      <c r="EE142" s="16">
        <f t="shared" si="71"/>
        <v>53</v>
      </c>
      <c r="EF142" s="16">
        <v>1173</v>
      </c>
      <c r="EG142" s="16">
        <v>936</v>
      </c>
      <c r="EH142" s="16">
        <f t="shared" si="72"/>
        <v>237</v>
      </c>
      <c r="EI142" s="16"/>
      <c r="EJ142" s="16"/>
      <c r="EK142" s="78"/>
      <c r="EL142" s="79"/>
      <c r="EM142" s="16"/>
      <c r="EN142" s="16"/>
      <c r="EO142" s="16"/>
      <c r="EP142" s="16"/>
      <c r="EQ142" s="16"/>
      <c r="ER142" s="16"/>
      <c r="ES142" s="16"/>
      <c r="ET142" s="16"/>
      <c r="EU142" s="16"/>
      <c r="EV142" s="16"/>
      <c r="EW142" s="16"/>
      <c r="EX142" s="16"/>
      <c r="EY142" s="78"/>
      <c r="EZ142" s="79"/>
      <c r="FA142" s="16"/>
      <c r="FB142" s="16"/>
      <c r="FC142" s="16"/>
      <c r="FD142" s="16"/>
      <c r="FE142" s="16"/>
      <c r="FF142" s="16"/>
      <c r="FG142" s="16"/>
      <c r="FH142" s="16"/>
      <c r="FI142" s="16"/>
      <c r="FJ142" s="16"/>
      <c r="FK142" s="16"/>
      <c r="FM142" s="78"/>
      <c r="FN142" s="79"/>
      <c r="FO142" s="16"/>
      <c r="FP142" s="16"/>
      <c r="FQ142" s="16"/>
      <c r="FR142" s="16"/>
      <c r="FS142" s="16"/>
      <c r="FT142" s="16"/>
      <c r="FU142" s="16"/>
      <c r="FV142" s="16"/>
      <c r="FW142" s="16"/>
      <c r="FX142" s="16"/>
      <c r="FY142" s="16"/>
      <c r="GA142" s="78"/>
      <c r="GB142" s="79"/>
      <c r="GC142" s="16"/>
      <c r="GD142" s="16"/>
      <c r="GE142" s="16"/>
      <c r="GF142" s="16"/>
      <c r="GG142" s="16"/>
      <c r="GH142" s="16"/>
      <c r="GI142" s="16"/>
      <c r="GJ142" s="16"/>
      <c r="GK142" s="16"/>
      <c r="GL142" s="16"/>
      <c r="GM142" s="16"/>
    </row>
    <row r="143" spans="1:195" s="18" customFormat="1" ht="15" customHeight="1">
      <c r="A143" s="80">
        <v>2004</v>
      </c>
      <c r="B143" s="81" t="s">
        <v>41</v>
      </c>
      <c r="C143" s="15">
        <f t="shared" si="73"/>
        <v>0.60597453973728255</v>
      </c>
      <c r="D143" s="15">
        <f t="shared" si="74"/>
        <v>0.81058344640434188</v>
      </c>
      <c r="E143" s="15">
        <f t="shared" si="75"/>
        <v>0.74757823198255313</v>
      </c>
      <c r="F143" s="16"/>
      <c r="G143" s="33"/>
      <c r="H14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19717</v>
      </c>
      <c r="I143" s="16">
        <f t="shared" si="76"/>
        <v>4977</v>
      </c>
      <c r="J143" s="30">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14740</v>
      </c>
      <c r="K14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11948</v>
      </c>
      <c r="L143" s="16">
        <f t="shared" si="77"/>
        <v>2792</v>
      </c>
      <c r="M143" s="19" t="s">
        <v>89</v>
      </c>
      <c r="N143" s="16"/>
      <c r="O143" s="92">
        <v>2004</v>
      </c>
      <c r="P143" s="93" t="s">
        <v>41</v>
      </c>
      <c r="Q143" s="42">
        <f t="shared" si="28"/>
        <v>0.50760298589991704</v>
      </c>
      <c r="R143" s="42">
        <f t="shared" si="29"/>
        <v>0.9924324324324324</v>
      </c>
      <c r="S143" s="42">
        <f t="shared" si="30"/>
        <v>0.51147359690351124</v>
      </c>
      <c r="T143" s="43"/>
      <c r="U143" s="43"/>
      <c r="V143" s="30">
        <v>3617</v>
      </c>
      <c r="W143" s="30">
        <f t="shared" si="31"/>
        <v>1767</v>
      </c>
      <c r="X143" s="30">
        <v>1850</v>
      </c>
      <c r="Y143" s="30">
        <v>1836</v>
      </c>
      <c r="Z143" s="30">
        <f t="shared" si="32"/>
        <v>14</v>
      </c>
      <c r="AA143" s="16"/>
      <c r="AB143" s="16"/>
      <c r="AC143" s="80">
        <v>2004</v>
      </c>
      <c r="AD143" s="81" t="s">
        <v>41</v>
      </c>
      <c r="AE143" s="15">
        <f t="shared" si="33"/>
        <v>0.84779706275033373</v>
      </c>
      <c r="AF143" s="15">
        <f t="shared" si="34"/>
        <v>0.90455840455840453</v>
      </c>
      <c r="AG143" s="15">
        <f t="shared" si="35"/>
        <v>0.93724966622162886</v>
      </c>
      <c r="AH143" s="15"/>
      <c r="AI143" s="15"/>
      <c r="AJ143" s="16">
        <v>1498</v>
      </c>
      <c r="AK143" s="16">
        <f t="shared" si="36"/>
        <v>94</v>
      </c>
      <c r="AL143" s="16">
        <v>1404</v>
      </c>
      <c r="AM143" s="16">
        <v>1270</v>
      </c>
      <c r="AN143" s="16">
        <f t="shared" si="37"/>
        <v>134</v>
      </c>
      <c r="AO143" s="16"/>
      <c r="AP143" s="16"/>
      <c r="AQ143" s="80">
        <v>2004</v>
      </c>
      <c r="AR143" s="81" t="s">
        <v>41</v>
      </c>
      <c r="AS143" s="15">
        <f t="shared" si="38"/>
        <v>0.61809350333940494</v>
      </c>
      <c r="AT143" s="15">
        <f t="shared" si="39"/>
        <v>0.95229186155285317</v>
      </c>
      <c r="AU143" s="15">
        <f t="shared" si="40"/>
        <v>0.64905889496053426</v>
      </c>
      <c r="AV143" s="16"/>
      <c r="AW143" s="16"/>
      <c r="AX143" s="16">
        <v>4941</v>
      </c>
      <c r="AY143" s="16">
        <f t="shared" si="41"/>
        <v>1734</v>
      </c>
      <c r="AZ143" s="16">
        <v>3207</v>
      </c>
      <c r="BA143" s="16">
        <v>3054</v>
      </c>
      <c r="BB143" s="16">
        <f t="shared" si="42"/>
        <v>153</v>
      </c>
      <c r="BC143" s="16"/>
      <c r="BD143" s="16"/>
      <c r="BE143" s="80">
        <v>2004</v>
      </c>
      <c r="BF143" s="81" t="s">
        <v>41</v>
      </c>
      <c r="BG143" s="15">
        <f t="shared" si="43"/>
        <v>1</v>
      </c>
      <c r="BH143" s="15">
        <f t="shared" si="44"/>
        <v>1</v>
      </c>
      <c r="BI143" s="15">
        <f t="shared" si="45"/>
        <v>1</v>
      </c>
      <c r="BJ143" s="16"/>
      <c r="BK143" s="16"/>
      <c r="BL143" s="16">
        <v>567</v>
      </c>
      <c r="BM143" s="16">
        <f t="shared" si="46"/>
        <v>0</v>
      </c>
      <c r="BN143" s="30">
        <v>567</v>
      </c>
      <c r="BO143" s="30">
        <v>567</v>
      </c>
      <c r="BP143" s="16">
        <f t="shared" si="47"/>
        <v>0</v>
      </c>
      <c r="BQ143" s="30" t="s">
        <v>92</v>
      </c>
      <c r="BR143" s="16"/>
      <c r="BS143" s="80">
        <v>2004</v>
      </c>
      <c r="BT143" s="81" t="s">
        <v>41</v>
      </c>
      <c r="BU143" s="15">
        <f t="shared" si="48"/>
        <v>0.47915087187263078</v>
      </c>
      <c r="BV143" s="15">
        <f t="shared" si="49"/>
        <v>0.54412397761515285</v>
      </c>
      <c r="BW143" s="15">
        <f t="shared" si="50"/>
        <v>0.88059135708870351</v>
      </c>
      <c r="BX143" s="16"/>
      <c r="BY143" s="16"/>
      <c r="BZ143" s="16">
        <v>2638</v>
      </c>
      <c r="CA143" s="16">
        <f t="shared" si="51"/>
        <v>315</v>
      </c>
      <c r="CB143" s="16">
        <v>2323</v>
      </c>
      <c r="CC143" s="16">
        <v>1264</v>
      </c>
      <c r="CD143" s="16">
        <f t="shared" si="52"/>
        <v>1059</v>
      </c>
      <c r="CE143" s="16"/>
      <c r="CF143" s="16"/>
      <c r="CG143" s="80">
        <v>2004</v>
      </c>
      <c r="CH143" s="81" t="s">
        <v>41</v>
      </c>
      <c r="CI143" s="15">
        <f t="shared" si="53"/>
        <v>0.64336448598130846</v>
      </c>
      <c r="CJ143" s="15">
        <f t="shared" si="54"/>
        <v>0.7659101023587005</v>
      </c>
      <c r="CK143" s="15">
        <f t="shared" si="55"/>
        <v>0.84</v>
      </c>
      <c r="CL143" s="16"/>
      <c r="CM143" s="16"/>
      <c r="CN143" s="16">
        <v>2675</v>
      </c>
      <c r="CO143" s="16">
        <f t="shared" si="56"/>
        <v>428</v>
      </c>
      <c r="CP143" s="16">
        <v>2247</v>
      </c>
      <c r="CQ143" s="16">
        <v>1721</v>
      </c>
      <c r="CR143" s="16">
        <f t="shared" si="57"/>
        <v>526</v>
      </c>
      <c r="CS143" s="16"/>
      <c r="CT143" s="16"/>
      <c r="CU143" s="80">
        <v>2004</v>
      </c>
      <c r="CV143" s="81" t="s">
        <v>41</v>
      </c>
      <c r="CW143" s="15">
        <f t="shared" si="58"/>
        <v>0.82956878850102667</v>
      </c>
      <c r="CX143" s="15">
        <f t="shared" si="59"/>
        <v>0.97193263833199683</v>
      </c>
      <c r="CY143" s="15">
        <f t="shared" si="60"/>
        <v>0.85352498288843259</v>
      </c>
      <c r="CZ143" s="16"/>
      <c r="DA143" s="16"/>
      <c r="DB143" s="16">
        <v>1461</v>
      </c>
      <c r="DC143" s="16">
        <f t="shared" si="61"/>
        <v>214</v>
      </c>
      <c r="DD143" s="16">
        <v>1247</v>
      </c>
      <c r="DE143" s="16">
        <v>1212</v>
      </c>
      <c r="DF143" s="16">
        <f t="shared" si="62"/>
        <v>35</v>
      </c>
      <c r="DG143" s="16"/>
      <c r="DH143" s="16"/>
      <c r="DI143" s="80">
        <v>2004</v>
      </c>
      <c r="DJ143" s="81" t="s">
        <v>41</v>
      </c>
      <c r="DK143" s="15">
        <f t="shared" si="63"/>
        <v>2.3008849557522124E-2</v>
      </c>
      <c r="DL143" s="15">
        <f t="shared" si="64"/>
        <v>3.4852546916890083E-2</v>
      </c>
      <c r="DM143" s="15">
        <f t="shared" si="65"/>
        <v>0.66017699115044248</v>
      </c>
      <c r="DN143" s="16"/>
      <c r="DO143" s="16"/>
      <c r="DP143" s="16">
        <v>1130</v>
      </c>
      <c r="DQ143" s="16">
        <f t="shared" si="66"/>
        <v>384</v>
      </c>
      <c r="DR143" s="16">
        <v>746</v>
      </c>
      <c r="DS143" s="16">
        <v>26</v>
      </c>
      <c r="DT143" s="16">
        <f t="shared" si="67"/>
        <v>720</v>
      </c>
      <c r="DU143" s="16"/>
      <c r="DV143" s="16"/>
      <c r="DW143" s="80">
        <v>2004</v>
      </c>
      <c r="DX143" s="81" t="s">
        <v>41</v>
      </c>
      <c r="DY143" s="15">
        <f t="shared" si="68"/>
        <v>0.83865546218487397</v>
      </c>
      <c r="DZ143" s="15">
        <f t="shared" si="69"/>
        <v>0.8685813751087903</v>
      </c>
      <c r="EA143" s="15">
        <f t="shared" si="70"/>
        <v>0.96554621848739497</v>
      </c>
      <c r="EB143" s="16"/>
      <c r="EC143" s="16"/>
      <c r="ED143" s="16">
        <v>1190</v>
      </c>
      <c r="EE143" s="16">
        <f t="shared" si="71"/>
        <v>41</v>
      </c>
      <c r="EF143" s="16">
        <v>1149</v>
      </c>
      <c r="EG143" s="16">
        <v>998</v>
      </c>
      <c r="EH143" s="16">
        <f t="shared" si="72"/>
        <v>151</v>
      </c>
      <c r="EI143" s="16"/>
      <c r="EJ143" s="16"/>
      <c r="EK143" s="80"/>
      <c r="EL143" s="81"/>
      <c r="EM143" s="16"/>
      <c r="EN143" s="16"/>
      <c r="EO143" s="16"/>
      <c r="EP143" s="16"/>
      <c r="EQ143" s="16"/>
      <c r="ER143" s="16"/>
      <c r="ES143" s="16"/>
      <c r="ET143" s="16"/>
      <c r="EU143" s="16"/>
      <c r="EV143" s="16"/>
      <c r="EW143" s="16"/>
      <c r="EX143" s="16"/>
      <c r="EY143" s="80"/>
      <c r="EZ143" s="81"/>
      <c r="FA143" s="16"/>
      <c r="FB143" s="16"/>
      <c r="FC143" s="16"/>
      <c r="FD143" s="16"/>
      <c r="FE143" s="16"/>
      <c r="FF143" s="16"/>
      <c r="FG143" s="16"/>
      <c r="FH143" s="16"/>
      <c r="FI143" s="16"/>
      <c r="FJ143" s="16"/>
      <c r="FK143" s="16"/>
      <c r="FM143" s="80"/>
      <c r="FN143" s="81"/>
      <c r="FO143" s="16"/>
      <c r="FP143" s="16"/>
      <c r="FQ143" s="16"/>
      <c r="FR143" s="16"/>
      <c r="FS143" s="16"/>
      <c r="FT143" s="16"/>
      <c r="FU143" s="16"/>
      <c r="FV143" s="16"/>
      <c r="FW143" s="16"/>
      <c r="FX143" s="16"/>
      <c r="FY143" s="16"/>
      <c r="GA143" s="80"/>
      <c r="GB143" s="81"/>
      <c r="GC143" s="16"/>
      <c r="GD143" s="16"/>
      <c r="GE143" s="16"/>
      <c r="GF143" s="16"/>
      <c r="GG143" s="16"/>
      <c r="GH143" s="16"/>
      <c r="GI143" s="16"/>
      <c r="GJ143" s="16"/>
      <c r="GK143" s="16"/>
      <c r="GL143" s="16"/>
      <c r="GM143" s="16"/>
    </row>
    <row r="144" spans="1:195" s="18" customFormat="1" ht="15" customHeight="1">
      <c r="A144" s="78">
        <v>2004</v>
      </c>
      <c r="B144" s="79" t="s">
        <v>42</v>
      </c>
      <c r="C144" s="15">
        <f t="shared" si="73"/>
        <v>0.76606024749790469</v>
      </c>
      <c r="D144" s="15">
        <f t="shared" si="74"/>
        <v>0.87287231054435144</v>
      </c>
      <c r="E144" s="15">
        <f t="shared" si="75"/>
        <v>0.87763151407582707</v>
      </c>
      <c r="F144" s="16"/>
      <c r="G144" s="33"/>
      <c r="H14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20283</v>
      </c>
      <c r="I144" s="16">
        <f t="shared" si="76"/>
        <v>2482</v>
      </c>
      <c r="J14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17801</v>
      </c>
      <c r="K14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15538</v>
      </c>
      <c r="L144" s="16">
        <f t="shared" si="77"/>
        <v>2263</v>
      </c>
      <c r="M144" s="16"/>
      <c r="N144" s="16"/>
      <c r="O144" s="90">
        <v>2004</v>
      </c>
      <c r="P144" s="91" t="s">
        <v>42</v>
      </c>
      <c r="Q144" s="42">
        <f t="shared" si="28"/>
        <v>0.85971997845988157</v>
      </c>
      <c r="R144" s="42">
        <f t="shared" si="29"/>
        <v>0.91020524515393386</v>
      </c>
      <c r="S144" s="42">
        <f t="shared" si="30"/>
        <v>0.94453419493807211</v>
      </c>
      <c r="T144" s="43"/>
      <c r="U144" s="43"/>
      <c r="V144" s="30">
        <v>3714</v>
      </c>
      <c r="W144" s="30">
        <f t="shared" si="31"/>
        <v>206</v>
      </c>
      <c r="X144" s="30">
        <v>3508</v>
      </c>
      <c r="Y144" s="30">
        <v>3193</v>
      </c>
      <c r="Z144" s="30">
        <f t="shared" si="32"/>
        <v>315</v>
      </c>
      <c r="AA144" s="16"/>
      <c r="AB144" s="16"/>
      <c r="AC144" s="78">
        <v>2004</v>
      </c>
      <c r="AD144" s="79" t="s">
        <v>42</v>
      </c>
      <c r="AE144" s="15">
        <f t="shared" si="33"/>
        <v>0.88838709677419359</v>
      </c>
      <c r="AF144" s="15">
        <f t="shared" si="34"/>
        <v>0.90651744568795256</v>
      </c>
      <c r="AG144" s="15">
        <f t="shared" si="35"/>
        <v>0.98</v>
      </c>
      <c r="AH144" s="15"/>
      <c r="AI144" s="15"/>
      <c r="AJ144" s="16">
        <v>1550</v>
      </c>
      <c r="AK144" s="16">
        <f t="shared" si="36"/>
        <v>31</v>
      </c>
      <c r="AL144" s="16">
        <v>1519</v>
      </c>
      <c r="AM144" s="16">
        <v>1377</v>
      </c>
      <c r="AN144" s="16">
        <f t="shared" si="37"/>
        <v>142</v>
      </c>
      <c r="AO144" s="16"/>
      <c r="AP144" s="16"/>
      <c r="AQ144" s="78">
        <v>2004</v>
      </c>
      <c r="AR144" s="79" t="s">
        <v>42</v>
      </c>
      <c r="AS144" s="15">
        <f t="shared" si="38"/>
        <v>0.86935166994106094</v>
      </c>
      <c r="AT144" s="15">
        <f t="shared" si="39"/>
        <v>0.92981718848497585</v>
      </c>
      <c r="AU144" s="15">
        <f t="shared" si="40"/>
        <v>0.9349705304518664</v>
      </c>
      <c r="AV144" s="16"/>
      <c r="AW144" s="16"/>
      <c r="AX144" s="16">
        <v>5090</v>
      </c>
      <c r="AY144" s="16">
        <f t="shared" si="41"/>
        <v>331</v>
      </c>
      <c r="AZ144" s="16">
        <v>4759</v>
      </c>
      <c r="BA144" s="16">
        <v>4425</v>
      </c>
      <c r="BB144" s="16">
        <f t="shared" si="42"/>
        <v>334</v>
      </c>
      <c r="BC144" s="16"/>
      <c r="BD144" s="16"/>
      <c r="BE144" s="78">
        <v>2004</v>
      </c>
      <c r="BF144" s="79" t="s">
        <v>42</v>
      </c>
      <c r="BG144" s="15">
        <f t="shared" si="43"/>
        <v>0.69664902998236333</v>
      </c>
      <c r="BH144" s="15">
        <f t="shared" si="44"/>
        <v>0.92723004694835676</v>
      </c>
      <c r="BI144" s="15">
        <f t="shared" si="45"/>
        <v>0.75132275132275128</v>
      </c>
      <c r="BJ144" s="16"/>
      <c r="BK144" s="16"/>
      <c r="BL144" s="16">
        <v>567</v>
      </c>
      <c r="BM144" s="16">
        <f t="shared" si="46"/>
        <v>141</v>
      </c>
      <c r="BN144" s="16">
        <v>426</v>
      </c>
      <c r="BO144" s="16">
        <v>395</v>
      </c>
      <c r="BP144" s="16">
        <f t="shared" si="47"/>
        <v>31</v>
      </c>
      <c r="BQ144" s="16"/>
      <c r="BR144" s="16"/>
      <c r="BS144" s="78">
        <v>2004</v>
      </c>
      <c r="BT144" s="79" t="s">
        <v>42</v>
      </c>
      <c r="BU144" s="15">
        <f t="shared" si="48"/>
        <v>0.66285503504241983</v>
      </c>
      <c r="BV144" s="15">
        <f t="shared" si="49"/>
        <v>0.82355637030247475</v>
      </c>
      <c r="BW144" s="15">
        <f t="shared" si="50"/>
        <v>0.80486905201032832</v>
      </c>
      <c r="BX144" s="16"/>
      <c r="BY144" s="16"/>
      <c r="BZ144" s="16">
        <v>2711</v>
      </c>
      <c r="CA144" s="16">
        <f t="shared" si="51"/>
        <v>529</v>
      </c>
      <c r="CB144" s="16">
        <v>2182</v>
      </c>
      <c r="CC144" s="16">
        <v>1797</v>
      </c>
      <c r="CD144" s="16">
        <f t="shared" si="52"/>
        <v>385</v>
      </c>
      <c r="CE144" s="16"/>
      <c r="CF144" s="16"/>
      <c r="CG144" s="78">
        <v>2004</v>
      </c>
      <c r="CH144" s="79" t="s">
        <v>42</v>
      </c>
      <c r="CI144" s="15">
        <f t="shared" si="53"/>
        <v>0.71573973100690658</v>
      </c>
      <c r="CJ144" s="15">
        <f t="shared" si="54"/>
        <v>0.8689320388349514</v>
      </c>
      <c r="CK144" s="15">
        <f t="shared" si="55"/>
        <v>0.82370047255543444</v>
      </c>
      <c r="CL144" s="16"/>
      <c r="CM144" s="16"/>
      <c r="CN144" s="16">
        <v>2751</v>
      </c>
      <c r="CO144" s="16">
        <f t="shared" si="56"/>
        <v>485</v>
      </c>
      <c r="CP144" s="16">
        <v>2266</v>
      </c>
      <c r="CQ144" s="16">
        <v>1969</v>
      </c>
      <c r="CR144" s="16">
        <f t="shared" si="57"/>
        <v>297</v>
      </c>
      <c r="CS144" s="16"/>
      <c r="CT144" s="16"/>
      <c r="CU144" s="78">
        <v>2004</v>
      </c>
      <c r="CV144" s="79" t="s">
        <v>42</v>
      </c>
      <c r="CW144" s="15">
        <f t="shared" si="58"/>
        <v>0.7769640479360852</v>
      </c>
      <c r="CX144" s="15">
        <f t="shared" si="59"/>
        <v>0.97984886649874059</v>
      </c>
      <c r="CY144" s="15">
        <f t="shared" si="60"/>
        <v>0.79294274300932088</v>
      </c>
      <c r="CZ144" s="16"/>
      <c r="DA144" s="16"/>
      <c r="DB144" s="16">
        <v>1502</v>
      </c>
      <c r="DC144" s="16">
        <f t="shared" si="61"/>
        <v>311</v>
      </c>
      <c r="DD144" s="16">
        <v>1191</v>
      </c>
      <c r="DE144" s="16">
        <v>1167</v>
      </c>
      <c r="DF144" s="16">
        <f t="shared" si="62"/>
        <v>24</v>
      </c>
      <c r="DG144" s="16"/>
      <c r="DH144" s="16"/>
      <c r="DI144" s="78">
        <v>2004</v>
      </c>
      <c r="DJ144" s="79" t="s">
        <v>42</v>
      </c>
      <c r="DK144" s="15">
        <f t="shared" si="63"/>
        <v>2.8253424657534245E-2</v>
      </c>
      <c r="DL144" s="15">
        <f t="shared" si="64"/>
        <v>4.4654939106901215E-2</v>
      </c>
      <c r="DM144" s="15">
        <f t="shared" si="65"/>
        <v>0.6327054794520548</v>
      </c>
      <c r="DN144" s="16"/>
      <c r="DO144" s="16"/>
      <c r="DP144" s="16">
        <v>1168</v>
      </c>
      <c r="DQ144" s="16">
        <f t="shared" si="66"/>
        <v>429</v>
      </c>
      <c r="DR144" s="16">
        <v>739</v>
      </c>
      <c r="DS144" s="16">
        <v>33</v>
      </c>
      <c r="DT144" s="16">
        <f t="shared" si="67"/>
        <v>706</v>
      </c>
      <c r="DU144" s="16"/>
      <c r="DV144" s="16"/>
      <c r="DW144" s="78">
        <v>2004</v>
      </c>
      <c r="DX144" s="79" t="s">
        <v>42</v>
      </c>
      <c r="DY144" s="15">
        <f t="shared" si="68"/>
        <v>0.96097560975609753</v>
      </c>
      <c r="DZ144" s="15">
        <f t="shared" si="69"/>
        <v>0.97605284888521882</v>
      </c>
      <c r="EA144" s="15">
        <f t="shared" si="70"/>
        <v>0.98455284552845523</v>
      </c>
      <c r="EB144" s="16"/>
      <c r="EC144" s="16"/>
      <c r="ED144" s="16">
        <v>1230</v>
      </c>
      <c r="EE144" s="16">
        <f t="shared" si="71"/>
        <v>19</v>
      </c>
      <c r="EF144" s="16">
        <v>1211</v>
      </c>
      <c r="EG144" s="16">
        <v>1182</v>
      </c>
      <c r="EH144" s="16">
        <f t="shared" si="72"/>
        <v>29</v>
      </c>
      <c r="EI144" s="16"/>
      <c r="EJ144" s="16"/>
      <c r="EK144" s="78"/>
      <c r="EL144" s="79"/>
      <c r="EM144" s="16"/>
      <c r="EN144" s="16"/>
      <c r="EO144" s="16"/>
      <c r="EP144" s="16"/>
      <c r="EQ144" s="16"/>
      <c r="ER144" s="16"/>
      <c r="ES144" s="16"/>
      <c r="ET144" s="16"/>
      <c r="EU144" s="16"/>
      <c r="EV144" s="16"/>
      <c r="EW144" s="16"/>
      <c r="EX144" s="16"/>
      <c r="EY144" s="78"/>
      <c r="EZ144" s="79"/>
      <c r="FA144" s="16"/>
      <c r="FB144" s="16"/>
      <c r="FC144" s="16"/>
      <c r="FD144" s="16"/>
      <c r="FE144" s="16"/>
      <c r="FF144" s="16"/>
      <c r="FG144" s="16"/>
      <c r="FH144" s="16"/>
      <c r="FI144" s="16"/>
      <c r="FJ144" s="16"/>
      <c r="FK144" s="16"/>
      <c r="FM144" s="78"/>
      <c r="FN144" s="79"/>
      <c r="FO144" s="16"/>
      <c r="FP144" s="16"/>
      <c r="FQ144" s="16"/>
      <c r="FR144" s="16"/>
      <c r="FS144" s="16"/>
      <c r="FT144" s="16"/>
      <c r="FU144" s="16"/>
      <c r="FV144" s="16"/>
      <c r="FW144" s="16"/>
      <c r="FX144" s="16"/>
      <c r="FY144" s="16"/>
      <c r="GA144" s="78"/>
      <c r="GB144" s="79"/>
      <c r="GC144" s="16"/>
      <c r="GD144" s="16"/>
      <c r="GE144" s="16"/>
      <c r="GF144" s="16"/>
      <c r="GG144" s="16"/>
      <c r="GH144" s="16"/>
      <c r="GI144" s="16"/>
      <c r="GJ144" s="16"/>
      <c r="GK144" s="16"/>
      <c r="GL144" s="16"/>
      <c r="GM144" s="16"/>
    </row>
    <row r="145" spans="1:195" s="18" customFormat="1" ht="15" customHeight="1">
      <c r="A145" s="80">
        <v>2004</v>
      </c>
      <c r="B145" s="81" t="s">
        <v>43</v>
      </c>
      <c r="C145" s="15">
        <f t="shared" si="73"/>
        <v>0.70292264179030417</v>
      </c>
      <c r="D145" s="15">
        <f t="shared" si="74"/>
        <v>0.79152930658769627</v>
      </c>
      <c r="E145" s="15">
        <f t="shared" si="75"/>
        <v>0.88805636877884186</v>
      </c>
      <c r="F145" s="16"/>
      <c r="G145" s="33"/>
      <c r="H14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20153</v>
      </c>
      <c r="I145" s="16">
        <f t="shared" si="76"/>
        <v>2256</v>
      </c>
      <c r="J14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17897</v>
      </c>
      <c r="K14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14166</v>
      </c>
      <c r="L145" s="16">
        <f t="shared" si="77"/>
        <v>3731</v>
      </c>
      <c r="M145" s="16"/>
      <c r="N145" s="16"/>
      <c r="O145" s="92">
        <v>2004</v>
      </c>
      <c r="P145" s="93" t="s">
        <v>43</v>
      </c>
      <c r="Q145" s="42">
        <f t="shared" si="28"/>
        <v>0.64091403699673555</v>
      </c>
      <c r="R145" s="42">
        <f t="shared" si="29"/>
        <v>0.67295058554698661</v>
      </c>
      <c r="S145" s="42">
        <f t="shared" si="30"/>
        <v>0.95239390642002175</v>
      </c>
      <c r="T145" s="43"/>
      <c r="U145" s="43"/>
      <c r="V145" s="30">
        <v>3676</v>
      </c>
      <c r="W145" s="30">
        <f t="shared" si="31"/>
        <v>175</v>
      </c>
      <c r="X145" s="30">
        <v>3501</v>
      </c>
      <c r="Y145" s="30">
        <v>2356</v>
      </c>
      <c r="Z145" s="30">
        <f t="shared" si="32"/>
        <v>1145</v>
      </c>
      <c r="AA145" s="16"/>
      <c r="AB145" s="16"/>
      <c r="AC145" s="80">
        <v>2004</v>
      </c>
      <c r="AD145" s="81" t="s">
        <v>43</v>
      </c>
      <c r="AE145" s="15">
        <f t="shared" si="33"/>
        <v>0.76551273677335074</v>
      </c>
      <c r="AF145" s="15">
        <f t="shared" si="34"/>
        <v>0.7777040477770405</v>
      </c>
      <c r="AG145" s="15">
        <f t="shared" si="35"/>
        <v>0.98432397126061399</v>
      </c>
      <c r="AH145" s="15"/>
      <c r="AI145" s="15"/>
      <c r="AJ145" s="16">
        <v>1531</v>
      </c>
      <c r="AK145" s="16">
        <f t="shared" si="36"/>
        <v>24</v>
      </c>
      <c r="AL145" s="16">
        <v>1507</v>
      </c>
      <c r="AM145" s="16">
        <v>1172</v>
      </c>
      <c r="AN145" s="16">
        <f t="shared" si="37"/>
        <v>335</v>
      </c>
      <c r="AO145" s="16"/>
      <c r="AP145" s="16"/>
      <c r="AQ145" s="80">
        <v>2004</v>
      </c>
      <c r="AR145" s="81" t="s">
        <v>43</v>
      </c>
      <c r="AS145" s="15">
        <f t="shared" si="38"/>
        <v>0.74702144559173944</v>
      </c>
      <c r="AT145" s="15">
        <f t="shared" si="39"/>
        <v>0.78212058212058211</v>
      </c>
      <c r="AU145" s="15">
        <f t="shared" si="40"/>
        <v>0.95512311358220814</v>
      </c>
      <c r="AV145" s="16"/>
      <c r="AW145" s="16"/>
      <c r="AX145" s="16">
        <v>5036</v>
      </c>
      <c r="AY145" s="16">
        <f t="shared" si="41"/>
        <v>226</v>
      </c>
      <c r="AZ145" s="16">
        <v>4810</v>
      </c>
      <c r="BA145" s="16">
        <v>3762</v>
      </c>
      <c r="BB145" s="16">
        <f t="shared" si="42"/>
        <v>1048</v>
      </c>
      <c r="BC145" s="16"/>
      <c r="BD145" s="16"/>
      <c r="BE145" s="80">
        <v>2004</v>
      </c>
      <c r="BF145" s="81" t="s">
        <v>43</v>
      </c>
      <c r="BG145" s="15">
        <f t="shared" si="43"/>
        <v>0.70899470899470896</v>
      </c>
      <c r="BH145" s="15">
        <f t="shared" si="44"/>
        <v>0.83750000000000002</v>
      </c>
      <c r="BI145" s="15">
        <f t="shared" si="45"/>
        <v>0.84656084656084651</v>
      </c>
      <c r="BJ145" s="16"/>
      <c r="BK145" s="16"/>
      <c r="BL145" s="16">
        <v>567</v>
      </c>
      <c r="BM145" s="16">
        <f t="shared" si="46"/>
        <v>87</v>
      </c>
      <c r="BN145" s="16">
        <v>480</v>
      </c>
      <c r="BO145" s="16">
        <v>402</v>
      </c>
      <c r="BP145" s="16">
        <f t="shared" si="47"/>
        <v>78</v>
      </c>
      <c r="BQ145" s="16"/>
      <c r="BR145" s="16"/>
      <c r="BS145" s="80">
        <v>2004</v>
      </c>
      <c r="BT145" s="81" t="s">
        <v>43</v>
      </c>
      <c r="BU145" s="15">
        <f t="shared" si="48"/>
        <v>0.76331360946745563</v>
      </c>
      <c r="BV145" s="15">
        <f t="shared" si="49"/>
        <v>0.9407474931631723</v>
      </c>
      <c r="BW145" s="15">
        <f t="shared" si="50"/>
        <v>0.81139053254437865</v>
      </c>
      <c r="BX145" s="16"/>
      <c r="BY145" s="16"/>
      <c r="BZ145" s="16">
        <v>2704</v>
      </c>
      <c r="CA145" s="16">
        <f t="shared" si="51"/>
        <v>510</v>
      </c>
      <c r="CB145" s="16">
        <v>2194</v>
      </c>
      <c r="CC145" s="16">
        <v>2064</v>
      </c>
      <c r="CD145" s="16">
        <f t="shared" si="52"/>
        <v>130</v>
      </c>
      <c r="CE145" s="16"/>
      <c r="CF145" s="16"/>
      <c r="CG145" s="80">
        <v>2004</v>
      </c>
      <c r="CH145" s="81" t="s">
        <v>43</v>
      </c>
      <c r="CI145" s="15">
        <f t="shared" si="53"/>
        <v>0.7672978878368536</v>
      </c>
      <c r="CJ145" s="15">
        <f t="shared" si="54"/>
        <v>0.93395390070921991</v>
      </c>
      <c r="CK145" s="15">
        <f t="shared" si="55"/>
        <v>0.82155863073561541</v>
      </c>
      <c r="CL145" s="16"/>
      <c r="CM145" s="16"/>
      <c r="CN145" s="16">
        <v>2746</v>
      </c>
      <c r="CO145" s="16">
        <f t="shared" si="56"/>
        <v>490</v>
      </c>
      <c r="CP145" s="16">
        <v>2256</v>
      </c>
      <c r="CQ145" s="16">
        <v>2107</v>
      </c>
      <c r="CR145" s="16">
        <f t="shared" si="57"/>
        <v>149</v>
      </c>
      <c r="CS145" s="16"/>
      <c r="CT145" s="16"/>
      <c r="CU145" s="80">
        <v>2004</v>
      </c>
      <c r="CV145" s="81" t="s">
        <v>43</v>
      </c>
      <c r="CW145" s="15">
        <f t="shared" si="58"/>
        <v>0.76450967311541029</v>
      </c>
      <c r="CX145" s="15">
        <f t="shared" si="59"/>
        <v>0.99306759098786823</v>
      </c>
      <c r="CY145" s="15">
        <f t="shared" si="60"/>
        <v>0.76984656437625087</v>
      </c>
      <c r="CZ145" s="16"/>
      <c r="DA145" s="16"/>
      <c r="DB145" s="16">
        <v>1499</v>
      </c>
      <c r="DC145" s="16">
        <f t="shared" si="61"/>
        <v>345</v>
      </c>
      <c r="DD145" s="16">
        <v>1154</v>
      </c>
      <c r="DE145" s="16">
        <v>1146</v>
      </c>
      <c r="DF145" s="16">
        <f t="shared" si="62"/>
        <v>8</v>
      </c>
      <c r="DG145" s="16"/>
      <c r="DH145" s="16"/>
      <c r="DI145" s="80">
        <v>2004</v>
      </c>
      <c r="DJ145" s="81" t="s">
        <v>43</v>
      </c>
      <c r="DK145" s="15">
        <f t="shared" si="63"/>
        <v>1.2864493996569469E-2</v>
      </c>
      <c r="DL145" s="15">
        <f t="shared" si="64"/>
        <v>1.8963337547408345E-2</v>
      </c>
      <c r="DM145" s="15">
        <f t="shared" si="65"/>
        <v>0.67838765008576329</v>
      </c>
      <c r="DN145" s="16"/>
      <c r="DO145" s="16"/>
      <c r="DP145" s="16">
        <v>1166</v>
      </c>
      <c r="DQ145" s="16">
        <f t="shared" si="66"/>
        <v>375</v>
      </c>
      <c r="DR145" s="16">
        <v>791</v>
      </c>
      <c r="DS145" s="16">
        <v>15</v>
      </c>
      <c r="DT145" s="16">
        <f t="shared" si="67"/>
        <v>776</v>
      </c>
      <c r="DU145" s="16"/>
      <c r="DV145" s="16"/>
      <c r="DW145" s="80">
        <v>2004</v>
      </c>
      <c r="DX145" s="81" t="s">
        <v>43</v>
      </c>
      <c r="DY145" s="15">
        <f t="shared" si="68"/>
        <v>0.92996742671009769</v>
      </c>
      <c r="DZ145" s="15">
        <f t="shared" si="69"/>
        <v>0.94850498338870437</v>
      </c>
      <c r="EA145" s="15">
        <f t="shared" si="70"/>
        <v>0.98045602605863191</v>
      </c>
      <c r="EB145" s="16"/>
      <c r="EC145" s="16"/>
      <c r="ED145" s="16">
        <v>1228</v>
      </c>
      <c r="EE145" s="16">
        <f t="shared" si="71"/>
        <v>24</v>
      </c>
      <c r="EF145" s="16">
        <v>1204</v>
      </c>
      <c r="EG145" s="16">
        <v>1142</v>
      </c>
      <c r="EH145" s="16">
        <f t="shared" si="72"/>
        <v>62</v>
      </c>
      <c r="EI145" s="16"/>
      <c r="EJ145" s="16"/>
      <c r="EK145" s="80"/>
      <c r="EL145" s="81"/>
      <c r="EM145" s="16"/>
      <c r="EN145" s="16"/>
      <c r="EO145" s="16"/>
      <c r="EP145" s="16"/>
      <c r="EQ145" s="16"/>
      <c r="ER145" s="16"/>
      <c r="ES145" s="16"/>
      <c r="ET145" s="16"/>
      <c r="EU145" s="16"/>
      <c r="EV145" s="16"/>
      <c r="EW145" s="16"/>
      <c r="EX145" s="16"/>
      <c r="EY145" s="80"/>
      <c r="EZ145" s="81"/>
      <c r="FA145" s="16"/>
      <c r="FB145" s="16"/>
      <c r="FC145" s="16"/>
      <c r="FD145" s="16"/>
      <c r="FE145" s="16"/>
      <c r="FF145" s="16"/>
      <c r="FG145" s="16"/>
      <c r="FH145" s="16"/>
      <c r="FI145" s="16"/>
      <c r="FJ145" s="16"/>
      <c r="FK145" s="16"/>
      <c r="FM145" s="80"/>
      <c r="FN145" s="81"/>
      <c r="FO145" s="16"/>
      <c r="FP145" s="16"/>
      <c r="FQ145" s="16"/>
      <c r="FR145" s="16"/>
      <c r="FS145" s="16"/>
      <c r="FT145" s="16"/>
      <c r="FU145" s="16"/>
      <c r="FV145" s="16"/>
      <c r="FW145" s="16"/>
      <c r="FX145" s="16"/>
      <c r="FY145" s="16"/>
      <c r="GA145" s="80"/>
      <c r="GB145" s="81"/>
      <c r="GC145" s="16"/>
      <c r="GD145" s="16"/>
      <c r="GE145" s="16"/>
      <c r="GF145" s="16"/>
      <c r="GG145" s="16"/>
      <c r="GH145" s="16"/>
      <c r="GI145" s="16"/>
      <c r="GJ145" s="16"/>
      <c r="GK145" s="16"/>
      <c r="GL145" s="16"/>
      <c r="GM145" s="16"/>
    </row>
    <row r="146" spans="1:195" s="18" customFormat="1" ht="15" customHeight="1">
      <c r="A146" s="78">
        <v>2004</v>
      </c>
      <c r="B146" s="79" t="s">
        <v>44</v>
      </c>
      <c r="C146" s="15">
        <f t="shared" si="73"/>
        <v>0.70698790362891129</v>
      </c>
      <c r="D146" s="15">
        <f t="shared" si="74"/>
        <v>0.77306515085264538</v>
      </c>
      <c r="E146" s="15">
        <f t="shared" si="75"/>
        <v>0.91452564230730782</v>
      </c>
      <c r="F146" s="16"/>
      <c r="G146" s="33"/>
      <c r="H14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20006</v>
      </c>
      <c r="I146" s="16">
        <f t="shared" si="76"/>
        <v>1710</v>
      </c>
      <c r="J14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18296</v>
      </c>
      <c r="K14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14144</v>
      </c>
      <c r="L146" s="16">
        <f t="shared" si="77"/>
        <v>4152</v>
      </c>
      <c r="M146" s="16"/>
      <c r="N146" s="16"/>
      <c r="O146" s="90">
        <v>2004</v>
      </c>
      <c r="P146" s="91" t="s">
        <v>44</v>
      </c>
      <c r="Q146" s="42">
        <f t="shared" si="28"/>
        <v>0.66</v>
      </c>
      <c r="R146" s="42">
        <f t="shared" si="29"/>
        <v>0.67607973421926915</v>
      </c>
      <c r="S146" s="42">
        <f t="shared" si="30"/>
        <v>0.97621621621621624</v>
      </c>
      <c r="T146" s="43"/>
      <c r="U146" s="43"/>
      <c r="V146" s="30">
        <v>3700</v>
      </c>
      <c r="W146" s="30">
        <f t="shared" si="31"/>
        <v>88</v>
      </c>
      <c r="X146" s="30">
        <v>3612</v>
      </c>
      <c r="Y146" s="30">
        <v>2442</v>
      </c>
      <c r="Z146" s="30">
        <f t="shared" si="32"/>
        <v>1170</v>
      </c>
      <c r="AA146" s="16"/>
      <c r="AB146" s="16"/>
      <c r="AC146" s="78">
        <v>2004</v>
      </c>
      <c r="AD146" s="79" t="s">
        <v>44</v>
      </c>
      <c r="AE146" s="15">
        <f t="shared" si="33"/>
        <v>0.68163804491413471</v>
      </c>
      <c r="AF146" s="15">
        <f t="shared" si="34"/>
        <v>0.69918699186991873</v>
      </c>
      <c r="AG146" s="15">
        <f t="shared" si="35"/>
        <v>0.97490092470277412</v>
      </c>
      <c r="AH146" s="15"/>
      <c r="AI146" s="15"/>
      <c r="AJ146" s="16">
        <v>1514</v>
      </c>
      <c r="AK146" s="16">
        <f t="shared" si="36"/>
        <v>38</v>
      </c>
      <c r="AL146" s="16">
        <v>1476</v>
      </c>
      <c r="AM146" s="16">
        <v>1032</v>
      </c>
      <c r="AN146" s="16">
        <f t="shared" si="37"/>
        <v>444</v>
      </c>
      <c r="AO146" s="16"/>
      <c r="AP146" s="16"/>
      <c r="AQ146" s="78">
        <v>2004</v>
      </c>
      <c r="AR146" s="79" t="s">
        <v>44</v>
      </c>
      <c r="AS146" s="15">
        <f t="shared" si="38"/>
        <v>0.74383452665075578</v>
      </c>
      <c r="AT146" s="15">
        <f t="shared" si="39"/>
        <v>0.78902953586497893</v>
      </c>
      <c r="AU146" s="15">
        <f t="shared" si="40"/>
        <v>0.94272076372315039</v>
      </c>
      <c r="AV146" s="16"/>
      <c r="AW146" s="16"/>
      <c r="AX146" s="16">
        <v>5028</v>
      </c>
      <c r="AY146" s="16">
        <f t="shared" si="41"/>
        <v>288</v>
      </c>
      <c r="AZ146" s="16">
        <v>4740</v>
      </c>
      <c r="BA146" s="16">
        <v>3740</v>
      </c>
      <c r="BB146" s="16">
        <f t="shared" si="42"/>
        <v>1000</v>
      </c>
      <c r="BC146" s="16"/>
      <c r="BD146" s="16"/>
      <c r="BE146" s="78">
        <v>2004</v>
      </c>
      <c r="BF146" s="79" t="s">
        <v>44</v>
      </c>
      <c r="BG146" s="15">
        <f t="shared" si="43"/>
        <v>0.6262626262626263</v>
      </c>
      <c r="BH146" s="15">
        <f t="shared" si="44"/>
        <v>0.68007312614259596</v>
      </c>
      <c r="BI146" s="15">
        <f t="shared" si="45"/>
        <v>0.92087542087542085</v>
      </c>
      <c r="BJ146" s="16"/>
      <c r="BK146" s="16"/>
      <c r="BL146" s="16">
        <v>594</v>
      </c>
      <c r="BM146" s="16">
        <f t="shared" si="46"/>
        <v>47</v>
      </c>
      <c r="BN146" s="16">
        <v>547</v>
      </c>
      <c r="BO146" s="16">
        <v>372</v>
      </c>
      <c r="BP146" s="16">
        <f t="shared" si="47"/>
        <v>175</v>
      </c>
      <c r="BQ146" s="16"/>
      <c r="BR146" s="16"/>
      <c r="BS146" s="78">
        <v>2004</v>
      </c>
      <c r="BT146" s="79" t="s">
        <v>44</v>
      </c>
      <c r="BU146" s="15">
        <f t="shared" si="48"/>
        <v>0.7646176911544228</v>
      </c>
      <c r="BV146" s="15">
        <f t="shared" si="49"/>
        <v>0.8774193548387097</v>
      </c>
      <c r="BW146" s="15">
        <f t="shared" si="50"/>
        <v>0.8714392803598201</v>
      </c>
      <c r="BX146" s="16"/>
      <c r="BY146" s="16"/>
      <c r="BZ146" s="16">
        <v>2668</v>
      </c>
      <c r="CA146" s="16">
        <f t="shared" si="51"/>
        <v>343</v>
      </c>
      <c r="CB146" s="16">
        <v>2325</v>
      </c>
      <c r="CC146" s="16">
        <v>2040</v>
      </c>
      <c r="CD146" s="16">
        <f t="shared" si="52"/>
        <v>285</v>
      </c>
      <c r="CE146" s="16"/>
      <c r="CF146" s="16"/>
      <c r="CG146" s="78">
        <v>2004</v>
      </c>
      <c r="CH146" s="79" t="s">
        <v>44</v>
      </c>
      <c r="CI146" s="15">
        <f t="shared" si="53"/>
        <v>0.79185185185185181</v>
      </c>
      <c r="CJ146" s="15">
        <f t="shared" si="54"/>
        <v>0.89643605870020959</v>
      </c>
      <c r="CK146" s="15">
        <f t="shared" si="55"/>
        <v>0.8833333333333333</v>
      </c>
      <c r="CL146" s="16"/>
      <c r="CM146" s="16"/>
      <c r="CN146" s="16">
        <v>2700</v>
      </c>
      <c r="CO146" s="16">
        <f t="shared" si="56"/>
        <v>315</v>
      </c>
      <c r="CP146" s="16">
        <v>2385</v>
      </c>
      <c r="CQ146" s="16">
        <v>2138</v>
      </c>
      <c r="CR146" s="16">
        <f t="shared" si="57"/>
        <v>247</v>
      </c>
      <c r="CS146" s="16"/>
      <c r="CT146" s="16"/>
      <c r="CU146" s="78">
        <v>2004</v>
      </c>
      <c r="CV146" s="79" t="s">
        <v>44</v>
      </c>
      <c r="CW146" s="15">
        <f t="shared" si="58"/>
        <v>0.86062246278755072</v>
      </c>
      <c r="CX146" s="15">
        <f t="shared" si="59"/>
        <v>0.98988326848249031</v>
      </c>
      <c r="CY146" s="15">
        <f t="shared" si="60"/>
        <v>0.86941813261163736</v>
      </c>
      <c r="CZ146" s="16"/>
      <c r="DA146" s="16"/>
      <c r="DB146" s="16">
        <v>1478</v>
      </c>
      <c r="DC146" s="16">
        <f t="shared" si="61"/>
        <v>193</v>
      </c>
      <c r="DD146" s="16">
        <v>1285</v>
      </c>
      <c r="DE146" s="16">
        <v>1272</v>
      </c>
      <c r="DF146" s="16">
        <f t="shared" si="62"/>
        <v>13</v>
      </c>
      <c r="DG146" s="16"/>
      <c r="DH146" s="16"/>
      <c r="DI146" s="78">
        <v>2004</v>
      </c>
      <c r="DJ146" s="79" t="s">
        <v>44</v>
      </c>
      <c r="DK146" s="15">
        <f t="shared" si="63"/>
        <v>1.5901060070671377E-2</v>
      </c>
      <c r="DL146" s="15">
        <f t="shared" si="64"/>
        <v>2.3591087811271297E-2</v>
      </c>
      <c r="DM146" s="15">
        <f t="shared" si="65"/>
        <v>0.67402826855123676</v>
      </c>
      <c r="DN146" s="16"/>
      <c r="DO146" s="16"/>
      <c r="DP146" s="16">
        <v>1132</v>
      </c>
      <c r="DQ146" s="16">
        <f t="shared" si="66"/>
        <v>369</v>
      </c>
      <c r="DR146" s="16">
        <v>763</v>
      </c>
      <c r="DS146" s="16">
        <v>18</v>
      </c>
      <c r="DT146" s="16">
        <f t="shared" si="67"/>
        <v>745</v>
      </c>
      <c r="DU146" s="16"/>
      <c r="DV146" s="16"/>
      <c r="DW146" s="78">
        <v>2004</v>
      </c>
      <c r="DX146" s="79" t="s">
        <v>44</v>
      </c>
      <c r="DY146" s="15">
        <f t="shared" si="68"/>
        <v>0.91442953020134232</v>
      </c>
      <c r="DZ146" s="15">
        <f t="shared" si="69"/>
        <v>0.93723129836629404</v>
      </c>
      <c r="EA146" s="15">
        <f t="shared" si="70"/>
        <v>0.97567114093959728</v>
      </c>
      <c r="EB146" s="16"/>
      <c r="EC146" s="16"/>
      <c r="ED146" s="16">
        <v>1192</v>
      </c>
      <c r="EE146" s="16">
        <f t="shared" si="71"/>
        <v>29</v>
      </c>
      <c r="EF146" s="16">
        <v>1163</v>
      </c>
      <c r="EG146" s="16">
        <v>1090</v>
      </c>
      <c r="EH146" s="16">
        <f t="shared" si="72"/>
        <v>73</v>
      </c>
      <c r="EI146" s="16"/>
      <c r="EJ146" s="16"/>
      <c r="EK146" s="78"/>
      <c r="EL146" s="79"/>
      <c r="EM146" s="16"/>
      <c r="EN146" s="16"/>
      <c r="EO146" s="16"/>
      <c r="EP146" s="16"/>
      <c r="EQ146" s="16"/>
      <c r="ER146" s="16"/>
      <c r="ES146" s="16"/>
      <c r="ET146" s="16"/>
      <c r="EU146" s="16"/>
      <c r="EV146" s="16"/>
      <c r="EW146" s="16"/>
      <c r="EX146" s="16"/>
      <c r="EY146" s="78"/>
      <c r="EZ146" s="79"/>
      <c r="FA146" s="16"/>
      <c r="FB146" s="16"/>
      <c r="FC146" s="16"/>
      <c r="FD146" s="16"/>
      <c r="FE146" s="16"/>
      <c r="FF146" s="16"/>
      <c r="FG146" s="16"/>
      <c r="FH146" s="16"/>
      <c r="FI146" s="16"/>
      <c r="FJ146" s="16"/>
      <c r="FK146" s="16"/>
      <c r="FM146" s="78"/>
      <c r="FN146" s="79"/>
      <c r="FO146" s="16"/>
      <c r="FP146" s="16"/>
      <c r="FQ146" s="16"/>
      <c r="FR146" s="16"/>
      <c r="FS146" s="16"/>
      <c r="FT146" s="16"/>
      <c r="FU146" s="16"/>
      <c r="FV146" s="16"/>
      <c r="FW146" s="16"/>
      <c r="FX146" s="16"/>
      <c r="FY146" s="16"/>
      <c r="GA146" s="78"/>
      <c r="GB146" s="79"/>
      <c r="GC146" s="16"/>
      <c r="GD146" s="16"/>
      <c r="GE146" s="16"/>
      <c r="GF146" s="16"/>
      <c r="GG146" s="16"/>
      <c r="GH146" s="16"/>
      <c r="GI146" s="16"/>
      <c r="GJ146" s="16"/>
      <c r="GK146" s="16"/>
      <c r="GL146" s="16"/>
      <c r="GM146" s="16"/>
    </row>
    <row r="147" spans="1:195" s="18" customFormat="1" ht="15" customHeight="1">
      <c r="A147" s="80">
        <v>2004</v>
      </c>
      <c r="B147" s="81" t="s">
        <v>45</v>
      </c>
      <c r="C147" s="15">
        <f t="shared" si="73"/>
        <v>0.71806541962588777</v>
      </c>
      <c r="D147" s="15">
        <f t="shared" si="74"/>
        <v>0.80363839910439405</v>
      </c>
      <c r="E147" s="15">
        <f t="shared" si="75"/>
        <v>0.89351805541662499</v>
      </c>
      <c r="F147" s="16"/>
      <c r="G147" s="33"/>
      <c r="H14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19994</v>
      </c>
      <c r="I147" s="16">
        <f t="shared" si="76"/>
        <v>2129</v>
      </c>
      <c r="J14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17865</v>
      </c>
      <c r="K14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14357</v>
      </c>
      <c r="L147" s="16">
        <f t="shared" si="77"/>
        <v>3508</v>
      </c>
      <c r="M147" s="16"/>
      <c r="N147" s="16"/>
      <c r="O147" s="92">
        <v>2004</v>
      </c>
      <c r="P147" s="93" t="s">
        <v>45</v>
      </c>
      <c r="Q147" s="42">
        <f t="shared" si="28"/>
        <v>0.68934177912420824</v>
      </c>
      <c r="R147" s="42">
        <f t="shared" si="29"/>
        <v>0.72698228289282607</v>
      </c>
      <c r="S147" s="42">
        <f t="shared" si="30"/>
        <v>0.94822362985403474</v>
      </c>
      <c r="T147" s="43"/>
      <c r="U147" s="43"/>
      <c r="V147" s="30">
        <v>3631</v>
      </c>
      <c r="W147" s="30">
        <f t="shared" si="31"/>
        <v>188</v>
      </c>
      <c r="X147" s="30">
        <v>3443</v>
      </c>
      <c r="Y147" s="30">
        <v>2503</v>
      </c>
      <c r="Z147" s="30">
        <f t="shared" si="32"/>
        <v>940</v>
      </c>
      <c r="AA147" s="16"/>
      <c r="AB147" s="16"/>
      <c r="AC147" s="80">
        <v>2004</v>
      </c>
      <c r="AD147" s="81" t="s">
        <v>45</v>
      </c>
      <c r="AE147" s="15">
        <f t="shared" si="33"/>
        <v>0.70013037809647982</v>
      </c>
      <c r="AF147" s="15">
        <f t="shared" si="34"/>
        <v>0.71983914209115285</v>
      </c>
      <c r="AG147" s="15">
        <f t="shared" si="35"/>
        <v>0.97262059973924375</v>
      </c>
      <c r="AH147" s="15"/>
      <c r="AI147" s="15"/>
      <c r="AJ147" s="16">
        <v>1534</v>
      </c>
      <c r="AK147" s="16">
        <f t="shared" si="36"/>
        <v>42</v>
      </c>
      <c r="AL147" s="16">
        <v>1492</v>
      </c>
      <c r="AM147" s="16">
        <v>1074</v>
      </c>
      <c r="AN147" s="16">
        <f t="shared" si="37"/>
        <v>418</v>
      </c>
      <c r="AO147" s="16"/>
      <c r="AP147" s="16"/>
      <c r="AQ147" s="80">
        <v>2004</v>
      </c>
      <c r="AR147" s="81" t="s">
        <v>45</v>
      </c>
      <c r="AS147" s="15">
        <f t="shared" si="38"/>
        <v>0.80591645012992208</v>
      </c>
      <c r="AT147" s="15">
        <f t="shared" si="39"/>
        <v>0.85988483685220729</v>
      </c>
      <c r="AU147" s="15">
        <f t="shared" si="40"/>
        <v>0.93723765740555665</v>
      </c>
      <c r="AV147" s="16"/>
      <c r="AW147" s="16"/>
      <c r="AX147" s="16">
        <v>5003</v>
      </c>
      <c r="AY147" s="16">
        <f t="shared" si="41"/>
        <v>314</v>
      </c>
      <c r="AZ147" s="16">
        <v>4689</v>
      </c>
      <c r="BA147" s="16">
        <v>4032</v>
      </c>
      <c r="BB147" s="16">
        <f t="shared" si="42"/>
        <v>657</v>
      </c>
      <c r="BC147" s="16"/>
      <c r="BD147" s="16"/>
      <c r="BE147" s="80">
        <v>2004</v>
      </c>
      <c r="BF147" s="81" t="s">
        <v>45</v>
      </c>
      <c r="BG147" s="15">
        <f t="shared" si="43"/>
        <v>0.6074074074074074</v>
      </c>
      <c r="BH147" s="15">
        <f t="shared" si="44"/>
        <v>0.71304347826086956</v>
      </c>
      <c r="BI147" s="15">
        <f t="shared" si="45"/>
        <v>0.85185185185185186</v>
      </c>
      <c r="BJ147" s="16"/>
      <c r="BK147" s="16"/>
      <c r="BL147" s="16">
        <v>540</v>
      </c>
      <c r="BM147" s="16">
        <f t="shared" si="46"/>
        <v>80</v>
      </c>
      <c r="BN147" s="16">
        <v>460</v>
      </c>
      <c r="BO147" s="16">
        <v>328</v>
      </c>
      <c r="BP147" s="16">
        <f t="shared" si="47"/>
        <v>132</v>
      </c>
      <c r="BQ147" s="16"/>
      <c r="BR147" s="16"/>
      <c r="BS147" s="80">
        <v>2004</v>
      </c>
      <c r="BT147" s="81" t="s">
        <v>45</v>
      </c>
      <c r="BU147" s="15">
        <f t="shared" si="48"/>
        <v>0.7280865348750466</v>
      </c>
      <c r="BV147" s="15">
        <f t="shared" si="49"/>
        <v>0.87967552951780081</v>
      </c>
      <c r="BW147" s="15">
        <f t="shared" si="50"/>
        <v>0.82767624020887731</v>
      </c>
      <c r="BX147" s="16"/>
      <c r="BY147" s="16"/>
      <c r="BZ147" s="16">
        <v>2681</v>
      </c>
      <c r="CA147" s="16">
        <f t="shared" si="51"/>
        <v>462</v>
      </c>
      <c r="CB147" s="16">
        <v>2219</v>
      </c>
      <c r="CC147" s="16">
        <v>1952</v>
      </c>
      <c r="CD147" s="16">
        <f t="shared" si="52"/>
        <v>267</v>
      </c>
      <c r="CE147" s="16"/>
      <c r="CF147" s="16"/>
      <c r="CG147" s="80">
        <v>2004</v>
      </c>
      <c r="CH147" s="81" t="s">
        <v>45</v>
      </c>
      <c r="CI147" s="15">
        <f t="shared" si="53"/>
        <v>0.75935436537050627</v>
      </c>
      <c r="CJ147" s="15">
        <f t="shared" si="54"/>
        <v>0.88272921108742008</v>
      </c>
      <c r="CK147" s="15">
        <f t="shared" si="55"/>
        <v>0.86023477622890687</v>
      </c>
      <c r="CL147" s="16"/>
      <c r="CM147" s="16"/>
      <c r="CN147" s="16">
        <v>2726</v>
      </c>
      <c r="CO147" s="16">
        <f t="shared" si="56"/>
        <v>381</v>
      </c>
      <c r="CP147" s="16">
        <v>2345</v>
      </c>
      <c r="CQ147" s="16">
        <v>2070</v>
      </c>
      <c r="CR147" s="16">
        <f t="shared" si="57"/>
        <v>275</v>
      </c>
      <c r="CS147" s="16"/>
      <c r="CT147" s="16"/>
      <c r="CU147" s="80">
        <v>2004</v>
      </c>
      <c r="CV147" s="81" t="s">
        <v>45</v>
      </c>
      <c r="CW147" s="15">
        <f t="shared" si="58"/>
        <v>0.828956228956229</v>
      </c>
      <c r="CX147" s="15">
        <f t="shared" si="59"/>
        <v>0.98716920609462711</v>
      </c>
      <c r="CY147" s="15">
        <f t="shared" si="60"/>
        <v>0.83973063973063977</v>
      </c>
      <c r="CZ147" s="16"/>
      <c r="DA147" s="16"/>
      <c r="DB147" s="16">
        <v>1485</v>
      </c>
      <c r="DC147" s="16">
        <f t="shared" si="61"/>
        <v>238</v>
      </c>
      <c r="DD147" s="16">
        <v>1247</v>
      </c>
      <c r="DE147" s="16">
        <v>1231</v>
      </c>
      <c r="DF147" s="16">
        <f t="shared" si="62"/>
        <v>16</v>
      </c>
      <c r="DG147" s="16"/>
      <c r="DH147" s="16"/>
      <c r="DI147" s="80">
        <v>2004</v>
      </c>
      <c r="DJ147" s="81" t="s">
        <v>45</v>
      </c>
      <c r="DK147" s="15">
        <f t="shared" si="63"/>
        <v>2.3156089193825044E-2</v>
      </c>
      <c r="DL147" s="15">
        <f t="shared" si="64"/>
        <v>3.4793814432989692E-2</v>
      </c>
      <c r="DM147" s="15">
        <f t="shared" si="65"/>
        <v>0.66552315608919388</v>
      </c>
      <c r="DN147" s="16"/>
      <c r="DO147" s="16"/>
      <c r="DP147" s="16">
        <v>1166</v>
      </c>
      <c r="DQ147" s="16">
        <f t="shared" si="66"/>
        <v>390</v>
      </c>
      <c r="DR147" s="16">
        <v>776</v>
      </c>
      <c r="DS147" s="16">
        <v>27</v>
      </c>
      <c r="DT147" s="16">
        <f t="shared" si="67"/>
        <v>749</v>
      </c>
      <c r="DU147" s="16"/>
      <c r="DV147" s="16"/>
      <c r="DW147" s="80">
        <v>2004</v>
      </c>
      <c r="DX147" s="81" t="s">
        <v>45</v>
      </c>
      <c r="DY147" s="15">
        <f t="shared" si="68"/>
        <v>0.92833876221498368</v>
      </c>
      <c r="DZ147" s="15">
        <f t="shared" si="69"/>
        <v>0.95477386934673369</v>
      </c>
      <c r="EA147" s="15">
        <f t="shared" si="70"/>
        <v>0.97231270358306188</v>
      </c>
      <c r="EB147" s="16"/>
      <c r="EC147" s="16"/>
      <c r="ED147" s="16">
        <v>1228</v>
      </c>
      <c r="EE147" s="16">
        <f t="shared" si="71"/>
        <v>34</v>
      </c>
      <c r="EF147" s="16">
        <v>1194</v>
      </c>
      <c r="EG147" s="16">
        <v>1140</v>
      </c>
      <c r="EH147" s="16">
        <f t="shared" si="72"/>
        <v>54</v>
      </c>
      <c r="EI147" s="16"/>
      <c r="EJ147" s="16"/>
      <c r="EK147" s="80"/>
      <c r="EL147" s="81"/>
      <c r="EM147" s="16"/>
      <c r="EN147" s="16"/>
      <c r="EO147" s="16"/>
      <c r="EP147" s="16"/>
      <c r="EQ147" s="16"/>
      <c r="ER147" s="16"/>
      <c r="ES147" s="16"/>
      <c r="ET147" s="16"/>
      <c r="EU147" s="16"/>
      <c r="EV147" s="16"/>
      <c r="EW147" s="16"/>
      <c r="EX147" s="16"/>
      <c r="EY147" s="80"/>
      <c r="EZ147" s="81"/>
      <c r="FA147" s="16"/>
      <c r="FB147" s="16"/>
      <c r="FC147" s="16"/>
      <c r="FD147" s="16"/>
      <c r="FE147" s="16"/>
      <c r="FF147" s="16"/>
      <c r="FG147" s="16"/>
      <c r="FH147" s="16"/>
      <c r="FI147" s="16"/>
      <c r="FJ147" s="16"/>
      <c r="FK147" s="16"/>
      <c r="FM147" s="80"/>
      <c r="FN147" s="81"/>
      <c r="FO147" s="16"/>
      <c r="FP147" s="16"/>
      <c r="FQ147" s="16"/>
      <c r="FR147" s="16"/>
      <c r="FS147" s="16"/>
      <c r="FT147" s="16"/>
      <c r="FU147" s="16"/>
      <c r="FV147" s="16"/>
      <c r="FW147" s="16"/>
      <c r="FX147" s="16"/>
      <c r="FY147" s="16"/>
      <c r="GA147" s="80"/>
      <c r="GB147" s="81"/>
      <c r="GC147" s="16"/>
      <c r="GD147" s="16"/>
      <c r="GE147" s="16"/>
      <c r="GF147" s="16"/>
      <c r="GG147" s="16"/>
      <c r="GH147" s="16"/>
      <c r="GI147" s="16"/>
      <c r="GJ147" s="16"/>
      <c r="GK147" s="16"/>
      <c r="GL147" s="16"/>
      <c r="GM147" s="16"/>
    </row>
    <row r="148" spans="1:195" s="18" customFormat="1" ht="15" customHeight="1">
      <c r="A148" s="78">
        <v>2004</v>
      </c>
      <c r="B148" s="79" t="s">
        <v>46</v>
      </c>
      <c r="C148" s="15">
        <f t="shared" si="73"/>
        <v>0.82823188695261396</v>
      </c>
      <c r="D148" s="15">
        <f t="shared" si="74"/>
        <v>0.87281624921069245</v>
      </c>
      <c r="E148" s="15">
        <f t="shared" si="75"/>
        <v>0.94891895940480353</v>
      </c>
      <c r="F148" s="16"/>
      <c r="G148" s="33"/>
      <c r="H14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20027</v>
      </c>
      <c r="I148" s="16">
        <f t="shared" si="76"/>
        <v>1023</v>
      </c>
      <c r="J14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19004</v>
      </c>
      <c r="K14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16587</v>
      </c>
      <c r="L148" s="16">
        <f t="shared" si="77"/>
        <v>2417</v>
      </c>
      <c r="M148" s="16"/>
      <c r="N148" s="16"/>
      <c r="O148" s="90">
        <v>2004</v>
      </c>
      <c r="P148" s="91" t="s">
        <v>46</v>
      </c>
      <c r="Q148" s="42">
        <f t="shared" si="28"/>
        <v>0.88246419886517158</v>
      </c>
      <c r="R148" s="42">
        <f t="shared" si="29"/>
        <v>0.90046870692031977</v>
      </c>
      <c r="S148" s="42">
        <f t="shared" si="30"/>
        <v>0.98000540394487978</v>
      </c>
      <c r="T148" s="43"/>
      <c r="U148" s="43"/>
      <c r="V148" s="30">
        <v>3701</v>
      </c>
      <c r="W148" s="30">
        <f t="shared" si="31"/>
        <v>74</v>
      </c>
      <c r="X148" s="30">
        <v>3627</v>
      </c>
      <c r="Y148" s="30">
        <v>3266</v>
      </c>
      <c r="Z148" s="30">
        <f t="shared" si="32"/>
        <v>361</v>
      </c>
      <c r="AA148" s="16"/>
      <c r="AB148" s="16"/>
      <c r="AC148" s="78">
        <v>2004</v>
      </c>
      <c r="AD148" s="79" t="s">
        <v>46</v>
      </c>
      <c r="AE148" s="15">
        <f t="shared" si="33"/>
        <v>0.88822751322751325</v>
      </c>
      <c r="AF148" s="15">
        <f t="shared" si="34"/>
        <v>0.89295212765957444</v>
      </c>
      <c r="AG148" s="15">
        <f t="shared" si="35"/>
        <v>0.99470899470899465</v>
      </c>
      <c r="AH148" s="15"/>
      <c r="AI148" s="15"/>
      <c r="AJ148" s="16">
        <v>1512</v>
      </c>
      <c r="AK148" s="16">
        <f t="shared" si="36"/>
        <v>8</v>
      </c>
      <c r="AL148" s="16">
        <v>1504</v>
      </c>
      <c r="AM148" s="16">
        <v>1343</v>
      </c>
      <c r="AN148" s="16">
        <f t="shared" si="37"/>
        <v>161</v>
      </c>
      <c r="AO148" s="16"/>
      <c r="AP148" s="16"/>
      <c r="AQ148" s="78">
        <v>2004</v>
      </c>
      <c r="AR148" s="79" t="s">
        <v>46</v>
      </c>
      <c r="AS148" s="15">
        <f t="shared" si="38"/>
        <v>0.90113387706385517</v>
      </c>
      <c r="AT148" s="15">
        <f t="shared" si="39"/>
        <v>0.93788819875776397</v>
      </c>
      <c r="AU148" s="15">
        <f t="shared" si="40"/>
        <v>0.96081161726675945</v>
      </c>
      <c r="AV148" s="16"/>
      <c r="AW148" s="16"/>
      <c r="AX148" s="16">
        <v>5027</v>
      </c>
      <c r="AY148" s="16">
        <f t="shared" si="41"/>
        <v>197</v>
      </c>
      <c r="AZ148" s="16">
        <v>4830</v>
      </c>
      <c r="BA148" s="16">
        <v>4530</v>
      </c>
      <c r="BB148" s="16">
        <f t="shared" si="42"/>
        <v>300</v>
      </c>
      <c r="BC148" s="16"/>
      <c r="BD148" s="16"/>
      <c r="BE148" s="78">
        <v>2004</v>
      </c>
      <c r="BF148" s="79" t="s">
        <v>46</v>
      </c>
      <c r="BG148" s="15">
        <f t="shared" si="43"/>
        <v>0.86038961038961037</v>
      </c>
      <c r="BH148" s="15">
        <f t="shared" si="44"/>
        <v>0.89376053962900504</v>
      </c>
      <c r="BI148" s="15">
        <f t="shared" si="45"/>
        <v>0.96266233766233766</v>
      </c>
      <c r="BJ148" s="16"/>
      <c r="BK148" s="16"/>
      <c r="BL148" s="16">
        <v>616</v>
      </c>
      <c r="BM148" s="16">
        <f t="shared" si="46"/>
        <v>23</v>
      </c>
      <c r="BN148" s="16">
        <v>593</v>
      </c>
      <c r="BO148" s="16">
        <v>530</v>
      </c>
      <c r="BP148" s="16">
        <f t="shared" si="47"/>
        <v>63</v>
      </c>
      <c r="BQ148" s="16"/>
      <c r="BR148" s="16"/>
      <c r="BS148" s="78">
        <v>2004</v>
      </c>
      <c r="BT148" s="79" t="s">
        <v>46</v>
      </c>
      <c r="BU148" s="15">
        <f t="shared" si="48"/>
        <v>0.82908545727136429</v>
      </c>
      <c r="BV148" s="15">
        <f t="shared" si="49"/>
        <v>0.86813186813186816</v>
      </c>
      <c r="BW148" s="15">
        <f t="shared" si="50"/>
        <v>0.95502248875562223</v>
      </c>
      <c r="BX148" s="16"/>
      <c r="BY148" s="16"/>
      <c r="BZ148" s="16">
        <v>2668</v>
      </c>
      <c r="CA148" s="16">
        <f t="shared" si="51"/>
        <v>120</v>
      </c>
      <c r="CB148" s="16">
        <v>2548</v>
      </c>
      <c r="CC148" s="16">
        <v>2212</v>
      </c>
      <c r="CD148" s="16">
        <f t="shared" si="52"/>
        <v>336</v>
      </c>
      <c r="CE148" s="16"/>
      <c r="CF148" s="16"/>
      <c r="CG148" s="78">
        <v>2004</v>
      </c>
      <c r="CH148" s="79" t="s">
        <v>46</v>
      </c>
      <c r="CI148" s="15">
        <f t="shared" si="53"/>
        <v>0.82925925925925925</v>
      </c>
      <c r="CJ148" s="15">
        <f t="shared" si="54"/>
        <v>0.86514683153013905</v>
      </c>
      <c r="CK148" s="15">
        <f t="shared" si="55"/>
        <v>0.95851851851851855</v>
      </c>
      <c r="CL148" s="16"/>
      <c r="CM148" s="16"/>
      <c r="CN148" s="16">
        <v>2700</v>
      </c>
      <c r="CO148" s="16">
        <f t="shared" si="56"/>
        <v>112</v>
      </c>
      <c r="CP148" s="16">
        <v>2588</v>
      </c>
      <c r="CQ148" s="16">
        <v>2239</v>
      </c>
      <c r="CR148" s="16">
        <f t="shared" si="57"/>
        <v>349</v>
      </c>
      <c r="CS148" s="16"/>
      <c r="CT148" s="16"/>
      <c r="CU148" s="78">
        <v>2004</v>
      </c>
      <c r="CV148" s="79" t="s">
        <v>46</v>
      </c>
      <c r="CW148" s="15">
        <f t="shared" si="58"/>
        <v>0.90872210953346855</v>
      </c>
      <c r="CX148" s="15">
        <f t="shared" si="59"/>
        <v>0.96899783705839937</v>
      </c>
      <c r="CY148" s="15">
        <f t="shared" si="60"/>
        <v>0.9377958079783637</v>
      </c>
      <c r="CZ148" s="16"/>
      <c r="DA148" s="16"/>
      <c r="DB148" s="16">
        <v>1479</v>
      </c>
      <c r="DC148" s="16">
        <f t="shared" si="61"/>
        <v>92</v>
      </c>
      <c r="DD148" s="16">
        <v>1387</v>
      </c>
      <c r="DE148" s="16">
        <v>1344</v>
      </c>
      <c r="DF148" s="16">
        <f t="shared" si="62"/>
        <v>43</v>
      </c>
      <c r="DG148" s="16"/>
      <c r="DH148" s="16"/>
      <c r="DI148" s="78">
        <v>2004</v>
      </c>
      <c r="DJ148" s="79" t="s">
        <v>46</v>
      </c>
      <c r="DK148" s="15">
        <f t="shared" si="63"/>
        <v>7.9505300353356883E-3</v>
      </c>
      <c r="DL148" s="15">
        <f t="shared" si="64"/>
        <v>1.1936339522546418E-2</v>
      </c>
      <c r="DM148" s="15">
        <f t="shared" si="65"/>
        <v>0.66607773851590102</v>
      </c>
      <c r="DN148" s="16"/>
      <c r="DO148" s="16"/>
      <c r="DP148" s="16">
        <v>1132</v>
      </c>
      <c r="DQ148" s="16">
        <f t="shared" si="66"/>
        <v>378</v>
      </c>
      <c r="DR148" s="16">
        <v>754</v>
      </c>
      <c r="DS148" s="16">
        <v>9</v>
      </c>
      <c r="DT148" s="16">
        <f t="shared" si="67"/>
        <v>745</v>
      </c>
      <c r="DU148" s="16"/>
      <c r="DV148" s="16"/>
      <c r="DW148" s="78">
        <v>2004</v>
      </c>
      <c r="DX148" s="79" t="s">
        <v>46</v>
      </c>
      <c r="DY148" s="15">
        <f t="shared" si="68"/>
        <v>0.93456375838926176</v>
      </c>
      <c r="DZ148" s="15">
        <f t="shared" si="69"/>
        <v>0.94970161977834611</v>
      </c>
      <c r="EA148" s="15">
        <f t="shared" si="70"/>
        <v>0.98406040268456374</v>
      </c>
      <c r="EB148" s="16"/>
      <c r="EC148" s="16"/>
      <c r="ED148" s="16">
        <v>1192</v>
      </c>
      <c r="EE148" s="16">
        <f t="shared" si="71"/>
        <v>19</v>
      </c>
      <c r="EF148" s="16">
        <v>1173</v>
      </c>
      <c r="EG148" s="16">
        <v>1114</v>
      </c>
      <c r="EH148" s="16">
        <f t="shared" si="72"/>
        <v>59</v>
      </c>
      <c r="EI148" s="16"/>
      <c r="EJ148" s="16"/>
      <c r="EK148" s="78"/>
      <c r="EL148" s="79"/>
      <c r="EM148" s="16"/>
      <c r="EN148" s="16"/>
      <c r="EO148" s="16"/>
      <c r="EP148" s="16"/>
      <c r="EQ148" s="16"/>
      <c r="ER148" s="16"/>
      <c r="ES148" s="16"/>
      <c r="ET148" s="16"/>
      <c r="EU148" s="16"/>
      <c r="EV148" s="16"/>
      <c r="EW148" s="16"/>
      <c r="EX148" s="16"/>
      <c r="EY148" s="78"/>
      <c r="EZ148" s="79"/>
      <c r="FA148" s="16"/>
      <c r="FB148" s="16"/>
      <c r="FC148" s="16"/>
      <c r="FD148" s="16"/>
      <c r="FE148" s="16"/>
      <c r="FF148" s="16"/>
      <c r="FG148" s="16"/>
      <c r="FH148" s="16"/>
      <c r="FI148" s="16"/>
      <c r="FJ148" s="16"/>
      <c r="FK148" s="16"/>
      <c r="FM148" s="78"/>
      <c r="FN148" s="79"/>
      <c r="FO148" s="16"/>
      <c r="FP148" s="16"/>
      <c r="FQ148" s="16"/>
      <c r="FR148" s="16"/>
      <c r="FS148" s="16"/>
      <c r="FT148" s="16"/>
      <c r="FU148" s="16"/>
      <c r="FV148" s="16"/>
      <c r="FW148" s="16"/>
      <c r="FX148" s="16"/>
      <c r="FY148" s="16"/>
      <c r="GA148" s="78"/>
      <c r="GB148" s="79"/>
      <c r="GC148" s="16"/>
      <c r="GD148" s="16"/>
      <c r="GE148" s="16"/>
      <c r="GF148" s="16"/>
      <c r="GG148" s="16"/>
      <c r="GH148" s="16"/>
      <c r="GI148" s="16"/>
      <c r="GJ148" s="16"/>
      <c r="GK148" s="16"/>
      <c r="GL148" s="16"/>
      <c r="GM148" s="16"/>
    </row>
    <row r="149" spans="1:195" s="18" customFormat="1" ht="15" customHeight="1">
      <c r="A149" s="80">
        <v>2004</v>
      </c>
      <c r="B149" s="81" t="s">
        <v>47</v>
      </c>
      <c r="C149" s="15">
        <f t="shared" si="73"/>
        <v>0.84834313873384626</v>
      </c>
      <c r="D149" s="15">
        <f t="shared" si="74"/>
        <v>0.89758459246648226</v>
      </c>
      <c r="E149" s="15">
        <f t="shared" si="75"/>
        <v>0.94514004123296624</v>
      </c>
      <c r="F149" s="16"/>
      <c r="G149" s="33"/>
      <c r="H14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19887</v>
      </c>
      <c r="I149" s="16">
        <f t="shared" si="76"/>
        <v>1091</v>
      </c>
      <c r="J14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18796</v>
      </c>
      <c r="K14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16871</v>
      </c>
      <c r="L149" s="16">
        <f t="shared" si="77"/>
        <v>1925</v>
      </c>
      <c r="M149" s="16"/>
      <c r="N149" s="16"/>
      <c r="O149" s="92">
        <v>2004</v>
      </c>
      <c r="P149" s="93" t="s">
        <v>47</v>
      </c>
      <c r="Q149" s="42">
        <f t="shared" si="28"/>
        <v>0.83865638766519823</v>
      </c>
      <c r="R149" s="42">
        <f t="shared" si="29"/>
        <v>0.88085598611914406</v>
      </c>
      <c r="S149" s="42">
        <f t="shared" si="30"/>
        <v>0.9520925110132159</v>
      </c>
      <c r="T149" s="43"/>
      <c r="U149" s="43"/>
      <c r="V149" s="30">
        <v>3632</v>
      </c>
      <c r="W149" s="30">
        <f t="shared" si="31"/>
        <v>174</v>
      </c>
      <c r="X149" s="30">
        <v>3458</v>
      </c>
      <c r="Y149" s="30">
        <v>3046</v>
      </c>
      <c r="Z149" s="30">
        <f t="shared" si="32"/>
        <v>412</v>
      </c>
      <c r="AA149" s="16"/>
      <c r="AB149" s="16"/>
      <c r="AC149" s="80">
        <v>2004</v>
      </c>
      <c r="AD149" s="81" t="s">
        <v>47</v>
      </c>
      <c r="AE149" s="15">
        <f t="shared" si="33"/>
        <v>0.87140992167101827</v>
      </c>
      <c r="AF149" s="15">
        <f t="shared" si="34"/>
        <v>0.89178356713426854</v>
      </c>
      <c r="AG149" s="15">
        <f t="shared" si="35"/>
        <v>0.97715404699738906</v>
      </c>
      <c r="AH149" s="15"/>
      <c r="AI149" s="15"/>
      <c r="AJ149" s="16">
        <v>1532</v>
      </c>
      <c r="AK149" s="16">
        <f t="shared" si="36"/>
        <v>35</v>
      </c>
      <c r="AL149" s="16">
        <v>1497</v>
      </c>
      <c r="AM149" s="16">
        <v>1335</v>
      </c>
      <c r="AN149" s="16">
        <f t="shared" si="37"/>
        <v>162</v>
      </c>
      <c r="AO149" s="16"/>
      <c r="AP149" s="16"/>
      <c r="AQ149" s="80">
        <v>2004</v>
      </c>
      <c r="AR149" s="81" t="s">
        <v>47</v>
      </c>
      <c r="AS149" s="15">
        <f t="shared" si="38"/>
        <v>0.86685325869652141</v>
      </c>
      <c r="AT149" s="15">
        <f t="shared" si="39"/>
        <v>0.93127147766323026</v>
      </c>
      <c r="AU149" s="15">
        <f t="shared" si="40"/>
        <v>0.93082766893242708</v>
      </c>
      <c r="AV149" s="16"/>
      <c r="AW149" s="16"/>
      <c r="AX149" s="16">
        <v>5002</v>
      </c>
      <c r="AY149" s="16">
        <f t="shared" si="41"/>
        <v>346</v>
      </c>
      <c r="AZ149" s="16">
        <v>4656</v>
      </c>
      <c r="BA149" s="16">
        <v>4336</v>
      </c>
      <c r="BB149" s="16">
        <f t="shared" si="42"/>
        <v>320</v>
      </c>
      <c r="BC149" s="16"/>
      <c r="BD149" s="16"/>
      <c r="BE149" s="80">
        <v>2004</v>
      </c>
      <c r="BF149" s="81" t="s">
        <v>47</v>
      </c>
      <c r="BG149" s="15">
        <f t="shared" si="43"/>
        <v>0.8125</v>
      </c>
      <c r="BH149" s="15">
        <f t="shared" si="44"/>
        <v>0.8441558441558441</v>
      </c>
      <c r="BI149" s="15">
        <f t="shared" si="45"/>
        <v>0.96250000000000002</v>
      </c>
      <c r="BJ149" s="16"/>
      <c r="BK149" s="16"/>
      <c r="BL149" s="16">
        <v>560</v>
      </c>
      <c r="BM149" s="16">
        <f t="shared" si="46"/>
        <v>21</v>
      </c>
      <c r="BN149" s="16">
        <v>539</v>
      </c>
      <c r="BO149" s="16">
        <v>455</v>
      </c>
      <c r="BP149" s="16">
        <f t="shared" si="47"/>
        <v>84</v>
      </c>
      <c r="BQ149" s="16"/>
      <c r="BR149" s="16"/>
      <c r="BS149" s="80">
        <v>2004</v>
      </c>
      <c r="BT149" s="81" t="s">
        <v>47</v>
      </c>
      <c r="BU149" s="15">
        <f t="shared" si="48"/>
        <v>0.83588213353226404</v>
      </c>
      <c r="BV149" s="15">
        <f t="shared" si="49"/>
        <v>0.88332676389436338</v>
      </c>
      <c r="BW149" s="15">
        <f t="shared" si="50"/>
        <v>0.94628869824692274</v>
      </c>
      <c r="BX149" s="16"/>
      <c r="BY149" s="16"/>
      <c r="BZ149" s="16">
        <v>2681</v>
      </c>
      <c r="CA149" s="16">
        <f t="shared" si="51"/>
        <v>144</v>
      </c>
      <c r="CB149" s="16">
        <v>2537</v>
      </c>
      <c r="CC149" s="16">
        <v>2241</v>
      </c>
      <c r="CD149" s="16">
        <f t="shared" si="52"/>
        <v>296</v>
      </c>
      <c r="CE149" s="16"/>
      <c r="CF149" s="16"/>
      <c r="CG149" s="80">
        <v>2004</v>
      </c>
      <c r="CH149" s="81" t="s">
        <v>47</v>
      </c>
      <c r="CI149" s="15">
        <f t="shared" si="53"/>
        <v>0.84299339691856201</v>
      </c>
      <c r="CJ149" s="15">
        <f t="shared" si="54"/>
        <v>0.89277389277389274</v>
      </c>
      <c r="CK149" s="15">
        <f t="shared" si="55"/>
        <v>0.94424064563462951</v>
      </c>
      <c r="CL149" s="16"/>
      <c r="CM149" s="16"/>
      <c r="CN149" s="16">
        <v>2726</v>
      </c>
      <c r="CO149" s="16">
        <f t="shared" si="56"/>
        <v>152</v>
      </c>
      <c r="CP149" s="16">
        <v>2574</v>
      </c>
      <c r="CQ149" s="16">
        <v>2298</v>
      </c>
      <c r="CR149" s="16">
        <f t="shared" si="57"/>
        <v>276</v>
      </c>
      <c r="CS149" s="16"/>
      <c r="CT149" s="16"/>
      <c r="CU149" s="80">
        <v>2004</v>
      </c>
      <c r="CV149" s="81" t="s">
        <v>47</v>
      </c>
      <c r="CW149" s="15">
        <f t="shared" si="58"/>
        <v>0.95491251682368772</v>
      </c>
      <c r="CX149" s="15">
        <f t="shared" si="59"/>
        <v>0.98816155988857934</v>
      </c>
      <c r="CY149" s="15">
        <f t="shared" si="60"/>
        <v>0.96635262449528936</v>
      </c>
      <c r="CZ149" s="16"/>
      <c r="DA149" s="16"/>
      <c r="DB149" s="16">
        <v>1486</v>
      </c>
      <c r="DC149" s="16">
        <f t="shared" si="61"/>
        <v>50</v>
      </c>
      <c r="DD149" s="16">
        <v>1436</v>
      </c>
      <c r="DE149" s="16">
        <v>1419</v>
      </c>
      <c r="DF149" s="16">
        <f t="shared" si="62"/>
        <v>17</v>
      </c>
      <c r="DG149" s="16"/>
      <c r="DH149" s="16"/>
      <c r="DI149" s="80">
        <v>2004</v>
      </c>
      <c r="DJ149" s="81" t="s">
        <v>47</v>
      </c>
      <c r="DK149" s="15">
        <f t="shared" si="63"/>
        <v>0.56730769230769229</v>
      </c>
      <c r="DL149" s="15">
        <f t="shared" si="64"/>
        <v>0.65555555555555556</v>
      </c>
      <c r="DM149" s="15">
        <f t="shared" si="65"/>
        <v>0.86538461538461542</v>
      </c>
      <c r="DN149" s="16"/>
      <c r="DO149" s="16"/>
      <c r="DP149" s="16">
        <v>1040</v>
      </c>
      <c r="DQ149" s="16">
        <f t="shared" si="66"/>
        <v>140</v>
      </c>
      <c r="DR149" s="16">
        <v>900</v>
      </c>
      <c r="DS149" s="16">
        <v>590</v>
      </c>
      <c r="DT149" s="16">
        <f t="shared" si="67"/>
        <v>310</v>
      </c>
      <c r="DU149" s="16"/>
      <c r="DV149" s="16"/>
      <c r="DW149" s="80">
        <v>2004</v>
      </c>
      <c r="DX149" s="81" t="s">
        <v>47</v>
      </c>
      <c r="DY149" s="15">
        <f t="shared" si="68"/>
        <v>0.93729641693811072</v>
      </c>
      <c r="DZ149" s="15">
        <f t="shared" si="69"/>
        <v>0.95996663886572142</v>
      </c>
      <c r="EA149" s="15">
        <f t="shared" si="70"/>
        <v>0.9763843648208469</v>
      </c>
      <c r="EB149" s="16"/>
      <c r="EC149" s="16"/>
      <c r="ED149" s="16">
        <v>1228</v>
      </c>
      <c r="EE149" s="16">
        <f t="shared" si="71"/>
        <v>29</v>
      </c>
      <c r="EF149" s="16">
        <v>1199</v>
      </c>
      <c r="EG149" s="16">
        <v>1151</v>
      </c>
      <c r="EH149" s="16">
        <f t="shared" si="72"/>
        <v>48</v>
      </c>
      <c r="EI149" s="16"/>
      <c r="EJ149" s="16"/>
      <c r="EK149" s="80"/>
      <c r="EL149" s="81"/>
      <c r="EM149" s="16"/>
      <c r="EN149" s="16"/>
      <c r="EO149" s="16"/>
      <c r="EP149" s="16"/>
      <c r="EQ149" s="16"/>
      <c r="ER149" s="16"/>
      <c r="ES149" s="16"/>
      <c r="ET149" s="16"/>
      <c r="EU149" s="16"/>
      <c r="EV149" s="16"/>
      <c r="EW149" s="16"/>
      <c r="EX149" s="16"/>
      <c r="EY149" s="80"/>
      <c r="EZ149" s="81"/>
      <c r="FA149" s="16"/>
      <c r="FB149" s="16"/>
      <c r="FC149" s="16"/>
      <c r="FD149" s="16"/>
      <c r="FE149" s="16"/>
      <c r="FF149" s="16"/>
      <c r="FG149" s="16"/>
      <c r="FH149" s="16"/>
      <c r="FI149" s="16"/>
      <c r="FJ149" s="16"/>
      <c r="FK149" s="16"/>
      <c r="FM149" s="80"/>
      <c r="FN149" s="81"/>
      <c r="FO149" s="16"/>
      <c r="FP149" s="16"/>
      <c r="FQ149" s="16"/>
      <c r="FR149" s="16"/>
      <c r="FS149" s="16"/>
      <c r="FT149" s="16"/>
      <c r="FU149" s="16"/>
      <c r="FV149" s="16"/>
      <c r="FW149" s="16"/>
      <c r="FX149" s="16"/>
      <c r="FY149" s="16"/>
      <c r="GA149" s="80"/>
      <c r="GB149" s="81"/>
      <c r="GC149" s="16"/>
      <c r="GD149" s="16"/>
      <c r="GE149" s="16"/>
      <c r="GF149" s="16"/>
      <c r="GG149" s="16"/>
      <c r="GH149" s="16"/>
      <c r="GI149" s="16"/>
      <c r="GJ149" s="16"/>
      <c r="GK149" s="16"/>
      <c r="GL149" s="16"/>
      <c r="GM149" s="16"/>
    </row>
    <row r="150" spans="1:195" s="18" customFormat="1" ht="15" customHeight="1">
      <c r="A150" s="78">
        <v>2005</v>
      </c>
      <c r="B150" s="79" t="s">
        <v>36</v>
      </c>
      <c r="C150" s="15">
        <f t="shared" si="73"/>
        <v>0.90468804723069995</v>
      </c>
      <c r="D150" s="15">
        <f t="shared" si="74"/>
        <v>0.94290034937685774</v>
      </c>
      <c r="E150" s="15">
        <f t="shared" si="75"/>
        <v>0.9594736578776204</v>
      </c>
      <c r="F150" s="16"/>
      <c r="G150" s="33"/>
      <c r="H15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19987</v>
      </c>
      <c r="I150" s="16">
        <f t="shared" si="76"/>
        <v>810</v>
      </c>
      <c r="J15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19177</v>
      </c>
      <c r="K15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18082</v>
      </c>
      <c r="L150" s="16">
        <f t="shared" si="77"/>
        <v>1095</v>
      </c>
      <c r="M150" s="16"/>
      <c r="N150" s="16"/>
      <c r="O150" s="90">
        <v>2005</v>
      </c>
      <c r="P150" s="91" t="s">
        <v>36</v>
      </c>
      <c r="Q150" s="42">
        <f t="shared" ref="Q150:Q197" si="78">Y150/V150</f>
        <v>0.92167527875985855</v>
      </c>
      <c r="R150" s="42">
        <f t="shared" ref="R150:R197" si="79">Y150/X150</f>
        <v>0.95330520393811535</v>
      </c>
      <c r="S150" s="42">
        <f t="shared" ref="S150:S197" si="80">X150/V150</f>
        <v>0.96682077780799569</v>
      </c>
      <c r="T150" s="43"/>
      <c r="U150" s="43"/>
      <c r="V150" s="30">
        <v>3677</v>
      </c>
      <c r="W150" s="30">
        <f t="shared" si="31"/>
        <v>122</v>
      </c>
      <c r="X150" s="30">
        <v>3555</v>
      </c>
      <c r="Y150" s="30">
        <v>3389</v>
      </c>
      <c r="Z150" s="30">
        <f t="shared" ref="Z150:Z161" si="81">X150-Y150</f>
        <v>166</v>
      </c>
      <c r="AA150" s="16"/>
      <c r="AB150" s="16"/>
      <c r="AC150" s="78">
        <v>2005</v>
      </c>
      <c r="AD150" s="79" t="s">
        <v>36</v>
      </c>
      <c r="AE150" s="15">
        <f t="shared" ref="AE150:AE171" si="82">AM150/AJ150</f>
        <v>0.91039895356442124</v>
      </c>
      <c r="AF150" s="15">
        <f t="shared" ref="AF150:AF171" si="83">AM150/AL150</f>
        <v>0.93235097119892829</v>
      </c>
      <c r="AG150" s="15">
        <f t="shared" ref="AG150:AG171" si="84">AL150/AJ150</f>
        <v>0.97645519947678217</v>
      </c>
      <c r="AH150" s="15"/>
      <c r="AI150" s="15"/>
      <c r="AJ150" s="16">
        <v>1529</v>
      </c>
      <c r="AK150" s="16">
        <f t="shared" si="36"/>
        <v>36</v>
      </c>
      <c r="AL150" s="16">
        <v>1493</v>
      </c>
      <c r="AM150" s="16">
        <v>1392</v>
      </c>
      <c r="AN150" s="16">
        <f t="shared" ref="AN150:AN171" si="85">AL150-AM150</f>
        <v>101</v>
      </c>
      <c r="AO150" s="16"/>
      <c r="AP150" s="16"/>
      <c r="AQ150" s="78">
        <v>2005</v>
      </c>
      <c r="AR150" s="79" t="s">
        <v>36</v>
      </c>
      <c r="AS150" s="15">
        <f t="shared" ref="AS150:AS197" si="86">BA150/AX150</f>
        <v>0.93286991062562064</v>
      </c>
      <c r="AT150" s="15">
        <f t="shared" ref="AT150:AT197" si="87">BA150/AZ150</f>
        <v>0.97529069767441856</v>
      </c>
      <c r="AU150" s="15">
        <f t="shared" ref="AU150:AU197" si="88">AZ150/AX150</f>
        <v>0.95650446871896722</v>
      </c>
      <c r="AV150" s="16"/>
      <c r="AW150" s="16"/>
      <c r="AX150" s="16">
        <v>5035</v>
      </c>
      <c r="AY150" s="16">
        <f t="shared" ref="AY150:AY161" si="89">AX150-AZ150</f>
        <v>219</v>
      </c>
      <c r="AZ150" s="16">
        <v>4816</v>
      </c>
      <c r="BA150" s="16">
        <v>4697</v>
      </c>
      <c r="BB150" s="16">
        <f t="shared" ref="BB150:BB161" si="90">AZ150-BA150</f>
        <v>119</v>
      </c>
      <c r="BC150" s="16"/>
      <c r="BD150" s="16"/>
      <c r="BE150" s="78">
        <v>2005</v>
      </c>
      <c r="BF150" s="79" t="s">
        <v>36</v>
      </c>
      <c r="BG150" s="15">
        <f t="shared" ref="BG150:BG197" si="91">BO150/BL150</f>
        <v>0.92346938775510201</v>
      </c>
      <c r="BH150" s="15">
        <f t="shared" ref="BH150:BH197" si="92">BO150/BN150</f>
        <v>0.94764397905759157</v>
      </c>
      <c r="BI150" s="15">
        <f t="shared" ref="BI150:BI197" si="93">BN150/BL150</f>
        <v>0.97448979591836737</v>
      </c>
      <c r="BJ150" s="16"/>
      <c r="BK150" s="16"/>
      <c r="BL150" s="16">
        <v>588</v>
      </c>
      <c r="BM150" s="16">
        <f t="shared" ref="BM150:BM161" si="94">BL150-BN150</f>
        <v>15</v>
      </c>
      <c r="BN150" s="16">
        <v>573</v>
      </c>
      <c r="BO150" s="16">
        <v>543</v>
      </c>
      <c r="BP150" s="16">
        <f t="shared" ref="BP150:BP161" si="95">BN150-BO150</f>
        <v>30</v>
      </c>
      <c r="BQ150" s="16"/>
      <c r="BR150" s="16"/>
      <c r="BS150" s="78">
        <v>2005</v>
      </c>
      <c r="BT150" s="79" t="s">
        <v>36</v>
      </c>
      <c r="BU150" s="15">
        <f t="shared" ref="BU150:BU197" si="96">CC150/BZ150</f>
        <v>0.8524408284023669</v>
      </c>
      <c r="BV150" s="15">
        <f t="shared" ref="BV150:BV197" si="97">CC150/CB150</f>
        <v>0.89688715953307396</v>
      </c>
      <c r="BW150" s="15">
        <f t="shared" ref="BW150:BW197" si="98">CB150/BZ150</f>
        <v>0.95044378698224852</v>
      </c>
      <c r="BX150" s="16"/>
      <c r="BY150" s="16"/>
      <c r="BZ150" s="16">
        <v>2704</v>
      </c>
      <c r="CA150" s="16">
        <f t="shared" ref="CA150:CA161" si="99">BZ150-CB150</f>
        <v>134</v>
      </c>
      <c r="CB150" s="16">
        <v>2570</v>
      </c>
      <c r="CC150" s="16">
        <v>2305</v>
      </c>
      <c r="CD150" s="16">
        <f t="shared" ref="CD150:CD161" si="100">CB150-CC150</f>
        <v>265</v>
      </c>
      <c r="CE150" s="16"/>
      <c r="CF150" s="16"/>
      <c r="CG150" s="78">
        <v>2005</v>
      </c>
      <c r="CH150" s="79" t="s">
        <v>36</v>
      </c>
      <c r="CI150" s="15">
        <f t="shared" ref="CI150:CI197" si="101">CQ150/CN150</f>
        <v>0.85506190823015293</v>
      </c>
      <c r="CJ150" s="15">
        <f t="shared" ref="CJ150:CJ197" si="102">CQ150/CP150</f>
        <v>0.90761499806725943</v>
      </c>
      <c r="CK150" s="15">
        <f t="shared" ref="CK150:CK197" si="103">CP150/CN150</f>
        <v>0.94209759650400582</v>
      </c>
      <c r="CL150" s="16"/>
      <c r="CM150" s="16"/>
      <c r="CN150" s="16">
        <v>2746</v>
      </c>
      <c r="CO150" s="16">
        <f t="shared" ref="CO150:CO161" si="104">CN150-CP150</f>
        <v>159</v>
      </c>
      <c r="CP150" s="16">
        <v>2587</v>
      </c>
      <c r="CQ150" s="16">
        <v>2348</v>
      </c>
      <c r="CR150" s="16">
        <f t="shared" ref="CR150:CR161" si="105">CP150-CQ150</f>
        <v>239</v>
      </c>
      <c r="CS150" s="16"/>
      <c r="CT150" s="16"/>
      <c r="CU150" s="78">
        <v>2005</v>
      </c>
      <c r="CV150" s="79" t="s">
        <v>36</v>
      </c>
      <c r="CW150" s="15">
        <f t="shared" si="58"/>
        <v>0.95466666666666666</v>
      </c>
      <c r="CX150" s="15">
        <f t="shared" si="59"/>
        <v>0.97414965986394553</v>
      </c>
      <c r="CY150" s="15">
        <f t="shared" si="60"/>
        <v>0.98</v>
      </c>
      <c r="CZ150" s="16"/>
      <c r="DA150" s="16"/>
      <c r="DB150" s="16">
        <v>1500</v>
      </c>
      <c r="DC150" s="16">
        <f t="shared" si="61"/>
        <v>30</v>
      </c>
      <c r="DD150" s="16">
        <v>1470</v>
      </c>
      <c r="DE150" s="16">
        <v>1432</v>
      </c>
      <c r="DF150" s="16">
        <f t="shared" si="62"/>
        <v>38</v>
      </c>
      <c r="DG150" s="16"/>
      <c r="DH150" s="16"/>
      <c r="DI150" s="78">
        <v>2005</v>
      </c>
      <c r="DJ150" s="79" t="s">
        <v>36</v>
      </c>
      <c r="DK150" s="15">
        <f t="shared" ref="DK150:DK197" si="106">DS150/DP150</f>
        <v>0.88367346938775515</v>
      </c>
      <c r="DL150" s="15">
        <f t="shared" ref="DL150:DL197" si="107">DS150/DR150</f>
        <v>0.9135021097046413</v>
      </c>
      <c r="DM150" s="15">
        <f t="shared" ref="DM150:DM197" si="108">DR150/DP150</f>
        <v>0.96734693877551026</v>
      </c>
      <c r="DN150" s="16"/>
      <c r="DO150" s="16"/>
      <c r="DP150" s="16">
        <v>980</v>
      </c>
      <c r="DQ150" s="16">
        <f t="shared" ref="DQ150:DQ161" si="109">DP150-DR150</f>
        <v>32</v>
      </c>
      <c r="DR150" s="16">
        <v>948</v>
      </c>
      <c r="DS150" s="16">
        <v>866</v>
      </c>
      <c r="DT150" s="16">
        <f t="shared" ref="DT150:DT161" si="110">DR150-DS150</f>
        <v>82</v>
      </c>
      <c r="DU150" s="16"/>
      <c r="DV150" s="16"/>
      <c r="DW150" s="78">
        <v>2005</v>
      </c>
      <c r="DX150" s="79" t="s">
        <v>36</v>
      </c>
      <c r="DY150" s="15">
        <f t="shared" ref="DY150:DY197" si="111">EG150/ED150</f>
        <v>0.90390879478827357</v>
      </c>
      <c r="DZ150" s="15">
        <f t="shared" ref="DZ150:DZ197" si="112">EG150/EF150</f>
        <v>0.9527896995708155</v>
      </c>
      <c r="EA150" s="15">
        <f t="shared" ref="EA150:EA197" si="113">EF150/ED150</f>
        <v>0.94869706840390877</v>
      </c>
      <c r="EB150" s="16"/>
      <c r="EC150" s="16"/>
      <c r="ED150" s="16">
        <v>1228</v>
      </c>
      <c r="EE150" s="16">
        <f t="shared" ref="EE150:EE161" si="114">ED150-EF150</f>
        <v>63</v>
      </c>
      <c r="EF150" s="16">
        <v>1165</v>
      </c>
      <c r="EG150" s="16">
        <v>1110</v>
      </c>
      <c r="EH150" s="16">
        <f t="shared" ref="EH150:EH161" si="115">EF150-EG150</f>
        <v>55</v>
      </c>
      <c r="EI150" s="16"/>
      <c r="EJ150" s="16"/>
      <c r="EK150" s="78"/>
      <c r="EL150" s="79"/>
      <c r="EM150" s="15"/>
      <c r="EN150" s="15"/>
      <c r="EO150" s="15"/>
      <c r="EP150" s="16"/>
      <c r="EQ150" s="16"/>
      <c r="ER150" s="16"/>
      <c r="ES150" s="16"/>
      <c r="ET150" s="16"/>
      <c r="EU150" s="16"/>
      <c r="EV150" s="16"/>
      <c r="EW150" s="16"/>
      <c r="EX150" s="16"/>
      <c r="EY150" s="78"/>
      <c r="EZ150" s="79"/>
      <c r="FA150" s="15"/>
      <c r="FB150" s="15"/>
      <c r="FC150" s="15"/>
      <c r="FD150" s="16"/>
      <c r="FE150" s="16"/>
      <c r="FF150" s="16"/>
      <c r="FG150" s="16"/>
      <c r="FH150" s="16"/>
      <c r="FI150" s="16"/>
      <c r="FJ150" s="16"/>
      <c r="FK150" s="16"/>
      <c r="FM150" s="78"/>
      <c r="FN150" s="79"/>
      <c r="FO150" s="15"/>
      <c r="FP150" s="15"/>
      <c r="FQ150" s="15"/>
      <c r="FR150" s="16"/>
      <c r="FS150" s="16"/>
      <c r="FT150" s="16"/>
      <c r="FU150" s="16"/>
      <c r="FV150" s="16"/>
      <c r="FW150" s="16"/>
      <c r="FX150" s="16"/>
      <c r="FY150" s="16"/>
      <c r="GA150" s="78"/>
      <c r="GB150" s="79"/>
      <c r="GC150" s="15"/>
      <c r="GD150" s="15"/>
      <c r="GE150" s="15"/>
      <c r="GF150" s="16"/>
      <c r="GG150" s="16"/>
      <c r="GH150" s="16"/>
      <c r="GI150" s="16"/>
      <c r="GJ150" s="16"/>
      <c r="GK150" s="16"/>
      <c r="GL150" s="16"/>
      <c r="GM150" s="16"/>
    </row>
    <row r="151" spans="1:195" s="18" customFormat="1" ht="15" customHeight="1">
      <c r="A151" s="80">
        <v>2005</v>
      </c>
      <c r="B151" s="81" t="s">
        <v>37</v>
      </c>
      <c r="C151" s="15">
        <f t="shared" si="73"/>
        <v>0.87641242937853103</v>
      </c>
      <c r="D151" s="15">
        <f t="shared" si="74"/>
        <v>0.92236007089360239</v>
      </c>
      <c r="E151" s="15">
        <f t="shared" si="75"/>
        <v>0.9501847023033464</v>
      </c>
      <c r="F151" s="16"/>
      <c r="G151" s="33"/>
      <c r="H15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18408</v>
      </c>
      <c r="I151" s="16">
        <f t="shared" si="76"/>
        <v>917</v>
      </c>
      <c r="J15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17491</v>
      </c>
      <c r="K15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16133</v>
      </c>
      <c r="L151" s="16">
        <f t="shared" si="77"/>
        <v>1358</v>
      </c>
      <c r="M151" s="16"/>
      <c r="N151" s="16"/>
      <c r="O151" s="92">
        <v>2005</v>
      </c>
      <c r="P151" s="93" t="s">
        <v>37</v>
      </c>
      <c r="Q151" s="42">
        <f t="shared" si="78"/>
        <v>0.86885245901639341</v>
      </c>
      <c r="R151" s="42">
        <f t="shared" si="79"/>
        <v>0.92749999999999999</v>
      </c>
      <c r="S151" s="42">
        <f t="shared" si="80"/>
        <v>0.93676814988290402</v>
      </c>
      <c r="T151" s="43"/>
      <c r="U151" s="43"/>
      <c r="V151" s="30">
        <v>3416</v>
      </c>
      <c r="W151" s="30">
        <f t="shared" si="31"/>
        <v>216</v>
      </c>
      <c r="X151" s="30">
        <v>3200</v>
      </c>
      <c r="Y151" s="30">
        <v>2968</v>
      </c>
      <c r="Z151" s="30">
        <f t="shared" si="81"/>
        <v>232</v>
      </c>
      <c r="AA151" s="16"/>
      <c r="AB151" s="16"/>
      <c r="AC151" s="80">
        <v>2005</v>
      </c>
      <c r="AD151" s="81" t="s">
        <v>37</v>
      </c>
      <c r="AE151" s="15">
        <f t="shared" si="82"/>
        <v>0.86723163841807904</v>
      </c>
      <c r="AF151" s="15">
        <f t="shared" si="83"/>
        <v>0.90694239290989664</v>
      </c>
      <c r="AG151" s="15">
        <f t="shared" si="84"/>
        <v>0.95621468926553677</v>
      </c>
      <c r="AH151" s="15"/>
      <c r="AI151" s="15"/>
      <c r="AJ151" s="16">
        <v>1416</v>
      </c>
      <c r="AK151" s="16">
        <f t="shared" si="36"/>
        <v>62</v>
      </c>
      <c r="AL151" s="16">
        <v>1354</v>
      </c>
      <c r="AM151" s="16">
        <v>1228</v>
      </c>
      <c r="AN151" s="16">
        <f t="shared" si="85"/>
        <v>126</v>
      </c>
      <c r="AO151" s="16"/>
      <c r="AP151" s="16"/>
      <c r="AQ151" s="80">
        <v>2005</v>
      </c>
      <c r="AR151" s="81" t="s">
        <v>37</v>
      </c>
      <c r="AS151" s="15">
        <f t="shared" si="86"/>
        <v>0.88261802575107295</v>
      </c>
      <c r="AT151" s="15">
        <f t="shared" si="87"/>
        <v>0.94226804123711339</v>
      </c>
      <c r="AU151" s="15">
        <f t="shared" si="88"/>
        <v>0.93669527896995708</v>
      </c>
      <c r="AV151" s="16"/>
      <c r="AW151" s="16"/>
      <c r="AX151" s="16">
        <v>4660</v>
      </c>
      <c r="AY151" s="16">
        <f t="shared" si="89"/>
        <v>295</v>
      </c>
      <c r="AZ151" s="16">
        <v>4365</v>
      </c>
      <c r="BA151" s="16">
        <v>4113</v>
      </c>
      <c r="BB151" s="16">
        <f t="shared" si="90"/>
        <v>252</v>
      </c>
      <c r="BC151" s="16"/>
      <c r="BD151" s="16"/>
      <c r="BE151" s="80">
        <v>2005</v>
      </c>
      <c r="BF151" s="81" t="s">
        <v>37</v>
      </c>
      <c r="BG151" s="15">
        <f t="shared" si="91"/>
        <v>0.8928571428571429</v>
      </c>
      <c r="BH151" s="15">
        <f t="shared" si="92"/>
        <v>0.91911764705882348</v>
      </c>
      <c r="BI151" s="15">
        <f t="shared" si="93"/>
        <v>0.97142857142857142</v>
      </c>
      <c r="BJ151" s="16"/>
      <c r="BK151" s="16"/>
      <c r="BL151" s="16">
        <v>560</v>
      </c>
      <c r="BM151" s="16">
        <f t="shared" si="94"/>
        <v>16</v>
      </c>
      <c r="BN151" s="16">
        <v>544</v>
      </c>
      <c r="BO151" s="16">
        <v>500</v>
      </c>
      <c r="BP151" s="16">
        <f t="shared" si="95"/>
        <v>44</v>
      </c>
      <c r="BQ151" s="16"/>
      <c r="BR151" s="16"/>
      <c r="BS151" s="80">
        <v>2005</v>
      </c>
      <c r="BT151" s="81" t="s">
        <v>37</v>
      </c>
      <c r="BU151" s="15">
        <f t="shared" si="96"/>
        <v>0.84975767366720512</v>
      </c>
      <c r="BV151" s="15">
        <f t="shared" si="97"/>
        <v>0.87593671940049955</v>
      </c>
      <c r="BW151" s="15">
        <f t="shared" si="98"/>
        <v>0.97011308562197096</v>
      </c>
      <c r="BX151" s="16"/>
      <c r="BY151" s="16"/>
      <c r="BZ151" s="16">
        <v>2476</v>
      </c>
      <c r="CA151" s="16">
        <f t="shared" si="99"/>
        <v>74</v>
      </c>
      <c r="CB151" s="16">
        <v>2402</v>
      </c>
      <c r="CC151" s="16">
        <v>2104</v>
      </c>
      <c r="CD151" s="16">
        <f t="shared" si="100"/>
        <v>298</v>
      </c>
      <c r="CE151" s="16"/>
      <c r="CF151" s="16"/>
      <c r="CG151" s="80">
        <v>2005</v>
      </c>
      <c r="CH151" s="81" t="s">
        <v>37</v>
      </c>
      <c r="CI151" s="15">
        <f t="shared" si="101"/>
        <v>0.84768740031897927</v>
      </c>
      <c r="CJ151" s="15">
        <f t="shared" si="102"/>
        <v>0.89177852348993292</v>
      </c>
      <c r="CK151" s="15">
        <f t="shared" si="103"/>
        <v>0.95055821371610849</v>
      </c>
      <c r="CL151" s="16"/>
      <c r="CM151" s="16"/>
      <c r="CN151" s="16">
        <v>2508</v>
      </c>
      <c r="CO151" s="16">
        <f t="shared" si="104"/>
        <v>124</v>
      </c>
      <c r="CP151" s="16">
        <v>2384</v>
      </c>
      <c r="CQ151" s="16">
        <v>2126</v>
      </c>
      <c r="CR151" s="16">
        <f t="shared" si="105"/>
        <v>258</v>
      </c>
      <c r="CS151" s="16"/>
      <c r="CT151" s="16"/>
      <c r="CU151" s="80">
        <v>2005</v>
      </c>
      <c r="CV151" s="81" t="s">
        <v>37</v>
      </c>
      <c r="CW151" s="15">
        <f t="shared" si="58"/>
        <v>0.9139941690962099</v>
      </c>
      <c r="CX151" s="15">
        <f t="shared" si="59"/>
        <v>0.9850746268656716</v>
      </c>
      <c r="CY151" s="15">
        <f t="shared" si="60"/>
        <v>0.92784256559766765</v>
      </c>
      <c r="CZ151" s="16"/>
      <c r="DA151" s="16"/>
      <c r="DB151" s="16">
        <v>1372</v>
      </c>
      <c r="DC151" s="16">
        <f t="shared" si="61"/>
        <v>99</v>
      </c>
      <c r="DD151" s="16">
        <v>1273</v>
      </c>
      <c r="DE151" s="16">
        <v>1254</v>
      </c>
      <c r="DF151" s="16">
        <f t="shared" si="62"/>
        <v>19</v>
      </c>
      <c r="DG151" s="16"/>
      <c r="DH151" s="16"/>
      <c r="DI151" s="80">
        <v>2005</v>
      </c>
      <c r="DJ151" s="81" t="s">
        <v>37</v>
      </c>
      <c r="DK151" s="15">
        <f t="shared" si="106"/>
        <v>0.91328828828828834</v>
      </c>
      <c r="DL151" s="15">
        <f t="shared" si="107"/>
        <v>0.91328828828828834</v>
      </c>
      <c r="DM151" s="15">
        <f t="shared" si="108"/>
        <v>1</v>
      </c>
      <c r="DN151" s="16"/>
      <c r="DO151" s="16"/>
      <c r="DP151" s="16">
        <v>888</v>
      </c>
      <c r="DQ151" s="16">
        <f t="shared" si="109"/>
        <v>0</v>
      </c>
      <c r="DR151" s="16">
        <v>888</v>
      </c>
      <c r="DS151" s="16">
        <v>811</v>
      </c>
      <c r="DT151" s="16">
        <f t="shared" si="110"/>
        <v>77</v>
      </c>
      <c r="DU151" s="16"/>
      <c r="DV151" s="16"/>
      <c r="DW151" s="80">
        <v>2005</v>
      </c>
      <c r="DX151" s="81" t="s">
        <v>37</v>
      </c>
      <c r="DY151" s="15">
        <f t="shared" si="111"/>
        <v>0.92535971223021585</v>
      </c>
      <c r="DZ151" s="15">
        <f t="shared" si="112"/>
        <v>0.95189639222941724</v>
      </c>
      <c r="EA151" s="15">
        <f t="shared" si="113"/>
        <v>0.97212230215827333</v>
      </c>
      <c r="EB151" s="16"/>
      <c r="EC151" s="16"/>
      <c r="ED151" s="16">
        <v>1112</v>
      </c>
      <c r="EE151" s="16">
        <f t="shared" si="114"/>
        <v>31</v>
      </c>
      <c r="EF151" s="16">
        <v>1081</v>
      </c>
      <c r="EG151" s="16">
        <v>1029</v>
      </c>
      <c r="EH151" s="16">
        <f t="shared" si="115"/>
        <v>52</v>
      </c>
      <c r="EI151" s="16"/>
      <c r="EJ151" s="16"/>
      <c r="EK151" s="80"/>
      <c r="EL151" s="81"/>
      <c r="EM151" s="15"/>
      <c r="EN151" s="15"/>
      <c r="EO151" s="15"/>
      <c r="EP151" s="16"/>
      <c r="EQ151" s="16"/>
      <c r="ER151" s="16"/>
      <c r="ES151" s="16"/>
      <c r="ET151" s="16"/>
      <c r="EU151" s="16"/>
      <c r="EV151" s="16"/>
      <c r="EW151" s="16"/>
      <c r="EX151" s="16"/>
      <c r="EY151" s="80"/>
      <c r="EZ151" s="81"/>
      <c r="FA151" s="15"/>
      <c r="FB151" s="15"/>
      <c r="FC151" s="15"/>
      <c r="FD151" s="16"/>
      <c r="FE151" s="16"/>
      <c r="FF151" s="16"/>
      <c r="FG151" s="16"/>
      <c r="FH151" s="16"/>
      <c r="FI151" s="16"/>
      <c r="FJ151" s="16"/>
      <c r="FK151" s="16"/>
      <c r="FM151" s="80"/>
      <c r="FN151" s="81"/>
      <c r="FO151" s="15"/>
      <c r="FP151" s="15"/>
      <c r="FQ151" s="15"/>
      <c r="FR151" s="16"/>
      <c r="FS151" s="16"/>
      <c r="FT151" s="16"/>
      <c r="FU151" s="16"/>
      <c r="FV151" s="16"/>
      <c r="FW151" s="16"/>
      <c r="FX151" s="16"/>
      <c r="FY151" s="16"/>
      <c r="GA151" s="80"/>
      <c r="GB151" s="81"/>
      <c r="GC151" s="15"/>
      <c r="GD151" s="15"/>
      <c r="GE151" s="15"/>
      <c r="GF151" s="16"/>
      <c r="GG151" s="16"/>
      <c r="GH151" s="16"/>
      <c r="GI151" s="16"/>
      <c r="GJ151" s="16"/>
      <c r="GK151" s="16"/>
      <c r="GL151" s="16"/>
      <c r="GM151" s="16"/>
    </row>
    <row r="152" spans="1:195" s="18" customFormat="1" ht="15" customHeight="1">
      <c r="A152" s="78">
        <v>2005</v>
      </c>
      <c r="B152" s="79" t="s">
        <v>38</v>
      </c>
      <c r="C152" s="15">
        <f t="shared" si="73"/>
        <v>0.83769659320613321</v>
      </c>
      <c r="D152" s="15">
        <f t="shared" si="74"/>
        <v>0.88264935064935068</v>
      </c>
      <c r="E152" s="15">
        <f t="shared" si="75"/>
        <v>0.94907065029827931</v>
      </c>
      <c r="F152" s="16"/>
      <c r="G152" s="33"/>
      <c r="H15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20283</v>
      </c>
      <c r="I152" s="16">
        <f t="shared" si="76"/>
        <v>1033</v>
      </c>
      <c r="J15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19250</v>
      </c>
      <c r="K15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16991</v>
      </c>
      <c r="L152" s="16">
        <f t="shared" si="77"/>
        <v>2259</v>
      </c>
      <c r="M152" s="16"/>
      <c r="N152" s="16"/>
      <c r="O152" s="90">
        <v>2005</v>
      </c>
      <c r="P152" s="91" t="s">
        <v>38</v>
      </c>
      <c r="Q152" s="42">
        <f t="shared" si="78"/>
        <v>0.83217900905700581</v>
      </c>
      <c r="R152" s="42">
        <f t="shared" si="79"/>
        <v>0.86946841079877535</v>
      </c>
      <c r="S152" s="42">
        <f t="shared" si="80"/>
        <v>0.95711241342567932</v>
      </c>
      <c r="T152" s="43"/>
      <c r="U152" s="43"/>
      <c r="V152" s="30">
        <v>3754</v>
      </c>
      <c r="W152" s="30">
        <f t="shared" si="31"/>
        <v>161</v>
      </c>
      <c r="X152" s="30">
        <v>3593</v>
      </c>
      <c r="Y152" s="30">
        <v>3124</v>
      </c>
      <c r="Z152" s="30">
        <f t="shared" si="81"/>
        <v>469</v>
      </c>
      <c r="AA152" s="16"/>
      <c r="AB152" s="16"/>
      <c r="AC152" s="78">
        <v>2005</v>
      </c>
      <c r="AD152" s="79" t="s">
        <v>38</v>
      </c>
      <c r="AE152" s="15">
        <f t="shared" si="82"/>
        <v>0.8535645472061657</v>
      </c>
      <c r="AF152" s="15">
        <f t="shared" si="83"/>
        <v>0.86919555264879</v>
      </c>
      <c r="AG152" s="15">
        <f t="shared" si="84"/>
        <v>0.98201669877970454</v>
      </c>
      <c r="AH152" s="15"/>
      <c r="AI152" s="15"/>
      <c r="AJ152" s="16">
        <v>1557</v>
      </c>
      <c r="AK152" s="16">
        <f t="shared" si="36"/>
        <v>28</v>
      </c>
      <c r="AL152" s="16">
        <v>1529</v>
      </c>
      <c r="AM152" s="16">
        <v>1329</v>
      </c>
      <c r="AN152" s="16">
        <f t="shared" si="85"/>
        <v>200</v>
      </c>
      <c r="AO152" s="16"/>
      <c r="AP152" s="16"/>
      <c r="AQ152" s="78">
        <v>2005</v>
      </c>
      <c r="AR152" s="79" t="s">
        <v>38</v>
      </c>
      <c r="AS152" s="15">
        <f t="shared" si="86"/>
        <v>0.85558157689305225</v>
      </c>
      <c r="AT152" s="15">
        <f t="shared" si="87"/>
        <v>0.90878938640132667</v>
      </c>
      <c r="AU152" s="15">
        <f t="shared" si="88"/>
        <v>0.94145199063231855</v>
      </c>
      <c r="AV152" s="16"/>
      <c r="AW152" s="16"/>
      <c r="AX152" s="16">
        <v>5124</v>
      </c>
      <c r="AY152" s="16">
        <f t="shared" si="89"/>
        <v>300</v>
      </c>
      <c r="AZ152" s="16">
        <v>4824</v>
      </c>
      <c r="BA152" s="16">
        <v>4384</v>
      </c>
      <c r="BB152" s="16">
        <f t="shared" si="90"/>
        <v>440</v>
      </c>
      <c r="BC152" s="16"/>
      <c r="BD152" s="16"/>
      <c r="BE152" s="78">
        <v>2005</v>
      </c>
      <c r="BF152" s="79" t="s">
        <v>38</v>
      </c>
      <c r="BG152" s="15">
        <f t="shared" si="91"/>
        <v>0.73538961038961037</v>
      </c>
      <c r="BH152" s="15">
        <f t="shared" si="92"/>
        <v>0.79195804195804198</v>
      </c>
      <c r="BI152" s="15">
        <f t="shared" si="93"/>
        <v>0.9285714285714286</v>
      </c>
      <c r="BJ152" s="16"/>
      <c r="BK152" s="16"/>
      <c r="BL152" s="16">
        <v>616</v>
      </c>
      <c r="BM152" s="16">
        <f t="shared" si="94"/>
        <v>44</v>
      </c>
      <c r="BN152" s="16">
        <v>572</v>
      </c>
      <c r="BO152" s="16">
        <v>453</v>
      </c>
      <c r="BP152" s="16">
        <f t="shared" si="95"/>
        <v>119</v>
      </c>
      <c r="BQ152" s="16"/>
      <c r="BR152" s="16"/>
      <c r="BS152" s="78">
        <v>2005</v>
      </c>
      <c r="BT152" s="79" t="s">
        <v>38</v>
      </c>
      <c r="BU152" s="15">
        <f t="shared" si="96"/>
        <v>0.77871250914411116</v>
      </c>
      <c r="BV152" s="15">
        <f t="shared" si="97"/>
        <v>0.82137345679012341</v>
      </c>
      <c r="BW152" s="15">
        <f t="shared" si="98"/>
        <v>0.94806144842721285</v>
      </c>
      <c r="BX152" s="16"/>
      <c r="BY152" s="16"/>
      <c r="BZ152" s="16">
        <v>2734</v>
      </c>
      <c r="CA152" s="16">
        <f t="shared" si="99"/>
        <v>142</v>
      </c>
      <c r="CB152" s="16">
        <v>2592</v>
      </c>
      <c r="CC152" s="16">
        <v>2129</v>
      </c>
      <c r="CD152" s="16">
        <f t="shared" si="100"/>
        <v>463</v>
      </c>
      <c r="CE152" s="16"/>
      <c r="CF152" s="16"/>
      <c r="CG152" s="78">
        <v>2005</v>
      </c>
      <c r="CH152" s="79" t="s">
        <v>38</v>
      </c>
      <c r="CI152" s="15">
        <f t="shared" si="101"/>
        <v>0.78599783471670881</v>
      </c>
      <c r="CJ152" s="15">
        <f t="shared" si="102"/>
        <v>0.85044904334244431</v>
      </c>
      <c r="CK152" s="15">
        <f t="shared" si="103"/>
        <v>0.92421508480692893</v>
      </c>
      <c r="CL152" s="16"/>
      <c r="CM152" s="16"/>
      <c r="CN152" s="16">
        <v>2771</v>
      </c>
      <c r="CO152" s="16">
        <f t="shared" si="104"/>
        <v>210</v>
      </c>
      <c r="CP152" s="16">
        <v>2561</v>
      </c>
      <c r="CQ152" s="16">
        <v>2178</v>
      </c>
      <c r="CR152" s="16">
        <f t="shared" si="105"/>
        <v>383</v>
      </c>
      <c r="CS152" s="16"/>
      <c r="CT152" s="16"/>
      <c r="CU152" s="78">
        <v>2005</v>
      </c>
      <c r="CV152" s="79" t="s">
        <v>38</v>
      </c>
      <c r="CW152" s="15">
        <f t="shared" si="58"/>
        <v>0.92409240924092406</v>
      </c>
      <c r="CX152" s="15">
        <f t="shared" si="59"/>
        <v>0.96286107290233836</v>
      </c>
      <c r="CY152" s="15">
        <f t="shared" si="60"/>
        <v>0.95973597359735974</v>
      </c>
      <c r="CZ152" s="16"/>
      <c r="DA152" s="16"/>
      <c r="DB152" s="16">
        <v>1515</v>
      </c>
      <c r="DC152" s="16">
        <f t="shared" si="61"/>
        <v>61</v>
      </c>
      <c r="DD152" s="16">
        <v>1454</v>
      </c>
      <c r="DE152" s="16">
        <v>1400</v>
      </c>
      <c r="DF152" s="16">
        <f t="shared" si="62"/>
        <v>54</v>
      </c>
      <c r="DG152" s="16"/>
      <c r="DH152" s="16"/>
      <c r="DI152" s="78">
        <v>2005</v>
      </c>
      <c r="DJ152" s="79" t="s">
        <v>38</v>
      </c>
      <c r="DK152" s="15">
        <f t="shared" si="106"/>
        <v>0.86150712830957232</v>
      </c>
      <c r="DL152" s="15">
        <f t="shared" si="107"/>
        <v>0.91065662002152847</v>
      </c>
      <c r="DM152" s="15">
        <f t="shared" si="108"/>
        <v>0.94602851323828918</v>
      </c>
      <c r="DN152" s="16"/>
      <c r="DO152" s="16"/>
      <c r="DP152" s="16">
        <v>982</v>
      </c>
      <c r="DQ152" s="16">
        <f t="shared" si="109"/>
        <v>53</v>
      </c>
      <c r="DR152" s="16">
        <v>929</v>
      </c>
      <c r="DS152" s="16">
        <v>846</v>
      </c>
      <c r="DT152" s="16">
        <f t="shared" si="110"/>
        <v>83</v>
      </c>
      <c r="DU152" s="16"/>
      <c r="DV152" s="16"/>
      <c r="DW152" s="78">
        <v>2005</v>
      </c>
      <c r="DX152" s="79" t="s">
        <v>38</v>
      </c>
      <c r="DY152" s="15">
        <f t="shared" si="111"/>
        <v>0.93333333333333335</v>
      </c>
      <c r="DZ152" s="15">
        <f t="shared" si="112"/>
        <v>0.95986622073578598</v>
      </c>
      <c r="EA152" s="15">
        <f t="shared" si="113"/>
        <v>0.97235772357723582</v>
      </c>
      <c r="EB152" s="16"/>
      <c r="EC152" s="16"/>
      <c r="ED152" s="16">
        <v>1230</v>
      </c>
      <c r="EE152" s="16">
        <f t="shared" si="114"/>
        <v>34</v>
      </c>
      <c r="EF152" s="16">
        <v>1196</v>
      </c>
      <c r="EG152" s="16">
        <v>1148</v>
      </c>
      <c r="EH152" s="16">
        <f t="shared" si="115"/>
        <v>48</v>
      </c>
      <c r="EI152" s="16"/>
      <c r="EJ152" s="16"/>
      <c r="EK152" s="78"/>
      <c r="EL152" s="79"/>
      <c r="EM152" s="15"/>
      <c r="EN152" s="15"/>
      <c r="EO152" s="15"/>
      <c r="EP152" s="16"/>
      <c r="EQ152" s="16"/>
      <c r="ER152" s="16"/>
      <c r="ES152" s="16"/>
      <c r="ET152" s="16"/>
      <c r="EU152" s="16"/>
      <c r="EV152" s="16"/>
      <c r="EW152" s="16"/>
      <c r="EX152" s="16"/>
      <c r="EY152" s="78"/>
      <c r="EZ152" s="79"/>
      <c r="FA152" s="15"/>
      <c r="FB152" s="15"/>
      <c r="FC152" s="15"/>
      <c r="FD152" s="16"/>
      <c r="FE152" s="16"/>
      <c r="FF152" s="16"/>
      <c r="FG152" s="16"/>
      <c r="FH152" s="16"/>
      <c r="FI152" s="16"/>
      <c r="FJ152" s="16"/>
      <c r="FK152" s="16"/>
      <c r="FM152" s="78"/>
      <c r="FN152" s="79"/>
      <c r="FO152" s="15"/>
      <c r="FP152" s="15"/>
      <c r="FQ152" s="15"/>
      <c r="FR152" s="16"/>
      <c r="FS152" s="16"/>
      <c r="FT152" s="16"/>
      <c r="FU152" s="16"/>
      <c r="FV152" s="16"/>
      <c r="FW152" s="16"/>
      <c r="FX152" s="16"/>
      <c r="FY152" s="16"/>
      <c r="GA152" s="78"/>
      <c r="GB152" s="79"/>
      <c r="GC152" s="15"/>
      <c r="GD152" s="15"/>
      <c r="GE152" s="15"/>
      <c r="GF152" s="16"/>
      <c r="GG152" s="16"/>
      <c r="GH152" s="16"/>
      <c r="GI152" s="16"/>
      <c r="GJ152" s="16"/>
      <c r="GK152" s="16"/>
      <c r="GL152" s="16"/>
      <c r="GM152" s="16"/>
    </row>
    <row r="153" spans="1:195" s="18" customFormat="1" ht="15" customHeight="1">
      <c r="A153" s="80">
        <v>2005</v>
      </c>
      <c r="B153" s="81" t="s">
        <v>39</v>
      </c>
      <c r="C153" s="15">
        <f t="shared" si="73"/>
        <v>0.78973467614130155</v>
      </c>
      <c r="D153" s="15">
        <f t="shared" si="74"/>
        <v>0.84632663123870044</v>
      </c>
      <c r="E153" s="15">
        <f t="shared" si="75"/>
        <v>0.93313225295230307</v>
      </c>
      <c r="F153" s="16"/>
      <c r="G153" s="33"/>
      <c r="H15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19561</v>
      </c>
      <c r="I153" s="16">
        <f t="shared" si="76"/>
        <v>1308</v>
      </c>
      <c r="J15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18253</v>
      </c>
      <c r="K15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15448</v>
      </c>
      <c r="L153" s="16">
        <f t="shared" si="77"/>
        <v>2805</v>
      </c>
      <c r="M153" s="16"/>
      <c r="N153" s="16"/>
      <c r="O153" s="92">
        <v>2005</v>
      </c>
      <c r="P153" s="93" t="s">
        <v>39</v>
      </c>
      <c r="Q153" s="42">
        <f t="shared" si="78"/>
        <v>0.86109573879358048</v>
      </c>
      <c r="R153" s="42">
        <f t="shared" si="79"/>
        <v>0.88560045532157083</v>
      </c>
      <c r="S153" s="42">
        <f t="shared" si="80"/>
        <v>0.97232982844493632</v>
      </c>
      <c r="T153" s="43"/>
      <c r="U153" s="43"/>
      <c r="V153" s="30">
        <v>3614</v>
      </c>
      <c r="W153" s="30">
        <f t="shared" si="31"/>
        <v>100</v>
      </c>
      <c r="X153" s="30">
        <v>3514</v>
      </c>
      <c r="Y153" s="30">
        <v>3112</v>
      </c>
      <c r="Z153" s="30">
        <f t="shared" si="81"/>
        <v>402</v>
      </c>
      <c r="AA153" s="16"/>
      <c r="AB153" s="16"/>
      <c r="AC153" s="80">
        <v>2005</v>
      </c>
      <c r="AD153" s="81" t="s">
        <v>39</v>
      </c>
      <c r="AE153" s="15">
        <f t="shared" si="82"/>
        <v>0.83843085106382975</v>
      </c>
      <c r="AF153" s="15">
        <f t="shared" si="83"/>
        <v>0.8537576167907921</v>
      </c>
      <c r="AG153" s="15">
        <f t="shared" si="84"/>
        <v>0.98204787234042556</v>
      </c>
      <c r="AH153" s="15"/>
      <c r="AI153" s="15"/>
      <c r="AJ153" s="16">
        <v>1504</v>
      </c>
      <c r="AK153" s="16">
        <f t="shared" si="36"/>
        <v>27</v>
      </c>
      <c r="AL153" s="16">
        <v>1477</v>
      </c>
      <c r="AM153" s="16">
        <v>1261</v>
      </c>
      <c r="AN153" s="16">
        <f t="shared" si="85"/>
        <v>216</v>
      </c>
      <c r="AO153" s="16"/>
      <c r="AP153" s="16"/>
      <c r="AQ153" s="80">
        <v>2005</v>
      </c>
      <c r="AR153" s="81" t="s">
        <v>39</v>
      </c>
      <c r="AS153" s="15">
        <f t="shared" si="86"/>
        <v>0.85060728744939273</v>
      </c>
      <c r="AT153" s="15">
        <f t="shared" si="87"/>
        <v>0.89747970952584366</v>
      </c>
      <c r="AU153" s="15">
        <f t="shared" si="88"/>
        <v>0.94777327935222677</v>
      </c>
      <c r="AV153" s="16"/>
      <c r="AW153" s="16"/>
      <c r="AX153" s="16">
        <v>4940</v>
      </c>
      <c r="AY153" s="16">
        <f t="shared" si="89"/>
        <v>258</v>
      </c>
      <c r="AZ153" s="16">
        <v>4682</v>
      </c>
      <c r="BA153" s="16">
        <v>4202</v>
      </c>
      <c r="BB153" s="16">
        <f t="shared" si="90"/>
        <v>480</v>
      </c>
      <c r="BC153" s="16"/>
      <c r="BD153" s="16"/>
      <c r="BE153" s="80">
        <v>2005</v>
      </c>
      <c r="BF153" s="81" t="s">
        <v>39</v>
      </c>
      <c r="BG153" s="15">
        <f t="shared" si="91"/>
        <v>0.72959183673469385</v>
      </c>
      <c r="BH153" s="15">
        <f t="shared" si="92"/>
        <v>0.8125</v>
      </c>
      <c r="BI153" s="15">
        <f t="shared" si="93"/>
        <v>0.89795918367346939</v>
      </c>
      <c r="BJ153" s="16"/>
      <c r="BK153" s="16"/>
      <c r="BL153" s="16">
        <v>588</v>
      </c>
      <c r="BM153" s="16">
        <f t="shared" si="94"/>
        <v>60</v>
      </c>
      <c r="BN153" s="16">
        <v>528</v>
      </c>
      <c r="BO153" s="16">
        <v>429</v>
      </c>
      <c r="BP153" s="16">
        <f t="shared" si="95"/>
        <v>99</v>
      </c>
      <c r="BQ153" s="16"/>
      <c r="BR153" s="16"/>
      <c r="BS153" s="80">
        <v>2005</v>
      </c>
      <c r="BT153" s="81" t="s">
        <v>39</v>
      </c>
      <c r="BU153" s="15">
        <f t="shared" si="96"/>
        <v>0.46929492039423804</v>
      </c>
      <c r="BV153" s="15">
        <f t="shared" si="97"/>
        <v>0.59519230769230769</v>
      </c>
      <c r="BW153" s="15">
        <f t="shared" si="98"/>
        <v>0.78847611827141773</v>
      </c>
      <c r="BX153" s="16"/>
      <c r="BY153" s="16"/>
      <c r="BZ153" s="16">
        <v>2638</v>
      </c>
      <c r="CA153" s="16">
        <f t="shared" si="99"/>
        <v>558</v>
      </c>
      <c r="CB153" s="16">
        <v>2080</v>
      </c>
      <c r="CC153" s="16">
        <v>1238</v>
      </c>
      <c r="CD153" s="16">
        <f t="shared" si="100"/>
        <v>842</v>
      </c>
      <c r="CE153" s="16"/>
      <c r="CF153" s="16"/>
      <c r="CG153" s="80">
        <v>2005</v>
      </c>
      <c r="CH153" s="81" t="s">
        <v>39</v>
      </c>
      <c r="CI153" s="15">
        <f t="shared" si="101"/>
        <v>0.72934579439252334</v>
      </c>
      <c r="CJ153" s="15">
        <f t="shared" si="102"/>
        <v>0.77451369591107577</v>
      </c>
      <c r="CK153" s="15">
        <f t="shared" si="103"/>
        <v>0.94168224299065417</v>
      </c>
      <c r="CL153" s="16"/>
      <c r="CM153" s="16"/>
      <c r="CN153" s="16">
        <v>2675</v>
      </c>
      <c r="CO153" s="16">
        <f t="shared" si="104"/>
        <v>156</v>
      </c>
      <c r="CP153" s="16">
        <v>2519</v>
      </c>
      <c r="CQ153" s="16">
        <v>1951</v>
      </c>
      <c r="CR153" s="16">
        <f t="shared" si="105"/>
        <v>568</v>
      </c>
      <c r="CS153" s="16"/>
      <c r="CT153" s="16"/>
      <c r="CU153" s="80">
        <v>2005</v>
      </c>
      <c r="CV153" s="81" t="s">
        <v>39</v>
      </c>
      <c r="CW153" s="15">
        <f t="shared" si="58"/>
        <v>0.9028727770177839</v>
      </c>
      <c r="CX153" s="15">
        <f t="shared" si="59"/>
        <v>0.96139839766933721</v>
      </c>
      <c r="CY153" s="15">
        <f t="shared" si="60"/>
        <v>0.939124487004104</v>
      </c>
      <c r="CZ153" s="16"/>
      <c r="DA153" s="16"/>
      <c r="DB153" s="16">
        <v>1462</v>
      </c>
      <c r="DC153" s="16">
        <f t="shared" si="61"/>
        <v>89</v>
      </c>
      <c r="DD153" s="16">
        <v>1373</v>
      </c>
      <c r="DE153" s="16">
        <v>1320</v>
      </c>
      <c r="DF153" s="16">
        <f t="shared" si="62"/>
        <v>53</v>
      </c>
      <c r="DG153" s="16"/>
      <c r="DH153" s="16"/>
      <c r="DI153" s="80">
        <v>2005</v>
      </c>
      <c r="DJ153" s="81" t="s">
        <v>39</v>
      </c>
      <c r="DK153" s="15">
        <f t="shared" si="106"/>
        <v>0.89684210526315788</v>
      </c>
      <c r="DL153" s="15">
        <f t="shared" si="107"/>
        <v>0.91612903225806452</v>
      </c>
      <c r="DM153" s="15">
        <f t="shared" si="108"/>
        <v>0.97894736842105268</v>
      </c>
      <c r="DN153" s="16"/>
      <c r="DO153" s="16"/>
      <c r="DP153" s="16">
        <v>950</v>
      </c>
      <c r="DQ153" s="16">
        <f t="shared" si="109"/>
        <v>20</v>
      </c>
      <c r="DR153" s="16">
        <v>930</v>
      </c>
      <c r="DS153" s="16">
        <v>852</v>
      </c>
      <c r="DT153" s="16">
        <f t="shared" si="110"/>
        <v>78</v>
      </c>
      <c r="DU153" s="16"/>
      <c r="DV153" s="16"/>
      <c r="DW153" s="80">
        <v>2005</v>
      </c>
      <c r="DX153" s="81" t="s">
        <v>39</v>
      </c>
      <c r="DY153" s="15">
        <f t="shared" si="111"/>
        <v>0.91008403361344536</v>
      </c>
      <c r="DZ153" s="15">
        <f t="shared" si="112"/>
        <v>0.94173913043478263</v>
      </c>
      <c r="EA153" s="15">
        <f t="shared" si="113"/>
        <v>0.96638655462184875</v>
      </c>
      <c r="EB153" s="16"/>
      <c r="EC153" s="16"/>
      <c r="ED153" s="16">
        <v>1190</v>
      </c>
      <c r="EE153" s="16">
        <f t="shared" si="114"/>
        <v>40</v>
      </c>
      <c r="EF153" s="16">
        <v>1150</v>
      </c>
      <c r="EG153" s="16">
        <v>1083</v>
      </c>
      <c r="EH153" s="16">
        <f t="shared" si="115"/>
        <v>67</v>
      </c>
      <c r="EI153" s="16"/>
      <c r="EJ153" s="16"/>
      <c r="EK153" s="80"/>
      <c r="EL153" s="81"/>
      <c r="EM153" s="15"/>
      <c r="EN153" s="15"/>
      <c r="EO153" s="15"/>
      <c r="EP153" s="16"/>
      <c r="EQ153" s="16"/>
      <c r="ER153" s="16"/>
      <c r="ES153" s="16"/>
      <c r="ET153" s="16"/>
      <c r="EU153" s="16"/>
      <c r="EV153" s="16"/>
      <c r="EW153" s="16"/>
      <c r="EX153" s="16"/>
      <c r="EY153" s="80"/>
      <c r="EZ153" s="81"/>
      <c r="FA153" s="15"/>
      <c r="FB153" s="15"/>
      <c r="FC153" s="15"/>
      <c r="FD153" s="16"/>
      <c r="FE153" s="16"/>
      <c r="FF153" s="16"/>
      <c r="FG153" s="16"/>
      <c r="FH153" s="16"/>
      <c r="FI153" s="16"/>
      <c r="FJ153" s="16"/>
      <c r="FK153" s="16"/>
      <c r="FM153" s="80"/>
      <c r="FN153" s="81"/>
      <c r="FO153" s="15"/>
      <c r="FP153" s="15"/>
      <c r="FQ153" s="15"/>
      <c r="FR153" s="16"/>
      <c r="FS153" s="16"/>
      <c r="FT153" s="16"/>
      <c r="FU153" s="16"/>
      <c r="FV153" s="16"/>
      <c r="FW153" s="16"/>
      <c r="FX153" s="16"/>
      <c r="FY153" s="16"/>
      <c r="GA153" s="80"/>
      <c r="GB153" s="81"/>
      <c r="GC153" s="15"/>
      <c r="GD153" s="15"/>
      <c r="GE153" s="15"/>
      <c r="GF153" s="16"/>
      <c r="GG153" s="16"/>
      <c r="GH153" s="16"/>
      <c r="GI153" s="16"/>
      <c r="GJ153" s="16"/>
      <c r="GK153" s="16"/>
      <c r="GL153" s="16"/>
      <c r="GM153" s="16"/>
    </row>
    <row r="154" spans="1:195" s="18" customFormat="1" ht="15" customHeight="1">
      <c r="A154" s="78">
        <v>2005</v>
      </c>
      <c r="B154" s="79" t="s">
        <v>40</v>
      </c>
      <c r="C154" s="15">
        <f t="shared" si="73"/>
        <v>0.79006602641056423</v>
      </c>
      <c r="D154" s="15">
        <f t="shared" si="74"/>
        <v>0.83624523506988568</v>
      </c>
      <c r="E154" s="15">
        <f t="shared" si="75"/>
        <v>0.94477791116446574</v>
      </c>
      <c r="F154" s="16"/>
      <c r="G154" s="33"/>
      <c r="H15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19992</v>
      </c>
      <c r="I154" s="16">
        <f t="shared" si="76"/>
        <v>1104</v>
      </c>
      <c r="J15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18888</v>
      </c>
      <c r="K15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15795</v>
      </c>
      <c r="L154" s="16">
        <f t="shared" si="77"/>
        <v>3093</v>
      </c>
      <c r="M154" s="16"/>
      <c r="N154" s="16"/>
      <c r="O154" s="90">
        <v>2005</v>
      </c>
      <c r="P154" s="91" t="s">
        <v>40</v>
      </c>
      <c r="Q154" s="42">
        <f t="shared" si="78"/>
        <v>0.82516339869281041</v>
      </c>
      <c r="R154" s="42">
        <f t="shared" si="79"/>
        <v>0.84945332211942814</v>
      </c>
      <c r="S154" s="42">
        <f t="shared" si="80"/>
        <v>0.97140522875816993</v>
      </c>
      <c r="T154" s="43"/>
      <c r="U154" s="43"/>
      <c r="V154" s="30">
        <v>3672</v>
      </c>
      <c r="W154" s="30">
        <f t="shared" si="31"/>
        <v>105</v>
      </c>
      <c r="X154" s="30">
        <v>3567</v>
      </c>
      <c r="Y154" s="30">
        <v>3030</v>
      </c>
      <c r="Z154" s="30">
        <f t="shared" si="81"/>
        <v>537</v>
      </c>
      <c r="AA154" s="16"/>
      <c r="AB154" s="16"/>
      <c r="AC154" s="78">
        <v>2005</v>
      </c>
      <c r="AD154" s="79" t="s">
        <v>40</v>
      </c>
      <c r="AE154" s="15">
        <f t="shared" si="82"/>
        <v>0.87979207277452887</v>
      </c>
      <c r="AF154" s="15">
        <f t="shared" si="83"/>
        <v>0.89255108767303892</v>
      </c>
      <c r="AG154" s="15">
        <f t="shared" si="84"/>
        <v>0.9857050032488629</v>
      </c>
      <c r="AH154" s="15"/>
      <c r="AI154" s="15"/>
      <c r="AJ154" s="16">
        <v>1539</v>
      </c>
      <c r="AK154" s="16">
        <f t="shared" si="36"/>
        <v>22</v>
      </c>
      <c r="AL154" s="16">
        <v>1517</v>
      </c>
      <c r="AM154" s="16">
        <v>1354</v>
      </c>
      <c r="AN154" s="16">
        <f t="shared" si="85"/>
        <v>163</v>
      </c>
      <c r="AO154" s="16"/>
      <c r="AP154" s="16"/>
      <c r="AQ154" s="78">
        <v>2005</v>
      </c>
      <c r="AR154" s="79" t="s">
        <v>40</v>
      </c>
      <c r="AS154" s="15">
        <f t="shared" si="86"/>
        <v>0.84925521350546174</v>
      </c>
      <c r="AT154" s="15">
        <f t="shared" si="87"/>
        <v>0.88566694283347147</v>
      </c>
      <c r="AU154" s="15">
        <f t="shared" si="88"/>
        <v>0.95888778550148956</v>
      </c>
      <c r="AV154" s="16"/>
      <c r="AW154" s="16"/>
      <c r="AX154" s="16">
        <v>5035</v>
      </c>
      <c r="AY154" s="16">
        <f t="shared" si="89"/>
        <v>207</v>
      </c>
      <c r="AZ154" s="16">
        <v>4828</v>
      </c>
      <c r="BA154" s="16">
        <v>4276</v>
      </c>
      <c r="BB154" s="16">
        <f t="shared" si="90"/>
        <v>552</v>
      </c>
      <c r="BC154" s="16"/>
      <c r="BD154" s="16"/>
      <c r="BE154" s="78">
        <v>2005</v>
      </c>
      <c r="BF154" s="79" t="s">
        <v>40</v>
      </c>
      <c r="BG154" s="15">
        <f t="shared" si="91"/>
        <v>0.64965986394557829</v>
      </c>
      <c r="BH154" s="15">
        <f t="shared" si="92"/>
        <v>0.73040152963671123</v>
      </c>
      <c r="BI154" s="15">
        <f t="shared" si="93"/>
        <v>0.88945578231292521</v>
      </c>
      <c r="BJ154" s="16"/>
      <c r="BK154" s="16"/>
      <c r="BL154" s="16">
        <v>588</v>
      </c>
      <c r="BM154" s="16">
        <f t="shared" si="94"/>
        <v>65</v>
      </c>
      <c r="BN154" s="16">
        <v>523</v>
      </c>
      <c r="BO154" s="16">
        <v>382</v>
      </c>
      <c r="BP154" s="16">
        <f t="shared" si="95"/>
        <v>141</v>
      </c>
      <c r="BQ154" s="16"/>
      <c r="BR154" s="16"/>
      <c r="BS154" s="78">
        <v>2005</v>
      </c>
      <c r="BT154" s="79" t="s">
        <v>40</v>
      </c>
      <c r="BU154" s="15">
        <f t="shared" si="96"/>
        <v>0.54955621301775148</v>
      </c>
      <c r="BV154" s="15">
        <f t="shared" si="97"/>
        <v>0.64024127531236541</v>
      </c>
      <c r="BW154" s="15">
        <f t="shared" si="98"/>
        <v>0.85835798816568043</v>
      </c>
      <c r="BX154" s="16"/>
      <c r="BY154" s="16"/>
      <c r="BZ154" s="16">
        <v>2704</v>
      </c>
      <c r="CA154" s="16">
        <f t="shared" si="99"/>
        <v>383</v>
      </c>
      <c r="CB154" s="16">
        <v>2321</v>
      </c>
      <c r="CC154" s="16">
        <v>1486</v>
      </c>
      <c r="CD154" s="16">
        <f t="shared" si="100"/>
        <v>835</v>
      </c>
      <c r="CE154" s="16"/>
      <c r="CF154" s="16"/>
      <c r="CG154" s="78">
        <v>2005</v>
      </c>
      <c r="CH154" s="79" t="s">
        <v>40</v>
      </c>
      <c r="CI154" s="15">
        <f t="shared" si="101"/>
        <v>0.73343044428259285</v>
      </c>
      <c r="CJ154" s="15">
        <f t="shared" si="102"/>
        <v>0.77431757016532099</v>
      </c>
      <c r="CK154" s="15">
        <f t="shared" si="103"/>
        <v>0.94719592134013109</v>
      </c>
      <c r="CL154" s="16"/>
      <c r="CM154" s="16"/>
      <c r="CN154" s="16">
        <v>2746</v>
      </c>
      <c r="CO154" s="16">
        <f t="shared" si="104"/>
        <v>145</v>
      </c>
      <c r="CP154" s="16">
        <v>2601</v>
      </c>
      <c r="CQ154" s="16">
        <v>2014</v>
      </c>
      <c r="CR154" s="16">
        <f t="shared" si="105"/>
        <v>587</v>
      </c>
      <c r="CS154" s="16"/>
      <c r="CT154" s="16"/>
      <c r="CU154" s="78">
        <v>2005</v>
      </c>
      <c r="CV154" s="79" t="s">
        <v>40</v>
      </c>
      <c r="CW154" s="15">
        <f t="shared" si="58"/>
        <v>0.91400000000000003</v>
      </c>
      <c r="CX154" s="15">
        <f t="shared" si="59"/>
        <v>0.97441364605543712</v>
      </c>
      <c r="CY154" s="15">
        <f t="shared" si="60"/>
        <v>0.93799999999999994</v>
      </c>
      <c r="CZ154" s="16"/>
      <c r="DA154" s="16"/>
      <c r="DB154" s="16">
        <v>1500</v>
      </c>
      <c r="DC154" s="16">
        <f t="shared" si="61"/>
        <v>93</v>
      </c>
      <c r="DD154" s="16">
        <v>1407</v>
      </c>
      <c r="DE154" s="16">
        <v>1371</v>
      </c>
      <c r="DF154" s="16">
        <f t="shared" si="62"/>
        <v>36</v>
      </c>
      <c r="DG154" s="16"/>
      <c r="DH154" s="16"/>
      <c r="DI154" s="78">
        <v>2005</v>
      </c>
      <c r="DJ154" s="79" t="s">
        <v>40</v>
      </c>
      <c r="DK154" s="15">
        <f t="shared" si="106"/>
        <v>0.8989795918367347</v>
      </c>
      <c r="DL154" s="15">
        <f t="shared" si="107"/>
        <v>0.91580041580041582</v>
      </c>
      <c r="DM154" s="15">
        <f t="shared" si="108"/>
        <v>0.98163265306122449</v>
      </c>
      <c r="DN154" s="16"/>
      <c r="DO154" s="16"/>
      <c r="DP154" s="16">
        <v>980</v>
      </c>
      <c r="DQ154" s="16">
        <f t="shared" si="109"/>
        <v>18</v>
      </c>
      <c r="DR154" s="16">
        <v>962</v>
      </c>
      <c r="DS154" s="16">
        <v>881</v>
      </c>
      <c r="DT154" s="16">
        <f t="shared" si="110"/>
        <v>81</v>
      </c>
      <c r="DU154" s="16"/>
      <c r="DV154" s="16"/>
      <c r="DW154" s="78">
        <v>2005</v>
      </c>
      <c r="DX154" s="79" t="s">
        <v>40</v>
      </c>
      <c r="DY154" s="15">
        <f t="shared" si="111"/>
        <v>0.81514657980456029</v>
      </c>
      <c r="DZ154" s="15">
        <f t="shared" si="112"/>
        <v>0.86144578313253017</v>
      </c>
      <c r="EA154" s="15">
        <f t="shared" si="113"/>
        <v>0.94625407166123776</v>
      </c>
      <c r="EB154" s="16"/>
      <c r="EC154" s="16"/>
      <c r="ED154" s="16">
        <v>1228</v>
      </c>
      <c r="EE154" s="16">
        <f t="shared" si="114"/>
        <v>66</v>
      </c>
      <c r="EF154" s="16">
        <v>1162</v>
      </c>
      <c r="EG154" s="16">
        <v>1001</v>
      </c>
      <c r="EH154" s="16">
        <f t="shared" si="115"/>
        <v>161</v>
      </c>
      <c r="EI154" s="16"/>
      <c r="EJ154" s="16"/>
      <c r="EK154" s="78"/>
      <c r="EL154" s="79"/>
      <c r="EM154" s="15"/>
      <c r="EN154" s="15"/>
      <c r="EO154" s="15"/>
      <c r="EP154" s="16"/>
      <c r="EQ154" s="16"/>
      <c r="ER154" s="16"/>
      <c r="ES154" s="16"/>
      <c r="ET154" s="16"/>
      <c r="EU154" s="16"/>
      <c r="EV154" s="16"/>
      <c r="EW154" s="16"/>
      <c r="EX154" s="16"/>
      <c r="EY154" s="78"/>
      <c r="EZ154" s="79"/>
      <c r="FA154" s="15"/>
      <c r="FB154" s="15"/>
      <c r="FC154" s="15"/>
      <c r="FD154" s="16"/>
      <c r="FE154" s="16"/>
      <c r="FF154" s="16"/>
      <c r="FG154" s="16"/>
      <c r="FH154" s="16"/>
      <c r="FI154" s="16"/>
      <c r="FJ154" s="16"/>
      <c r="FK154" s="16"/>
      <c r="FM154" s="78"/>
      <c r="FN154" s="79"/>
      <c r="FO154" s="15"/>
      <c r="FP154" s="15"/>
      <c r="FQ154" s="15"/>
      <c r="FR154" s="16"/>
      <c r="FS154" s="16"/>
      <c r="FT154" s="16"/>
      <c r="FU154" s="16"/>
      <c r="FV154" s="16"/>
      <c r="FW154" s="16"/>
      <c r="FX154" s="16"/>
      <c r="FY154" s="16"/>
      <c r="GA154" s="78"/>
      <c r="GB154" s="79"/>
      <c r="GC154" s="15"/>
      <c r="GD154" s="15"/>
      <c r="GE154" s="15"/>
      <c r="GF154" s="16"/>
      <c r="GG154" s="16"/>
      <c r="GH154" s="16"/>
      <c r="GI154" s="16"/>
      <c r="GJ154" s="16"/>
      <c r="GK154" s="16"/>
      <c r="GL154" s="16"/>
      <c r="GM154" s="16"/>
    </row>
    <row r="155" spans="1:195" s="18" customFormat="1" ht="15" customHeight="1">
      <c r="A155" s="80">
        <v>2005</v>
      </c>
      <c r="B155" s="81" t="s">
        <v>41</v>
      </c>
      <c r="C155" s="15">
        <f t="shared" si="73"/>
        <v>0.80622484845397591</v>
      </c>
      <c r="D155" s="15">
        <f t="shared" si="74"/>
        <v>0.84954374664519594</v>
      </c>
      <c r="E155" s="15">
        <f t="shared" si="75"/>
        <v>0.94900922011104882</v>
      </c>
      <c r="F155" s="16"/>
      <c r="G155" s="33"/>
      <c r="H15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19631</v>
      </c>
      <c r="I155" s="16">
        <f t="shared" si="76"/>
        <v>1001</v>
      </c>
      <c r="J15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18630</v>
      </c>
      <c r="K15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15827</v>
      </c>
      <c r="L155" s="16">
        <f t="shared" si="77"/>
        <v>2803</v>
      </c>
      <c r="M155" s="16"/>
      <c r="N155" s="16"/>
      <c r="O155" s="92">
        <v>2005</v>
      </c>
      <c r="P155" s="93" t="s">
        <v>41</v>
      </c>
      <c r="Q155" s="42">
        <f t="shared" si="78"/>
        <v>0.84419109663409342</v>
      </c>
      <c r="R155" s="42">
        <f t="shared" si="79"/>
        <v>0.88027172374752338</v>
      </c>
      <c r="S155" s="42">
        <f t="shared" si="80"/>
        <v>0.95901194353963082</v>
      </c>
      <c r="T155" s="43"/>
      <c r="U155" s="43"/>
      <c r="V155" s="30">
        <v>3684</v>
      </c>
      <c r="W155" s="30">
        <f t="shared" si="31"/>
        <v>151</v>
      </c>
      <c r="X155" s="30">
        <v>3533</v>
      </c>
      <c r="Y155" s="30">
        <v>3110</v>
      </c>
      <c r="Z155" s="30">
        <f t="shared" si="81"/>
        <v>423</v>
      </c>
      <c r="AA155" s="16"/>
      <c r="AB155" s="16"/>
      <c r="AC155" s="80">
        <v>2005</v>
      </c>
      <c r="AD155" s="81" t="s">
        <v>41</v>
      </c>
      <c r="AE155" s="15">
        <f t="shared" si="82"/>
        <v>0.86569148936170215</v>
      </c>
      <c r="AF155" s="15">
        <f t="shared" si="83"/>
        <v>0.87617765814266491</v>
      </c>
      <c r="AG155" s="15">
        <f t="shared" si="84"/>
        <v>0.98803191489361697</v>
      </c>
      <c r="AH155" s="15"/>
      <c r="AI155" s="15"/>
      <c r="AJ155" s="16">
        <v>1504</v>
      </c>
      <c r="AK155" s="16">
        <f t="shared" si="36"/>
        <v>18</v>
      </c>
      <c r="AL155" s="16">
        <v>1486</v>
      </c>
      <c r="AM155" s="16">
        <v>1302</v>
      </c>
      <c r="AN155" s="16">
        <f t="shared" si="85"/>
        <v>184</v>
      </c>
      <c r="AO155" s="16"/>
      <c r="AP155" s="16"/>
      <c r="AQ155" s="80">
        <v>2005</v>
      </c>
      <c r="AR155" s="81" t="s">
        <v>41</v>
      </c>
      <c r="AS155" s="15">
        <f t="shared" si="86"/>
        <v>0.87310261080752882</v>
      </c>
      <c r="AT155" s="15">
        <f t="shared" si="87"/>
        <v>0.90440251572327046</v>
      </c>
      <c r="AU155" s="15">
        <f t="shared" si="88"/>
        <v>0.96539162112932608</v>
      </c>
      <c r="AV155" s="16"/>
      <c r="AW155" s="16"/>
      <c r="AX155" s="16">
        <v>4941</v>
      </c>
      <c r="AY155" s="16">
        <f t="shared" si="89"/>
        <v>171</v>
      </c>
      <c r="AZ155" s="16">
        <v>4770</v>
      </c>
      <c r="BA155" s="16">
        <v>4314</v>
      </c>
      <c r="BB155" s="16">
        <f t="shared" si="90"/>
        <v>456</v>
      </c>
      <c r="BC155" s="16"/>
      <c r="BD155" s="16"/>
      <c r="BE155" s="80">
        <v>2005</v>
      </c>
      <c r="BF155" s="81" t="s">
        <v>41</v>
      </c>
      <c r="BG155" s="15">
        <f t="shared" si="91"/>
        <v>0.68027210884353739</v>
      </c>
      <c r="BH155" s="15">
        <f t="shared" si="92"/>
        <v>0.79207920792079212</v>
      </c>
      <c r="BI155" s="15">
        <f t="shared" si="93"/>
        <v>0.858843537414966</v>
      </c>
      <c r="BJ155" s="16"/>
      <c r="BK155" s="16"/>
      <c r="BL155" s="16">
        <v>588</v>
      </c>
      <c r="BM155" s="16">
        <f t="shared" si="94"/>
        <v>83</v>
      </c>
      <c r="BN155" s="16">
        <v>505</v>
      </c>
      <c r="BO155" s="16">
        <v>400</v>
      </c>
      <c r="BP155" s="16">
        <f t="shared" si="95"/>
        <v>105</v>
      </c>
      <c r="BQ155" s="16"/>
      <c r="BR155" s="16"/>
      <c r="BS155" s="80">
        <v>2005</v>
      </c>
      <c r="BT155" s="81" t="s">
        <v>41</v>
      </c>
      <c r="BU155" s="15">
        <f t="shared" si="96"/>
        <v>0.54965883244882485</v>
      </c>
      <c r="BV155" s="15">
        <f t="shared" si="97"/>
        <v>0.63208369659982566</v>
      </c>
      <c r="BW155" s="15">
        <f t="shared" si="98"/>
        <v>0.86959818043972703</v>
      </c>
      <c r="BX155" s="16"/>
      <c r="BY155" s="16"/>
      <c r="BZ155" s="16">
        <v>2638</v>
      </c>
      <c r="CA155" s="16">
        <f t="shared" si="99"/>
        <v>344</v>
      </c>
      <c r="CB155" s="16">
        <v>2294</v>
      </c>
      <c r="CC155" s="16">
        <v>1450</v>
      </c>
      <c r="CD155" s="16">
        <f t="shared" si="100"/>
        <v>844</v>
      </c>
      <c r="CE155" s="16"/>
      <c r="CF155" s="16"/>
      <c r="CG155" s="80">
        <v>2005</v>
      </c>
      <c r="CH155" s="81" t="s">
        <v>41</v>
      </c>
      <c r="CI155" s="15">
        <f t="shared" si="101"/>
        <v>0.73794392523364483</v>
      </c>
      <c r="CJ155" s="15">
        <f t="shared" si="102"/>
        <v>0.76869158878504673</v>
      </c>
      <c r="CK155" s="15">
        <f t="shared" si="103"/>
        <v>0.96</v>
      </c>
      <c r="CL155" s="16"/>
      <c r="CM155" s="16"/>
      <c r="CN155" s="16">
        <v>2675</v>
      </c>
      <c r="CO155" s="16">
        <f t="shared" si="104"/>
        <v>107</v>
      </c>
      <c r="CP155" s="16">
        <v>2568</v>
      </c>
      <c r="CQ155" s="16">
        <v>1974</v>
      </c>
      <c r="CR155" s="16">
        <f t="shared" si="105"/>
        <v>594</v>
      </c>
      <c r="CS155" s="16"/>
      <c r="CT155" s="16"/>
      <c r="CU155" s="80">
        <v>2005</v>
      </c>
      <c r="CV155" s="81" t="s">
        <v>41</v>
      </c>
      <c r="CW155" s="15">
        <f t="shared" si="58"/>
        <v>0.91581108829568791</v>
      </c>
      <c r="CX155" s="15">
        <f t="shared" si="59"/>
        <v>0.97592997811816196</v>
      </c>
      <c r="CY155" s="15">
        <f t="shared" si="60"/>
        <v>0.9383983572895277</v>
      </c>
      <c r="CZ155" s="16"/>
      <c r="DA155" s="16"/>
      <c r="DB155" s="16">
        <v>1461</v>
      </c>
      <c r="DC155" s="16">
        <f t="shared" si="61"/>
        <v>90</v>
      </c>
      <c r="DD155" s="16">
        <v>1371</v>
      </c>
      <c r="DE155" s="16">
        <v>1338</v>
      </c>
      <c r="DF155" s="16">
        <f t="shared" si="62"/>
        <v>33</v>
      </c>
      <c r="DG155" s="16"/>
      <c r="DH155" s="16"/>
      <c r="DI155" s="80">
        <v>2005</v>
      </c>
      <c r="DJ155" s="81" t="s">
        <v>41</v>
      </c>
      <c r="DK155" s="15">
        <f t="shared" si="106"/>
        <v>0.91157894736842104</v>
      </c>
      <c r="DL155" s="15">
        <f t="shared" si="107"/>
        <v>0.92521367521367526</v>
      </c>
      <c r="DM155" s="15">
        <f t="shared" si="108"/>
        <v>0.98526315789473684</v>
      </c>
      <c r="DN155" s="16"/>
      <c r="DO155" s="16"/>
      <c r="DP155" s="16">
        <v>950</v>
      </c>
      <c r="DQ155" s="16">
        <f t="shared" si="109"/>
        <v>14</v>
      </c>
      <c r="DR155" s="16">
        <v>936</v>
      </c>
      <c r="DS155" s="16">
        <v>866</v>
      </c>
      <c r="DT155" s="16">
        <f t="shared" si="110"/>
        <v>70</v>
      </c>
      <c r="DU155" s="16"/>
      <c r="DV155" s="16"/>
      <c r="DW155" s="80">
        <v>2005</v>
      </c>
      <c r="DX155" s="81" t="s">
        <v>41</v>
      </c>
      <c r="DY155" s="15">
        <f t="shared" si="111"/>
        <v>0.90168067226890758</v>
      </c>
      <c r="DZ155" s="15">
        <f t="shared" si="112"/>
        <v>0.91945158526135395</v>
      </c>
      <c r="EA155" s="15">
        <f t="shared" si="113"/>
        <v>0.98067226890756298</v>
      </c>
      <c r="EB155" s="16"/>
      <c r="EC155" s="16"/>
      <c r="ED155" s="16">
        <v>1190</v>
      </c>
      <c r="EE155" s="16">
        <f t="shared" si="114"/>
        <v>23</v>
      </c>
      <c r="EF155" s="16">
        <v>1167</v>
      </c>
      <c r="EG155" s="16">
        <v>1073</v>
      </c>
      <c r="EH155" s="16">
        <f t="shared" si="115"/>
        <v>94</v>
      </c>
      <c r="EI155" s="16"/>
      <c r="EJ155" s="16"/>
      <c r="EK155" s="80"/>
      <c r="EL155" s="81"/>
      <c r="EM155" s="15"/>
      <c r="EN155" s="15"/>
      <c r="EO155" s="15"/>
      <c r="EP155" s="16"/>
      <c r="EQ155" s="16"/>
      <c r="ER155" s="16"/>
      <c r="ES155" s="16"/>
      <c r="ET155" s="16"/>
      <c r="EU155" s="16"/>
      <c r="EV155" s="16"/>
      <c r="EW155" s="16"/>
      <c r="EX155" s="16"/>
      <c r="EY155" s="80"/>
      <c r="EZ155" s="81"/>
      <c r="FA155" s="15"/>
      <c r="FB155" s="15"/>
      <c r="FC155" s="15"/>
      <c r="FD155" s="16"/>
      <c r="FE155" s="16"/>
      <c r="FF155" s="16"/>
      <c r="FG155" s="16"/>
      <c r="FH155" s="16"/>
      <c r="FI155" s="16"/>
      <c r="FJ155" s="16"/>
      <c r="FK155" s="16"/>
      <c r="FM155" s="80"/>
      <c r="FN155" s="81"/>
      <c r="FO155" s="15"/>
      <c r="FP155" s="15"/>
      <c r="FQ155" s="15"/>
      <c r="FR155" s="16"/>
      <c r="FS155" s="16"/>
      <c r="FT155" s="16"/>
      <c r="FU155" s="16"/>
      <c r="FV155" s="16"/>
      <c r="FW155" s="16"/>
      <c r="FX155" s="16"/>
      <c r="FY155" s="16"/>
      <c r="GA155" s="80"/>
      <c r="GB155" s="81"/>
      <c r="GC155" s="15"/>
      <c r="GD155" s="15"/>
      <c r="GE155" s="15"/>
      <c r="GF155" s="16"/>
      <c r="GG155" s="16"/>
      <c r="GH155" s="16"/>
      <c r="GI155" s="16"/>
      <c r="GJ155" s="16"/>
      <c r="GK155" s="16"/>
      <c r="GL155" s="16"/>
      <c r="GM155" s="16"/>
    </row>
    <row r="156" spans="1:195" s="18" customFormat="1" ht="15" customHeight="1">
      <c r="A156" s="78">
        <v>2005</v>
      </c>
      <c r="B156" s="79" t="s">
        <v>42</v>
      </c>
      <c r="C156" s="15">
        <f t="shared" si="73"/>
        <v>0.77886154461784718</v>
      </c>
      <c r="D156" s="15">
        <f t="shared" si="74"/>
        <v>0.84053981106612685</v>
      </c>
      <c r="E156" s="15">
        <f t="shared" si="75"/>
        <v>0.92662064825930368</v>
      </c>
      <c r="F156" s="16"/>
      <c r="G156" s="33"/>
      <c r="H15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19992</v>
      </c>
      <c r="I156" s="16">
        <f t="shared" si="76"/>
        <v>1467</v>
      </c>
      <c r="J15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18525</v>
      </c>
      <c r="K15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15571</v>
      </c>
      <c r="L156" s="16">
        <f t="shared" si="77"/>
        <v>2954</v>
      </c>
      <c r="M156" s="16"/>
      <c r="N156" s="16"/>
      <c r="O156" s="90">
        <v>2005</v>
      </c>
      <c r="P156" s="91" t="s">
        <v>42</v>
      </c>
      <c r="Q156" s="42">
        <f t="shared" si="78"/>
        <v>0.80909586056644878</v>
      </c>
      <c r="R156" s="42">
        <f t="shared" si="79"/>
        <v>0.86140910408814153</v>
      </c>
      <c r="S156" s="42">
        <f t="shared" si="80"/>
        <v>0.93927015250544665</v>
      </c>
      <c r="T156" s="43"/>
      <c r="U156" s="43"/>
      <c r="V156" s="30">
        <v>3672</v>
      </c>
      <c r="W156" s="30">
        <f t="shared" si="31"/>
        <v>223</v>
      </c>
      <c r="X156" s="30">
        <v>3449</v>
      </c>
      <c r="Y156" s="30">
        <v>2971</v>
      </c>
      <c r="Z156" s="30">
        <f t="shared" si="81"/>
        <v>478</v>
      </c>
      <c r="AA156" s="16"/>
      <c r="AB156" s="16"/>
      <c r="AC156" s="78">
        <v>2005</v>
      </c>
      <c r="AD156" s="79" t="s">
        <v>42</v>
      </c>
      <c r="AE156" s="15">
        <f t="shared" si="82"/>
        <v>0.81221572449642621</v>
      </c>
      <c r="AF156" s="15">
        <f t="shared" si="83"/>
        <v>0.84860828241683639</v>
      </c>
      <c r="AG156" s="15">
        <f t="shared" si="84"/>
        <v>0.9571150097465887</v>
      </c>
      <c r="AH156" s="15"/>
      <c r="AI156" s="15"/>
      <c r="AJ156" s="16">
        <v>1539</v>
      </c>
      <c r="AK156" s="16">
        <f t="shared" si="36"/>
        <v>66</v>
      </c>
      <c r="AL156" s="16">
        <v>1473</v>
      </c>
      <c r="AM156" s="16">
        <v>1250</v>
      </c>
      <c r="AN156" s="16">
        <f t="shared" si="85"/>
        <v>223</v>
      </c>
      <c r="AO156" s="16"/>
      <c r="AP156" s="16"/>
      <c r="AQ156" s="78">
        <v>2005</v>
      </c>
      <c r="AR156" s="79" t="s">
        <v>42</v>
      </c>
      <c r="AS156" s="15">
        <f t="shared" si="86"/>
        <v>0.81989674344718033</v>
      </c>
      <c r="AT156" s="15">
        <f t="shared" si="87"/>
        <v>0.87515896566341667</v>
      </c>
      <c r="AU156" s="15">
        <f t="shared" si="88"/>
        <v>0.93685464654487693</v>
      </c>
      <c r="AV156" s="16"/>
      <c r="AW156" s="16"/>
      <c r="AX156" s="16">
        <v>5036</v>
      </c>
      <c r="AY156" s="16">
        <f t="shared" si="89"/>
        <v>318</v>
      </c>
      <c r="AZ156" s="16">
        <v>4718</v>
      </c>
      <c r="BA156" s="16">
        <v>4129</v>
      </c>
      <c r="BB156" s="16">
        <f t="shared" si="90"/>
        <v>589</v>
      </c>
      <c r="BC156" s="16"/>
      <c r="BD156" s="16"/>
      <c r="BE156" s="78">
        <v>2005</v>
      </c>
      <c r="BF156" s="79" t="s">
        <v>42</v>
      </c>
      <c r="BG156" s="15">
        <f t="shared" si="91"/>
        <v>0.55782312925170063</v>
      </c>
      <c r="BH156" s="15">
        <f t="shared" si="92"/>
        <v>0.77358490566037741</v>
      </c>
      <c r="BI156" s="15">
        <f t="shared" si="93"/>
        <v>0.72108843537414968</v>
      </c>
      <c r="BJ156" s="16"/>
      <c r="BK156" s="16"/>
      <c r="BL156" s="16">
        <v>588</v>
      </c>
      <c r="BM156" s="16">
        <f t="shared" si="94"/>
        <v>164</v>
      </c>
      <c r="BN156" s="16">
        <v>424</v>
      </c>
      <c r="BO156" s="16">
        <v>328</v>
      </c>
      <c r="BP156" s="16">
        <f t="shared" si="95"/>
        <v>96</v>
      </c>
      <c r="BQ156" s="16"/>
      <c r="BR156" s="16"/>
      <c r="BS156" s="78">
        <v>2005</v>
      </c>
      <c r="BT156" s="79" t="s">
        <v>42</v>
      </c>
      <c r="BU156" s="15">
        <f t="shared" si="96"/>
        <v>0.57063609467455623</v>
      </c>
      <c r="BV156" s="15">
        <f t="shared" si="97"/>
        <v>0.66508620689655173</v>
      </c>
      <c r="BW156" s="15">
        <f t="shared" si="98"/>
        <v>0.85798816568047342</v>
      </c>
      <c r="BX156" s="16"/>
      <c r="BY156" s="16"/>
      <c r="BZ156" s="16">
        <v>2704</v>
      </c>
      <c r="CA156" s="16">
        <f t="shared" si="99"/>
        <v>384</v>
      </c>
      <c r="CB156" s="16">
        <v>2320</v>
      </c>
      <c r="CC156" s="16">
        <v>1543</v>
      </c>
      <c r="CD156" s="16">
        <f t="shared" si="100"/>
        <v>777</v>
      </c>
      <c r="CE156" s="16"/>
      <c r="CF156" s="16"/>
      <c r="CG156" s="78">
        <v>2005</v>
      </c>
      <c r="CH156" s="79" t="s">
        <v>42</v>
      </c>
      <c r="CI156" s="15">
        <f t="shared" si="101"/>
        <v>0.73743627093954844</v>
      </c>
      <c r="CJ156" s="15">
        <f t="shared" si="102"/>
        <v>0.77586206896551724</v>
      </c>
      <c r="CK156" s="15">
        <f t="shared" si="103"/>
        <v>0.95047341587764023</v>
      </c>
      <c r="CL156" s="16"/>
      <c r="CM156" s="16"/>
      <c r="CN156" s="16">
        <v>2746</v>
      </c>
      <c r="CO156" s="16">
        <f t="shared" si="104"/>
        <v>136</v>
      </c>
      <c r="CP156" s="16">
        <v>2610</v>
      </c>
      <c r="CQ156" s="16">
        <v>2025</v>
      </c>
      <c r="CR156" s="16">
        <f t="shared" si="105"/>
        <v>585</v>
      </c>
      <c r="CS156" s="16"/>
      <c r="CT156" s="16"/>
      <c r="CU156" s="78">
        <v>2005</v>
      </c>
      <c r="CV156" s="79" t="s">
        <v>42</v>
      </c>
      <c r="CW156" s="15">
        <f t="shared" si="58"/>
        <v>0.92661774516344231</v>
      </c>
      <c r="CX156" s="15">
        <f t="shared" si="59"/>
        <v>0.98510638297872344</v>
      </c>
      <c r="CY156" s="15">
        <f t="shared" si="60"/>
        <v>0.94062708472314882</v>
      </c>
      <c r="CZ156" s="16"/>
      <c r="DA156" s="16"/>
      <c r="DB156" s="16">
        <v>1499</v>
      </c>
      <c r="DC156" s="16">
        <f t="shared" si="61"/>
        <v>89</v>
      </c>
      <c r="DD156" s="16">
        <v>1410</v>
      </c>
      <c r="DE156" s="16">
        <v>1389</v>
      </c>
      <c r="DF156" s="16">
        <f t="shared" si="62"/>
        <v>21</v>
      </c>
      <c r="DG156" s="16"/>
      <c r="DH156" s="16"/>
      <c r="DI156" s="78">
        <v>2005</v>
      </c>
      <c r="DJ156" s="79" t="s">
        <v>42</v>
      </c>
      <c r="DK156" s="15">
        <f t="shared" si="106"/>
        <v>0.9285714285714286</v>
      </c>
      <c r="DL156" s="15">
        <f t="shared" si="107"/>
        <v>0.93621399176954734</v>
      </c>
      <c r="DM156" s="15">
        <f t="shared" si="108"/>
        <v>0.99183673469387756</v>
      </c>
      <c r="DN156" s="16"/>
      <c r="DO156" s="16"/>
      <c r="DP156" s="16">
        <v>980</v>
      </c>
      <c r="DQ156" s="16">
        <f t="shared" si="109"/>
        <v>8</v>
      </c>
      <c r="DR156" s="16">
        <v>972</v>
      </c>
      <c r="DS156" s="16">
        <v>910</v>
      </c>
      <c r="DT156" s="16">
        <f t="shared" si="110"/>
        <v>62</v>
      </c>
      <c r="DU156" s="16"/>
      <c r="DV156" s="16"/>
      <c r="DW156" s="78">
        <v>2005</v>
      </c>
      <c r="DX156" s="79" t="s">
        <v>42</v>
      </c>
      <c r="DY156" s="15">
        <f t="shared" si="111"/>
        <v>0.83550488599348538</v>
      </c>
      <c r="DZ156" s="15">
        <f t="shared" si="112"/>
        <v>0.89295039164490864</v>
      </c>
      <c r="EA156" s="15">
        <f t="shared" si="113"/>
        <v>0.93566775244299671</v>
      </c>
      <c r="EB156" s="16"/>
      <c r="EC156" s="16"/>
      <c r="ED156" s="16">
        <v>1228</v>
      </c>
      <c r="EE156" s="16">
        <f t="shared" si="114"/>
        <v>79</v>
      </c>
      <c r="EF156" s="16">
        <v>1149</v>
      </c>
      <c r="EG156" s="16">
        <v>1026</v>
      </c>
      <c r="EH156" s="16">
        <f t="shared" si="115"/>
        <v>123</v>
      </c>
      <c r="EI156" s="16"/>
      <c r="EJ156" s="16"/>
      <c r="EK156" s="78"/>
      <c r="EL156" s="79"/>
      <c r="EM156" s="15"/>
      <c r="EN156" s="15"/>
      <c r="EO156" s="15"/>
      <c r="EP156" s="16"/>
      <c r="EQ156" s="16"/>
      <c r="ER156" s="16"/>
      <c r="ES156" s="16"/>
      <c r="ET156" s="16"/>
      <c r="EU156" s="16"/>
      <c r="EV156" s="16"/>
      <c r="EW156" s="16"/>
      <c r="EX156" s="16"/>
      <c r="EY156" s="78"/>
      <c r="EZ156" s="79"/>
      <c r="FA156" s="15"/>
      <c r="FB156" s="15"/>
      <c r="FC156" s="15"/>
      <c r="FD156" s="16"/>
      <c r="FE156" s="16"/>
      <c r="FF156" s="16"/>
      <c r="FG156" s="16"/>
      <c r="FH156" s="16"/>
      <c r="FI156" s="16"/>
      <c r="FJ156" s="16"/>
      <c r="FK156" s="16"/>
      <c r="FM156" s="78"/>
      <c r="FN156" s="79"/>
      <c r="FO156" s="15"/>
      <c r="FP156" s="15"/>
      <c r="FQ156" s="15"/>
      <c r="FR156" s="16"/>
      <c r="FS156" s="16"/>
      <c r="FT156" s="16"/>
      <c r="FU156" s="16"/>
      <c r="FV156" s="16"/>
      <c r="FW156" s="16"/>
      <c r="FX156" s="16"/>
      <c r="FY156" s="16"/>
      <c r="GA156" s="78"/>
      <c r="GB156" s="79"/>
      <c r="GC156" s="15"/>
      <c r="GD156" s="15"/>
      <c r="GE156" s="15"/>
      <c r="GF156" s="16"/>
      <c r="GG156" s="16"/>
      <c r="GH156" s="16"/>
      <c r="GI156" s="16"/>
      <c r="GJ156" s="16"/>
      <c r="GK156" s="16"/>
      <c r="GL156" s="16"/>
      <c r="GM156" s="16"/>
    </row>
    <row r="157" spans="1:195" s="18" customFormat="1" ht="15" customHeight="1">
      <c r="A157" s="80">
        <v>2005</v>
      </c>
      <c r="B157" s="81" t="s">
        <v>43</v>
      </c>
      <c r="C157" s="15">
        <f t="shared" si="73"/>
        <v>0.80860819405413398</v>
      </c>
      <c r="D157" s="15">
        <f t="shared" si="74"/>
        <v>0.87295081967213117</v>
      </c>
      <c r="E157" s="15">
        <f t="shared" si="75"/>
        <v>0.92629295469112061</v>
      </c>
      <c r="F157" s="16"/>
      <c r="G157" s="33"/>
      <c r="H15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20283</v>
      </c>
      <c r="I157" s="16">
        <f t="shared" si="76"/>
        <v>1495</v>
      </c>
      <c r="J15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18788</v>
      </c>
      <c r="K15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16401</v>
      </c>
      <c r="L157" s="16">
        <f t="shared" si="77"/>
        <v>2387</v>
      </c>
      <c r="M157" s="16"/>
      <c r="N157" s="16"/>
      <c r="O157" s="92">
        <v>2005</v>
      </c>
      <c r="P157" s="93" t="s">
        <v>43</v>
      </c>
      <c r="Q157" s="42">
        <f t="shared" si="78"/>
        <v>0.8654768247202983</v>
      </c>
      <c r="R157" s="42">
        <f t="shared" si="79"/>
        <v>0.91161616161616166</v>
      </c>
      <c r="S157" s="42">
        <f t="shared" si="80"/>
        <v>0.94938732019179539</v>
      </c>
      <c r="T157" s="43"/>
      <c r="U157" s="43"/>
      <c r="V157" s="30">
        <v>3754</v>
      </c>
      <c r="W157" s="30">
        <f t="shared" si="31"/>
        <v>190</v>
      </c>
      <c r="X157" s="30">
        <v>3564</v>
      </c>
      <c r="Y157" s="30">
        <v>3249</v>
      </c>
      <c r="Z157" s="30">
        <f t="shared" si="81"/>
        <v>315</v>
      </c>
      <c r="AA157" s="16"/>
      <c r="AB157" s="16"/>
      <c r="AC157" s="80">
        <v>2005</v>
      </c>
      <c r="AD157" s="81" t="s">
        <v>43</v>
      </c>
      <c r="AE157" s="15">
        <f t="shared" si="82"/>
        <v>0.85484906872190114</v>
      </c>
      <c r="AF157" s="15">
        <f t="shared" si="83"/>
        <v>0.88911155644622575</v>
      </c>
      <c r="AG157" s="15">
        <f t="shared" si="84"/>
        <v>0.96146435452793833</v>
      </c>
      <c r="AH157" s="15"/>
      <c r="AI157" s="15"/>
      <c r="AJ157" s="16">
        <v>1557</v>
      </c>
      <c r="AK157" s="16">
        <f t="shared" si="36"/>
        <v>60</v>
      </c>
      <c r="AL157" s="16">
        <v>1497</v>
      </c>
      <c r="AM157" s="16">
        <v>1331</v>
      </c>
      <c r="AN157" s="16">
        <f t="shared" si="85"/>
        <v>166</v>
      </c>
      <c r="AO157" s="16"/>
      <c r="AP157" s="16"/>
      <c r="AQ157" s="80">
        <v>2005</v>
      </c>
      <c r="AR157" s="81" t="s">
        <v>43</v>
      </c>
      <c r="AS157" s="15">
        <f t="shared" si="86"/>
        <v>0.84699453551912574</v>
      </c>
      <c r="AT157" s="15">
        <f t="shared" si="87"/>
        <v>0.8937397034596376</v>
      </c>
      <c r="AU157" s="15">
        <f t="shared" si="88"/>
        <v>0.94769711163153791</v>
      </c>
      <c r="AV157" s="16"/>
      <c r="AW157" s="16"/>
      <c r="AX157" s="16">
        <v>5124</v>
      </c>
      <c r="AY157" s="16">
        <f t="shared" si="89"/>
        <v>268</v>
      </c>
      <c r="AZ157" s="16">
        <v>4856</v>
      </c>
      <c r="BA157" s="16">
        <v>4340</v>
      </c>
      <c r="BB157" s="16">
        <f t="shared" si="90"/>
        <v>516</v>
      </c>
      <c r="BC157" s="16"/>
      <c r="BD157" s="16"/>
      <c r="BE157" s="80">
        <v>2005</v>
      </c>
      <c r="BF157" s="81" t="s">
        <v>43</v>
      </c>
      <c r="BG157" s="15">
        <f t="shared" si="91"/>
        <v>0.63474025974025972</v>
      </c>
      <c r="BH157" s="15">
        <f t="shared" si="92"/>
        <v>0.81628392484342382</v>
      </c>
      <c r="BI157" s="15">
        <f t="shared" si="93"/>
        <v>0.77759740259740262</v>
      </c>
      <c r="BJ157" s="16"/>
      <c r="BK157" s="16"/>
      <c r="BL157" s="16">
        <v>616</v>
      </c>
      <c r="BM157" s="16">
        <f t="shared" si="94"/>
        <v>137</v>
      </c>
      <c r="BN157" s="16">
        <v>479</v>
      </c>
      <c r="BO157" s="16">
        <v>391</v>
      </c>
      <c r="BP157" s="16">
        <f t="shared" si="95"/>
        <v>88</v>
      </c>
      <c r="BQ157" s="16"/>
      <c r="BR157" s="16"/>
      <c r="BS157" s="80">
        <v>2005</v>
      </c>
      <c r="BT157" s="81" t="s">
        <v>43</v>
      </c>
      <c r="BU157" s="15">
        <f t="shared" si="96"/>
        <v>0.58961228968544255</v>
      </c>
      <c r="BV157" s="15">
        <f t="shared" si="97"/>
        <v>0.70239651416122006</v>
      </c>
      <c r="BW157" s="15">
        <f t="shared" si="98"/>
        <v>0.83942940746159478</v>
      </c>
      <c r="BX157" s="16"/>
      <c r="BY157" s="16"/>
      <c r="BZ157" s="16">
        <v>2734</v>
      </c>
      <c r="CA157" s="16">
        <f t="shared" si="99"/>
        <v>439</v>
      </c>
      <c r="CB157" s="16">
        <v>2295</v>
      </c>
      <c r="CC157" s="16">
        <v>1612</v>
      </c>
      <c r="CD157" s="16">
        <f t="shared" si="100"/>
        <v>683</v>
      </c>
      <c r="CE157" s="16"/>
      <c r="CF157" s="16"/>
      <c r="CG157" s="80">
        <v>2005</v>
      </c>
      <c r="CH157" s="81" t="s">
        <v>43</v>
      </c>
      <c r="CI157" s="15">
        <f t="shared" si="101"/>
        <v>0.77553229880909424</v>
      </c>
      <c r="CJ157" s="15">
        <f t="shared" si="102"/>
        <v>0.82305630026809651</v>
      </c>
      <c r="CK157" s="15">
        <f t="shared" si="103"/>
        <v>0.94225911223385062</v>
      </c>
      <c r="CL157" s="16"/>
      <c r="CM157" s="16"/>
      <c r="CN157" s="16">
        <v>2771</v>
      </c>
      <c r="CO157" s="16">
        <f t="shared" si="104"/>
        <v>160</v>
      </c>
      <c r="CP157" s="16">
        <v>2611</v>
      </c>
      <c r="CQ157" s="16">
        <v>2149</v>
      </c>
      <c r="CR157" s="16">
        <f t="shared" si="105"/>
        <v>462</v>
      </c>
      <c r="CS157" s="16"/>
      <c r="CT157" s="16"/>
      <c r="CU157" s="80">
        <v>2005</v>
      </c>
      <c r="CV157" s="81" t="s">
        <v>43</v>
      </c>
      <c r="CW157" s="15">
        <f t="shared" si="58"/>
        <v>0.88976897689768975</v>
      </c>
      <c r="CX157" s="15">
        <f t="shared" si="59"/>
        <v>0.97258297258297255</v>
      </c>
      <c r="CY157" s="15">
        <f t="shared" si="60"/>
        <v>0.91485148514851489</v>
      </c>
      <c r="CZ157" s="16"/>
      <c r="DA157" s="16"/>
      <c r="DB157" s="16">
        <v>1515</v>
      </c>
      <c r="DC157" s="16">
        <f t="shared" si="61"/>
        <v>129</v>
      </c>
      <c r="DD157" s="16">
        <v>1386</v>
      </c>
      <c r="DE157" s="16">
        <v>1348</v>
      </c>
      <c r="DF157" s="16">
        <f t="shared" si="62"/>
        <v>38</v>
      </c>
      <c r="DG157" s="16"/>
      <c r="DH157" s="16"/>
      <c r="DI157" s="80">
        <v>2005</v>
      </c>
      <c r="DJ157" s="81" t="s">
        <v>43</v>
      </c>
      <c r="DK157" s="15">
        <f t="shared" si="106"/>
        <v>0.88696537678207743</v>
      </c>
      <c r="DL157" s="15">
        <f t="shared" si="107"/>
        <v>0.9315508021390374</v>
      </c>
      <c r="DM157" s="15">
        <f t="shared" si="108"/>
        <v>0.95213849287169039</v>
      </c>
      <c r="DN157" s="16"/>
      <c r="DO157" s="16"/>
      <c r="DP157" s="16">
        <v>982</v>
      </c>
      <c r="DQ157" s="16">
        <f t="shared" si="109"/>
        <v>47</v>
      </c>
      <c r="DR157" s="16">
        <v>935</v>
      </c>
      <c r="DS157" s="16">
        <v>871</v>
      </c>
      <c r="DT157" s="16">
        <f t="shared" si="110"/>
        <v>64</v>
      </c>
      <c r="DU157" s="16"/>
      <c r="DV157" s="16"/>
      <c r="DW157" s="80">
        <v>2005</v>
      </c>
      <c r="DX157" s="81" t="s">
        <v>43</v>
      </c>
      <c r="DY157" s="15">
        <f t="shared" si="111"/>
        <v>0.90243902439024393</v>
      </c>
      <c r="DZ157" s="15">
        <f t="shared" si="112"/>
        <v>0.9527896995708155</v>
      </c>
      <c r="EA157" s="15">
        <f t="shared" si="113"/>
        <v>0.94715447154471544</v>
      </c>
      <c r="EB157" s="16"/>
      <c r="EC157" s="16"/>
      <c r="ED157" s="16">
        <v>1230</v>
      </c>
      <c r="EE157" s="16">
        <f t="shared" si="114"/>
        <v>65</v>
      </c>
      <c r="EF157" s="16">
        <v>1165</v>
      </c>
      <c r="EG157" s="16">
        <v>1110</v>
      </c>
      <c r="EH157" s="16">
        <f t="shared" si="115"/>
        <v>55</v>
      </c>
      <c r="EI157" s="16"/>
      <c r="EJ157" s="16"/>
      <c r="EK157" s="80"/>
      <c r="EL157" s="81"/>
      <c r="EM157" s="15"/>
      <c r="EN157" s="15"/>
      <c r="EO157" s="15"/>
      <c r="EP157" s="16"/>
      <c r="EQ157" s="16"/>
      <c r="ER157" s="16"/>
      <c r="ES157" s="16"/>
      <c r="ET157" s="16"/>
      <c r="EU157" s="16"/>
      <c r="EV157" s="16"/>
      <c r="EW157" s="16"/>
      <c r="EX157" s="16"/>
      <c r="EY157" s="80"/>
      <c r="EZ157" s="81"/>
      <c r="FA157" s="15"/>
      <c r="FB157" s="15"/>
      <c r="FC157" s="15"/>
      <c r="FD157" s="16"/>
      <c r="FE157" s="16"/>
      <c r="FF157" s="16"/>
      <c r="FG157" s="16"/>
      <c r="FH157" s="16"/>
      <c r="FI157" s="16"/>
      <c r="FJ157" s="16"/>
      <c r="FK157" s="16"/>
      <c r="FM157" s="80"/>
      <c r="FN157" s="81"/>
      <c r="FO157" s="15"/>
      <c r="FP157" s="15"/>
      <c r="FQ157" s="15"/>
      <c r="FR157" s="16"/>
      <c r="FS157" s="16"/>
      <c r="FT157" s="16"/>
      <c r="FU157" s="16"/>
      <c r="FV157" s="16"/>
      <c r="FW157" s="16"/>
      <c r="FX157" s="16"/>
      <c r="FY157" s="16"/>
      <c r="GA157" s="80"/>
      <c r="GB157" s="81"/>
      <c r="GC157" s="15"/>
      <c r="GD157" s="15"/>
      <c r="GE157" s="15"/>
      <c r="GF157" s="16"/>
      <c r="GG157" s="16"/>
      <c r="GH157" s="16"/>
      <c r="GI157" s="16"/>
      <c r="GJ157" s="16"/>
      <c r="GK157" s="16"/>
      <c r="GL157" s="16"/>
      <c r="GM157" s="16"/>
    </row>
    <row r="158" spans="1:195" s="18" customFormat="1" ht="15" customHeight="1">
      <c r="A158" s="78">
        <v>2005</v>
      </c>
      <c r="B158" s="79" t="s">
        <v>44</v>
      </c>
      <c r="C158" s="15">
        <f t="shared" si="73"/>
        <v>0.84807576062865198</v>
      </c>
      <c r="D158" s="15">
        <f t="shared" si="74"/>
        <v>0.88165060745705903</v>
      </c>
      <c r="E158" s="15">
        <f t="shared" si="75"/>
        <v>0.96191819464033845</v>
      </c>
      <c r="F158" s="16"/>
      <c r="G158" s="33"/>
      <c r="H15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19852</v>
      </c>
      <c r="I158" s="16">
        <f t="shared" si="76"/>
        <v>756</v>
      </c>
      <c r="J15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19096</v>
      </c>
      <c r="K15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16836</v>
      </c>
      <c r="L158" s="16">
        <f t="shared" si="77"/>
        <v>2260</v>
      </c>
      <c r="M158" s="16"/>
      <c r="N158" s="16"/>
      <c r="O158" s="90">
        <v>2005</v>
      </c>
      <c r="P158" s="91" t="s">
        <v>44</v>
      </c>
      <c r="Q158" s="42">
        <f t="shared" si="78"/>
        <v>0.87256493506493504</v>
      </c>
      <c r="R158" s="42">
        <f t="shared" si="79"/>
        <v>0.90361445783132532</v>
      </c>
      <c r="S158" s="42">
        <f t="shared" si="80"/>
        <v>0.96563852813852813</v>
      </c>
      <c r="T158" s="43"/>
      <c r="U158" s="43"/>
      <c r="V158" s="30">
        <v>3696</v>
      </c>
      <c r="W158" s="30">
        <f t="shared" si="31"/>
        <v>127</v>
      </c>
      <c r="X158" s="30">
        <v>3569</v>
      </c>
      <c r="Y158" s="30">
        <v>3225</v>
      </c>
      <c r="Z158" s="30">
        <f t="shared" si="81"/>
        <v>344</v>
      </c>
      <c r="AA158" s="16"/>
      <c r="AB158" s="16"/>
      <c r="AC158" s="78">
        <v>2005</v>
      </c>
      <c r="AD158" s="79" t="s">
        <v>44</v>
      </c>
      <c r="AE158" s="15">
        <f t="shared" si="82"/>
        <v>0.86596583442838371</v>
      </c>
      <c r="AF158" s="15">
        <f t="shared" si="83"/>
        <v>0.88397048960429248</v>
      </c>
      <c r="AG158" s="15">
        <f t="shared" si="84"/>
        <v>0.97963206307490147</v>
      </c>
      <c r="AH158" s="15"/>
      <c r="AI158" s="15"/>
      <c r="AJ158" s="16">
        <v>1522</v>
      </c>
      <c r="AK158" s="16">
        <f t="shared" si="36"/>
        <v>31</v>
      </c>
      <c r="AL158" s="16">
        <v>1491</v>
      </c>
      <c r="AM158" s="16">
        <v>1318</v>
      </c>
      <c r="AN158" s="16">
        <f t="shared" si="85"/>
        <v>173</v>
      </c>
      <c r="AO158" s="16"/>
      <c r="AP158" s="16"/>
      <c r="AQ158" s="78">
        <v>2005</v>
      </c>
      <c r="AR158" s="79" t="s">
        <v>44</v>
      </c>
      <c r="AS158" s="15">
        <f t="shared" si="86"/>
        <v>0.86097852028639621</v>
      </c>
      <c r="AT158" s="15">
        <f t="shared" si="87"/>
        <v>0.8960877665079694</v>
      </c>
      <c r="AU158" s="15">
        <f t="shared" si="88"/>
        <v>0.96081941129673831</v>
      </c>
      <c r="AV158" s="16"/>
      <c r="AW158" s="16"/>
      <c r="AX158" s="16">
        <v>5028</v>
      </c>
      <c r="AY158" s="16">
        <f t="shared" si="89"/>
        <v>197</v>
      </c>
      <c r="AZ158" s="16">
        <v>4831</v>
      </c>
      <c r="BA158" s="16">
        <v>4329</v>
      </c>
      <c r="BB158" s="16">
        <f t="shared" si="90"/>
        <v>502</v>
      </c>
      <c r="BC158" s="16"/>
      <c r="BD158" s="16"/>
      <c r="BE158" s="78">
        <v>2005</v>
      </c>
      <c r="BF158" s="79" t="s">
        <v>44</v>
      </c>
      <c r="BG158" s="15">
        <f t="shared" si="91"/>
        <v>0.67370129870129869</v>
      </c>
      <c r="BH158" s="15">
        <f t="shared" si="92"/>
        <v>0.83669354838709675</v>
      </c>
      <c r="BI158" s="15">
        <f t="shared" si="93"/>
        <v>0.80519480519480524</v>
      </c>
      <c r="BJ158" s="16"/>
      <c r="BK158" s="16"/>
      <c r="BL158" s="16">
        <v>616</v>
      </c>
      <c r="BM158" s="16">
        <f t="shared" si="94"/>
        <v>120</v>
      </c>
      <c r="BN158" s="16">
        <v>496</v>
      </c>
      <c r="BO158" s="16">
        <v>415</v>
      </c>
      <c r="BP158" s="16">
        <f t="shared" si="95"/>
        <v>81</v>
      </c>
      <c r="BQ158" s="16"/>
      <c r="BR158" s="16"/>
      <c r="BS158" s="78">
        <v>2005</v>
      </c>
      <c r="BT158" s="79" t="s">
        <v>44</v>
      </c>
      <c r="BU158" s="15">
        <f t="shared" si="96"/>
        <v>0.75899550224887558</v>
      </c>
      <c r="BV158" s="15">
        <f t="shared" si="97"/>
        <v>0.78947368421052633</v>
      </c>
      <c r="BW158" s="15">
        <f t="shared" si="98"/>
        <v>0.96139430284857574</v>
      </c>
      <c r="BX158" s="16"/>
      <c r="BY158" s="16"/>
      <c r="BZ158" s="16">
        <v>2668</v>
      </c>
      <c r="CA158" s="16">
        <f t="shared" si="99"/>
        <v>103</v>
      </c>
      <c r="CB158" s="16">
        <v>2565</v>
      </c>
      <c r="CC158" s="16">
        <v>2025</v>
      </c>
      <c r="CD158" s="16">
        <f t="shared" si="100"/>
        <v>540</v>
      </c>
      <c r="CE158" s="16"/>
      <c r="CF158" s="16"/>
      <c r="CG158" s="78">
        <v>2005</v>
      </c>
      <c r="CH158" s="79" t="s">
        <v>44</v>
      </c>
      <c r="CI158" s="15">
        <f t="shared" si="101"/>
        <v>0.78222222222222226</v>
      </c>
      <c r="CJ158" s="15">
        <f t="shared" si="102"/>
        <v>0.81293302540415702</v>
      </c>
      <c r="CK158" s="15">
        <f t="shared" si="103"/>
        <v>0.9622222222222222</v>
      </c>
      <c r="CL158" s="16"/>
      <c r="CM158" s="16"/>
      <c r="CN158" s="16">
        <v>2700</v>
      </c>
      <c r="CO158" s="16">
        <f t="shared" si="104"/>
        <v>102</v>
      </c>
      <c r="CP158" s="16">
        <v>2598</v>
      </c>
      <c r="CQ158" s="16">
        <v>2112</v>
      </c>
      <c r="CR158" s="16">
        <f t="shared" si="105"/>
        <v>486</v>
      </c>
      <c r="CS158" s="16"/>
      <c r="CT158" s="16"/>
      <c r="CU158" s="78">
        <v>2005</v>
      </c>
      <c r="CV158" s="79" t="s">
        <v>44</v>
      </c>
      <c r="CW158" s="15">
        <f t="shared" si="58"/>
        <v>0.95737483085250341</v>
      </c>
      <c r="CX158" s="15">
        <f t="shared" si="59"/>
        <v>0.97586206896551719</v>
      </c>
      <c r="CY158" s="15">
        <f t="shared" si="60"/>
        <v>0.98105548037889034</v>
      </c>
      <c r="CZ158" s="16"/>
      <c r="DA158" s="16"/>
      <c r="DB158" s="16">
        <v>1478</v>
      </c>
      <c r="DC158" s="16">
        <f t="shared" si="61"/>
        <v>28</v>
      </c>
      <c r="DD158" s="16">
        <v>1450</v>
      </c>
      <c r="DE158" s="16">
        <v>1415</v>
      </c>
      <c r="DF158" s="16">
        <f t="shared" si="62"/>
        <v>35</v>
      </c>
      <c r="DG158" s="16"/>
      <c r="DH158" s="16"/>
      <c r="DI158" s="78">
        <v>2005</v>
      </c>
      <c r="DJ158" s="79" t="s">
        <v>44</v>
      </c>
      <c r="DK158" s="15">
        <f t="shared" si="106"/>
        <v>0.92752100840336138</v>
      </c>
      <c r="DL158" s="15">
        <f t="shared" si="107"/>
        <v>0.94640943193997862</v>
      </c>
      <c r="DM158" s="15">
        <f t="shared" si="108"/>
        <v>0.98004201680672265</v>
      </c>
      <c r="DN158" s="16"/>
      <c r="DO158" s="16"/>
      <c r="DP158" s="16">
        <v>952</v>
      </c>
      <c r="DQ158" s="16">
        <f t="shared" si="109"/>
        <v>19</v>
      </c>
      <c r="DR158" s="16">
        <v>933</v>
      </c>
      <c r="DS158" s="16">
        <v>883</v>
      </c>
      <c r="DT158" s="16">
        <f t="shared" si="110"/>
        <v>50</v>
      </c>
      <c r="DU158" s="16"/>
      <c r="DV158" s="16"/>
      <c r="DW158" s="78">
        <v>2005</v>
      </c>
      <c r="DX158" s="79" t="s">
        <v>44</v>
      </c>
      <c r="DY158" s="15">
        <f t="shared" si="111"/>
        <v>0.93456375838926176</v>
      </c>
      <c r="DZ158" s="15">
        <f t="shared" si="112"/>
        <v>0.95786758383490966</v>
      </c>
      <c r="EA158" s="15">
        <f t="shared" si="113"/>
        <v>0.97567114093959728</v>
      </c>
      <c r="EB158" s="16"/>
      <c r="EC158" s="16"/>
      <c r="ED158" s="16">
        <v>1192</v>
      </c>
      <c r="EE158" s="16">
        <f t="shared" si="114"/>
        <v>29</v>
      </c>
      <c r="EF158" s="16">
        <v>1163</v>
      </c>
      <c r="EG158" s="16">
        <v>1114</v>
      </c>
      <c r="EH158" s="16">
        <f t="shared" si="115"/>
        <v>49</v>
      </c>
      <c r="EI158" s="16"/>
      <c r="EJ158" s="16"/>
      <c r="EK158" s="78"/>
      <c r="EL158" s="79"/>
      <c r="EM158" s="15"/>
      <c r="EN158" s="15"/>
      <c r="EO158" s="15"/>
      <c r="EP158" s="16"/>
      <c r="EQ158" s="16"/>
      <c r="ER158" s="16"/>
      <c r="ES158" s="16"/>
      <c r="ET158" s="16"/>
      <c r="EU158" s="16"/>
      <c r="EV158" s="16"/>
      <c r="EW158" s="16"/>
      <c r="EX158" s="16"/>
      <c r="EY158" s="78"/>
      <c r="EZ158" s="79"/>
      <c r="FA158" s="15"/>
      <c r="FB158" s="15"/>
      <c r="FC158" s="15"/>
      <c r="FD158" s="16"/>
      <c r="FE158" s="16"/>
      <c r="FF158" s="16"/>
      <c r="FG158" s="16"/>
      <c r="FH158" s="16"/>
      <c r="FI158" s="16"/>
      <c r="FJ158" s="16"/>
      <c r="FK158" s="16"/>
      <c r="FM158" s="78"/>
      <c r="FN158" s="79"/>
      <c r="FO158" s="15"/>
      <c r="FP158" s="15"/>
      <c r="FQ158" s="15"/>
      <c r="FR158" s="16"/>
      <c r="FS158" s="16"/>
      <c r="FT158" s="16"/>
      <c r="FU158" s="16"/>
      <c r="FV158" s="16"/>
      <c r="FW158" s="16"/>
      <c r="FX158" s="16"/>
      <c r="FY158" s="16"/>
      <c r="GA158" s="78"/>
      <c r="GB158" s="79"/>
      <c r="GC158" s="15"/>
      <c r="GD158" s="15"/>
      <c r="GE158" s="15"/>
      <c r="GF158" s="16"/>
      <c r="GG158" s="16"/>
      <c r="GH158" s="16"/>
      <c r="GI158" s="16"/>
      <c r="GJ158" s="16"/>
      <c r="GK158" s="16"/>
      <c r="GL158" s="16"/>
      <c r="GM158" s="16"/>
    </row>
    <row r="159" spans="1:195" s="18" customFormat="1" ht="15" customHeight="1">
      <c r="A159" s="80">
        <v>2005</v>
      </c>
      <c r="B159" s="81" t="s">
        <v>45</v>
      </c>
      <c r="C159" s="15">
        <f t="shared" si="73"/>
        <v>0.84262757543700573</v>
      </c>
      <c r="D159" s="15">
        <f t="shared" si="74"/>
        <v>0.88143542182642143</v>
      </c>
      <c r="E159" s="15">
        <f t="shared" si="75"/>
        <v>0.95597199133544908</v>
      </c>
      <c r="F159" s="16"/>
      <c r="G159" s="33"/>
      <c r="H15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19851</v>
      </c>
      <c r="I159" s="16">
        <f t="shared" si="76"/>
        <v>874</v>
      </c>
      <c r="J15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18977</v>
      </c>
      <c r="K15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16727</v>
      </c>
      <c r="L159" s="16">
        <f t="shared" si="77"/>
        <v>2250</v>
      </c>
      <c r="M159" s="16"/>
      <c r="N159" s="16"/>
      <c r="O159" s="92">
        <v>2005</v>
      </c>
      <c r="P159" s="93" t="s">
        <v>45</v>
      </c>
      <c r="Q159" s="42">
        <f t="shared" si="78"/>
        <v>0.84729878721058438</v>
      </c>
      <c r="R159" s="42">
        <f t="shared" si="79"/>
        <v>0.87803484718651814</v>
      </c>
      <c r="S159" s="42">
        <f t="shared" si="80"/>
        <v>0.96499448732083792</v>
      </c>
      <c r="T159" s="43"/>
      <c r="U159" s="43"/>
      <c r="V159" s="30">
        <v>3628</v>
      </c>
      <c r="W159" s="30">
        <f t="shared" si="31"/>
        <v>127</v>
      </c>
      <c r="X159" s="30">
        <v>3501</v>
      </c>
      <c r="Y159" s="30">
        <v>3074</v>
      </c>
      <c r="Z159" s="30">
        <f t="shared" si="81"/>
        <v>427</v>
      </c>
      <c r="AA159" s="16"/>
      <c r="AB159" s="16"/>
      <c r="AC159" s="80">
        <v>2005</v>
      </c>
      <c r="AD159" s="81" t="s">
        <v>45</v>
      </c>
      <c r="AE159" s="15">
        <f t="shared" si="82"/>
        <v>0.84480519480519478</v>
      </c>
      <c r="AF159" s="15">
        <f t="shared" si="83"/>
        <v>0.87491593813046398</v>
      </c>
      <c r="AG159" s="15">
        <f t="shared" si="84"/>
        <v>0.96558441558441555</v>
      </c>
      <c r="AH159" s="15"/>
      <c r="AI159" s="15"/>
      <c r="AJ159" s="16">
        <v>1540</v>
      </c>
      <c r="AK159" s="16">
        <f t="shared" si="36"/>
        <v>53</v>
      </c>
      <c r="AL159" s="16">
        <v>1487</v>
      </c>
      <c r="AM159" s="16">
        <v>1301</v>
      </c>
      <c r="AN159" s="16">
        <f t="shared" si="85"/>
        <v>186</v>
      </c>
      <c r="AO159" s="16"/>
      <c r="AP159" s="16"/>
      <c r="AQ159" s="80">
        <v>2005</v>
      </c>
      <c r="AR159" s="81" t="s">
        <v>45</v>
      </c>
      <c r="AS159" s="15">
        <f t="shared" si="86"/>
        <v>0.85645741703318667</v>
      </c>
      <c r="AT159" s="15">
        <f t="shared" si="87"/>
        <v>0.88769167012018235</v>
      </c>
      <c r="AU159" s="15">
        <f t="shared" si="88"/>
        <v>0.96481407437025191</v>
      </c>
      <c r="AV159" s="16"/>
      <c r="AW159" s="16"/>
      <c r="AX159" s="16">
        <v>5002</v>
      </c>
      <c r="AY159" s="16">
        <f t="shared" si="89"/>
        <v>176</v>
      </c>
      <c r="AZ159" s="16">
        <v>4826</v>
      </c>
      <c r="BA159" s="16">
        <v>4284</v>
      </c>
      <c r="BB159" s="16">
        <f t="shared" si="90"/>
        <v>542</v>
      </c>
      <c r="BC159" s="16"/>
      <c r="BD159" s="16"/>
      <c r="BE159" s="80">
        <v>2005</v>
      </c>
      <c r="BF159" s="81" t="s">
        <v>45</v>
      </c>
      <c r="BG159" s="15">
        <f t="shared" si="91"/>
        <v>0.55517241379310345</v>
      </c>
      <c r="BH159" s="15">
        <f t="shared" si="92"/>
        <v>0.76666666666666672</v>
      </c>
      <c r="BI159" s="15">
        <f t="shared" si="93"/>
        <v>0.72413793103448276</v>
      </c>
      <c r="BJ159" s="16"/>
      <c r="BK159" s="16"/>
      <c r="BL159" s="16">
        <v>580</v>
      </c>
      <c r="BM159" s="16">
        <f t="shared" si="94"/>
        <v>160</v>
      </c>
      <c r="BN159" s="16">
        <v>420</v>
      </c>
      <c r="BO159" s="16">
        <v>322</v>
      </c>
      <c r="BP159" s="16">
        <f t="shared" si="95"/>
        <v>98</v>
      </c>
      <c r="BQ159" s="16"/>
      <c r="BR159" s="16"/>
      <c r="BS159" s="80">
        <v>2005</v>
      </c>
      <c r="BT159" s="81" t="s">
        <v>45</v>
      </c>
      <c r="BU159" s="15">
        <f t="shared" si="96"/>
        <v>0.78254382693024993</v>
      </c>
      <c r="BV159" s="15">
        <f t="shared" si="97"/>
        <v>0.81729645500584336</v>
      </c>
      <c r="BW159" s="15">
        <f t="shared" si="98"/>
        <v>0.95747855277881389</v>
      </c>
      <c r="BX159" s="16"/>
      <c r="BY159" s="16"/>
      <c r="BZ159" s="16">
        <v>2681</v>
      </c>
      <c r="CA159" s="16">
        <f t="shared" si="99"/>
        <v>114</v>
      </c>
      <c r="CB159" s="16">
        <v>2567</v>
      </c>
      <c r="CC159" s="16">
        <v>2098</v>
      </c>
      <c r="CD159" s="16">
        <f t="shared" si="100"/>
        <v>469</v>
      </c>
      <c r="CE159" s="16"/>
      <c r="CF159" s="16"/>
      <c r="CG159" s="80">
        <v>2005</v>
      </c>
      <c r="CH159" s="81" t="s">
        <v>45</v>
      </c>
      <c r="CI159" s="15">
        <f t="shared" si="101"/>
        <v>0.80704328686720472</v>
      </c>
      <c r="CJ159" s="15">
        <f t="shared" si="102"/>
        <v>0.84615384615384615</v>
      </c>
      <c r="CK159" s="15">
        <f t="shared" si="103"/>
        <v>0.95377842993396922</v>
      </c>
      <c r="CL159" s="16"/>
      <c r="CM159" s="16"/>
      <c r="CN159" s="16">
        <v>2726</v>
      </c>
      <c r="CO159" s="16">
        <f t="shared" si="104"/>
        <v>126</v>
      </c>
      <c r="CP159" s="16">
        <v>2600</v>
      </c>
      <c r="CQ159" s="16">
        <v>2200</v>
      </c>
      <c r="CR159" s="16">
        <f t="shared" si="105"/>
        <v>400</v>
      </c>
      <c r="CS159" s="16"/>
      <c r="CT159" s="16"/>
      <c r="CU159" s="80">
        <v>2005</v>
      </c>
      <c r="CV159" s="81" t="s">
        <v>45</v>
      </c>
      <c r="CW159" s="15">
        <f t="shared" si="58"/>
        <v>0.93674293405114406</v>
      </c>
      <c r="CX159" s="15">
        <f t="shared" si="59"/>
        <v>0.97752808988764039</v>
      </c>
      <c r="CY159" s="15">
        <f t="shared" si="60"/>
        <v>0.95827725437415878</v>
      </c>
      <c r="CZ159" s="16"/>
      <c r="DA159" s="16"/>
      <c r="DB159" s="16">
        <v>1486</v>
      </c>
      <c r="DC159" s="16">
        <f t="shared" si="61"/>
        <v>62</v>
      </c>
      <c r="DD159" s="16">
        <v>1424</v>
      </c>
      <c r="DE159" s="16">
        <v>1392</v>
      </c>
      <c r="DF159" s="16">
        <f t="shared" si="62"/>
        <v>32</v>
      </c>
      <c r="DG159" s="16"/>
      <c r="DH159" s="16"/>
      <c r="DI159" s="80">
        <v>2005</v>
      </c>
      <c r="DJ159" s="81" t="s">
        <v>45</v>
      </c>
      <c r="DK159" s="15">
        <f t="shared" si="106"/>
        <v>0.9408163265306122</v>
      </c>
      <c r="DL159" s="15">
        <f t="shared" si="107"/>
        <v>0.95841995841995842</v>
      </c>
      <c r="DM159" s="15">
        <f t="shared" si="108"/>
        <v>0.98163265306122449</v>
      </c>
      <c r="DN159" s="16"/>
      <c r="DO159" s="16"/>
      <c r="DP159" s="16">
        <v>980</v>
      </c>
      <c r="DQ159" s="16">
        <f t="shared" si="109"/>
        <v>18</v>
      </c>
      <c r="DR159" s="16">
        <v>962</v>
      </c>
      <c r="DS159" s="16">
        <v>922</v>
      </c>
      <c r="DT159" s="16">
        <f t="shared" si="110"/>
        <v>40</v>
      </c>
      <c r="DU159" s="16"/>
      <c r="DV159" s="16"/>
      <c r="DW159" s="80">
        <v>2005</v>
      </c>
      <c r="DX159" s="81" t="s">
        <v>45</v>
      </c>
      <c r="DY159" s="15">
        <f t="shared" si="111"/>
        <v>0.92345276872964166</v>
      </c>
      <c r="DZ159" s="15">
        <f t="shared" si="112"/>
        <v>0.95294117647058818</v>
      </c>
      <c r="EA159" s="15">
        <f t="shared" si="113"/>
        <v>0.96905537459283386</v>
      </c>
      <c r="EB159" s="16"/>
      <c r="EC159" s="16"/>
      <c r="ED159" s="16">
        <v>1228</v>
      </c>
      <c r="EE159" s="16">
        <f t="shared" si="114"/>
        <v>38</v>
      </c>
      <c r="EF159" s="16">
        <v>1190</v>
      </c>
      <c r="EG159" s="16">
        <v>1134</v>
      </c>
      <c r="EH159" s="16">
        <f t="shared" si="115"/>
        <v>56</v>
      </c>
      <c r="EI159" s="16"/>
      <c r="EJ159" s="16"/>
      <c r="EK159" s="80"/>
      <c r="EL159" s="81"/>
      <c r="EM159" s="15"/>
      <c r="EN159" s="15"/>
      <c r="EO159" s="15"/>
      <c r="EP159" s="16"/>
      <c r="EQ159" s="16"/>
      <c r="ER159" s="16"/>
      <c r="ES159" s="16"/>
      <c r="ET159" s="16"/>
      <c r="EU159" s="16"/>
      <c r="EV159" s="16"/>
      <c r="EW159" s="16"/>
      <c r="EX159" s="16"/>
      <c r="EY159" s="80"/>
      <c r="EZ159" s="81"/>
      <c r="FA159" s="15"/>
      <c r="FB159" s="15"/>
      <c r="FC159" s="15"/>
      <c r="FD159" s="16"/>
      <c r="FE159" s="16"/>
      <c r="FF159" s="16"/>
      <c r="FG159" s="16"/>
      <c r="FH159" s="16"/>
      <c r="FI159" s="16"/>
      <c r="FJ159" s="16"/>
      <c r="FK159" s="16"/>
      <c r="FM159" s="80"/>
      <c r="FN159" s="81"/>
      <c r="FO159" s="15"/>
      <c r="FP159" s="15"/>
      <c r="FQ159" s="15"/>
      <c r="FR159" s="16"/>
      <c r="FS159" s="16"/>
      <c r="FT159" s="16"/>
      <c r="FU159" s="16"/>
      <c r="FV159" s="16"/>
      <c r="FW159" s="16"/>
      <c r="FX159" s="16"/>
      <c r="FY159" s="16"/>
      <c r="GA159" s="80"/>
      <c r="GB159" s="81"/>
      <c r="GC159" s="15"/>
      <c r="GD159" s="15"/>
      <c r="GE159" s="15"/>
      <c r="GF159" s="16"/>
      <c r="GG159" s="16"/>
      <c r="GH159" s="16"/>
      <c r="GI159" s="16"/>
      <c r="GJ159" s="16"/>
      <c r="GK159" s="16"/>
      <c r="GL159" s="16"/>
      <c r="GM159" s="16"/>
    </row>
    <row r="160" spans="1:195" s="18" customFormat="1" ht="15" customHeight="1">
      <c r="A160" s="78">
        <v>2005</v>
      </c>
      <c r="B160" s="79" t="s">
        <v>46</v>
      </c>
      <c r="C160" s="15">
        <f t="shared" si="73"/>
        <v>0.84301096910536377</v>
      </c>
      <c r="D160" s="15">
        <f t="shared" si="74"/>
        <v>0.88533079687169736</v>
      </c>
      <c r="E160" s="15">
        <f t="shared" si="75"/>
        <v>0.95219885277246652</v>
      </c>
      <c r="F160" s="16"/>
      <c r="G160" s="33"/>
      <c r="H16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19874</v>
      </c>
      <c r="I160" s="16">
        <f t="shared" si="76"/>
        <v>950</v>
      </c>
      <c r="J16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18924</v>
      </c>
      <c r="K16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16754</v>
      </c>
      <c r="L160" s="16">
        <f t="shared" si="77"/>
        <v>2170</v>
      </c>
      <c r="M160" s="16"/>
      <c r="N160" s="16"/>
      <c r="O160" s="90">
        <v>2005</v>
      </c>
      <c r="P160" s="91" t="s">
        <v>46</v>
      </c>
      <c r="Q160" s="42">
        <f t="shared" si="78"/>
        <v>0.87743506493506496</v>
      </c>
      <c r="R160" s="42">
        <f t="shared" si="79"/>
        <v>0.90942232192933259</v>
      </c>
      <c r="S160" s="42">
        <f t="shared" si="80"/>
        <v>0.96482683982683981</v>
      </c>
      <c r="T160" s="43"/>
      <c r="U160" s="43"/>
      <c r="V160" s="30">
        <v>3696</v>
      </c>
      <c r="W160" s="30">
        <f t="shared" si="31"/>
        <v>130</v>
      </c>
      <c r="X160" s="30">
        <v>3566</v>
      </c>
      <c r="Y160" s="30">
        <v>3243</v>
      </c>
      <c r="Z160" s="30">
        <f t="shared" si="81"/>
        <v>323</v>
      </c>
      <c r="AA160" s="16"/>
      <c r="AB160" s="16"/>
      <c r="AC160" s="78">
        <v>2005</v>
      </c>
      <c r="AD160" s="79" t="s">
        <v>46</v>
      </c>
      <c r="AE160" s="15">
        <f t="shared" si="82"/>
        <v>0.84165571616294355</v>
      </c>
      <c r="AF160" s="15">
        <f t="shared" si="83"/>
        <v>0.86554054054054053</v>
      </c>
      <c r="AG160" s="15">
        <f t="shared" si="84"/>
        <v>0.97240473061760846</v>
      </c>
      <c r="AH160" s="15"/>
      <c r="AI160" s="15"/>
      <c r="AJ160" s="16">
        <v>1522</v>
      </c>
      <c r="AK160" s="16">
        <f t="shared" si="36"/>
        <v>42</v>
      </c>
      <c r="AL160" s="16">
        <v>1480</v>
      </c>
      <c r="AM160" s="16">
        <v>1281</v>
      </c>
      <c r="AN160" s="16">
        <f t="shared" si="85"/>
        <v>199</v>
      </c>
      <c r="AO160" s="16"/>
      <c r="AP160" s="16"/>
      <c r="AQ160" s="78">
        <v>2005</v>
      </c>
      <c r="AR160" s="79" t="s">
        <v>46</v>
      </c>
      <c r="AS160" s="15">
        <f t="shared" si="86"/>
        <v>0.86575178997613367</v>
      </c>
      <c r="AT160" s="15">
        <f t="shared" si="87"/>
        <v>0.91468795965538974</v>
      </c>
      <c r="AU160" s="15">
        <f t="shared" si="88"/>
        <v>0.94649960222752583</v>
      </c>
      <c r="AV160" s="16"/>
      <c r="AW160" s="16"/>
      <c r="AX160" s="16">
        <v>5028</v>
      </c>
      <c r="AY160" s="16">
        <f t="shared" si="89"/>
        <v>269</v>
      </c>
      <c r="AZ160" s="16">
        <v>4759</v>
      </c>
      <c r="BA160" s="16">
        <v>4353</v>
      </c>
      <c r="BB160" s="16">
        <f t="shared" si="90"/>
        <v>406</v>
      </c>
      <c r="BC160" s="16"/>
      <c r="BD160" s="16"/>
      <c r="BE160" s="78">
        <v>2005</v>
      </c>
      <c r="BF160" s="79" t="s">
        <v>46</v>
      </c>
      <c r="BG160" s="15">
        <f t="shared" si="91"/>
        <v>0.55956112852664575</v>
      </c>
      <c r="BH160" s="15">
        <f t="shared" si="92"/>
        <v>0.7846153846153846</v>
      </c>
      <c r="BI160" s="15">
        <f t="shared" si="93"/>
        <v>0.71316614420062696</v>
      </c>
      <c r="BJ160" s="16"/>
      <c r="BK160" s="16"/>
      <c r="BL160" s="16">
        <v>638</v>
      </c>
      <c r="BM160" s="16">
        <f t="shared" si="94"/>
        <v>183</v>
      </c>
      <c r="BN160" s="16">
        <v>455</v>
      </c>
      <c r="BO160" s="16">
        <v>357</v>
      </c>
      <c r="BP160" s="16">
        <f t="shared" si="95"/>
        <v>98</v>
      </c>
      <c r="BQ160" s="16"/>
      <c r="BR160" s="16"/>
      <c r="BS160" s="78">
        <v>2005</v>
      </c>
      <c r="BT160" s="79" t="s">
        <v>46</v>
      </c>
      <c r="BU160" s="15">
        <f t="shared" si="96"/>
        <v>0.74587706146926536</v>
      </c>
      <c r="BV160" s="15">
        <f t="shared" si="97"/>
        <v>0.77341624562767197</v>
      </c>
      <c r="BW160" s="15">
        <f t="shared" si="98"/>
        <v>0.9643928035982009</v>
      </c>
      <c r="BX160" s="16"/>
      <c r="BY160" s="16"/>
      <c r="BZ160" s="16">
        <v>2668</v>
      </c>
      <c r="CA160" s="16">
        <f t="shared" si="99"/>
        <v>95</v>
      </c>
      <c r="CB160" s="16">
        <v>2573</v>
      </c>
      <c r="CC160" s="16">
        <v>1990</v>
      </c>
      <c r="CD160" s="16">
        <f t="shared" si="100"/>
        <v>583</v>
      </c>
      <c r="CE160" s="16"/>
      <c r="CF160" s="16"/>
      <c r="CG160" s="78">
        <v>2005</v>
      </c>
      <c r="CH160" s="79" t="s">
        <v>46</v>
      </c>
      <c r="CI160" s="15">
        <f t="shared" si="101"/>
        <v>0.80666666666666664</v>
      </c>
      <c r="CJ160" s="15">
        <f t="shared" si="102"/>
        <v>0.83384379785604901</v>
      </c>
      <c r="CK160" s="15">
        <f t="shared" si="103"/>
        <v>0.96740740740740738</v>
      </c>
      <c r="CL160" s="16"/>
      <c r="CM160" s="16"/>
      <c r="CN160" s="16">
        <v>2700</v>
      </c>
      <c r="CO160" s="16">
        <f t="shared" si="104"/>
        <v>88</v>
      </c>
      <c r="CP160" s="16">
        <v>2612</v>
      </c>
      <c r="CQ160" s="16">
        <v>2178</v>
      </c>
      <c r="CR160" s="16">
        <f t="shared" si="105"/>
        <v>434</v>
      </c>
      <c r="CS160" s="16"/>
      <c r="CT160" s="16"/>
      <c r="CU160" s="78">
        <v>2005</v>
      </c>
      <c r="CV160" s="79" t="s">
        <v>46</v>
      </c>
      <c r="CW160" s="15">
        <f t="shared" si="58"/>
        <v>0.95128552097428953</v>
      </c>
      <c r="CX160" s="15">
        <f t="shared" si="59"/>
        <v>0.98390482855143457</v>
      </c>
      <c r="CY160" s="15">
        <f t="shared" si="60"/>
        <v>0.96684709066305818</v>
      </c>
      <c r="CZ160" s="16"/>
      <c r="DA160" s="16"/>
      <c r="DB160" s="16">
        <v>1478</v>
      </c>
      <c r="DC160" s="16">
        <f t="shared" si="61"/>
        <v>49</v>
      </c>
      <c r="DD160" s="16">
        <v>1429</v>
      </c>
      <c r="DE160" s="16">
        <v>1406</v>
      </c>
      <c r="DF160" s="16">
        <f t="shared" si="62"/>
        <v>23</v>
      </c>
      <c r="DG160" s="16"/>
      <c r="DH160" s="16"/>
      <c r="DI160" s="78">
        <v>2005</v>
      </c>
      <c r="DJ160" s="79" t="s">
        <v>46</v>
      </c>
      <c r="DK160" s="15">
        <f t="shared" si="106"/>
        <v>0.93802521008403361</v>
      </c>
      <c r="DL160" s="15">
        <f t="shared" si="107"/>
        <v>0.97276688453159044</v>
      </c>
      <c r="DM160" s="15">
        <f t="shared" si="108"/>
        <v>0.9642857142857143</v>
      </c>
      <c r="DN160" s="16"/>
      <c r="DO160" s="16"/>
      <c r="DP160" s="16">
        <v>952</v>
      </c>
      <c r="DQ160" s="16">
        <f t="shared" si="109"/>
        <v>34</v>
      </c>
      <c r="DR160" s="16">
        <v>918</v>
      </c>
      <c r="DS160" s="16">
        <v>893</v>
      </c>
      <c r="DT160" s="16">
        <f t="shared" si="110"/>
        <v>25</v>
      </c>
      <c r="DU160" s="16"/>
      <c r="DV160" s="16"/>
      <c r="DW160" s="78">
        <v>2005</v>
      </c>
      <c r="DX160" s="79" t="s">
        <v>46</v>
      </c>
      <c r="DY160" s="15">
        <f t="shared" si="111"/>
        <v>0.88338926174496646</v>
      </c>
      <c r="DZ160" s="15">
        <f t="shared" si="112"/>
        <v>0.93021201413427557</v>
      </c>
      <c r="EA160" s="15">
        <f t="shared" si="113"/>
        <v>0.94966442953020136</v>
      </c>
      <c r="EB160" s="16"/>
      <c r="EC160" s="16"/>
      <c r="ED160" s="16">
        <v>1192</v>
      </c>
      <c r="EE160" s="16">
        <f t="shared" si="114"/>
        <v>60</v>
      </c>
      <c r="EF160" s="16">
        <v>1132</v>
      </c>
      <c r="EG160" s="16">
        <v>1053</v>
      </c>
      <c r="EH160" s="16">
        <f t="shared" si="115"/>
        <v>79</v>
      </c>
      <c r="EI160" s="16"/>
      <c r="EJ160" s="16"/>
      <c r="EK160" s="78"/>
      <c r="EL160" s="79"/>
      <c r="EM160" s="15"/>
      <c r="EN160" s="15"/>
      <c r="EO160" s="15"/>
      <c r="EP160" s="16"/>
      <c r="EQ160" s="16"/>
      <c r="ER160" s="16"/>
      <c r="ES160" s="16"/>
      <c r="ET160" s="16"/>
      <c r="EU160" s="16"/>
      <c r="EV160" s="16"/>
      <c r="EW160" s="16"/>
      <c r="EX160" s="16"/>
      <c r="EY160" s="78"/>
      <c r="EZ160" s="79"/>
      <c r="FA160" s="15"/>
      <c r="FB160" s="15"/>
      <c r="FC160" s="15"/>
      <c r="FD160" s="16"/>
      <c r="FE160" s="16"/>
      <c r="FF160" s="16"/>
      <c r="FG160" s="16"/>
      <c r="FH160" s="16"/>
      <c r="FI160" s="16"/>
      <c r="FJ160" s="16"/>
      <c r="FK160" s="16"/>
      <c r="FM160" s="78"/>
      <c r="FN160" s="79"/>
      <c r="FO160" s="15"/>
      <c r="FP160" s="15"/>
      <c r="FQ160" s="15"/>
      <c r="FR160" s="16"/>
      <c r="FS160" s="16"/>
      <c r="FT160" s="16"/>
      <c r="FU160" s="16"/>
      <c r="FV160" s="16"/>
      <c r="FW160" s="16"/>
      <c r="FX160" s="16"/>
      <c r="FY160" s="16"/>
      <c r="GA160" s="78"/>
      <c r="GB160" s="79"/>
      <c r="GC160" s="15"/>
      <c r="GD160" s="15"/>
      <c r="GE160" s="15"/>
      <c r="GF160" s="16"/>
      <c r="GG160" s="16"/>
      <c r="GH160" s="16"/>
      <c r="GI160" s="16"/>
      <c r="GJ160" s="16"/>
      <c r="GK160" s="16"/>
      <c r="GL160" s="16"/>
      <c r="GM160" s="16"/>
    </row>
    <row r="161" spans="1:195" s="18" customFormat="1" ht="15" customHeight="1">
      <c r="A161" s="80">
        <v>2005</v>
      </c>
      <c r="B161" s="81" t="s">
        <v>47</v>
      </c>
      <c r="C161" s="15">
        <f t="shared" si="73"/>
        <v>0.78920716874348407</v>
      </c>
      <c r="D161" s="15">
        <f t="shared" si="74"/>
        <v>0.83884755421877477</v>
      </c>
      <c r="E161" s="15">
        <f t="shared" si="75"/>
        <v>0.94082311472968272</v>
      </c>
      <c r="F161" s="16"/>
      <c r="G161" s="33"/>
      <c r="H16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20143</v>
      </c>
      <c r="I161" s="16">
        <f t="shared" si="76"/>
        <v>1192</v>
      </c>
      <c r="J16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18951</v>
      </c>
      <c r="K16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15897</v>
      </c>
      <c r="L161" s="16">
        <f t="shared" si="77"/>
        <v>3054</v>
      </c>
      <c r="M161" s="16"/>
      <c r="N161" s="16"/>
      <c r="O161" s="92">
        <v>2005</v>
      </c>
      <c r="P161" s="93" t="s">
        <v>47</v>
      </c>
      <c r="Q161" s="42">
        <f t="shared" si="78"/>
        <v>0.84636118598382748</v>
      </c>
      <c r="R161" s="42">
        <f t="shared" si="79"/>
        <v>0.88301462317210344</v>
      </c>
      <c r="S161" s="42">
        <f t="shared" si="80"/>
        <v>0.95849056603773586</v>
      </c>
      <c r="T161" s="43"/>
      <c r="U161" s="43"/>
      <c r="V161" s="30">
        <v>3710</v>
      </c>
      <c r="W161" s="30">
        <f t="shared" si="31"/>
        <v>154</v>
      </c>
      <c r="X161" s="30">
        <v>3556</v>
      </c>
      <c r="Y161" s="30">
        <v>3140</v>
      </c>
      <c r="Z161" s="30">
        <f t="shared" si="81"/>
        <v>416</v>
      </c>
      <c r="AA161" s="16"/>
      <c r="AB161" s="16"/>
      <c r="AC161" s="80">
        <v>2005</v>
      </c>
      <c r="AD161" s="81" t="s">
        <v>47</v>
      </c>
      <c r="AE161" s="15">
        <f t="shared" si="82"/>
        <v>0.80680359435173299</v>
      </c>
      <c r="AF161" s="15">
        <f t="shared" si="83"/>
        <v>0.84080267558528432</v>
      </c>
      <c r="AG161" s="15">
        <f t="shared" si="84"/>
        <v>0.95956354300385105</v>
      </c>
      <c r="AH161" s="15"/>
      <c r="AI161" s="15"/>
      <c r="AJ161" s="16">
        <v>1558</v>
      </c>
      <c r="AK161" s="16">
        <f t="shared" si="36"/>
        <v>63</v>
      </c>
      <c r="AL161" s="16">
        <v>1495</v>
      </c>
      <c r="AM161" s="16">
        <v>1257</v>
      </c>
      <c r="AN161" s="16">
        <f t="shared" si="85"/>
        <v>238</v>
      </c>
      <c r="AO161" s="16"/>
      <c r="AP161" s="16"/>
      <c r="AQ161" s="80">
        <v>2005</v>
      </c>
      <c r="AR161" s="81" t="s">
        <v>47</v>
      </c>
      <c r="AS161" s="15">
        <f t="shared" si="86"/>
        <v>0.86011787819253438</v>
      </c>
      <c r="AT161" s="15">
        <f t="shared" si="87"/>
        <v>0.90286657042689211</v>
      </c>
      <c r="AU161" s="15">
        <f t="shared" si="88"/>
        <v>0.95265225933202358</v>
      </c>
      <c r="AV161" s="16"/>
      <c r="AW161" s="16"/>
      <c r="AX161" s="16">
        <v>5090</v>
      </c>
      <c r="AY161" s="16">
        <f t="shared" si="89"/>
        <v>241</v>
      </c>
      <c r="AZ161" s="16">
        <v>4849</v>
      </c>
      <c r="BA161" s="16">
        <v>4378</v>
      </c>
      <c r="BB161" s="16">
        <f t="shared" si="90"/>
        <v>471</v>
      </c>
      <c r="BC161" s="16"/>
      <c r="BD161" s="16"/>
      <c r="BE161" s="80">
        <v>2005</v>
      </c>
      <c r="BF161" s="81" t="s">
        <v>47</v>
      </c>
      <c r="BG161" s="15">
        <f t="shared" si="91"/>
        <v>0.58128078817733986</v>
      </c>
      <c r="BH161" s="15">
        <f t="shared" si="92"/>
        <v>0.78666666666666663</v>
      </c>
      <c r="BI161" s="15">
        <f t="shared" si="93"/>
        <v>0.73891625615763545</v>
      </c>
      <c r="BJ161" s="16"/>
      <c r="BK161" s="16"/>
      <c r="BL161" s="16">
        <v>609</v>
      </c>
      <c r="BM161" s="16">
        <f t="shared" si="94"/>
        <v>159</v>
      </c>
      <c r="BN161" s="16">
        <v>450</v>
      </c>
      <c r="BO161" s="16">
        <v>354</v>
      </c>
      <c r="BP161" s="16">
        <f t="shared" si="95"/>
        <v>96</v>
      </c>
      <c r="BQ161" s="16"/>
      <c r="BR161" s="16"/>
      <c r="BS161" s="80">
        <v>2005</v>
      </c>
      <c r="BT161" s="81" t="s">
        <v>47</v>
      </c>
      <c r="BU161" s="15">
        <f t="shared" si="96"/>
        <v>0.59904094430099597</v>
      </c>
      <c r="BV161" s="15">
        <f t="shared" si="97"/>
        <v>0.63586530931871577</v>
      </c>
      <c r="BW161" s="15">
        <f t="shared" si="98"/>
        <v>0.94208779048321656</v>
      </c>
      <c r="BX161" s="16"/>
      <c r="BY161" s="16"/>
      <c r="BZ161" s="16">
        <v>2711</v>
      </c>
      <c r="CA161" s="16">
        <f t="shared" si="99"/>
        <v>157</v>
      </c>
      <c r="CB161" s="16">
        <v>2554</v>
      </c>
      <c r="CC161" s="16">
        <v>1624</v>
      </c>
      <c r="CD161" s="16">
        <f t="shared" si="100"/>
        <v>930</v>
      </c>
      <c r="CE161" s="16"/>
      <c r="CF161" s="16"/>
      <c r="CG161" s="80">
        <v>2005</v>
      </c>
      <c r="CH161" s="81" t="s">
        <v>47</v>
      </c>
      <c r="CI161" s="15">
        <f t="shared" si="101"/>
        <v>0.67902580879680119</v>
      </c>
      <c r="CJ161" s="15">
        <f t="shared" si="102"/>
        <v>0.72769770159719516</v>
      </c>
      <c r="CK161" s="15">
        <f t="shared" si="103"/>
        <v>0.93311523082515446</v>
      </c>
      <c r="CL161" s="16"/>
      <c r="CM161" s="16"/>
      <c r="CN161" s="16">
        <v>2751</v>
      </c>
      <c r="CO161" s="16">
        <f t="shared" si="104"/>
        <v>184</v>
      </c>
      <c r="CP161" s="16">
        <v>2567</v>
      </c>
      <c r="CQ161" s="16">
        <v>1868</v>
      </c>
      <c r="CR161" s="16">
        <f t="shared" si="105"/>
        <v>699</v>
      </c>
      <c r="CS161" s="16"/>
      <c r="CT161" s="16"/>
      <c r="CU161" s="80">
        <v>2005</v>
      </c>
      <c r="CV161" s="81" t="s">
        <v>47</v>
      </c>
      <c r="CW161" s="15">
        <f t="shared" si="58"/>
        <v>0.93142476697736354</v>
      </c>
      <c r="CX161" s="15">
        <f t="shared" si="59"/>
        <v>0.96682791983413963</v>
      </c>
      <c r="CY161" s="15">
        <f t="shared" si="60"/>
        <v>0.9633821571238349</v>
      </c>
      <c r="CZ161" s="16"/>
      <c r="DA161" s="16"/>
      <c r="DB161" s="16">
        <v>1502</v>
      </c>
      <c r="DC161" s="16">
        <f t="shared" si="61"/>
        <v>55</v>
      </c>
      <c r="DD161" s="16">
        <v>1447</v>
      </c>
      <c r="DE161" s="16">
        <v>1399</v>
      </c>
      <c r="DF161" s="16">
        <f t="shared" si="62"/>
        <v>48</v>
      </c>
      <c r="DG161" s="16"/>
      <c r="DH161" s="16"/>
      <c r="DI161" s="80">
        <v>2005</v>
      </c>
      <c r="DJ161" s="81" t="s">
        <v>47</v>
      </c>
      <c r="DK161" s="15">
        <f t="shared" si="106"/>
        <v>0.91853360488798375</v>
      </c>
      <c r="DL161" s="15">
        <f t="shared" si="107"/>
        <v>0.94648478488982157</v>
      </c>
      <c r="DM161" s="15">
        <f t="shared" si="108"/>
        <v>0.97046843177189412</v>
      </c>
      <c r="DN161" s="16"/>
      <c r="DO161" s="16"/>
      <c r="DP161" s="16">
        <v>982</v>
      </c>
      <c r="DQ161" s="16">
        <f t="shared" si="109"/>
        <v>29</v>
      </c>
      <c r="DR161" s="16">
        <v>953</v>
      </c>
      <c r="DS161" s="16">
        <v>902</v>
      </c>
      <c r="DT161" s="16">
        <f t="shared" si="110"/>
        <v>51</v>
      </c>
      <c r="DU161" s="16"/>
      <c r="DV161" s="16"/>
      <c r="DW161" s="80">
        <v>2005</v>
      </c>
      <c r="DX161" s="81" t="s">
        <v>47</v>
      </c>
      <c r="DY161" s="15">
        <f t="shared" si="111"/>
        <v>0.79268292682926833</v>
      </c>
      <c r="DZ161" s="15">
        <f t="shared" si="112"/>
        <v>0.90277777777777779</v>
      </c>
      <c r="EA161" s="15">
        <f t="shared" si="113"/>
        <v>0.87804878048780488</v>
      </c>
      <c r="EB161" s="16"/>
      <c r="EC161" s="16"/>
      <c r="ED161" s="16">
        <v>1230</v>
      </c>
      <c r="EE161" s="16">
        <f t="shared" si="114"/>
        <v>150</v>
      </c>
      <c r="EF161" s="16">
        <v>1080</v>
      </c>
      <c r="EG161" s="16">
        <v>975</v>
      </c>
      <c r="EH161" s="16">
        <f t="shared" si="115"/>
        <v>105</v>
      </c>
      <c r="EI161" s="16"/>
      <c r="EJ161" s="16"/>
      <c r="EK161" s="80"/>
      <c r="EL161" s="81"/>
      <c r="EM161" s="15"/>
      <c r="EN161" s="15"/>
      <c r="EO161" s="15"/>
      <c r="EP161" s="16"/>
      <c r="EQ161" s="16"/>
      <c r="ER161" s="16"/>
      <c r="ES161" s="16"/>
      <c r="ET161" s="16"/>
      <c r="EU161" s="16"/>
      <c r="EV161" s="16"/>
      <c r="EW161" s="16"/>
      <c r="EX161" s="16"/>
      <c r="EY161" s="80"/>
      <c r="EZ161" s="81"/>
      <c r="FA161" s="15"/>
      <c r="FB161" s="15"/>
      <c r="FC161" s="15"/>
      <c r="FD161" s="16"/>
      <c r="FE161" s="16"/>
      <c r="FF161" s="16"/>
      <c r="FG161" s="16"/>
      <c r="FH161" s="16"/>
      <c r="FI161" s="16"/>
      <c r="FJ161" s="16"/>
      <c r="FK161" s="16"/>
      <c r="FM161" s="80"/>
      <c r="FN161" s="81"/>
      <c r="FO161" s="15"/>
      <c r="FP161" s="15"/>
      <c r="FQ161" s="15"/>
      <c r="FR161" s="16"/>
      <c r="FS161" s="16"/>
      <c r="FT161" s="16"/>
      <c r="FU161" s="16"/>
      <c r="FV161" s="16"/>
      <c r="FW161" s="16"/>
      <c r="FX161" s="16"/>
      <c r="FY161" s="16"/>
      <c r="GA161" s="80"/>
      <c r="GB161" s="81"/>
      <c r="GC161" s="15"/>
      <c r="GD161" s="15"/>
      <c r="GE161" s="15"/>
      <c r="GF161" s="16"/>
      <c r="GG161" s="16"/>
      <c r="GH161" s="16"/>
      <c r="GI161" s="16"/>
      <c r="GJ161" s="16"/>
      <c r="GK161" s="16"/>
      <c r="GL161" s="16"/>
      <c r="GM161" s="16"/>
    </row>
    <row r="162" spans="1:195" s="18" customFormat="1" ht="15" customHeight="1">
      <c r="A162" s="78">
        <v>2006</v>
      </c>
      <c r="B162" s="79" t="s">
        <v>36</v>
      </c>
      <c r="C162" s="15">
        <f t="shared" si="73"/>
        <v>0.83481901009603543</v>
      </c>
      <c r="D162" s="15">
        <f t="shared" si="74"/>
        <v>0.87574912171936348</v>
      </c>
      <c r="E162" s="15">
        <f t="shared" si="75"/>
        <v>0.95326274316670767</v>
      </c>
      <c r="F162" s="16"/>
      <c r="G162" s="33"/>
      <c r="H16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62" s="16">
        <f t="shared" si="76"/>
        <v>949</v>
      </c>
      <c r="J16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19356</v>
      </c>
      <c r="K16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16951</v>
      </c>
      <c r="L162" s="16">
        <f t="shared" si="77"/>
        <v>2405</v>
      </c>
      <c r="M162" s="16"/>
      <c r="N162" s="16"/>
      <c r="O162" s="90">
        <v>2006</v>
      </c>
      <c r="P162" s="91" t="s">
        <v>36</v>
      </c>
      <c r="Q162" s="42">
        <f t="shared" si="78"/>
        <v>0.88438998401704849</v>
      </c>
      <c r="R162" s="42">
        <f t="shared" si="79"/>
        <v>0.92196612052207716</v>
      </c>
      <c r="S162" s="42">
        <f t="shared" si="80"/>
        <v>0.95924347362813001</v>
      </c>
      <c r="T162" s="43"/>
      <c r="U162" s="43"/>
      <c r="V162" s="30">
        <v>3754</v>
      </c>
      <c r="W162" s="30">
        <f t="shared" si="31"/>
        <v>153</v>
      </c>
      <c r="X162" s="30">
        <v>3601</v>
      </c>
      <c r="Y162" s="30">
        <v>3320</v>
      </c>
      <c r="Z162" s="30">
        <f t="shared" ref="Z162:Z173" si="116">X162-Y162</f>
        <v>281</v>
      </c>
      <c r="AA162" s="16"/>
      <c r="AB162" s="16"/>
      <c r="AC162" s="78">
        <v>2006</v>
      </c>
      <c r="AD162" s="79" t="s">
        <v>36</v>
      </c>
      <c r="AE162" s="15">
        <f t="shared" si="82"/>
        <v>0.86384071933204876</v>
      </c>
      <c r="AF162" s="15">
        <f t="shared" si="83"/>
        <v>0.89726484322881916</v>
      </c>
      <c r="AG162" s="15">
        <f t="shared" si="84"/>
        <v>0.96274887604367376</v>
      </c>
      <c r="AH162" s="15"/>
      <c r="AI162" s="15"/>
      <c r="AJ162" s="16">
        <v>1557</v>
      </c>
      <c r="AK162" s="16">
        <f t="shared" si="36"/>
        <v>58</v>
      </c>
      <c r="AL162" s="16">
        <v>1499</v>
      </c>
      <c r="AM162" s="16">
        <v>1345</v>
      </c>
      <c r="AN162" s="16">
        <f t="shared" si="85"/>
        <v>154</v>
      </c>
      <c r="AO162" s="16"/>
      <c r="AP162" s="16"/>
      <c r="AQ162" s="78">
        <v>2006</v>
      </c>
      <c r="AR162" s="79" t="s">
        <v>36</v>
      </c>
      <c r="AS162" s="15">
        <f t="shared" si="86"/>
        <v>0.88658988873706812</v>
      </c>
      <c r="AT162" s="15">
        <f t="shared" si="87"/>
        <v>0.93131023169981542</v>
      </c>
      <c r="AU162" s="15">
        <f t="shared" si="88"/>
        <v>0.95198126097989455</v>
      </c>
      <c r="AV162" s="16"/>
      <c r="AW162" s="16"/>
      <c r="AX162" s="16">
        <v>5123</v>
      </c>
      <c r="AY162" s="16">
        <f t="shared" ref="AY162:AY173" si="117">AX162-AZ162</f>
        <v>246</v>
      </c>
      <c r="AZ162" s="16">
        <v>4877</v>
      </c>
      <c r="BA162" s="16">
        <v>4542</v>
      </c>
      <c r="BB162" s="16">
        <f t="shared" ref="BB162:BB173" si="118">AZ162-BA162</f>
        <v>335</v>
      </c>
      <c r="BC162" s="16"/>
      <c r="BD162" s="16"/>
      <c r="BE162" s="78">
        <v>2006</v>
      </c>
      <c r="BF162" s="79" t="s">
        <v>36</v>
      </c>
      <c r="BG162" s="15">
        <f t="shared" si="91"/>
        <v>0.61285266457680254</v>
      </c>
      <c r="BH162" s="15">
        <f t="shared" si="92"/>
        <v>0.85371179039301315</v>
      </c>
      <c r="BI162" s="15">
        <f t="shared" si="93"/>
        <v>0.7178683385579937</v>
      </c>
      <c r="BJ162" s="16"/>
      <c r="BK162" s="16"/>
      <c r="BL162" s="16">
        <v>638</v>
      </c>
      <c r="BM162" s="16">
        <f t="shared" ref="BM162:BM173" si="119">BL162-BN162</f>
        <v>180</v>
      </c>
      <c r="BN162" s="16">
        <v>458</v>
      </c>
      <c r="BO162" s="16">
        <v>391</v>
      </c>
      <c r="BP162" s="16">
        <f t="shared" ref="BP162:BP173" si="120">BN162-BO162</f>
        <v>67</v>
      </c>
      <c r="BQ162" s="16"/>
      <c r="BR162" s="16"/>
      <c r="BS162" s="78">
        <v>2006</v>
      </c>
      <c r="BT162" s="79" t="s">
        <v>36</v>
      </c>
      <c r="BU162" s="15">
        <f t="shared" si="96"/>
        <v>0.65581565471836134</v>
      </c>
      <c r="BV162" s="15">
        <f t="shared" si="97"/>
        <v>0.67737060823573858</v>
      </c>
      <c r="BW162" s="15">
        <f t="shared" si="98"/>
        <v>0.96817849305047554</v>
      </c>
      <c r="BX162" s="16"/>
      <c r="BY162" s="16"/>
      <c r="BZ162" s="16">
        <v>2734</v>
      </c>
      <c r="CA162" s="16">
        <f t="shared" ref="CA162:CA173" si="121">BZ162-CB162</f>
        <v>87</v>
      </c>
      <c r="CB162" s="16">
        <v>2647</v>
      </c>
      <c r="CC162" s="16">
        <v>1793</v>
      </c>
      <c r="CD162" s="16">
        <f t="shared" ref="CD162:CD173" si="122">CB162-CC162</f>
        <v>854</v>
      </c>
      <c r="CE162" s="16"/>
      <c r="CF162" s="16"/>
      <c r="CG162" s="78">
        <v>2006</v>
      </c>
      <c r="CH162" s="79" t="s">
        <v>36</v>
      </c>
      <c r="CI162" s="15">
        <f t="shared" si="101"/>
        <v>0.75893179357632623</v>
      </c>
      <c r="CJ162" s="15">
        <f t="shared" si="102"/>
        <v>0.78558087411281285</v>
      </c>
      <c r="CK162" s="15">
        <f t="shared" si="103"/>
        <v>0.96607722843738719</v>
      </c>
      <c r="CL162" s="16"/>
      <c r="CM162" s="16"/>
      <c r="CN162" s="16">
        <v>2771</v>
      </c>
      <c r="CO162" s="16">
        <f t="shared" ref="CO162:CO173" si="123">CN162-CP162</f>
        <v>94</v>
      </c>
      <c r="CP162" s="16">
        <v>2677</v>
      </c>
      <c r="CQ162" s="16">
        <v>2103</v>
      </c>
      <c r="CR162" s="16">
        <f t="shared" ref="CR162:CR173" si="124">CP162-CQ162</f>
        <v>574</v>
      </c>
      <c r="CS162" s="16"/>
      <c r="CT162" s="16"/>
      <c r="CU162" s="78">
        <v>2006</v>
      </c>
      <c r="CV162" s="79" t="s">
        <v>36</v>
      </c>
      <c r="CW162" s="15">
        <f t="shared" si="58"/>
        <v>0.94788918205804751</v>
      </c>
      <c r="CX162" s="15">
        <f t="shared" si="59"/>
        <v>0.96898179366149695</v>
      </c>
      <c r="CY162" s="15">
        <f t="shared" si="60"/>
        <v>0.97823218997361483</v>
      </c>
      <c r="CZ162" s="16"/>
      <c r="DA162" s="16"/>
      <c r="DB162" s="16">
        <v>1516</v>
      </c>
      <c r="DC162" s="16">
        <f t="shared" si="61"/>
        <v>33</v>
      </c>
      <c r="DD162" s="16">
        <v>1483</v>
      </c>
      <c r="DE162" s="16">
        <v>1437</v>
      </c>
      <c r="DF162" s="16">
        <f t="shared" si="62"/>
        <v>46</v>
      </c>
      <c r="DG162" s="16"/>
      <c r="DH162" s="16"/>
      <c r="DI162" s="78">
        <v>2006</v>
      </c>
      <c r="DJ162" s="79" t="s">
        <v>36</v>
      </c>
      <c r="DK162" s="15">
        <f t="shared" si="106"/>
        <v>0.93584521384928721</v>
      </c>
      <c r="DL162" s="15">
        <f t="shared" si="107"/>
        <v>0.95729166666666665</v>
      </c>
      <c r="DM162" s="15">
        <f t="shared" si="108"/>
        <v>0.9775967413441955</v>
      </c>
      <c r="DN162" s="16"/>
      <c r="DO162" s="16"/>
      <c r="DP162" s="16">
        <v>982</v>
      </c>
      <c r="DQ162" s="16">
        <f t="shared" ref="DQ162:DQ173" si="125">DP162-DR162</f>
        <v>22</v>
      </c>
      <c r="DR162" s="16">
        <v>960</v>
      </c>
      <c r="DS162" s="16">
        <v>919</v>
      </c>
      <c r="DT162" s="16">
        <f t="shared" ref="DT162:DT173" si="126">DR162-DS162</f>
        <v>41</v>
      </c>
      <c r="DU162" s="16"/>
      <c r="DV162" s="16"/>
      <c r="DW162" s="78">
        <v>2006</v>
      </c>
      <c r="DX162" s="79" t="s">
        <v>36</v>
      </c>
      <c r="DY162" s="15">
        <f t="shared" si="111"/>
        <v>0.89512195121951221</v>
      </c>
      <c r="DZ162" s="15">
        <f t="shared" si="112"/>
        <v>0.95407279029462744</v>
      </c>
      <c r="EA162" s="15">
        <f t="shared" si="113"/>
        <v>0.93821138211382116</v>
      </c>
      <c r="EB162" s="16"/>
      <c r="EC162" s="16"/>
      <c r="ED162" s="16">
        <v>1230</v>
      </c>
      <c r="EE162" s="16">
        <f t="shared" ref="EE162:EE173" si="127">ED162-EF162</f>
        <v>76</v>
      </c>
      <c r="EF162" s="16">
        <v>1154</v>
      </c>
      <c r="EG162" s="16">
        <v>1101</v>
      </c>
      <c r="EH162" s="16">
        <f t="shared" ref="EH162:EH173" si="128">EF162-EG162</f>
        <v>53</v>
      </c>
      <c r="EI162" s="16"/>
      <c r="EJ162" s="16"/>
      <c r="EK162" s="78"/>
      <c r="EL162" s="79"/>
      <c r="EM162" s="15"/>
      <c r="EN162" s="15"/>
      <c r="EO162" s="15"/>
      <c r="EP162" s="16"/>
      <c r="EQ162" s="16"/>
      <c r="ER162" s="16"/>
      <c r="ES162" s="16"/>
      <c r="ET162" s="16"/>
      <c r="EU162" s="16"/>
      <c r="EV162" s="16"/>
      <c r="EW162" s="16"/>
      <c r="EX162" s="16"/>
      <c r="EY162" s="78"/>
      <c r="EZ162" s="79"/>
      <c r="FA162" s="15"/>
      <c r="FB162" s="15"/>
      <c r="FC162" s="15"/>
      <c r="FD162" s="16"/>
      <c r="FE162" s="16"/>
      <c r="FF162" s="16"/>
      <c r="FG162" s="16"/>
      <c r="FH162" s="16"/>
      <c r="FI162" s="16"/>
      <c r="FJ162" s="16"/>
      <c r="FK162" s="16"/>
      <c r="FM162" s="78"/>
      <c r="FN162" s="79"/>
      <c r="FO162" s="15"/>
      <c r="FP162" s="15"/>
      <c r="FQ162" s="15"/>
      <c r="FR162" s="16"/>
      <c r="FS162" s="16"/>
      <c r="FT162" s="16"/>
      <c r="FU162" s="16"/>
      <c r="FV162" s="16"/>
      <c r="FW162" s="16"/>
      <c r="FX162" s="16"/>
      <c r="FY162" s="16"/>
      <c r="GA162" s="78"/>
      <c r="GB162" s="79"/>
      <c r="GC162" s="15"/>
      <c r="GD162" s="15"/>
      <c r="GE162" s="15"/>
      <c r="GF162" s="16"/>
      <c r="GG162" s="16"/>
      <c r="GH162" s="16"/>
      <c r="GI162" s="16"/>
      <c r="GJ162" s="16"/>
      <c r="GK162" s="16"/>
      <c r="GL162" s="16"/>
      <c r="GM162" s="16"/>
    </row>
    <row r="163" spans="1:195" s="18" customFormat="1" ht="15" customHeight="1">
      <c r="A163" s="80">
        <v>2006</v>
      </c>
      <c r="B163" s="81" t="s">
        <v>37</v>
      </c>
      <c r="C163" s="15">
        <f t="shared" si="73"/>
        <v>0.83166919904493164</v>
      </c>
      <c r="D163" s="15">
        <f t="shared" si="74"/>
        <v>0.87178612059158134</v>
      </c>
      <c r="E163" s="15">
        <f t="shared" si="75"/>
        <v>0.95398306924245713</v>
      </c>
      <c r="F163" s="16"/>
      <c r="G163" s="33"/>
      <c r="H16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18428</v>
      </c>
      <c r="I163" s="16">
        <f t="shared" si="76"/>
        <v>848</v>
      </c>
      <c r="J16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17580</v>
      </c>
      <c r="K16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15326</v>
      </c>
      <c r="L163" s="16">
        <f t="shared" si="77"/>
        <v>2254</v>
      </c>
      <c r="M163" s="16"/>
      <c r="N163" s="16"/>
      <c r="O163" s="92">
        <v>2006</v>
      </c>
      <c r="P163" s="93" t="s">
        <v>37</v>
      </c>
      <c r="Q163" s="42">
        <f t="shared" si="78"/>
        <v>0.89139344262295084</v>
      </c>
      <c r="R163" s="42">
        <f t="shared" si="79"/>
        <v>0.91855203619909498</v>
      </c>
      <c r="S163" s="42">
        <f t="shared" si="80"/>
        <v>0.97043325526932089</v>
      </c>
      <c r="T163" s="43"/>
      <c r="U163" s="43"/>
      <c r="V163" s="30">
        <v>3416</v>
      </c>
      <c r="W163" s="30">
        <f t="shared" si="31"/>
        <v>101</v>
      </c>
      <c r="X163" s="30">
        <v>3315</v>
      </c>
      <c r="Y163" s="30">
        <v>3045</v>
      </c>
      <c r="Z163" s="30">
        <f t="shared" si="116"/>
        <v>270</v>
      </c>
      <c r="AA163" s="16"/>
      <c r="AB163" s="16"/>
      <c r="AC163" s="80">
        <v>2006</v>
      </c>
      <c r="AD163" s="81" t="s">
        <v>37</v>
      </c>
      <c r="AE163" s="15">
        <f t="shared" si="82"/>
        <v>0.84251412429378536</v>
      </c>
      <c r="AF163" s="15">
        <f t="shared" si="83"/>
        <v>0.86953352769679304</v>
      </c>
      <c r="AG163" s="15">
        <f t="shared" si="84"/>
        <v>0.96892655367231639</v>
      </c>
      <c r="AH163" s="15"/>
      <c r="AI163" s="15"/>
      <c r="AJ163" s="16">
        <v>1416</v>
      </c>
      <c r="AK163" s="16">
        <f t="shared" si="36"/>
        <v>44</v>
      </c>
      <c r="AL163" s="16">
        <v>1372</v>
      </c>
      <c r="AM163" s="16">
        <v>1193</v>
      </c>
      <c r="AN163" s="16">
        <f t="shared" si="85"/>
        <v>179</v>
      </c>
      <c r="AO163" s="16"/>
      <c r="AP163" s="16"/>
      <c r="AQ163" s="80">
        <v>2006</v>
      </c>
      <c r="AR163" s="81" t="s">
        <v>37</v>
      </c>
      <c r="AS163" s="15">
        <f t="shared" si="86"/>
        <v>0.89077253218884123</v>
      </c>
      <c r="AT163" s="15">
        <f t="shared" si="87"/>
        <v>0.92470483403876147</v>
      </c>
      <c r="AU163" s="15">
        <f t="shared" si="88"/>
        <v>0.96330472103004294</v>
      </c>
      <c r="AV163" s="16"/>
      <c r="AW163" s="16"/>
      <c r="AX163" s="16">
        <v>4660</v>
      </c>
      <c r="AY163" s="16">
        <f t="shared" si="117"/>
        <v>171</v>
      </c>
      <c r="AZ163" s="16">
        <v>4489</v>
      </c>
      <c r="BA163" s="16">
        <v>4151</v>
      </c>
      <c r="BB163" s="16">
        <f t="shared" si="118"/>
        <v>338</v>
      </c>
      <c r="BC163" s="16"/>
      <c r="BD163" s="16"/>
      <c r="BE163" s="80">
        <v>2006</v>
      </c>
      <c r="BF163" s="81" t="s">
        <v>37</v>
      </c>
      <c r="BG163" s="15">
        <f t="shared" si="91"/>
        <v>0.62413793103448278</v>
      </c>
      <c r="BH163" s="15">
        <f t="shared" si="92"/>
        <v>0.80623608017817372</v>
      </c>
      <c r="BI163" s="15">
        <f t="shared" si="93"/>
        <v>0.77413793103448281</v>
      </c>
      <c r="BJ163" s="16"/>
      <c r="BK163" s="16"/>
      <c r="BL163" s="16">
        <v>580</v>
      </c>
      <c r="BM163" s="16">
        <f t="shared" si="119"/>
        <v>131</v>
      </c>
      <c r="BN163" s="16">
        <v>449</v>
      </c>
      <c r="BO163" s="16">
        <v>362</v>
      </c>
      <c r="BP163" s="16">
        <f t="shared" si="120"/>
        <v>87</v>
      </c>
      <c r="BQ163" s="16"/>
      <c r="BR163" s="16"/>
      <c r="BS163" s="80">
        <v>2006</v>
      </c>
      <c r="BT163" s="81" t="s">
        <v>37</v>
      </c>
      <c r="BU163" s="15">
        <f t="shared" si="96"/>
        <v>0.66235864297253633</v>
      </c>
      <c r="BV163" s="15">
        <f t="shared" si="97"/>
        <v>0.69579974543911749</v>
      </c>
      <c r="BW163" s="15">
        <f t="shared" si="98"/>
        <v>0.95193861066235863</v>
      </c>
      <c r="BX163" s="16"/>
      <c r="BY163" s="16"/>
      <c r="BZ163" s="16">
        <v>2476</v>
      </c>
      <c r="CA163" s="16">
        <f t="shared" si="121"/>
        <v>119</v>
      </c>
      <c r="CB163" s="16">
        <v>2357</v>
      </c>
      <c r="CC163" s="16">
        <v>1640</v>
      </c>
      <c r="CD163" s="16">
        <f t="shared" si="122"/>
        <v>717</v>
      </c>
      <c r="CE163" s="16"/>
      <c r="CF163" s="16"/>
      <c r="CG163" s="80">
        <v>2006</v>
      </c>
      <c r="CH163" s="81" t="s">
        <v>37</v>
      </c>
      <c r="CI163" s="15">
        <f t="shared" si="101"/>
        <v>0.73086124401913877</v>
      </c>
      <c r="CJ163" s="15">
        <f t="shared" si="102"/>
        <v>0.77439797211660333</v>
      </c>
      <c r="CK163" s="15">
        <f t="shared" si="103"/>
        <v>0.94377990430622005</v>
      </c>
      <c r="CL163" s="16"/>
      <c r="CM163" s="16"/>
      <c r="CN163" s="16">
        <v>2508</v>
      </c>
      <c r="CO163" s="16">
        <f t="shared" si="123"/>
        <v>141</v>
      </c>
      <c r="CP163" s="16">
        <v>2367</v>
      </c>
      <c r="CQ163" s="16">
        <v>1833</v>
      </c>
      <c r="CR163" s="16">
        <f t="shared" si="124"/>
        <v>534</v>
      </c>
      <c r="CS163" s="16"/>
      <c r="CT163" s="16"/>
      <c r="CU163" s="80">
        <v>2006</v>
      </c>
      <c r="CV163" s="81" t="s">
        <v>37</v>
      </c>
      <c r="CW163" s="15">
        <f t="shared" si="58"/>
        <v>0.93294460641399413</v>
      </c>
      <c r="CX163" s="15">
        <f t="shared" si="59"/>
        <v>0.98310291858678955</v>
      </c>
      <c r="CY163" s="15">
        <f t="shared" si="60"/>
        <v>0.94897959183673475</v>
      </c>
      <c r="CZ163" s="16"/>
      <c r="DA163" s="16"/>
      <c r="DB163" s="16">
        <v>1372</v>
      </c>
      <c r="DC163" s="16">
        <f t="shared" si="61"/>
        <v>70</v>
      </c>
      <c r="DD163" s="16">
        <v>1302</v>
      </c>
      <c r="DE163" s="16">
        <v>1280</v>
      </c>
      <c r="DF163" s="16">
        <f t="shared" si="62"/>
        <v>22</v>
      </c>
      <c r="DG163" s="16"/>
      <c r="DH163" s="16"/>
      <c r="DI163" s="80">
        <v>2006</v>
      </c>
      <c r="DJ163" s="81" t="s">
        <v>37</v>
      </c>
      <c r="DK163" s="15">
        <f t="shared" si="106"/>
        <v>0.93243243243243246</v>
      </c>
      <c r="DL163" s="15">
        <f t="shared" si="107"/>
        <v>0.94954128440366969</v>
      </c>
      <c r="DM163" s="15">
        <f t="shared" si="108"/>
        <v>0.98198198198198194</v>
      </c>
      <c r="DN163" s="16"/>
      <c r="DO163" s="16"/>
      <c r="DP163" s="16">
        <v>888</v>
      </c>
      <c r="DQ163" s="16">
        <f t="shared" si="125"/>
        <v>16</v>
      </c>
      <c r="DR163" s="16">
        <v>872</v>
      </c>
      <c r="DS163" s="16">
        <v>828</v>
      </c>
      <c r="DT163" s="16">
        <f t="shared" si="126"/>
        <v>44</v>
      </c>
      <c r="DU163" s="16"/>
      <c r="DV163" s="16"/>
      <c r="DW163" s="80">
        <v>2006</v>
      </c>
      <c r="DX163" s="81" t="s">
        <v>37</v>
      </c>
      <c r="DY163" s="15">
        <f t="shared" si="111"/>
        <v>0.89388489208633093</v>
      </c>
      <c r="DZ163" s="15">
        <f t="shared" si="112"/>
        <v>0.94039735099337751</v>
      </c>
      <c r="EA163" s="15">
        <f t="shared" si="113"/>
        <v>0.95053956834532372</v>
      </c>
      <c r="EB163" s="16"/>
      <c r="EC163" s="16"/>
      <c r="ED163" s="16">
        <v>1112</v>
      </c>
      <c r="EE163" s="16">
        <f t="shared" si="127"/>
        <v>55</v>
      </c>
      <c r="EF163" s="16">
        <v>1057</v>
      </c>
      <c r="EG163" s="16">
        <v>994</v>
      </c>
      <c r="EH163" s="16">
        <f t="shared" si="128"/>
        <v>63</v>
      </c>
      <c r="EI163" s="16"/>
      <c r="EJ163" s="16"/>
      <c r="EK163" s="80"/>
      <c r="EL163" s="81"/>
      <c r="EM163" s="15"/>
      <c r="EN163" s="15"/>
      <c r="EO163" s="15"/>
      <c r="EP163" s="16"/>
      <c r="EQ163" s="16"/>
      <c r="ER163" s="16"/>
      <c r="ES163" s="16"/>
      <c r="ET163" s="16"/>
      <c r="EU163" s="16"/>
      <c r="EV163" s="16"/>
      <c r="EW163" s="16"/>
      <c r="EX163" s="16"/>
      <c r="EY163" s="80"/>
      <c r="EZ163" s="81"/>
      <c r="FA163" s="15"/>
      <c r="FB163" s="15"/>
      <c r="FC163" s="15"/>
      <c r="FD163" s="16"/>
      <c r="FE163" s="16"/>
      <c r="FF163" s="16"/>
      <c r="FG163" s="16"/>
      <c r="FH163" s="16"/>
      <c r="FI163" s="16"/>
      <c r="FJ163" s="16"/>
      <c r="FK163" s="16"/>
      <c r="FM163" s="80"/>
      <c r="FN163" s="81"/>
      <c r="FO163" s="15"/>
      <c r="FP163" s="15"/>
      <c r="FQ163" s="15"/>
      <c r="FR163" s="16"/>
      <c r="FS163" s="16"/>
      <c r="FT163" s="16"/>
      <c r="FU163" s="16"/>
      <c r="FV163" s="16"/>
      <c r="FW163" s="16"/>
      <c r="FX163" s="16"/>
      <c r="FY163" s="16"/>
      <c r="GA163" s="80"/>
      <c r="GB163" s="81"/>
      <c r="GC163" s="15"/>
      <c r="GD163" s="15"/>
      <c r="GE163" s="15"/>
      <c r="GF163" s="16"/>
      <c r="GG163" s="16"/>
      <c r="GH163" s="16"/>
      <c r="GI163" s="16"/>
      <c r="GJ163" s="16"/>
      <c r="GK163" s="16"/>
      <c r="GL163" s="16"/>
      <c r="GM163" s="16"/>
    </row>
    <row r="164" spans="1:195" s="18" customFormat="1" ht="15" customHeight="1">
      <c r="A164" s="78">
        <v>2006</v>
      </c>
      <c r="B164" s="79" t="s">
        <v>38</v>
      </c>
      <c r="C164" s="15">
        <f t="shared" si="73"/>
        <v>0.81945333661659692</v>
      </c>
      <c r="D164" s="15">
        <f t="shared" si="74"/>
        <v>0.8606972894682392</v>
      </c>
      <c r="E164" s="15">
        <f t="shared" si="75"/>
        <v>0.95208076828367394</v>
      </c>
      <c r="F164" s="16"/>
      <c r="G164" s="33"/>
      <c r="H16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64" s="16">
        <f t="shared" si="76"/>
        <v>973</v>
      </c>
      <c r="J16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19332</v>
      </c>
      <c r="K16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16639</v>
      </c>
      <c r="L164" s="16">
        <f t="shared" si="77"/>
        <v>2693</v>
      </c>
      <c r="M164" s="16"/>
      <c r="N164" s="16"/>
      <c r="O164" s="90">
        <v>2006</v>
      </c>
      <c r="P164" s="91" t="s">
        <v>38</v>
      </c>
      <c r="Q164" s="42">
        <f t="shared" si="78"/>
        <v>0.86441129461907296</v>
      </c>
      <c r="R164" s="42">
        <f t="shared" si="79"/>
        <v>0.89172849683979116</v>
      </c>
      <c r="S164" s="42">
        <f t="shared" si="80"/>
        <v>0.96936600958977093</v>
      </c>
      <c r="T164" s="43"/>
      <c r="U164" s="43"/>
      <c r="V164" s="30">
        <v>3754</v>
      </c>
      <c r="W164" s="30">
        <f t="shared" si="31"/>
        <v>115</v>
      </c>
      <c r="X164" s="30">
        <v>3639</v>
      </c>
      <c r="Y164" s="30">
        <v>3245</v>
      </c>
      <c r="Z164" s="30">
        <f t="shared" si="116"/>
        <v>394</v>
      </c>
      <c r="AA164" s="16"/>
      <c r="AB164" s="16"/>
      <c r="AC164" s="78">
        <v>2006</v>
      </c>
      <c r="AD164" s="79" t="s">
        <v>38</v>
      </c>
      <c r="AE164" s="15">
        <f t="shared" si="82"/>
        <v>0.86319845857418109</v>
      </c>
      <c r="AF164" s="15">
        <f t="shared" si="83"/>
        <v>0.8784313725490196</v>
      </c>
      <c r="AG164" s="15">
        <f t="shared" si="84"/>
        <v>0.98265895953757221</v>
      </c>
      <c r="AH164" s="15"/>
      <c r="AI164" s="15"/>
      <c r="AJ164" s="16">
        <v>1557</v>
      </c>
      <c r="AK164" s="16">
        <f t="shared" si="36"/>
        <v>27</v>
      </c>
      <c r="AL164" s="16">
        <v>1530</v>
      </c>
      <c r="AM164" s="16">
        <v>1344</v>
      </c>
      <c r="AN164" s="16">
        <f t="shared" si="85"/>
        <v>186</v>
      </c>
      <c r="AO164" s="16"/>
      <c r="AP164" s="16"/>
      <c r="AQ164" s="78">
        <v>2006</v>
      </c>
      <c r="AR164" s="79" t="s">
        <v>38</v>
      </c>
      <c r="AS164" s="15">
        <f t="shared" si="86"/>
        <v>0.87802498048399691</v>
      </c>
      <c r="AT164" s="15">
        <f t="shared" si="87"/>
        <v>0.91666666666666663</v>
      </c>
      <c r="AU164" s="15">
        <f t="shared" si="88"/>
        <v>0.95784543325526927</v>
      </c>
      <c r="AV164" s="16"/>
      <c r="AW164" s="16"/>
      <c r="AX164" s="16">
        <v>5124</v>
      </c>
      <c r="AY164" s="16">
        <f t="shared" si="117"/>
        <v>216</v>
      </c>
      <c r="AZ164" s="16">
        <v>4908</v>
      </c>
      <c r="BA164" s="16">
        <v>4499</v>
      </c>
      <c r="BB164" s="16">
        <f t="shared" si="118"/>
        <v>409</v>
      </c>
      <c r="BC164" s="16"/>
      <c r="BD164" s="16"/>
      <c r="BE164" s="78">
        <v>2006</v>
      </c>
      <c r="BF164" s="79" t="s">
        <v>38</v>
      </c>
      <c r="BG164" s="15">
        <f t="shared" si="91"/>
        <v>0.61598746081504707</v>
      </c>
      <c r="BH164" s="15">
        <f t="shared" si="92"/>
        <v>0.80698151950718688</v>
      </c>
      <c r="BI164" s="15">
        <f t="shared" si="93"/>
        <v>0.76332288401253923</v>
      </c>
      <c r="BJ164" s="16"/>
      <c r="BK164" s="16"/>
      <c r="BL164" s="16">
        <v>638</v>
      </c>
      <c r="BM164" s="16">
        <f t="shared" si="119"/>
        <v>151</v>
      </c>
      <c r="BN164" s="16">
        <v>487</v>
      </c>
      <c r="BO164" s="16">
        <v>393</v>
      </c>
      <c r="BP164" s="16">
        <f t="shared" si="120"/>
        <v>94</v>
      </c>
      <c r="BQ164" s="16"/>
      <c r="BR164" s="16"/>
      <c r="BS164" s="78">
        <v>2006</v>
      </c>
      <c r="BT164" s="79" t="s">
        <v>38</v>
      </c>
      <c r="BU164" s="15">
        <f t="shared" si="96"/>
        <v>0.65179224579370887</v>
      </c>
      <c r="BV164" s="15">
        <f t="shared" si="97"/>
        <v>0.688828759180518</v>
      </c>
      <c r="BW164" s="15">
        <f t="shared" si="98"/>
        <v>0.94623262618873449</v>
      </c>
      <c r="BX164" s="16"/>
      <c r="BY164" s="16"/>
      <c r="BZ164" s="16">
        <v>2734</v>
      </c>
      <c r="CA164" s="16">
        <f t="shared" si="121"/>
        <v>147</v>
      </c>
      <c r="CB164" s="16">
        <v>2587</v>
      </c>
      <c r="CC164" s="16">
        <v>1782</v>
      </c>
      <c r="CD164" s="16">
        <f t="shared" si="122"/>
        <v>805</v>
      </c>
      <c r="CE164" s="16"/>
      <c r="CF164" s="16"/>
      <c r="CG164" s="78">
        <v>2006</v>
      </c>
      <c r="CH164" s="79" t="s">
        <v>38</v>
      </c>
      <c r="CI164" s="15">
        <f t="shared" si="101"/>
        <v>0.7149043666546373</v>
      </c>
      <c r="CJ164" s="15">
        <f t="shared" si="102"/>
        <v>0.75409212028930339</v>
      </c>
      <c r="CK164" s="15">
        <f t="shared" si="103"/>
        <v>0.94803320101046551</v>
      </c>
      <c r="CL164" s="16"/>
      <c r="CM164" s="16"/>
      <c r="CN164" s="16">
        <v>2771</v>
      </c>
      <c r="CO164" s="16">
        <f t="shared" si="123"/>
        <v>144</v>
      </c>
      <c r="CP164" s="16">
        <v>2627</v>
      </c>
      <c r="CQ164" s="16">
        <v>1981</v>
      </c>
      <c r="CR164" s="16">
        <f t="shared" si="124"/>
        <v>646</v>
      </c>
      <c r="CS164" s="16"/>
      <c r="CT164" s="16"/>
      <c r="CU164" s="78">
        <v>2006</v>
      </c>
      <c r="CV164" s="79" t="s">
        <v>38</v>
      </c>
      <c r="CW164" s="15">
        <f t="shared" si="58"/>
        <v>0.93333333333333335</v>
      </c>
      <c r="CX164" s="15">
        <f t="shared" si="59"/>
        <v>0.97651933701657456</v>
      </c>
      <c r="CY164" s="15">
        <f t="shared" si="60"/>
        <v>0.95577557755775577</v>
      </c>
      <c r="CZ164" s="16"/>
      <c r="DA164" s="16"/>
      <c r="DB164" s="16">
        <v>1515</v>
      </c>
      <c r="DC164" s="16">
        <f t="shared" si="61"/>
        <v>67</v>
      </c>
      <c r="DD164" s="16">
        <v>1448</v>
      </c>
      <c r="DE164" s="16">
        <v>1414</v>
      </c>
      <c r="DF164" s="16">
        <f t="shared" si="62"/>
        <v>34</v>
      </c>
      <c r="DG164" s="16"/>
      <c r="DH164" s="16"/>
      <c r="DI164" s="78">
        <v>2006</v>
      </c>
      <c r="DJ164" s="79" t="s">
        <v>38</v>
      </c>
      <c r="DK164" s="15">
        <f t="shared" si="106"/>
        <v>0.87983706720977595</v>
      </c>
      <c r="DL164" s="15">
        <f t="shared" si="107"/>
        <v>0.91914893617021276</v>
      </c>
      <c r="DM164" s="15">
        <f t="shared" si="108"/>
        <v>0.95723014256619143</v>
      </c>
      <c r="DN164" s="16"/>
      <c r="DO164" s="16"/>
      <c r="DP164" s="16">
        <v>982</v>
      </c>
      <c r="DQ164" s="16">
        <f t="shared" si="125"/>
        <v>42</v>
      </c>
      <c r="DR164" s="16">
        <v>940</v>
      </c>
      <c r="DS164" s="16">
        <v>864</v>
      </c>
      <c r="DT164" s="16">
        <f t="shared" si="126"/>
        <v>76</v>
      </c>
      <c r="DU164" s="16"/>
      <c r="DV164" s="16"/>
      <c r="DW164" s="78">
        <v>2006</v>
      </c>
      <c r="DX164" s="79" t="s">
        <v>38</v>
      </c>
      <c r="DY164" s="15">
        <f t="shared" si="111"/>
        <v>0.90813008130081296</v>
      </c>
      <c r="DZ164" s="15">
        <f t="shared" si="112"/>
        <v>0.95797598627787306</v>
      </c>
      <c r="EA164" s="15">
        <f t="shared" si="113"/>
        <v>0.94796747967479678</v>
      </c>
      <c r="EB164" s="16"/>
      <c r="EC164" s="16"/>
      <c r="ED164" s="16">
        <v>1230</v>
      </c>
      <c r="EE164" s="16">
        <f t="shared" si="127"/>
        <v>64</v>
      </c>
      <c r="EF164" s="16">
        <v>1166</v>
      </c>
      <c r="EG164" s="16">
        <v>1117</v>
      </c>
      <c r="EH164" s="16">
        <f t="shared" si="128"/>
        <v>49</v>
      </c>
      <c r="EI164" s="16"/>
      <c r="EJ164" s="16"/>
      <c r="EK164" s="78"/>
      <c r="EL164" s="79"/>
      <c r="EM164" s="15"/>
      <c r="EN164" s="15"/>
      <c r="EO164" s="15"/>
      <c r="EP164" s="16"/>
      <c r="EQ164" s="16"/>
      <c r="ER164" s="16"/>
      <c r="ES164" s="16"/>
      <c r="ET164" s="16"/>
      <c r="EU164" s="16"/>
      <c r="EV164" s="16"/>
      <c r="EW164" s="16"/>
      <c r="EX164" s="16"/>
      <c r="EY164" s="78"/>
      <c r="EZ164" s="79"/>
      <c r="FA164" s="15"/>
      <c r="FB164" s="15"/>
      <c r="FC164" s="15"/>
      <c r="FD164" s="16"/>
      <c r="FE164" s="16"/>
      <c r="FF164" s="16"/>
      <c r="FG164" s="16"/>
      <c r="FH164" s="16"/>
      <c r="FI164" s="16"/>
      <c r="FJ164" s="16"/>
      <c r="FK164" s="16"/>
      <c r="FM164" s="78"/>
      <c r="FN164" s="79"/>
      <c r="FO164" s="15"/>
      <c r="FP164" s="15"/>
      <c r="FQ164" s="15"/>
      <c r="FR164" s="16"/>
      <c r="FS164" s="16"/>
      <c r="FT164" s="16"/>
      <c r="FU164" s="16"/>
      <c r="FV164" s="16"/>
      <c r="FW164" s="16"/>
      <c r="FX164" s="16"/>
      <c r="FY164" s="16"/>
      <c r="GA164" s="78"/>
      <c r="GB164" s="79"/>
      <c r="GC164" s="15"/>
      <c r="GD164" s="15"/>
      <c r="GE164" s="15"/>
      <c r="GF164" s="16"/>
      <c r="GG164" s="16"/>
      <c r="GH164" s="16"/>
      <c r="GI164" s="16"/>
      <c r="GJ164" s="16"/>
      <c r="GK164" s="16"/>
      <c r="GL164" s="16"/>
      <c r="GM164" s="16"/>
    </row>
    <row r="165" spans="1:195" s="18" customFormat="1" ht="15" customHeight="1">
      <c r="A165" s="80">
        <v>2006</v>
      </c>
      <c r="B165" s="81" t="s">
        <v>39</v>
      </c>
      <c r="C165" s="15">
        <f t="shared" si="73"/>
        <v>0.76798410706817233</v>
      </c>
      <c r="D165" s="15">
        <f t="shared" si="74"/>
        <v>0.82407719062044205</v>
      </c>
      <c r="E165" s="15">
        <f t="shared" si="75"/>
        <v>0.93193224592220825</v>
      </c>
      <c r="F165" s="16"/>
      <c r="G165" s="33"/>
      <c r="H16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19128</v>
      </c>
      <c r="I165" s="16">
        <f t="shared" si="76"/>
        <v>1302</v>
      </c>
      <c r="J16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17826</v>
      </c>
      <c r="K16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14690</v>
      </c>
      <c r="L165" s="16">
        <f t="shared" si="77"/>
        <v>3136</v>
      </c>
      <c r="M165" s="16"/>
      <c r="N165" s="16"/>
      <c r="O165" s="92">
        <v>2006</v>
      </c>
      <c r="P165" s="93" t="s">
        <v>39</v>
      </c>
      <c r="Q165" s="42">
        <f t="shared" si="78"/>
        <v>0.84719036697247707</v>
      </c>
      <c r="R165" s="42">
        <f t="shared" si="79"/>
        <v>0.87789661319073087</v>
      </c>
      <c r="S165" s="42">
        <f t="shared" si="80"/>
        <v>0.96502293577981646</v>
      </c>
      <c r="T165" s="43"/>
      <c r="U165" s="43"/>
      <c r="V165" s="30">
        <v>3488</v>
      </c>
      <c r="W165" s="30">
        <f t="shared" si="31"/>
        <v>122</v>
      </c>
      <c r="X165" s="30">
        <v>3366</v>
      </c>
      <c r="Y165" s="30">
        <v>2955</v>
      </c>
      <c r="Z165" s="30">
        <f t="shared" si="116"/>
        <v>411</v>
      </c>
      <c r="AA165" s="16"/>
      <c r="AB165" s="16"/>
      <c r="AC165" s="80">
        <v>2006</v>
      </c>
      <c r="AD165" s="81" t="s">
        <v>39</v>
      </c>
      <c r="AE165" s="15">
        <f t="shared" si="82"/>
        <v>0.84465366509751172</v>
      </c>
      <c r="AF165" s="15">
        <f t="shared" si="83"/>
        <v>0.86204529855868217</v>
      </c>
      <c r="AG165" s="15">
        <f t="shared" si="84"/>
        <v>0.97982515131136516</v>
      </c>
      <c r="AH165" s="15"/>
      <c r="AI165" s="15"/>
      <c r="AJ165" s="16">
        <v>1487</v>
      </c>
      <c r="AK165" s="16">
        <f t="shared" si="36"/>
        <v>30</v>
      </c>
      <c r="AL165" s="16">
        <v>1457</v>
      </c>
      <c r="AM165" s="16">
        <v>1256</v>
      </c>
      <c r="AN165" s="16">
        <f t="shared" si="85"/>
        <v>201</v>
      </c>
      <c r="AO165" s="16"/>
      <c r="AP165" s="16"/>
      <c r="AQ165" s="80">
        <v>2006</v>
      </c>
      <c r="AR165" s="81" t="s">
        <v>39</v>
      </c>
      <c r="AS165" s="15">
        <f t="shared" si="86"/>
        <v>0.85035284350352847</v>
      </c>
      <c r="AT165" s="15">
        <f t="shared" si="87"/>
        <v>0.88833477883781442</v>
      </c>
      <c r="AU165" s="15">
        <f t="shared" si="88"/>
        <v>0.95724366957243667</v>
      </c>
      <c r="AV165" s="16"/>
      <c r="AW165" s="16"/>
      <c r="AX165" s="16">
        <v>4818</v>
      </c>
      <c r="AY165" s="16">
        <f t="shared" si="117"/>
        <v>206</v>
      </c>
      <c r="AZ165" s="16">
        <v>4612</v>
      </c>
      <c r="BA165" s="16">
        <v>4097</v>
      </c>
      <c r="BB165" s="16">
        <f t="shared" si="118"/>
        <v>515</v>
      </c>
      <c r="BC165" s="16"/>
      <c r="BD165" s="16"/>
      <c r="BE165" s="80">
        <v>2006</v>
      </c>
      <c r="BF165" s="81" t="s">
        <v>39</v>
      </c>
      <c r="BG165" s="15">
        <f t="shared" si="91"/>
        <v>0.52631578947368418</v>
      </c>
      <c r="BH165" s="15">
        <f t="shared" si="92"/>
        <v>0.72864321608040206</v>
      </c>
      <c r="BI165" s="15">
        <f t="shared" si="93"/>
        <v>0.72232304900181488</v>
      </c>
      <c r="BJ165" s="16"/>
      <c r="BK165" s="16"/>
      <c r="BL165" s="16">
        <v>551</v>
      </c>
      <c r="BM165" s="16">
        <f t="shared" si="119"/>
        <v>153</v>
      </c>
      <c r="BN165" s="16">
        <v>398</v>
      </c>
      <c r="BO165" s="16">
        <v>290</v>
      </c>
      <c r="BP165" s="16">
        <f t="shared" si="120"/>
        <v>108</v>
      </c>
      <c r="BQ165" s="16"/>
      <c r="BR165" s="16"/>
      <c r="BS165" s="80">
        <v>2006</v>
      </c>
      <c r="BT165" s="81" t="s">
        <v>39</v>
      </c>
      <c r="BU165" s="15">
        <f t="shared" si="96"/>
        <v>0.51450676982591881</v>
      </c>
      <c r="BV165" s="15">
        <f t="shared" si="97"/>
        <v>0.57501080847384345</v>
      </c>
      <c r="BW165" s="15">
        <f t="shared" si="98"/>
        <v>0.8947775628626693</v>
      </c>
      <c r="BX165" s="16"/>
      <c r="BY165" s="16"/>
      <c r="BZ165" s="16">
        <v>2585</v>
      </c>
      <c r="CA165" s="16">
        <f t="shared" si="121"/>
        <v>272</v>
      </c>
      <c r="CB165" s="16">
        <v>2313</v>
      </c>
      <c r="CC165" s="16">
        <v>1330</v>
      </c>
      <c r="CD165" s="16">
        <f t="shared" si="122"/>
        <v>983</v>
      </c>
      <c r="CE165" s="16"/>
      <c r="CF165" s="16"/>
      <c r="CG165" s="80">
        <v>2006</v>
      </c>
      <c r="CH165" s="81" t="s">
        <v>39</v>
      </c>
      <c r="CI165" s="15">
        <f t="shared" si="101"/>
        <v>0.62205323193916351</v>
      </c>
      <c r="CJ165" s="15">
        <f t="shared" si="102"/>
        <v>0.69058674546222032</v>
      </c>
      <c r="CK165" s="15">
        <f t="shared" si="103"/>
        <v>0.90076045627376422</v>
      </c>
      <c r="CL165" s="16"/>
      <c r="CM165" s="16"/>
      <c r="CN165" s="16">
        <v>2630</v>
      </c>
      <c r="CO165" s="16">
        <f t="shared" si="123"/>
        <v>261</v>
      </c>
      <c r="CP165" s="16">
        <v>2369</v>
      </c>
      <c r="CQ165" s="16">
        <v>1636</v>
      </c>
      <c r="CR165" s="16">
        <f t="shared" si="124"/>
        <v>733</v>
      </c>
      <c r="CS165" s="16"/>
      <c r="CT165" s="16"/>
      <c r="CU165" s="80">
        <v>2006</v>
      </c>
      <c r="CV165" s="81" t="s">
        <v>39</v>
      </c>
      <c r="CW165" s="15">
        <f t="shared" si="58"/>
        <v>0.85833914863921845</v>
      </c>
      <c r="CX165" s="15">
        <f t="shared" si="59"/>
        <v>0.95943837753510142</v>
      </c>
      <c r="CY165" s="15">
        <f t="shared" si="60"/>
        <v>0.89462665736217728</v>
      </c>
      <c r="CZ165" s="16"/>
      <c r="DA165" s="16"/>
      <c r="DB165" s="16">
        <v>1433</v>
      </c>
      <c r="DC165" s="16">
        <f t="shared" si="61"/>
        <v>151</v>
      </c>
      <c r="DD165" s="16">
        <v>1282</v>
      </c>
      <c r="DE165" s="16">
        <v>1230</v>
      </c>
      <c r="DF165" s="16">
        <f t="shared" si="62"/>
        <v>52</v>
      </c>
      <c r="DG165" s="16"/>
      <c r="DH165" s="16"/>
      <c r="DI165" s="80">
        <v>2006</v>
      </c>
      <c r="DJ165" s="81" t="s">
        <v>39</v>
      </c>
      <c r="DK165" s="15">
        <f t="shared" si="106"/>
        <v>0.91666666666666663</v>
      </c>
      <c r="DL165" s="15">
        <f t="shared" si="107"/>
        <v>0.94456521739130439</v>
      </c>
      <c r="DM165" s="15">
        <f t="shared" si="108"/>
        <v>0.97046413502109707</v>
      </c>
      <c r="DN165" s="16"/>
      <c r="DO165" s="16"/>
      <c r="DP165" s="16">
        <v>948</v>
      </c>
      <c r="DQ165" s="16">
        <f t="shared" si="125"/>
        <v>28</v>
      </c>
      <c r="DR165" s="16">
        <v>920</v>
      </c>
      <c r="DS165" s="16">
        <v>869</v>
      </c>
      <c r="DT165" s="16">
        <f t="shared" si="126"/>
        <v>51</v>
      </c>
      <c r="DU165" s="16"/>
      <c r="DV165" s="16"/>
      <c r="DW165" s="80">
        <v>2006</v>
      </c>
      <c r="DX165" s="81" t="s">
        <v>39</v>
      </c>
      <c r="DY165" s="15">
        <f t="shared" si="111"/>
        <v>0.86447811447811451</v>
      </c>
      <c r="DZ165" s="15">
        <f t="shared" si="112"/>
        <v>0.92605951307484224</v>
      </c>
      <c r="EA165" s="15">
        <f t="shared" si="113"/>
        <v>0.9335016835016835</v>
      </c>
      <c r="EB165" s="16"/>
      <c r="EC165" s="16"/>
      <c r="ED165" s="16">
        <v>1188</v>
      </c>
      <c r="EE165" s="16">
        <f t="shared" si="127"/>
        <v>79</v>
      </c>
      <c r="EF165" s="16">
        <v>1109</v>
      </c>
      <c r="EG165" s="16">
        <v>1027</v>
      </c>
      <c r="EH165" s="16">
        <f t="shared" si="128"/>
        <v>82</v>
      </c>
      <c r="EI165" s="16"/>
      <c r="EJ165" s="16"/>
      <c r="EK165" s="80"/>
      <c r="EL165" s="81"/>
      <c r="EM165" s="15"/>
      <c r="EN165" s="15"/>
      <c r="EO165" s="15"/>
      <c r="EP165" s="16"/>
      <c r="EQ165" s="16"/>
      <c r="ER165" s="16"/>
      <c r="ES165" s="16"/>
      <c r="ET165" s="16"/>
      <c r="EU165" s="16"/>
      <c r="EV165" s="16"/>
      <c r="EW165" s="16"/>
      <c r="EX165" s="16"/>
      <c r="EY165" s="80"/>
      <c r="EZ165" s="81"/>
      <c r="FA165" s="15"/>
      <c r="FB165" s="15"/>
      <c r="FC165" s="15"/>
      <c r="FD165" s="16"/>
      <c r="FE165" s="16"/>
      <c r="FF165" s="16"/>
      <c r="FG165" s="16"/>
      <c r="FH165" s="16"/>
      <c r="FI165" s="16"/>
      <c r="FJ165" s="16"/>
      <c r="FK165" s="16"/>
      <c r="FM165" s="80"/>
      <c r="FN165" s="81"/>
      <c r="FO165" s="15"/>
      <c r="FP165" s="15"/>
      <c r="FQ165" s="15"/>
      <c r="FR165" s="16"/>
      <c r="FS165" s="16"/>
      <c r="FT165" s="16"/>
      <c r="FU165" s="16"/>
      <c r="FV165" s="16"/>
      <c r="FW165" s="16"/>
      <c r="FX165" s="16"/>
      <c r="FY165" s="16"/>
      <c r="GA165" s="80"/>
      <c r="GB165" s="81"/>
      <c r="GC165" s="15"/>
      <c r="GD165" s="15"/>
      <c r="GE165" s="15"/>
      <c r="GF165" s="16"/>
      <c r="GG165" s="16"/>
      <c r="GH165" s="16"/>
      <c r="GI165" s="16"/>
      <c r="GJ165" s="16"/>
      <c r="GK165" s="16"/>
      <c r="GL165" s="16"/>
      <c r="GM165" s="16"/>
    </row>
    <row r="166" spans="1:195" s="18" customFormat="1" ht="15" customHeight="1">
      <c r="A166" s="78">
        <v>2006</v>
      </c>
      <c r="B166" s="79" t="s">
        <v>40</v>
      </c>
      <c r="C166" s="15">
        <f t="shared" si="73"/>
        <v>0.72183080997351723</v>
      </c>
      <c r="D166" s="15">
        <f t="shared" si="74"/>
        <v>0.76946841376371578</v>
      </c>
      <c r="E166" s="15">
        <f t="shared" si="75"/>
        <v>0.93809024134312702</v>
      </c>
      <c r="F166" s="16"/>
      <c r="G166" s="33"/>
      <c r="H16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20013</v>
      </c>
      <c r="I166" s="16">
        <f t="shared" si="76"/>
        <v>1239</v>
      </c>
      <c r="J16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18774</v>
      </c>
      <c r="K16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14446</v>
      </c>
      <c r="L166" s="16">
        <f t="shared" si="77"/>
        <v>4328</v>
      </c>
      <c r="M166" s="16"/>
      <c r="N166" s="16"/>
      <c r="O166" s="90">
        <v>2006</v>
      </c>
      <c r="P166" s="91" t="s">
        <v>40</v>
      </c>
      <c r="Q166" s="42">
        <f t="shared" si="78"/>
        <v>0.76225490196078427</v>
      </c>
      <c r="R166" s="42">
        <f t="shared" si="79"/>
        <v>0.80361757105943155</v>
      </c>
      <c r="S166" s="42">
        <f t="shared" si="80"/>
        <v>0.94852941176470584</v>
      </c>
      <c r="T166" s="43"/>
      <c r="U166" s="43"/>
      <c r="V166" s="30">
        <v>3672</v>
      </c>
      <c r="W166" s="30">
        <f t="shared" si="31"/>
        <v>189</v>
      </c>
      <c r="X166" s="30">
        <v>3483</v>
      </c>
      <c r="Y166" s="30">
        <v>2799</v>
      </c>
      <c r="Z166" s="30">
        <f t="shared" si="116"/>
        <v>684</v>
      </c>
      <c r="AA166" s="16"/>
      <c r="AB166" s="16"/>
      <c r="AC166" s="78">
        <v>2006</v>
      </c>
      <c r="AD166" s="79" t="s">
        <v>40</v>
      </c>
      <c r="AE166" s="15">
        <f t="shared" si="82"/>
        <v>0.67186484730344376</v>
      </c>
      <c r="AF166" s="15">
        <f t="shared" si="83"/>
        <v>0.69959404600811903</v>
      </c>
      <c r="AG166" s="15">
        <f t="shared" si="84"/>
        <v>0.96036387264457435</v>
      </c>
      <c r="AH166" s="15"/>
      <c r="AI166" s="15"/>
      <c r="AJ166" s="16">
        <v>1539</v>
      </c>
      <c r="AK166" s="16">
        <f t="shared" si="36"/>
        <v>61</v>
      </c>
      <c r="AL166" s="16">
        <v>1478</v>
      </c>
      <c r="AM166" s="16">
        <v>1034</v>
      </c>
      <c r="AN166" s="16">
        <f t="shared" si="85"/>
        <v>444</v>
      </c>
      <c r="AO166" s="16"/>
      <c r="AP166" s="16"/>
      <c r="AQ166" s="78">
        <v>2006</v>
      </c>
      <c r="AR166" s="79" t="s">
        <v>40</v>
      </c>
      <c r="AS166" s="15">
        <f t="shared" si="86"/>
        <v>0.81791104050833996</v>
      </c>
      <c r="AT166" s="15">
        <f t="shared" si="87"/>
        <v>0.85830381329443639</v>
      </c>
      <c r="AU166" s="15">
        <f t="shared" si="88"/>
        <v>0.95293884034948373</v>
      </c>
      <c r="AV166" s="16"/>
      <c r="AW166" s="16"/>
      <c r="AX166" s="16">
        <v>5036</v>
      </c>
      <c r="AY166" s="16">
        <f t="shared" si="117"/>
        <v>237</v>
      </c>
      <c r="AZ166" s="16">
        <v>4799</v>
      </c>
      <c r="BA166" s="16">
        <v>4119</v>
      </c>
      <c r="BB166" s="16">
        <f t="shared" si="118"/>
        <v>680</v>
      </c>
      <c r="BC166" s="16"/>
      <c r="BD166" s="16"/>
      <c r="BE166" s="78">
        <v>2006</v>
      </c>
      <c r="BF166" s="79" t="s">
        <v>40</v>
      </c>
      <c r="BG166" s="15">
        <f t="shared" si="91"/>
        <v>0.36124794745484401</v>
      </c>
      <c r="BH166" s="15">
        <f t="shared" si="92"/>
        <v>0.59782608695652173</v>
      </c>
      <c r="BI166" s="15">
        <f t="shared" si="93"/>
        <v>0.60426929392446638</v>
      </c>
      <c r="BJ166" s="16"/>
      <c r="BK166" s="16"/>
      <c r="BL166" s="16">
        <v>609</v>
      </c>
      <c r="BM166" s="16">
        <f t="shared" si="119"/>
        <v>241</v>
      </c>
      <c r="BN166" s="16">
        <v>368</v>
      </c>
      <c r="BO166" s="16">
        <v>220</v>
      </c>
      <c r="BP166" s="16">
        <f t="shared" si="120"/>
        <v>148</v>
      </c>
      <c r="BQ166" s="16"/>
      <c r="BR166" s="16"/>
      <c r="BS166" s="78">
        <v>2006</v>
      </c>
      <c r="BT166" s="79" t="s">
        <v>40</v>
      </c>
      <c r="BU166" s="15">
        <f t="shared" si="96"/>
        <v>0.51960059171597628</v>
      </c>
      <c r="BV166" s="15">
        <f t="shared" si="97"/>
        <v>0.55731852439508134</v>
      </c>
      <c r="BW166" s="15">
        <f t="shared" si="98"/>
        <v>0.93232248520710059</v>
      </c>
      <c r="BX166" s="16"/>
      <c r="BY166" s="16"/>
      <c r="BZ166" s="16">
        <v>2704</v>
      </c>
      <c r="CA166" s="16">
        <f t="shared" si="121"/>
        <v>183</v>
      </c>
      <c r="CB166" s="16">
        <v>2521</v>
      </c>
      <c r="CC166" s="16">
        <v>1405</v>
      </c>
      <c r="CD166" s="16">
        <f t="shared" si="122"/>
        <v>1116</v>
      </c>
      <c r="CE166" s="16"/>
      <c r="CF166" s="16"/>
      <c r="CG166" s="78">
        <v>2006</v>
      </c>
      <c r="CH166" s="79" t="s">
        <v>40</v>
      </c>
      <c r="CI166" s="15">
        <f t="shared" si="101"/>
        <v>0.61107064821558632</v>
      </c>
      <c r="CJ166" s="15">
        <f t="shared" si="102"/>
        <v>0.6506397828615742</v>
      </c>
      <c r="CK166" s="15">
        <f t="shared" si="103"/>
        <v>0.9391842680262199</v>
      </c>
      <c r="CL166" s="16"/>
      <c r="CM166" s="16"/>
      <c r="CN166" s="16">
        <v>2746</v>
      </c>
      <c r="CO166" s="16">
        <f t="shared" si="123"/>
        <v>167</v>
      </c>
      <c r="CP166" s="16">
        <v>2579</v>
      </c>
      <c r="CQ166" s="16">
        <v>1678</v>
      </c>
      <c r="CR166" s="16">
        <f t="shared" si="124"/>
        <v>901</v>
      </c>
      <c r="CS166" s="16"/>
      <c r="CT166" s="16"/>
      <c r="CU166" s="78">
        <v>2006</v>
      </c>
      <c r="CV166" s="79" t="s">
        <v>40</v>
      </c>
      <c r="CW166" s="15">
        <f t="shared" si="58"/>
        <v>0.90727151434289521</v>
      </c>
      <c r="CX166" s="15">
        <f t="shared" si="59"/>
        <v>0.95977417078334515</v>
      </c>
      <c r="CY166" s="15">
        <f t="shared" si="60"/>
        <v>0.94529686457638429</v>
      </c>
      <c r="CZ166" s="16"/>
      <c r="DA166" s="16"/>
      <c r="DB166" s="16">
        <v>1499</v>
      </c>
      <c r="DC166" s="16">
        <f t="shared" si="61"/>
        <v>82</v>
      </c>
      <c r="DD166" s="16">
        <v>1417</v>
      </c>
      <c r="DE166" s="16">
        <v>1360</v>
      </c>
      <c r="DF166" s="16">
        <f t="shared" si="62"/>
        <v>57</v>
      </c>
      <c r="DG166" s="16"/>
      <c r="DH166" s="16"/>
      <c r="DI166" s="78">
        <v>2006</v>
      </c>
      <c r="DJ166" s="79" t="s">
        <v>40</v>
      </c>
      <c r="DK166" s="15">
        <f t="shared" si="106"/>
        <v>0.87040816326530612</v>
      </c>
      <c r="DL166" s="15">
        <f t="shared" si="107"/>
        <v>0.88485477178423233</v>
      </c>
      <c r="DM166" s="15">
        <f t="shared" si="108"/>
        <v>0.98367346938775513</v>
      </c>
      <c r="DN166" s="16"/>
      <c r="DO166" s="16"/>
      <c r="DP166" s="16">
        <v>980</v>
      </c>
      <c r="DQ166" s="16">
        <f t="shared" si="125"/>
        <v>16</v>
      </c>
      <c r="DR166" s="16">
        <v>964</v>
      </c>
      <c r="DS166" s="16">
        <v>853</v>
      </c>
      <c r="DT166" s="16">
        <f t="shared" si="126"/>
        <v>111</v>
      </c>
      <c r="DU166" s="16"/>
      <c r="DV166" s="16"/>
      <c r="DW166" s="78">
        <v>2006</v>
      </c>
      <c r="DX166" s="79" t="s">
        <v>40</v>
      </c>
      <c r="DY166" s="15">
        <f t="shared" si="111"/>
        <v>0.79641693811074921</v>
      </c>
      <c r="DZ166" s="15">
        <f t="shared" si="112"/>
        <v>0.83948497854077253</v>
      </c>
      <c r="EA166" s="15">
        <f t="shared" si="113"/>
        <v>0.94869706840390877</v>
      </c>
      <c r="EB166" s="16"/>
      <c r="EC166" s="16"/>
      <c r="ED166" s="16">
        <v>1228</v>
      </c>
      <c r="EE166" s="16">
        <f t="shared" si="127"/>
        <v>63</v>
      </c>
      <c r="EF166" s="16">
        <v>1165</v>
      </c>
      <c r="EG166" s="16">
        <v>978</v>
      </c>
      <c r="EH166" s="16">
        <f t="shared" si="128"/>
        <v>187</v>
      </c>
      <c r="EI166" s="16"/>
      <c r="EJ166" s="16"/>
      <c r="EK166" s="78"/>
      <c r="EL166" s="79"/>
      <c r="EM166" s="15"/>
      <c r="EN166" s="15"/>
      <c r="EO166" s="15"/>
      <c r="EP166" s="16"/>
      <c r="EQ166" s="16"/>
      <c r="ER166" s="16"/>
      <c r="ES166" s="16"/>
      <c r="ET166" s="16"/>
      <c r="EU166" s="16"/>
      <c r="EV166" s="16"/>
      <c r="EW166" s="16"/>
      <c r="EX166" s="16"/>
      <c r="EY166" s="78"/>
      <c r="EZ166" s="79"/>
      <c r="FA166" s="15"/>
      <c r="FB166" s="15"/>
      <c r="FC166" s="15"/>
      <c r="FD166" s="16"/>
      <c r="FE166" s="16"/>
      <c r="FF166" s="16"/>
      <c r="FG166" s="16"/>
      <c r="FH166" s="16"/>
      <c r="FI166" s="16"/>
      <c r="FJ166" s="16"/>
      <c r="FK166" s="16"/>
      <c r="FM166" s="78"/>
      <c r="FN166" s="79"/>
      <c r="FO166" s="15"/>
      <c r="FP166" s="15"/>
      <c r="FQ166" s="15"/>
      <c r="FR166" s="16"/>
      <c r="FS166" s="16"/>
      <c r="FT166" s="16"/>
      <c r="FU166" s="16"/>
      <c r="FV166" s="16"/>
      <c r="FW166" s="16"/>
      <c r="FX166" s="16"/>
      <c r="FY166" s="16"/>
      <c r="GA166" s="78"/>
      <c r="GB166" s="79"/>
      <c r="GC166" s="15"/>
      <c r="GD166" s="15"/>
      <c r="GE166" s="15"/>
      <c r="GF166" s="16"/>
      <c r="GG166" s="16"/>
      <c r="GH166" s="16"/>
      <c r="GI166" s="16"/>
      <c r="GJ166" s="16"/>
      <c r="GK166" s="16"/>
      <c r="GL166" s="16"/>
      <c r="GM166" s="16"/>
    </row>
    <row r="167" spans="1:195" s="18" customFormat="1" ht="15" customHeight="1">
      <c r="A167" s="80">
        <v>2006</v>
      </c>
      <c r="B167" s="81" t="s">
        <v>41</v>
      </c>
      <c r="C167" s="15">
        <f t="shared" si="73"/>
        <v>0.7831171484015933</v>
      </c>
      <c r="D167" s="15">
        <f t="shared" si="74"/>
        <v>0.82009733140809671</v>
      </c>
      <c r="E167" s="15">
        <f t="shared" si="75"/>
        <v>0.95490756817485445</v>
      </c>
      <c r="F167" s="16"/>
      <c r="G167" s="33"/>
      <c r="H16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19582</v>
      </c>
      <c r="I167" s="16">
        <f t="shared" si="76"/>
        <v>883</v>
      </c>
      <c r="J16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18699</v>
      </c>
      <c r="K16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15335</v>
      </c>
      <c r="L167" s="16">
        <f t="shared" si="77"/>
        <v>3364</v>
      </c>
      <c r="M167" s="16"/>
      <c r="N167" s="16"/>
      <c r="O167" s="92">
        <v>2006</v>
      </c>
      <c r="P167" s="93" t="s">
        <v>41</v>
      </c>
      <c r="Q167" s="42">
        <f t="shared" si="78"/>
        <v>0.81128942999446596</v>
      </c>
      <c r="R167" s="42">
        <f t="shared" si="79"/>
        <v>0.8329545454545455</v>
      </c>
      <c r="S167" s="42">
        <f t="shared" si="80"/>
        <v>0.97399003873824019</v>
      </c>
      <c r="T167" s="43"/>
      <c r="U167" s="43"/>
      <c r="V167" s="30">
        <v>3614</v>
      </c>
      <c r="W167" s="30">
        <f t="shared" si="31"/>
        <v>94</v>
      </c>
      <c r="X167" s="30">
        <v>3520</v>
      </c>
      <c r="Y167" s="30">
        <v>2932</v>
      </c>
      <c r="Z167" s="30">
        <f t="shared" si="116"/>
        <v>588</v>
      </c>
      <c r="AA167" s="16"/>
      <c r="AB167" s="16"/>
      <c r="AC167" s="80">
        <v>2006</v>
      </c>
      <c r="AD167" s="81" t="s">
        <v>41</v>
      </c>
      <c r="AE167" s="15">
        <f t="shared" si="82"/>
        <v>0.8144946808510638</v>
      </c>
      <c r="AF167" s="15">
        <f t="shared" si="83"/>
        <v>0.83163611676849969</v>
      </c>
      <c r="AG167" s="15">
        <f t="shared" si="84"/>
        <v>0.97938829787234039</v>
      </c>
      <c r="AH167" s="15"/>
      <c r="AI167" s="15"/>
      <c r="AJ167" s="16">
        <v>1504</v>
      </c>
      <c r="AK167" s="16">
        <f t="shared" si="36"/>
        <v>31</v>
      </c>
      <c r="AL167" s="16">
        <v>1473</v>
      </c>
      <c r="AM167" s="16">
        <v>1225</v>
      </c>
      <c r="AN167" s="16">
        <f t="shared" si="85"/>
        <v>248</v>
      </c>
      <c r="AO167" s="16"/>
      <c r="AP167" s="16"/>
      <c r="AQ167" s="80">
        <v>2006</v>
      </c>
      <c r="AR167" s="81" t="s">
        <v>41</v>
      </c>
      <c r="AS167" s="15">
        <f t="shared" si="86"/>
        <v>0.84820886460230727</v>
      </c>
      <c r="AT167" s="15">
        <f t="shared" si="87"/>
        <v>0.88943123938879454</v>
      </c>
      <c r="AU167" s="15">
        <f t="shared" si="88"/>
        <v>0.95365310665857117</v>
      </c>
      <c r="AV167" s="16"/>
      <c r="AW167" s="16"/>
      <c r="AX167" s="16">
        <v>4941</v>
      </c>
      <c r="AY167" s="16">
        <f t="shared" si="117"/>
        <v>229</v>
      </c>
      <c r="AZ167" s="16">
        <v>4712</v>
      </c>
      <c r="BA167" s="16">
        <v>4191</v>
      </c>
      <c r="BB167" s="16">
        <f t="shared" si="118"/>
        <v>521</v>
      </c>
      <c r="BC167" s="16"/>
      <c r="BD167" s="16"/>
      <c r="BE167" s="80">
        <v>2006</v>
      </c>
      <c r="BF167" s="81" t="s">
        <v>41</v>
      </c>
      <c r="BG167" s="15">
        <f t="shared" si="91"/>
        <v>0.56486042692939242</v>
      </c>
      <c r="BH167" s="15">
        <f t="shared" si="92"/>
        <v>0.70347648261758688</v>
      </c>
      <c r="BI167" s="15">
        <f t="shared" si="93"/>
        <v>0.80295566502463056</v>
      </c>
      <c r="BJ167" s="16"/>
      <c r="BK167" s="16"/>
      <c r="BL167" s="16">
        <v>609</v>
      </c>
      <c r="BM167" s="16">
        <f t="shared" si="119"/>
        <v>120</v>
      </c>
      <c r="BN167" s="16">
        <v>489</v>
      </c>
      <c r="BO167" s="16">
        <v>344</v>
      </c>
      <c r="BP167" s="16">
        <f t="shared" si="120"/>
        <v>145</v>
      </c>
      <c r="BQ167" s="16"/>
      <c r="BR167" s="16"/>
      <c r="BS167" s="80">
        <v>2006</v>
      </c>
      <c r="BT167" s="81" t="s">
        <v>41</v>
      </c>
      <c r="BU167" s="15">
        <f t="shared" si="96"/>
        <v>0.59325246398786957</v>
      </c>
      <c r="BV167" s="15">
        <f t="shared" si="97"/>
        <v>0.63283461382935702</v>
      </c>
      <c r="BW167" s="15">
        <f t="shared" si="98"/>
        <v>0.93745261561789239</v>
      </c>
      <c r="BX167" s="16"/>
      <c r="BY167" s="16"/>
      <c r="BZ167" s="16">
        <v>2638</v>
      </c>
      <c r="CA167" s="16">
        <f t="shared" si="121"/>
        <v>165</v>
      </c>
      <c r="CB167" s="16">
        <v>2473</v>
      </c>
      <c r="CC167" s="16">
        <v>1565</v>
      </c>
      <c r="CD167" s="16">
        <f t="shared" si="122"/>
        <v>908</v>
      </c>
      <c r="CE167" s="16"/>
      <c r="CF167" s="16"/>
      <c r="CG167" s="80">
        <v>2006</v>
      </c>
      <c r="CH167" s="81" t="s">
        <v>41</v>
      </c>
      <c r="CI167" s="15">
        <f t="shared" si="101"/>
        <v>0.71663551401869163</v>
      </c>
      <c r="CJ167" s="15">
        <f t="shared" si="102"/>
        <v>0.73872832369942198</v>
      </c>
      <c r="CK167" s="15">
        <f t="shared" si="103"/>
        <v>0.97009345794392521</v>
      </c>
      <c r="CL167" s="16"/>
      <c r="CM167" s="16"/>
      <c r="CN167" s="16">
        <v>2675</v>
      </c>
      <c r="CO167" s="16">
        <f t="shared" si="123"/>
        <v>80</v>
      </c>
      <c r="CP167" s="16">
        <v>2595</v>
      </c>
      <c r="CQ167" s="16">
        <v>1917</v>
      </c>
      <c r="CR167" s="16">
        <f t="shared" si="124"/>
        <v>678</v>
      </c>
      <c r="CS167" s="16"/>
      <c r="CT167" s="16"/>
      <c r="CU167" s="80">
        <v>2006</v>
      </c>
      <c r="CV167" s="81" t="s">
        <v>41</v>
      </c>
      <c r="CW167" s="15">
        <f t="shared" si="58"/>
        <v>0.91238877481177272</v>
      </c>
      <c r="CX167" s="15">
        <f t="shared" si="59"/>
        <v>0.96176046176046182</v>
      </c>
      <c r="CY167" s="15">
        <f t="shared" si="60"/>
        <v>0.94866529774127306</v>
      </c>
      <c r="CZ167" s="16"/>
      <c r="DA167" s="16"/>
      <c r="DB167" s="16">
        <v>1461</v>
      </c>
      <c r="DC167" s="16">
        <f t="shared" si="61"/>
        <v>75</v>
      </c>
      <c r="DD167" s="16">
        <v>1386</v>
      </c>
      <c r="DE167" s="16">
        <v>1333</v>
      </c>
      <c r="DF167" s="16">
        <f t="shared" si="62"/>
        <v>53</v>
      </c>
      <c r="DG167" s="16"/>
      <c r="DH167" s="16"/>
      <c r="DI167" s="80">
        <v>2006</v>
      </c>
      <c r="DJ167" s="81" t="s">
        <v>41</v>
      </c>
      <c r="DK167" s="15">
        <f t="shared" si="106"/>
        <v>0.9263157894736842</v>
      </c>
      <c r="DL167" s="15">
        <f t="shared" si="107"/>
        <v>0.93121693121693117</v>
      </c>
      <c r="DM167" s="15">
        <f t="shared" si="108"/>
        <v>0.99473684210526314</v>
      </c>
      <c r="DN167" s="16"/>
      <c r="DO167" s="16"/>
      <c r="DP167" s="16">
        <v>950</v>
      </c>
      <c r="DQ167" s="16">
        <f t="shared" si="125"/>
        <v>5</v>
      </c>
      <c r="DR167" s="16">
        <v>945</v>
      </c>
      <c r="DS167" s="16">
        <v>880</v>
      </c>
      <c r="DT167" s="16">
        <f t="shared" si="126"/>
        <v>65</v>
      </c>
      <c r="DU167" s="16"/>
      <c r="DV167" s="16"/>
      <c r="DW167" s="80">
        <v>2006</v>
      </c>
      <c r="DX167" s="81" t="s">
        <v>41</v>
      </c>
      <c r="DY167" s="15">
        <f t="shared" si="111"/>
        <v>0.79663865546218482</v>
      </c>
      <c r="DZ167" s="15">
        <f t="shared" si="112"/>
        <v>0.8571428571428571</v>
      </c>
      <c r="EA167" s="15">
        <f t="shared" si="113"/>
        <v>0.92941176470588238</v>
      </c>
      <c r="EB167" s="16"/>
      <c r="EC167" s="16"/>
      <c r="ED167" s="16">
        <v>1190</v>
      </c>
      <c r="EE167" s="16">
        <f t="shared" si="127"/>
        <v>84</v>
      </c>
      <c r="EF167" s="16">
        <v>1106</v>
      </c>
      <c r="EG167" s="16">
        <v>948</v>
      </c>
      <c r="EH167" s="16">
        <f t="shared" si="128"/>
        <v>158</v>
      </c>
      <c r="EI167" s="16"/>
      <c r="EJ167" s="16"/>
      <c r="EK167" s="80"/>
      <c r="EL167" s="81"/>
      <c r="EM167" s="15"/>
      <c r="EN167" s="15"/>
      <c r="EO167" s="15"/>
      <c r="EP167" s="16"/>
      <c r="EQ167" s="16"/>
      <c r="ER167" s="16"/>
      <c r="ES167" s="16"/>
      <c r="ET167" s="16"/>
      <c r="EU167" s="16"/>
      <c r="EV167" s="16"/>
      <c r="EW167" s="16"/>
      <c r="EX167" s="16"/>
      <c r="EY167" s="80"/>
      <c r="EZ167" s="81"/>
      <c r="FA167" s="15"/>
      <c r="FB167" s="15"/>
      <c r="FC167" s="15"/>
      <c r="FD167" s="16"/>
      <c r="FE167" s="16"/>
      <c r="FF167" s="16"/>
      <c r="FG167" s="16"/>
      <c r="FH167" s="16"/>
      <c r="FI167" s="16"/>
      <c r="FJ167" s="16"/>
      <c r="FK167" s="16"/>
      <c r="FM167" s="80"/>
      <c r="FN167" s="81"/>
      <c r="FO167" s="15"/>
      <c r="FP167" s="15"/>
      <c r="FQ167" s="15"/>
      <c r="FR167" s="16"/>
      <c r="FS167" s="16"/>
      <c r="FT167" s="16"/>
      <c r="FU167" s="16"/>
      <c r="FV167" s="16"/>
      <c r="FW167" s="16"/>
      <c r="FX167" s="16"/>
      <c r="FY167" s="16"/>
      <c r="GA167" s="80"/>
      <c r="GB167" s="81"/>
      <c r="GC167" s="15"/>
      <c r="GD167" s="15"/>
      <c r="GE167" s="15"/>
      <c r="GF167" s="16"/>
      <c r="GG167" s="16"/>
      <c r="GH167" s="16"/>
      <c r="GI167" s="16"/>
      <c r="GJ167" s="16"/>
      <c r="GK167" s="16"/>
      <c r="GL167" s="16"/>
      <c r="GM167" s="16"/>
    </row>
    <row r="168" spans="1:195" s="18" customFormat="1" ht="15" customHeight="1">
      <c r="A168" s="78">
        <v>2006</v>
      </c>
      <c r="B168" s="79" t="s">
        <v>42</v>
      </c>
      <c r="C168" s="15">
        <f t="shared" si="73"/>
        <v>0.799036886263218</v>
      </c>
      <c r="D168" s="15">
        <f t="shared" si="74"/>
        <v>0.8440843297671492</v>
      </c>
      <c r="E168" s="15">
        <f t="shared" si="75"/>
        <v>0.94663158417316184</v>
      </c>
      <c r="F168" s="16"/>
      <c r="G168" s="33"/>
      <c r="H16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20143</v>
      </c>
      <c r="I168" s="16">
        <f t="shared" si="76"/>
        <v>1075</v>
      </c>
      <c r="J16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19068</v>
      </c>
      <c r="K16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16095</v>
      </c>
      <c r="L168" s="16">
        <f t="shared" si="77"/>
        <v>2973</v>
      </c>
      <c r="M168" s="16"/>
      <c r="N168" s="16"/>
      <c r="O168" s="90">
        <v>2006</v>
      </c>
      <c r="P168" s="91" t="s">
        <v>42</v>
      </c>
      <c r="Q168" s="42">
        <f t="shared" si="78"/>
        <v>0.87547169811320757</v>
      </c>
      <c r="R168" s="42">
        <f t="shared" si="79"/>
        <v>0.89575289575289574</v>
      </c>
      <c r="S168" s="42">
        <f t="shared" si="80"/>
        <v>0.97735849056603774</v>
      </c>
      <c r="T168" s="43"/>
      <c r="U168" s="43"/>
      <c r="V168" s="30">
        <v>3710</v>
      </c>
      <c r="W168" s="30">
        <f t="shared" si="31"/>
        <v>84</v>
      </c>
      <c r="X168" s="30">
        <v>3626</v>
      </c>
      <c r="Y168" s="30">
        <v>3248</v>
      </c>
      <c r="Z168" s="30">
        <f t="shared" si="116"/>
        <v>378</v>
      </c>
      <c r="AA168" s="16"/>
      <c r="AB168" s="16"/>
      <c r="AC168" s="78">
        <v>2006</v>
      </c>
      <c r="AD168" s="79" t="s">
        <v>42</v>
      </c>
      <c r="AE168" s="15">
        <f t="shared" si="82"/>
        <v>0.80487804878048785</v>
      </c>
      <c r="AF168" s="15">
        <f t="shared" si="83"/>
        <v>0.83377659574468088</v>
      </c>
      <c r="AG168" s="15">
        <f t="shared" si="84"/>
        <v>0.96534017971758668</v>
      </c>
      <c r="AH168" s="15"/>
      <c r="AI168" s="15"/>
      <c r="AJ168" s="16">
        <v>1558</v>
      </c>
      <c r="AK168" s="16">
        <f t="shared" si="36"/>
        <v>54</v>
      </c>
      <c r="AL168" s="16">
        <v>1504</v>
      </c>
      <c r="AM168" s="16">
        <v>1254</v>
      </c>
      <c r="AN168" s="16">
        <f t="shared" si="85"/>
        <v>250</v>
      </c>
      <c r="AO168" s="16"/>
      <c r="AP168" s="16"/>
      <c r="AQ168" s="78">
        <v>2006</v>
      </c>
      <c r="AR168" s="79" t="s">
        <v>42</v>
      </c>
      <c r="AS168" s="15">
        <f t="shared" si="86"/>
        <v>0.8828846531735115</v>
      </c>
      <c r="AT168" s="15">
        <f t="shared" si="87"/>
        <v>0.91731318905675785</v>
      </c>
      <c r="AU168" s="15">
        <f t="shared" si="88"/>
        <v>0.96246806838278642</v>
      </c>
      <c r="AV168" s="16"/>
      <c r="AW168" s="16"/>
      <c r="AX168" s="16">
        <v>5089</v>
      </c>
      <c r="AY168" s="16">
        <f t="shared" si="117"/>
        <v>191</v>
      </c>
      <c r="AZ168" s="16">
        <v>4898</v>
      </c>
      <c r="BA168" s="16">
        <v>4493</v>
      </c>
      <c r="BB168" s="16">
        <f t="shared" si="118"/>
        <v>405</v>
      </c>
      <c r="BC168" s="16"/>
      <c r="BD168" s="16"/>
      <c r="BE168" s="78">
        <v>2006</v>
      </c>
      <c r="BF168" s="79" t="s">
        <v>42</v>
      </c>
      <c r="BG168" s="15">
        <f t="shared" si="91"/>
        <v>0.65353037766830868</v>
      </c>
      <c r="BH168" s="15">
        <f t="shared" si="92"/>
        <v>0.79125248508946322</v>
      </c>
      <c r="BI168" s="15">
        <f t="shared" si="93"/>
        <v>0.82594417077175697</v>
      </c>
      <c r="BJ168" s="16"/>
      <c r="BK168" s="16"/>
      <c r="BL168" s="16">
        <v>609</v>
      </c>
      <c r="BM168" s="16">
        <f t="shared" si="119"/>
        <v>106</v>
      </c>
      <c r="BN168" s="16">
        <v>503</v>
      </c>
      <c r="BO168" s="16">
        <v>398</v>
      </c>
      <c r="BP168" s="16">
        <f t="shared" si="120"/>
        <v>105</v>
      </c>
      <c r="BQ168" s="16"/>
      <c r="BR168" s="16"/>
      <c r="BS168" s="78">
        <v>2006</v>
      </c>
      <c r="BT168" s="79" t="s">
        <v>42</v>
      </c>
      <c r="BU168" s="15">
        <f t="shared" si="96"/>
        <v>0.63777203983769826</v>
      </c>
      <c r="BV168" s="15">
        <f t="shared" si="97"/>
        <v>0.68857029072082832</v>
      </c>
      <c r="BW168" s="15">
        <f t="shared" si="98"/>
        <v>0.92622648469199553</v>
      </c>
      <c r="BX168" s="16"/>
      <c r="BY168" s="16"/>
      <c r="BZ168" s="16">
        <v>2711</v>
      </c>
      <c r="CA168" s="16">
        <f t="shared" si="121"/>
        <v>200</v>
      </c>
      <c r="CB168" s="16">
        <v>2511</v>
      </c>
      <c r="CC168" s="16">
        <v>1729</v>
      </c>
      <c r="CD168" s="16">
        <f t="shared" si="122"/>
        <v>782</v>
      </c>
      <c r="CE168" s="16"/>
      <c r="CF168" s="16"/>
      <c r="CG168" s="78">
        <v>2006</v>
      </c>
      <c r="CH168" s="79" t="s">
        <v>42</v>
      </c>
      <c r="CI168" s="15">
        <f t="shared" si="101"/>
        <v>0.70338058887677213</v>
      </c>
      <c r="CJ168" s="15">
        <f t="shared" si="102"/>
        <v>0.74595219737856588</v>
      </c>
      <c r="CK168" s="15">
        <f t="shared" si="103"/>
        <v>0.94292984369320243</v>
      </c>
      <c r="CL168" s="16"/>
      <c r="CM168" s="16"/>
      <c r="CN168" s="16">
        <v>2751</v>
      </c>
      <c r="CO168" s="16">
        <f t="shared" si="123"/>
        <v>157</v>
      </c>
      <c r="CP168" s="16">
        <v>2594</v>
      </c>
      <c r="CQ168" s="16">
        <v>1935</v>
      </c>
      <c r="CR168" s="16">
        <f t="shared" si="124"/>
        <v>659</v>
      </c>
      <c r="CS168" s="16"/>
      <c r="CT168" s="16"/>
      <c r="CU168" s="78">
        <v>2006</v>
      </c>
      <c r="CV168" s="79" t="s">
        <v>42</v>
      </c>
      <c r="CW168" s="15">
        <f t="shared" si="58"/>
        <v>0.81304058549567526</v>
      </c>
      <c r="CX168" s="15">
        <f t="shared" si="59"/>
        <v>0.8685145700071073</v>
      </c>
      <c r="CY168" s="15">
        <f t="shared" si="60"/>
        <v>0.93612774451097802</v>
      </c>
      <c r="CZ168" s="16"/>
      <c r="DA168" s="16"/>
      <c r="DB168" s="16">
        <v>1503</v>
      </c>
      <c r="DC168" s="16">
        <f t="shared" si="61"/>
        <v>96</v>
      </c>
      <c r="DD168" s="16">
        <v>1407</v>
      </c>
      <c r="DE168" s="16">
        <v>1222</v>
      </c>
      <c r="DF168" s="16">
        <f t="shared" si="62"/>
        <v>185</v>
      </c>
      <c r="DG168" s="16"/>
      <c r="DH168" s="16"/>
      <c r="DI168" s="78">
        <v>2006</v>
      </c>
      <c r="DJ168" s="79" t="s">
        <v>42</v>
      </c>
      <c r="DK168" s="15">
        <f t="shared" si="106"/>
        <v>0.85743380855397144</v>
      </c>
      <c r="DL168" s="15">
        <f t="shared" si="107"/>
        <v>0.89289501590668086</v>
      </c>
      <c r="DM168" s="15">
        <f t="shared" si="108"/>
        <v>0.96028513238289204</v>
      </c>
      <c r="DN168" s="16"/>
      <c r="DO168" s="16"/>
      <c r="DP168" s="16">
        <v>982</v>
      </c>
      <c r="DQ168" s="16">
        <f t="shared" si="125"/>
        <v>39</v>
      </c>
      <c r="DR168" s="16">
        <v>943</v>
      </c>
      <c r="DS168" s="16">
        <v>842</v>
      </c>
      <c r="DT168" s="16">
        <f t="shared" si="126"/>
        <v>101</v>
      </c>
      <c r="DU168" s="16"/>
      <c r="DV168" s="16"/>
      <c r="DW168" s="78">
        <v>2006</v>
      </c>
      <c r="DX168" s="79" t="s">
        <v>42</v>
      </c>
      <c r="DY168" s="15">
        <f t="shared" si="111"/>
        <v>0.79186991869918699</v>
      </c>
      <c r="DZ168" s="15">
        <f t="shared" si="112"/>
        <v>0.90018484288354894</v>
      </c>
      <c r="EA168" s="15">
        <f t="shared" si="113"/>
        <v>0.87967479674796745</v>
      </c>
      <c r="EB168" s="16"/>
      <c r="EC168" s="16"/>
      <c r="ED168" s="16">
        <v>1230</v>
      </c>
      <c r="EE168" s="16">
        <f t="shared" si="127"/>
        <v>148</v>
      </c>
      <c r="EF168" s="16">
        <v>1082</v>
      </c>
      <c r="EG168" s="16">
        <v>974</v>
      </c>
      <c r="EH168" s="16">
        <f t="shared" si="128"/>
        <v>108</v>
      </c>
      <c r="EI168" s="16"/>
      <c r="EJ168" s="16"/>
      <c r="EK168" s="78"/>
      <c r="EL168" s="79"/>
      <c r="EM168" s="15"/>
      <c r="EN168" s="15"/>
      <c r="EO168" s="15"/>
      <c r="EP168" s="16"/>
      <c r="EQ168" s="16"/>
      <c r="ER168" s="16"/>
      <c r="ES168" s="16"/>
      <c r="ET168" s="16"/>
      <c r="EU168" s="16"/>
      <c r="EV168" s="16"/>
      <c r="EW168" s="16"/>
      <c r="EX168" s="16"/>
      <c r="EY168" s="78"/>
      <c r="EZ168" s="79"/>
      <c r="FA168" s="15"/>
      <c r="FB168" s="15"/>
      <c r="FC168" s="15"/>
      <c r="FD168" s="16"/>
      <c r="FE168" s="16"/>
      <c r="FF168" s="16"/>
      <c r="FG168" s="16"/>
      <c r="FH168" s="16"/>
      <c r="FI168" s="16"/>
      <c r="FJ168" s="16"/>
      <c r="FK168" s="16"/>
      <c r="FM168" s="78"/>
      <c r="FN168" s="79"/>
      <c r="FO168" s="15"/>
      <c r="FP168" s="15"/>
      <c r="FQ168" s="15"/>
      <c r="FR168" s="16"/>
      <c r="FS168" s="16"/>
      <c r="FT168" s="16"/>
      <c r="FU168" s="16"/>
      <c r="FV168" s="16"/>
      <c r="FW168" s="16"/>
      <c r="FX168" s="16"/>
      <c r="FY168" s="16"/>
      <c r="GA168" s="78"/>
      <c r="GB168" s="79"/>
      <c r="GC168" s="15"/>
      <c r="GD168" s="15"/>
      <c r="GE168" s="15"/>
      <c r="GF168" s="16"/>
      <c r="GG168" s="16"/>
      <c r="GH168" s="16"/>
      <c r="GI168" s="16"/>
      <c r="GJ168" s="16"/>
      <c r="GK168" s="16"/>
      <c r="GL168" s="16"/>
      <c r="GM168" s="16"/>
    </row>
    <row r="169" spans="1:195" s="18" customFormat="1" ht="15" customHeight="1">
      <c r="A169" s="80">
        <v>2006</v>
      </c>
      <c r="B169" s="81" t="s">
        <v>43</v>
      </c>
      <c r="C169" s="15">
        <f t="shared" si="73"/>
        <v>0.81881310022162024</v>
      </c>
      <c r="D169" s="15">
        <f t="shared" si="74"/>
        <v>0.86409230289485994</v>
      </c>
      <c r="E169" s="15">
        <f t="shared" si="75"/>
        <v>0.94759911351883774</v>
      </c>
      <c r="F169" s="16"/>
      <c r="G169" s="33"/>
      <c r="H16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69" s="16">
        <f t="shared" si="76"/>
        <v>1064</v>
      </c>
      <c r="J16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19241</v>
      </c>
      <c r="K16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16626</v>
      </c>
      <c r="L169" s="16">
        <f t="shared" si="77"/>
        <v>2615</v>
      </c>
      <c r="M169" s="16"/>
      <c r="N169" s="16"/>
      <c r="O169" s="92">
        <v>2006</v>
      </c>
      <c r="P169" s="93" t="s">
        <v>43</v>
      </c>
      <c r="Q169" s="42">
        <f t="shared" si="78"/>
        <v>0.87932871603622798</v>
      </c>
      <c r="R169" s="42">
        <f t="shared" si="79"/>
        <v>0.89994547437295525</v>
      </c>
      <c r="S169" s="42">
        <f t="shared" si="80"/>
        <v>0.97709110282365474</v>
      </c>
      <c r="T169" s="43"/>
      <c r="U169" s="43"/>
      <c r="V169" s="30">
        <v>3754</v>
      </c>
      <c r="W169" s="30">
        <f t="shared" si="31"/>
        <v>86</v>
      </c>
      <c r="X169" s="30">
        <v>3668</v>
      </c>
      <c r="Y169" s="30">
        <v>3301</v>
      </c>
      <c r="Z169" s="30">
        <f t="shared" si="116"/>
        <v>367</v>
      </c>
      <c r="AA169" s="16"/>
      <c r="AB169" s="16"/>
      <c r="AC169" s="80">
        <v>2006</v>
      </c>
      <c r="AD169" s="81" t="s">
        <v>43</v>
      </c>
      <c r="AE169" s="15">
        <f t="shared" si="82"/>
        <v>0.83815028901734101</v>
      </c>
      <c r="AF169" s="15">
        <f t="shared" si="83"/>
        <v>0.84685269305645683</v>
      </c>
      <c r="AG169" s="15">
        <f t="shared" si="84"/>
        <v>0.98972382787411695</v>
      </c>
      <c r="AH169" s="15"/>
      <c r="AI169" s="15"/>
      <c r="AJ169" s="16">
        <v>1557</v>
      </c>
      <c r="AK169" s="16">
        <f t="shared" si="36"/>
        <v>16</v>
      </c>
      <c r="AL169" s="16">
        <v>1541</v>
      </c>
      <c r="AM169" s="16">
        <v>1305</v>
      </c>
      <c r="AN169" s="16">
        <f t="shared" si="85"/>
        <v>236</v>
      </c>
      <c r="AO169" s="16"/>
      <c r="AP169" s="16"/>
      <c r="AQ169" s="80">
        <v>2006</v>
      </c>
      <c r="AR169" s="81" t="s">
        <v>43</v>
      </c>
      <c r="AS169" s="15">
        <f t="shared" si="86"/>
        <v>0.88448780487804879</v>
      </c>
      <c r="AT169" s="15">
        <f t="shared" si="87"/>
        <v>0.91761133603238865</v>
      </c>
      <c r="AU169" s="15">
        <f t="shared" si="88"/>
        <v>0.96390243902439021</v>
      </c>
      <c r="AV169" s="16"/>
      <c r="AW169" s="16"/>
      <c r="AX169" s="16">
        <v>5125</v>
      </c>
      <c r="AY169" s="16">
        <f t="shared" si="117"/>
        <v>185</v>
      </c>
      <c r="AZ169" s="16">
        <v>4940</v>
      </c>
      <c r="BA169" s="16">
        <v>4533</v>
      </c>
      <c r="BB169" s="16">
        <f t="shared" si="118"/>
        <v>407</v>
      </c>
      <c r="BC169" s="16"/>
      <c r="BD169" s="16"/>
      <c r="BE169" s="80">
        <v>2006</v>
      </c>
      <c r="BF169" s="81" t="s">
        <v>43</v>
      </c>
      <c r="BG169" s="15">
        <f t="shared" si="91"/>
        <v>0.64263322884012541</v>
      </c>
      <c r="BH169" s="15">
        <f t="shared" si="92"/>
        <v>0.81510934393638168</v>
      </c>
      <c r="BI169" s="15">
        <f t="shared" si="93"/>
        <v>0.78840125391849525</v>
      </c>
      <c r="BJ169" s="16"/>
      <c r="BK169" s="16"/>
      <c r="BL169" s="16">
        <v>638</v>
      </c>
      <c r="BM169" s="16">
        <f t="shared" si="119"/>
        <v>135</v>
      </c>
      <c r="BN169" s="16">
        <v>503</v>
      </c>
      <c r="BO169" s="16">
        <v>410</v>
      </c>
      <c r="BP169" s="16">
        <f t="shared" si="120"/>
        <v>93</v>
      </c>
      <c r="BQ169" s="16"/>
      <c r="BR169" s="16"/>
      <c r="BS169" s="80">
        <v>2006</v>
      </c>
      <c r="BT169" s="81" t="s">
        <v>43</v>
      </c>
      <c r="BU169" s="15">
        <f t="shared" si="96"/>
        <v>0.62545720555961959</v>
      </c>
      <c r="BV169" s="15">
        <f t="shared" si="97"/>
        <v>0.67482241515390684</v>
      </c>
      <c r="BW169" s="15">
        <f t="shared" si="98"/>
        <v>0.92684711046086321</v>
      </c>
      <c r="BX169" s="16"/>
      <c r="BY169" s="16"/>
      <c r="BZ169" s="16">
        <v>2734</v>
      </c>
      <c r="CA169" s="16">
        <f t="shared" si="121"/>
        <v>200</v>
      </c>
      <c r="CB169" s="16">
        <v>2534</v>
      </c>
      <c r="CC169" s="16">
        <v>1710</v>
      </c>
      <c r="CD169" s="16">
        <f t="shared" si="122"/>
        <v>824</v>
      </c>
      <c r="CE169" s="16"/>
      <c r="CF169" s="16"/>
      <c r="CG169" s="80">
        <v>2006</v>
      </c>
      <c r="CH169" s="81" t="s">
        <v>43</v>
      </c>
      <c r="CI169" s="15">
        <f t="shared" si="101"/>
        <v>0.78455431252255503</v>
      </c>
      <c r="CJ169" s="15">
        <f t="shared" si="102"/>
        <v>0.82130714015867023</v>
      </c>
      <c r="CK169" s="15">
        <f t="shared" si="103"/>
        <v>0.95525081198123418</v>
      </c>
      <c r="CL169" s="16"/>
      <c r="CM169" s="16"/>
      <c r="CN169" s="16">
        <v>2771</v>
      </c>
      <c r="CO169" s="16">
        <f t="shared" si="123"/>
        <v>124</v>
      </c>
      <c r="CP169" s="16">
        <v>2647</v>
      </c>
      <c r="CQ169" s="16">
        <v>2174</v>
      </c>
      <c r="CR169" s="16">
        <f t="shared" si="124"/>
        <v>473</v>
      </c>
      <c r="CS169" s="16"/>
      <c r="CT169" s="16"/>
      <c r="CU169" s="80">
        <v>2006</v>
      </c>
      <c r="CV169" s="81" t="s">
        <v>43</v>
      </c>
      <c r="CW169" s="15">
        <f t="shared" si="58"/>
        <v>0.91083223249669754</v>
      </c>
      <c r="CX169" s="15">
        <f t="shared" si="59"/>
        <v>0.96097560975609753</v>
      </c>
      <c r="CY169" s="15">
        <f t="shared" si="60"/>
        <v>0.94782034346103039</v>
      </c>
      <c r="CZ169" s="16"/>
      <c r="DA169" s="16"/>
      <c r="DB169" s="16">
        <v>1514</v>
      </c>
      <c r="DC169" s="16">
        <f t="shared" si="61"/>
        <v>79</v>
      </c>
      <c r="DD169" s="16">
        <v>1435</v>
      </c>
      <c r="DE169" s="16">
        <v>1379</v>
      </c>
      <c r="DF169" s="16">
        <f t="shared" si="62"/>
        <v>56</v>
      </c>
      <c r="DG169" s="16"/>
      <c r="DH169" s="16"/>
      <c r="DI169" s="80">
        <v>2006</v>
      </c>
      <c r="DJ169" s="81" t="s">
        <v>43</v>
      </c>
      <c r="DK169" s="15">
        <f t="shared" si="106"/>
        <v>0.81975560081466392</v>
      </c>
      <c r="DL169" s="15">
        <f t="shared" si="107"/>
        <v>0.89743589743589747</v>
      </c>
      <c r="DM169" s="15">
        <f t="shared" si="108"/>
        <v>0.9134419551934827</v>
      </c>
      <c r="DN169" s="16"/>
      <c r="DO169" s="16"/>
      <c r="DP169" s="16">
        <v>982</v>
      </c>
      <c r="DQ169" s="16">
        <f t="shared" si="125"/>
        <v>85</v>
      </c>
      <c r="DR169" s="16">
        <v>897</v>
      </c>
      <c r="DS169" s="16">
        <v>805</v>
      </c>
      <c r="DT169" s="16">
        <f t="shared" si="126"/>
        <v>92</v>
      </c>
      <c r="DU169" s="16"/>
      <c r="DV169" s="16"/>
      <c r="DW169" s="80">
        <v>2006</v>
      </c>
      <c r="DX169" s="81" t="s">
        <v>43</v>
      </c>
      <c r="DY169" s="15">
        <f t="shared" si="111"/>
        <v>0.82032520325203251</v>
      </c>
      <c r="DZ169" s="15">
        <f t="shared" si="112"/>
        <v>0.93773234200743494</v>
      </c>
      <c r="EA169" s="15">
        <f t="shared" si="113"/>
        <v>0.87479674796747964</v>
      </c>
      <c r="EB169" s="16"/>
      <c r="EC169" s="16"/>
      <c r="ED169" s="16">
        <v>1230</v>
      </c>
      <c r="EE169" s="16">
        <f t="shared" si="127"/>
        <v>154</v>
      </c>
      <c r="EF169" s="16">
        <v>1076</v>
      </c>
      <c r="EG169" s="16">
        <v>1009</v>
      </c>
      <c r="EH169" s="16">
        <f t="shared" si="128"/>
        <v>67</v>
      </c>
      <c r="EI169" s="16"/>
      <c r="EJ169" s="16"/>
      <c r="EK169" s="80"/>
      <c r="EL169" s="81"/>
      <c r="EM169" s="15"/>
      <c r="EN169" s="15"/>
      <c r="EO169" s="15"/>
      <c r="EP169" s="16"/>
      <c r="EQ169" s="16"/>
      <c r="ER169" s="16"/>
      <c r="ES169" s="16"/>
      <c r="ET169" s="16"/>
      <c r="EU169" s="16"/>
      <c r="EV169" s="16"/>
      <c r="EW169" s="16"/>
      <c r="EX169" s="16"/>
      <c r="EY169" s="80"/>
      <c r="EZ169" s="81"/>
      <c r="FA169" s="15"/>
      <c r="FB169" s="15"/>
      <c r="FC169" s="15"/>
      <c r="FD169" s="16"/>
      <c r="FE169" s="16"/>
      <c r="FF169" s="16"/>
      <c r="FG169" s="16"/>
      <c r="FH169" s="16"/>
      <c r="FI169" s="16"/>
      <c r="FJ169" s="16"/>
      <c r="FK169" s="16"/>
      <c r="FM169" s="80"/>
      <c r="FN169" s="81"/>
      <c r="FO169" s="15"/>
      <c r="FP169" s="15"/>
      <c r="FQ169" s="15"/>
      <c r="FR169" s="16"/>
      <c r="FS169" s="16"/>
      <c r="FT169" s="16"/>
      <c r="FU169" s="16"/>
      <c r="FV169" s="16"/>
      <c r="FW169" s="16"/>
      <c r="FX169" s="16"/>
      <c r="FY169" s="16"/>
      <c r="GA169" s="80"/>
      <c r="GB169" s="81"/>
      <c r="GC169" s="15"/>
      <c r="GD169" s="15"/>
      <c r="GE169" s="15"/>
      <c r="GF169" s="16"/>
      <c r="GG169" s="16"/>
      <c r="GH169" s="16"/>
      <c r="GI169" s="16"/>
      <c r="GJ169" s="16"/>
      <c r="GK169" s="16"/>
      <c r="GL169" s="16"/>
      <c r="GM169" s="16"/>
    </row>
    <row r="170" spans="1:195" s="18" customFormat="1" ht="15" customHeight="1">
      <c r="A170" s="78">
        <v>2006</v>
      </c>
      <c r="B170" s="79" t="s">
        <v>44</v>
      </c>
      <c r="C170" s="15">
        <f t="shared" si="73"/>
        <v>0.80768060064935066</v>
      </c>
      <c r="D170" s="15">
        <f t="shared" si="74"/>
        <v>0.8654598825831703</v>
      </c>
      <c r="E170" s="15">
        <f t="shared" si="75"/>
        <v>0.93323863636363635</v>
      </c>
      <c r="F170" s="16"/>
      <c r="G170" s="33"/>
      <c r="H17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19712</v>
      </c>
      <c r="I170" s="16">
        <f t="shared" si="76"/>
        <v>1316</v>
      </c>
      <c r="J17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18396</v>
      </c>
      <c r="K17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15921</v>
      </c>
      <c r="L170" s="16">
        <f t="shared" si="77"/>
        <v>2475</v>
      </c>
      <c r="M170" s="16"/>
      <c r="N170" s="16"/>
      <c r="O170" s="90">
        <v>2006</v>
      </c>
      <c r="P170" s="91" t="s">
        <v>44</v>
      </c>
      <c r="Q170" s="42">
        <f t="shared" si="78"/>
        <v>0.84720700985761221</v>
      </c>
      <c r="R170" s="42">
        <f t="shared" si="79"/>
        <v>0.88324293462746217</v>
      </c>
      <c r="S170" s="42">
        <f t="shared" si="80"/>
        <v>0.95920043811610078</v>
      </c>
      <c r="T170" s="43"/>
      <c r="U170" s="43"/>
      <c r="V170" s="30">
        <v>3652</v>
      </c>
      <c r="W170" s="30">
        <f t="shared" si="31"/>
        <v>149</v>
      </c>
      <c r="X170" s="30">
        <v>3503</v>
      </c>
      <c r="Y170" s="30">
        <v>3094</v>
      </c>
      <c r="Z170" s="30">
        <f t="shared" si="116"/>
        <v>409</v>
      </c>
      <c r="AA170" s="16"/>
      <c r="AB170" s="16"/>
      <c r="AC170" s="78">
        <v>2006</v>
      </c>
      <c r="AD170" s="79" t="s">
        <v>44</v>
      </c>
      <c r="AE170" s="15">
        <f t="shared" si="82"/>
        <v>0.84110308601444517</v>
      </c>
      <c r="AF170" s="15">
        <f t="shared" si="83"/>
        <v>0.86554054054054053</v>
      </c>
      <c r="AG170" s="15">
        <f t="shared" si="84"/>
        <v>0.97176625082074852</v>
      </c>
      <c r="AH170" s="15"/>
      <c r="AI170" s="15"/>
      <c r="AJ170" s="16">
        <v>1523</v>
      </c>
      <c r="AK170" s="16">
        <f t="shared" si="36"/>
        <v>43</v>
      </c>
      <c r="AL170" s="16">
        <v>1480</v>
      </c>
      <c r="AM170" s="16">
        <v>1281</v>
      </c>
      <c r="AN170" s="16">
        <f t="shared" si="85"/>
        <v>199</v>
      </c>
      <c r="AO170" s="16"/>
      <c r="AP170" s="16"/>
      <c r="AQ170" s="78">
        <v>2006</v>
      </c>
      <c r="AR170" s="79" t="s">
        <v>44</v>
      </c>
      <c r="AS170" s="15">
        <f t="shared" si="86"/>
        <v>0.84221065278333995</v>
      </c>
      <c r="AT170" s="15">
        <f t="shared" si="87"/>
        <v>0.9060749676863421</v>
      </c>
      <c r="AU170" s="15">
        <f t="shared" si="88"/>
        <v>0.92951541850220265</v>
      </c>
      <c r="AV170" s="16"/>
      <c r="AW170" s="16"/>
      <c r="AX170" s="16">
        <v>4994</v>
      </c>
      <c r="AY170" s="16">
        <f t="shared" si="117"/>
        <v>352</v>
      </c>
      <c r="AZ170" s="16">
        <v>4642</v>
      </c>
      <c r="BA170" s="16">
        <v>4206</v>
      </c>
      <c r="BB170" s="16">
        <f t="shared" si="118"/>
        <v>436</v>
      </c>
      <c r="BC170" s="16"/>
      <c r="BD170" s="16"/>
      <c r="BE170" s="78">
        <v>2006</v>
      </c>
      <c r="BF170" s="79" t="s">
        <v>44</v>
      </c>
      <c r="BG170" s="15">
        <f t="shared" si="91"/>
        <v>0.58620689655172409</v>
      </c>
      <c r="BH170" s="15">
        <f t="shared" si="92"/>
        <v>0.76774193548387093</v>
      </c>
      <c r="BI170" s="15">
        <f t="shared" si="93"/>
        <v>0.76354679802955661</v>
      </c>
      <c r="BJ170" s="16"/>
      <c r="BK170" s="16"/>
      <c r="BL170" s="16">
        <v>609</v>
      </c>
      <c r="BM170" s="16">
        <f t="shared" si="119"/>
        <v>144</v>
      </c>
      <c r="BN170" s="16">
        <v>465</v>
      </c>
      <c r="BO170" s="16">
        <v>357</v>
      </c>
      <c r="BP170" s="16">
        <f t="shared" si="120"/>
        <v>108</v>
      </c>
      <c r="BQ170" s="16"/>
      <c r="BR170" s="16"/>
      <c r="BS170" s="78">
        <v>2006</v>
      </c>
      <c r="BT170" s="79" t="s">
        <v>44</v>
      </c>
      <c r="BU170" s="15">
        <f t="shared" si="96"/>
        <v>0.60264650283553878</v>
      </c>
      <c r="BV170" s="15">
        <f t="shared" si="97"/>
        <v>0.6806148590947908</v>
      </c>
      <c r="BW170" s="15">
        <f t="shared" si="98"/>
        <v>0.8854442344045369</v>
      </c>
      <c r="BX170" s="16"/>
      <c r="BY170" s="16"/>
      <c r="BZ170" s="16">
        <v>2645</v>
      </c>
      <c r="CA170" s="16">
        <f t="shared" si="121"/>
        <v>303</v>
      </c>
      <c r="CB170" s="16">
        <v>2342</v>
      </c>
      <c r="CC170" s="16">
        <v>1594</v>
      </c>
      <c r="CD170" s="16">
        <f t="shared" si="122"/>
        <v>748</v>
      </c>
      <c r="CE170" s="16"/>
      <c r="CF170" s="16"/>
      <c r="CG170" s="78">
        <v>2006</v>
      </c>
      <c r="CH170" s="79" t="s">
        <v>44</v>
      </c>
      <c r="CI170" s="15">
        <f t="shared" si="101"/>
        <v>0.78097014925373132</v>
      </c>
      <c r="CJ170" s="15">
        <f t="shared" si="102"/>
        <v>0.8398876404494382</v>
      </c>
      <c r="CK170" s="15">
        <f t="shared" si="103"/>
        <v>0.92985074626865671</v>
      </c>
      <c r="CL170" s="16"/>
      <c r="CM170" s="16"/>
      <c r="CN170" s="16">
        <v>2680</v>
      </c>
      <c r="CO170" s="16">
        <f t="shared" si="123"/>
        <v>188</v>
      </c>
      <c r="CP170" s="16">
        <v>2492</v>
      </c>
      <c r="CQ170" s="16">
        <v>2093</v>
      </c>
      <c r="CR170" s="16">
        <f t="shared" si="124"/>
        <v>399</v>
      </c>
      <c r="CS170" s="16"/>
      <c r="CT170" s="16"/>
      <c r="CU170" s="78">
        <v>2006</v>
      </c>
      <c r="CV170" s="79" t="s">
        <v>44</v>
      </c>
      <c r="CW170" s="15">
        <f t="shared" si="58"/>
        <v>0.91535836177474406</v>
      </c>
      <c r="CX170" s="15">
        <f t="shared" si="59"/>
        <v>0.9745639534883721</v>
      </c>
      <c r="CY170" s="15">
        <f t="shared" si="60"/>
        <v>0.93924914675767923</v>
      </c>
      <c r="CZ170" s="16"/>
      <c r="DA170" s="16"/>
      <c r="DB170" s="16">
        <v>1465</v>
      </c>
      <c r="DC170" s="16">
        <f t="shared" si="61"/>
        <v>89</v>
      </c>
      <c r="DD170" s="16">
        <v>1376</v>
      </c>
      <c r="DE170" s="16">
        <v>1341</v>
      </c>
      <c r="DF170" s="16">
        <f t="shared" si="62"/>
        <v>35</v>
      </c>
      <c r="DG170" s="16"/>
      <c r="DH170" s="16"/>
      <c r="DI170" s="78">
        <v>2006</v>
      </c>
      <c r="DJ170" s="79" t="s">
        <v>44</v>
      </c>
      <c r="DK170" s="15">
        <f t="shared" si="106"/>
        <v>0.91491596638655459</v>
      </c>
      <c r="DL170" s="15">
        <f t="shared" si="107"/>
        <v>0.92956243329775878</v>
      </c>
      <c r="DM170" s="15">
        <f t="shared" si="108"/>
        <v>0.98424369747899154</v>
      </c>
      <c r="DN170" s="16"/>
      <c r="DO170" s="16"/>
      <c r="DP170" s="16">
        <v>952</v>
      </c>
      <c r="DQ170" s="16">
        <f t="shared" si="125"/>
        <v>15</v>
      </c>
      <c r="DR170" s="16">
        <v>937</v>
      </c>
      <c r="DS170" s="16">
        <v>871</v>
      </c>
      <c r="DT170" s="16">
        <f t="shared" si="126"/>
        <v>66</v>
      </c>
      <c r="DU170" s="16"/>
      <c r="DV170" s="16"/>
      <c r="DW170" s="78">
        <v>2006</v>
      </c>
      <c r="DX170" s="79" t="s">
        <v>44</v>
      </c>
      <c r="DY170" s="15">
        <f t="shared" si="111"/>
        <v>0.90939597315436238</v>
      </c>
      <c r="DZ170" s="15">
        <f t="shared" si="112"/>
        <v>0.93528904227782572</v>
      </c>
      <c r="EA170" s="15">
        <f t="shared" si="113"/>
        <v>0.97231543624161076</v>
      </c>
      <c r="EB170" s="16"/>
      <c r="EC170" s="16"/>
      <c r="ED170" s="16">
        <v>1192</v>
      </c>
      <c r="EE170" s="16">
        <f t="shared" si="127"/>
        <v>33</v>
      </c>
      <c r="EF170" s="16">
        <v>1159</v>
      </c>
      <c r="EG170" s="16">
        <v>1084</v>
      </c>
      <c r="EH170" s="16">
        <f t="shared" si="128"/>
        <v>75</v>
      </c>
      <c r="EI170" s="16"/>
      <c r="EJ170" s="16"/>
      <c r="EK170" s="78"/>
      <c r="EL170" s="79"/>
      <c r="EM170" s="15"/>
      <c r="EN170" s="15"/>
      <c r="EO170" s="15"/>
      <c r="EP170" s="16"/>
      <c r="EQ170" s="16"/>
      <c r="ER170" s="16"/>
      <c r="ES170" s="16"/>
      <c r="ET170" s="16"/>
      <c r="EU170" s="16"/>
      <c r="EV170" s="16"/>
      <c r="EW170" s="16"/>
      <c r="EX170" s="16"/>
      <c r="EY170" s="78"/>
      <c r="EZ170" s="79"/>
      <c r="FA170" s="15"/>
      <c r="FB170" s="15"/>
      <c r="FC170" s="15"/>
      <c r="FD170" s="16"/>
      <c r="FE170" s="16"/>
      <c r="FF170" s="16"/>
      <c r="FG170" s="16"/>
      <c r="FH170" s="16"/>
      <c r="FI170" s="16"/>
      <c r="FJ170" s="16"/>
      <c r="FK170" s="16"/>
      <c r="FM170" s="78"/>
      <c r="FN170" s="79"/>
      <c r="FO170" s="15"/>
      <c r="FP170" s="15"/>
      <c r="FQ170" s="15"/>
      <c r="FR170" s="16"/>
      <c r="FS170" s="16"/>
      <c r="FT170" s="16"/>
      <c r="FU170" s="16"/>
      <c r="FV170" s="16"/>
      <c r="FW170" s="16"/>
      <c r="FX170" s="16"/>
      <c r="FY170" s="16"/>
      <c r="GA170" s="78"/>
      <c r="GB170" s="79"/>
      <c r="GC170" s="15"/>
      <c r="GD170" s="15"/>
      <c r="GE170" s="15"/>
      <c r="GF170" s="16"/>
      <c r="GG170" s="16"/>
      <c r="GH170" s="16"/>
      <c r="GI170" s="16"/>
      <c r="GJ170" s="16"/>
      <c r="GK170" s="16"/>
      <c r="GL170" s="16"/>
      <c r="GM170" s="16"/>
    </row>
    <row r="171" spans="1:195" s="18" customFormat="1" ht="15" customHeight="1">
      <c r="A171" s="80">
        <v>2006</v>
      </c>
      <c r="B171" s="81" t="s">
        <v>45</v>
      </c>
      <c r="C171" s="15">
        <f t="shared" si="73"/>
        <v>0.77269774646479783</v>
      </c>
      <c r="D171" s="15">
        <f t="shared" si="74"/>
        <v>0.81449489097229533</v>
      </c>
      <c r="E171" s="15">
        <f t="shared" si="75"/>
        <v>0.94868335581871788</v>
      </c>
      <c r="F171" s="16"/>
      <c r="G171" s="33"/>
      <c r="H17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20013</v>
      </c>
      <c r="I171" s="16">
        <f t="shared" si="76"/>
        <v>1027</v>
      </c>
      <c r="J17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18986</v>
      </c>
      <c r="K17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15464</v>
      </c>
      <c r="L171" s="16">
        <f t="shared" si="77"/>
        <v>3522</v>
      </c>
      <c r="M171" s="16"/>
      <c r="N171" s="16"/>
      <c r="O171" s="92">
        <v>2006</v>
      </c>
      <c r="P171" s="93" t="s">
        <v>45</v>
      </c>
      <c r="Q171" s="42">
        <f t="shared" si="78"/>
        <v>0.76770152505446621</v>
      </c>
      <c r="R171" s="42">
        <f t="shared" si="79"/>
        <v>0.78349082823790994</v>
      </c>
      <c r="S171" s="42">
        <f t="shared" si="80"/>
        <v>0.97984749455337694</v>
      </c>
      <c r="T171" s="43"/>
      <c r="U171" s="43"/>
      <c r="V171" s="30">
        <v>3672</v>
      </c>
      <c r="W171" s="30">
        <f t="shared" si="31"/>
        <v>74</v>
      </c>
      <c r="X171" s="30">
        <v>3598</v>
      </c>
      <c r="Y171" s="30">
        <v>2819</v>
      </c>
      <c r="Z171" s="30">
        <f t="shared" si="116"/>
        <v>779</v>
      </c>
      <c r="AA171" s="16"/>
      <c r="AB171" s="16"/>
      <c r="AC171" s="80">
        <v>2006</v>
      </c>
      <c r="AD171" s="81" t="s">
        <v>45</v>
      </c>
      <c r="AE171" s="15">
        <f t="shared" si="82"/>
        <v>0.7335932423651722</v>
      </c>
      <c r="AF171" s="15">
        <f t="shared" si="83"/>
        <v>0.75771812080536916</v>
      </c>
      <c r="AG171" s="15">
        <f t="shared" si="84"/>
        <v>0.96816114359974004</v>
      </c>
      <c r="AH171" s="15"/>
      <c r="AI171" s="15"/>
      <c r="AJ171" s="16">
        <v>1539</v>
      </c>
      <c r="AK171" s="16">
        <f t="shared" si="36"/>
        <v>49</v>
      </c>
      <c r="AL171" s="16">
        <v>1490</v>
      </c>
      <c r="AM171" s="16">
        <v>1129</v>
      </c>
      <c r="AN171" s="16">
        <f t="shared" si="85"/>
        <v>361</v>
      </c>
      <c r="AO171" s="16"/>
      <c r="AP171" s="16"/>
      <c r="AQ171" s="80">
        <v>2006</v>
      </c>
      <c r="AR171" s="81" t="s">
        <v>45</v>
      </c>
      <c r="AS171" s="15">
        <f t="shared" si="86"/>
        <v>0.7682684670373312</v>
      </c>
      <c r="AT171" s="15">
        <f t="shared" si="87"/>
        <v>0.80453316697858179</v>
      </c>
      <c r="AU171" s="15">
        <f t="shared" si="88"/>
        <v>0.9549245432883241</v>
      </c>
      <c r="AV171" s="16"/>
      <c r="AW171" s="16"/>
      <c r="AX171" s="16">
        <v>5036</v>
      </c>
      <c r="AY171" s="16">
        <f t="shared" si="117"/>
        <v>227</v>
      </c>
      <c r="AZ171" s="16">
        <v>4809</v>
      </c>
      <c r="BA171" s="16">
        <v>3869</v>
      </c>
      <c r="BB171" s="16">
        <f t="shared" si="118"/>
        <v>940</v>
      </c>
      <c r="BC171" s="16"/>
      <c r="BD171" s="16"/>
      <c r="BE171" s="80">
        <v>2006</v>
      </c>
      <c r="BF171" s="81" t="s">
        <v>45</v>
      </c>
      <c r="BG171" s="15">
        <f t="shared" si="91"/>
        <v>0.49589490968801314</v>
      </c>
      <c r="BH171" s="15">
        <f t="shared" si="92"/>
        <v>0.64668094218415417</v>
      </c>
      <c r="BI171" s="15">
        <f t="shared" si="93"/>
        <v>0.76683087027914609</v>
      </c>
      <c r="BJ171" s="16"/>
      <c r="BK171" s="16"/>
      <c r="BL171" s="16">
        <v>609</v>
      </c>
      <c r="BM171" s="16">
        <f t="shared" si="119"/>
        <v>142</v>
      </c>
      <c r="BN171" s="16">
        <v>467</v>
      </c>
      <c r="BO171" s="16">
        <v>302</v>
      </c>
      <c r="BP171" s="16">
        <f t="shared" si="120"/>
        <v>165</v>
      </c>
      <c r="BQ171" s="16"/>
      <c r="BR171" s="16"/>
      <c r="BS171" s="80">
        <v>2006</v>
      </c>
      <c r="BT171" s="81" t="s">
        <v>45</v>
      </c>
      <c r="BU171" s="15">
        <f t="shared" si="96"/>
        <v>0.66642011834319526</v>
      </c>
      <c r="BV171" s="15">
        <f t="shared" si="97"/>
        <v>0.72925940914609466</v>
      </c>
      <c r="BW171" s="15">
        <f t="shared" si="98"/>
        <v>0.91383136094674555</v>
      </c>
      <c r="BX171" s="16"/>
      <c r="BY171" s="16"/>
      <c r="BZ171" s="16">
        <v>2704</v>
      </c>
      <c r="CA171" s="16">
        <f t="shared" si="121"/>
        <v>233</v>
      </c>
      <c r="CB171" s="16">
        <v>2471</v>
      </c>
      <c r="CC171" s="16">
        <v>1802</v>
      </c>
      <c r="CD171" s="16">
        <f t="shared" si="122"/>
        <v>669</v>
      </c>
      <c r="CE171" s="16"/>
      <c r="CF171" s="16"/>
      <c r="CG171" s="80">
        <v>2006</v>
      </c>
      <c r="CH171" s="81" t="s">
        <v>45</v>
      </c>
      <c r="CI171" s="15">
        <f t="shared" si="101"/>
        <v>0.78769118718135467</v>
      </c>
      <c r="CJ171" s="15">
        <f t="shared" si="102"/>
        <v>0.828735632183908</v>
      </c>
      <c r="CK171" s="15">
        <f t="shared" si="103"/>
        <v>0.95047341587764023</v>
      </c>
      <c r="CL171" s="16"/>
      <c r="CM171" s="16"/>
      <c r="CN171" s="16">
        <v>2746</v>
      </c>
      <c r="CO171" s="16">
        <f t="shared" si="123"/>
        <v>136</v>
      </c>
      <c r="CP171" s="16">
        <v>2610</v>
      </c>
      <c r="CQ171" s="16">
        <v>2163</v>
      </c>
      <c r="CR171" s="16">
        <f t="shared" si="124"/>
        <v>447</v>
      </c>
      <c r="CS171" s="16"/>
      <c r="CT171" s="16"/>
      <c r="CU171" s="80">
        <v>2006</v>
      </c>
      <c r="CV171" s="81" t="s">
        <v>45</v>
      </c>
      <c r="CW171" s="15">
        <f t="shared" si="58"/>
        <v>0.91127418278852568</v>
      </c>
      <c r="CX171" s="15">
        <f t="shared" si="59"/>
        <v>0.97362794012829645</v>
      </c>
      <c r="CY171" s="15">
        <f t="shared" si="60"/>
        <v>0.93595730486991324</v>
      </c>
      <c r="CZ171" s="16"/>
      <c r="DA171" s="16"/>
      <c r="DB171" s="16">
        <v>1499</v>
      </c>
      <c r="DC171" s="16">
        <f t="shared" si="61"/>
        <v>96</v>
      </c>
      <c r="DD171" s="16">
        <v>1403</v>
      </c>
      <c r="DE171" s="16">
        <v>1366</v>
      </c>
      <c r="DF171" s="16">
        <f t="shared" si="62"/>
        <v>37</v>
      </c>
      <c r="DG171" s="16"/>
      <c r="DH171" s="16"/>
      <c r="DI171" s="80">
        <v>2006</v>
      </c>
      <c r="DJ171" s="81" t="s">
        <v>45</v>
      </c>
      <c r="DK171" s="15">
        <f t="shared" si="106"/>
        <v>0.88877551020408163</v>
      </c>
      <c r="DL171" s="15">
        <f t="shared" si="107"/>
        <v>0.93055555555555558</v>
      </c>
      <c r="DM171" s="15">
        <f t="shared" si="108"/>
        <v>0.95510204081632655</v>
      </c>
      <c r="DN171" s="16"/>
      <c r="DO171" s="16"/>
      <c r="DP171" s="16">
        <v>980</v>
      </c>
      <c r="DQ171" s="16">
        <f t="shared" si="125"/>
        <v>44</v>
      </c>
      <c r="DR171" s="16">
        <v>936</v>
      </c>
      <c r="DS171" s="16">
        <v>871</v>
      </c>
      <c r="DT171" s="16">
        <f t="shared" si="126"/>
        <v>65</v>
      </c>
      <c r="DU171" s="16"/>
      <c r="DV171" s="16"/>
      <c r="DW171" s="80">
        <v>2006</v>
      </c>
      <c r="DX171" s="81" t="s">
        <v>45</v>
      </c>
      <c r="DY171" s="15">
        <f t="shared" si="111"/>
        <v>0.93078175895765469</v>
      </c>
      <c r="DZ171" s="15">
        <f t="shared" si="112"/>
        <v>0.95091514143094846</v>
      </c>
      <c r="EA171" s="15">
        <f t="shared" si="113"/>
        <v>0.97882736156351791</v>
      </c>
      <c r="EB171" s="16"/>
      <c r="EC171" s="16"/>
      <c r="ED171" s="16">
        <v>1228</v>
      </c>
      <c r="EE171" s="16">
        <f t="shared" si="127"/>
        <v>26</v>
      </c>
      <c r="EF171" s="16">
        <v>1202</v>
      </c>
      <c r="EG171" s="16">
        <v>1143</v>
      </c>
      <c r="EH171" s="16">
        <f t="shared" si="128"/>
        <v>59</v>
      </c>
      <c r="EI171" s="16"/>
      <c r="EJ171" s="16"/>
      <c r="EK171" s="80"/>
      <c r="EL171" s="81"/>
      <c r="EM171" s="15"/>
      <c r="EN171" s="15"/>
      <c r="EO171" s="15"/>
      <c r="EP171" s="16"/>
      <c r="EQ171" s="16"/>
      <c r="ER171" s="16"/>
      <c r="ES171" s="16"/>
      <c r="ET171" s="16"/>
      <c r="EU171" s="16"/>
      <c r="EV171" s="16"/>
      <c r="EW171" s="16"/>
      <c r="EX171" s="16"/>
      <c r="EY171" s="80"/>
      <c r="EZ171" s="81"/>
      <c r="FA171" s="15"/>
      <c r="FB171" s="15"/>
      <c r="FC171" s="15"/>
      <c r="FD171" s="16"/>
      <c r="FE171" s="16"/>
      <c r="FF171" s="16"/>
      <c r="FG171" s="16"/>
      <c r="FH171" s="16"/>
      <c r="FI171" s="16"/>
      <c r="FJ171" s="16"/>
      <c r="FK171" s="16"/>
      <c r="FM171" s="80"/>
      <c r="FN171" s="81"/>
      <c r="FO171" s="15"/>
      <c r="FP171" s="15"/>
      <c r="FQ171" s="15"/>
      <c r="FR171" s="16"/>
      <c r="FS171" s="16"/>
      <c r="FT171" s="16"/>
      <c r="FU171" s="16"/>
      <c r="FV171" s="16"/>
      <c r="FW171" s="16"/>
      <c r="FX171" s="16"/>
      <c r="FY171" s="16"/>
      <c r="GA171" s="80"/>
      <c r="GB171" s="81"/>
      <c r="GC171" s="15"/>
      <c r="GD171" s="15"/>
      <c r="GE171" s="15"/>
      <c r="GF171" s="16"/>
      <c r="GG171" s="16"/>
      <c r="GH171" s="16"/>
      <c r="GI171" s="16"/>
      <c r="GJ171" s="16"/>
      <c r="GK171" s="16"/>
      <c r="GL171" s="16"/>
      <c r="GM171" s="16"/>
    </row>
    <row r="172" spans="1:195" s="18" customFormat="1" ht="15" customHeight="1">
      <c r="A172" s="78">
        <v>2006</v>
      </c>
      <c r="B172" s="79" t="s">
        <v>46</v>
      </c>
      <c r="C172" s="15">
        <f t="shared" si="73"/>
        <v>0.76200060380396495</v>
      </c>
      <c r="D172" s="15">
        <f t="shared" si="74"/>
        <v>0.80360838418678693</v>
      </c>
      <c r="E172" s="15">
        <f t="shared" si="75"/>
        <v>0.94822381000301903</v>
      </c>
      <c r="F172" s="16"/>
      <c r="G172" s="33"/>
      <c r="H17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19874</v>
      </c>
      <c r="I172" s="16">
        <f t="shared" si="76"/>
        <v>1029</v>
      </c>
      <c r="J17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18845</v>
      </c>
      <c r="K17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15144</v>
      </c>
      <c r="L172" s="16">
        <f t="shared" si="77"/>
        <v>3701</v>
      </c>
      <c r="M172" s="16"/>
      <c r="N172" s="16"/>
      <c r="O172" s="78">
        <v>2006</v>
      </c>
      <c r="P172" s="79" t="s">
        <v>46</v>
      </c>
      <c r="Q172" s="15">
        <f t="shared" si="78"/>
        <v>0.73936374089689538</v>
      </c>
      <c r="R172" s="15">
        <f t="shared" si="79"/>
        <v>0.76139727649496747</v>
      </c>
      <c r="S172" s="15">
        <f t="shared" si="80"/>
        <v>0.97106170946722881</v>
      </c>
      <c r="T172" s="26"/>
      <c r="U172" s="26"/>
      <c r="V172" s="16">
        <v>5218</v>
      </c>
      <c r="W172" s="16">
        <f t="shared" si="31"/>
        <v>151</v>
      </c>
      <c r="X172" s="16">
        <v>5067</v>
      </c>
      <c r="Y172" s="16">
        <v>3858</v>
      </c>
      <c r="Z172" s="16">
        <f t="shared" si="116"/>
        <v>1209</v>
      </c>
      <c r="AA172" s="31" t="s">
        <v>56</v>
      </c>
      <c r="AB172" s="19"/>
      <c r="AC172" s="78"/>
      <c r="AD172" s="79"/>
      <c r="AE172" s="15"/>
      <c r="AF172" s="15"/>
      <c r="AG172" s="15"/>
      <c r="AH172" s="15"/>
      <c r="AI172" s="15"/>
      <c r="AJ172" s="16"/>
      <c r="AK172" s="16"/>
      <c r="AL172" s="16"/>
      <c r="AM172" s="16"/>
      <c r="AN172" s="16"/>
      <c r="AO172" s="19" t="s">
        <v>56</v>
      </c>
      <c r="AP172" s="16"/>
      <c r="AQ172" s="78">
        <v>2006</v>
      </c>
      <c r="AR172" s="79" t="s">
        <v>46</v>
      </c>
      <c r="AS172" s="15">
        <f t="shared" si="86"/>
        <v>0.75636435958631665</v>
      </c>
      <c r="AT172" s="15">
        <f t="shared" si="87"/>
        <v>0.80215144484286016</v>
      </c>
      <c r="AU172" s="15">
        <f t="shared" si="88"/>
        <v>0.94291964996022271</v>
      </c>
      <c r="AV172" s="16"/>
      <c r="AW172" s="16"/>
      <c r="AX172" s="16">
        <v>5028</v>
      </c>
      <c r="AY172" s="16">
        <f t="shared" si="117"/>
        <v>287</v>
      </c>
      <c r="AZ172" s="16">
        <v>4741</v>
      </c>
      <c r="BA172" s="16">
        <v>3803</v>
      </c>
      <c r="BB172" s="16">
        <f t="shared" si="118"/>
        <v>938</v>
      </c>
      <c r="BC172" s="16"/>
      <c r="BD172" s="16"/>
      <c r="BE172" s="78">
        <v>2006</v>
      </c>
      <c r="BF172" s="79" t="s">
        <v>46</v>
      </c>
      <c r="BG172" s="15">
        <f t="shared" si="91"/>
        <v>0.45297805642633227</v>
      </c>
      <c r="BH172" s="15">
        <f t="shared" si="92"/>
        <v>0.56116504854368932</v>
      </c>
      <c r="BI172" s="15">
        <f t="shared" si="93"/>
        <v>0.80721003134796243</v>
      </c>
      <c r="BJ172" s="16"/>
      <c r="BK172" s="16"/>
      <c r="BL172" s="16">
        <v>638</v>
      </c>
      <c r="BM172" s="16">
        <f t="shared" si="119"/>
        <v>123</v>
      </c>
      <c r="BN172" s="16">
        <v>515</v>
      </c>
      <c r="BO172" s="16">
        <v>289</v>
      </c>
      <c r="BP172" s="16">
        <f t="shared" si="120"/>
        <v>226</v>
      </c>
      <c r="BQ172" s="16"/>
      <c r="BR172" s="16"/>
      <c r="BS172" s="78">
        <v>2006</v>
      </c>
      <c r="BT172" s="79" t="s">
        <v>46</v>
      </c>
      <c r="BU172" s="15">
        <f t="shared" si="96"/>
        <v>0.68028485757121437</v>
      </c>
      <c r="BV172" s="15">
        <f t="shared" si="97"/>
        <v>0.74142156862745101</v>
      </c>
      <c r="BW172" s="15">
        <f t="shared" si="98"/>
        <v>0.91754122938530736</v>
      </c>
      <c r="BX172" s="16"/>
      <c r="BY172" s="16"/>
      <c r="BZ172" s="16">
        <v>2668</v>
      </c>
      <c r="CA172" s="16">
        <f t="shared" si="121"/>
        <v>220</v>
      </c>
      <c r="CB172" s="16">
        <v>2448</v>
      </c>
      <c r="CC172" s="16">
        <v>1815</v>
      </c>
      <c r="CD172" s="16">
        <f t="shared" si="122"/>
        <v>633</v>
      </c>
      <c r="CE172" s="16"/>
      <c r="CF172" s="16"/>
      <c r="CG172" s="78">
        <v>2006</v>
      </c>
      <c r="CH172" s="79" t="s">
        <v>46</v>
      </c>
      <c r="CI172" s="15">
        <f t="shared" si="101"/>
        <v>0.7625925925925926</v>
      </c>
      <c r="CJ172" s="15">
        <f t="shared" si="102"/>
        <v>0.80681818181818177</v>
      </c>
      <c r="CK172" s="15">
        <f t="shared" si="103"/>
        <v>0.94518518518518524</v>
      </c>
      <c r="CL172" s="16"/>
      <c r="CM172" s="16"/>
      <c r="CN172" s="16">
        <v>2700</v>
      </c>
      <c r="CO172" s="16">
        <f t="shared" si="123"/>
        <v>148</v>
      </c>
      <c r="CP172" s="16">
        <v>2552</v>
      </c>
      <c r="CQ172" s="16">
        <v>2059</v>
      </c>
      <c r="CR172" s="16">
        <f t="shared" si="124"/>
        <v>493</v>
      </c>
      <c r="CS172" s="16"/>
      <c r="CT172" s="16"/>
      <c r="CU172" s="78">
        <v>2006</v>
      </c>
      <c r="CV172" s="79" t="s">
        <v>46</v>
      </c>
      <c r="CW172" s="15">
        <f t="shared" si="58"/>
        <v>0.93640054127198913</v>
      </c>
      <c r="CX172" s="15">
        <f t="shared" si="59"/>
        <v>0.96783216783216786</v>
      </c>
      <c r="CY172" s="15">
        <f t="shared" si="60"/>
        <v>0.96752368064952643</v>
      </c>
      <c r="CZ172" s="16"/>
      <c r="DA172" s="16"/>
      <c r="DB172" s="16">
        <v>1478</v>
      </c>
      <c r="DC172" s="16">
        <f t="shared" si="61"/>
        <v>48</v>
      </c>
      <c r="DD172" s="16">
        <v>1430</v>
      </c>
      <c r="DE172" s="16">
        <v>1384</v>
      </c>
      <c r="DF172" s="16">
        <f t="shared" si="62"/>
        <v>46</v>
      </c>
      <c r="DG172" s="16"/>
      <c r="DH172" s="16"/>
      <c r="DI172" s="78">
        <v>2006</v>
      </c>
      <c r="DJ172" s="79" t="s">
        <v>46</v>
      </c>
      <c r="DK172" s="15">
        <f t="shared" si="106"/>
        <v>0.91176470588235292</v>
      </c>
      <c r="DL172" s="15">
        <f t="shared" si="107"/>
        <v>0.92438764643237492</v>
      </c>
      <c r="DM172" s="15">
        <f t="shared" si="108"/>
        <v>0.9863445378151261</v>
      </c>
      <c r="DN172" s="16"/>
      <c r="DO172" s="16"/>
      <c r="DP172" s="16">
        <v>952</v>
      </c>
      <c r="DQ172" s="16">
        <f t="shared" si="125"/>
        <v>13</v>
      </c>
      <c r="DR172" s="16">
        <v>939</v>
      </c>
      <c r="DS172" s="16">
        <v>868</v>
      </c>
      <c r="DT172" s="16">
        <f t="shared" si="126"/>
        <v>71</v>
      </c>
      <c r="DU172" s="16"/>
      <c r="DV172" s="16"/>
      <c r="DW172" s="78">
        <v>2006</v>
      </c>
      <c r="DX172" s="79" t="s">
        <v>46</v>
      </c>
      <c r="DY172" s="15">
        <f t="shared" si="111"/>
        <v>0.89597315436241609</v>
      </c>
      <c r="DZ172" s="15">
        <f t="shared" si="112"/>
        <v>0.92627927146574152</v>
      </c>
      <c r="EA172" s="15">
        <f t="shared" si="113"/>
        <v>0.96728187919463082</v>
      </c>
      <c r="EB172" s="16"/>
      <c r="EC172" s="16"/>
      <c r="ED172" s="16">
        <v>1192</v>
      </c>
      <c r="EE172" s="16">
        <f t="shared" si="127"/>
        <v>39</v>
      </c>
      <c r="EF172" s="16">
        <v>1153</v>
      </c>
      <c r="EG172" s="16">
        <v>1068</v>
      </c>
      <c r="EH172" s="16">
        <f t="shared" si="128"/>
        <v>85</v>
      </c>
      <c r="EI172" s="16"/>
      <c r="EJ172" s="16"/>
      <c r="EK172" s="78"/>
      <c r="EL172" s="79"/>
      <c r="EM172" s="15"/>
      <c r="EN172" s="15"/>
      <c r="EO172" s="15"/>
      <c r="EP172" s="16"/>
      <c r="EQ172" s="16"/>
      <c r="ER172" s="16"/>
      <c r="ES172" s="16"/>
      <c r="ET172" s="16"/>
      <c r="EU172" s="16"/>
      <c r="EV172" s="16"/>
      <c r="EW172" s="16"/>
      <c r="EX172" s="16"/>
      <c r="EY172" s="78"/>
      <c r="EZ172" s="79"/>
      <c r="FA172" s="15"/>
      <c r="FB172" s="15"/>
      <c r="FC172" s="15"/>
      <c r="FD172" s="16"/>
      <c r="FE172" s="16"/>
      <c r="FF172" s="16"/>
      <c r="FG172" s="16"/>
      <c r="FH172" s="16"/>
      <c r="FI172" s="16"/>
      <c r="FJ172" s="16"/>
      <c r="FK172" s="16"/>
      <c r="FM172" s="78"/>
      <c r="FN172" s="79"/>
      <c r="FO172" s="15"/>
      <c r="FP172" s="15"/>
      <c r="FQ172" s="15"/>
      <c r="FR172" s="16"/>
      <c r="FS172" s="16"/>
      <c r="FT172" s="16"/>
      <c r="FU172" s="16"/>
      <c r="FV172" s="16"/>
      <c r="FW172" s="16"/>
      <c r="FX172" s="16"/>
      <c r="FY172" s="16"/>
      <c r="GA172" s="78"/>
      <c r="GB172" s="79"/>
      <c r="GC172" s="15"/>
      <c r="GD172" s="15"/>
      <c r="GE172" s="15"/>
      <c r="GF172" s="16"/>
      <c r="GG172" s="16"/>
      <c r="GH172" s="16"/>
      <c r="GI172" s="16"/>
      <c r="GJ172" s="16"/>
      <c r="GK172" s="16"/>
      <c r="GL172" s="16"/>
      <c r="GM172" s="16"/>
    </row>
    <row r="173" spans="1:195" s="18" customFormat="1" ht="15" customHeight="1">
      <c r="A173" s="80">
        <v>2006</v>
      </c>
      <c r="B173" s="81" t="s">
        <v>47</v>
      </c>
      <c r="C173" s="15">
        <f t="shared" si="73"/>
        <v>0.72416790224449101</v>
      </c>
      <c r="D173" s="15">
        <f t="shared" si="74"/>
        <v>0.77708893399901247</v>
      </c>
      <c r="E173" s="15">
        <f t="shared" si="75"/>
        <v>0.93189835881180016</v>
      </c>
      <c r="F173" s="16"/>
      <c r="G173" s="33"/>
      <c r="H17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19559</v>
      </c>
      <c r="I173" s="16">
        <f t="shared" si="76"/>
        <v>1332</v>
      </c>
      <c r="J17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18227</v>
      </c>
      <c r="K17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14164</v>
      </c>
      <c r="L173" s="16">
        <f t="shared" si="77"/>
        <v>4063</v>
      </c>
      <c r="M173" s="16"/>
      <c r="N173" s="16"/>
      <c r="O173" s="80">
        <v>2006</v>
      </c>
      <c r="P173" s="81" t="s">
        <v>47</v>
      </c>
      <c r="Q173" s="15">
        <f t="shared" si="78"/>
        <v>0.71882399368587213</v>
      </c>
      <c r="R173" s="15">
        <f t="shared" si="79"/>
        <v>0.76086048454469513</v>
      </c>
      <c r="S173" s="15">
        <f t="shared" si="80"/>
        <v>0.94475138121546964</v>
      </c>
      <c r="T173" s="26"/>
      <c r="U173" s="26"/>
      <c r="V173" s="16">
        <v>5068</v>
      </c>
      <c r="W173" s="16">
        <f>V173-X173</f>
        <v>280</v>
      </c>
      <c r="X173" s="16">
        <v>4788</v>
      </c>
      <c r="Y173" s="16">
        <v>3643</v>
      </c>
      <c r="Z173" s="16">
        <f t="shared" si="116"/>
        <v>1145</v>
      </c>
      <c r="AA173" s="16"/>
      <c r="AB173" s="16"/>
      <c r="AC173" s="80"/>
      <c r="AD173" s="81"/>
      <c r="AE173" s="15"/>
      <c r="AF173" s="15"/>
      <c r="AG173" s="15"/>
      <c r="AH173" s="15"/>
      <c r="AI173" s="15"/>
      <c r="AJ173" s="16"/>
      <c r="AK173" s="16"/>
      <c r="AL173" s="16"/>
      <c r="AM173" s="16"/>
      <c r="AN173" s="16"/>
      <c r="AO173" s="16"/>
      <c r="AP173" s="16"/>
      <c r="AQ173" s="80">
        <v>2006</v>
      </c>
      <c r="AR173" s="81" t="s">
        <v>47</v>
      </c>
      <c r="AS173" s="15">
        <f t="shared" si="86"/>
        <v>0.76968463886063077</v>
      </c>
      <c r="AT173" s="15">
        <f t="shared" si="87"/>
        <v>0.80643785973140059</v>
      </c>
      <c r="AU173" s="15">
        <f t="shared" si="88"/>
        <v>0.95442522889114956</v>
      </c>
      <c r="AV173" s="16"/>
      <c r="AW173" s="16"/>
      <c r="AX173" s="16">
        <v>4915</v>
      </c>
      <c r="AY173" s="16">
        <f t="shared" si="117"/>
        <v>224</v>
      </c>
      <c r="AZ173" s="16">
        <v>4691</v>
      </c>
      <c r="BA173" s="16">
        <v>3783</v>
      </c>
      <c r="BB173" s="16">
        <f t="shared" si="118"/>
        <v>908</v>
      </c>
      <c r="BC173" s="16"/>
      <c r="BD173" s="16"/>
      <c r="BE173" s="80">
        <v>2006</v>
      </c>
      <c r="BF173" s="81" t="s">
        <v>47</v>
      </c>
      <c r="BG173" s="15">
        <f t="shared" si="91"/>
        <v>0.4627949183303085</v>
      </c>
      <c r="BH173" s="15">
        <f t="shared" si="92"/>
        <v>0.60859188544152742</v>
      </c>
      <c r="BI173" s="15">
        <f t="shared" si="93"/>
        <v>0.76043557168784026</v>
      </c>
      <c r="BJ173" s="16"/>
      <c r="BK173" s="16"/>
      <c r="BL173" s="16">
        <v>551</v>
      </c>
      <c r="BM173" s="16">
        <f t="shared" si="119"/>
        <v>132</v>
      </c>
      <c r="BN173" s="16">
        <v>419</v>
      </c>
      <c r="BO173" s="16">
        <v>255</v>
      </c>
      <c r="BP173" s="16">
        <f t="shared" si="120"/>
        <v>164</v>
      </c>
      <c r="BQ173" s="16"/>
      <c r="BR173" s="16"/>
      <c r="BS173" s="80">
        <v>2006</v>
      </c>
      <c r="BT173" s="81" t="s">
        <v>47</v>
      </c>
      <c r="BU173" s="15">
        <f t="shared" si="96"/>
        <v>0.48396831384383254</v>
      </c>
      <c r="BV173" s="15">
        <f t="shared" si="97"/>
        <v>0.5656966490299824</v>
      </c>
      <c r="BW173" s="15">
        <f t="shared" si="98"/>
        <v>0.85552621652206717</v>
      </c>
      <c r="BX173" s="16"/>
      <c r="BY173" s="16"/>
      <c r="BZ173" s="16">
        <v>2651</v>
      </c>
      <c r="CA173" s="16">
        <f t="shared" si="121"/>
        <v>383</v>
      </c>
      <c r="CB173" s="16">
        <v>2268</v>
      </c>
      <c r="CC173" s="16">
        <v>1283</v>
      </c>
      <c r="CD173" s="16">
        <f t="shared" si="122"/>
        <v>985</v>
      </c>
      <c r="CE173" s="16"/>
      <c r="CF173" s="16"/>
      <c r="CG173" s="80">
        <v>2006</v>
      </c>
      <c r="CH173" s="81" t="s">
        <v>47</v>
      </c>
      <c r="CI173" s="15">
        <f t="shared" si="101"/>
        <v>0.72306553128470941</v>
      </c>
      <c r="CJ173" s="15">
        <f t="shared" si="102"/>
        <v>0.76950354609929073</v>
      </c>
      <c r="CK173" s="15">
        <f t="shared" si="103"/>
        <v>0.93965198074787115</v>
      </c>
      <c r="CL173" s="16"/>
      <c r="CM173" s="16"/>
      <c r="CN173" s="16">
        <v>2701</v>
      </c>
      <c r="CO173" s="16">
        <f t="shared" si="123"/>
        <v>163</v>
      </c>
      <c r="CP173" s="16">
        <v>2538</v>
      </c>
      <c r="CQ173" s="16">
        <v>1953</v>
      </c>
      <c r="CR173" s="16">
        <f t="shared" si="124"/>
        <v>585</v>
      </c>
      <c r="CS173" s="16"/>
      <c r="CT173" s="16"/>
      <c r="CU173" s="80">
        <v>2006</v>
      </c>
      <c r="CV173" s="81" t="s">
        <v>47</v>
      </c>
      <c r="CW173" s="15">
        <f t="shared" si="58"/>
        <v>0.90810074880871339</v>
      </c>
      <c r="CX173" s="15">
        <f t="shared" si="59"/>
        <v>0.95490336435218326</v>
      </c>
      <c r="CY173" s="15">
        <f t="shared" si="60"/>
        <v>0.95098706603131378</v>
      </c>
      <c r="CZ173" s="16"/>
      <c r="DA173" s="16"/>
      <c r="DB173" s="16">
        <v>1469</v>
      </c>
      <c r="DC173" s="16">
        <f t="shared" si="61"/>
        <v>72</v>
      </c>
      <c r="DD173" s="16">
        <v>1397</v>
      </c>
      <c r="DE173" s="16">
        <v>1334</v>
      </c>
      <c r="DF173" s="16">
        <f t="shared" si="62"/>
        <v>63</v>
      </c>
      <c r="DG173" s="16"/>
      <c r="DH173" s="16"/>
      <c r="DI173" s="80">
        <v>2006</v>
      </c>
      <c r="DJ173" s="81" t="s">
        <v>47</v>
      </c>
      <c r="DK173" s="15">
        <f t="shared" si="106"/>
        <v>0.84560327198364005</v>
      </c>
      <c r="DL173" s="15">
        <f t="shared" si="107"/>
        <v>0.87420718816067655</v>
      </c>
      <c r="DM173" s="15">
        <f t="shared" si="108"/>
        <v>0.96728016359918201</v>
      </c>
      <c r="DN173" s="16"/>
      <c r="DO173" s="16"/>
      <c r="DP173" s="16">
        <v>978</v>
      </c>
      <c r="DQ173" s="16">
        <f t="shared" si="125"/>
        <v>32</v>
      </c>
      <c r="DR173" s="16">
        <v>946</v>
      </c>
      <c r="DS173" s="16">
        <v>827</v>
      </c>
      <c r="DT173" s="16">
        <f t="shared" si="126"/>
        <v>119</v>
      </c>
      <c r="DU173" s="16"/>
      <c r="DV173" s="16"/>
      <c r="DW173" s="80">
        <v>2006</v>
      </c>
      <c r="DX173" s="81" t="s">
        <v>47</v>
      </c>
      <c r="DY173" s="15">
        <f t="shared" si="111"/>
        <v>0.88580750407830344</v>
      </c>
      <c r="DZ173" s="15">
        <f t="shared" si="112"/>
        <v>0.92033898305084749</v>
      </c>
      <c r="EA173" s="15">
        <f t="shared" si="113"/>
        <v>0.96247960848287117</v>
      </c>
      <c r="EB173" s="16"/>
      <c r="EC173" s="16"/>
      <c r="ED173" s="16">
        <v>1226</v>
      </c>
      <c r="EE173" s="16">
        <f t="shared" si="127"/>
        <v>46</v>
      </c>
      <c r="EF173" s="16">
        <v>1180</v>
      </c>
      <c r="EG173" s="16">
        <v>1086</v>
      </c>
      <c r="EH173" s="16">
        <f t="shared" si="128"/>
        <v>94</v>
      </c>
      <c r="EI173" s="16"/>
      <c r="EJ173" s="16"/>
      <c r="EK173" s="80"/>
      <c r="EL173" s="81"/>
      <c r="EM173" s="15"/>
      <c r="EN173" s="15"/>
      <c r="EO173" s="15"/>
      <c r="EP173" s="16"/>
      <c r="EQ173" s="16"/>
      <c r="ER173" s="16"/>
      <c r="ES173" s="16"/>
      <c r="ET173" s="16"/>
      <c r="EU173" s="16"/>
      <c r="EV173" s="16"/>
      <c r="EW173" s="16"/>
      <c r="EX173" s="16"/>
      <c r="EY173" s="80"/>
      <c r="EZ173" s="81"/>
      <c r="FA173" s="15"/>
      <c r="FB173" s="15"/>
      <c r="FC173" s="15"/>
      <c r="FD173" s="16"/>
      <c r="FE173" s="16"/>
      <c r="FF173" s="16"/>
      <c r="FG173" s="16"/>
      <c r="FH173" s="16"/>
      <c r="FI173" s="16"/>
      <c r="FJ173" s="16"/>
      <c r="FK173" s="16"/>
      <c r="FM173" s="80"/>
      <c r="FN173" s="81"/>
      <c r="FO173" s="15"/>
      <c r="FP173" s="15"/>
      <c r="FQ173" s="15"/>
      <c r="FR173" s="16"/>
      <c r="FS173" s="16"/>
      <c r="FT173" s="16"/>
      <c r="FU173" s="16"/>
      <c r="FV173" s="16"/>
      <c r="FW173" s="16"/>
      <c r="FX173" s="16"/>
      <c r="FY173" s="16"/>
      <c r="GA173" s="80"/>
      <c r="GB173" s="81"/>
      <c r="GC173" s="15"/>
      <c r="GD173" s="15"/>
      <c r="GE173" s="15"/>
      <c r="GF173" s="16"/>
      <c r="GG173" s="16"/>
      <c r="GH173" s="16"/>
      <c r="GI173" s="16"/>
      <c r="GJ173" s="16"/>
      <c r="GK173" s="16"/>
      <c r="GL173" s="16"/>
      <c r="GM173" s="16"/>
    </row>
    <row r="174" spans="1:195" s="18" customFormat="1" ht="15" customHeight="1">
      <c r="A174" s="78">
        <v>2007</v>
      </c>
      <c r="B174" s="79" t="s">
        <v>36</v>
      </c>
      <c r="C174" s="15">
        <f t="shared" si="73"/>
        <v>0.75917261758187637</v>
      </c>
      <c r="D174" s="15">
        <f t="shared" si="74"/>
        <v>0.81478936518843492</v>
      </c>
      <c r="E174" s="15">
        <f t="shared" si="75"/>
        <v>0.93174095050480177</v>
      </c>
      <c r="F174" s="16"/>
      <c r="G174" s="33"/>
      <c r="H17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74" s="16">
        <f t="shared" si="76"/>
        <v>1386</v>
      </c>
      <c r="J17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18919</v>
      </c>
      <c r="K17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15415</v>
      </c>
      <c r="L174" s="16">
        <f t="shared" si="77"/>
        <v>3504</v>
      </c>
      <c r="M174" s="16"/>
      <c r="N174" s="16"/>
      <c r="O174" s="78">
        <v>2007</v>
      </c>
      <c r="P174" s="79" t="s">
        <v>36</v>
      </c>
      <c r="Q174" s="15">
        <f t="shared" si="78"/>
        <v>0.78648088872152133</v>
      </c>
      <c r="R174" s="15">
        <f t="shared" si="79"/>
        <v>0.82942811755361401</v>
      </c>
      <c r="S174" s="15">
        <f t="shared" si="80"/>
        <v>0.94822067407267929</v>
      </c>
      <c r="T174" s="26"/>
      <c r="U174" s="26"/>
      <c r="V174" s="16">
        <v>5311</v>
      </c>
      <c r="W174" s="16">
        <f t="shared" ref="W174:W185" si="129">V174-X174</f>
        <v>275</v>
      </c>
      <c r="X174" s="16">
        <v>5036</v>
      </c>
      <c r="Y174" s="16">
        <v>4177</v>
      </c>
      <c r="Z174" s="16">
        <f t="shared" ref="Z174:Z185" si="130">X174-Y174</f>
        <v>859</v>
      </c>
      <c r="AA174" s="16"/>
      <c r="AB174" s="16"/>
      <c r="AC174" s="78"/>
      <c r="AD174" s="79"/>
      <c r="AE174" s="15"/>
      <c r="AF174" s="15"/>
      <c r="AG174" s="15"/>
      <c r="AH174" s="15"/>
      <c r="AI174" s="15"/>
      <c r="AJ174" s="16"/>
      <c r="AK174" s="16"/>
      <c r="AL174" s="16"/>
      <c r="AM174" s="16"/>
      <c r="AN174" s="16"/>
      <c r="AO174" s="16"/>
      <c r="AP174" s="16"/>
      <c r="AQ174" s="78">
        <v>2007</v>
      </c>
      <c r="AR174" s="79" t="s">
        <v>36</v>
      </c>
      <c r="AS174" s="15">
        <f t="shared" si="86"/>
        <v>0.78142076502732238</v>
      </c>
      <c r="AT174" s="15">
        <f t="shared" si="87"/>
        <v>0.84365781710914456</v>
      </c>
      <c r="AU174" s="15">
        <f t="shared" si="88"/>
        <v>0.92622950819672134</v>
      </c>
      <c r="AV174" s="16"/>
      <c r="AW174" s="16"/>
      <c r="AX174" s="16">
        <v>5124</v>
      </c>
      <c r="AY174" s="16">
        <f t="shared" ref="AY174:AY185" si="131">AX174-AZ174</f>
        <v>378</v>
      </c>
      <c r="AZ174" s="16">
        <v>4746</v>
      </c>
      <c r="BA174" s="16">
        <v>4004</v>
      </c>
      <c r="BB174" s="16">
        <f t="shared" ref="BB174:BB185" si="132">AZ174-BA174</f>
        <v>742</v>
      </c>
      <c r="BC174" s="16"/>
      <c r="BD174" s="16"/>
      <c r="BE174" s="78">
        <v>2007</v>
      </c>
      <c r="BF174" s="79" t="s">
        <v>36</v>
      </c>
      <c r="BG174" s="15">
        <f t="shared" si="91"/>
        <v>0.48746081504702193</v>
      </c>
      <c r="BH174" s="15">
        <f t="shared" si="92"/>
        <v>0.69730941704035876</v>
      </c>
      <c r="BI174" s="15">
        <f t="shared" si="93"/>
        <v>0.69905956112852663</v>
      </c>
      <c r="BJ174" s="16"/>
      <c r="BK174" s="16"/>
      <c r="BL174" s="16">
        <v>638</v>
      </c>
      <c r="BM174" s="16">
        <f t="shared" ref="BM174:BM185" si="133">BL174-BN174</f>
        <v>192</v>
      </c>
      <c r="BN174" s="16">
        <v>446</v>
      </c>
      <c r="BO174" s="16">
        <v>311</v>
      </c>
      <c r="BP174" s="16">
        <f t="shared" ref="BP174:BP185" si="134">BN174-BO174</f>
        <v>135</v>
      </c>
      <c r="BQ174" s="16"/>
      <c r="BR174" s="16"/>
      <c r="BS174" s="78">
        <v>2007</v>
      </c>
      <c r="BT174" s="79" t="s">
        <v>36</v>
      </c>
      <c r="BU174" s="15">
        <f t="shared" si="96"/>
        <v>0.54242867593269939</v>
      </c>
      <c r="BV174" s="15">
        <f t="shared" si="97"/>
        <v>0.59919191919191916</v>
      </c>
      <c r="BW174" s="15">
        <f t="shared" si="98"/>
        <v>0.90526700804681781</v>
      </c>
      <c r="BX174" s="16"/>
      <c r="BY174" s="16"/>
      <c r="BZ174" s="16">
        <v>2734</v>
      </c>
      <c r="CA174" s="16">
        <f t="shared" ref="CA174:CA185" si="135">BZ174-CB174</f>
        <v>259</v>
      </c>
      <c r="CB174" s="16">
        <v>2475</v>
      </c>
      <c r="CC174" s="16">
        <v>1483</v>
      </c>
      <c r="CD174" s="16">
        <f t="shared" ref="CD174:CD185" si="136">CB174-CC174</f>
        <v>992</v>
      </c>
      <c r="CE174" s="16"/>
      <c r="CF174" s="16"/>
      <c r="CG174" s="78">
        <v>2007</v>
      </c>
      <c r="CH174" s="79" t="s">
        <v>36</v>
      </c>
      <c r="CI174" s="15">
        <f t="shared" si="101"/>
        <v>0.74774449657163478</v>
      </c>
      <c r="CJ174" s="15">
        <f t="shared" si="102"/>
        <v>0.79083969465648851</v>
      </c>
      <c r="CK174" s="15">
        <f t="shared" si="103"/>
        <v>0.94550703717069651</v>
      </c>
      <c r="CL174" s="16"/>
      <c r="CM174" s="16"/>
      <c r="CN174" s="16">
        <v>2771</v>
      </c>
      <c r="CO174" s="16">
        <f t="shared" ref="CO174:CO185" si="137">CN174-CP174</f>
        <v>151</v>
      </c>
      <c r="CP174" s="16">
        <v>2620</v>
      </c>
      <c r="CQ174" s="16">
        <v>2072</v>
      </c>
      <c r="CR174" s="16">
        <f t="shared" ref="CR174:CR185" si="138">CP174-CQ174</f>
        <v>548</v>
      </c>
      <c r="CS174" s="16"/>
      <c r="CT174" s="16"/>
      <c r="CU174" s="78">
        <v>2007</v>
      </c>
      <c r="CV174" s="79" t="s">
        <v>36</v>
      </c>
      <c r="CW174" s="15">
        <f t="shared" si="58"/>
        <v>0.94059405940594054</v>
      </c>
      <c r="CX174" s="15">
        <f t="shared" si="59"/>
        <v>0.97803706245710365</v>
      </c>
      <c r="CY174" s="15">
        <f t="shared" si="60"/>
        <v>0.96171617161716172</v>
      </c>
      <c r="CZ174" s="16"/>
      <c r="DA174" s="16"/>
      <c r="DB174" s="16">
        <v>1515</v>
      </c>
      <c r="DC174" s="16">
        <f t="shared" si="61"/>
        <v>58</v>
      </c>
      <c r="DD174" s="16">
        <v>1457</v>
      </c>
      <c r="DE174" s="16">
        <v>1425</v>
      </c>
      <c r="DF174" s="16">
        <f t="shared" si="62"/>
        <v>32</v>
      </c>
      <c r="DG174" s="16"/>
      <c r="DH174" s="16"/>
      <c r="DI174" s="78">
        <v>2007</v>
      </c>
      <c r="DJ174" s="79" t="s">
        <v>36</v>
      </c>
      <c r="DK174" s="15">
        <f t="shared" si="106"/>
        <v>0.87780040733197551</v>
      </c>
      <c r="DL174" s="15">
        <f t="shared" si="107"/>
        <v>0.90073145245559039</v>
      </c>
      <c r="DM174" s="15">
        <f t="shared" si="108"/>
        <v>0.97454175152749489</v>
      </c>
      <c r="DN174" s="16"/>
      <c r="DO174" s="16"/>
      <c r="DP174" s="16">
        <v>982</v>
      </c>
      <c r="DQ174" s="16">
        <f t="shared" ref="DQ174:DQ185" si="139">DP174-DR174</f>
        <v>25</v>
      </c>
      <c r="DR174" s="16">
        <v>957</v>
      </c>
      <c r="DS174" s="16">
        <v>862</v>
      </c>
      <c r="DT174" s="16">
        <f t="shared" ref="DT174:DT185" si="140">DR174-DS174</f>
        <v>95</v>
      </c>
      <c r="DU174" s="16"/>
      <c r="DV174" s="16"/>
      <c r="DW174" s="78">
        <v>2007</v>
      </c>
      <c r="DX174" s="79" t="s">
        <v>36</v>
      </c>
      <c r="DY174" s="15">
        <f t="shared" si="111"/>
        <v>0.87886178861788622</v>
      </c>
      <c r="DZ174" s="15">
        <f t="shared" si="112"/>
        <v>0.91455160744500841</v>
      </c>
      <c r="EA174" s="15">
        <f t="shared" si="113"/>
        <v>0.96097560975609753</v>
      </c>
      <c r="EB174" s="16"/>
      <c r="EC174" s="16"/>
      <c r="ED174" s="16">
        <v>1230</v>
      </c>
      <c r="EE174" s="16">
        <f t="shared" ref="EE174:EE185" si="141">ED174-EF174</f>
        <v>48</v>
      </c>
      <c r="EF174" s="16">
        <v>1182</v>
      </c>
      <c r="EG174" s="16">
        <v>1081</v>
      </c>
      <c r="EH174" s="16">
        <f t="shared" ref="EH174:EH185" si="142">EF174-EG174</f>
        <v>101</v>
      </c>
      <c r="EI174" s="16"/>
      <c r="EJ174" s="16"/>
      <c r="EK174" s="78"/>
      <c r="EL174" s="79"/>
      <c r="EM174" s="15"/>
      <c r="EN174" s="15"/>
      <c r="EO174" s="15"/>
      <c r="EP174" s="16"/>
      <c r="EQ174" s="16"/>
      <c r="ER174" s="16"/>
      <c r="ES174" s="16"/>
      <c r="ET174" s="16"/>
      <c r="EU174" s="16"/>
      <c r="EV174" s="16"/>
      <c r="EW174" s="16"/>
      <c r="EX174" s="16"/>
      <c r="EY174" s="78"/>
      <c r="EZ174" s="79"/>
      <c r="FA174" s="15"/>
      <c r="FB174" s="15"/>
      <c r="FC174" s="15"/>
      <c r="FD174" s="16"/>
      <c r="FE174" s="16"/>
      <c r="FF174" s="16"/>
      <c r="FG174" s="16"/>
      <c r="FH174" s="16"/>
      <c r="FI174" s="16"/>
      <c r="FJ174" s="16"/>
      <c r="FK174" s="16"/>
      <c r="FM174" s="78"/>
      <c r="FN174" s="79"/>
      <c r="FO174" s="15"/>
      <c r="FP174" s="15"/>
      <c r="FQ174" s="15"/>
      <c r="FR174" s="16"/>
      <c r="FS174" s="16"/>
      <c r="FT174" s="16"/>
      <c r="FU174" s="16"/>
      <c r="FV174" s="16"/>
      <c r="FW174" s="16"/>
      <c r="FX174" s="16"/>
      <c r="FY174" s="16"/>
      <c r="GA174" s="78"/>
      <c r="GB174" s="79"/>
      <c r="GC174" s="15"/>
      <c r="GD174" s="15"/>
      <c r="GE174" s="15"/>
      <c r="GF174" s="16"/>
      <c r="GG174" s="16"/>
      <c r="GH174" s="16"/>
      <c r="GI174" s="16"/>
      <c r="GJ174" s="16"/>
      <c r="GK174" s="16"/>
      <c r="GL174" s="16"/>
      <c r="GM174" s="16"/>
    </row>
    <row r="175" spans="1:195" s="18" customFormat="1" ht="15" customHeight="1">
      <c r="A175" s="80">
        <v>2007</v>
      </c>
      <c r="B175" s="81" t="s">
        <v>37</v>
      </c>
      <c r="C175" s="15">
        <f t="shared" si="73"/>
        <v>0.68281962231387017</v>
      </c>
      <c r="D175" s="15">
        <f t="shared" si="74"/>
        <v>0.7375300392708517</v>
      </c>
      <c r="E175" s="15">
        <f t="shared" si="75"/>
        <v>0.92581940525287609</v>
      </c>
      <c r="F175" s="16"/>
      <c r="G175" s="33"/>
      <c r="H17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18428</v>
      </c>
      <c r="I175" s="16">
        <f t="shared" si="76"/>
        <v>1367</v>
      </c>
      <c r="J17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17061</v>
      </c>
      <c r="K17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12583</v>
      </c>
      <c r="L175" s="16">
        <f t="shared" si="77"/>
        <v>4478</v>
      </c>
      <c r="M175" s="16"/>
      <c r="N175" s="16"/>
      <c r="O175" s="80">
        <v>2007</v>
      </c>
      <c r="P175" s="81" t="s">
        <v>37</v>
      </c>
      <c r="Q175" s="15">
        <f t="shared" si="78"/>
        <v>0.75248344370860931</v>
      </c>
      <c r="R175" s="15">
        <f t="shared" si="79"/>
        <v>0.792156862745098</v>
      </c>
      <c r="S175" s="15">
        <f t="shared" si="80"/>
        <v>0.94991721854304634</v>
      </c>
      <c r="T175" s="26"/>
      <c r="U175" s="26"/>
      <c r="V175" s="16">
        <v>4832</v>
      </c>
      <c r="W175" s="16">
        <f t="shared" si="129"/>
        <v>242</v>
      </c>
      <c r="X175" s="16">
        <v>4590</v>
      </c>
      <c r="Y175" s="16">
        <v>3636</v>
      </c>
      <c r="Z175" s="16">
        <f t="shared" si="130"/>
        <v>954</v>
      </c>
      <c r="AA175" s="16"/>
      <c r="AB175" s="16"/>
      <c r="AC175" s="80"/>
      <c r="AD175" s="81"/>
      <c r="AE175" s="15"/>
      <c r="AF175" s="15"/>
      <c r="AG175" s="15"/>
      <c r="AH175" s="15"/>
      <c r="AI175" s="15"/>
      <c r="AJ175" s="16"/>
      <c r="AK175" s="16"/>
      <c r="AL175" s="16"/>
      <c r="AM175" s="16"/>
      <c r="AN175" s="16"/>
      <c r="AO175" s="16"/>
      <c r="AP175" s="16"/>
      <c r="AQ175" s="80">
        <v>2007</v>
      </c>
      <c r="AR175" s="81" t="s">
        <v>37</v>
      </c>
      <c r="AS175" s="15">
        <f t="shared" si="86"/>
        <v>0.76824034334763946</v>
      </c>
      <c r="AT175" s="15">
        <f t="shared" si="87"/>
        <v>0.82072443833104081</v>
      </c>
      <c r="AU175" s="15">
        <f t="shared" si="88"/>
        <v>0.9360515021459227</v>
      </c>
      <c r="AV175" s="16"/>
      <c r="AW175" s="16"/>
      <c r="AX175" s="16">
        <v>4660</v>
      </c>
      <c r="AY175" s="16">
        <f t="shared" si="131"/>
        <v>298</v>
      </c>
      <c r="AZ175" s="16">
        <v>4362</v>
      </c>
      <c r="BA175" s="16">
        <v>3580</v>
      </c>
      <c r="BB175" s="16">
        <f t="shared" si="132"/>
        <v>782</v>
      </c>
      <c r="BC175" s="16"/>
      <c r="BD175" s="16"/>
      <c r="BE175" s="80">
        <v>2007</v>
      </c>
      <c r="BF175" s="81" t="s">
        <v>37</v>
      </c>
      <c r="BG175" s="15">
        <f t="shared" si="91"/>
        <v>0.53965517241379313</v>
      </c>
      <c r="BH175" s="15">
        <f t="shared" si="92"/>
        <v>0.75240384615384615</v>
      </c>
      <c r="BI175" s="15">
        <f t="shared" si="93"/>
        <v>0.71724137931034482</v>
      </c>
      <c r="BJ175" s="16"/>
      <c r="BK175" s="16"/>
      <c r="BL175" s="16">
        <v>580</v>
      </c>
      <c r="BM175" s="16">
        <f t="shared" si="133"/>
        <v>164</v>
      </c>
      <c r="BN175" s="16">
        <v>416</v>
      </c>
      <c r="BO175" s="16">
        <v>313</v>
      </c>
      <c r="BP175" s="16">
        <f t="shared" si="134"/>
        <v>103</v>
      </c>
      <c r="BQ175" s="16"/>
      <c r="BR175" s="16"/>
      <c r="BS175" s="80">
        <v>2007</v>
      </c>
      <c r="BT175" s="81" t="s">
        <v>37</v>
      </c>
      <c r="BU175" s="15">
        <f t="shared" si="96"/>
        <v>0.12116316639741519</v>
      </c>
      <c r="BV175" s="15">
        <f t="shared" si="97"/>
        <v>0.14548981571290009</v>
      </c>
      <c r="BW175" s="15">
        <f t="shared" si="98"/>
        <v>0.8327948303715671</v>
      </c>
      <c r="BX175" s="16"/>
      <c r="BY175" s="16"/>
      <c r="BZ175" s="16">
        <v>2476</v>
      </c>
      <c r="CA175" s="16">
        <f t="shared" si="135"/>
        <v>414</v>
      </c>
      <c r="CB175" s="16">
        <v>2062</v>
      </c>
      <c r="CC175" s="16">
        <v>300</v>
      </c>
      <c r="CD175" s="16">
        <f t="shared" si="136"/>
        <v>1762</v>
      </c>
      <c r="CE175" s="16"/>
      <c r="CF175" s="16"/>
      <c r="CG175" s="80">
        <v>2007</v>
      </c>
      <c r="CH175" s="81" t="s">
        <v>37</v>
      </c>
      <c r="CI175" s="15">
        <f t="shared" si="101"/>
        <v>0.67783094098883567</v>
      </c>
      <c r="CJ175" s="15">
        <f t="shared" si="102"/>
        <v>0.71699704765921557</v>
      </c>
      <c r="CK175" s="15">
        <f t="shared" si="103"/>
        <v>0.94537480063795853</v>
      </c>
      <c r="CL175" s="16"/>
      <c r="CM175" s="16"/>
      <c r="CN175" s="16">
        <v>2508</v>
      </c>
      <c r="CO175" s="16">
        <f t="shared" si="137"/>
        <v>137</v>
      </c>
      <c r="CP175" s="16">
        <v>2371</v>
      </c>
      <c r="CQ175" s="16">
        <v>1700</v>
      </c>
      <c r="CR175" s="16">
        <f t="shared" si="138"/>
        <v>671</v>
      </c>
      <c r="CS175" s="16"/>
      <c r="CT175" s="16"/>
      <c r="CU175" s="80">
        <v>2007</v>
      </c>
      <c r="CV175" s="81" t="s">
        <v>37</v>
      </c>
      <c r="CW175" s="15">
        <f t="shared" si="58"/>
        <v>0.89504373177842567</v>
      </c>
      <c r="CX175" s="15">
        <f t="shared" si="59"/>
        <v>0.93668954996186116</v>
      </c>
      <c r="CY175" s="15">
        <f t="shared" si="60"/>
        <v>0.95553935860058314</v>
      </c>
      <c r="CZ175" s="16"/>
      <c r="DA175" s="16"/>
      <c r="DB175" s="16">
        <v>1372</v>
      </c>
      <c r="DC175" s="16">
        <f t="shared" si="61"/>
        <v>61</v>
      </c>
      <c r="DD175" s="16">
        <v>1311</v>
      </c>
      <c r="DE175" s="16">
        <v>1228</v>
      </c>
      <c r="DF175" s="16">
        <f t="shared" si="62"/>
        <v>83</v>
      </c>
      <c r="DG175" s="16"/>
      <c r="DH175" s="16"/>
      <c r="DI175" s="80">
        <v>2007</v>
      </c>
      <c r="DJ175" s="81" t="s">
        <v>37</v>
      </c>
      <c r="DK175" s="15">
        <f t="shared" si="106"/>
        <v>0.88063063063063063</v>
      </c>
      <c r="DL175" s="15">
        <f t="shared" si="107"/>
        <v>0.90930232558139534</v>
      </c>
      <c r="DM175" s="15">
        <f t="shared" si="108"/>
        <v>0.96846846846846846</v>
      </c>
      <c r="DN175" s="16"/>
      <c r="DO175" s="16"/>
      <c r="DP175" s="16">
        <v>888</v>
      </c>
      <c r="DQ175" s="16">
        <f t="shared" si="139"/>
        <v>28</v>
      </c>
      <c r="DR175" s="16">
        <v>860</v>
      </c>
      <c r="DS175" s="16">
        <v>782</v>
      </c>
      <c r="DT175" s="16">
        <f t="shared" si="140"/>
        <v>78</v>
      </c>
      <c r="DU175" s="16"/>
      <c r="DV175" s="16"/>
      <c r="DW175" s="80">
        <v>2007</v>
      </c>
      <c r="DX175" s="81" t="s">
        <v>37</v>
      </c>
      <c r="DY175" s="15">
        <f t="shared" si="111"/>
        <v>0.9388489208633094</v>
      </c>
      <c r="DZ175" s="15">
        <f t="shared" si="112"/>
        <v>0.95867768595041325</v>
      </c>
      <c r="EA175" s="15">
        <f t="shared" si="113"/>
        <v>0.97931654676258995</v>
      </c>
      <c r="EB175" s="16"/>
      <c r="EC175" s="16"/>
      <c r="ED175" s="16">
        <v>1112</v>
      </c>
      <c r="EE175" s="16">
        <f t="shared" si="141"/>
        <v>23</v>
      </c>
      <c r="EF175" s="16">
        <v>1089</v>
      </c>
      <c r="EG175" s="16">
        <v>1044</v>
      </c>
      <c r="EH175" s="16">
        <f t="shared" si="142"/>
        <v>45</v>
      </c>
      <c r="EI175" s="16"/>
      <c r="EJ175" s="16"/>
      <c r="EK175" s="80"/>
      <c r="EL175" s="81"/>
      <c r="EM175" s="15"/>
      <c r="EN175" s="15"/>
      <c r="EO175" s="15"/>
      <c r="EP175" s="16"/>
      <c r="EQ175" s="16"/>
      <c r="ER175" s="16"/>
      <c r="ES175" s="16"/>
      <c r="ET175" s="16"/>
      <c r="EU175" s="16"/>
      <c r="EV175" s="16"/>
      <c r="EW175" s="16"/>
      <c r="EX175" s="16"/>
      <c r="EY175" s="80"/>
      <c r="EZ175" s="81"/>
      <c r="FA175" s="15"/>
      <c r="FB175" s="15"/>
      <c r="FC175" s="15"/>
      <c r="FD175" s="16"/>
      <c r="FE175" s="16"/>
      <c r="FF175" s="16"/>
      <c r="FG175" s="16"/>
      <c r="FH175" s="16"/>
      <c r="FI175" s="16"/>
      <c r="FJ175" s="16"/>
      <c r="FK175" s="16"/>
      <c r="FM175" s="80"/>
      <c r="FN175" s="81"/>
      <c r="FO175" s="15"/>
      <c r="FP175" s="15"/>
      <c r="FQ175" s="15"/>
      <c r="FR175" s="16"/>
      <c r="FS175" s="16"/>
      <c r="FT175" s="16"/>
      <c r="FU175" s="16"/>
      <c r="FV175" s="16"/>
      <c r="FW175" s="16"/>
      <c r="FX175" s="16"/>
      <c r="FY175" s="16"/>
      <c r="GA175" s="80"/>
      <c r="GB175" s="81"/>
      <c r="GC175" s="15"/>
      <c r="GD175" s="15"/>
      <c r="GE175" s="15"/>
      <c r="GF175" s="16"/>
      <c r="GG175" s="16"/>
      <c r="GH175" s="16"/>
      <c r="GI175" s="16"/>
      <c r="GJ175" s="16"/>
      <c r="GK175" s="16"/>
      <c r="GL175" s="16"/>
      <c r="GM175" s="16"/>
    </row>
    <row r="176" spans="1:195" s="18" customFormat="1" ht="15" customHeight="1">
      <c r="A176" s="78">
        <v>2007</v>
      </c>
      <c r="B176" s="79" t="s">
        <v>38</v>
      </c>
      <c r="C176" s="15">
        <f t="shared" si="73"/>
        <v>0.65180989903964537</v>
      </c>
      <c r="D176" s="15">
        <f t="shared" si="74"/>
        <v>0.70919515593184013</v>
      </c>
      <c r="E176" s="15">
        <f t="shared" si="75"/>
        <v>0.91908396946564885</v>
      </c>
      <c r="F176" s="16"/>
      <c r="G176" s="33"/>
      <c r="H17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76" s="16">
        <f t="shared" si="76"/>
        <v>1643</v>
      </c>
      <c r="J17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18662</v>
      </c>
      <c r="K17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13235</v>
      </c>
      <c r="L176" s="16">
        <f t="shared" si="77"/>
        <v>5427</v>
      </c>
      <c r="M176" s="16"/>
      <c r="N176" s="16"/>
      <c r="O176" s="78">
        <v>2007</v>
      </c>
      <c r="P176" s="79" t="s">
        <v>38</v>
      </c>
      <c r="Q176" s="15">
        <f t="shared" si="78"/>
        <v>0.72434569760873657</v>
      </c>
      <c r="R176" s="15">
        <f t="shared" si="79"/>
        <v>0.75832840528287004</v>
      </c>
      <c r="S176" s="15">
        <f t="shared" si="80"/>
        <v>0.95518734701562791</v>
      </c>
      <c r="T176" s="26"/>
      <c r="U176" s="26"/>
      <c r="V176" s="16">
        <v>5311</v>
      </c>
      <c r="W176" s="16">
        <f t="shared" si="129"/>
        <v>238</v>
      </c>
      <c r="X176" s="16">
        <v>5073</v>
      </c>
      <c r="Y176" s="16">
        <v>3847</v>
      </c>
      <c r="Z176" s="16">
        <f t="shared" si="130"/>
        <v>1226</v>
      </c>
      <c r="AA176" s="16"/>
      <c r="AB176" s="16"/>
      <c r="AC176" s="78"/>
      <c r="AD176" s="79"/>
      <c r="AE176" s="15"/>
      <c r="AF176" s="15"/>
      <c r="AG176" s="15"/>
      <c r="AH176" s="15"/>
      <c r="AI176" s="15"/>
      <c r="AJ176" s="16"/>
      <c r="AK176" s="16"/>
      <c r="AL176" s="16"/>
      <c r="AM176" s="16"/>
      <c r="AN176" s="16"/>
      <c r="AO176" s="16"/>
      <c r="AP176" s="16"/>
      <c r="AQ176" s="78">
        <v>2007</v>
      </c>
      <c r="AR176" s="79" t="s">
        <v>38</v>
      </c>
      <c r="AS176" s="15">
        <f t="shared" si="86"/>
        <v>0.75487900078064007</v>
      </c>
      <c r="AT176" s="15">
        <f t="shared" si="87"/>
        <v>0.81311751103636742</v>
      </c>
      <c r="AU176" s="15">
        <f t="shared" si="88"/>
        <v>0.92837626854020294</v>
      </c>
      <c r="AV176" s="16"/>
      <c r="AW176" s="16"/>
      <c r="AX176" s="16">
        <v>5124</v>
      </c>
      <c r="AY176" s="16">
        <f t="shared" si="131"/>
        <v>367</v>
      </c>
      <c r="AZ176" s="16">
        <v>4757</v>
      </c>
      <c r="BA176" s="16">
        <v>3868</v>
      </c>
      <c r="BB176" s="16">
        <f t="shared" si="132"/>
        <v>889</v>
      </c>
      <c r="BC176" s="16"/>
      <c r="BD176" s="16"/>
      <c r="BE176" s="78">
        <v>2007</v>
      </c>
      <c r="BF176" s="79" t="s">
        <v>38</v>
      </c>
      <c r="BG176" s="15">
        <f t="shared" si="91"/>
        <v>0.46081504702194359</v>
      </c>
      <c r="BH176" s="15">
        <f t="shared" si="92"/>
        <v>0.65478841870824056</v>
      </c>
      <c r="BI176" s="15">
        <f t="shared" si="93"/>
        <v>0.70376175548589337</v>
      </c>
      <c r="BJ176" s="16"/>
      <c r="BK176" s="16"/>
      <c r="BL176" s="16">
        <v>638</v>
      </c>
      <c r="BM176" s="16">
        <f t="shared" si="133"/>
        <v>189</v>
      </c>
      <c r="BN176" s="16">
        <v>449</v>
      </c>
      <c r="BO176" s="16">
        <v>294</v>
      </c>
      <c r="BP176" s="16">
        <f t="shared" si="134"/>
        <v>155</v>
      </c>
      <c r="BQ176" s="16"/>
      <c r="BR176" s="16"/>
      <c r="BS176" s="78">
        <v>2007</v>
      </c>
      <c r="BT176" s="79" t="s">
        <v>38</v>
      </c>
      <c r="BU176" s="15">
        <f t="shared" si="96"/>
        <v>7.9370885149963419E-2</v>
      </c>
      <c r="BV176" s="15">
        <f t="shared" si="97"/>
        <v>9.8457350272232305E-2</v>
      </c>
      <c r="BW176" s="15">
        <f t="shared" si="98"/>
        <v>0.8061448427212875</v>
      </c>
      <c r="BX176" s="16"/>
      <c r="BY176" s="16"/>
      <c r="BZ176" s="16">
        <v>2734</v>
      </c>
      <c r="CA176" s="16">
        <f t="shared" si="135"/>
        <v>530</v>
      </c>
      <c r="CB176" s="16">
        <v>2204</v>
      </c>
      <c r="CC176" s="16">
        <v>217</v>
      </c>
      <c r="CD176" s="16">
        <f t="shared" si="136"/>
        <v>1987</v>
      </c>
      <c r="CE176" s="16"/>
      <c r="CF176" s="16"/>
      <c r="CG176" s="78">
        <v>2007</v>
      </c>
      <c r="CH176" s="79" t="s">
        <v>38</v>
      </c>
      <c r="CI176" s="15">
        <f t="shared" si="101"/>
        <v>0.60952724648141465</v>
      </c>
      <c r="CJ176" s="15">
        <f t="shared" si="102"/>
        <v>0.65541327124563442</v>
      </c>
      <c r="CK176" s="15">
        <f t="shared" si="103"/>
        <v>0.92998917358354383</v>
      </c>
      <c r="CL176" s="16"/>
      <c r="CM176" s="16"/>
      <c r="CN176" s="16">
        <v>2771</v>
      </c>
      <c r="CO176" s="16">
        <f t="shared" si="137"/>
        <v>194</v>
      </c>
      <c r="CP176" s="16">
        <v>2577</v>
      </c>
      <c r="CQ176" s="16">
        <v>1689</v>
      </c>
      <c r="CR176" s="16">
        <f t="shared" si="138"/>
        <v>888</v>
      </c>
      <c r="CS176" s="16"/>
      <c r="CT176" s="16"/>
      <c r="CU176" s="78">
        <v>2007</v>
      </c>
      <c r="CV176" s="79" t="s">
        <v>38</v>
      </c>
      <c r="CW176" s="15">
        <f t="shared" si="58"/>
        <v>0.89306930693069309</v>
      </c>
      <c r="CX176" s="15">
        <f t="shared" si="59"/>
        <v>0.92103471749489452</v>
      </c>
      <c r="CY176" s="15">
        <f t="shared" si="60"/>
        <v>0.96963696369636965</v>
      </c>
      <c r="CZ176" s="16"/>
      <c r="DA176" s="16"/>
      <c r="DB176" s="16">
        <v>1515</v>
      </c>
      <c r="DC176" s="16">
        <f t="shared" si="61"/>
        <v>46</v>
      </c>
      <c r="DD176" s="16">
        <v>1469</v>
      </c>
      <c r="DE176" s="16">
        <v>1353</v>
      </c>
      <c r="DF176" s="16">
        <f t="shared" si="62"/>
        <v>116</v>
      </c>
      <c r="DG176" s="16"/>
      <c r="DH176" s="16"/>
      <c r="DI176" s="78">
        <v>2007</v>
      </c>
      <c r="DJ176" s="79" t="s">
        <v>38</v>
      </c>
      <c r="DK176" s="15">
        <f t="shared" si="106"/>
        <v>0.88187372708757639</v>
      </c>
      <c r="DL176" s="15">
        <f t="shared" si="107"/>
        <v>0.90302398331595413</v>
      </c>
      <c r="DM176" s="15">
        <f t="shared" si="108"/>
        <v>0.97657841140529533</v>
      </c>
      <c r="DN176" s="16"/>
      <c r="DO176" s="16"/>
      <c r="DP176" s="16">
        <v>982</v>
      </c>
      <c r="DQ176" s="16">
        <f t="shared" si="139"/>
        <v>23</v>
      </c>
      <c r="DR176" s="16">
        <v>959</v>
      </c>
      <c r="DS176" s="16">
        <v>866</v>
      </c>
      <c r="DT176" s="16">
        <f t="shared" si="140"/>
        <v>93</v>
      </c>
      <c r="DU176" s="16"/>
      <c r="DV176" s="16"/>
      <c r="DW176" s="78">
        <v>2007</v>
      </c>
      <c r="DX176" s="79" t="s">
        <v>38</v>
      </c>
      <c r="DY176" s="15">
        <f t="shared" si="111"/>
        <v>0.89512195121951221</v>
      </c>
      <c r="DZ176" s="15">
        <f t="shared" si="112"/>
        <v>0.93781942078364566</v>
      </c>
      <c r="EA176" s="15">
        <f t="shared" si="113"/>
        <v>0.95447154471544715</v>
      </c>
      <c r="EB176" s="16"/>
      <c r="EC176" s="16"/>
      <c r="ED176" s="16">
        <v>1230</v>
      </c>
      <c r="EE176" s="16">
        <f t="shared" si="141"/>
        <v>56</v>
      </c>
      <c r="EF176" s="16">
        <v>1174</v>
      </c>
      <c r="EG176" s="16">
        <v>1101</v>
      </c>
      <c r="EH176" s="16">
        <f t="shared" si="142"/>
        <v>73</v>
      </c>
      <c r="EI176" s="16"/>
      <c r="EJ176" s="16"/>
      <c r="EK176" s="78"/>
      <c r="EL176" s="79"/>
      <c r="EM176" s="15"/>
      <c r="EN176" s="15"/>
      <c r="EO176" s="15"/>
      <c r="EP176" s="16"/>
      <c r="EQ176" s="16"/>
      <c r="ER176" s="16"/>
      <c r="ES176" s="16"/>
      <c r="ET176" s="16"/>
      <c r="EU176" s="16"/>
      <c r="EV176" s="16"/>
      <c r="EW176" s="16"/>
      <c r="EX176" s="16"/>
      <c r="EY176" s="78"/>
      <c r="EZ176" s="79"/>
      <c r="FA176" s="15"/>
      <c r="FB176" s="15"/>
      <c r="FC176" s="15"/>
      <c r="FD176" s="16"/>
      <c r="FE176" s="16"/>
      <c r="FF176" s="16"/>
      <c r="FG176" s="16"/>
      <c r="FH176" s="16"/>
      <c r="FI176" s="16"/>
      <c r="FJ176" s="16"/>
      <c r="FK176" s="16"/>
      <c r="FM176" s="78"/>
      <c r="FN176" s="79"/>
      <c r="FO176" s="15"/>
      <c r="FP176" s="15"/>
      <c r="FQ176" s="15"/>
      <c r="FR176" s="16"/>
      <c r="FS176" s="16"/>
      <c r="FT176" s="16"/>
      <c r="FU176" s="16"/>
      <c r="FV176" s="16"/>
      <c r="FW176" s="16"/>
      <c r="FX176" s="16"/>
      <c r="FY176" s="16"/>
      <c r="GA176" s="78"/>
      <c r="GB176" s="79"/>
      <c r="GC176" s="15"/>
      <c r="GD176" s="15"/>
      <c r="GE176" s="15"/>
      <c r="GF176" s="16"/>
      <c r="GG176" s="16"/>
      <c r="GH176" s="16"/>
      <c r="GI176" s="16"/>
      <c r="GJ176" s="16"/>
      <c r="GK176" s="16"/>
      <c r="GL176" s="16"/>
      <c r="GM176" s="16"/>
    </row>
    <row r="177" spans="1:195" s="18" customFormat="1" ht="15" customHeight="1">
      <c r="A177" s="80">
        <v>2007</v>
      </c>
      <c r="B177" s="81" t="s">
        <v>39</v>
      </c>
      <c r="C177" s="15">
        <f t="shared" si="73"/>
        <v>0.61606484893146651</v>
      </c>
      <c r="D177" s="15">
        <f t="shared" si="74"/>
        <v>0.67629723795215535</v>
      </c>
      <c r="E177" s="15">
        <f t="shared" si="75"/>
        <v>0.9109379934729972</v>
      </c>
      <c r="F177" s="16"/>
      <c r="G177" s="33"/>
      <c r="H17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18998</v>
      </c>
      <c r="I177" s="16">
        <f t="shared" si="76"/>
        <v>1692</v>
      </c>
      <c r="J17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17306</v>
      </c>
      <c r="K17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11704</v>
      </c>
      <c r="L177" s="16">
        <f t="shared" si="77"/>
        <v>5602</v>
      </c>
      <c r="M177" s="16"/>
      <c r="N177" s="16"/>
      <c r="O177" s="80">
        <v>2007</v>
      </c>
      <c r="P177" s="81" t="s">
        <v>39</v>
      </c>
      <c r="Q177" s="15">
        <f t="shared" si="78"/>
        <v>0.68666124440829601</v>
      </c>
      <c r="R177" s="15">
        <f t="shared" si="79"/>
        <v>0.72050352037550669</v>
      </c>
      <c r="S177" s="15">
        <f t="shared" si="80"/>
        <v>0.95302968686457912</v>
      </c>
      <c r="T177" s="26"/>
      <c r="U177" s="26"/>
      <c r="V177" s="16">
        <v>4918</v>
      </c>
      <c r="W177" s="16">
        <f t="shared" si="129"/>
        <v>231</v>
      </c>
      <c r="X177" s="16">
        <v>4687</v>
      </c>
      <c r="Y177" s="16">
        <v>3377</v>
      </c>
      <c r="Z177" s="16">
        <f t="shared" si="130"/>
        <v>1310</v>
      </c>
      <c r="AA177" s="16"/>
      <c r="AB177" s="16"/>
      <c r="AC177" s="80"/>
      <c r="AD177" s="81"/>
      <c r="AE177" s="15"/>
      <c r="AF177" s="15"/>
      <c r="AG177" s="15"/>
      <c r="AH177" s="15"/>
      <c r="AI177" s="15"/>
      <c r="AJ177" s="16"/>
      <c r="AK177" s="16"/>
      <c r="AL177" s="16"/>
      <c r="AM177" s="16"/>
      <c r="AN177" s="16"/>
      <c r="AO177" s="16"/>
      <c r="AP177" s="16"/>
      <c r="AQ177" s="80">
        <v>2007</v>
      </c>
      <c r="AR177" s="81" t="s">
        <v>39</v>
      </c>
      <c r="AS177" s="15">
        <f t="shared" si="86"/>
        <v>0.71515533165407219</v>
      </c>
      <c r="AT177" s="15">
        <f t="shared" si="87"/>
        <v>0.77098891151844307</v>
      </c>
      <c r="AU177" s="15">
        <f t="shared" si="88"/>
        <v>0.92758186397984888</v>
      </c>
      <c r="AV177" s="16"/>
      <c r="AW177" s="16"/>
      <c r="AX177" s="16">
        <v>4764</v>
      </c>
      <c r="AY177" s="16">
        <f t="shared" si="131"/>
        <v>345</v>
      </c>
      <c r="AZ177" s="16">
        <v>4419</v>
      </c>
      <c r="BA177" s="16">
        <v>3407</v>
      </c>
      <c r="BB177" s="16">
        <f t="shared" si="132"/>
        <v>1012</v>
      </c>
      <c r="BC177" s="16"/>
      <c r="BD177" s="16"/>
      <c r="BE177" s="80">
        <v>2007</v>
      </c>
      <c r="BF177" s="81" t="s">
        <v>39</v>
      </c>
      <c r="BG177" s="15">
        <f t="shared" si="91"/>
        <v>0.3411978221415608</v>
      </c>
      <c r="BH177" s="15">
        <f t="shared" si="92"/>
        <v>0.52957746478873235</v>
      </c>
      <c r="BI177" s="15">
        <f t="shared" si="93"/>
        <v>0.64428312159709622</v>
      </c>
      <c r="BJ177" s="16"/>
      <c r="BK177" s="16"/>
      <c r="BL177" s="16">
        <v>551</v>
      </c>
      <c r="BM177" s="16">
        <f t="shared" si="133"/>
        <v>196</v>
      </c>
      <c r="BN177" s="16">
        <v>355</v>
      </c>
      <c r="BO177" s="16">
        <v>188</v>
      </c>
      <c r="BP177" s="16">
        <f t="shared" si="134"/>
        <v>167</v>
      </c>
      <c r="BQ177" s="16"/>
      <c r="BR177" s="16"/>
      <c r="BS177" s="80">
        <v>2007</v>
      </c>
      <c r="BT177" s="81" t="s">
        <v>39</v>
      </c>
      <c r="BU177" s="15">
        <f t="shared" si="96"/>
        <v>4.8487199379363848E-2</v>
      </c>
      <c r="BV177" s="15">
        <f t="shared" si="97"/>
        <v>6.0709082078678971E-2</v>
      </c>
      <c r="BW177" s="15">
        <f t="shared" si="98"/>
        <v>0.79868114817688129</v>
      </c>
      <c r="BX177" s="16"/>
      <c r="BY177" s="16"/>
      <c r="BZ177" s="16">
        <v>2578</v>
      </c>
      <c r="CA177" s="16">
        <f t="shared" si="135"/>
        <v>519</v>
      </c>
      <c r="CB177" s="16">
        <v>2059</v>
      </c>
      <c r="CC177" s="16">
        <v>125</v>
      </c>
      <c r="CD177" s="16">
        <f t="shared" si="136"/>
        <v>1934</v>
      </c>
      <c r="CE177" s="16"/>
      <c r="CF177" s="16"/>
      <c r="CG177" s="80">
        <v>2007</v>
      </c>
      <c r="CH177" s="81" t="s">
        <v>39</v>
      </c>
      <c r="CI177" s="15">
        <f t="shared" si="101"/>
        <v>0.5969523809523809</v>
      </c>
      <c r="CJ177" s="15">
        <f t="shared" si="102"/>
        <v>0.65482657751776019</v>
      </c>
      <c r="CK177" s="15">
        <f t="shared" si="103"/>
        <v>0.91161904761904766</v>
      </c>
      <c r="CL177" s="16"/>
      <c r="CM177" s="16"/>
      <c r="CN177" s="16">
        <v>2625</v>
      </c>
      <c r="CO177" s="16">
        <f t="shared" si="137"/>
        <v>232</v>
      </c>
      <c r="CP177" s="16">
        <v>2393</v>
      </c>
      <c r="CQ177" s="16">
        <v>1567</v>
      </c>
      <c r="CR177" s="16">
        <f t="shared" si="138"/>
        <v>826</v>
      </c>
      <c r="CS177" s="16"/>
      <c r="CT177" s="16"/>
      <c r="CU177" s="80">
        <v>2007</v>
      </c>
      <c r="CV177" s="81" t="s">
        <v>39</v>
      </c>
      <c r="CW177" s="15">
        <f t="shared" si="58"/>
        <v>0.87692307692307692</v>
      </c>
      <c r="CX177" s="15">
        <f t="shared" si="59"/>
        <v>0.91666666666666663</v>
      </c>
      <c r="CY177" s="15">
        <f t="shared" si="60"/>
        <v>0.95664335664335665</v>
      </c>
      <c r="CZ177" s="16"/>
      <c r="DA177" s="16"/>
      <c r="DB177" s="16">
        <v>1430</v>
      </c>
      <c r="DC177" s="16">
        <f t="shared" si="61"/>
        <v>62</v>
      </c>
      <c r="DD177" s="16">
        <v>1368</v>
      </c>
      <c r="DE177" s="16">
        <v>1254</v>
      </c>
      <c r="DF177" s="16">
        <f t="shared" si="62"/>
        <v>114</v>
      </c>
      <c r="DG177" s="16"/>
      <c r="DH177" s="16"/>
      <c r="DI177" s="80">
        <v>2007</v>
      </c>
      <c r="DJ177" s="81" t="s">
        <v>39</v>
      </c>
      <c r="DK177" s="15">
        <f t="shared" si="106"/>
        <v>0.80866807610993663</v>
      </c>
      <c r="DL177" s="15">
        <f t="shared" si="107"/>
        <v>0.84623893805309736</v>
      </c>
      <c r="DM177" s="15">
        <f t="shared" si="108"/>
        <v>0.95560253699788589</v>
      </c>
      <c r="DN177" s="16"/>
      <c r="DO177" s="16"/>
      <c r="DP177" s="16">
        <v>946</v>
      </c>
      <c r="DQ177" s="16">
        <f t="shared" si="139"/>
        <v>42</v>
      </c>
      <c r="DR177" s="16">
        <v>904</v>
      </c>
      <c r="DS177" s="16">
        <v>765</v>
      </c>
      <c r="DT177" s="16">
        <f t="shared" si="140"/>
        <v>139</v>
      </c>
      <c r="DU177" s="16"/>
      <c r="DV177" s="16"/>
      <c r="DW177" s="80">
        <v>2007</v>
      </c>
      <c r="DX177" s="81" t="s">
        <v>39</v>
      </c>
      <c r="DY177" s="15">
        <f t="shared" si="111"/>
        <v>0.86087689713322091</v>
      </c>
      <c r="DZ177" s="15">
        <f t="shared" si="112"/>
        <v>0.91079393398751118</v>
      </c>
      <c r="EA177" s="15">
        <f t="shared" si="113"/>
        <v>0.94519392917369305</v>
      </c>
      <c r="EB177" s="16"/>
      <c r="EC177" s="16"/>
      <c r="ED177" s="16">
        <v>1186</v>
      </c>
      <c r="EE177" s="16">
        <f t="shared" si="141"/>
        <v>65</v>
      </c>
      <c r="EF177" s="16">
        <v>1121</v>
      </c>
      <c r="EG177" s="16">
        <v>1021</v>
      </c>
      <c r="EH177" s="16">
        <f t="shared" si="142"/>
        <v>100</v>
      </c>
      <c r="EI177" s="16"/>
      <c r="EJ177" s="16"/>
      <c r="EK177" s="80"/>
      <c r="EL177" s="81"/>
      <c r="EM177" s="15"/>
      <c r="EN177" s="15"/>
      <c r="EO177" s="15"/>
      <c r="EP177" s="16"/>
      <c r="EQ177" s="16"/>
      <c r="ER177" s="16"/>
      <c r="ES177" s="16"/>
      <c r="ET177" s="16"/>
      <c r="EU177" s="16"/>
      <c r="EV177" s="16"/>
      <c r="EW177" s="16"/>
      <c r="EX177" s="16"/>
      <c r="EY177" s="80"/>
      <c r="EZ177" s="81"/>
      <c r="FA177" s="15"/>
      <c r="FB177" s="15"/>
      <c r="FC177" s="15"/>
      <c r="FD177" s="16"/>
      <c r="FE177" s="16"/>
      <c r="FF177" s="16"/>
      <c r="FG177" s="16"/>
      <c r="FH177" s="16"/>
      <c r="FI177" s="16"/>
      <c r="FJ177" s="16"/>
      <c r="FK177" s="16"/>
      <c r="FM177" s="80"/>
      <c r="FN177" s="81"/>
      <c r="FO177" s="15"/>
      <c r="FP177" s="15"/>
      <c r="FQ177" s="15"/>
      <c r="FR177" s="16"/>
      <c r="FS177" s="16"/>
      <c r="FT177" s="16"/>
      <c r="FU177" s="16"/>
      <c r="FV177" s="16"/>
      <c r="FW177" s="16"/>
      <c r="FX177" s="16"/>
      <c r="FY177" s="16"/>
      <c r="GA177" s="80"/>
      <c r="GB177" s="81"/>
      <c r="GC177" s="15"/>
      <c r="GD177" s="15"/>
      <c r="GE177" s="15"/>
      <c r="GF177" s="16"/>
      <c r="GG177" s="16"/>
      <c r="GH177" s="16"/>
      <c r="GI177" s="16"/>
      <c r="GJ177" s="16"/>
      <c r="GK177" s="16"/>
      <c r="GL177" s="16"/>
      <c r="GM177" s="16"/>
    </row>
    <row r="178" spans="1:195" s="18" customFormat="1" ht="15" customHeight="1">
      <c r="A178" s="78">
        <v>2007</v>
      </c>
      <c r="B178" s="79" t="s">
        <v>40</v>
      </c>
      <c r="C178" s="15">
        <f t="shared" si="73"/>
        <v>0.60340778493978908</v>
      </c>
      <c r="D178" s="15">
        <f t="shared" si="74"/>
        <v>0.66198881701567813</v>
      </c>
      <c r="E178" s="15">
        <f t="shared" si="75"/>
        <v>0.91150752011192726</v>
      </c>
      <c r="F178" s="16"/>
      <c r="G178" s="33"/>
      <c r="H17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20013</v>
      </c>
      <c r="I178" s="16">
        <f t="shared" si="76"/>
        <v>1771</v>
      </c>
      <c r="J17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18242</v>
      </c>
      <c r="K17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12076</v>
      </c>
      <c r="L178" s="16">
        <f t="shared" si="77"/>
        <v>6166</v>
      </c>
      <c r="M178" s="16"/>
      <c r="N178" s="16"/>
      <c r="O178" s="78">
        <v>2007</v>
      </c>
      <c r="P178" s="79" t="s">
        <v>40</v>
      </c>
      <c r="Q178" s="15">
        <f t="shared" si="78"/>
        <v>0.66570715793513724</v>
      </c>
      <c r="R178" s="15">
        <f t="shared" si="79"/>
        <v>0.70450852965069044</v>
      </c>
      <c r="S178" s="15">
        <f t="shared" si="80"/>
        <v>0.94492419881020917</v>
      </c>
      <c r="T178" s="26"/>
      <c r="U178" s="26"/>
      <c r="V178" s="16">
        <v>5211</v>
      </c>
      <c r="W178" s="16">
        <f t="shared" si="129"/>
        <v>287</v>
      </c>
      <c r="X178" s="16">
        <v>4924</v>
      </c>
      <c r="Y178" s="16">
        <v>3469</v>
      </c>
      <c r="Z178" s="16">
        <f t="shared" si="130"/>
        <v>1455</v>
      </c>
      <c r="AA178" s="16"/>
      <c r="AB178" s="16"/>
      <c r="AC178" s="78"/>
      <c r="AD178" s="79"/>
      <c r="AE178" s="15"/>
      <c r="AF178" s="15"/>
      <c r="AG178" s="15"/>
      <c r="AH178" s="15"/>
      <c r="AI178" s="15"/>
      <c r="AJ178" s="16"/>
      <c r="AK178" s="16"/>
      <c r="AL178" s="16"/>
      <c r="AM178" s="16"/>
      <c r="AN178" s="16"/>
      <c r="AO178" s="16"/>
      <c r="AP178" s="16"/>
      <c r="AQ178" s="78">
        <v>2007</v>
      </c>
      <c r="AR178" s="79" t="s">
        <v>40</v>
      </c>
      <c r="AS178" s="15">
        <f t="shared" si="86"/>
        <v>0.72180301826846704</v>
      </c>
      <c r="AT178" s="15">
        <f t="shared" si="87"/>
        <v>0.7857760484219628</v>
      </c>
      <c r="AU178" s="15">
        <f t="shared" si="88"/>
        <v>0.91858617950754562</v>
      </c>
      <c r="AV178" s="16"/>
      <c r="AW178" s="16"/>
      <c r="AX178" s="16">
        <v>5036</v>
      </c>
      <c r="AY178" s="16">
        <f t="shared" si="131"/>
        <v>410</v>
      </c>
      <c r="AZ178" s="16">
        <v>4626</v>
      </c>
      <c r="BA178" s="16">
        <v>3635</v>
      </c>
      <c r="BB178" s="16">
        <f t="shared" si="132"/>
        <v>991</v>
      </c>
      <c r="BC178" s="16"/>
      <c r="BD178" s="16"/>
      <c r="BE178" s="78">
        <v>2007</v>
      </c>
      <c r="BF178" s="79" t="s">
        <v>40</v>
      </c>
      <c r="BG178" s="15">
        <f t="shared" si="91"/>
        <v>0.37274220032840721</v>
      </c>
      <c r="BH178" s="15">
        <f t="shared" si="92"/>
        <v>0.53919239904988125</v>
      </c>
      <c r="BI178" s="15">
        <f t="shared" si="93"/>
        <v>0.69129720853858789</v>
      </c>
      <c r="BJ178" s="16"/>
      <c r="BK178" s="16"/>
      <c r="BL178" s="16">
        <v>609</v>
      </c>
      <c r="BM178" s="16">
        <f t="shared" si="133"/>
        <v>188</v>
      </c>
      <c r="BN178" s="16">
        <v>421</v>
      </c>
      <c r="BO178" s="16">
        <v>227</v>
      </c>
      <c r="BP178" s="16">
        <f t="shared" si="134"/>
        <v>194</v>
      </c>
      <c r="BQ178" s="16"/>
      <c r="BR178" s="16"/>
      <c r="BS178" s="78">
        <v>2007</v>
      </c>
      <c r="BT178" s="79" t="s">
        <v>40</v>
      </c>
      <c r="BU178" s="15">
        <f t="shared" si="96"/>
        <v>5.9171597633136092E-2</v>
      </c>
      <c r="BV178" s="15">
        <f t="shared" si="97"/>
        <v>7.376671277086215E-2</v>
      </c>
      <c r="BW178" s="15">
        <f t="shared" si="98"/>
        <v>0.80214497041420119</v>
      </c>
      <c r="BX178" s="16"/>
      <c r="BY178" s="16"/>
      <c r="BZ178" s="16">
        <v>2704</v>
      </c>
      <c r="CA178" s="16">
        <f t="shared" si="135"/>
        <v>535</v>
      </c>
      <c r="CB178" s="16">
        <v>2169</v>
      </c>
      <c r="CC178" s="16">
        <v>160</v>
      </c>
      <c r="CD178" s="16">
        <f t="shared" si="136"/>
        <v>2009</v>
      </c>
      <c r="CE178" s="16"/>
      <c r="CF178" s="16"/>
      <c r="CG178" s="78">
        <v>2007</v>
      </c>
      <c r="CH178" s="79" t="s">
        <v>40</v>
      </c>
      <c r="CI178" s="15">
        <f t="shared" si="101"/>
        <v>0.53423160961398397</v>
      </c>
      <c r="CJ178" s="15">
        <f t="shared" si="102"/>
        <v>0.58306836248012717</v>
      </c>
      <c r="CK178" s="15">
        <f t="shared" si="103"/>
        <v>0.91624180626365626</v>
      </c>
      <c r="CL178" s="16"/>
      <c r="CM178" s="16"/>
      <c r="CN178" s="16">
        <v>2746</v>
      </c>
      <c r="CO178" s="16">
        <f t="shared" si="137"/>
        <v>230</v>
      </c>
      <c r="CP178" s="16">
        <v>2516</v>
      </c>
      <c r="CQ178" s="16">
        <v>1467</v>
      </c>
      <c r="CR178" s="16">
        <f t="shared" si="138"/>
        <v>1049</v>
      </c>
      <c r="CS178" s="16"/>
      <c r="CT178" s="16"/>
      <c r="CU178" s="78">
        <v>2007</v>
      </c>
      <c r="CV178" s="79" t="s">
        <v>40</v>
      </c>
      <c r="CW178" s="15">
        <f t="shared" si="58"/>
        <v>0.87124749833222148</v>
      </c>
      <c r="CX178" s="15">
        <f t="shared" si="59"/>
        <v>0.89759450171821309</v>
      </c>
      <c r="CY178" s="15">
        <f t="shared" si="60"/>
        <v>0.97064709806537697</v>
      </c>
      <c r="CZ178" s="16"/>
      <c r="DA178" s="16"/>
      <c r="DB178" s="16">
        <v>1499</v>
      </c>
      <c r="DC178" s="16">
        <f t="shared" si="61"/>
        <v>44</v>
      </c>
      <c r="DD178" s="16">
        <v>1455</v>
      </c>
      <c r="DE178" s="16">
        <v>1306</v>
      </c>
      <c r="DF178" s="16">
        <f t="shared" si="62"/>
        <v>149</v>
      </c>
      <c r="DG178" s="16"/>
      <c r="DH178" s="16"/>
      <c r="DI178" s="78">
        <v>2007</v>
      </c>
      <c r="DJ178" s="79" t="s">
        <v>40</v>
      </c>
      <c r="DK178" s="15">
        <f t="shared" si="106"/>
        <v>0.79897959183673473</v>
      </c>
      <c r="DL178" s="15">
        <f t="shared" si="107"/>
        <v>0.81818181818181823</v>
      </c>
      <c r="DM178" s="15">
        <f t="shared" si="108"/>
        <v>0.97653061224489801</v>
      </c>
      <c r="DN178" s="16"/>
      <c r="DO178" s="16"/>
      <c r="DP178" s="16">
        <v>980</v>
      </c>
      <c r="DQ178" s="16">
        <f t="shared" si="139"/>
        <v>23</v>
      </c>
      <c r="DR178" s="16">
        <v>957</v>
      </c>
      <c r="DS178" s="16">
        <v>783</v>
      </c>
      <c r="DT178" s="16">
        <f t="shared" si="140"/>
        <v>174</v>
      </c>
      <c r="DU178" s="16"/>
      <c r="DV178" s="16"/>
      <c r="DW178" s="78">
        <v>2007</v>
      </c>
      <c r="DX178" s="79" t="s">
        <v>40</v>
      </c>
      <c r="DY178" s="15">
        <f t="shared" si="111"/>
        <v>0.83794788273615639</v>
      </c>
      <c r="DZ178" s="15">
        <f t="shared" si="112"/>
        <v>0.87649063032367969</v>
      </c>
      <c r="EA178" s="15">
        <f t="shared" si="113"/>
        <v>0.9560260586319218</v>
      </c>
      <c r="EB178" s="16"/>
      <c r="EC178" s="16"/>
      <c r="ED178" s="16">
        <v>1228</v>
      </c>
      <c r="EE178" s="16">
        <f t="shared" si="141"/>
        <v>54</v>
      </c>
      <c r="EF178" s="16">
        <v>1174</v>
      </c>
      <c r="EG178" s="16">
        <v>1029</v>
      </c>
      <c r="EH178" s="16">
        <f t="shared" si="142"/>
        <v>145</v>
      </c>
      <c r="EI178" s="16"/>
      <c r="EJ178" s="16"/>
      <c r="EK178" s="78"/>
      <c r="EL178" s="79"/>
      <c r="EM178" s="15"/>
      <c r="EN178" s="15"/>
      <c r="EO178" s="15"/>
      <c r="EP178" s="16"/>
      <c r="EQ178" s="16"/>
      <c r="ER178" s="16"/>
      <c r="ES178" s="16"/>
      <c r="ET178" s="16"/>
      <c r="EU178" s="16"/>
      <c r="EV178" s="16"/>
      <c r="EW178" s="16"/>
      <c r="EX178" s="16"/>
      <c r="EY178" s="78"/>
      <c r="EZ178" s="79"/>
      <c r="FA178" s="15"/>
      <c r="FB178" s="15"/>
      <c r="FC178" s="15"/>
      <c r="FD178" s="16"/>
      <c r="FE178" s="16"/>
      <c r="FF178" s="16"/>
      <c r="FG178" s="16"/>
      <c r="FH178" s="16"/>
      <c r="FI178" s="16"/>
      <c r="FJ178" s="16"/>
      <c r="FK178" s="16"/>
      <c r="FM178" s="78"/>
      <c r="FN178" s="79"/>
      <c r="FO178" s="15"/>
      <c r="FP178" s="15"/>
      <c r="FQ178" s="15"/>
      <c r="FR178" s="16"/>
      <c r="FS178" s="16"/>
      <c r="FT178" s="16"/>
      <c r="FU178" s="16"/>
      <c r="FV178" s="16"/>
      <c r="FW178" s="16"/>
      <c r="FX178" s="16"/>
      <c r="FY178" s="16"/>
      <c r="GA178" s="78"/>
      <c r="GB178" s="79"/>
      <c r="GC178" s="15"/>
      <c r="GD178" s="15"/>
      <c r="GE178" s="15"/>
      <c r="GF178" s="16"/>
      <c r="GG178" s="16"/>
      <c r="GH178" s="16"/>
      <c r="GI178" s="16"/>
      <c r="GJ178" s="16"/>
      <c r="GK178" s="16"/>
      <c r="GL178" s="16"/>
      <c r="GM178" s="16"/>
    </row>
    <row r="179" spans="1:195" s="18" customFormat="1" ht="15" customHeight="1">
      <c r="A179" s="80">
        <v>2007</v>
      </c>
      <c r="B179" s="81" t="s">
        <v>41</v>
      </c>
      <c r="C179" s="15">
        <f t="shared" si="73"/>
        <v>0.60736354273944382</v>
      </c>
      <c r="D179" s="15">
        <f t="shared" si="74"/>
        <v>0.66956176203451412</v>
      </c>
      <c r="E179" s="15">
        <f t="shared" si="75"/>
        <v>0.90710607621009265</v>
      </c>
      <c r="F179" s="16"/>
      <c r="G179" s="33"/>
      <c r="H17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19420</v>
      </c>
      <c r="I179" s="16">
        <f t="shared" si="76"/>
        <v>1804</v>
      </c>
      <c r="J17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17616</v>
      </c>
      <c r="K17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11795</v>
      </c>
      <c r="L179" s="16">
        <f t="shared" si="77"/>
        <v>5821</v>
      </c>
      <c r="M179" s="16"/>
      <c r="N179" s="16"/>
      <c r="O179" s="80">
        <v>2007</v>
      </c>
      <c r="P179" s="81" t="s">
        <v>41</v>
      </c>
      <c r="Q179" s="15">
        <f t="shared" si="78"/>
        <v>0.72039408866995069</v>
      </c>
      <c r="R179" s="15">
        <f t="shared" si="79"/>
        <v>0.7564659631698738</v>
      </c>
      <c r="S179" s="15">
        <f t="shared" si="80"/>
        <v>0.95231527093596058</v>
      </c>
      <c r="T179" s="26"/>
      <c r="U179" s="26"/>
      <c r="V179" s="16">
        <v>5075</v>
      </c>
      <c r="W179" s="16">
        <f t="shared" si="129"/>
        <v>242</v>
      </c>
      <c r="X179" s="16">
        <v>4833</v>
      </c>
      <c r="Y179" s="16">
        <v>3656</v>
      </c>
      <c r="Z179" s="16">
        <f t="shared" si="130"/>
        <v>1177</v>
      </c>
      <c r="AA179" s="16"/>
      <c r="AB179" s="16"/>
      <c r="AC179" s="80"/>
      <c r="AD179" s="81"/>
      <c r="AE179" s="15"/>
      <c r="AF179" s="15"/>
      <c r="AG179" s="15"/>
      <c r="AH179" s="15"/>
      <c r="AI179" s="15"/>
      <c r="AJ179" s="16"/>
      <c r="AK179" s="16"/>
      <c r="AL179" s="16"/>
      <c r="AM179" s="16"/>
      <c r="AN179" s="16"/>
      <c r="AO179" s="16"/>
      <c r="AP179" s="16"/>
      <c r="AQ179" s="80">
        <v>2007</v>
      </c>
      <c r="AR179" s="81" t="s">
        <v>41</v>
      </c>
      <c r="AS179" s="15">
        <f t="shared" si="86"/>
        <v>0.73181169757489306</v>
      </c>
      <c r="AT179" s="15">
        <f t="shared" si="87"/>
        <v>0.79184123484013236</v>
      </c>
      <c r="AU179" s="15">
        <f t="shared" si="88"/>
        <v>0.92418993274913386</v>
      </c>
      <c r="AV179" s="16"/>
      <c r="AW179" s="16"/>
      <c r="AX179" s="16">
        <v>4907</v>
      </c>
      <c r="AY179" s="16">
        <f t="shared" si="131"/>
        <v>372</v>
      </c>
      <c r="AZ179" s="16">
        <v>4535</v>
      </c>
      <c r="BA179" s="16">
        <v>3591</v>
      </c>
      <c r="BB179" s="16">
        <f t="shared" si="132"/>
        <v>944</v>
      </c>
      <c r="BC179" s="16"/>
      <c r="BD179" s="16"/>
      <c r="BE179" s="80">
        <v>2007</v>
      </c>
      <c r="BF179" s="81" t="s">
        <v>41</v>
      </c>
      <c r="BG179" s="15">
        <f t="shared" si="91"/>
        <v>0.39482758620689656</v>
      </c>
      <c r="BH179" s="15">
        <f t="shared" si="92"/>
        <v>0.62568306010928965</v>
      </c>
      <c r="BI179" s="15">
        <f t="shared" si="93"/>
        <v>0.63103448275862073</v>
      </c>
      <c r="BJ179" s="16"/>
      <c r="BK179" s="16"/>
      <c r="BL179" s="16">
        <v>580</v>
      </c>
      <c r="BM179" s="16">
        <f t="shared" si="133"/>
        <v>214</v>
      </c>
      <c r="BN179" s="16">
        <v>366</v>
      </c>
      <c r="BO179" s="16">
        <v>229</v>
      </c>
      <c r="BP179" s="16">
        <f t="shared" si="134"/>
        <v>137</v>
      </c>
      <c r="BQ179" s="16"/>
      <c r="BR179" s="16"/>
      <c r="BS179" s="80">
        <v>2007</v>
      </c>
      <c r="BT179" s="81" t="s">
        <v>41</v>
      </c>
      <c r="BU179" s="15">
        <f t="shared" si="96"/>
        <v>4.1300191204588908E-2</v>
      </c>
      <c r="BV179" s="15">
        <f t="shared" si="97"/>
        <v>5.2173913043478258E-2</v>
      </c>
      <c r="BW179" s="15">
        <f t="shared" si="98"/>
        <v>0.79158699808795407</v>
      </c>
      <c r="BX179" s="16"/>
      <c r="BY179" s="16"/>
      <c r="BZ179" s="16">
        <v>2615</v>
      </c>
      <c r="CA179" s="16">
        <f t="shared" si="135"/>
        <v>545</v>
      </c>
      <c r="CB179" s="16">
        <v>2070</v>
      </c>
      <c r="CC179" s="16">
        <v>108</v>
      </c>
      <c r="CD179" s="16">
        <f t="shared" si="136"/>
        <v>1962</v>
      </c>
      <c r="CE179" s="16"/>
      <c r="CF179" s="16"/>
      <c r="CG179" s="80">
        <v>2007</v>
      </c>
      <c r="CH179" s="81" t="s">
        <v>41</v>
      </c>
      <c r="CI179" s="15">
        <f t="shared" si="101"/>
        <v>0.49039548022598872</v>
      </c>
      <c r="CJ179" s="15">
        <f t="shared" si="102"/>
        <v>0.52926829268292686</v>
      </c>
      <c r="CK179" s="15">
        <f t="shared" si="103"/>
        <v>0.92655367231638419</v>
      </c>
      <c r="CL179" s="16"/>
      <c r="CM179" s="16"/>
      <c r="CN179" s="16">
        <v>2655</v>
      </c>
      <c r="CO179" s="16">
        <f t="shared" si="137"/>
        <v>195</v>
      </c>
      <c r="CP179" s="16">
        <v>2460</v>
      </c>
      <c r="CQ179" s="16">
        <v>1302</v>
      </c>
      <c r="CR179" s="16">
        <f t="shared" si="138"/>
        <v>1158</v>
      </c>
      <c r="CS179" s="16"/>
      <c r="CT179" s="16"/>
      <c r="CU179" s="80">
        <v>2007</v>
      </c>
      <c r="CV179" s="81" t="s">
        <v>41</v>
      </c>
      <c r="CW179" s="15">
        <f t="shared" si="58"/>
        <v>0.84254143646408841</v>
      </c>
      <c r="CX179" s="15">
        <f t="shared" si="59"/>
        <v>0.90036900369003692</v>
      </c>
      <c r="CY179" s="15">
        <f t="shared" si="60"/>
        <v>0.93577348066298338</v>
      </c>
      <c r="CZ179" s="16"/>
      <c r="DA179" s="16"/>
      <c r="DB179" s="16">
        <v>1448</v>
      </c>
      <c r="DC179" s="16">
        <f t="shared" si="61"/>
        <v>93</v>
      </c>
      <c r="DD179" s="16">
        <v>1355</v>
      </c>
      <c r="DE179" s="16">
        <v>1220</v>
      </c>
      <c r="DF179" s="16">
        <f t="shared" si="62"/>
        <v>135</v>
      </c>
      <c r="DG179" s="16"/>
      <c r="DH179" s="16"/>
      <c r="DI179" s="80">
        <v>2007</v>
      </c>
      <c r="DJ179" s="81" t="s">
        <v>41</v>
      </c>
      <c r="DK179" s="15">
        <f t="shared" si="106"/>
        <v>0.82947368421052636</v>
      </c>
      <c r="DL179" s="15">
        <f t="shared" si="107"/>
        <v>0.86120218579234975</v>
      </c>
      <c r="DM179" s="15">
        <f t="shared" si="108"/>
        <v>0.9631578947368421</v>
      </c>
      <c r="DN179" s="16"/>
      <c r="DO179" s="16"/>
      <c r="DP179" s="16">
        <v>950</v>
      </c>
      <c r="DQ179" s="16">
        <f t="shared" si="139"/>
        <v>35</v>
      </c>
      <c r="DR179" s="16">
        <v>915</v>
      </c>
      <c r="DS179" s="16">
        <v>788</v>
      </c>
      <c r="DT179" s="16">
        <f t="shared" si="140"/>
        <v>127</v>
      </c>
      <c r="DU179" s="16"/>
      <c r="DV179" s="16"/>
      <c r="DW179" s="80">
        <v>2007</v>
      </c>
      <c r="DX179" s="81" t="s">
        <v>41</v>
      </c>
      <c r="DY179" s="15">
        <f t="shared" si="111"/>
        <v>0.75714285714285712</v>
      </c>
      <c r="DZ179" s="15">
        <f t="shared" si="112"/>
        <v>0.83271719038817005</v>
      </c>
      <c r="EA179" s="15">
        <f t="shared" si="113"/>
        <v>0.90924369747899159</v>
      </c>
      <c r="EB179" s="16"/>
      <c r="EC179" s="16"/>
      <c r="ED179" s="16">
        <v>1190</v>
      </c>
      <c r="EE179" s="16">
        <f t="shared" si="141"/>
        <v>108</v>
      </c>
      <c r="EF179" s="16">
        <v>1082</v>
      </c>
      <c r="EG179" s="16">
        <v>901</v>
      </c>
      <c r="EH179" s="16">
        <f t="shared" si="142"/>
        <v>181</v>
      </c>
      <c r="EI179" s="16"/>
      <c r="EJ179" s="16"/>
      <c r="EK179" s="80"/>
      <c r="EL179" s="81"/>
      <c r="EM179" s="15"/>
      <c r="EN179" s="15"/>
      <c r="EO179" s="15"/>
      <c r="EP179" s="16"/>
      <c r="EQ179" s="16"/>
      <c r="ER179" s="16"/>
      <c r="ES179" s="16"/>
      <c r="ET179" s="16"/>
      <c r="EU179" s="16"/>
      <c r="EV179" s="16"/>
      <c r="EW179" s="16"/>
      <c r="EX179" s="16"/>
      <c r="EY179" s="80"/>
      <c r="EZ179" s="81"/>
      <c r="FA179" s="15"/>
      <c r="FB179" s="15"/>
      <c r="FC179" s="15"/>
      <c r="FD179" s="16"/>
      <c r="FE179" s="16"/>
      <c r="FF179" s="16"/>
      <c r="FG179" s="16"/>
      <c r="FH179" s="16"/>
      <c r="FI179" s="16"/>
      <c r="FJ179" s="16"/>
      <c r="FK179" s="16"/>
      <c r="FM179" s="80"/>
      <c r="FN179" s="81"/>
      <c r="FO179" s="15"/>
      <c r="FP179" s="15"/>
      <c r="FQ179" s="15"/>
      <c r="FR179" s="16"/>
      <c r="FS179" s="16"/>
      <c r="FT179" s="16"/>
      <c r="FU179" s="16"/>
      <c r="FV179" s="16"/>
      <c r="FW179" s="16"/>
      <c r="FX179" s="16"/>
      <c r="FY179" s="16"/>
      <c r="GA179" s="80"/>
      <c r="GB179" s="81"/>
      <c r="GC179" s="15"/>
      <c r="GD179" s="15"/>
      <c r="GE179" s="15"/>
      <c r="GF179" s="16"/>
      <c r="GG179" s="16"/>
      <c r="GH179" s="16"/>
      <c r="GI179" s="16"/>
      <c r="GJ179" s="16"/>
      <c r="GK179" s="16"/>
      <c r="GL179" s="16"/>
      <c r="GM179" s="16"/>
    </row>
    <row r="180" spans="1:195" s="18" customFormat="1" ht="15" customHeight="1">
      <c r="A180" s="78">
        <v>2007</v>
      </c>
      <c r="B180" s="79" t="s">
        <v>42</v>
      </c>
      <c r="C180" s="15">
        <f t="shared" si="73"/>
        <v>0.6611202718233149</v>
      </c>
      <c r="D180" s="15">
        <f t="shared" si="74"/>
        <v>0.71195652173913049</v>
      </c>
      <c r="E180" s="15">
        <f t="shared" si="75"/>
        <v>0.9285964123319842</v>
      </c>
      <c r="F180" s="16"/>
      <c r="G180" s="33"/>
      <c r="H18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20013</v>
      </c>
      <c r="I180" s="16">
        <f t="shared" si="76"/>
        <v>1429</v>
      </c>
      <c r="J18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18584</v>
      </c>
      <c r="K18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13231</v>
      </c>
      <c r="L180" s="16">
        <f t="shared" si="77"/>
        <v>5353</v>
      </c>
      <c r="M180" s="16"/>
      <c r="N180" s="16"/>
      <c r="O180" s="78">
        <v>2007</v>
      </c>
      <c r="P180" s="79" t="s">
        <v>42</v>
      </c>
      <c r="Q180" s="15">
        <f t="shared" si="78"/>
        <v>0.78622145461523696</v>
      </c>
      <c r="R180" s="15">
        <f t="shared" si="79"/>
        <v>0.80459544383346426</v>
      </c>
      <c r="S180" s="15">
        <f t="shared" si="80"/>
        <v>0.97716369218959898</v>
      </c>
      <c r="T180" s="26"/>
      <c r="U180" s="26"/>
      <c r="V180" s="16">
        <v>5211</v>
      </c>
      <c r="W180" s="16">
        <f t="shared" si="129"/>
        <v>119</v>
      </c>
      <c r="X180" s="16">
        <v>5092</v>
      </c>
      <c r="Y180" s="16">
        <v>4097</v>
      </c>
      <c r="Z180" s="16">
        <f t="shared" si="130"/>
        <v>995</v>
      </c>
      <c r="AA180" s="16"/>
      <c r="AB180" s="16"/>
      <c r="AC180" s="78"/>
      <c r="AD180" s="79"/>
      <c r="AE180" s="15"/>
      <c r="AF180" s="15"/>
      <c r="AG180" s="15"/>
      <c r="AH180" s="15"/>
      <c r="AI180" s="15"/>
      <c r="AJ180" s="16"/>
      <c r="AK180" s="16"/>
      <c r="AL180" s="16"/>
      <c r="AM180" s="16"/>
      <c r="AN180" s="16"/>
      <c r="AO180" s="16"/>
      <c r="AP180" s="16"/>
      <c r="AQ180" s="78">
        <v>2007</v>
      </c>
      <c r="AR180" s="79" t="s">
        <v>42</v>
      </c>
      <c r="AS180" s="15">
        <f t="shared" si="86"/>
        <v>0.77680698967434469</v>
      </c>
      <c r="AT180" s="15">
        <f t="shared" si="87"/>
        <v>0.81721328598287024</v>
      </c>
      <c r="AU180" s="15">
        <f t="shared" si="88"/>
        <v>0.95055599682287528</v>
      </c>
      <c r="AV180" s="16"/>
      <c r="AW180" s="16"/>
      <c r="AX180" s="16">
        <v>5036</v>
      </c>
      <c r="AY180" s="16">
        <f t="shared" si="131"/>
        <v>249</v>
      </c>
      <c r="AZ180" s="16">
        <v>4787</v>
      </c>
      <c r="BA180" s="16">
        <v>3912</v>
      </c>
      <c r="BB180" s="16">
        <f t="shared" si="132"/>
        <v>875</v>
      </c>
      <c r="BC180" s="16"/>
      <c r="BD180" s="16"/>
      <c r="BE180" s="78">
        <v>2007</v>
      </c>
      <c r="BF180" s="79" t="s">
        <v>42</v>
      </c>
      <c r="BG180" s="15">
        <f t="shared" si="91"/>
        <v>0.51888341543513961</v>
      </c>
      <c r="BH180" s="15">
        <f t="shared" si="92"/>
        <v>0.65970772442588721</v>
      </c>
      <c r="BI180" s="15">
        <f t="shared" si="93"/>
        <v>0.78653530377668313</v>
      </c>
      <c r="BJ180" s="16"/>
      <c r="BK180" s="16"/>
      <c r="BL180" s="16">
        <v>609</v>
      </c>
      <c r="BM180" s="16">
        <f t="shared" si="133"/>
        <v>130</v>
      </c>
      <c r="BN180" s="16">
        <v>479</v>
      </c>
      <c r="BO180" s="16">
        <v>316</v>
      </c>
      <c r="BP180" s="16">
        <f t="shared" si="134"/>
        <v>163</v>
      </c>
      <c r="BQ180" s="16"/>
      <c r="BR180" s="16"/>
      <c r="BS180" s="78">
        <v>2007</v>
      </c>
      <c r="BT180" s="79" t="s">
        <v>42</v>
      </c>
      <c r="BU180" s="15">
        <f t="shared" si="96"/>
        <v>4.807692307692308E-2</v>
      </c>
      <c r="BV180" s="15">
        <f t="shared" si="97"/>
        <v>6.1004223369310183E-2</v>
      </c>
      <c r="BW180" s="15">
        <f t="shared" si="98"/>
        <v>0.78809171597633132</v>
      </c>
      <c r="BX180" s="16"/>
      <c r="BY180" s="16"/>
      <c r="BZ180" s="16">
        <v>2704</v>
      </c>
      <c r="CA180" s="16">
        <f t="shared" si="135"/>
        <v>573</v>
      </c>
      <c r="CB180" s="16">
        <v>2131</v>
      </c>
      <c r="CC180" s="16">
        <v>130</v>
      </c>
      <c r="CD180" s="16">
        <f t="shared" si="136"/>
        <v>2001</v>
      </c>
      <c r="CE180" s="16"/>
      <c r="CF180" s="16"/>
      <c r="CG180" s="78">
        <v>2007</v>
      </c>
      <c r="CH180" s="79" t="s">
        <v>42</v>
      </c>
      <c r="CI180" s="15">
        <f t="shared" si="101"/>
        <v>0.57174071376547708</v>
      </c>
      <c r="CJ180" s="15">
        <f t="shared" si="102"/>
        <v>0.61884115096570758</v>
      </c>
      <c r="CK180" s="15">
        <f t="shared" si="103"/>
        <v>0.9238892935178441</v>
      </c>
      <c r="CL180" s="16"/>
      <c r="CM180" s="16"/>
      <c r="CN180" s="16">
        <v>2746</v>
      </c>
      <c r="CO180" s="16">
        <f t="shared" si="137"/>
        <v>209</v>
      </c>
      <c r="CP180" s="16">
        <v>2537</v>
      </c>
      <c r="CQ180" s="16">
        <v>1570</v>
      </c>
      <c r="CR180" s="16">
        <f t="shared" si="138"/>
        <v>967</v>
      </c>
      <c r="CS180" s="16"/>
      <c r="CT180" s="16"/>
      <c r="CU180" s="78">
        <v>2007</v>
      </c>
      <c r="CV180" s="79" t="s">
        <v>42</v>
      </c>
      <c r="CW180" s="15">
        <f t="shared" si="58"/>
        <v>0.88792528352234823</v>
      </c>
      <c r="CX180" s="15">
        <f t="shared" si="59"/>
        <v>0.92752613240418114</v>
      </c>
      <c r="CY180" s="15">
        <f t="shared" si="60"/>
        <v>0.95730486991327557</v>
      </c>
      <c r="CZ180" s="16"/>
      <c r="DA180" s="16"/>
      <c r="DB180" s="16">
        <v>1499</v>
      </c>
      <c r="DC180" s="16">
        <f t="shared" si="61"/>
        <v>64</v>
      </c>
      <c r="DD180" s="16">
        <v>1435</v>
      </c>
      <c r="DE180" s="16">
        <v>1331</v>
      </c>
      <c r="DF180" s="16">
        <f t="shared" si="62"/>
        <v>104</v>
      </c>
      <c r="DG180" s="16"/>
      <c r="DH180" s="16"/>
      <c r="DI180" s="78">
        <v>2007</v>
      </c>
      <c r="DJ180" s="79" t="s">
        <v>42</v>
      </c>
      <c r="DK180" s="15">
        <f t="shared" si="106"/>
        <v>0.87040816326530612</v>
      </c>
      <c r="DL180" s="15">
        <f t="shared" si="107"/>
        <v>0.88854166666666667</v>
      </c>
      <c r="DM180" s="15">
        <f t="shared" si="108"/>
        <v>0.97959183673469385</v>
      </c>
      <c r="DN180" s="16"/>
      <c r="DO180" s="16"/>
      <c r="DP180" s="16">
        <v>980</v>
      </c>
      <c r="DQ180" s="16">
        <f t="shared" si="139"/>
        <v>20</v>
      </c>
      <c r="DR180" s="16">
        <v>960</v>
      </c>
      <c r="DS180" s="16">
        <v>853</v>
      </c>
      <c r="DT180" s="16">
        <f t="shared" si="140"/>
        <v>107</v>
      </c>
      <c r="DU180" s="16"/>
      <c r="DV180" s="16"/>
      <c r="DW180" s="78">
        <v>2007</v>
      </c>
      <c r="DX180" s="79" t="s">
        <v>42</v>
      </c>
      <c r="DY180" s="15">
        <f t="shared" si="111"/>
        <v>0.83224755700325737</v>
      </c>
      <c r="DZ180" s="15">
        <f t="shared" si="112"/>
        <v>0.87876182287188309</v>
      </c>
      <c r="EA180" s="15">
        <f t="shared" si="113"/>
        <v>0.94706840390879476</v>
      </c>
      <c r="EB180" s="16"/>
      <c r="EC180" s="16"/>
      <c r="ED180" s="16">
        <v>1228</v>
      </c>
      <c r="EE180" s="16">
        <f t="shared" si="141"/>
        <v>65</v>
      </c>
      <c r="EF180" s="16">
        <v>1163</v>
      </c>
      <c r="EG180" s="16">
        <v>1022</v>
      </c>
      <c r="EH180" s="16">
        <f t="shared" si="142"/>
        <v>141</v>
      </c>
      <c r="EI180" s="16"/>
      <c r="EJ180" s="16"/>
      <c r="EK180" s="78"/>
      <c r="EL180" s="79"/>
      <c r="EM180" s="15"/>
      <c r="EN180" s="15"/>
      <c r="EO180" s="15"/>
      <c r="EP180" s="16"/>
      <c r="EQ180" s="16"/>
      <c r="ER180" s="16"/>
      <c r="ES180" s="16"/>
      <c r="ET180" s="16"/>
      <c r="EU180" s="16"/>
      <c r="EV180" s="16"/>
      <c r="EW180" s="16"/>
      <c r="EX180" s="16"/>
      <c r="EY180" s="78"/>
      <c r="EZ180" s="79"/>
      <c r="FA180" s="15"/>
      <c r="FB180" s="15"/>
      <c r="FC180" s="15"/>
      <c r="FD180" s="16"/>
      <c r="FE180" s="16"/>
      <c r="FF180" s="16"/>
      <c r="FG180" s="16"/>
      <c r="FH180" s="16"/>
      <c r="FI180" s="16"/>
      <c r="FJ180" s="16"/>
      <c r="FK180" s="16"/>
      <c r="FM180" s="78"/>
      <c r="FN180" s="79"/>
      <c r="FO180" s="15"/>
      <c r="FP180" s="15"/>
      <c r="FQ180" s="15"/>
      <c r="FR180" s="16"/>
      <c r="FS180" s="16"/>
      <c r="FT180" s="16"/>
      <c r="FU180" s="16"/>
      <c r="FV180" s="16"/>
      <c r="FW180" s="16"/>
      <c r="FX180" s="16"/>
      <c r="FY180" s="16"/>
      <c r="GA180" s="78"/>
      <c r="GB180" s="79"/>
      <c r="GC180" s="15"/>
      <c r="GD180" s="15"/>
      <c r="GE180" s="15"/>
      <c r="GF180" s="16"/>
      <c r="GG180" s="16"/>
      <c r="GH180" s="16"/>
      <c r="GI180" s="16"/>
      <c r="GJ180" s="16"/>
      <c r="GK180" s="16"/>
      <c r="GL180" s="16"/>
      <c r="GM180" s="16"/>
    </row>
    <row r="181" spans="1:195" s="18" customFormat="1" ht="15" customHeight="1">
      <c r="A181" s="80">
        <v>2007</v>
      </c>
      <c r="B181" s="81" t="s">
        <v>43</v>
      </c>
      <c r="C181" s="15">
        <f t="shared" si="73"/>
        <v>0.64654026101945339</v>
      </c>
      <c r="D181" s="15">
        <f t="shared" si="74"/>
        <v>0.6938322498810845</v>
      </c>
      <c r="E181" s="15">
        <f t="shared" si="75"/>
        <v>0.93183944841172128</v>
      </c>
      <c r="F181" s="16"/>
      <c r="G181" s="33"/>
      <c r="H18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81" s="16">
        <f t="shared" si="76"/>
        <v>1384</v>
      </c>
      <c r="J18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18921</v>
      </c>
      <c r="K18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13128</v>
      </c>
      <c r="L181" s="16">
        <f t="shared" si="77"/>
        <v>5793</v>
      </c>
      <c r="M181" s="16"/>
      <c r="N181" s="16"/>
      <c r="O181" s="80">
        <v>2007</v>
      </c>
      <c r="P181" s="81" t="s">
        <v>43</v>
      </c>
      <c r="Q181" s="15">
        <f t="shared" si="78"/>
        <v>0.71229523630201463</v>
      </c>
      <c r="R181" s="15">
        <f t="shared" si="79"/>
        <v>0.73987874046548019</v>
      </c>
      <c r="S181" s="15">
        <f t="shared" si="80"/>
        <v>0.96271888533232908</v>
      </c>
      <c r="T181" s="26"/>
      <c r="U181" s="26"/>
      <c r="V181" s="16">
        <v>5311</v>
      </c>
      <c r="W181" s="16">
        <f t="shared" si="129"/>
        <v>198</v>
      </c>
      <c r="X181" s="16">
        <v>5113</v>
      </c>
      <c r="Y181" s="16">
        <v>3783</v>
      </c>
      <c r="Z181" s="16">
        <f t="shared" si="130"/>
        <v>1330</v>
      </c>
      <c r="AA181" s="16"/>
      <c r="AB181" s="16"/>
      <c r="AC181" s="80"/>
      <c r="AD181" s="81"/>
      <c r="AE181" s="15"/>
      <c r="AF181" s="15"/>
      <c r="AG181" s="15"/>
      <c r="AH181" s="15"/>
      <c r="AI181" s="15"/>
      <c r="AJ181" s="16"/>
      <c r="AK181" s="16"/>
      <c r="AL181" s="16"/>
      <c r="AM181" s="16"/>
      <c r="AN181" s="16"/>
      <c r="AO181" s="16"/>
      <c r="AP181" s="16"/>
      <c r="AQ181" s="80">
        <v>2007</v>
      </c>
      <c r="AR181" s="81" t="s">
        <v>43</v>
      </c>
      <c r="AS181" s="15">
        <f t="shared" si="86"/>
        <v>0.71648780487804875</v>
      </c>
      <c r="AT181" s="15">
        <f t="shared" si="87"/>
        <v>0.75867768595041318</v>
      </c>
      <c r="AU181" s="15">
        <f t="shared" si="88"/>
        <v>0.94439024390243897</v>
      </c>
      <c r="AV181" s="16"/>
      <c r="AW181" s="16"/>
      <c r="AX181" s="16">
        <v>5125</v>
      </c>
      <c r="AY181" s="16">
        <f t="shared" si="131"/>
        <v>285</v>
      </c>
      <c r="AZ181" s="16">
        <v>4840</v>
      </c>
      <c r="BA181" s="16">
        <v>3672</v>
      </c>
      <c r="BB181" s="16">
        <f t="shared" si="132"/>
        <v>1168</v>
      </c>
      <c r="BC181" s="16"/>
      <c r="BD181" s="16"/>
      <c r="BE181" s="80">
        <v>2007</v>
      </c>
      <c r="BF181" s="81" t="s">
        <v>43</v>
      </c>
      <c r="BG181" s="15">
        <f t="shared" si="91"/>
        <v>0.47021943573667713</v>
      </c>
      <c r="BH181" s="15">
        <f t="shared" si="92"/>
        <v>0.62893081761006286</v>
      </c>
      <c r="BI181" s="15">
        <f t="shared" si="93"/>
        <v>0.74764890282131657</v>
      </c>
      <c r="BJ181" s="16"/>
      <c r="BK181" s="16"/>
      <c r="BL181" s="16">
        <v>638</v>
      </c>
      <c r="BM181" s="16">
        <f t="shared" si="133"/>
        <v>161</v>
      </c>
      <c r="BN181" s="16">
        <v>477</v>
      </c>
      <c r="BO181" s="16">
        <v>300</v>
      </c>
      <c r="BP181" s="16">
        <f t="shared" si="134"/>
        <v>177</v>
      </c>
      <c r="BQ181" s="16"/>
      <c r="BR181" s="16"/>
      <c r="BS181" s="80">
        <v>2007</v>
      </c>
      <c r="BT181" s="81" t="s">
        <v>43</v>
      </c>
      <c r="BU181" s="15">
        <f t="shared" si="96"/>
        <v>7.2055596196049745E-2</v>
      </c>
      <c r="BV181" s="15">
        <f t="shared" si="97"/>
        <v>8.8979223125564583E-2</v>
      </c>
      <c r="BW181" s="15">
        <f t="shared" si="98"/>
        <v>0.80980248719824433</v>
      </c>
      <c r="BX181" s="16"/>
      <c r="BY181" s="16"/>
      <c r="BZ181" s="16">
        <v>2734</v>
      </c>
      <c r="CA181" s="16">
        <f t="shared" si="135"/>
        <v>520</v>
      </c>
      <c r="CB181" s="16">
        <v>2214</v>
      </c>
      <c r="CC181" s="16">
        <v>197</v>
      </c>
      <c r="CD181" s="16">
        <f t="shared" si="136"/>
        <v>2017</v>
      </c>
      <c r="CE181" s="16"/>
      <c r="CF181" s="16"/>
      <c r="CG181" s="80">
        <v>2007</v>
      </c>
      <c r="CH181" s="81" t="s">
        <v>43</v>
      </c>
      <c r="CI181" s="15">
        <f t="shared" si="101"/>
        <v>0.66257668711656437</v>
      </c>
      <c r="CJ181" s="15">
        <f t="shared" si="102"/>
        <v>0.69519121544869367</v>
      </c>
      <c r="CK181" s="15">
        <f t="shared" si="103"/>
        <v>0.95308552869000362</v>
      </c>
      <c r="CL181" s="16"/>
      <c r="CM181" s="16"/>
      <c r="CN181" s="16">
        <v>2771</v>
      </c>
      <c r="CO181" s="16">
        <f t="shared" si="137"/>
        <v>130</v>
      </c>
      <c r="CP181" s="16">
        <v>2641</v>
      </c>
      <c r="CQ181" s="16">
        <v>1836</v>
      </c>
      <c r="CR181" s="16">
        <f t="shared" si="138"/>
        <v>805</v>
      </c>
      <c r="CS181" s="16"/>
      <c r="CT181" s="16"/>
      <c r="CU181" s="80">
        <v>2007</v>
      </c>
      <c r="CV181" s="81" t="s">
        <v>43</v>
      </c>
      <c r="CW181" s="15">
        <f t="shared" si="58"/>
        <v>0.91413474240422721</v>
      </c>
      <c r="CX181" s="15">
        <f t="shared" si="59"/>
        <v>0.93387314439946023</v>
      </c>
      <c r="CY181" s="15">
        <f t="shared" si="60"/>
        <v>0.97886393659180981</v>
      </c>
      <c r="CZ181" s="16"/>
      <c r="DA181" s="16"/>
      <c r="DB181" s="16">
        <v>1514</v>
      </c>
      <c r="DC181" s="16">
        <f t="shared" si="61"/>
        <v>32</v>
      </c>
      <c r="DD181" s="16">
        <v>1482</v>
      </c>
      <c r="DE181" s="16">
        <v>1384</v>
      </c>
      <c r="DF181" s="16">
        <f t="shared" si="62"/>
        <v>98</v>
      </c>
      <c r="DG181" s="16"/>
      <c r="DH181" s="16"/>
      <c r="DI181" s="80">
        <v>2007</v>
      </c>
      <c r="DJ181" s="81" t="s">
        <v>43</v>
      </c>
      <c r="DK181" s="15">
        <f t="shared" si="106"/>
        <v>0.93890020366598781</v>
      </c>
      <c r="DL181" s="15">
        <f t="shared" si="107"/>
        <v>0.95346432264736303</v>
      </c>
      <c r="DM181" s="15">
        <f t="shared" si="108"/>
        <v>0.98472505091649698</v>
      </c>
      <c r="DN181" s="16"/>
      <c r="DO181" s="16"/>
      <c r="DP181" s="16">
        <v>982</v>
      </c>
      <c r="DQ181" s="16">
        <f t="shared" si="139"/>
        <v>15</v>
      </c>
      <c r="DR181" s="16">
        <v>967</v>
      </c>
      <c r="DS181" s="16">
        <v>922</v>
      </c>
      <c r="DT181" s="16">
        <f t="shared" si="140"/>
        <v>45</v>
      </c>
      <c r="DU181" s="16"/>
      <c r="DV181" s="16"/>
      <c r="DW181" s="80">
        <v>2007</v>
      </c>
      <c r="DX181" s="81" t="s">
        <v>43</v>
      </c>
      <c r="DY181" s="15">
        <f t="shared" si="111"/>
        <v>0.84065040650406508</v>
      </c>
      <c r="DZ181" s="15">
        <f t="shared" si="112"/>
        <v>0.87110362257792751</v>
      </c>
      <c r="EA181" s="15">
        <f t="shared" si="113"/>
        <v>0.96504065040650411</v>
      </c>
      <c r="EB181" s="16"/>
      <c r="EC181" s="16"/>
      <c r="ED181" s="16">
        <v>1230</v>
      </c>
      <c r="EE181" s="16">
        <f t="shared" si="141"/>
        <v>43</v>
      </c>
      <c r="EF181" s="16">
        <v>1187</v>
      </c>
      <c r="EG181" s="16">
        <v>1034</v>
      </c>
      <c r="EH181" s="16">
        <f t="shared" si="142"/>
        <v>153</v>
      </c>
      <c r="EI181" s="16"/>
      <c r="EJ181" s="16"/>
      <c r="EK181" s="80"/>
      <c r="EL181" s="81"/>
      <c r="EM181" s="15"/>
      <c r="EN181" s="15"/>
      <c r="EO181" s="15"/>
      <c r="EP181" s="16"/>
      <c r="EQ181" s="16"/>
      <c r="ER181" s="16"/>
      <c r="ES181" s="16"/>
      <c r="ET181" s="16"/>
      <c r="EU181" s="16"/>
      <c r="EV181" s="16"/>
      <c r="EW181" s="16"/>
      <c r="EX181" s="16"/>
      <c r="EY181" s="80"/>
      <c r="EZ181" s="81"/>
      <c r="FA181" s="15"/>
      <c r="FB181" s="15"/>
      <c r="FC181" s="15"/>
      <c r="FD181" s="16"/>
      <c r="FE181" s="16"/>
      <c r="FF181" s="16"/>
      <c r="FG181" s="16"/>
      <c r="FH181" s="16"/>
      <c r="FI181" s="16"/>
      <c r="FJ181" s="16"/>
      <c r="FK181" s="16"/>
      <c r="FM181" s="80"/>
      <c r="FN181" s="81"/>
      <c r="FO181" s="15"/>
      <c r="FP181" s="15"/>
      <c r="FQ181" s="15"/>
      <c r="FR181" s="16"/>
      <c r="FS181" s="16"/>
      <c r="FT181" s="16"/>
      <c r="FU181" s="16"/>
      <c r="FV181" s="16"/>
      <c r="FW181" s="16"/>
      <c r="FX181" s="16"/>
      <c r="FY181" s="16"/>
      <c r="GA181" s="80"/>
      <c r="GB181" s="81"/>
      <c r="GC181" s="15"/>
      <c r="GD181" s="15"/>
      <c r="GE181" s="15"/>
      <c r="GF181" s="16"/>
      <c r="GG181" s="16"/>
      <c r="GH181" s="16"/>
      <c r="GI181" s="16"/>
      <c r="GJ181" s="16"/>
      <c r="GK181" s="16"/>
      <c r="GL181" s="16"/>
      <c r="GM181" s="16"/>
    </row>
    <row r="182" spans="1:195" s="18" customFormat="1" ht="15" customHeight="1">
      <c r="A182" s="78">
        <v>2007</v>
      </c>
      <c r="B182" s="79" t="s">
        <v>44</v>
      </c>
      <c r="C182" s="15">
        <f t="shared" si="73"/>
        <v>0.58594678377680187</v>
      </c>
      <c r="D182" s="15">
        <f t="shared" si="74"/>
        <v>0.64617400717907814</v>
      </c>
      <c r="E182" s="15">
        <f t="shared" si="75"/>
        <v>0.90679411004908295</v>
      </c>
      <c r="F182" s="16"/>
      <c r="G182" s="33"/>
      <c r="H18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19355</v>
      </c>
      <c r="I182" s="16">
        <f t="shared" si="76"/>
        <v>1804</v>
      </c>
      <c r="J18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17551</v>
      </c>
      <c r="K18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11341</v>
      </c>
      <c r="L182" s="16">
        <f t="shared" si="77"/>
        <v>6210</v>
      </c>
      <c r="M182" s="16"/>
      <c r="N182" s="16"/>
      <c r="O182" s="78">
        <v>2007</v>
      </c>
      <c r="P182" s="79" t="s">
        <v>44</v>
      </c>
      <c r="Q182" s="15">
        <f t="shared" si="78"/>
        <v>0.62244094488188972</v>
      </c>
      <c r="R182" s="15">
        <f t="shared" si="79"/>
        <v>0.67105263157894735</v>
      </c>
      <c r="S182" s="15">
        <f t="shared" si="80"/>
        <v>0.92755905511811021</v>
      </c>
      <c r="T182" s="26"/>
      <c r="U182" s="26"/>
      <c r="V182" s="16">
        <v>5080</v>
      </c>
      <c r="W182" s="16">
        <f t="shared" si="129"/>
        <v>368</v>
      </c>
      <c r="X182" s="16">
        <v>4712</v>
      </c>
      <c r="Y182" s="16">
        <v>3162</v>
      </c>
      <c r="Z182" s="16">
        <f t="shared" si="130"/>
        <v>1550</v>
      </c>
      <c r="AA182" s="16"/>
      <c r="AB182" s="16"/>
      <c r="AC182" s="78"/>
      <c r="AD182" s="79"/>
      <c r="AE182" s="15"/>
      <c r="AF182" s="15"/>
      <c r="AG182" s="15"/>
      <c r="AH182" s="15"/>
      <c r="AI182" s="15"/>
      <c r="AJ182" s="16"/>
      <c r="AK182" s="16"/>
      <c r="AL182" s="16"/>
      <c r="AM182" s="16"/>
      <c r="AN182" s="16"/>
      <c r="AO182" s="16"/>
      <c r="AP182" s="16"/>
      <c r="AQ182" s="78">
        <v>2007</v>
      </c>
      <c r="AR182" s="79" t="s">
        <v>44</v>
      </c>
      <c r="AS182" s="15">
        <f t="shared" si="86"/>
        <v>0.66391752577319585</v>
      </c>
      <c r="AT182" s="15">
        <f t="shared" si="87"/>
        <v>0.72294566681634487</v>
      </c>
      <c r="AU182" s="15">
        <f t="shared" si="88"/>
        <v>0.91835051546391755</v>
      </c>
      <c r="AV182" s="16"/>
      <c r="AW182" s="16"/>
      <c r="AX182" s="16">
        <v>4850</v>
      </c>
      <c r="AY182" s="16">
        <f t="shared" si="131"/>
        <v>396</v>
      </c>
      <c r="AZ182" s="16">
        <v>4454</v>
      </c>
      <c r="BA182" s="16">
        <v>3220</v>
      </c>
      <c r="BB182" s="16">
        <f t="shared" si="132"/>
        <v>1234</v>
      </c>
      <c r="BC182" s="16"/>
      <c r="BD182" s="16"/>
      <c r="BE182" s="78">
        <v>2007</v>
      </c>
      <c r="BF182" s="79" t="s">
        <v>44</v>
      </c>
      <c r="BG182" s="15">
        <f t="shared" si="91"/>
        <v>0.42931034482758623</v>
      </c>
      <c r="BH182" s="15">
        <f t="shared" si="92"/>
        <v>0.58041958041958042</v>
      </c>
      <c r="BI182" s="15">
        <f t="shared" si="93"/>
        <v>0.73965517241379308</v>
      </c>
      <c r="BJ182" s="16"/>
      <c r="BK182" s="16"/>
      <c r="BL182" s="16">
        <v>580</v>
      </c>
      <c r="BM182" s="16">
        <f t="shared" si="133"/>
        <v>151</v>
      </c>
      <c r="BN182" s="16">
        <v>429</v>
      </c>
      <c r="BO182" s="16">
        <v>249</v>
      </c>
      <c r="BP182" s="16">
        <f t="shared" si="134"/>
        <v>180</v>
      </c>
      <c r="BQ182" s="16"/>
      <c r="BR182" s="16"/>
      <c r="BS182" s="78">
        <v>2007</v>
      </c>
      <c r="BT182" s="79" t="s">
        <v>44</v>
      </c>
      <c r="BU182" s="15">
        <f t="shared" si="96"/>
        <v>6.845124282982791E-2</v>
      </c>
      <c r="BV182" s="15">
        <f t="shared" si="97"/>
        <v>8.4553613604156821E-2</v>
      </c>
      <c r="BW182" s="15">
        <f t="shared" si="98"/>
        <v>0.80956022944550665</v>
      </c>
      <c r="BX182" s="16"/>
      <c r="BY182" s="16"/>
      <c r="BZ182" s="16">
        <v>2615</v>
      </c>
      <c r="CA182" s="16">
        <f t="shared" si="135"/>
        <v>498</v>
      </c>
      <c r="CB182" s="16">
        <v>2117</v>
      </c>
      <c r="CC182" s="16">
        <v>179</v>
      </c>
      <c r="CD182" s="16">
        <f t="shared" si="136"/>
        <v>1938</v>
      </c>
      <c r="CE182" s="16"/>
      <c r="CF182" s="16"/>
      <c r="CG182" s="78">
        <v>2007</v>
      </c>
      <c r="CH182" s="79" t="s">
        <v>44</v>
      </c>
      <c r="CI182" s="15">
        <f t="shared" si="101"/>
        <v>0.5939736346516008</v>
      </c>
      <c r="CJ182" s="15">
        <f t="shared" si="102"/>
        <v>0.63691437802907913</v>
      </c>
      <c r="CK182" s="15">
        <f t="shared" si="103"/>
        <v>0.93258003766478348</v>
      </c>
      <c r="CL182" s="16"/>
      <c r="CM182" s="16"/>
      <c r="CN182" s="16">
        <v>2655</v>
      </c>
      <c r="CO182" s="16">
        <f t="shared" si="137"/>
        <v>179</v>
      </c>
      <c r="CP182" s="16">
        <v>2476</v>
      </c>
      <c r="CQ182" s="16">
        <v>1577</v>
      </c>
      <c r="CR182" s="16">
        <f t="shared" si="138"/>
        <v>899</v>
      </c>
      <c r="CS182" s="16"/>
      <c r="CT182" s="16"/>
      <c r="CU182" s="78">
        <v>2007</v>
      </c>
      <c r="CV182" s="79" t="s">
        <v>44</v>
      </c>
      <c r="CW182" s="15">
        <f t="shared" si="58"/>
        <v>0.85574912891986066</v>
      </c>
      <c r="CX182" s="15">
        <f t="shared" si="59"/>
        <v>0.91369047619047616</v>
      </c>
      <c r="CY182" s="15">
        <f t="shared" si="60"/>
        <v>0.93658536585365859</v>
      </c>
      <c r="CZ182" s="16"/>
      <c r="DA182" s="16"/>
      <c r="DB182" s="16">
        <v>1435</v>
      </c>
      <c r="DC182" s="16">
        <f t="shared" si="61"/>
        <v>91</v>
      </c>
      <c r="DD182" s="16">
        <v>1344</v>
      </c>
      <c r="DE182" s="16">
        <v>1228</v>
      </c>
      <c r="DF182" s="16">
        <f t="shared" si="62"/>
        <v>116</v>
      </c>
      <c r="DG182" s="16"/>
      <c r="DH182" s="16"/>
      <c r="DI182" s="78">
        <v>2007</v>
      </c>
      <c r="DJ182" s="79" t="s">
        <v>44</v>
      </c>
      <c r="DK182" s="15">
        <f t="shared" si="106"/>
        <v>0.88315789473684214</v>
      </c>
      <c r="DL182" s="15">
        <f t="shared" si="107"/>
        <v>0.93015521064301554</v>
      </c>
      <c r="DM182" s="15">
        <f t="shared" si="108"/>
        <v>0.94947368421052636</v>
      </c>
      <c r="DN182" s="16"/>
      <c r="DO182" s="16"/>
      <c r="DP182" s="16">
        <v>950</v>
      </c>
      <c r="DQ182" s="16">
        <f t="shared" si="139"/>
        <v>48</v>
      </c>
      <c r="DR182" s="16">
        <v>902</v>
      </c>
      <c r="DS182" s="16">
        <v>839</v>
      </c>
      <c r="DT182" s="16">
        <f t="shared" si="140"/>
        <v>63</v>
      </c>
      <c r="DU182" s="16"/>
      <c r="DV182" s="16"/>
      <c r="DW182" s="78">
        <v>2007</v>
      </c>
      <c r="DX182" s="79" t="s">
        <v>44</v>
      </c>
      <c r="DY182" s="15">
        <f t="shared" si="111"/>
        <v>0.74537815126050422</v>
      </c>
      <c r="DZ182" s="15">
        <f t="shared" si="112"/>
        <v>0.79409131602506711</v>
      </c>
      <c r="EA182" s="15">
        <f t="shared" si="113"/>
        <v>0.93865546218487395</v>
      </c>
      <c r="EB182" s="16"/>
      <c r="EC182" s="16"/>
      <c r="ED182" s="16">
        <v>1190</v>
      </c>
      <c r="EE182" s="16">
        <f t="shared" si="141"/>
        <v>73</v>
      </c>
      <c r="EF182" s="16">
        <v>1117</v>
      </c>
      <c r="EG182" s="16">
        <v>887</v>
      </c>
      <c r="EH182" s="16">
        <f t="shared" si="142"/>
        <v>230</v>
      </c>
      <c r="EI182" s="16"/>
      <c r="EJ182" s="16"/>
      <c r="EK182" s="78"/>
      <c r="EL182" s="79"/>
      <c r="EM182" s="15"/>
      <c r="EN182" s="15"/>
      <c r="EO182" s="15"/>
      <c r="EP182" s="16"/>
      <c r="EQ182" s="16"/>
      <c r="ER182" s="16"/>
      <c r="ES182" s="16"/>
      <c r="ET182" s="16"/>
      <c r="EU182" s="16"/>
      <c r="EV182" s="16"/>
      <c r="EW182" s="16"/>
      <c r="EX182" s="16"/>
      <c r="EY182" s="78"/>
      <c r="EZ182" s="79"/>
      <c r="FA182" s="15"/>
      <c r="FB182" s="15"/>
      <c r="FC182" s="15"/>
      <c r="FD182" s="16"/>
      <c r="FE182" s="16"/>
      <c r="FF182" s="16"/>
      <c r="FG182" s="16"/>
      <c r="FH182" s="16"/>
      <c r="FI182" s="16"/>
      <c r="FJ182" s="16"/>
      <c r="FK182" s="16"/>
      <c r="FM182" s="78"/>
      <c r="FN182" s="79"/>
      <c r="FO182" s="15"/>
      <c r="FP182" s="15"/>
      <c r="FQ182" s="15"/>
      <c r="FR182" s="16"/>
      <c r="FS182" s="16"/>
      <c r="FT182" s="16"/>
      <c r="FU182" s="16"/>
      <c r="FV182" s="16"/>
      <c r="FW182" s="16"/>
      <c r="FX182" s="16"/>
      <c r="FY182" s="16"/>
      <c r="GA182" s="78"/>
      <c r="GB182" s="79"/>
      <c r="GC182" s="15"/>
      <c r="GD182" s="15"/>
      <c r="GE182" s="15"/>
      <c r="GF182" s="16"/>
      <c r="GG182" s="16"/>
      <c r="GH182" s="16"/>
      <c r="GI182" s="16"/>
      <c r="GJ182" s="16"/>
      <c r="GK182" s="16"/>
      <c r="GL182" s="16"/>
      <c r="GM182" s="16"/>
    </row>
    <row r="183" spans="1:195" s="18" customFormat="1" ht="15" customHeight="1">
      <c r="A183" s="80">
        <v>2007</v>
      </c>
      <c r="B183" s="81" t="s">
        <v>45</v>
      </c>
      <c r="C183" s="15">
        <f t="shared" si="73"/>
        <v>0.67653508771929827</v>
      </c>
      <c r="D183" s="15">
        <f t="shared" si="74"/>
        <v>0.73695640371355664</v>
      </c>
      <c r="E183" s="15">
        <f t="shared" si="75"/>
        <v>0.91801236044657097</v>
      </c>
      <c r="F183" s="16"/>
      <c r="G183" s="33"/>
      <c r="H18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20064</v>
      </c>
      <c r="I183" s="16">
        <f t="shared" si="76"/>
        <v>1645</v>
      </c>
      <c r="J18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18419</v>
      </c>
      <c r="K18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13574</v>
      </c>
      <c r="L183" s="16">
        <f t="shared" si="77"/>
        <v>4845</v>
      </c>
      <c r="M183" s="16"/>
      <c r="N183" s="16"/>
      <c r="O183" s="80">
        <v>2007</v>
      </c>
      <c r="P183" s="81" t="s">
        <v>45</v>
      </c>
      <c r="Q183" s="15">
        <f t="shared" si="78"/>
        <v>0.68842897460018815</v>
      </c>
      <c r="R183" s="15">
        <f t="shared" si="79"/>
        <v>0.73370763986364551</v>
      </c>
      <c r="S183" s="15">
        <f t="shared" si="80"/>
        <v>0.93828786453433677</v>
      </c>
      <c r="T183" s="26"/>
      <c r="U183" s="26"/>
      <c r="V183" s="16">
        <v>5315</v>
      </c>
      <c r="W183" s="16">
        <f t="shared" si="129"/>
        <v>328</v>
      </c>
      <c r="X183" s="16">
        <v>4987</v>
      </c>
      <c r="Y183" s="16">
        <v>3659</v>
      </c>
      <c r="Z183" s="16">
        <f t="shared" si="130"/>
        <v>1328</v>
      </c>
      <c r="AA183" s="16"/>
      <c r="AB183" s="16"/>
      <c r="AC183" s="80"/>
      <c r="AD183" s="81"/>
      <c r="AE183" s="15"/>
      <c r="AF183" s="15"/>
      <c r="AG183" s="15"/>
      <c r="AH183" s="15"/>
      <c r="AI183" s="15"/>
      <c r="AJ183" s="16"/>
      <c r="AK183" s="16"/>
      <c r="AL183" s="16"/>
      <c r="AM183" s="16"/>
      <c r="AN183" s="16"/>
      <c r="AO183" s="16"/>
      <c r="AP183" s="16"/>
      <c r="AQ183" s="80">
        <v>2007</v>
      </c>
      <c r="AR183" s="81" t="s">
        <v>45</v>
      </c>
      <c r="AS183" s="15">
        <f t="shared" si="86"/>
        <v>0.71770051363097587</v>
      </c>
      <c r="AT183" s="15">
        <f t="shared" si="87"/>
        <v>0.77330779054916987</v>
      </c>
      <c r="AU183" s="15">
        <f t="shared" si="88"/>
        <v>0.92809166337416038</v>
      </c>
      <c r="AV183" s="16"/>
      <c r="AW183" s="16"/>
      <c r="AX183" s="16">
        <v>5062</v>
      </c>
      <c r="AY183" s="16">
        <f t="shared" si="131"/>
        <v>364</v>
      </c>
      <c r="AZ183" s="16">
        <v>4698</v>
      </c>
      <c r="BA183" s="16">
        <v>3633</v>
      </c>
      <c r="BB183" s="16">
        <f t="shared" si="132"/>
        <v>1065</v>
      </c>
      <c r="BC183" s="16"/>
      <c r="BD183" s="16"/>
      <c r="BE183" s="80">
        <v>2007</v>
      </c>
      <c r="BF183" s="81" t="s">
        <v>45</v>
      </c>
      <c r="BG183" s="15">
        <f t="shared" si="91"/>
        <v>0.58463949843260188</v>
      </c>
      <c r="BH183" s="15">
        <f t="shared" si="92"/>
        <v>0.76591375770020531</v>
      </c>
      <c r="BI183" s="15">
        <f t="shared" si="93"/>
        <v>0.76332288401253923</v>
      </c>
      <c r="BJ183" s="16"/>
      <c r="BK183" s="16"/>
      <c r="BL183" s="16">
        <v>638</v>
      </c>
      <c r="BM183" s="16">
        <f t="shared" si="133"/>
        <v>151</v>
      </c>
      <c r="BN183" s="16">
        <v>487</v>
      </c>
      <c r="BO183" s="16">
        <v>373</v>
      </c>
      <c r="BP183" s="16">
        <f t="shared" si="134"/>
        <v>114</v>
      </c>
      <c r="BQ183" s="16"/>
      <c r="BR183" s="16"/>
      <c r="BS183" s="80">
        <v>2007</v>
      </c>
      <c r="BT183" s="81" t="s">
        <v>45</v>
      </c>
      <c r="BU183" s="15">
        <f t="shared" si="96"/>
        <v>0.46037037037037037</v>
      </c>
      <c r="BV183" s="15">
        <f t="shared" si="97"/>
        <v>0.52669491525423728</v>
      </c>
      <c r="BW183" s="15">
        <f t="shared" si="98"/>
        <v>0.87407407407407411</v>
      </c>
      <c r="BX183" s="16"/>
      <c r="BY183" s="16"/>
      <c r="BZ183" s="16">
        <v>2700</v>
      </c>
      <c r="CA183" s="16">
        <f t="shared" si="135"/>
        <v>340</v>
      </c>
      <c r="CB183" s="16">
        <v>2360</v>
      </c>
      <c r="CC183" s="16">
        <v>1243</v>
      </c>
      <c r="CD183" s="16">
        <f t="shared" si="136"/>
        <v>1117</v>
      </c>
      <c r="CE183" s="16"/>
      <c r="CF183" s="16"/>
      <c r="CG183" s="80">
        <v>2007</v>
      </c>
      <c r="CH183" s="81" t="s">
        <v>45</v>
      </c>
      <c r="CI183" s="15">
        <f t="shared" si="101"/>
        <v>0.61469600895188359</v>
      </c>
      <c r="CJ183" s="15">
        <f t="shared" si="102"/>
        <v>0.68099173553719006</v>
      </c>
      <c r="CK183" s="15">
        <f t="shared" si="103"/>
        <v>0.90264826557254751</v>
      </c>
      <c r="CL183" s="16"/>
      <c r="CM183" s="16"/>
      <c r="CN183" s="16">
        <v>2681</v>
      </c>
      <c r="CO183" s="16">
        <f t="shared" si="137"/>
        <v>261</v>
      </c>
      <c r="CP183" s="16">
        <v>2420</v>
      </c>
      <c r="CQ183" s="16">
        <v>1648</v>
      </c>
      <c r="CR183" s="16">
        <f t="shared" si="138"/>
        <v>772</v>
      </c>
      <c r="CS183" s="16"/>
      <c r="CT183" s="16"/>
      <c r="CU183" s="80">
        <v>2007</v>
      </c>
      <c r="CV183" s="81" t="s">
        <v>45</v>
      </c>
      <c r="CW183" s="15">
        <f t="shared" si="58"/>
        <v>0.83241758241758246</v>
      </c>
      <c r="CX183" s="15">
        <f t="shared" si="59"/>
        <v>0.89446494464944648</v>
      </c>
      <c r="CY183" s="15">
        <f t="shared" si="60"/>
        <v>0.93063186813186816</v>
      </c>
      <c r="CZ183" s="16"/>
      <c r="DA183" s="16"/>
      <c r="DB183" s="16">
        <v>1456</v>
      </c>
      <c r="DC183" s="16">
        <f t="shared" si="61"/>
        <v>101</v>
      </c>
      <c r="DD183" s="16">
        <v>1355</v>
      </c>
      <c r="DE183" s="16">
        <v>1212</v>
      </c>
      <c r="DF183" s="16">
        <f t="shared" si="62"/>
        <v>143</v>
      </c>
      <c r="DG183" s="16"/>
      <c r="DH183" s="16"/>
      <c r="DI183" s="80">
        <v>2007</v>
      </c>
      <c r="DJ183" s="81" t="s">
        <v>45</v>
      </c>
      <c r="DK183" s="15">
        <f t="shared" si="106"/>
        <v>0.88391038696537683</v>
      </c>
      <c r="DL183" s="15">
        <f t="shared" si="107"/>
        <v>0.9146469968387777</v>
      </c>
      <c r="DM183" s="15">
        <f t="shared" si="108"/>
        <v>0.96639511201629325</v>
      </c>
      <c r="DN183" s="16"/>
      <c r="DO183" s="16"/>
      <c r="DP183" s="16">
        <v>982</v>
      </c>
      <c r="DQ183" s="16">
        <f t="shared" si="139"/>
        <v>33</v>
      </c>
      <c r="DR183" s="16">
        <v>949</v>
      </c>
      <c r="DS183" s="16">
        <v>868</v>
      </c>
      <c r="DT183" s="16">
        <f t="shared" si="140"/>
        <v>81</v>
      </c>
      <c r="DU183" s="16"/>
      <c r="DV183" s="16"/>
      <c r="DW183" s="80">
        <v>2007</v>
      </c>
      <c r="DX183" s="81" t="s">
        <v>45</v>
      </c>
      <c r="DY183" s="15">
        <f t="shared" si="111"/>
        <v>0.76260162601626014</v>
      </c>
      <c r="DZ183" s="15">
        <f t="shared" si="112"/>
        <v>0.80653482373172825</v>
      </c>
      <c r="EA183" s="15">
        <f t="shared" si="113"/>
        <v>0.94552845528455287</v>
      </c>
      <c r="EB183" s="16"/>
      <c r="EC183" s="16"/>
      <c r="ED183" s="16">
        <v>1230</v>
      </c>
      <c r="EE183" s="16">
        <f t="shared" si="141"/>
        <v>67</v>
      </c>
      <c r="EF183" s="16">
        <v>1163</v>
      </c>
      <c r="EG183" s="16">
        <v>938</v>
      </c>
      <c r="EH183" s="16">
        <f t="shared" si="142"/>
        <v>225</v>
      </c>
      <c r="EI183" s="16"/>
      <c r="EJ183" s="16"/>
      <c r="EK183" s="80"/>
      <c r="EL183" s="81"/>
      <c r="EM183" s="15"/>
      <c r="EN183" s="15"/>
      <c r="EO183" s="15"/>
      <c r="EP183" s="16"/>
      <c r="EQ183" s="16"/>
      <c r="ER183" s="16"/>
      <c r="ES183" s="16"/>
      <c r="ET183" s="16"/>
      <c r="EU183" s="16"/>
      <c r="EV183" s="16"/>
      <c r="EW183" s="16"/>
      <c r="EX183" s="16"/>
      <c r="EY183" s="80"/>
      <c r="EZ183" s="81"/>
      <c r="FA183" s="15"/>
      <c r="FB183" s="15"/>
      <c r="FC183" s="15"/>
      <c r="FD183" s="16"/>
      <c r="FE183" s="16"/>
      <c r="FF183" s="16"/>
      <c r="FG183" s="16"/>
      <c r="FH183" s="16"/>
      <c r="FI183" s="16"/>
      <c r="FJ183" s="16"/>
      <c r="FK183" s="16"/>
      <c r="FM183" s="80"/>
      <c r="FN183" s="81"/>
      <c r="FO183" s="15"/>
      <c r="FP183" s="15"/>
      <c r="FQ183" s="15"/>
      <c r="FR183" s="16"/>
      <c r="FS183" s="16"/>
      <c r="FT183" s="16"/>
      <c r="FU183" s="16"/>
      <c r="FV183" s="16"/>
      <c r="FW183" s="16"/>
      <c r="FX183" s="16"/>
      <c r="FY183" s="16"/>
      <c r="GA183" s="80"/>
      <c r="GB183" s="81"/>
      <c r="GC183" s="15"/>
      <c r="GD183" s="15"/>
      <c r="GE183" s="15"/>
      <c r="GF183" s="16"/>
      <c r="GG183" s="16"/>
      <c r="GH183" s="16"/>
      <c r="GI183" s="16"/>
      <c r="GJ183" s="16"/>
      <c r="GK183" s="16"/>
      <c r="GL183" s="16"/>
      <c r="GM183" s="16"/>
    </row>
    <row r="184" spans="1:195" s="18" customFormat="1" ht="15" customHeight="1">
      <c r="A184" s="78">
        <v>2007</v>
      </c>
      <c r="B184" s="79" t="s">
        <v>46</v>
      </c>
      <c r="C184" s="15">
        <f t="shared" si="73"/>
        <v>0.7048440065681445</v>
      </c>
      <c r="D184" s="15">
        <f t="shared" si="74"/>
        <v>0.75447654619356253</v>
      </c>
      <c r="E184" s="15">
        <f t="shared" si="75"/>
        <v>0.93421592775041051</v>
      </c>
      <c r="F184" s="16"/>
      <c r="G184" s="33"/>
      <c r="H18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19488</v>
      </c>
      <c r="I184" s="16">
        <f t="shared" si="76"/>
        <v>1282</v>
      </c>
      <c r="J18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18206</v>
      </c>
      <c r="K18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13736</v>
      </c>
      <c r="L184" s="16">
        <f t="shared" si="77"/>
        <v>4470</v>
      </c>
      <c r="M184" s="16"/>
      <c r="N184" s="16"/>
      <c r="O184" s="78">
        <v>2007</v>
      </c>
      <c r="P184" s="79" t="s">
        <v>46</v>
      </c>
      <c r="Q184" s="15">
        <f t="shared" si="78"/>
        <v>0.5275545350172216</v>
      </c>
      <c r="R184" s="15">
        <f t="shared" si="79"/>
        <v>0.56345800122624157</v>
      </c>
      <c r="S184" s="15">
        <f t="shared" si="80"/>
        <v>0.93628013777267505</v>
      </c>
      <c r="T184" s="26"/>
      <c r="U184" s="26"/>
      <c r="V184" s="16">
        <v>5226</v>
      </c>
      <c r="W184" s="16">
        <f t="shared" si="129"/>
        <v>333</v>
      </c>
      <c r="X184" s="16">
        <v>4893</v>
      </c>
      <c r="Y184" s="16">
        <v>2757</v>
      </c>
      <c r="Z184" s="16">
        <f t="shared" si="130"/>
        <v>2136</v>
      </c>
      <c r="AA184" s="16"/>
      <c r="AB184" s="16"/>
      <c r="AC184" s="78"/>
      <c r="AD184" s="79"/>
      <c r="AE184" s="15"/>
      <c r="AF184" s="15"/>
      <c r="AG184" s="15"/>
      <c r="AH184" s="15"/>
      <c r="AI184" s="15"/>
      <c r="AJ184" s="16"/>
      <c r="AK184" s="16"/>
      <c r="AL184" s="16"/>
      <c r="AM184" s="16"/>
      <c r="AN184" s="16"/>
      <c r="AO184" s="16"/>
      <c r="AP184" s="16"/>
      <c r="AQ184" s="78">
        <v>2007</v>
      </c>
      <c r="AR184" s="79" t="s">
        <v>46</v>
      </c>
      <c r="AS184" s="15">
        <f t="shared" si="86"/>
        <v>0.62736799677549371</v>
      </c>
      <c r="AT184" s="15">
        <f t="shared" si="87"/>
        <v>0.69208537127612269</v>
      </c>
      <c r="AU184" s="15">
        <f t="shared" si="88"/>
        <v>0.90648931882305517</v>
      </c>
      <c r="AV184" s="16"/>
      <c r="AW184" s="16"/>
      <c r="AX184" s="16">
        <v>4962</v>
      </c>
      <c r="AY184" s="16">
        <f t="shared" si="131"/>
        <v>464</v>
      </c>
      <c r="AZ184" s="16">
        <v>4498</v>
      </c>
      <c r="BA184" s="16">
        <v>3113</v>
      </c>
      <c r="BB184" s="16">
        <f t="shared" si="132"/>
        <v>1385</v>
      </c>
      <c r="BC184" s="16"/>
      <c r="BD184" s="16"/>
      <c r="BE184" s="78">
        <v>2007</v>
      </c>
      <c r="BF184" s="79" t="s">
        <v>46</v>
      </c>
      <c r="BG184" s="15">
        <f t="shared" si="91"/>
        <v>0.63949843260188088</v>
      </c>
      <c r="BH184" s="15">
        <f t="shared" si="92"/>
        <v>0.80632411067193677</v>
      </c>
      <c r="BI184" s="15">
        <f t="shared" si="93"/>
        <v>0.7931034482758621</v>
      </c>
      <c r="BJ184" s="16"/>
      <c r="BK184" s="16"/>
      <c r="BL184" s="16">
        <v>638</v>
      </c>
      <c r="BM184" s="16">
        <f t="shared" si="133"/>
        <v>132</v>
      </c>
      <c r="BN184" s="16">
        <v>506</v>
      </c>
      <c r="BO184" s="16">
        <v>408</v>
      </c>
      <c r="BP184" s="16">
        <f t="shared" si="134"/>
        <v>98</v>
      </c>
      <c r="BQ184" s="16"/>
      <c r="BR184" s="16"/>
      <c r="BS184" s="78">
        <v>2007</v>
      </c>
      <c r="BT184" s="79" t="s">
        <v>46</v>
      </c>
      <c r="BU184" s="15">
        <f t="shared" si="96"/>
        <v>0.87124132613723981</v>
      </c>
      <c r="BV184" s="15">
        <f t="shared" si="97"/>
        <v>0.91572123176661269</v>
      </c>
      <c r="BW184" s="15">
        <f t="shared" si="98"/>
        <v>0.95142636854279106</v>
      </c>
      <c r="BX184" s="16"/>
      <c r="BY184" s="16"/>
      <c r="BZ184" s="16">
        <v>2594</v>
      </c>
      <c r="CA184" s="16">
        <f t="shared" si="135"/>
        <v>126</v>
      </c>
      <c r="CB184" s="16">
        <v>2468</v>
      </c>
      <c r="CC184" s="16">
        <v>2260</v>
      </c>
      <c r="CD184" s="16">
        <f t="shared" si="136"/>
        <v>208</v>
      </c>
      <c r="CE184" s="16"/>
      <c r="CF184" s="16"/>
      <c r="CG184" s="78">
        <v>2007</v>
      </c>
      <c r="CH184" s="79" t="s">
        <v>46</v>
      </c>
      <c r="CI184" s="15">
        <f t="shared" si="101"/>
        <v>0.78166797797010223</v>
      </c>
      <c r="CJ184" s="15">
        <f t="shared" si="102"/>
        <v>0.82379767827529027</v>
      </c>
      <c r="CK184" s="15">
        <f t="shared" si="103"/>
        <v>0.94885916601101494</v>
      </c>
      <c r="CL184" s="16"/>
      <c r="CM184" s="16"/>
      <c r="CN184" s="16">
        <v>2542</v>
      </c>
      <c r="CO184" s="16">
        <f t="shared" si="137"/>
        <v>130</v>
      </c>
      <c r="CP184" s="16">
        <v>2412</v>
      </c>
      <c r="CQ184" s="16">
        <v>1987</v>
      </c>
      <c r="CR184" s="16">
        <f t="shared" si="138"/>
        <v>425</v>
      </c>
      <c r="CS184" s="16"/>
      <c r="CT184" s="16"/>
      <c r="CU184" s="78">
        <v>2007</v>
      </c>
      <c r="CV184" s="79" t="s">
        <v>46</v>
      </c>
      <c r="CW184" s="15">
        <f t="shared" si="58"/>
        <v>0.93777134587554267</v>
      </c>
      <c r="CX184" s="15">
        <f t="shared" si="59"/>
        <v>0.96716417910447761</v>
      </c>
      <c r="CY184" s="15">
        <f t="shared" si="60"/>
        <v>0.96960926193921848</v>
      </c>
      <c r="CZ184" s="16"/>
      <c r="DA184" s="16"/>
      <c r="DB184" s="16">
        <v>1382</v>
      </c>
      <c r="DC184" s="16">
        <f t="shared" si="61"/>
        <v>42</v>
      </c>
      <c r="DD184" s="16">
        <v>1340</v>
      </c>
      <c r="DE184" s="16">
        <v>1296</v>
      </c>
      <c r="DF184" s="16">
        <f t="shared" si="62"/>
        <v>44</v>
      </c>
      <c r="DG184" s="16"/>
      <c r="DH184" s="16"/>
      <c r="DI184" s="78">
        <v>2007</v>
      </c>
      <c r="DJ184" s="79" t="s">
        <v>46</v>
      </c>
      <c r="DK184" s="15">
        <f t="shared" si="106"/>
        <v>0.94747899159663862</v>
      </c>
      <c r="DL184" s="15">
        <f t="shared" si="107"/>
        <v>0.95957446808510638</v>
      </c>
      <c r="DM184" s="15">
        <f t="shared" si="108"/>
        <v>0.98739495798319332</v>
      </c>
      <c r="DN184" s="16"/>
      <c r="DO184" s="16"/>
      <c r="DP184" s="16">
        <v>952</v>
      </c>
      <c r="DQ184" s="16">
        <f t="shared" si="139"/>
        <v>12</v>
      </c>
      <c r="DR184" s="16">
        <v>940</v>
      </c>
      <c r="DS184" s="16">
        <v>902</v>
      </c>
      <c r="DT184" s="16">
        <f t="shared" si="140"/>
        <v>38</v>
      </c>
      <c r="DU184" s="16"/>
      <c r="DV184" s="16"/>
      <c r="DW184" s="78">
        <v>2007</v>
      </c>
      <c r="DX184" s="79" t="s">
        <v>46</v>
      </c>
      <c r="DY184" s="15">
        <f t="shared" si="111"/>
        <v>0.84983221476510062</v>
      </c>
      <c r="DZ184" s="15">
        <f t="shared" si="112"/>
        <v>0.88163620539599652</v>
      </c>
      <c r="EA184" s="15">
        <f t="shared" si="113"/>
        <v>0.96392617449664431</v>
      </c>
      <c r="EB184" s="16"/>
      <c r="EC184" s="16"/>
      <c r="ED184" s="16">
        <v>1192</v>
      </c>
      <c r="EE184" s="16">
        <f t="shared" si="141"/>
        <v>43</v>
      </c>
      <c r="EF184" s="16">
        <v>1149</v>
      </c>
      <c r="EG184" s="16">
        <v>1013</v>
      </c>
      <c r="EH184" s="16">
        <f t="shared" si="142"/>
        <v>136</v>
      </c>
      <c r="EI184" s="16"/>
      <c r="EJ184" s="16"/>
      <c r="EK184" s="78"/>
      <c r="EL184" s="79"/>
      <c r="EM184" s="15"/>
      <c r="EN184" s="15"/>
      <c r="EO184" s="15"/>
      <c r="EP184" s="16"/>
      <c r="EQ184" s="16"/>
      <c r="ER184" s="16"/>
      <c r="ES184" s="16"/>
      <c r="ET184" s="16"/>
      <c r="EU184" s="16"/>
      <c r="EV184" s="16"/>
      <c r="EW184" s="16"/>
      <c r="EX184" s="16"/>
      <c r="EY184" s="78"/>
      <c r="EZ184" s="79"/>
      <c r="FA184" s="15"/>
      <c r="FB184" s="15"/>
      <c r="FC184" s="15"/>
      <c r="FD184" s="16"/>
      <c r="FE184" s="16"/>
      <c r="FF184" s="16"/>
      <c r="FG184" s="16"/>
      <c r="FH184" s="16"/>
      <c r="FI184" s="16"/>
      <c r="FJ184" s="16"/>
      <c r="FK184" s="16"/>
      <c r="FM184" s="78"/>
      <c r="FN184" s="79"/>
      <c r="FO184" s="15"/>
      <c r="FP184" s="15"/>
      <c r="FQ184" s="15"/>
      <c r="FR184" s="16"/>
      <c r="FS184" s="16"/>
      <c r="FT184" s="16"/>
      <c r="FU184" s="16"/>
      <c r="FV184" s="16"/>
      <c r="FW184" s="16"/>
      <c r="FX184" s="16"/>
      <c r="FY184" s="16"/>
      <c r="GA184" s="78"/>
      <c r="GB184" s="79"/>
      <c r="GC184" s="15"/>
      <c r="GD184" s="15"/>
      <c r="GE184" s="15"/>
      <c r="GF184" s="16"/>
      <c r="GG184" s="16"/>
      <c r="GH184" s="16"/>
      <c r="GI184" s="16"/>
      <c r="GJ184" s="16"/>
      <c r="GK184" s="16"/>
      <c r="GL184" s="16"/>
      <c r="GM184" s="16"/>
    </row>
    <row r="185" spans="1:195" s="18" customFormat="1" ht="15" customHeight="1">
      <c r="A185" s="80">
        <v>2007</v>
      </c>
      <c r="B185" s="81" t="s">
        <v>47</v>
      </c>
      <c r="C185" s="15">
        <f t="shared" si="73"/>
        <v>0.76605078447564001</v>
      </c>
      <c r="D185" s="15">
        <f t="shared" si="74"/>
        <v>0.80817815528694326</v>
      </c>
      <c r="E185" s="15">
        <f t="shared" si="75"/>
        <v>0.94787365813377378</v>
      </c>
      <c r="F185" s="16"/>
      <c r="G185" s="33"/>
      <c r="H18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19376</v>
      </c>
      <c r="I185" s="16">
        <f t="shared" si="76"/>
        <v>1010</v>
      </c>
      <c r="J18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18366</v>
      </c>
      <c r="K18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14843</v>
      </c>
      <c r="L185" s="16">
        <f t="shared" si="77"/>
        <v>3523</v>
      </c>
      <c r="M185" s="16"/>
      <c r="N185" s="16"/>
      <c r="O185" s="80">
        <v>2007</v>
      </c>
      <c r="P185" s="81" t="s">
        <v>47</v>
      </c>
      <c r="Q185" s="15">
        <f t="shared" si="78"/>
        <v>0.63144531250000002</v>
      </c>
      <c r="R185" s="15">
        <f t="shared" si="79"/>
        <v>0.67019071310116085</v>
      </c>
      <c r="S185" s="15">
        <f t="shared" si="80"/>
        <v>0.94218749999999996</v>
      </c>
      <c r="T185" s="26"/>
      <c r="U185" s="26"/>
      <c r="V185" s="16">
        <v>5120</v>
      </c>
      <c r="W185" s="16">
        <f t="shared" si="129"/>
        <v>296</v>
      </c>
      <c r="X185" s="16">
        <v>4824</v>
      </c>
      <c r="Y185" s="16">
        <v>3233</v>
      </c>
      <c r="Z185" s="16">
        <f t="shared" si="130"/>
        <v>1591</v>
      </c>
      <c r="AA185" s="16"/>
      <c r="AB185" s="16"/>
      <c r="AC185" s="80"/>
      <c r="AD185" s="81"/>
      <c r="AE185" s="15"/>
      <c r="AF185" s="15"/>
      <c r="AG185" s="15"/>
      <c r="AH185" s="15"/>
      <c r="AI185" s="15"/>
      <c r="AJ185" s="16"/>
      <c r="AK185" s="16"/>
      <c r="AL185" s="16"/>
      <c r="AM185" s="16"/>
      <c r="AN185" s="16"/>
      <c r="AO185" s="16"/>
      <c r="AP185" s="16"/>
      <c r="AQ185" s="80">
        <v>2007</v>
      </c>
      <c r="AR185" s="81" t="s">
        <v>47</v>
      </c>
      <c r="AS185" s="15">
        <f t="shared" si="86"/>
        <v>0.72744014732965012</v>
      </c>
      <c r="AT185" s="15">
        <f t="shared" si="87"/>
        <v>0.77943433457575095</v>
      </c>
      <c r="AU185" s="15">
        <f t="shared" si="88"/>
        <v>0.93329240843052996</v>
      </c>
      <c r="AV185" s="16"/>
      <c r="AW185" s="16"/>
      <c r="AX185" s="16">
        <v>4887</v>
      </c>
      <c r="AY185" s="16">
        <f t="shared" si="131"/>
        <v>326</v>
      </c>
      <c r="AZ185" s="16">
        <v>4561</v>
      </c>
      <c r="BA185" s="16">
        <v>3555</v>
      </c>
      <c r="BB185" s="16">
        <f t="shared" si="132"/>
        <v>1006</v>
      </c>
      <c r="BC185" s="16"/>
      <c r="BD185" s="16"/>
      <c r="BE185" s="80">
        <v>2007</v>
      </c>
      <c r="BF185" s="81" t="s">
        <v>47</v>
      </c>
      <c r="BG185" s="15">
        <f t="shared" si="91"/>
        <v>0.68103448275862066</v>
      </c>
      <c r="BH185" s="15">
        <f t="shared" si="92"/>
        <v>0.80777096114519431</v>
      </c>
      <c r="BI185" s="15">
        <f t="shared" si="93"/>
        <v>0.84310344827586203</v>
      </c>
      <c r="BJ185" s="16"/>
      <c r="BK185" s="16"/>
      <c r="BL185" s="16">
        <v>580</v>
      </c>
      <c r="BM185" s="16">
        <f t="shared" si="133"/>
        <v>91</v>
      </c>
      <c r="BN185" s="16">
        <v>489</v>
      </c>
      <c r="BO185" s="16">
        <v>395</v>
      </c>
      <c r="BP185" s="16">
        <f t="shared" si="134"/>
        <v>94</v>
      </c>
      <c r="BQ185" s="16"/>
      <c r="BR185" s="16"/>
      <c r="BS185" s="80">
        <v>2007</v>
      </c>
      <c r="BT185" s="81" t="s">
        <v>47</v>
      </c>
      <c r="BU185" s="15">
        <f t="shared" si="96"/>
        <v>0.88596491228070173</v>
      </c>
      <c r="BV185" s="15">
        <f t="shared" si="97"/>
        <v>0.91026645768025083</v>
      </c>
      <c r="BW185" s="15">
        <f t="shared" si="98"/>
        <v>0.97330282227307396</v>
      </c>
      <c r="BX185" s="16"/>
      <c r="BY185" s="16"/>
      <c r="BZ185" s="16">
        <v>2622</v>
      </c>
      <c r="CA185" s="16">
        <f t="shared" si="135"/>
        <v>70</v>
      </c>
      <c r="CB185" s="16">
        <v>2552</v>
      </c>
      <c r="CC185" s="16">
        <v>2323</v>
      </c>
      <c r="CD185" s="16">
        <f t="shared" si="136"/>
        <v>229</v>
      </c>
      <c r="CE185" s="16"/>
      <c r="CF185" s="16"/>
      <c r="CG185" s="80">
        <v>2007</v>
      </c>
      <c r="CH185" s="81" t="s">
        <v>47</v>
      </c>
      <c r="CI185" s="15">
        <f t="shared" si="101"/>
        <v>0.80318942045896535</v>
      </c>
      <c r="CJ185" s="15">
        <f t="shared" si="102"/>
        <v>0.83704904742602348</v>
      </c>
      <c r="CK185" s="15">
        <f t="shared" si="103"/>
        <v>0.95954881369117073</v>
      </c>
      <c r="CL185" s="16"/>
      <c r="CM185" s="16"/>
      <c r="CN185" s="16">
        <v>2571</v>
      </c>
      <c r="CO185" s="16">
        <f t="shared" si="137"/>
        <v>104</v>
      </c>
      <c r="CP185" s="16">
        <v>2467</v>
      </c>
      <c r="CQ185" s="16">
        <v>2065</v>
      </c>
      <c r="CR185" s="16">
        <f t="shared" si="138"/>
        <v>402</v>
      </c>
      <c r="CS185" s="16"/>
      <c r="CT185" s="16"/>
      <c r="CU185" s="80">
        <v>2007</v>
      </c>
      <c r="CV185" s="81" t="s">
        <v>47</v>
      </c>
      <c r="CW185" s="15">
        <f t="shared" si="58"/>
        <v>0.91307471264367812</v>
      </c>
      <c r="CX185" s="15">
        <f t="shared" si="59"/>
        <v>0.9665399239543726</v>
      </c>
      <c r="CY185" s="15">
        <f t="shared" si="60"/>
        <v>0.94468390804597702</v>
      </c>
      <c r="CZ185" s="16"/>
      <c r="DA185" s="16"/>
      <c r="DB185" s="16">
        <v>1392</v>
      </c>
      <c r="DC185" s="16">
        <f t="shared" si="61"/>
        <v>77</v>
      </c>
      <c r="DD185" s="16">
        <v>1315</v>
      </c>
      <c r="DE185" s="16">
        <v>1271</v>
      </c>
      <c r="DF185" s="16">
        <f t="shared" si="62"/>
        <v>44</v>
      </c>
      <c r="DG185" s="16"/>
      <c r="DH185" s="16"/>
      <c r="DI185" s="80">
        <v>2007</v>
      </c>
      <c r="DJ185" s="81" t="s">
        <v>47</v>
      </c>
      <c r="DK185" s="15">
        <f t="shared" si="106"/>
        <v>0.93660531697341509</v>
      </c>
      <c r="DL185" s="15">
        <f t="shared" si="107"/>
        <v>0.94824016563146996</v>
      </c>
      <c r="DM185" s="15">
        <f t="shared" si="108"/>
        <v>0.98773006134969321</v>
      </c>
      <c r="DN185" s="16"/>
      <c r="DO185" s="16"/>
      <c r="DP185" s="16">
        <v>978</v>
      </c>
      <c r="DQ185" s="16">
        <f t="shared" si="139"/>
        <v>12</v>
      </c>
      <c r="DR185" s="16">
        <v>966</v>
      </c>
      <c r="DS185" s="16">
        <v>916</v>
      </c>
      <c r="DT185" s="16">
        <f t="shared" si="140"/>
        <v>50</v>
      </c>
      <c r="DU185" s="16"/>
      <c r="DV185" s="16"/>
      <c r="DW185" s="80">
        <v>2007</v>
      </c>
      <c r="DX185" s="81" t="s">
        <v>47</v>
      </c>
      <c r="DY185" s="15">
        <f t="shared" si="111"/>
        <v>0.8849918433931484</v>
      </c>
      <c r="DZ185" s="15">
        <f t="shared" si="112"/>
        <v>0.91023489932885904</v>
      </c>
      <c r="EA185" s="15">
        <f t="shared" si="113"/>
        <v>0.97226753670473087</v>
      </c>
      <c r="EB185" s="16"/>
      <c r="EC185" s="16"/>
      <c r="ED185" s="16">
        <v>1226</v>
      </c>
      <c r="EE185" s="16">
        <f t="shared" si="141"/>
        <v>34</v>
      </c>
      <c r="EF185" s="16">
        <v>1192</v>
      </c>
      <c r="EG185" s="16">
        <v>1085</v>
      </c>
      <c r="EH185" s="16">
        <f t="shared" si="142"/>
        <v>107</v>
      </c>
      <c r="EI185" s="16"/>
      <c r="EJ185" s="16"/>
      <c r="EK185" s="80"/>
      <c r="EL185" s="81"/>
      <c r="EM185" s="15"/>
      <c r="EN185" s="15"/>
      <c r="EO185" s="15"/>
      <c r="EP185" s="16"/>
      <c r="EQ185" s="16"/>
      <c r="ER185" s="16"/>
      <c r="ES185" s="16"/>
      <c r="ET185" s="16"/>
      <c r="EU185" s="16"/>
      <c r="EV185" s="16"/>
      <c r="EW185" s="16"/>
      <c r="EX185" s="16"/>
      <c r="EY185" s="80"/>
      <c r="EZ185" s="81"/>
      <c r="FA185" s="15"/>
      <c r="FB185" s="15"/>
      <c r="FC185" s="15"/>
      <c r="FD185" s="16"/>
      <c r="FE185" s="16"/>
      <c r="FF185" s="16"/>
      <c r="FG185" s="16"/>
      <c r="FH185" s="16"/>
      <c r="FI185" s="16"/>
      <c r="FJ185" s="16"/>
      <c r="FK185" s="16"/>
      <c r="FM185" s="80"/>
      <c r="FN185" s="81"/>
      <c r="FO185" s="15"/>
      <c r="FP185" s="15"/>
      <c r="FQ185" s="15"/>
      <c r="FR185" s="16"/>
      <c r="FS185" s="16"/>
      <c r="FT185" s="16"/>
      <c r="FU185" s="16"/>
      <c r="FV185" s="16"/>
      <c r="FW185" s="16"/>
      <c r="FX185" s="16"/>
      <c r="FY185" s="16"/>
      <c r="GA185" s="80"/>
      <c r="GB185" s="81"/>
      <c r="GC185" s="15"/>
      <c r="GD185" s="15"/>
      <c r="GE185" s="15"/>
      <c r="GF185" s="16"/>
      <c r="GG185" s="16"/>
      <c r="GH185" s="16"/>
      <c r="GI185" s="16"/>
      <c r="GJ185" s="16"/>
      <c r="GK185" s="16"/>
      <c r="GL185" s="16"/>
      <c r="GM185" s="16"/>
    </row>
    <row r="186" spans="1:195" s="18" customFormat="1" ht="15" customHeight="1">
      <c r="A186" s="78">
        <v>2008</v>
      </c>
      <c r="B186" s="79" t="s">
        <v>36</v>
      </c>
      <c r="C186" s="15">
        <f t="shared" si="73"/>
        <v>0.81164658634538156</v>
      </c>
      <c r="D186" s="15">
        <f t="shared" si="74"/>
        <v>0.85436482773198053</v>
      </c>
      <c r="E186" s="15">
        <f t="shared" si="75"/>
        <v>0.95</v>
      </c>
      <c r="F186" s="16"/>
      <c r="G186" s="33"/>
      <c r="H18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19920</v>
      </c>
      <c r="I186" s="16">
        <f t="shared" si="76"/>
        <v>996</v>
      </c>
      <c r="J18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18924</v>
      </c>
      <c r="K18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16168</v>
      </c>
      <c r="L186" s="16">
        <f t="shared" si="77"/>
        <v>2756</v>
      </c>
      <c r="M186" s="16"/>
      <c r="N186" s="16"/>
      <c r="O186" s="78">
        <v>2008</v>
      </c>
      <c r="P186" s="79" t="s">
        <v>36</v>
      </c>
      <c r="Q186" s="15">
        <f t="shared" si="78"/>
        <v>0.74619289340101524</v>
      </c>
      <c r="R186" s="15">
        <f t="shared" si="79"/>
        <v>0.78284023668639058</v>
      </c>
      <c r="S186" s="15">
        <f t="shared" si="80"/>
        <v>0.95318668922729832</v>
      </c>
      <c r="T186" s="26"/>
      <c r="U186" s="26"/>
      <c r="V186" s="16">
        <v>5319</v>
      </c>
      <c r="W186" s="16">
        <f t="shared" ref="W186:W197" si="143">V186-X186</f>
        <v>249</v>
      </c>
      <c r="X186" s="16">
        <v>5070</v>
      </c>
      <c r="Y186" s="16">
        <v>3969</v>
      </c>
      <c r="Z186" s="16">
        <f t="shared" ref="Z186:Z197" si="144">X186-Y186</f>
        <v>1101</v>
      </c>
      <c r="AA186" s="16"/>
      <c r="AB186" s="16"/>
      <c r="AC186" s="78"/>
      <c r="AD186" s="79"/>
      <c r="AE186" s="15"/>
      <c r="AF186" s="15"/>
      <c r="AG186" s="15"/>
      <c r="AH186" s="15"/>
      <c r="AI186" s="15"/>
      <c r="AJ186" s="16"/>
      <c r="AK186" s="16"/>
      <c r="AL186" s="16"/>
      <c r="AM186" s="16"/>
      <c r="AN186" s="16"/>
      <c r="AO186" s="16"/>
      <c r="AP186" s="16"/>
      <c r="AQ186" s="78">
        <v>2008</v>
      </c>
      <c r="AR186" s="79" t="s">
        <v>36</v>
      </c>
      <c r="AS186" s="15">
        <f t="shared" si="86"/>
        <v>0.75385527876631075</v>
      </c>
      <c r="AT186" s="15">
        <f t="shared" si="87"/>
        <v>0.81561497326203214</v>
      </c>
      <c r="AU186" s="15">
        <f t="shared" si="88"/>
        <v>0.92427837089758802</v>
      </c>
      <c r="AV186" s="16"/>
      <c r="AW186" s="16"/>
      <c r="AX186" s="16">
        <v>5058</v>
      </c>
      <c r="AY186" s="16">
        <f t="shared" ref="AY186:AY197" si="145">AX186-AZ186</f>
        <v>383</v>
      </c>
      <c r="AZ186" s="16">
        <v>4675</v>
      </c>
      <c r="BA186" s="16">
        <v>3813</v>
      </c>
      <c r="BB186" s="16">
        <f t="shared" ref="BB186:BB197" si="146">AZ186-BA186</f>
        <v>862</v>
      </c>
      <c r="BC186" s="16"/>
      <c r="BD186" s="16"/>
      <c r="BE186" s="78">
        <v>2008</v>
      </c>
      <c r="BF186" s="79" t="s">
        <v>36</v>
      </c>
      <c r="BG186" s="15">
        <f t="shared" si="91"/>
        <v>0.67554858934169282</v>
      </c>
      <c r="BH186" s="15">
        <f t="shared" si="92"/>
        <v>0.86546184738955823</v>
      </c>
      <c r="BI186" s="15">
        <f t="shared" si="93"/>
        <v>0.78056426332288398</v>
      </c>
      <c r="BJ186" s="16"/>
      <c r="BK186" s="16"/>
      <c r="BL186" s="16">
        <v>638</v>
      </c>
      <c r="BM186" s="16">
        <f t="shared" ref="BM186:BM197" si="147">BL186-BN186</f>
        <v>140</v>
      </c>
      <c r="BN186" s="16">
        <v>498</v>
      </c>
      <c r="BO186" s="16">
        <v>431</v>
      </c>
      <c r="BP186" s="16">
        <f t="shared" ref="BP186:BP197" si="148">BN186-BO186</f>
        <v>67</v>
      </c>
      <c r="BQ186" s="16"/>
      <c r="BR186" s="16"/>
      <c r="BS186" s="78">
        <v>2008</v>
      </c>
      <c r="BT186" s="79" t="s">
        <v>36</v>
      </c>
      <c r="BU186" s="15">
        <f t="shared" si="96"/>
        <v>0.88851351351351349</v>
      </c>
      <c r="BV186" s="15">
        <f t="shared" si="97"/>
        <v>0.91637630662020908</v>
      </c>
      <c r="BW186" s="15">
        <f t="shared" si="98"/>
        <v>0.96959459459459463</v>
      </c>
      <c r="BX186" s="16"/>
      <c r="BY186" s="16"/>
      <c r="BZ186" s="16">
        <v>2664</v>
      </c>
      <c r="CA186" s="16">
        <f t="shared" ref="CA186:CA197" si="149">BZ186-CB186</f>
        <v>81</v>
      </c>
      <c r="CB186" s="16">
        <v>2583</v>
      </c>
      <c r="CC186" s="16">
        <v>2367</v>
      </c>
      <c r="CD186" s="16">
        <f t="shared" ref="CD186:CD197" si="150">CB186-CC186</f>
        <v>216</v>
      </c>
      <c r="CE186" s="16"/>
      <c r="CF186" s="16"/>
      <c r="CG186" s="78">
        <v>2008</v>
      </c>
      <c r="CH186" s="79" t="s">
        <v>36</v>
      </c>
      <c r="CI186" s="15">
        <f t="shared" si="101"/>
        <v>0.83607813098429717</v>
      </c>
      <c r="CJ186" s="15">
        <f t="shared" si="102"/>
        <v>0.85877261998426435</v>
      </c>
      <c r="CK186" s="15">
        <f t="shared" si="103"/>
        <v>0.97357334354653391</v>
      </c>
      <c r="CL186" s="16"/>
      <c r="CM186" s="16"/>
      <c r="CN186" s="16">
        <v>2611</v>
      </c>
      <c r="CO186" s="16">
        <f t="shared" ref="CO186:CO197" si="151">CN186-CP186</f>
        <v>69</v>
      </c>
      <c r="CP186" s="16">
        <v>2542</v>
      </c>
      <c r="CQ186" s="16">
        <v>2183</v>
      </c>
      <c r="CR186" s="16">
        <f t="shared" ref="CR186:CR197" si="152">CP186-CQ186</f>
        <v>359</v>
      </c>
      <c r="CS186" s="16"/>
      <c r="CT186" s="16"/>
      <c r="CU186" s="78">
        <v>2008</v>
      </c>
      <c r="CV186" s="79" t="s">
        <v>36</v>
      </c>
      <c r="CW186" s="15">
        <f t="shared" si="58"/>
        <v>0.95627644569816639</v>
      </c>
      <c r="CX186" s="15">
        <f t="shared" si="59"/>
        <v>0.98118668596237335</v>
      </c>
      <c r="CY186" s="15">
        <f t="shared" si="60"/>
        <v>0.97461212976022571</v>
      </c>
      <c r="CZ186" s="16"/>
      <c r="DA186" s="16"/>
      <c r="DB186" s="16">
        <v>1418</v>
      </c>
      <c r="DC186" s="16">
        <f t="shared" si="61"/>
        <v>36</v>
      </c>
      <c r="DD186" s="16">
        <v>1382</v>
      </c>
      <c r="DE186" s="16">
        <v>1356</v>
      </c>
      <c r="DF186" s="16">
        <f t="shared" si="62"/>
        <v>26</v>
      </c>
      <c r="DG186" s="16"/>
      <c r="DH186" s="16"/>
      <c r="DI186" s="78">
        <v>2008</v>
      </c>
      <c r="DJ186" s="79" t="s">
        <v>36</v>
      </c>
      <c r="DK186" s="15">
        <f t="shared" si="106"/>
        <v>0.92871690427698572</v>
      </c>
      <c r="DL186" s="15">
        <f t="shared" si="107"/>
        <v>0.94214876033057848</v>
      </c>
      <c r="DM186" s="15">
        <f t="shared" si="108"/>
        <v>0.98574338085539714</v>
      </c>
      <c r="DN186" s="16"/>
      <c r="DO186" s="16"/>
      <c r="DP186" s="16">
        <v>982</v>
      </c>
      <c r="DQ186" s="16">
        <f t="shared" ref="DQ186:DQ197" si="153">DP186-DR186</f>
        <v>14</v>
      </c>
      <c r="DR186" s="16">
        <v>968</v>
      </c>
      <c r="DS186" s="16">
        <v>912</v>
      </c>
      <c r="DT186" s="16">
        <f t="shared" ref="DT186:DT197" si="154">DR186-DS186</f>
        <v>56</v>
      </c>
      <c r="DU186" s="16"/>
      <c r="DV186" s="16"/>
      <c r="DW186" s="78">
        <v>2008</v>
      </c>
      <c r="DX186" s="79" t="s">
        <v>36</v>
      </c>
      <c r="DY186" s="15">
        <f t="shared" si="111"/>
        <v>0.92439024390243907</v>
      </c>
      <c r="DZ186" s="15">
        <f t="shared" si="112"/>
        <v>0.94278606965174128</v>
      </c>
      <c r="EA186" s="15">
        <f t="shared" si="113"/>
        <v>0.98048780487804876</v>
      </c>
      <c r="EB186" s="16"/>
      <c r="EC186" s="16"/>
      <c r="ED186" s="16">
        <v>1230</v>
      </c>
      <c r="EE186" s="16">
        <f t="shared" ref="EE186:EE197" si="155">ED186-EF186</f>
        <v>24</v>
      </c>
      <c r="EF186" s="16">
        <v>1206</v>
      </c>
      <c r="EG186" s="16">
        <v>1137</v>
      </c>
      <c r="EH186" s="16">
        <f t="shared" ref="EH186:EH197" si="156">EF186-EG186</f>
        <v>69</v>
      </c>
      <c r="EI186" s="16"/>
      <c r="EJ186" s="16"/>
      <c r="EK186" s="78"/>
      <c r="EL186" s="79"/>
      <c r="EM186" s="15"/>
      <c r="EN186" s="15"/>
      <c r="EO186" s="15"/>
      <c r="EP186" s="16"/>
      <c r="EQ186" s="16"/>
      <c r="ER186" s="16"/>
      <c r="ES186" s="16"/>
      <c r="ET186" s="16"/>
      <c r="EU186" s="16"/>
      <c r="EV186" s="16"/>
      <c r="EW186" s="16"/>
      <c r="EX186" s="16"/>
      <c r="EY186" s="78"/>
      <c r="EZ186" s="79"/>
      <c r="FA186" s="15"/>
      <c r="FB186" s="15"/>
      <c r="FC186" s="15"/>
      <c r="FD186" s="16"/>
      <c r="FE186" s="16"/>
      <c r="FF186" s="16"/>
      <c r="FG186" s="16"/>
      <c r="FH186" s="16"/>
      <c r="FI186" s="16"/>
      <c r="FJ186" s="16"/>
      <c r="FK186" s="16"/>
      <c r="FM186" s="78"/>
      <c r="FN186" s="79"/>
      <c r="FO186" s="15"/>
      <c r="FP186" s="15"/>
      <c r="FQ186" s="15"/>
      <c r="FR186" s="16"/>
      <c r="FS186" s="16"/>
      <c r="FT186" s="16"/>
      <c r="FU186" s="16"/>
      <c r="FV186" s="16"/>
      <c r="FW186" s="16"/>
      <c r="FX186" s="16"/>
      <c r="FY186" s="16"/>
      <c r="GA186" s="78"/>
      <c r="GB186" s="79"/>
      <c r="GC186" s="15"/>
      <c r="GD186" s="15"/>
      <c r="GE186" s="15"/>
      <c r="GF186" s="16"/>
      <c r="GG186" s="16"/>
      <c r="GH186" s="16"/>
      <c r="GI186" s="16"/>
      <c r="GJ186" s="16"/>
      <c r="GK186" s="16"/>
      <c r="GL186" s="16"/>
      <c r="GM186" s="16"/>
    </row>
    <row r="187" spans="1:195" s="18" customFormat="1" ht="15" customHeight="1">
      <c r="A187" s="80">
        <v>2008</v>
      </c>
      <c r="B187" s="81" t="s">
        <v>37</v>
      </c>
      <c r="C187" s="15">
        <f t="shared" si="73"/>
        <v>0.607059199318569</v>
      </c>
      <c r="D187" s="15">
        <f t="shared" si="74"/>
        <v>0.65238285943131757</v>
      </c>
      <c r="E187" s="15">
        <f t="shared" si="75"/>
        <v>0.93052597955706984</v>
      </c>
      <c r="F187" s="16"/>
      <c r="G187" s="33"/>
      <c r="H18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18784</v>
      </c>
      <c r="I187" s="16">
        <f t="shared" si="76"/>
        <v>1305</v>
      </c>
      <c r="J18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17479</v>
      </c>
      <c r="K18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11403</v>
      </c>
      <c r="L187" s="16">
        <f t="shared" si="77"/>
        <v>6076</v>
      </c>
      <c r="M187" s="16"/>
      <c r="N187" s="16"/>
      <c r="O187" s="80">
        <v>2008</v>
      </c>
      <c r="P187" s="81" t="s">
        <v>37</v>
      </c>
      <c r="Q187" s="15">
        <f t="shared" si="78"/>
        <v>0.42002781641168291</v>
      </c>
      <c r="R187" s="15">
        <f t="shared" si="79"/>
        <v>0.45530906741331034</v>
      </c>
      <c r="S187" s="15">
        <f t="shared" si="80"/>
        <v>0.92251142459765545</v>
      </c>
      <c r="T187" s="26"/>
      <c r="U187" s="26"/>
      <c r="V187" s="16">
        <v>5033</v>
      </c>
      <c r="W187" s="16">
        <f t="shared" si="143"/>
        <v>390</v>
      </c>
      <c r="X187" s="16">
        <v>4643</v>
      </c>
      <c r="Y187" s="16">
        <v>2114</v>
      </c>
      <c r="Z187" s="16">
        <f t="shared" si="144"/>
        <v>2529</v>
      </c>
      <c r="AA187" s="16"/>
      <c r="AB187" s="16"/>
      <c r="AC187" s="80"/>
      <c r="AD187" s="81"/>
      <c r="AE187" s="15"/>
      <c r="AF187" s="15"/>
      <c r="AG187" s="15"/>
      <c r="AH187" s="15"/>
      <c r="AI187" s="15"/>
      <c r="AJ187" s="16"/>
      <c r="AK187" s="16"/>
      <c r="AL187" s="16"/>
      <c r="AM187" s="16"/>
      <c r="AN187" s="16"/>
      <c r="AO187" s="16"/>
      <c r="AP187" s="16"/>
      <c r="AQ187" s="80">
        <v>2008</v>
      </c>
      <c r="AR187" s="81" t="s">
        <v>37</v>
      </c>
      <c r="AS187" s="15">
        <f t="shared" si="86"/>
        <v>0.36059401798786866</v>
      </c>
      <c r="AT187" s="15">
        <f t="shared" si="87"/>
        <v>0.40242763772175538</v>
      </c>
      <c r="AU187" s="15">
        <f t="shared" si="88"/>
        <v>0.89604685212298685</v>
      </c>
      <c r="AV187" s="16"/>
      <c r="AW187" s="16"/>
      <c r="AX187" s="16">
        <v>4781</v>
      </c>
      <c r="AY187" s="16">
        <f t="shared" si="145"/>
        <v>497</v>
      </c>
      <c r="AZ187" s="16">
        <v>4284</v>
      </c>
      <c r="BA187" s="16">
        <v>1724</v>
      </c>
      <c r="BB187" s="16">
        <f t="shared" si="146"/>
        <v>2560</v>
      </c>
      <c r="BC187" s="16"/>
      <c r="BD187" s="16"/>
      <c r="BE187" s="80">
        <v>2008</v>
      </c>
      <c r="BF187" s="81" t="s">
        <v>37</v>
      </c>
      <c r="BG187" s="15">
        <f t="shared" si="91"/>
        <v>0.42200328407224957</v>
      </c>
      <c r="BH187" s="15">
        <f t="shared" si="92"/>
        <v>0.65394402035623411</v>
      </c>
      <c r="BI187" s="15">
        <f t="shared" si="93"/>
        <v>0.64532019704433496</v>
      </c>
      <c r="BJ187" s="16"/>
      <c r="BK187" s="16"/>
      <c r="BL187" s="16">
        <v>609</v>
      </c>
      <c r="BM187" s="16">
        <f t="shared" si="147"/>
        <v>216</v>
      </c>
      <c r="BN187" s="16">
        <v>393</v>
      </c>
      <c r="BO187" s="16">
        <v>257</v>
      </c>
      <c r="BP187" s="16">
        <f t="shared" si="148"/>
        <v>136</v>
      </c>
      <c r="BQ187" s="16"/>
      <c r="BR187" s="16"/>
      <c r="BS187" s="80">
        <v>2008</v>
      </c>
      <c r="BT187" s="81" t="s">
        <v>37</v>
      </c>
      <c r="BU187" s="15">
        <f t="shared" si="96"/>
        <v>0.89252896524170999</v>
      </c>
      <c r="BV187" s="15">
        <f t="shared" si="97"/>
        <v>0.9118367346938776</v>
      </c>
      <c r="BW187" s="15">
        <f t="shared" si="98"/>
        <v>0.97882540950858965</v>
      </c>
      <c r="BX187" s="16"/>
      <c r="BY187" s="16"/>
      <c r="BZ187" s="16">
        <v>2503</v>
      </c>
      <c r="CA187" s="16">
        <f t="shared" si="149"/>
        <v>53</v>
      </c>
      <c r="CB187" s="16">
        <v>2450</v>
      </c>
      <c r="CC187" s="16">
        <v>2234</v>
      </c>
      <c r="CD187" s="16">
        <f t="shared" si="150"/>
        <v>216</v>
      </c>
      <c r="CE187" s="16"/>
      <c r="CF187" s="16"/>
      <c r="CG187" s="80">
        <v>2008</v>
      </c>
      <c r="CH187" s="81" t="s">
        <v>37</v>
      </c>
      <c r="CI187" s="15">
        <f t="shared" si="101"/>
        <v>0.80717488789237668</v>
      </c>
      <c r="CJ187" s="15">
        <f t="shared" si="102"/>
        <v>0.82741328875888009</v>
      </c>
      <c r="CK187" s="15">
        <f t="shared" si="103"/>
        <v>0.97554015491235224</v>
      </c>
      <c r="CL187" s="16"/>
      <c r="CM187" s="16"/>
      <c r="CN187" s="16">
        <v>2453</v>
      </c>
      <c r="CO187" s="16">
        <f t="shared" si="151"/>
        <v>60</v>
      </c>
      <c r="CP187" s="16">
        <v>2393</v>
      </c>
      <c r="CQ187" s="16">
        <v>1980</v>
      </c>
      <c r="CR187" s="16">
        <f t="shared" si="152"/>
        <v>413</v>
      </c>
      <c r="CS187" s="16"/>
      <c r="CT187" s="16"/>
      <c r="CU187" s="80">
        <v>2008</v>
      </c>
      <c r="CV187" s="81" t="s">
        <v>37</v>
      </c>
      <c r="CW187" s="15">
        <f t="shared" si="58"/>
        <v>0.95273818454613657</v>
      </c>
      <c r="CX187" s="15">
        <f t="shared" si="59"/>
        <v>0.97094801223241589</v>
      </c>
      <c r="CY187" s="15">
        <f t="shared" si="60"/>
        <v>0.98124531132783199</v>
      </c>
      <c r="CZ187" s="16"/>
      <c r="DA187" s="16"/>
      <c r="DB187" s="16">
        <v>1333</v>
      </c>
      <c r="DC187" s="16">
        <f t="shared" si="61"/>
        <v>25</v>
      </c>
      <c r="DD187" s="16">
        <v>1308</v>
      </c>
      <c r="DE187" s="16">
        <v>1270</v>
      </c>
      <c r="DF187" s="16">
        <f t="shared" si="62"/>
        <v>38</v>
      </c>
      <c r="DG187" s="16"/>
      <c r="DH187" s="16"/>
      <c r="DI187" s="80">
        <v>2008</v>
      </c>
      <c r="DJ187" s="81" t="s">
        <v>37</v>
      </c>
      <c r="DK187" s="15">
        <f t="shared" si="106"/>
        <v>0.93478260869565222</v>
      </c>
      <c r="DL187" s="15">
        <f t="shared" si="107"/>
        <v>0.95132743362831862</v>
      </c>
      <c r="DM187" s="15">
        <f t="shared" si="108"/>
        <v>0.9826086956521739</v>
      </c>
      <c r="DN187" s="16"/>
      <c r="DO187" s="16"/>
      <c r="DP187" s="16">
        <v>920</v>
      </c>
      <c r="DQ187" s="16">
        <f t="shared" si="153"/>
        <v>16</v>
      </c>
      <c r="DR187" s="16">
        <v>904</v>
      </c>
      <c r="DS187" s="16">
        <v>860</v>
      </c>
      <c r="DT187" s="16">
        <f t="shared" si="154"/>
        <v>44</v>
      </c>
      <c r="DU187" s="16"/>
      <c r="DV187" s="16"/>
      <c r="DW187" s="80">
        <v>2008</v>
      </c>
      <c r="DX187" s="81" t="s">
        <v>37</v>
      </c>
      <c r="DY187" s="15">
        <f t="shared" si="111"/>
        <v>0.83680555555555558</v>
      </c>
      <c r="DZ187" s="15">
        <f t="shared" si="112"/>
        <v>0.87318840579710144</v>
      </c>
      <c r="EA187" s="15">
        <f t="shared" si="113"/>
        <v>0.95833333333333337</v>
      </c>
      <c r="EB187" s="16"/>
      <c r="EC187" s="16"/>
      <c r="ED187" s="16">
        <v>1152</v>
      </c>
      <c r="EE187" s="16">
        <f t="shared" si="155"/>
        <v>48</v>
      </c>
      <c r="EF187" s="16">
        <v>1104</v>
      </c>
      <c r="EG187" s="16">
        <v>964</v>
      </c>
      <c r="EH187" s="16">
        <f t="shared" si="156"/>
        <v>140</v>
      </c>
      <c r="EI187" s="16"/>
      <c r="EJ187" s="16"/>
      <c r="EK187" s="80"/>
      <c r="EL187" s="81"/>
      <c r="EM187" s="15"/>
      <c r="EN187" s="15"/>
      <c r="EO187" s="15"/>
      <c r="EP187" s="16"/>
      <c r="EQ187" s="16"/>
      <c r="ER187" s="16"/>
      <c r="ES187" s="16"/>
      <c r="ET187" s="16"/>
      <c r="EU187" s="16"/>
      <c r="EV187" s="16"/>
      <c r="EW187" s="16"/>
      <c r="EX187" s="16"/>
      <c r="EY187" s="80"/>
      <c r="EZ187" s="81"/>
      <c r="FA187" s="15"/>
      <c r="FB187" s="15"/>
      <c r="FC187" s="15"/>
      <c r="FD187" s="16"/>
      <c r="FE187" s="16"/>
      <c r="FF187" s="16"/>
      <c r="FG187" s="16"/>
      <c r="FH187" s="16"/>
      <c r="FI187" s="16"/>
      <c r="FJ187" s="16"/>
      <c r="FK187" s="16"/>
      <c r="FM187" s="80"/>
      <c r="FN187" s="81"/>
      <c r="FO187" s="15"/>
      <c r="FP187" s="15"/>
      <c r="FQ187" s="15"/>
      <c r="FR187" s="16"/>
      <c r="FS187" s="16"/>
      <c r="FT187" s="16"/>
      <c r="FU187" s="16"/>
      <c r="FV187" s="16"/>
      <c r="FW187" s="16"/>
      <c r="FX187" s="16"/>
      <c r="FY187" s="16"/>
      <c r="GA187" s="80"/>
      <c r="GB187" s="81"/>
      <c r="GC187" s="15"/>
      <c r="GD187" s="15"/>
      <c r="GE187" s="15"/>
      <c r="GF187" s="16"/>
      <c r="GG187" s="16"/>
      <c r="GH187" s="16"/>
      <c r="GI187" s="16"/>
      <c r="GJ187" s="16"/>
      <c r="GK187" s="16"/>
      <c r="GL187" s="16"/>
      <c r="GM187" s="16"/>
    </row>
    <row r="188" spans="1:195" s="18" customFormat="1" ht="15" customHeight="1">
      <c r="A188" s="78">
        <v>2008</v>
      </c>
      <c r="B188" s="79" t="s">
        <v>38</v>
      </c>
      <c r="C188" s="15">
        <f t="shared" si="73"/>
        <v>0.69528610779065536</v>
      </c>
      <c r="D188" s="15">
        <f t="shared" si="74"/>
        <v>0.74108132062929311</v>
      </c>
      <c r="E188" s="15">
        <f t="shared" si="75"/>
        <v>0.93820487500649652</v>
      </c>
      <c r="F188" s="16"/>
      <c r="G188" s="33"/>
      <c r="H18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19241</v>
      </c>
      <c r="I188" s="16">
        <f t="shared" si="76"/>
        <v>1189</v>
      </c>
      <c r="J18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18052</v>
      </c>
      <c r="K18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13378</v>
      </c>
      <c r="L188" s="16">
        <f t="shared" si="77"/>
        <v>4674</v>
      </c>
      <c r="M188" s="16"/>
      <c r="N188" s="16"/>
      <c r="O188" s="78">
        <v>2008</v>
      </c>
      <c r="P188" s="79" t="s">
        <v>38</v>
      </c>
      <c r="Q188" s="15">
        <f t="shared" si="78"/>
        <v>0.57542339503741635</v>
      </c>
      <c r="R188" s="15">
        <f t="shared" si="79"/>
        <v>0.62223168654173766</v>
      </c>
      <c r="S188" s="15">
        <f t="shared" si="80"/>
        <v>0.9247735328869634</v>
      </c>
      <c r="T188" s="26"/>
      <c r="U188" s="26"/>
      <c r="V188" s="16">
        <v>5078</v>
      </c>
      <c r="W188" s="16">
        <f t="shared" si="143"/>
        <v>382</v>
      </c>
      <c r="X188" s="16">
        <v>4696</v>
      </c>
      <c r="Y188" s="16">
        <v>2922</v>
      </c>
      <c r="Z188" s="16">
        <f t="shared" si="144"/>
        <v>1774</v>
      </c>
      <c r="AA188" s="16"/>
      <c r="AB188" s="16"/>
      <c r="AC188" s="78"/>
      <c r="AD188" s="79"/>
      <c r="AE188" s="15"/>
      <c r="AF188" s="15"/>
      <c r="AG188" s="15"/>
      <c r="AH188" s="15"/>
      <c r="AI188" s="15"/>
      <c r="AJ188" s="16"/>
      <c r="AK188" s="16"/>
      <c r="AL188" s="16"/>
      <c r="AM188" s="16"/>
      <c r="AN188" s="16"/>
      <c r="AO188" s="16"/>
      <c r="AP188" s="16"/>
      <c r="AQ188" s="78">
        <v>2008</v>
      </c>
      <c r="AR188" s="79" t="s">
        <v>38</v>
      </c>
      <c r="AS188" s="15">
        <f t="shared" si="86"/>
        <v>0.58163475396335185</v>
      </c>
      <c r="AT188" s="15">
        <f t="shared" si="87"/>
        <v>0.63626126126126126</v>
      </c>
      <c r="AU188" s="15">
        <f t="shared" si="88"/>
        <v>0.91414453366275483</v>
      </c>
      <c r="AV188" s="16"/>
      <c r="AW188" s="16"/>
      <c r="AX188" s="16">
        <v>4857</v>
      </c>
      <c r="AY188" s="16">
        <f t="shared" si="145"/>
        <v>417</v>
      </c>
      <c r="AZ188" s="16">
        <v>4440</v>
      </c>
      <c r="BA188" s="16">
        <v>2825</v>
      </c>
      <c r="BB188" s="16">
        <f t="shared" si="146"/>
        <v>1615</v>
      </c>
      <c r="BC188" s="16"/>
      <c r="BD188" s="16"/>
      <c r="BE188" s="78">
        <v>2008</v>
      </c>
      <c r="BF188" s="79" t="s">
        <v>38</v>
      </c>
      <c r="BG188" s="15">
        <f t="shared" si="91"/>
        <v>0.4573502722323049</v>
      </c>
      <c r="BH188" s="15">
        <f t="shared" si="92"/>
        <v>0.56124721603563477</v>
      </c>
      <c r="BI188" s="15">
        <f t="shared" si="93"/>
        <v>0.81488203266787662</v>
      </c>
      <c r="BJ188" s="16"/>
      <c r="BK188" s="16"/>
      <c r="BL188" s="16">
        <v>551</v>
      </c>
      <c r="BM188" s="16">
        <f t="shared" si="147"/>
        <v>102</v>
      </c>
      <c r="BN188" s="16">
        <v>449</v>
      </c>
      <c r="BO188" s="16">
        <v>252</v>
      </c>
      <c r="BP188" s="16">
        <f t="shared" si="148"/>
        <v>197</v>
      </c>
      <c r="BQ188" s="16"/>
      <c r="BR188" s="16"/>
      <c r="BS188" s="78">
        <v>2008</v>
      </c>
      <c r="BT188" s="79" t="s">
        <v>38</v>
      </c>
      <c r="BU188" s="15">
        <f t="shared" si="96"/>
        <v>0.8474511307014182</v>
      </c>
      <c r="BV188" s="15">
        <f t="shared" si="97"/>
        <v>0.87947494033412887</v>
      </c>
      <c r="BW188" s="15">
        <f t="shared" si="98"/>
        <v>0.96358758144883094</v>
      </c>
      <c r="BX188" s="16"/>
      <c r="BY188" s="16"/>
      <c r="BZ188" s="16">
        <v>2609</v>
      </c>
      <c r="CA188" s="16">
        <f t="shared" si="149"/>
        <v>95</v>
      </c>
      <c r="CB188" s="16">
        <v>2514</v>
      </c>
      <c r="CC188" s="16">
        <v>2211</v>
      </c>
      <c r="CD188" s="16">
        <f t="shared" si="150"/>
        <v>303</v>
      </c>
      <c r="CE188" s="16"/>
      <c r="CF188" s="16"/>
      <c r="CG188" s="78">
        <v>2008</v>
      </c>
      <c r="CH188" s="79" t="s">
        <v>38</v>
      </c>
      <c r="CI188" s="15">
        <f t="shared" si="101"/>
        <v>0.72958186791715518</v>
      </c>
      <c r="CJ188" s="15">
        <f t="shared" si="102"/>
        <v>0.76079869600651995</v>
      </c>
      <c r="CK188" s="15">
        <f t="shared" si="103"/>
        <v>0.958968347010551</v>
      </c>
      <c r="CL188" s="16"/>
      <c r="CM188" s="16"/>
      <c r="CN188" s="16">
        <v>2559</v>
      </c>
      <c r="CO188" s="16">
        <f t="shared" si="151"/>
        <v>105</v>
      </c>
      <c r="CP188" s="16">
        <v>2454</v>
      </c>
      <c r="CQ188" s="16">
        <v>1867</v>
      </c>
      <c r="CR188" s="16">
        <f t="shared" si="152"/>
        <v>587</v>
      </c>
      <c r="CS188" s="16"/>
      <c r="CT188" s="16"/>
      <c r="CU188" s="78">
        <v>2008</v>
      </c>
      <c r="CV188" s="79" t="s">
        <v>38</v>
      </c>
      <c r="CW188" s="15">
        <f t="shared" si="58"/>
        <v>0.95300072306579897</v>
      </c>
      <c r="CX188" s="15">
        <f t="shared" si="59"/>
        <v>0.9748520710059172</v>
      </c>
      <c r="CY188" s="15">
        <f t="shared" si="60"/>
        <v>0.97758496023138108</v>
      </c>
      <c r="CZ188" s="16"/>
      <c r="DA188" s="16"/>
      <c r="DB188" s="16">
        <v>1383</v>
      </c>
      <c r="DC188" s="16">
        <f t="shared" si="61"/>
        <v>31</v>
      </c>
      <c r="DD188" s="16">
        <v>1352</v>
      </c>
      <c r="DE188" s="16">
        <v>1318</v>
      </c>
      <c r="DF188" s="16">
        <f t="shared" si="62"/>
        <v>34</v>
      </c>
      <c r="DG188" s="16"/>
      <c r="DH188" s="16"/>
      <c r="DI188" s="78">
        <v>2008</v>
      </c>
      <c r="DJ188" s="79" t="s">
        <v>38</v>
      </c>
      <c r="DK188" s="15">
        <f t="shared" si="106"/>
        <v>0.91922290388548056</v>
      </c>
      <c r="DL188" s="15">
        <f t="shared" si="107"/>
        <v>0.93743482794577682</v>
      </c>
      <c r="DM188" s="15">
        <f t="shared" si="108"/>
        <v>0.98057259713701428</v>
      </c>
      <c r="DN188" s="16"/>
      <c r="DO188" s="16"/>
      <c r="DP188" s="16">
        <v>978</v>
      </c>
      <c r="DQ188" s="16">
        <f t="shared" si="153"/>
        <v>19</v>
      </c>
      <c r="DR188" s="16">
        <v>959</v>
      </c>
      <c r="DS188" s="16">
        <v>899</v>
      </c>
      <c r="DT188" s="16">
        <f t="shared" si="154"/>
        <v>60</v>
      </c>
      <c r="DU188" s="16"/>
      <c r="DV188" s="16"/>
      <c r="DW188" s="78">
        <v>2008</v>
      </c>
      <c r="DX188" s="79" t="s">
        <v>38</v>
      </c>
      <c r="DY188" s="15">
        <f t="shared" si="111"/>
        <v>0.88417618270799347</v>
      </c>
      <c r="DZ188" s="15">
        <f t="shared" si="112"/>
        <v>0.91245791245791241</v>
      </c>
      <c r="EA188" s="15">
        <f t="shared" si="113"/>
        <v>0.96900489396411094</v>
      </c>
      <c r="EB188" s="16"/>
      <c r="EC188" s="16"/>
      <c r="ED188" s="16">
        <v>1226</v>
      </c>
      <c r="EE188" s="16">
        <f t="shared" si="155"/>
        <v>38</v>
      </c>
      <c r="EF188" s="16">
        <v>1188</v>
      </c>
      <c r="EG188" s="16">
        <v>1084</v>
      </c>
      <c r="EH188" s="16">
        <f t="shared" si="156"/>
        <v>104</v>
      </c>
      <c r="EI188" s="16"/>
      <c r="EJ188" s="16"/>
      <c r="EK188" s="78"/>
      <c r="EL188" s="79"/>
      <c r="EM188" s="15"/>
      <c r="EN188" s="15"/>
      <c r="EO188" s="15"/>
      <c r="EP188" s="16"/>
      <c r="EQ188" s="16"/>
      <c r="ER188" s="16"/>
      <c r="ES188" s="16"/>
      <c r="ET188" s="16"/>
      <c r="EU188" s="16"/>
      <c r="EV188" s="16"/>
      <c r="EW188" s="16"/>
      <c r="EX188" s="16"/>
      <c r="EY188" s="78"/>
      <c r="EZ188" s="79"/>
      <c r="FA188" s="15"/>
      <c r="FB188" s="15"/>
      <c r="FC188" s="15"/>
      <c r="FD188" s="16"/>
      <c r="FE188" s="16"/>
      <c r="FF188" s="16"/>
      <c r="FG188" s="16"/>
      <c r="FH188" s="16"/>
      <c r="FI188" s="16"/>
      <c r="FJ188" s="16"/>
      <c r="FK188" s="16"/>
      <c r="FM188" s="78"/>
      <c r="FN188" s="79"/>
      <c r="FO188" s="15"/>
      <c r="FP188" s="15"/>
      <c r="FQ188" s="15"/>
      <c r="FR188" s="16"/>
      <c r="FS188" s="16"/>
      <c r="FT188" s="16"/>
      <c r="FU188" s="16"/>
      <c r="FV188" s="16"/>
      <c r="FW188" s="16"/>
      <c r="FX188" s="16"/>
      <c r="FY188" s="16"/>
      <c r="GA188" s="78"/>
      <c r="GB188" s="79"/>
      <c r="GC188" s="15"/>
      <c r="GD188" s="15"/>
      <c r="GE188" s="15"/>
      <c r="GF188" s="16"/>
      <c r="GG188" s="16"/>
      <c r="GH188" s="16"/>
      <c r="GI188" s="16"/>
      <c r="GJ188" s="16"/>
      <c r="GK188" s="16"/>
      <c r="GL188" s="16"/>
      <c r="GM188" s="16"/>
    </row>
    <row r="189" spans="1:195" s="18" customFormat="1" ht="15" customHeight="1">
      <c r="A189" s="80">
        <v>2008</v>
      </c>
      <c r="B189" s="81" t="s">
        <v>39</v>
      </c>
      <c r="C189" s="15">
        <f t="shared" si="73"/>
        <v>0.71731890091590345</v>
      </c>
      <c r="D189" s="15">
        <f t="shared" si="74"/>
        <v>0.7633181969210322</v>
      </c>
      <c r="E189" s="15">
        <f t="shared" si="75"/>
        <v>0.93973771856786015</v>
      </c>
      <c r="F189" s="16"/>
      <c r="G189" s="33"/>
      <c r="H18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19216</v>
      </c>
      <c r="I189" s="16">
        <f t="shared" si="76"/>
        <v>1158</v>
      </c>
      <c r="J18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18058</v>
      </c>
      <c r="K18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13784</v>
      </c>
      <c r="L189" s="16">
        <f t="shared" si="77"/>
        <v>4274</v>
      </c>
      <c r="M189" s="16"/>
      <c r="N189" s="16"/>
      <c r="O189" s="80">
        <v>2008</v>
      </c>
      <c r="P189" s="81" t="s">
        <v>39</v>
      </c>
      <c r="Q189" s="15">
        <f t="shared" si="78"/>
        <v>0.60846664065548184</v>
      </c>
      <c r="R189" s="15">
        <f t="shared" si="79"/>
        <v>0.65649336981688067</v>
      </c>
      <c r="S189" s="15">
        <f t="shared" si="80"/>
        <v>0.92684354272337099</v>
      </c>
      <c r="T189" s="26"/>
      <c r="U189" s="26"/>
      <c r="V189" s="16">
        <v>5126</v>
      </c>
      <c r="W189" s="16">
        <f t="shared" si="143"/>
        <v>375</v>
      </c>
      <c r="X189" s="16">
        <v>4751</v>
      </c>
      <c r="Y189" s="16">
        <v>3119</v>
      </c>
      <c r="Z189" s="16">
        <f t="shared" si="144"/>
        <v>1632</v>
      </c>
      <c r="AA189" s="16"/>
      <c r="AB189" s="16"/>
      <c r="AC189" s="80"/>
      <c r="AD189" s="81"/>
      <c r="AE189" s="15"/>
      <c r="AF189" s="15"/>
      <c r="AG189" s="15"/>
      <c r="AH189" s="15"/>
      <c r="AI189" s="15"/>
      <c r="AJ189" s="16"/>
      <c r="AK189" s="16"/>
      <c r="AL189" s="16"/>
      <c r="AM189" s="16"/>
      <c r="AN189" s="16"/>
      <c r="AO189" s="16"/>
      <c r="AP189" s="16"/>
      <c r="AQ189" s="80">
        <v>2008</v>
      </c>
      <c r="AR189" s="81" t="s">
        <v>39</v>
      </c>
      <c r="AS189" s="15">
        <f t="shared" si="86"/>
        <v>0.65265532089399225</v>
      </c>
      <c r="AT189" s="15">
        <f t="shared" si="87"/>
        <v>0.71899706347413594</v>
      </c>
      <c r="AU189" s="15">
        <f t="shared" si="88"/>
        <v>0.9077301619848267</v>
      </c>
      <c r="AV189" s="16"/>
      <c r="AW189" s="16"/>
      <c r="AX189" s="16">
        <v>4877</v>
      </c>
      <c r="AY189" s="16">
        <f t="shared" si="145"/>
        <v>450</v>
      </c>
      <c r="AZ189" s="16">
        <v>4427</v>
      </c>
      <c r="BA189" s="16">
        <v>3183</v>
      </c>
      <c r="BB189" s="16">
        <f t="shared" si="146"/>
        <v>1244</v>
      </c>
      <c r="BC189" s="16"/>
      <c r="BD189" s="16"/>
      <c r="BE189" s="80">
        <v>2008</v>
      </c>
      <c r="BF189" s="81" t="s">
        <v>39</v>
      </c>
      <c r="BG189" s="15">
        <f t="shared" si="91"/>
        <v>0.53201970443349755</v>
      </c>
      <c r="BH189" s="15">
        <f t="shared" si="92"/>
        <v>0.6328125</v>
      </c>
      <c r="BI189" s="15">
        <f t="shared" si="93"/>
        <v>0.84072249589490966</v>
      </c>
      <c r="BJ189" s="16"/>
      <c r="BK189" s="16"/>
      <c r="BL189" s="16">
        <v>609</v>
      </c>
      <c r="BM189" s="16">
        <f t="shared" si="147"/>
        <v>97</v>
      </c>
      <c r="BN189" s="16">
        <v>512</v>
      </c>
      <c r="BO189" s="16">
        <v>324</v>
      </c>
      <c r="BP189" s="16">
        <f t="shared" si="148"/>
        <v>188</v>
      </c>
      <c r="BQ189" s="16"/>
      <c r="BR189" s="16"/>
      <c r="BS189" s="80">
        <v>2008</v>
      </c>
      <c r="BT189" s="81" t="s">
        <v>39</v>
      </c>
      <c r="BU189" s="15">
        <f t="shared" si="96"/>
        <v>0.84143023707734166</v>
      </c>
      <c r="BV189" s="15">
        <f t="shared" si="97"/>
        <v>0.87017684887459812</v>
      </c>
      <c r="BW189" s="15">
        <f t="shared" si="98"/>
        <v>0.96696463272444622</v>
      </c>
      <c r="BX189" s="16"/>
      <c r="BY189" s="16"/>
      <c r="BZ189" s="16">
        <v>2573</v>
      </c>
      <c r="CA189" s="16">
        <f t="shared" si="149"/>
        <v>85</v>
      </c>
      <c r="CB189" s="16">
        <v>2488</v>
      </c>
      <c r="CC189" s="16">
        <v>2165</v>
      </c>
      <c r="CD189" s="16">
        <f t="shared" si="150"/>
        <v>323</v>
      </c>
      <c r="CE189" s="16"/>
      <c r="CF189" s="16"/>
      <c r="CG189" s="80">
        <v>2008</v>
      </c>
      <c r="CH189" s="81" t="s">
        <v>39</v>
      </c>
      <c r="CI189" s="15">
        <f t="shared" si="101"/>
        <v>0.75455987311657413</v>
      </c>
      <c r="CJ189" s="15">
        <f t="shared" si="102"/>
        <v>0.78184059161873465</v>
      </c>
      <c r="CK189" s="15">
        <f t="shared" si="103"/>
        <v>0.96510705789056306</v>
      </c>
      <c r="CL189" s="16"/>
      <c r="CM189" s="16"/>
      <c r="CN189" s="16">
        <v>2522</v>
      </c>
      <c r="CO189" s="16">
        <f t="shared" si="151"/>
        <v>88</v>
      </c>
      <c r="CP189" s="16">
        <v>2434</v>
      </c>
      <c r="CQ189" s="16">
        <v>1903</v>
      </c>
      <c r="CR189" s="16">
        <f t="shared" si="152"/>
        <v>531</v>
      </c>
      <c r="CS189" s="16"/>
      <c r="CT189" s="16"/>
      <c r="CU189" s="80">
        <v>2008</v>
      </c>
      <c r="CV189" s="81" t="s">
        <v>39</v>
      </c>
      <c r="CW189" s="15">
        <f t="shared" si="58"/>
        <v>0.94375456537618696</v>
      </c>
      <c r="CX189" s="15">
        <f t="shared" si="59"/>
        <v>0.96130952380952384</v>
      </c>
      <c r="CY189" s="15">
        <f t="shared" si="60"/>
        <v>0.98173849525200874</v>
      </c>
      <c r="CZ189" s="16"/>
      <c r="DA189" s="16"/>
      <c r="DB189" s="16">
        <v>1369</v>
      </c>
      <c r="DC189" s="16">
        <f t="shared" si="61"/>
        <v>25</v>
      </c>
      <c r="DD189" s="16">
        <v>1344</v>
      </c>
      <c r="DE189" s="16">
        <v>1292</v>
      </c>
      <c r="DF189" s="16">
        <f t="shared" si="62"/>
        <v>52</v>
      </c>
      <c r="DG189" s="16"/>
      <c r="DH189" s="16"/>
      <c r="DI189" s="80">
        <v>2008</v>
      </c>
      <c r="DJ189" s="81" t="s">
        <v>39</v>
      </c>
      <c r="DK189" s="15">
        <f t="shared" si="106"/>
        <v>0.92526315789473679</v>
      </c>
      <c r="DL189" s="15">
        <f t="shared" si="107"/>
        <v>0.93411264612114775</v>
      </c>
      <c r="DM189" s="15">
        <f t="shared" si="108"/>
        <v>0.9905263157894737</v>
      </c>
      <c r="DN189" s="16"/>
      <c r="DO189" s="16"/>
      <c r="DP189" s="16">
        <v>950</v>
      </c>
      <c r="DQ189" s="16">
        <f t="shared" si="153"/>
        <v>9</v>
      </c>
      <c r="DR189" s="16">
        <v>941</v>
      </c>
      <c r="DS189" s="16">
        <v>879</v>
      </c>
      <c r="DT189" s="16">
        <f t="shared" si="154"/>
        <v>62</v>
      </c>
      <c r="DU189" s="16"/>
      <c r="DV189" s="16"/>
      <c r="DW189" s="80">
        <v>2008</v>
      </c>
      <c r="DX189" s="81" t="s">
        <v>39</v>
      </c>
      <c r="DY189" s="15">
        <f t="shared" si="111"/>
        <v>0.77226890756302524</v>
      </c>
      <c r="DZ189" s="15">
        <f t="shared" si="112"/>
        <v>0.79155900086132647</v>
      </c>
      <c r="EA189" s="15">
        <f t="shared" si="113"/>
        <v>0.97563025210084031</v>
      </c>
      <c r="EB189" s="16"/>
      <c r="EC189" s="16"/>
      <c r="ED189" s="16">
        <v>1190</v>
      </c>
      <c r="EE189" s="16">
        <f t="shared" si="155"/>
        <v>29</v>
      </c>
      <c r="EF189" s="16">
        <v>1161</v>
      </c>
      <c r="EG189" s="16">
        <v>919</v>
      </c>
      <c r="EH189" s="16">
        <f t="shared" si="156"/>
        <v>242</v>
      </c>
      <c r="EI189" s="16"/>
      <c r="EJ189" s="16"/>
      <c r="EK189" s="80"/>
      <c r="EL189" s="81"/>
      <c r="EM189" s="15"/>
      <c r="EN189" s="15"/>
      <c r="EO189" s="15"/>
      <c r="EP189" s="16"/>
      <c r="EQ189" s="16"/>
      <c r="ER189" s="16"/>
      <c r="ES189" s="16"/>
      <c r="ET189" s="16"/>
      <c r="EU189" s="16"/>
      <c r="EV189" s="16"/>
      <c r="EW189" s="16"/>
      <c r="EX189" s="16"/>
      <c r="EY189" s="80"/>
      <c r="EZ189" s="81"/>
      <c r="FA189" s="15"/>
      <c r="FB189" s="15"/>
      <c r="FC189" s="15"/>
      <c r="FD189" s="16"/>
      <c r="FE189" s="16"/>
      <c r="FF189" s="16"/>
      <c r="FG189" s="16"/>
      <c r="FH189" s="16"/>
      <c r="FI189" s="16"/>
      <c r="FJ189" s="16"/>
      <c r="FK189" s="16"/>
      <c r="FM189" s="80"/>
      <c r="FN189" s="81"/>
      <c r="FO189" s="15"/>
      <c r="FP189" s="15"/>
      <c r="FQ189" s="15"/>
      <c r="FR189" s="16"/>
      <c r="FS189" s="16"/>
      <c r="FT189" s="16"/>
      <c r="FU189" s="16"/>
      <c r="FV189" s="16"/>
      <c r="FW189" s="16"/>
      <c r="FX189" s="16"/>
      <c r="FY189" s="16"/>
      <c r="GA189" s="80"/>
      <c r="GB189" s="81"/>
      <c r="GC189" s="15"/>
      <c r="GD189" s="15"/>
      <c r="GE189" s="15"/>
      <c r="GF189" s="16"/>
      <c r="GG189" s="16"/>
      <c r="GH189" s="16"/>
      <c r="GI189" s="16"/>
      <c r="GJ189" s="16"/>
      <c r="GK189" s="16"/>
      <c r="GL189" s="16"/>
      <c r="GM189" s="16"/>
    </row>
    <row r="190" spans="1:195" s="18" customFormat="1" ht="15" customHeight="1">
      <c r="A190" s="78">
        <v>2008</v>
      </c>
      <c r="B190" s="79" t="s">
        <v>40</v>
      </c>
      <c r="C190" s="15">
        <f t="shared" si="73"/>
        <v>0.70024768740838095</v>
      </c>
      <c r="D190" s="15">
        <f t="shared" si="74"/>
        <v>0.7452657628577577</v>
      </c>
      <c r="E190" s="15">
        <f t="shared" si="75"/>
        <v>0.93959460142546636</v>
      </c>
      <c r="F190" s="16"/>
      <c r="G190" s="33"/>
      <c r="H19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19783</v>
      </c>
      <c r="I190" s="16">
        <f t="shared" si="76"/>
        <v>1195</v>
      </c>
      <c r="J19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18588</v>
      </c>
      <c r="K19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13853</v>
      </c>
      <c r="L190" s="16">
        <f t="shared" si="77"/>
        <v>4735</v>
      </c>
      <c r="M190" s="16"/>
      <c r="N190" s="16"/>
      <c r="O190" s="78">
        <v>2008</v>
      </c>
      <c r="P190" s="79" t="s">
        <v>40</v>
      </c>
      <c r="Q190" s="15">
        <f t="shared" si="78"/>
        <v>0.65333586050037906</v>
      </c>
      <c r="R190" s="15">
        <f t="shared" si="79"/>
        <v>0.69947240259740262</v>
      </c>
      <c r="S190" s="15">
        <f t="shared" si="80"/>
        <v>0.93404094010614103</v>
      </c>
      <c r="T190" s="26"/>
      <c r="U190" s="26"/>
      <c r="V190" s="16">
        <v>5276</v>
      </c>
      <c r="W190" s="16">
        <f t="shared" si="143"/>
        <v>348</v>
      </c>
      <c r="X190" s="16">
        <v>4928</v>
      </c>
      <c r="Y190" s="16">
        <v>3447</v>
      </c>
      <c r="Z190" s="16">
        <f t="shared" si="144"/>
        <v>1481</v>
      </c>
      <c r="AA190" s="16"/>
      <c r="AB190" s="16"/>
      <c r="AC190" s="78"/>
      <c r="AD190" s="79"/>
      <c r="AE190" s="15"/>
      <c r="AF190" s="15"/>
      <c r="AG190" s="15"/>
      <c r="AH190" s="15"/>
      <c r="AI190" s="15"/>
      <c r="AJ190" s="16"/>
      <c r="AK190" s="16"/>
      <c r="AL190" s="16"/>
      <c r="AM190" s="16"/>
      <c r="AN190" s="16"/>
      <c r="AO190" s="16"/>
      <c r="AP190" s="16"/>
      <c r="AQ190" s="78">
        <v>2008</v>
      </c>
      <c r="AR190" s="79" t="s">
        <v>40</v>
      </c>
      <c r="AS190" s="15">
        <f t="shared" si="86"/>
        <v>0.69007360254625028</v>
      </c>
      <c r="AT190" s="15">
        <f t="shared" si="87"/>
        <v>0.74972984655284203</v>
      </c>
      <c r="AU190" s="15">
        <f t="shared" si="88"/>
        <v>0.92042967972946088</v>
      </c>
      <c r="AV190" s="16"/>
      <c r="AW190" s="16"/>
      <c r="AX190" s="16">
        <v>5027</v>
      </c>
      <c r="AY190" s="16">
        <f t="shared" si="145"/>
        <v>400</v>
      </c>
      <c r="AZ190" s="16">
        <v>4627</v>
      </c>
      <c r="BA190" s="16">
        <v>3469</v>
      </c>
      <c r="BB190" s="16">
        <f t="shared" si="146"/>
        <v>1158</v>
      </c>
      <c r="BC190" s="16"/>
      <c r="BD190" s="16"/>
      <c r="BE190" s="78">
        <v>2008</v>
      </c>
      <c r="BF190" s="79" t="s">
        <v>40</v>
      </c>
      <c r="BG190" s="15">
        <f t="shared" si="91"/>
        <v>0.5451559934318555</v>
      </c>
      <c r="BH190" s="15">
        <f t="shared" si="92"/>
        <v>0.64591439688715957</v>
      </c>
      <c r="BI190" s="15">
        <f t="shared" si="93"/>
        <v>0.84400656814449915</v>
      </c>
      <c r="BJ190" s="16"/>
      <c r="BK190" s="16"/>
      <c r="BL190" s="16">
        <v>609</v>
      </c>
      <c r="BM190" s="16">
        <f t="shared" si="147"/>
        <v>95</v>
      </c>
      <c r="BN190" s="16">
        <v>514</v>
      </c>
      <c r="BO190" s="16">
        <v>332</v>
      </c>
      <c r="BP190" s="16">
        <f t="shared" si="148"/>
        <v>182</v>
      </c>
      <c r="BQ190" s="16"/>
      <c r="BR190" s="16"/>
      <c r="BS190" s="78">
        <v>2008</v>
      </c>
      <c r="BT190" s="79" t="s">
        <v>40</v>
      </c>
      <c r="BU190" s="15">
        <f t="shared" si="96"/>
        <v>0.84383251603168619</v>
      </c>
      <c r="BV190" s="15">
        <f t="shared" si="97"/>
        <v>0.86840062111801242</v>
      </c>
      <c r="BW190" s="15">
        <f t="shared" si="98"/>
        <v>0.97170878913617498</v>
      </c>
      <c r="BX190" s="16"/>
      <c r="BY190" s="16"/>
      <c r="BZ190" s="16">
        <v>2651</v>
      </c>
      <c r="CA190" s="16">
        <f t="shared" si="149"/>
        <v>75</v>
      </c>
      <c r="CB190" s="16">
        <v>2576</v>
      </c>
      <c r="CC190" s="16">
        <v>2237</v>
      </c>
      <c r="CD190" s="16">
        <f t="shared" si="150"/>
        <v>339</v>
      </c>
      <c r="CE190" s="16"/>
      <c r="CF190" s="16"/>
      <c r="CG190" s="78">
        <v>2008</v>
      </c>
      <c r="CH190" s="79" t="s">
        <v>40</v>
      </c>
      <c r="CI190" s="15">
        <f t="shared" si="101"/>
        <v>0.76183147364370907</v>
      </c>
      <c r="CJ190" s="15">
        <f t="shared" si="102"/>
        <v>0.78947368421052633</v>
      </c>
      <c r="CK190" s="15">
        <f t="shared" si="103"/>
        <v>0.96498653328203154</v>
      </c>
      <c r="CL190" s="16"/>
      <c r="CM190" s="16"/>
      <c r="CN190" s="16">
        <v>2599</v>
      </c>
      <c r="CO190" s="16">
        <f t="shared" si="151"/>
        <v>91</v>
      </c>
      <c r="CP190" s="16">
        <v>2508</v>
      </c>
      <c r="CQ190" s="16">
        <v>1980</v>
      </c>
      <c r="CR190" s="16">
        <f t="shared" si="152"/>
        <v>528</v>
      </c>
      <c r="CS190" s="16"/>
      <c r="CT190" s="16"/>
      <c r="CU190" s="78">
        <v>2008</v>
      </c>
      <c r="CV190" s="79" t="s">
        <v>40</v>
      </c>
      <c r="CW190" s="15">
        <f t="shared" si="58"/>
        <v>0.94535131298793473</v>
      </c>
      <c r="CX190" s="15">
        <f t="shared" si="59"/>
        <v>0.96591733139956493</v>
      </c>
      <c r="CY190" s="15">
        <f t="shared" si="60"/>
        <v>0.97870830376153295</v>
      </c>
      <c r="CZ190" s="16"/>
      <c r="DA190" s="16"/>
      <c r="DB190" s="16">
        <v>1409</v>
      </c>
      <c r="DC190" s="16">
        <f t="shared" si="61"/>
        <v>30</v>
      </c>
      <c r="DD190" s="16">
        <v>1379</v>
      </c>
      <c r="DE190" s="16">
        <v>1332</v>
      </c>
      <c r="DF190" s="16">
        <f t="shared" si="62"/>
        <v>47</v>
      </c>
      <c r="DG190" s="16"/>
      <c r="DH190" s="16"/>
      <c r="DI190" s="78">
        <v>2008</v>
      </c>
      <c r="DJ190" s="79" t="s">
        <v>40</v>
      </c>
      <c r="DK190" s="15">
        <f t="shared" si="106"/>
        <v>0.89918533604887985</v>
      </c>
      <c r="DL190" s="15">
        <f t="shared" si="107"/>
        <v>0.91030927835051545</v>
      </c>
      <c r="DM190" s="15">
        <f t="shared" si="108"/>
        <v>0.98778004073319758</v>
      </c>
      <c r="DN190" s="16"/>
      <c r="DO190" s="16"/>
      <c r="DP190" s="16">
        <v>982</v>
      </c>
      <c r="DQ190" s="16">
        <f t="shared" si="153"/>
        <v>12</v>
      </c>
      <c r="DR190" s="16">
        <v>970</v>
      </c>
      <c r="DS190" s="16">
        <v>883</v>
      </c>
      <c r="DT190" s="16">
        <f t="shared" si="154"/>
        <v>87</v>
      </c>
      <c r="DU190" s="16"/>
      <c r="DV190" s="16"/>
      <c r="DW190" s="78">
        <v>2008</v>
      </c>
      <c r="DX190" s="79" t="s">
        <v>40</v>
      </c>
      <c r="DY190" s="15">
        <f t="shared" si="111"/>
        <v>0.14065040650406505</v>
      </c>
      <c r="DZ190" s="15">
        <f t="shared" si="112"/>
        <v>0.15930018416206262</v>
      </c>
      <c r="EA190" s="15">
        <f t="shared" si="113"/>
        <v>0.88292682926829269</v>
      </c>
      <c r="EB190" s="16"/>
      <c r="EC190" s="16"/>
      <c r="ED190" s="16">
        <v>1230</v>
      </c>
      <c r="EE190" s="16">
        <f t="shared" si="155"/>
        <v>144</v>
      </c>
      <c r="EF190" s="16">
        <v>1086</v>
      </c>
      <c r="EG190" s="16">
        <v>173</v>
      </c>
      <c r="EH190" s="16">
        <f t="shared" si="156"/>
        <v>913</v>
      </c>
      <c r="EI190" s="16"/>
      <c r="EJ190" s="16"/>
      <c r="EK190" s="78"/>
      <c r="EL190" s="79"/>
      <c r="EM190" s="15"/>
      <c r="EN190" s="15"/>
      <c r="EO190" s="15"/>
      <c r="EP190" s="16"/>
      <c r="EQ190" s="16"/>
      <c r="ER190" s="16"/>
      <c r="ES190" s="16"/>
      <c r="ET190" s="16"/>
      <c r="EU190" s="16"/>
      <c r="EV190" s="16"/>
      <c r="EW190" s="16"/>
      <c r="EX190" s="16"/>
      <c r="EY190" s="78"/>
      <c r="EZ190" s="79"/>
      <c r="FA190" s="15"/>
      <c r="FB190" s="15"/>
      <c r="FC190" s="15"/>
      <c r="FD190" s="16"/>
      <c r="FE190" s="16"/>
      <c r="FF190" s="16"/>
      <c r="FG190" s="16"/>
      <c r="FH190" s="16"/>
      <c r="FI190" s="16"/>
      <c r="FJ190" s="16"/>
      <c r="FK190" s="16"/>
      <c r="FM190" s="78"/>
      <c r="FN190" s="79"/>
      <c r="FO190" s="15"/>
      <c r="FP190" s="15"/>
      <c r="FQ190" s="15"/>
      <c r="FR190" s="16"/>
      <c r="FS190" s="16"/>
      <c r="FT190" s="16"/>
      <c r="FU190" s="16"/>
      <c r="FV190" s="16"/>
      <c r="FW190" s="16"/>
      <c r="FX190" s="16"/>
      <c r="FY190" s="16"/>
      <c r="GA190" s="78"/>
      <c r="GB190" s="79"/>
      <c r="GC190" s="15"/>
      <c r="GD190" s="15"/>
      <c r="GE190" s="15"/>
      <c r="GF190" s="16"/>
      <c r="GG190" s="16"/>
      <c r="GH190" s="16"/>
      <c r="GI190" s="16"/>
      <c r="GJ190" s="16"/>
      <c r="GK190" s="16"/>
      <c r="GL190" s="16"/>
      <c r="GM190" s="16"/>
    </row>
    <row r="191" spans="1:195" s="18" customFormat="1" ht="15" customHeight="1">
      <c r="A191" s="80">
        <v>2008</v>
      </c>
      <c r="B191" s="81" t="s">
        <v>41</v>
      </c>
      <c r="C191" s="15">
        <f t="shared" si="73"/>
        <v>0.7066772235418316</v>
      </c>
      <c r="D191" s="15">
        <f t="shared" si="74"/>
        <v>0.75188138829607998</v>
      </c>
      <c r="E191" s="15">
        <f t="shared" si="75"/>
        <v>0.93987859593560308</v>
      </c>
      <c r="F191" s="16"/>
      <c r="G191" s="33"/>
      <c r="H19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18945</v>
      </c>
      <c r="I191" s="16">
        <f t="shared" si="76"/>
        <v>1139</v>
      </c>
      <c r="J19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17806</v>
      </c>
      <c r="K19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13388</v>
      </c>
      <c r="L191" s="16">
        <f t="shared" si="77"/>
        <v>4418</v>
      </c>
      <c r="M191" s="16"/>
      <c r="N191" s="16"/>
      <c r="O191" s="80">
        <v>2008</v>
      </c>
      <c r="P191" s="81" t="s">
        <v>41</v>
      </c>
      <c r="Q191" s="15">
        <f t="shared" si="78"/>
        <v>0.67674557390093493</v>
      </c>
      <c r="R191" s="15">
        <f t="shared" si="79"/>
        <v>0.71711635750421587</v>
      </c>
      <c r="S191" s="15">
        <f t="shared" si="80"/>
        <v>0.94370399840859365</v>
      </c>
      <c r="T191" s="26"/>
      <c r="U191" s="26"/>
      <c r="V191" s="16">
        <v>5027</v>
      </c>
      <c r="W191" s="16">
        <f t="shared" si="143"/>
        <v>283</v>
      </c>
      <c r="X191" s="16">
        <v>4744</v>
      </c>
      <c r="Y191" s="16">
        <v>3402</v>
      </c>
      <c r="Z191" s="16">
        <f t="shared" si="144"/>
        <v>1342</v>
      </c>
      <c r="AA191" s="16"/>
      <c r="AB191" s="16"/>
      <c r="AC191" s="80"/>
      <c r="AD191" s="81"/>
      <c r="AE191" s="15"/>
      <c r="AF191" s="15"/>
      <c r="AG191" s="15"/>
      <c r="AH191" s="15"/>
      <c r="AI191" s="15"/>
      <c r="AJ191" s="16"/>
      <c r="AK191" s="16"/>
      <c r="AL191" s="16"/>
      <c r="AM191" s="16"/>
      <c r="AN191" s="16"/>
      <c r="AO191" s="16"/>
      <c r="AP191" s="16"/>
      <c r="AQ191" s="80">
        <v>2008</v>
      </c>
      <c r="AR191" s="81" t="s">
        <v>41</v>
      </c>
      <c r="AS191" s="15">
        <f t="shared" si="86"/>
        <v>0.70262938230383976</v>
      </c>
      <c r="AT191" s="15">
        <f t="shared" si="87"/>
        <v>0.76090395480225992</v>
      </c>
      <c r="AU191" s="15">
        <f t="shared" si="88"/>
        <v>0.92341402337228717</v>
      </c>
      <c r="AV191" s="16"/>
      <c r="AW191" s="16"/>
      <c r="AX191" s="16">
        <v>4792</v>
      </c>
      <c r="AY191" s="16">
        <f t="shared" si="145"/>
        <v>367</v>
      </c>
      <c r="AZ191" s="16">
        <v>4425</v>
      </c>
      <c r="BA191" s="16">
        <v>3367</v>
      </c>
      <c r="BB191" s="16">
        <f t="shared" si="146"/>
        <v>1058</v>
      </c>
      <c r="BC191" s="16"/>
      <c r="BD191" s="16"/>
      <c r="BE191" s="80">
        <v>2008</v>
      </c>
      <c r="BF191" s="81" t="s">
        <v>41</v>
      </c>
      <c r="BG191" s="15">
        <f t="shared" si="91"/>
        <v>0.47931034482758622</v>
      </c>
      <c r="BH191" s="15">
        <f t="shared" si="92"/>
        <v>0.56850715746421265</v>
      </c>
      <c r="BI191" s="15">
        <f t="shared" si="93"/>
        <v>0.84310344827586203</v>
      </c>
      <c r="BJ191" s="16"/>
      <c r="BK191" s="16"/>
      <c r="BL191" s="16">
        <v>580</v>
      </c>
      <c r="BM191" s="16">
        <f t="shared" si="147"/>
        <v>91</v>
      </c>
      <c r="BN191" s="16">
        <v>489</v>
      </c>
      <c r="BO191" s="16">
        <v>278</v>
      </c>
      <c r="BP191" s="16">
        <f t="shared" si="148"/>
        <v>211</v>
      </c>
      <c r="BQ191" s="16"/>
      <c r="BR191" s="16"/>
      <c r="BS191" s="80">
        <v>2008</v>
      </c>
      <c r="BT191" s="81" t="s">
        <v>41</v>
      </c>
      <c r="BU191" s="15">
        <f t="shared" si="96"/>
        <v>0.83738244514106586</v>
      </c>
      <c r="BV191" s="15">
        <f t="shared" si="97"/>
        <v>0.86134623135832322</v>
      </c>
      <c r="BW191" s="15">
        <f t="shared" si="98"/>
        <v>0.97217868338557989</v>
      </c>
      <c r="BX191" s="16"/>
      <c r="BY191" s="16"/>
      <c r="BZ191" s="16">
        <v>2552</v>
      </c>
      <c r="CA191" s="16">
        <f t="shared" si="149"/>
        <v>71</v>
      </c>
      <c r="CB191" s="16">
        <v>2481</v>
      </c>
      <c r="CC191" s="16">
        <v>2137</v>
      </c>
      <c r="CD191" s="16">
        <f t="shared" si="150"/>
        <v>344</v>
      </c>
      <c r="CE191" s="16"/>
      <c r="CF191" s="16"/>
      <c r="CG191" s="80">
        <v>2008</v>
      </c>
      <c r="CH191" s="81" t="s">
        <v>41</v>
      </c>
      <c r="CI191" s="15">
        <f t="shared" si="101"/>
        <v>0.74980015987210236</v>
      </c>
      <c r="CJ191" s="15">
        <f t="shared" si="102"/>
        <v>0.77713338856669434</v>
      </c>
      <c r="CK191" s="15">
        <f t="shared" si="103"/>
        <v>0.96482813749000795</v>
      </c>
      <c r="CL191" s="16"/>
      <c r="CM191" s="16"/>
      <c r="CN191" s="16">
        <v>2502</v>
      </c>
      <c r="CO191" s="16">
        <f t="shared" si="151"/>
        <v>88</v>
      </c>
      <c r="CP191" s="16">
        <v>2414</v>
      </c>
      <c r="CQ191" s="16">
        <v>1876</v>
      </c>
      <c r="CR191" s="16">
        <f t="shared" si="152"/>
        <v>538</v>
      </c>
      <c r="CS191" s="16"/>
      <c r="CT191" s="16"/>
      <c r="CU191" s="80">
        <v>2008</v>
      </c>
      <c r="CV191" s="81" t="s">
        <v>41</v>
      </c>
      <c r="CW191" s="15">
        <f t="shared" si="58"/>
        <v>0.9336283185840708</v>
      </c>
      <c r="CX191" s="15">
        <f t="shared" si="59"/>
        <v>0.95187969924812033</v>
      </c>
      <c r="CY191" s="15">
        <f t="shared" si="60"/>
        <v>0.9808259587020649</v>
      </c>
      <c r="CZ191" s="16"/>
      <c r="DA191" s="16"/>
      <c r="DB191" s="16">
        <v>1356</v>
      </c>
      <c r="DC191" s="16">
        <f t="shared" si="61"/>
        <v>26</v>
      </c>
      <c r="DD191" s="16">
        <v>1330</v>
      </c>
      <c r="DE191" s="16">
        <v>1266</v>
      </c>
      <c r="DF191" s="16">
        <f t="shared" si="62"/>
        <v>64</v>
      </c>
      <c r="DG191" s="16"/>
      <c r="DH191" s="16"/>
      <c r="DI191" s="80">
        <v>2008</v>
      </c>
      <c r="DJ191" s="81" t="s">
        <v>41</v>
      </c>
      <c r="DK191" s="15">
        <f t="shared" si="106"/>
        <v>0.91666666666666663</v>
      </c>
      <c r="DL191" s="15">
        <f t="shared" si="107"/>
        <v>0.94047619047619047</v>
      </c>
      <c r="DM191" s="15">
        <f t="shared" si="108"/>
        <v>0.97468354430379744</v>
      </c>
      <c r="DN191" s="16"/>
      <c r="DO191" s="16"/>
      <c r="DP191" s="16">
        <v>948</v>
      </c>
      <c r="DQ191" s="16">
        <f t="shared" si="153"/>
        <v>24</v>
      </c>
      <c r="DR191" s="16">
        <v>924</v>
      </c>
      <c r="DS191" s="16">
        <v>869</v>
      </c>
      <c r="DT191" s="16">
        <f t="shared" si="154"/>
        <v>55</v>
      </c>
      <c r="DU191" s="16"/>
      <c r="DV191" s="16"/>
      <c r="DW191" s="80">
        <v>2008</v>
      </c>
      <c r="DX191" s="81" t="s">
        <v>41</v>
      </c>
      <c r="DY191" s="15">
        <f t="shared" si="111"/>
        <v>0.16245791245791247</v>
      </c>
      <c r="DZ191" s="15">
        <f t="shared" si="112"/>
        <v>0.1931931931931932</v>
      </c>
      <c r="EA191" s="15">
        <f t="shared" si="113"/>
        <v>0.84090909090909094</v>
      </c>
      <c r="EB191" s="16"/>
      <c r="EC191" s="16"/>
      <c r="ED191" s="16">
        <v>1188</v>
      </c>
      <c r="EE191" s="16">
        <f t="shared" si="155"/>
        <v>189</v>
      </c>
      <c r="EF191" s="16">
        <v>999</v>
      </c>
      <c r="EG191" s="16">
        <v>193</v>
      </c>
      <c r="EH191" s="16">
        <f t="shared" si="156"/>
        <v>806</v>
      </c>
      <c r="EI191" s="16"/>
      <c r="EJ191" s="16"/>
      <c r="EK191" s="80"/>
      <c r="EL191" s="81"/>
      <c r="EM191" s="15"/>
      <c r="EN191" s="15"/>
      <c r="EO191" s="15"/>
      <c r="EP191" s="16"/>
      <c r="EQ191" s="16"/>
      <c r="ER191" s="16"/>
      <c r="ES191" s="16"/>
      <c r="ET191" s="16"/>
      <c r="EU191" s="16"/>
      <c r="EV191" s="16"/>
      <c r="EW191" s="16"/>
      <c r="EX191" s="16"/>
      <c r="EY191" s="80"/>
      <c r="EZ191" s="81"/>
      <c r="FA191" s="15"/>
      <c r="FB191" s="15"/>
      <c r="FC191" s="15"/>
      <c r="FD191" s="16"/>
      <c r="FE191" s="16"/>
      <c r="FF191" s="16"/>
      <c r="FG191" s="16"/>
      <c r="FH191" s="16"/>
      <c r="FI191" s="16"/>
      <c r="FJ191" s="16"/>
      <c r="FK191" s="16"/>
      <c r="FM191" s="80"/>
      <c r="FN191" s="81"/>
      <c r="FO191" s="15"/>
      <c r="FP191" s="15"/>
      <c r="FQ191" s="15"/>
      <c r="FR191" s="16"/>
      <c r="FS191" s="16"/>
      <c r="FT191" s="16"/>
      <c r="FU191" s="16"/>
      <c r="FV191" s="16"/>
      <c r="FW191" s="16"/>
      <c r="FX191" s="16"/>
      <c r="FY191" s="16"/>
      <c r="GA191" s="80"/>
      <c r="GB191" s="81"/>
      <c r="GC191" s="15"/>
      <c r="GD191" s="15"/>
      <c r="GE191" s="15"/>
      <c r="GF191" s="16"/>
      <c r="GG191" s="16"/>
      <c r="GH191" s="16"/>
      <c r="GI191" s="16"/>
      <c r="GJ191" s="16"/>
      <c r="GK191" s="16"/>
      <c r="GL191" s="16"/>
      <c r="GM191" s="16"/>
    </row>
    <row r="192" spans="1:195" s="18" customFormat="1" ht="15" customHeight="1">
      <c r="A192" s="78">
        <v>2008</v>
      </c>
      <c r="B192" s="79" t="s">
        <v>42</v>
      </c>
      <c r="C192" s="15">
        <f t="shared" si="73"/>
        <v>0.68142570281124493</v>
      </c>
      <c r="D192" s="15">
        <f t="shared" si="74"/>
        <v>0.75160575858250278</v>
      </c>
      <c r="E192" s="15">
        <f t="shared" si="75"/>
        <v>0.90662650602409633</v>
      </c>
      <c r="F192" s="16"/>
      <c r="G192" s="33"/>
      <c r="H19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19920</v>
      </c>
      <c r="I192" s="16">
        <f t="shared" si="76"/>
        <v>1860</v>
      </c>
      <c r="J19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18060</v>
      </c>
      <c r="K19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13574</v>
      </c>
      <c r="L192" s="16">
        <f t="shared" si="77"/>
        <v>4486</v>
      </c>
      <c r="M192" s="16"/>
      <c r="N192" s="16"/>
      <c r="O192" s="78">
        <v>2008</v>
      </c>
      <c r="P192" s="79" t="s">
        <v>42</v>
      </c>
      <c r="Q192" s="15">
        <f t="shared" si="78"/>
        <v>0.64561007708215834</v>
      </c>
      <c r="R192" s="15">
        <f t="shared" si="79"/>
        <v>0.74248648648648652</v>
      </c>
      <c r="S192" s="15">
        <f t="shared" si="80"/>
        <v>0.86952434668170708</v>
      </c>
      <c r="T192" s="26"/>
      <c r="U192" s="26"/>
      <c r="V192" s="16">
        <v>5319</v>
      </c>
      <c r="W192" s="16">
        <f t="shared" si="143"/>
        <v>694</v>
      </c>
      <c r="X192" s="16">
        <v>4625</v>
      </c>
      <c r="Y192" s="16">
        <v>3434</v>
      </c>
      <c r="Z192" s="16">
        <f t="shared" si="144"/>
        <v>1191</v>
      </c>
      <c r="AA192" s="16"/>
      <c r="AB192" s="16"/>
      <c r="AC192" s="78"/>
      <c r="AD192" s="79"/>
      <c r="AE192" s="15"/>
      <c r="AF192" s="15"/>
      <c r="AG192" s="15"/>
      <c r="AH192" s="15"/>
      <c r="AI192" s="15"/>
      <c r="AJ192" s="16"/>
      <c r="AK192" s="16"/>
      <c r="AL192" s="16"/>
      <c r="AM192" s="16"/>
      <c r="AN192" s="16"/>
      <c r="AO192" s="16"/>
      <c r="AP192" s="16"/>
      <c r="AQ192" s="78">
        <v>2008</v>
      </c>
      <c r="AR192" s="79" t="s">
        <v>42</v>
      </c>
      <c r="AS192" s="15">
        <f t="shared" si="86"/>
        <v>0.66805061289047052</v>
      </c>
      <c r="AT192" s="15">
        <f t="shared" si="87"/>
        <v>0.76847850807368656</v>
      </c>
      <c r="AU192" s="15">
        <f t="shared" si="88"/>
        <v>0.86931593515223404</v>
      </c>
      <c r="AV192" s="16"/>
      <c r="AW192" s="16"/>
      <c r="AX192" s="16">
        <v>5058</v>
      </c>
      <c r="AY192" s="16">
        <f t="shared" si="145"/>
        <v>661</v>
      </c>
      <c r="AZ192" s="16">
        <v>4397</v>
      </c>
      <c r="BA192" s="16">
        <v>3379</v>
      </c>
      <c r="BB192" s="16">
        <f t="shared" si="146"/>
        <v>1018</v>
      </c>
      <c r="BC192" s="16"/>
      <c r="BD192" s="16"/>
      <c r="BE192" s="78">
        <v>2008</v>
      </c>
      <c r="BF192" s="79" t="s">
        <v>42</v>
      </c>
      <c r="BG192" s="15">
        <f t="shared" si="91"/>
        <v>0.4843260188087774</v>
      </c>
      <c r="BH192" s="15">
        <f t="shared" si="92"/>
        <v>0.59652509652509655</v>
      </c>
      <c r="BI192" s="15">
        <f t="shared" si="93"/>
        <v>0.81191222570532917</v>
      </c>
      <c r="BJ192" s="16"/>
      <c r="BK192" s="16"/>
      <c r="BL192" s="16">
        <v>638</v>
      </c>
      <c r="BM192" s="16">
        <f t="shared" si="147"/>
        <v>120</v>
      </c>
      <c r="BN192" s="16">
        <v>518</v>
      </c>
      <c r="BO192" s="16">
        <v>309</v>
      </c>
      <c r="BP192" s="16">
        <f t="shared" si="148"/>
        <v>209</v>
      </c>
      <c r="BQ192" s="16"/>
      <c r="BR192" s="16"/>
      <c r="BS192" s="78">
        <v>2008</v>
      </c>
      <c r="BT192" s="79" t="s">
        <v>42</v>
      </c>
      <c r="BU192" s="15">
        <f t="shared" si="96"/>
        <v>0.83295795795795791</v>
      </c>
      <c r="BV192" s="15">
        <f t="shared" si="97"/>
        <v>0.85741885625965997</v>
      </c>
      <c r="BW192" s="15">
        <f t="shared" si="98"/>
        <v>0.9714714714714715</v>
      </c>
      <c r="BX192" s="16"/>
      <c r="BY192" s="16"/>
      <c r="BZ192" s="16">
        <v>2664</v>
      </c>
      <c r="CA192" s="16">
        <f t="shared" si="149"/>
        <v>76</v>
      </c>
      <c r="CB192" s="16">
        <v>2588</v>
      </c>
      <c r="CC192" s="16">
        <v>2219</v>
      </c>
      <c r="CD192" s="16">
        <f t="shared" si="150"/>
        <v>369</v>
      </c>
      <c r="CE192" s="16"/>
      <c r="CF192" s="16"/>
      <c r="CG192" s="78">
        <v>2008</v>
      </c>
      <c r="CH192" s="79" t="s">
        <v>42</v>
      </c>
      <c r="CI192" s="15">
        <f t="shared" si="101"/>
        <v>0.71160474913826122</v>
      </c>
      <c r="CJ192" s="15">
        <f t="shared" si="102"/>
        <v>0.73496835443037978</v>
      </c>
      <c r="CK192" s="15">
        <f t="shared" si="103"/>
        <v>0.96821141325162774</v>
      </c>
      <c r="CL192" s="16"/>
      <c r="CM192" s="16"/>
      <c r="CN192" s="16">
        <v>2611</v>
      </c>
      <c r="CO192" s="16">
        <f t="shared" si="151"/>
        <v>83</v>
      </c>
      <c r="CP192" s="16">
        <v>2528</v>
      </c>
      <c r="CQ192" s="16">
        <v>1858</v>
      </c>
      <c r="CR192" s="16">
        <f t="shared" si="152"/>
        <v>670</v>
      </c>
      <c r="CS192" s="16"/>
      <c r="CT192" s="16"/>
      <c r="CU192" s="78">
        <v>2008</v>
      </c>
      <c r="CV192" s="79" t="s">
        <v>42</v>
      </c>
      <c r="CW192" s="15">
        <f t="shared" si="58"/>
        <v>0.92736248236953456</v>
      </c>
      <c r="CX192" s="15">
        <f t="shared" si="59"/>
        <v>0.93995711222301648</v>
      </c>
      <c r="CY192" s="15">
        <f t="shared" si="60"/>
        <v>0.98660084626234135</v>
      </c>
      <c r="CZ192" s="16"/>
      <c r="DA192" s="16"/>
      <c r="DB192" s="16">
        <v>1418</v>
      </c>
      <c r="DC192" s="16">
        <f t="shared" si="61"/>
        <v>19</v>
      </c>
      <c r="DD192" s="16">
        <v>1399</v>
      </c>
      <c r="DE192" s="16">
        <v>1315</v>
      </c>
      <c r="DF192" s="16">
        <f t="shared" si="62"/>
        <v>84</v>
      </c>
      <c r="DG192" s="16"/>
      <c r="DH192" s="16"/>
      <c r="DI192" s="78">
        <v>2008</v>
      </c>
      <c r="DJ192" s="79" t="s">
        <v>42</v>
      </c>
      <c r="DK192" s="15">
        <f t="shared" si="106"/>
        <v>0.94093686354378814</v>
      </c>
      <c r="DL192" s="15">
        <f t="shared" si="107"/>
        <v>0.94672131147540983</v>
      </c>
      <c r="DM192" s="15">
        <f t="shared" si="108"/>
        <v>0.99389002036659879</v>
      </c>
      <c r="DN192" s="16"/>
      <c r="DO192" s="16"/>
      <c r="DP192" s="16">
        <v>982</v>
      </c>
      <c r="DQ192" s="16">
        <f t="shared" si="153"/>
        <v>6</v>
      </c>
      <c r="DR192" s="16">
        <v>976</v>
      </c>
      <c r="DS192" s="16">
        <v>924</v>
      </c>
      <c r="DT192" s="16">
        <f t="shared" si="154"/>
        <v>52</v>
      </c>
      <c r="DU192" s="16"/>
      <c r="DV192" s="16"/>
      <c r="DW192" s="78">
        <v>2008</v>
      </c>
      <c r="DX192" s="79" t="s">
        <v>42</v>
      </c>
      <c r="DY192" s="15">
        <f t="shared" si="111"/>
        <v>0.11056910569105691</v>
      </c>
      <c r="DZ192" s="15">
        <f t="shared" si="112"/>
        <v>0.13216715257531583</v>
      </c>
      <c r="EA192" s="15">
        <f t="shared" si="113"/>
        <v>0.8365853658536585</v>
      </c>
      <c r="EB192" s="16"/>
      <c r="EC192" s="16"/>
      <c r="ED192" s="16">
        <v>1230</v>
      </c>
      <c r="EE192" s="16">
        <f t="shared" si="155"/>
        <v>201</v>
      </c>
      <c r="EF192" s="16">
        <v>1029</v>
      </c>
      <c r="EG192" s="16">
        <v>136</v>
      </c>
      <c r="EH192" s="16">
        <f t="shared" si="156"/>
        <v>893</v>
      </c>
      <c r="EI192" s="16"/>
      <c r="EJ192" s="16"/>
      <c r="EK192" s="78"/>
      <c r="EL192" s="79"/>
      <c r="EM192" s="15"/>
      <c r="EN192" s="15"/>
      <c r="EO192" s="15"/>
      <c r="EP192" s="16"/>
      <c r="EQ192" s="16"/>
      <c r="ER192" s="16"/>
      <c r="ES192" s="16"/>
      <c r="ET192" s="16"/>
      <c r="EU192" s="16"/>
      <c r="EV192" s="16"/>
      <c r="EW192" s="16"/>
      <c r="EX192" s="16"/>
      <c r="EY192" s="78"/>
      <c r="EZ192" s="79"/>
      <c r="FA192" s="15"/>
      <c r="FB192" s="15"/>
      <c r="FC192" s="15"/>
      <c r="FD192" s="16"/>
      <c r="FE192" s="16"/>
      <c r="FF192" s="16"/>
      <c r="FG192" s="16"/>
      <c r="FH192" s="16"/>
      <c r="FI192" s="16"/>
      <c r="FJ192" s="16"/>
      <c r="FK192" s="16"/>
      <c r="FM192" s="78"/>
      <c r="FN192" s="79"/>
      <c r="FO192" s="15"/>
      <c r="FP192" s="15"/>
      <c r="FQ192" s="15"/>
      <c r="FR192" s="16"/>
      <c r="FS192" s="16"/>
      <c r="FT192" s="16"/>
      <c r="FU192" s="16"/>
      <c r="FV192" s="16"/>
      <c r="FW192" s="16"/>
      <c r="FX192" s="16"/>
      <c r="FY192" s="16"/>
      <c r="GA192" s="78"/>
      <c r="GB192" s="79"/>
      <c r="GC192" s="15"/>
      <c r="GD192" s="15"/>
      <c r="GE192" s="15"/>
      <c r="GF192" s="16"/>
      <c r="GG192" s="16"/>
      <c r="GH192" s="16"/>
      <c r="GI192" s="16"/>
      <c r="GJ192" s="16"/>
      <c r="GK192" s="16"/>
      <c r="GL192" s="16"/>
      <c r="GM192" s="16"/>
    </row>
    <row r="193" spans="1:195" s="18" customFormat="1" ht="15" customHeight="1">
      <c r="A193" s="80">
        <v>2008</v>
      </c>
      <c r="B193" s="81" t="s">
        <v>43</v>
      </c>
      <c r="C193" s="15">
        <f t="shared" si="73"/>
        <v>0.70646715178845954</v>
      </c>
      <c r="D193" s="15">
        <f t="shared" si="74"/>
        <v>0.77562732080567121</v>
      </c>
      <c r="E193" s="15">
        <f t="shared" si="75"/>
        <v>0.91083324792456699</v>
      </c>
      <c r="F193" s="16"/>
      <c r="G193" s="33"/>
      <c r="H19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19514</v>
      </c>
      <c r="I193" s="16">
        <f t="shared" si="76"/>
        <v>1740</v>
      </c>
      <c r="J19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17774</v>
      </c>
      <c r="K19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13786</v>
      </c>
      <c r="L193" s="16">
        <f t="shared" si="77"/>
        <v>3988</v>
      </c>
      <c r="M193" s="16"/>
      <c r="N193" s="16"/>
      <c r="O193" s="80">
        <v>2008</v>
      </c>
      <c r="P193" s="81" t="s">
        <v>43</v>
      </c>
      <c r="Q193" s="15">
        <f t="shared" si="78"/>
        <v>0.62881421398223247</v>
      </c>
      <c r="R193" s="15">
        <f t="shared" si="79"/>
        <v>0.71450515690147032</v>
      </c>
      <c r="S193" s="15">
        <f t="shared" si="80"/>
        <v>0.88006952491309387</v>
      </c>
      <c r="T193" s="26"/>
      <c r="U193" s="26"/>
      <c r="V193" s="16">
        <v>5178</v>
      </c>
      <c r="W193" s="16">
        <f t="shared" si="143"/>
        <v>621</v>
      </c>
      <c r="X193" s="16">
        <v>4557</v>
      </c>
      <c r="Y193" s="16">
        <v>3256</v>
      </c>
      <c r="Z193" s="16">
        <f t="shared" si="144"/>
        <v>1301</v>
      </c>
      <c r="AA193" s="16"/>
      <c r="AB193" s="16"/>
      <c r="AC193" s="80"/>
      <c r="AD193" s="81"/>
      <c r="AE193" s="15"/>
      <c r="AF193" s="15"/>
      <c r="AG193" s="15"/>
      <c r="AH193" s="15"/>
      <c r="AI193" s="15"/>
      <c r="AJ193" s="16"/>
      <c r="AK193" s="16"/>
      <c r="AL193" s="16"/>
      <c r="AM193" s="16"/>
      <c r="AN193" s="16"/>
      <c r="AO193" s="16"/>
      <c r="AP193" s="16"/>
      <c r="AQ193" s="80">
        <v>2008</v>
      </c>
      <c r="AR193" s="81" t="s">
        <v>43</v>
      </c>
      <c r="AS193" s="15">
        <f t="shared" si="86"/>
        <v>0.68015375278171153</v>
      </c>
      <c r="AT193" s="15">
        <f t="shared" si="87"/>
        <v>0.78588125292192612</v>
      </c>
      <c r="AU193" s="15">
        <f t="shared" si="88"/>
        <v>0.86546631600242763</v>
      </c>
      <c r="AV193" s="16"/>
      <c r="AW193" s="16"/>
      <c r="AX193" s="16">
        <v>4943</v>
      </c>
      <c r="AY193" s="16">
        <f t="shared" si="145"/>
        <v>665</v>
      </c>
      <c r="AZ193" s="16">
        <v>4278</v>
      </c>
      <c r="BA193" s="16">
        <v>3362</v>
      </c>
      <c r="BB193" s="16">
        <f t="shared" si="146"/>
        <v>916</v>
      </c>
      <c r="BC193" s="16"/>
      <c r="BD193" s="16"/>
      <c r="BE193" s="80">
        <v>2008</v>
      </c>
      <c r="BF193" s="81" t="s">
        <v>43</v>
      </c>
      <c r="BG193" s="15">
        <f t="shared" si="91"/>
        <v>0.55862068965517242</v>
      </c>
      <c r="BH193" s="15">
        <f t="shared" si="92"/>
        <v>0.63905325443786987</v>
      </c>
      <c r="BI193" s="15">
        <f t="shared" si="93"/>
        <v>0.87413793103448278</v>
      </c>
      <c r="BJ193" s="16"/>
      <c r="BK193" s="16"/>
      <c r="BL193" s="16">
        <v>580</v>
      </c>
      <c r="BM193" s="16">
        <f t="shared" si="147"/>
        <v>73</v>
      </c>
      <c r="BN193" s="16">
        <v>507</v>
      </c>
      <c r="BO193" s="16">
        <v>324</v>
      </c>
      <c r="BP193" s="16">
        <f t="shared" si="148"/>
        <v>183</v>
      </c>
      <c r="BQ193" s="16"/>
      <c r="BR193" s="16"/>
      <c r="BS193" s="80">
        <v>2008</v>
      </c>
      <c r="BT193" s="81" t="s">
        <v>43</v>
      </c>
      <c r="BU193" s="15">
        <f t="shared" si="96"/>
        <v>0.90684410646387836</v>
      </c>
      <c r="BV193" s="15">
        <f t="shared" si="97"/>
        <v>0.92049401775376305</v>
      </c>
      <c r="BW193" s="15">
        <f t="shared" si="98"/>
        <v>0.98517110266159691</v>
      </c>
      <c r="BX193" s="16"/>
      <c r="BY193" s="16"/>
      <c r="BZ193" s="16">
        <v>2630</v>
      </c>
      <c r="CA193" s="16">
        <f t="shared" si="149"/>
        <v>39</v>
      </c>
      <c r="CB193" s="16">
        <v>2591</v>
      </c>
      <c r="CC193" s="16">
        <v>2385</v>
      </c>
      <c r="CD193" s="16">
        <f t="shared" si="150"/>
        <v>206</v>
      </c>
      <c r="CE193" s="16"/>
      <c r="CF193" s="16"/>
      <c r="CG193" s="80">
        <v>2008</v>
      </c>
      <c r="CH193" s="81" t="s">
        <v>43</v>
      </c>
      <c r="CI193" s="15">
        <f t="shared" si="101"/>
        <v>0.78984102365257847</v>
      </c>
      <c r="CJ193" s="15">
        <f t="shared" si="102"/>
        <v>0.81577893472166596</v>
      </c>
      <c r="CK193" s="15">
        <f t="shared" si="103"/>
        <v>0.96820473051570377</v>
      </c>
      <c r="CL193" s="16"/>
      <c r="CM193" s="16"/>
      <c r="CN193" s="16">
        <v>2579</v>
      </c>
      <c r="CO193" s="16">
        <f t="shared" si="151"/>
        <v>82</v>
      </c>
      <c r="CP193" s="16">
        <v>2497</v>
      </c>
      <c r="CQ193" s="16">
        <v>2037</v>
      </c>
      <c r="CR193" s="16">
        <f t="shared" si="152"/>
        <v>460</v>
      </c>
      <c r="CS193" s="16"/>
      <c r="CT193" s="16"/>
      <c r="CU193" s="80">
        <v>2008</v>
      </c>
      <c r="CV193" s="81" t="s">
        <v>43</v>
      </c>
      <c r="CW193" s="15">
        <f t="shared" si="58"/>
        <v>0.9484240687679083</v>
      </c>
      <c r="CX193" s="15">
        <f t="shared" si="59"/>
        <v>0.95872556118754526</v>
      </c>
      <c r="CY193" s="15">
        <f t="shared" si="60"/>
        <v>0.98925501432664753</v>
      </c>
      <c r="CZ193" s="16"/>
      <c r="DA193" s="16"/>
      <c r="DB193" s="16">
        <v>1396</v>
      </c>
      <c r="DC193" s="16">
        <f t="shared" si="61"/>
        <v>15</v>
      </c>
      <c r="DD193" s="16">
        <v>1381</v>
      </c>
      <c r="DE193" s="16">
        <v>1324</v>
      </c>
      <c r="DF193" s="16">
        <f t="shared" si="62"/>
        <v>57</v>
      </c>
      <c r="DG193" s="16"/>
      <c r="DH193" s="16"/>
      <c r="DI193" s="80">
        <v>2008</v>
      </c>
      <c r="DJ193" s="81" t="s">
        <v>43</v>
      </c>
      <c r="DK193" s="15">
        <f t="shared" si="106"/>
        <v>0.94387755102040816</v>
      </c>
      <c r="DL193" s="15">
        <f t="shared" si="107"/>
        <v>0.95557851239669422</v>
      </c>
      <c r="DM193" s="15">
        <f t="shared" si="108"/>
        <v>0.98775510204081629</v>
      </c>
      <c r="DN193" s="16"/>
      <c r="DO193" s="16"/>
      <c r="DP193" s="16">
        <v>980</v>
      </c>
      <c r="DQ193" s="16">
        <f t="shared" si="153"/>
        <v>12</v>
      </c>
      <c r="DR193" s="16">
        <v>968</v>
      </c>
      <c r="DS193" s="16">
        <v>925</v>
      </c>
      <c r="DT193" s="16">
        <f t="shared" si="154"/>
        <v>43</v>
      </c>
      <c r="DU193" s="16"/>
      <c r="DV193" s="16"/>
      <c r="DW193" s="80">
        <v>2008</v>
      </c>
      <c r="DX193" s="81" t="s">
        <v>43</v>
      </c>
      <c r="DY193" s="15">
        <f t="shared" si="111"/>
        <v>0.14087947882736157</v>
      </c>
      <c r="DZ193" s="15">
        <f t="shared" si="112"/>
        <v>0.17386934673366833</v>
      </c>
      <c r="EA193" s="15">
        <f t="shared" si="113"/>
        <v>0.81026058631921827</v>
      </c>
      <c r="EB193" s="16"/>
      <c r="EC193" s="16"/>
      <c r="ED193" s="16">
        <v>1228</v>
      </c>
      <c r="EE193" s="16">
        <f t="shared" si="155"/>
        <v>233</v>
      </c>
      <c r="EF193" s="16">
        <v>995</v>
      </c>
      <c r="EG193" s="16">
        <v>173</v>
      </c>
      <c r="EH193" s="16">
        <f t="shared" si="156"/>
        <v>822</v>
      </c>
      <c r="EI193" s="16"/>
      <c r="EJ193" s="16"/>
      <c r="EK193" s="80"/>
      <c r="EL193" s="81"/>
      <c r="EM193" s="15"/>
      <c r="EN193" s="15"/>
      <c r="EO193" s="15"/>
      <c r="EP193" s="16"/>
      <c r="EQ193" s="16"/>
      <c r="ER193" s="16"/>
      <c r="ES193" s="16"/>
      <c r="ET193" s="16"/>
      <c r="EU193" s="16"/>
      <c r="EV193" s="16"/>
      <c r="EW193" s="16"/>
      <c r="EX193" s="16"/>
      <c r="EY193" s="80"/>
      <c r="EZ193" s="81"/>
      <c r="FA193" s="15"/>
      <c r="FB193" s="15"/>
      <c r="FC193" s="15"/>
      <c r="FD193" s="16"/>
      <c r="FE193" s="16"/>
      <c r="FF193" s="16"/>
      <c r="FG193" s="16"/>
      <c r="FH193" s="16"/>
      <c r="FI193" s="16"/>
      <c r="FJ193" s="16"/>
      <c r="FK193" s="16"/>
      <c r="FM193" s="80"/>
      <c r="FN193" s="81"/>
      <c r="FO193" s="15"/>
      <c r="FP193" s="15"/>
      <c r="FQ193" s="15"/>
      <c r="FR193" s="16"/>
      <c r="FS193" s="16"/>
      <c r="FT193" s="16"/>
      <c r="FU193" s="16"/>
      <c r="FV193" s="16"/>
      <c r="FW193" s="16"/>
      <c r="FX193" s="16"/>
      <c r="FY193" s="16"/>
      <c r="GA193" s="80"/>
      <c r="GB193" s="81"/>
      <c r="GC193" s="15"/>
      <c r="GD193" s="15"/>
      <c r="GE193" s="15"/>
      <c r="GF193" s="16"/>
      <c r="GG193" s="16"/>
      <c r="GH193" s="16"/>
      <c r="GI193" s="16"/>
      <c r="GJ193" s="16"/>
      <c r="GK193" s="16"/>
      <c r="GL193" s="16"/>
      <c r="GM193" s="16"/>
    </row>
    <row r="194" spans="1:195" s="18" customFormat="1" ht="15" customHeight="1">
      <c r="A194" s="78">
        <v>2008</v>
      </c>
      <c r="B194" s="79" t="s">
        <v>44</v>
      </c>
      <c r="C194" s="15">
        <f t="shared" si="73"/>
        <v>0.7342330784625648</v>
      </c>
      <c r="D194" s="15">
        <f t="shared" si="74"/>
        <v>0.79546339022627455</v>
      </c>
      <c r="E194" s="15">
        <f t="shared" si="75"/>
        <v>0.92302560681479962</v>
      </c>
      <c r="F194" s="16"/>
      <c r="G194" s="33"/>
      <c r="H19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19487</v>
      </c>
      <c r="I194" s="16">
        <f t="shared" si="76"/>
        <v>1500</v>
      </c>
      <c r="J19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17987</v>
      </c>
      <c r="K19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14308</v>
      </c>
      <c r="L194" s="16">
        <f t="shared" si="77"/>
        <v>3679</v>
      </c>
      <c r="M194" s="16"/>
      <c r="N194" s="16"/>
      <c r="O194" s="78">
        <v>2008</v>
      </c>
      <c r="P194" s="79" t="s">
        <v>44</v>
      </c>
      <c r="Q194" s="15">
        <f t="shared" si="78"/>
        <v>0.65001913509376197</v>
      </c>
      <c r="R194" s="15">
        <f t="shared" si="79"/>
        <v>0.72508004268943438</v>
      </c>
      <c r="S194" s="15">
        <f t="shared" si="80"/>
        <v>0.8964791427477995</v>
      </c>
      <c r="T194" s="26"/>
      <c r="U194" s="26"/>
      <c r="V194" s="16">
        <v>5226</v>
      </c>
      <c r="W194" s="16">
        <f t="shared" si="143"/>
        <v>541</v>
      </c>
      <c r="X194" s="16">
        <v>4685</v>
      </c>
      <c r="Y194" s="16">
        <v>3397</v>
      </c>
      <c r="Z194" s="16">
        <f t="shared" si="144"/>
        <v>1288</v>
      </c>
      <c r="AA194" s="16"/>
      <c r="AB194" s="16"/>
      <c r="AC194" s="78"/>
      <c r="AD194" s="79"/>
      <c r="AE194" s="15"/>
      <c r="AF194" s="15"/>
      <c r="AG194" s="15"/>
      <c r="AH194" s="15"/>
      <c r="AI194" s="15"/>
      <c r="AJ194" s="16"/>
      <c r="AK194" s="16"/>
      <c r="AL194" s="16"/>
      <c r="AM194" s="16"/>
      <c r="AN194" s="16"/>
      <c r="AO194" s="16"/>
      <c r="AP194" s="16"/>
      <c r="AQ194" s="78">
        <v>2008</v>
      </c>
      <c r="AR194" s="79" t="s">
        <v>44</v>
      </c>
      <c r="AS194" s="15">
        <f t="shared" si="86"/>
        <v>0.77403749244104014</v>
      </c>
      <c r="AT194" s="15">
        <f t="shared" si="87"/>
        <v>0.85771722135358497</v>
      </c>
      <c r="AU194" s="15">
        <f t="shared" si="88"/>
        <v>0.90243902439024393</v>
      </c>
      <c r="AV194" s="16"/>
      <c r="AW194" s="16"/>
      <c r="AX194" s="16">
        <v>4961</v>
      </c>
      <c r="AY194" s="16">
        <f t="shared" si="145"/>
        <v>484</v>
      </c>
      <c r="AZ194" s="16">
        <v>4477</v>
      </c>
      <c r="BA194" s="16">
        <v>3840</v>
      </c>
      <c r="BB194" s="16">
        <f t="shared" si="146"/>
        <v>637</v>
      </c>
      <c r="BC194" s="16"/>
      <c r="BD194" s="16"/>
      <c r="BE194" s="78">
        <v>2008</v>
      </c>
      <c r="BF194" s="79" t="s">
        <v>44</v>
      </c>
      <c r="BG194" s="15">
        <f t="shared" si="91"/>
        <v>0.61598746081504707</v>
      </c>
      <c r="BH194" s="15">
        <f t="shared" si="92"/>
        <v>0.69928825622775803</v>
      </c>
      <c r="BI194" s="15">
        <f t="shared" si="93"/>
        <v>0.88087774294670851</v>
      </c>
      <c r="BJ194" s="16"/>
      <c r="BK194" s="16"/>
      <c r="BL194" s="16">
        <v>638</v>
      </c>
      <c r="BM194" s="16">
        <f t="shared" si="147"/>
        <v>76</v>
      </c>
      <c r="BN194" s="16">
        <v>562</v>
      </c>
      <c r="BO194" s="16">
        <v>393</v>
      </c>
      <c r="BP194" s="16">
        <f t="shared" si="148"/>
        <v>169</v>
      </c>
      <c r="BQ194" s="16"/>
      <c r="BR194" s="16"/>
      <c r="BS194" s="78">
        <v>2008</v>
      </c>
      <c r="BT194" s="79" t="s">
        <v>44</v>
      </c>
      <c r="BU194" s="15">
        <f t="shared" si="96"/>
        <v>0.90555127216653819</v>
      </c>
      <c r="BV194" s="15">
        <f t="shared" si="97"/>
        <v>0.93622957353527303</v>
      </c>
      <c r="BW194" s="15">
        <f t="shared" si="98"/>
        <v>0.96723207401696221</v>
      </c>
      <c r="BX194" s="16"/>
      <c r="BY194" s="16"/>
      <c r="BZ194" s="16">
        <v>2594</v>
      </c>
      <c r="CA194" s="16">
        <f t="shared" si="149"/>
        <v>85</v>
      </c>
      <c r="CB194" s="16">
        <v>2509</v>
      </c>
      <c r="CC194" s="16">
        <v>2349</v>
      </c>
      <c r="CD194" s="16">
        <f t="shared" si="150"/>
        <v>160</v>
      </c>
      <c r="CE194" s="16"/>
      <c r="CF194" s="16"/>
      <c r="CG194" s="78">
        <v>2008</v>
      </c>
      <c r="CH194" s="79" t="s">
        <v>44</v>
      </c>
      <c r="CI194" s="15">
        <f t="shared" si="101"/>
        <v>0.80723839496459482</v>
      </c>
      <c r="CJ194" s="15">
        <f t="shared" si="102"/>
        <v>0.84132841328413288</v>
      </c>
      <c r="CK194" s="15">
        <f t="shared" si="103"/>
        <v>0.95948072383949645</v>
      </c>
      <c r="CL194" s="16"/>
      <c r="CM194" s="16"/>
      <c r="CN194" s="16">
        <v>2542</v>
      </c>
      <c r="CO194" s="16">
        <f t="shared" si="151"/>
        <v>103</v>
      </c>
      <c r="CP194" s="16">
        <v>2439</v>
      </c>
      <c r="CQ194" s="16">
        <v>2052</v>
      </c>
      <c r="CR194" s="16">
        <f t="shared" si="152"/>
        <v>387</v>
      </c>
      <c r="CS194" s="16"/>
      <c r="CT194" s="16"/>
      <c r="CU194" s="78">
        <v>2008</v>
      </c>
      <c r="CV194" s="79" t="s">
        <v>44</v>
      </c>
      <c r="CW194" s="15">
        <f t="shared" si="58"/>
        <v>0.91606367583212733</v>
      </c>
      <c r="CX194" s="15">
        <f t="shared" si="59"/>
        <v>0.9504504504504504</v>
      </c>
      <c r="CY194" s="15">
        <f t="shared" si="60"/>
        <v>0.9638205499276411</v>
      </c>
      <c r="CZ194" s="16"/>
      <c r="DA194" s="16"/>
      <c r="DB194" s="16">
        <v>1382</v>
      </c>
      <c r="DC194" s="16">
        <f t="shared" si="61"/>
        <v>50</v>
      </c>
      <c r="DD194" s="16">
        <v>1332</v>
      </c>
      <c r="DE194" s="16">
        <v>1266</v>
      </c>
      <c r="DF194" s="16">
        <f t="shared" si="62"/>
        <v>66</v>
      </c>
      <c r="DG194" s="16"/>
      <c r="DH194" s="16"/>
      <c r="DI194" s="78">
        <v>2008</v>
      </c>
      <c r="DJ194" s="79" t="s">
        <v>44</v>
      </c>
      <c r="DK194" s="15">
        <f t="shared" si="106"/>
        <v>0.81302521008403361</v>
      </c>
      <c r="DL194" s="15">
        <f t="shared" si="107"/>
        <v>0.84682713347921224</v>
      </c>
      <c r="DM194" s="15">
        <f t="shared" si="108"/>
        <v>0.96008403361344541</v>
      </c>
      <c r="DN194" s="16"/>
      <c r="DO194" s="16"/>
      <c r="DP194" s="16">
        <v>952</v>
      </c>
      <c r="DQ194" s="16">
        <f t="shared" si="153"/>
        <v>38</v>
      </c>
      <c r="DR194" s="16">
        <v>914</v>
      </c>
      <c r="DS194" s="16">
        <v>774</v>
      </c>
      <c r="DT194" s="16">
        <f t="shared" si="154"/>
        <v>140</v>
      </c>
      <c r="DU194" s="16"/>
      <c r="DV194" s="16"/>
      <c r="DW194" s="78">
        <v>2008</v>
      </c>
      <c r="DX194" s="79" t="s">
        <v>44</v>
      </c>
      <c r="DY194" s="15">
        <f t="shared" si="111"/>
        <v>0.1988255033557047</v>
      </c>
      <c r="DZ194" s="15">
        <f t="shared" si="112"/>
        <v>0.22170252572497662</v>
      </c>
      <c r="EA194" s="15">
        <f t="shared" si="113"/>
        <v>0.89681208053691275</v>
      </c>
      <c r="EB194" s="16"/>
      <c r="EC194" s="16"/>
      <c r="ED194" s="16">
        <v>1192</v>
      </c>
      <c r="EE194" s="16">
        <f t="shared" si="155"/>
        <v>123</v>
      </c>
      <c r="EF194" s="16">
        <v>1069</v>
      </c>
      <c r="EG194" s="16">
        <v>237</v>
      </c>
      <c r="EH194" s="16">
        <f t="shared" si="156"/>
        <v>832</v>
      </c>
      <c r="EI194" s="16"/>
      <c r="EJ194" s="16"/>
      <c r="EK194" s="78"/>
      <c r="EL194" s="79"/>
      <c r="EM194" s="15"/>
      <c r="EN194" s="15"/>
      <c r="EO194" s="15"/>
      <c r="EP194" s="16"/>
      <c r="EQ194" s="16"/>
      <c r="ER194" s="16"/>
      <c r="ES194" s="16"/>
      <c r="ET194" s="16"/>
      <c r="EU194" s="16"/>
      <c r="EV194" s="16"/>
      <c r="EW194" s="16"/>
      <c r="EX194" s="16"/>
      <c r="EY194" s="78"/>
      <c r="EZ194" s="79"/>
      <c r="FA194" s="15"/>
      <c r="FB194" s="15"/>
      <c r="FC194" s="15"/>
      <c r="FD194" s="16"/>
      <c r="FE194" s="16"/>
      <c r="FF194" s="16"/>
      <c r="FG194" s="16"/>
      <c r="FH194" s="16"/>
      <c r="FI194" s="16"/>
      <c r="FJ194" s="16"/>
      <c r="FK194" s="16"/>
      <c r="FM194" s="78"/>
      <c r="FN194" s="79"/>
      <c r="FO194" s="15"/>
      <c r="FP194" s="15"/>
      <c r="FQ194" s="15"/>
      <c r="FR194" s="16"/>
      <c r="FS194" s="16"/>
      <c r="FT194" s="16"/>
      <c r="FU194" s="16"/>
      <c r="FV194" s="16"/>
      <c r="FW194" s="16"/>
      <c r="FX194" s="16"/>
      <c r="FY194" s="16"/>
      <c r="GA194" s="78"/>
      <c r="GB194" s="79"/>
      <c r="GC194" s="15"/>
      <c r="GD194" s="15"/>
      <c r="GE194" s="15"/>
      <c r="GF194" s="16"/>
      <c r="GG194" s="16"/>
      <c r="GH194" s="16"/>
      <c r="GI194" s="16"/>
      <c r="GJ194" s="16"/>
      <c r="GK194" s="16"/>
      <c r="GL194" s="16"/>
      <c r="GM194" s="16"/>
    </row>
    <row r="195" spans="1:195" s="18" customFormat="1" ht="15" customHeight="1">
      <c r="A195" s="80">
        <v>2008</v>
      </c>
      <c r="B195" s="81" t="s">
        <v>45</v>
      </c>
      <c r="C195" s="15">
        <f t="shared" si="73"/>
        <v>0.7782741830229406</v>
      </c>
      <c r="D195" s="15">
        <f t="shared" si="74"/>
        <v>0.80813135261923374</v>
      </c>
      <c r="E195" s="15">
        <f t="shared" si="75"/>
        <v>0.96305406355102652</v>
      </c>
      <c r="F195" s="16"/>
      <c r="G195" s="33"/>
      <c r="H19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19921</v>
      </c>
      <c r="I195" s="16">
        <f t="shared" si="76"/>
        <v>736</v>
      </c>
      <c r="J19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19185</v>
      </c>
      <c r="K19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15504</v>
      </c>
      <c r="L195" s="16">
        <f t="shared" si="77"/>
        <v>3681</v>
      </c>
      <c r="M195" s="16"/>
      <c r="N195" s="16"/>
      <c r="O195" s="80">
        <v>2008</v>
      </c>
      <c r="P195" s="81" t="s">
        <v>45</v>
      </c>
      <c r="Q195" s="15">
        <f t="shared" si="78"/>
        <v>0.65689039293100204</v>
      </c>
      <c r="R195" s="15">
        <f t="shared" si="79"/>
        <v>0.69726601476751149</v>
      </c>
      <c r="S195" s="15">
        <f t="shared" si="80"/>
        <v>0.94209437864260204</v>
      </c>
      <c r="T195" s="26"/>
      <c r="U195" s="26"/>
      <c r="V195" s="16">
        <v>5319</v>
      </c>
      <c r="W195" s="16">
        <f t="shared" si="143"/>
        <v>308</v>
      </c>
      <c r="X195" s="16">
        <v>5011</v>
      </c>
      <c r="Y195" s="16">
        <v>3494</v>
      </c>
      <c r="Z195" s="16">
        <f t="shared" si="144"/>
        <v>1517</v>
      </c>
      <c r="AA195" s="16"/>
      <c r="AB195" s="16"/>
      <c r="AC195" s="80"/>
      <c r="AD195" s="81"/>
      <c r="AE195" s="15"/>
      <c r="AF195" s="15"/>
      <c r="AG195" s="15"/>
      <c r="AH195" s="15"/>
      <c r="AI195" s="15"/>
      <c r="AJ195" s="16"/>
      <c r="AK195" s="16"/>
      <c r="AL195" s="16"/>
      <c r="AM195" s="16"/>
      <c r="AN195" s="16"/>
      <c r="AO195" s="16"/>
      <c r="AP195" s="16"/>
      <c r="AQ195" s="80">
        <v>2008</v>
      </c>
      <c r="AR195" s="81" t="s">
        <v>45</v>
      </c>
      <c r="AS195" s="15">
        <f t="shared" si="86"/>
        <v>0.82763391974698552</v>
      </c>
      <c r="AT195" s="15">
        <f t="shared" si="87"/>
        <v>0.8581676573068252</v>
      </c>
      <c r="AU195" s="15">
        <f t="shared" si="88"/>
        <v>0.96441984581933193</v>
      </c>
      <c r="AV195" s="16"/>
      <c r="AW195" s="16"/>
      <c r="AX195" s="16">
        <v>5059</v>
      </c>
      <c r="AY195" s="16">
        <f t="shared" si="145"/>
        <v>180</v>
      </c>
      <c r="AZ195" s="16">
        <v>4879</v>
      </c>
      <c r="BA195" s="16">
        <v>4187</v>
      </c>
      <c r="BB195" s="16">
        <f t="shared" si="146"/>
        <v>692</v>
      </c>
      <c r="BC195" s="16"/>
      <c r="BD195" s="16"/>
      <c r="BE195" s="80">
        <v>2008</v>
      </c>
      <c r="BF195" s="81" t="s">
        <v>45</v>
      </c>
      <c r="BG195" s="15">
        <f t="shared" si="91"/>
        <v>0.68025078369905956</v>
      </c>
      <c r="BH195" s="15">
        <f t="shared" si="92"/>
        <v>0.73063973063973064</v>
      </c>
      <c r="BI195" s="15">
        <f t="shared" si="93"/>
        <v>0.93103448275862066</v>
      </c>
      <c r="BJ195" s="16"/>
      <c r="BK195" s="16"/>
      <c r="BL195" s="16">
        <v>638</v>
      </c>
      <c r="BM195" s="16">
        <f t="shared" si="147"/>
        <v>44</v>
      </c>
      <c r="BN195" s="16">
        <v>594</v>
      </c>
      <c r="BO195" s="16">
        <v>434</v>
      </c>
      <c r="BP195" s="16">
        <f t="shared" si="148"/>
        <v>160</v>
      </c>
      <c r="BQ195" s="16"/>
      <c r="BR195" s="16"/>
      <c r="BS195" s="80">
        <v>2008</v>
      </c>
      <c r="BT195" s="81" t="s">
        <v>45</v>
      </c>
      <c r="BU195" s="15">
        <f t="shared" si="96"/>
        <v>0.92154654654654655</v>
      </c>
      <c r="BV195" s="15">
        <f t="shared" si="97"/>
        <v>0.9377387318563789</v>
      </c>
      <c r="BW195" s="15">
        <f t="shared" si="98"/>
        <v>0.98273273273273276</v>
      </c>
      <c r="BX195" s="16"/>
      <c r="BY195" s="16"/>
      <c r="BZ195" s="16">
        <v>2664</v>
      </c>
      <c r="CA195" s="16">
        <f t="shared" si="149"/>
        <v>46</v>
      </c>
      <c r="CB195" s="16">
        <v>2618</v>
      </c>
      <c r="CC195" s="16">
        <v>2455</v>
      </c>
      <c r="CD195" s="16">
        <f t="shared" si="150"/>
        <v>163</v>
      </c>
      <c r="CE195" s="16"/>
      <c r="CF195" s="16"/>
      <c r="CG195" s="80">
        <v>2008</v>
      </c>
      <c r="CH195" s="81" t="s">
        <v>45</v>
      </c>
      <c r="CI195" s="15">
        <f t="shared" si="101"/>
        <v>0.84833397165836844</v>
      </c>
      <c r="CJ195" s="15">
        <f t="shared" si="102"/>
        <v>0.86591086786551996</v>
      </c>
      <c r="CK195" s="15">
        <f t="shared" si="103"/>
        <v>0.97970126388356948</v>
      </c>
      <c r="CL195" s="16"/>
      <c r="CM195" s="16"/>
      <c r="CN195" s="16">
        <v>2611</v>
      </c>
      <c r="CO195" s="16">
        <f t="shared" si="151"/>
        <v>53</v>
      </c>
      <c r="CP195" s="16">
        <v>2558</v>
      </c>
      <c r="CQ195" s="16">
        <v>2215</v>
      </c>
      <c r="CR195" s="16">
        <f t="shared" si="152"/>
        <v>343</v>
      </c>
      <c r="CS195" s="16"/>
      <c r="CT195" s="16"/>
      <c r="CU195" s="80">
        <v>2008</v>
      </c>
      <c r="CV195" s="81" t="s">
        <v>45</v>
      </c>
      <c r="CW195" s="15">
        <f t="shared" si="58"/>
        <v>0.95345557122708036</v>
      </c>
      <c r="CX195" s="15">
        <f t="shared" si="59"/>
        <v>0.98255813953488369</v>
      </c>
      <c r="CY195" s="15">
        <f t="shared" si="60"/>
        <v>0.97038081805359666</v>
      </c>
      <c r="CZ195" s="16"/>
      <c r="DA195" s="16"/>
      <c r="DB195" s="16">
        <v>1418</v>
      </c>
      <c r="DC195" s="16">
        <f t="shared" si="61"/>
        <v>42</v>
      </c>
      <c r="DD195" s="16">
        <v>1376</v>
      </c>
      <c r="DE195" s="16">
        <v>1352</v>
      </c>
      <c r="DF195" s="16">
        <f t="shared" si="62"/>
        <v>24</v>
      </c>
      <c r="DG195" s="16"/>
      <c r="DH195" s="16"/>
      <c r="DI195" s="80">
        <v>2008</v>
      </c>
      <c r="DJ195" s="81" t="s">
        <v>45</v>
      </c>
      <c r="DK195" s="15">
        <f t="shared" si="106"/>
        <v>0.85641547861507128</v>
      </c>
      <c r="DL195" s="15">
        <f t="shared" si="107"/>
        <v>0.87060041407867494</v>
      </c>
      <c r="DM195" s="15">
        <f t="shared" si="108"/>
        <v>0.9837067209775967</v>
      </c>
      <c r="DN195" s="16"/>
      <c r="DO195" s="16"/>
      <c r="DP195" s="16">
        <v>982</v>
      </c>
      <c r="DQ195" s="16">
        <f t="shared" si="153"/>
        <v>16</v>
      </c>
      <c r="DR195" s="16">
        <v>966</v>
      </c>
      <c r="DS195" s="16">
        <v>841</v>
      </c>
      <c r="DT195" s="16">
        <f t="shared" si="154"/>
        <v>125</v>
      </c>
      <c r="DU195" s="16"/>
      <c r="DV195" s="16"/>
      <c r="DW195" s="80">
        <v>2008</v>
      </c>
      <c r="DX195" s="81" t="s">
        <v>45</v>
      </c>
      <c r="DY195" s="15">
        <f t="shared" si="111"/>
        <v>0.4276422764227642</v>
      </c>
      <c r="DZ195" s="15">
        <f t="shared" si="112"/>
        <v>0.44463229078613692</v>
      </c>
      <c r="EA195" s="15">
        <f t="shared" si="113"/>
        <v>0.96178861788617886</v>
      </c>
      <c r="EB195" s="16"/>
      <c r="EC195" s="16"/>
      <c r="ED195" s="16">
        <v>1230</v>
      </c>
      <c r="EE195" s="16">
        <f t="shared" si="155"/>
        <v>47</v>
      </c>
      <c r="EF195" s="16">
        <v>1183</v>
      </c>
      <c r="EG195" s="16">
        <v>526</v>
      </c>
      <c r="EH195" s="16">
        <f t="shared" si="156"/>
        <v>657</v>
      </c>
      <c r="EI195" s="16"/>
      <c r="EJ195" s="16"/>
      <c r="EK195" s="80"/>
      <c r="EL195" s="81"/>
      <c r="EM195" s="15"/>
      <c r="EN195" s="15"/>
      <c r="EO195" s="15"/>
      <c r="EP195" s="16"/>
      <c r="EQ195" s="16"/>
      <c r="ER195" s="16"/>
      <c r="ES195" s="16"/>
      <c r="ET195" s="16"/>
      <c r="EU195" s="16"/>
      <c r="EV195" s="16"/>
      <c r="EW195" s="16"/>
      <c r="EX195" s="16"/>
      <c r="EY195" s="80"/>
      <c r="EZ195" s="81"/>
      <c r="FA195" s="15"/>
      <c r="FB195" s="15"/>
      <c r="FC195" s="15"/>
      <c r="FD195" s="16"/>
      <c r="FE195" s="16"/>
      <c r="FF195" s="16"/>
      <c r="FG195" s="16"/>
      <c r="FH195" s="16"/>
      <c r="FI195" s="16"/>
      <c r="FJ195" s="16"/>
      <c r="FK195" s="16"/>
      <c r="FM195" s="80"/>
      <c r="FN195" s="81"/>
      <c r="FO195" s="15"/>
      <c r="FP195" s="15"/>
      <c r="FQ195" s="15"/>
      <c r="FR195" s="16"/>
      <c r="FS195" s="16"/>
      <c r="FT195" s="16"/>
      <c r="FU195" s="16"/>
      <c r="FV195" s="16"/>
      <c r="FW195" s="16"/>
      <c r="FX195" s="16"/>
      <c r="FY195" s="16"/>
      <c r="GA195" s="80"/>
      <c r="GB195" s="81"/>
      <c r="GC195" s="15"/>
      <c r="GD195" s="15"/>
      <c r="GE195" s="15"/>
      <c r="GF195" s="16"/>
      <c r="GG195" s="16"/>
      <c r="GH195" s="16"/>
      <c r="GI195" s="16"/>
      <c r="GJ195" s="16"/>
      <c r="GK195" s="16"/>
      <c r="GL195" s="16"/>
      <c r="GM195" s="16"/>
    </row>
    <row r="196" spans="1:195" s="18" customFormat="1" ht="15" customHeight="1">
      <c r="A196" s="78">
        <v>2008</v>
      </c>
      <c r="B196" s="79" t="s">
        <v>46</v>
      </c>
      <c r="C196" s="15">
        <f t="shared" si="73"/>
        <v>0.76652167077197209</v>
      </c>
      <c r="D196" s="15">
        <f t="shared" si="74"/>
        <v>0.82030286034772859</v>
      </c>
      <c r="E196" s="15">
        <f t="shared" si="75"/>
        <v>0.93443739845920026</v>
      </c>
      <c r="F196" s="16"/>
      <c r="G196" s="33"/>
      <c r="H19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19081</v>
      </c>
      <c r="I196" s="16">
        <f t="shared" si="76"/>
        <v>1251</v>
      </c>
      <c r="J19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17830</v>
      </c>
      <c r="K19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14626</v>
      </c>
      <c r="L196" s="16">
        <f t="shared" si="77"/>
        <v>3204</v>
      </c>
      <c r="M196" s="16"/>
      <c r="N196" s="16"/>
      <c r="O196" s="78">
        <v>2008</v>
      </c>
      <c r="P196" s="79" t="s">
        <v>46</v>
      </c>
      <c r="Q196" s="15">
        <f t="shared" si="78"/>
        <v>0.65231071779744343</v>
      </c>
      <c r="R196" s="15">
        <f t="shared" si="79"/>
        <v>0.70245658619229145</v>
      </c>
      <c r="S196" s="15">
        <f t="shared" si="80"/>
        <v>0.92861356932153394</v>
      </c>
      <c r="T196" s="26"/>
      <c r="U196" s="26"/>
      <c r="V196" s="16">
        <v>5085</v>
      </c>
      <c r="W196" s="16">
        <f t="shared" si="143"/>
        <v>363</v>
      </c>
      <c r="X196" s="16">
        <v>4722</v>
      </c>
      <c r="Y196" s="16">
        <v>3317</v>
      </c>
      <c r="Z196" s="16">
        <f t="shared" si="144"/>
        <v>1405</v>
      </c>
      <c r="AA196" s="16"/>
      <c r="AB196" s="16"/>
      <c r="AC196" s="78"/>
      <c r="AD196" s="79"/>
      <c r="AE196" s="15"/>
      <c r="AF196" s="15"/>
      <c r="AG196" s="15"/>
      <c r="AH196" s="15"/>
      <c r="AI196" s="15"/>
      <c r="AJ196" s="16"/>
      <c r="AK196" s="16"/>
      <c r="AL196" s="16"/>
      <c r="AM196" s="16"/>
      <c r="AN196" s="16"/>
      <c r="AO196" s="16"/>
      <c r="AP196" s="16"/>
      <c r="AQ196" s="78">
        <v>2008</v>
      </c>
      <c r="AR196" s="79" t="s">
        <v>46</v>
      </c>
      <c r="AS196" s="15">
        <f t="shared" si="86"/>
        <v>0.72761040033016922</v>
      </c>
      <c r="AT196" s="15">
        <f t="shared" si="87"/>
        <v>0.84617230621550277</v>
      </c>
      <c r="AU196" s="15">
        <f t="shared" si="88"/>
        <v>0.85988444077589765</v>
      </c>
      <c r="AV196" s="16"/>
      <c r="AW196" s="16"/>
      <c r="AX196" s="16">
        <v>4846</v>
      </c>
      <c r="AY196" s="16">
        <f t="shared" si="145"/>
        <v>679</v>
      </c>
      <c r="AZ196" s="16">
        <v>4167</v>
      </c>
      <c r="BA196" s="16">
        <v>3526</v>
      </c>
      <c r="BB196" s="16">
        <f t="shared" si="146"/>
        <v>641</v>
      </c>
      <c r="BC196" s="16"/>
      <c r="BD196" s="16"/>
      <c r="BE196" s="78">
        <v>2008</v>
      </c>
      <c r="BF196" s="79" t="s">
        <v>46</v>
      </c>
      <c r="BG196" s="15">
        <f t="shared" si="91"/>
        <v>0.73103448275862071</v>
      </c>
      <c r="BH196" s="15">
        <f t="shared" si="92"/>
        <v>0.77513711151736742</v>
      </c>
      <c r="BI196" s="15">
        <f t="shared" si="93"/>
        <v>0.94310344827586212</v>
      </c>
      <c r="BJ196" s="16"/>
      <c r="BK196" s="16"/>
      <c r="BL196" s="16">
        <v>580</v>
      </c>
      <c r="BM196" s="16">
        <f t="shared" si="147"/>
        <v>33</v>
      </c>
      <c r="BN196" s="16">
        <v>547</v>
      </c>
      <c r="BO196" s="16">
        <v>424</v>
      </c>
      <c r="BP196" s="16">
        <f t="shared" si="148"/>
        <v>123</v>
      </c>
      <c r="BQ196" s="16"/>
      <c r="BR196" s="16"/>
      <c r="BS196" s="78">
        <v>2008</v>
      </c>
      <c r="BT196" s="79" t="s">
        <v>46</v>
      </c>
      <c r="BU196" s="15">
        <f t="shared" si="96"/>
        <v>0.92578125</v>
      </c>
      <c r="BV196" s="15">
        <f t="shared" si="97"/>
        <v>0.94422310756972117</v>
      </c>
      <c r="BW196" s="15">
        <f t="shared" si="98"/>
        <v>0.98046875</v>
      </c>
      <c r="BX196" s="16"/>
      <c r="BY196" s="16"/>
      <c r="BZ196" s="16">
        <v>2560</v>
      </c>
      <c r="CA196" s="16">
        <f t="shared" si="149"/>
        <v>50</v>
      </c>
      <c r="CB196" s="16">
        <v>2510</v>
      </c>
      <c r="CC196" s="16">
        <v>2370</v>
      </c>
      <c r="CD196" s="16">
        <f t="shared" si="150"/>
        <v>140</v>
      </c>
      <c r="CE196" s="16"/>
      <c r="CF196" s="16"/>
      <c r="CG196" s="78">
        <v>2008</v>
      </c>
      <c r="CH196" s="79" t="s">
        <v>46</v>
      </c>
      <c r="CI196" s="15">
        <f t="shared" si="101"/>
        <v>0.8358565737051793</v>
      </c>
      <c r="CJ196" s="15">
        <f t="shared" si="102"/>
        <v>0.85353946297803096</v>
      </c>
      <c r="CK196" s="15">
        <f t="shared" si="103"/>
        <v>0.97928286852589641</v>
      </c>
      <c r="CL196" s="16"/>
      <c r="CM196" s="16"/>
      <c r="CN196" s="16">
        <v>2510</v>
      </c>
      <c r="CO196" s="16">
        <f t="shared" si="151"/>
        <v>52</v>
      </c>
      <c r="CP196" s="16">
        <v>2458</v>
      </c>
      <c r="CQ196" s="16">
        <v>2098</v>
      </c>
      <c r="CR196" s="16">
        <f t="shared" si="152"/>
        <v>360</v>
      </c>
      <c r="CS196" s="16"/>
      <c r="CT196" s="16"/>
      <c r="CU196" s="78">
        <v>2008</v>
      </c>
      <c r="CV196" s="79" t="s">
        <v>46</v>
      </c>
      <c r="CW196" s="15">
        <f t="shared" si="58"/>
        <v>0.96764705882352942</v>
      </c>
      <c r="CX196" s="15">
        <f t="shared" si="59"/>
        <v>0.98062593144560362</v>
      </c>
      <c r="CY196" s="15">
        <f t="shared" si="60"/>
        <v>0.98676470588235299</v>
      </c>
      <c r="CZ196" s="16"/>
      <c r="DA196" s="16"/>
      <c r="DB196" s="16">
        <v>1360</v>
      </c>
      <c r="DC196" s="16">
        <f t="shared" si="61"/>
        <v>18</v>
      </c>
      <c r="DD196" s="16">
        <v>1342</v>
      </c>
      <c r="DE196" s="16">
        <v>1316</v>
      </c>
      <c r="DF196" s="16">
        <f t="shared" si="62"/>
        <v>26</v>
      </c>
      <c r="DG196" s="16"/>
      <c r="DH196" s="16"/>
      <c r="DI196" s="78">
        <v>2008</v>
      </c>
      <c r="DJ196" s="79" t="s">
        <v>46</v>
      </c>
      <c r="DK196" s="15">
        <f t="shared" si="106"/>
        <v>0.87473684210526315</v>
      </c>
      <c r="DL196" s="15">
        <f t="shared" si="107"/>
        <v>0.88029661016949157</v>
      </c>
      <c r="DM196" s="15">
        <f t="shared" si="108"/>
        <v>0.99368421052631584</v>
      </c>
      <c r="DN196" s="16"/>
      <c r="DO196" s="16"/>
      <c r="DP196" s="16">
        <v>950</v>
      </c>
      <c r="DQ196" s="16">
        <f t="shared" si="153"/>
        <v>6</v>
      </c>
      <c r="DR196" s="16">
        <v>944</v>
      </c>
      <c r="DS196" s="16">
        <v>831</v>
      </c>
      <c r="DT196" s="16">
        <f t="shared" si="154"/>
        <v>113</v>
      </c>
      <c r="DU196" s="16"/>
      <c r="DV196" s="16"/>
      <c r="DW196" s="78">
        <v>2008</v>
      </c>
      <c r="DX196" s="79" t="s">
        <v>46</v>
      </c>
      <c r="DY196" s="15">
        <f t="shared" si="111"/>
        <v>0.62521008403361344</v>
      </c>
      <c r="DZ196" s="15">
        <f t="shared" si="112"/>
        <v>0.65263157894736845</v>
      </c>
      <c r="EA196" s="15">
        <f t="shared" si="113"/>
        <v>0.95798319327731096</v>
      </c>
      <c r="EB196" s="16"/>
      <c r="EC196" s="16"/>
      <c r="ED196" s="16">
        <v>1190</v>
      </c>
      <c r="EE196" s="16">
        <f t="shared" si="155"/>
        <v>50</v>
      </c>
      <c r="EF196" s="16">
        <v>1140</v>
      </c>
      <c r="EG196" s="16">
        <v>744</v>
      </c>
      <c r="EH196" s="16">
        <f t="shared" si="156"/>
        <v>396</v>
      </c>
      <c r="EI196" s="16"/>
      <c r="EJ196" s="16"/>
      <c r="EK196" s="78"/>
      <c r="EL196" s="79"/>
      <c r="EM196" s="15"/>
      <c r="EN196" s="15"/>
      <c r="EO196" s="15"/>
      <c r="EP196" s="16"/>
      <c r="EQ196" s="16"/>
      <c r="ER196" s="16"/>
      <c r="ES196" s="16"/>
      <c r="ET196" s="16"/>
      <c r="EU196" s="16"/>
      <c r="EV196" s="16"/>
      <c r="EW196" s="16"/>
      <c r="EX196" s="16"/>
      <c r="EY196" s="78"/>
      <c r="EZ196" s="79"/>
      <c r="FA196" s="15"/>
      <c r="FB196" s="15"/>
      <c r="FC196" s="15"/>
      <c r="FD196" s="16"/>
      <c r="FE196" s="16"/>
      <c r="FF196" s="16"/>
      <c r="FG196" s="16"/>
      <c r="FH196" s="16"/>
      <c r="FI196" s="16"/>
      <c r="FJ196" s="16"/>
      <c r="FK196" s="16"/>
      <c r="FM196" s="78"/>
      <c r="FN196" s="79"/>
      <c r="FO196" s="15"/>
      <c r="FP196" s="15"/>
      <c r="FQ196" s="15"/>
      <c r="FR196" s="16"/>
      <c r="FS196" s="16"/>
      <c r="FT196" s="16"/>
      <c r="FU196" s="16"/>
      <c r="FV196" s="16"/>
      <c r="FW196" s="16"/>
      <c r="FX196" s="16"/>
      <c r="FY196" s="16"/>
      <c r="GA196" s="78"/>
      <c r="GB196" s="79"/>
      <c r="GC196" s="15"/>
      <c r="GD196" s="15"/>
      <c r="GE196" s="15"/>
      <c r="GF196" s="16"/>
      <c r="GG196" s="16"/>
      <c r="GH196" s="16"/>
      <c r="GI196" s="16"/>
      <c r="GJ196" s="16"/>
      <c r="GK196" s="16"/>
      <c r="GL196" s="16"/>
      <c r="GM196" s="16"/>
    </row>
    <row r="197" spans="1:195" s="18" customFormat="1" ht="15" customHeight="1">
      <c r="A197" s="80">
        <v>2008</v>
      </c>
      <c r="B197" s="81" t="s">
        <v>47</v>
      </c>
      <c r="C197" s="15">
        <f t="shared" si="73"/>
        <v>0.8270558375634518</v>
      </c>
      <c r="D197" s="15">
        <f t="shared" si="74"/>
        <v>0.85734582193222475</v>
      </c>
      <c r="E197" s="15">
        <f t="shared" si="75"/>
        <v>0.96467005076142132</v>
      </c>
      <c r="F197" s="16"/>
      <c r="G197" s="33"/>
      <c r="H19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19700</v>
      </c>
      <c r="I197" s="16">
        <f t="shared" si="76"/>
        <v>696</v>
      </c>
      <c r="J19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19004</v>
      </c>
      <c r="K19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16293</v>
      </c>
      <c r="L197" s="16">
        <f t="shared" si="77"/>
        <v>2711</v>
      </c>
      <c r="M197" s="16"/>
      <c r="N197" s="16"/>
      <c r="O197" s="80">
        <v>2008</v>
      </c>
      <c r="P197" s="81" t="s">
        <v>47</v>
      </c>
      <c r="Q197" s="15">
        <f t="shared" si="78"/>
        <v>0.82882181110029207</v>
      </c>
      <c r="R197" s="15">
        <f t="shared" si="79"/>
        <v>0.85137027405481092</v>
      </c>
      <c r="S197" s="15">
        <f t="shared" si="80"/>
        <v>0.97351509250243429</v>
      </c>
      <c r="T197" s="26"/>
      <c r="U197" s="26"/>
      <c r="V197" s="16">
        <v>5135</v>
      </c>
      <c r="W197" s="16">
        <f t="shared" si="143"/>
        <v>136</v>
      </c>
      <c r="X197" s="16">
        <v>4999</v>
      </c>
      <c r="Y197" s="16">
        <v>4256</v>
      </c>
      <c r="Z197" s="16">
        <f t="shared" si="144"/>
        <v>743</v>
      </c>
      <c r="AA197" s="16"/>
      <c r="AB197" s="16"/>
      <c r="AC197" s="80"/>
      <c r="AD197" s="81"/>
      <c r="AE197" s="15"/>
      <c r="AF197" s="15"/>
      <c r="AG197" s="15"/>
      <c r="AH197" s="15"/>
      <c r="AI197" s="15"/>
      <c r="AJ197" s="16"/>
      <c r="AK197" s="16"/>
      <c r="AL197" s="16"/>
      <c r="AM197" s="16"/>
      <c r="AN197" s="16"/>
      <c r="AO197" s="16"/>
      <c r="AP197" s="16"/>
      <c r="AQ197" s="80">
        <v>2008</v>
      </c>
      <c r="AR197" s="81" t="s">
        <v>47</v>
      </c>
      <c r="AS197" s="15">
        <f t="shared" si="86"/>
        <v>0.87008755854204844</v>
      </c>
      <c r="AT197" s="15">
        <f t="shared" si="87"/>
        <v>0.9031917142253223</v>
      </c>
      <c r="AU197" s="15">
        <f t="shared" si="88"/>
        <v>0.96334758704948076</v>
      </c>
      <c r="AV197" s="16"/>
      <c r="AW197" s="16"/>
      <c r="AX197" s="16">
        <v>4911</v>
      </c>
      <c r="AY197" s="16">
        <f t="shared" si="145"/>
        <v>180</v>
      </c>
      <c r="AZ197" s="16">
        <v>4731</v>
      </c>
      <c r="BA197" s="16">
        <v>4273</v>
      </c>
      <c r="BB197" s="16">
        <f t="shared" si="146"/>
        <v>458</v>
      </c>
      <c r="BC197" s="16"/>
      <c r="BD197" s="16"/>
      <c r="BE197" s="80">
        <v>2008</v>
      </c>
      <c r="BF197" s="81" t="s">
        <v>47</v>
      </c>
      <c r="BG197" s="15">
        <f t="shared" si="91"/>
        <v>0.60072595281306718</v>
      </c>
      <c r="BH197" s="15">
        <f t="shared" si="92"/>
        <v>0.64147286821705429</v>
      </c>
      <c r="BI197" s="15">
        <f t="shared" si="93"/>
        <v>0.93647912885662432</v>
      </c>
      <c r="BJ197" s="16"/>
      <c r="BK197" s="16"/>
      <c r="BL197" s="16">
        <v>551</v>
      </c>
      <c r="BM197" s="16">
        <f t="shared" si="147"/>
        <v>35</v>
      </c>
      <c r="BN197" s="16">
        <v>516</v>
      </c>
      <c r="BO197" s="16">
        <v>331</v>
      </c>
      <c r="BP197" s="16">
        <f t="shared" si="148"/>
        <v>185</v>
      </c>
      <c r="BQ197" s="16"/>
      <c r="BR197" s="16"/>
      <c r="BS197" s="80">
        <v>2008</v>
      </c>
      <c r="BT197" s="81" t="s">
        <v>47</v>
      </c>
      <c r="BU197" s="15">
        <f t="shared" si="96"/>
        <v>0.78472998137802608</v>
      </c>
      <c r="BV197" s="15">
        <f t="shared" si="97"/>
        <v>0.81225905936777176</v>
      </c>
      <c r="BW197" s="15">
        <f t="shared" si="98"/>
        <v>0.96610800744878955</v>
      </c>
      <c r="BX197" s="16"/>
      <c r="BY197" s="16"/>
      <c r="BZ197" s="16">
        <v>2685</v>
      </c>
      <c r="CA197" s="16">
        <f t="shared" si="149"/>
        <v>91</v>
      </c>
      <c r="CB197" s="16">
        <v>2594</v>
      </c>
      <c r="CC197" s="16">
        <v>2107</v>
      </c>
      <c r="CD197" s="16">
        <f t="shared" si="150"/>
        <v>487</v>
      </c>
      <c r="CE197" s="16"/>
      <c r="CF197" s="16"/>
      <c r="CG197" s="80">
        <v>2008</v>
      </c>
      <c r="CH197" s="81" t="s">
        <v>47</v>
      </c>
      <c r="CI197" s="15">
        <f t="shared" si="101"/>
        <v>0.86137130011240159</v>
      </c>
      <c r="CJ197" s="15">
        <f t="shared" si="102"/>
        <v>0.89455252918287942</v>
      </c>
      <c r="CK197" s="15">
        <f t="shared" si="103"/>
        <v>0.96290745597602101</v>
      </c>
      <c r="CL197" s="16"/>
      <c r="CM197" s="16"/>
      <c r="CN197" s="16">
        <v>2669</v>
      </c>
      <c r="CO197" s="16">
        <f t="shared" si="151"/>
        <v>99</v>
      </c>
      <c r="CP197" s="16">
        <v>2570</v>
      </c>
      <c r="CQ197" s="16">
        <v>2299</v>
      </c>
      <c r="CR197" s="16">
        <f t="shared" si="152"/>
        <v>271</v>
      </c>
      <c r="CS197" s="16"/>
      <c r="CT197" s="16"/>
      <c r="CU197" s="80">
        <v>2008</v>
      </c>
      <c r="CV197" s="81" t="s">
        <v>47</v>
      </c>
      <c r="CW197" s="15">
        <f t="shared" si="58"/>
        <v>0.74706288873531446</v>
      </c>
      <c r="CX197" s="15">
        <f t="shared" si="59"/>
        <v>0.78106936416184969</v>
      </c>
      <c r="CY197" s="15">
        <f t="shared" si="60"/>
        <v>0.95646164478230822</v>
      </c>
      <c r="CZ197" s="16"/>
      <c r="DA197" s="16"/>
      <c r="DB197" s="16">
        <v>1447</v>
      </c>
      <c r="DC197" s="16">
        <f t="shared" si="61"/>
        <v>63</v>
      </c>
      <c r="DD197" s="16">
        <v>1384</v>
      </c>
      <c r="DE197" s="16">
        <v>1081</v>
      </c>
      <c r="DF197" s="16">
        <f t="shared" si="62"/>
        <v>303</v>
      </c>
      <c r="DG197" s="16"/>
      <c r="DH197" s="16"/>
      <c r="DI197" s="80">
        <v>2008</v>
      </c>
      <c r="DJ197" s="81" t="s">
        <v>47</v>
      </c>
      <c r="DK197" s="15">
        <f t="shared" si="106"/>
        <v>0.8806122448979592</v>
      </c>
      <c r="DL197" s="15">
        <f t="shared" si="107"/>
        <v>0.91419491525423724</v>
      </c>
      <c r="DM197" s="15">
        <f t="shared" si="108"/>
        <v>0.96326530612244898</v>
      </c>
      <c r="DN197" s="16"/>
      <c r="DO197" s="16"/>
      <c r="DP197" s="16">
        <v>980</v>
      </c>
      <c r="DQ197" s="16">
        <f t="shared" si="153"/>
        <v>36</v>
      </c>
      <c r="DR197" s="16">
        <v>944</v>
      </c>
      <c r="DS197" s="16">
        <v>863</v>
      </c>
      <c r="DT197" s="16">
        <f t="shared" si="154"/>
        <v>81</v>
      </c>
      <c r="DU197" s="16"/>
      <c r="DV197" s="16"/>
      <c r="DW197" s="80">
        <v>2008</v>
      </c>
      <c r="DX197" s="81" t="s">
        <v>47</v>
      </c>
      <c r="DY197" s="15">
        <f t="shared" si="111"/>
        <v>0.81921331316187596</v>
      </c>
      <c r="DZ197" s="15">
        <f t="shared" si="112"/>
        <v>0.85545023696682465</v>
      </c>
      <c r="EA197" s="15">
        <f t="shared" si="113"/>
        <v>0.95763993948562787</v>
      </c>
      <c r="EB197" s="16"/>
      <c r="EC197" s="16"/>
      <c r="ED197" s="16">
        <v>1322</v>
      </c>
      <c r="EE197" s="16">
        <f t="shared" si="155"/>
        <v>56</v>
      </c>
      <c r="EF197" s="16">
        <v>1266</v>
      </c>
      <c r="EG197" s="16">
        <v>1083</v>
      </c>
      <c r="EH197" s="16">
        <f t="shared" si="156"/>
        <v>183</v>
      </c>
      <c r="EI197" s="16"/>
      <c r="EJ197" s="16"/>
      <c r="EK197" s="80"/>
      <c r="EL197" s="81"/>
      <c r="EM197" s="15"/>
      <c r="EN197" s="15"/>
      <c r="EO197" s="15"/>
      <c r="EP197" s="16"/>
      <c r="EQ197" s="16"/>
      <c r="ER197" s="16"/>
      <c r="ES197" s="16"/>
      <c r="ET197" s="16"/>
      <c r="EU197" s="16"/>
      <c r="EV197" s="16"/>
      <c r="EW197" s="16"/>
      <c r="EX197" s="16"/>
      <c r="EY197" s="80"/>
      <c r="EZ197" s="81"/>
      <c r="FA197" s="15"/>
      <c r="FB197" s="15"/>
      <c r="FC197" s="15"/>
      <c r="FD197" s="16"/>
      <c r="FE197" s="16"/>
      <c r="FF197" s="16"/>
      <c r="FG197" s="16"/>
      <c r="FH197" s="16"/>
      <c r="FI197" s="16"/>
      <c r="FJ197" s="16"/>
      <c r="FK197" s="16"/>
      <c r="FM197" s="80"/>
      <c r="FN197" s="81"/>
      <c r="FO197" s="15"/>
      <c r="FP197" s="15"/>
      <c r="FQ197" s="15"/>
      <c r="FR197" s="16"/>
      <c r="FS197" s="16"/>
      <c r="FT197" s="16"/>
      <c r="FU197" s="16"/>
      <c r="FV197" s="16"/>
      <c r="FW197" s="16"/>
      <c r="FX197" s="16"/>
      <c r="FY197" s="16"/>
      <c r="GA197" s="80"/>
      <c r="GB197" s="81"/>
      <c r="GC197" s="15"/>
      <c r="GD197" s="15"/>
      <c r="GE197" s="15"/>
      <c r="GF197" s="16"/>
      <c r="GG197" s="16"/>
      <c r="GH197" s="16"/>
      <c r="GI197" s="16"/>
      <c r="GJ197" s="16"/>
      <c r="GK197" s="16"/>
      <c r="GL197" s="16"/>
      <c r="GM197" s="16"/>
    </row>
    <row r="198" spans="1:195" s="18" customFormat="1" ht="15" customHeight="1">
      <c r="A198" s="78">
        <v>2009</v>
      </c>
      <c r="B198" s="79" t="s">
        <v>36</v>
      </c>
      <c r="C198" s="15">
        <f t="shared" si="73"/>
        <v>0.86347493196808267</v>
      </c>
      <c r="D198" s="15">
        <f t="shared" si="74"/>
        <v>0.89415866647561737</v>
      </c>
      <c r="E198" s="15">
        <f t="shared" si="75"/>
        <v>0.96568423965684236</v>
      </c>
      <c r="F198" s="16"/>
      <c r="G198" s="33"/>
      <c r="H19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21681</v>
      </c>
      <c r="I198" s="16">
        <f t="shared" si="76"/>
        <v>744</v>
      </c>
      <c r="J19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20937</v>
      </c>
      <c r="K19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18721</v>
      </c>
      <c r="L198" s="16">
        <f t="shared" si="77"/>
        <v>2216</v>
      </c>
      <c r="M198" s="16"/>
      <c r="N198" s="16"/>
      <c r="O198" s="78">
        <v>2009</v>
      </c>
      <c r="P198" s="79" t="s">
        <v>36</v>
      </c>
      <c r="Q198" s="15">
        <f t="shared" ref="Q198:Q261" si="157">Y198/V198</f>
        <v>0.83475459541406105</v>
      </c>
      <c r="R198" s="15">
        <f t="shared" ref="R198:R261" si="158">Y198/X198</f>
        <v>0.90433175939232191</v>
      </c>
      <c r="S198" s="15">
        <f t="shared" ref="S198:S261" si="159">X198/V198</f>
        <v>0.92306234602994131</v>
      </c>
      <c r="T198" s="26"/>
      <c r="U198" s="26"/>
      <c r="V198" s="16">
        <v>5277</v>
      </c>
      <c r="W198" s="16">
        <f t="shared" ref="W198:W209" si="160">V198-X198</f>
        <v>406</v>
      </c>
      <c r="X198" s="16">
        <v>4871</v>
      </c>
      <c r="Y198" s="16">
        <v>4405</v>
      </c>
      <c r="Z198" s="16">
        <f t="shared" ref="Z198:Z209" si="161">X198-Y198</f>
        <v>466</v>
      </c>
      <c r="AA198" s="16"/>
      <c r="AB198" s="16"/>
      <c r="AC198" s="78"/>
      <c r="AD198" s="79"/>
      <c r="AE198" s="15"/>
      <c r="AF198" s="15"/>
      <c r="AG198" s="15"/>
      <c r="AH198" s="15"/>
      <c r="AI198" s="15"/>
      <c r="AJ198" s="16"/>
      <c r="AK198" s="16"/>
      <c r="AL198" s="16"/>
      <c r="AM198" s="16"/>
      <c r="AN198" s="16"/>
      <c r="AO198" s="16"/>
      <c r="AP198" s="16"/>
      <c r="AQ198" s="78">
        <v>2009</v>
      </c>
      <c r="AR198" s="79" t="s">
        <v>36</v>
      </c>
      <c r="AS198" s="15">
        <f t="shared" ref="AS198:AS261" si="162">BA198/AX198</f>
        <v>0.92102645713149001</v>
      </c>
      <c r="AT198" s="15">
        <f t="shared" ref="AT198:AT261" si="163">BA198/AZ198</f>
        <v>0.93743672808260781</v>
      </c>
      <c r="AU198" s="15">
        <f t="shared" ref="AU198:AU261" si="164">AZ198/AX198</f>
        <v>0.98249452954048144</v>
      </c>
      <c r="AV198" s="16"/>
      <c r="AW198" s="16"/>
      <c r="AX198" s="16">
        <v>5027</v>
      </c>
      <c r="AY198" s="16">
        <f t="shared" ref="AY198:AY209" si="165">AX198-AZ198</f>
        <v>88</v>
      </c>
      <c r="AZ198" s="16">
        <v>4939</v>
      </c>
      <c r="BA198" s="16">
        <v>4630</v>
      </c>
      <c r="BB198" s="16">
        <f t="shared" ref="BB198:BB209" si="166">AZ198-BA198</f>
        <v>309</v>
      </c>
      <c r="BC198" s="16"/>
      <c r="BD198" s="16"/>
      <c r="BE198" s="78">
        <v>2009</v>
      </c>
      <c r="BF198" s="79" t="s">
        <v>36</v>
      </c>
      <c r="BG198" s="15">
        <f t="shared" ref="BG198:BG258" si="167">BO198/BL198</f>
        <v>0.60755336617405586</v>
      </c>
      <c r="BH198" s="15">
        <f t="shared" ref="BH198:BH258" si="168">BO198/BN198</f>
        <v>0.65719360568383656</v>
      </c>
      <c r="BI198" s="15">
        <f t="shared" ref="BI198:BI258" si="169">BN198/BL198</f>
        <v>0.92446633825944169</v>
      </c>
      <c r="BJ198" s="16"/>
      <c r="BK198" s="16"/>
      <c r="BL198" s="16">
        <v>609</v>
      </c>
      <c r="BM198" s="16">
        <f t="shared" ref="BM198:BM209" si="170">BL198-BN198</f>
        <v>46</v>
      </c>
      <c r="BN198" s="16">
        <v>563</v>
      </c>
      <c r="BO198" s="16">
        <v>370</v>
      </c>
      <c r="BP198" s="16">
        <f t="shared" ref="BP198:BP209" si="171">BN198-BO198</f>
        <v>193</v>
      </c>
      <c r="BQ198" s="16"/>
      <c r="BR198" s="16"/>
      <c r="BS198" s="78">
        <v>2009</v>
      </c>
      <c r="BT198" s="79" t="s">
        <v>36</v>
      </c>
      <c r="BU198" s="15">
        <f t="shared" ref="BU198:BU261" si="172">CC198/BZ198</f>
        <v>0.81699346405228757</v>
      </c>
      <c r="BV198" s="15">
        <f t="shared" ref="BV198:BV261" si="173">CC198/CB198</f>
        <v>0.83861349235929927</v>
      </c>
      <c r="BW198" s="15">
        <f t="shared" ref="BW198:BW261" si="174">CB198/BZ198</f>
        <v>0.9742193173565723</v>
      </c>
      <c r="BX198" s="16"/>
      <c r="BY198" s="16"/>
      <c r="BZ198" s="16">
        <v>2754</v>
      </c>
      <c r="CA198" s="16">
        <f t="shared" ref="CA198:CA209" si="175">BZ198-CB198</f>
        <v>71</v>
      </c>
      <c r="CB198" s="16">
        <v>2683</v>
      </c>
      <c r="CC198" s="16">
        <v>2250</v>
      </c>
      <c r="CD198" s="16">
        <f t="shared" ref="CD198:CD209" si="176">CB198-CC198</f>
        <v>433</v>
      </c>
      <c r="CE198" s="16"/>
      <c r="CF198" s="16"/>
      <c r="CG198" s="78">
        <v>2009</v>
      </c>
      <c r="CH198" s="79" t="s">
        <v>36</v>
      </c>
      <c r="CI198" s="15">
        <f t="shared" ref="CI198:CI261" si="177">CQ198/CN198</f>
        <v>0.91373686118158748</v>
      </c>
      <c r="CJ198" s="15">
        <f t="shared" ref="CJ198:CJ261" si="178">CQ198/CP198</f>
        <v>0.93128925009235319</v>
      </c>
      <c r="CK198" s="15">
        <f t="shared" ref="CK198:CK261" si="179">CP198/CN198</f>
        <v>0.98115259151866618</v>
      </c>
      <c r="CL198" s="16"/>
      <c r="CM198" s="16"/>
      <c r="CN198" s="16">
        <v>2759</v>
      </c>
      <c r="CO198" s="16">
        <f t="shared" ref="CO198:CO209" si="180">CN198-CP198</f>
        <v>52</v>
      </c>
      <c r="CP198" s="16">
        <v>2707</v>
      </c>
      <c r="CQ198" s="16">
        <v>2521</v>
      </c>
      <c r="CR198" s="16">
        <f t="shared" ref="CR198:CR209" si="181">CP198-CQ198</f>
        <v>186</v>
      </c>
      <c r="CS198" s="16"/>
      <c r="CT198" s="16"/>
      <c r="CU198" s="78">
        <v>2009</v>
      </c>
      <c r="CV198" s="79" t="s">
        <v>36</v>
      </c>
      <c r="CW198" s="15">
        <f>DE198/DB198</f>
        <v>0.78903539208882723</v>
      </c>
      <c r="CX198" s="15">
        <f>DE198/DD198</f>
        <v>0.80438627520339578</v>
      </c>
      <c r="CY198" s="15">
        <f>DD198/DB198</f>
        <v>0.98091603053435117</v>
      </c>
      <c r="CZ198" s="16"/>
      <c r="DA198" s="16"/>
      <c r="DB198" s="16">
        <v>2882</v>
      </c>
      <c r="DC198" s="16">
        <f t="shared" ref="DC198:DC261" si="182">DB198-DD198</f>
        <v>55</v>
      </c>
      <c r="DD198" s="16">
        <v>2827</v>
      </c>
      <c r="DE198" s="16">
        <v>2274</v>
      </c>
      <c r="DF198" s="16">
        <f t="shared" ref="DF198:DF261" si="183">DD198-DE198</f>
        <v>553</v>
      </c>
      <c r="DG198" s="16"/>
      <c r="DH198" s="16"/>
      <c r="DI198" s="78">
        <v>2009</v>
      </c>
      <c r="DJ198" s="79" t="s">
        <v>36</v>
      </c>
      <c r="DK198" s="15">
        <f t="shared" ref="DK198:DK261" si="184">DS198/DP198</f>
        <v>0.91649694501018331</v>
      </c>
      <c r="DL198" s="15">
        <f t="shared" ref="DL198:DL261" si="185">DS198/DR198</f>
        <v>0.92975206611570249</v>
      </c>
      <c r="DM198" s="15">
        <f t="shared" ref="DM198:DM261" si="186">DR198/DP198</f>
        <v>0.98574338085539714</v>
      </c>
      <c r="DN198" s="16"/>
      <c r="DO198" s="16"/>
      <c r="DP198" s="16">
        <v>982</v>
      </c>
      <c r="DQ198" s="16">
        <f t="shared" ref="DQ198:DQ209" si="187">DP198-DR198</f>
        <v>14</v>
      </c>
      <c r="DR198" s="16">
        <v>968</v>
      </c>
      <c r="DS198" s="16">
        <v>900</v>
      </c>
      <c r="DT198" s="16">
        <f t="shared" ref="DT198:DT209" si="188">DR198-DS198</f>
        <v>68</v>
      </c>
      <c r="DU198" s="16"/>
      <c r="DV198" s="16"/>
      <c r="DW198" s="78">
        <v>2009</v>
      </c>
      <c r="DX198" s="79" t="s">
        <v>36</v>
      </c>
      <c r="DY198" s="15">
        <f t="shared" ref="DY198:DY261" si="189">EG198/ED198</f>
        <v>0.98562185478073328</v>
      </c>
      <c r="DZ198" s="15">
        <f t="shared" ref="DZ198:DZ261" si="190">EG198/EF198</f>
        <v>0.99419869470630895</v>
      </c>
      <c r="EA198" s="15">
        <f t="shared" ref="EA198:EA261" si="191">EF198/ED198</f>
        <v>0.99137311286843999</v>
      </c>
      <c r="EB198" s="16"/>
      <c r="EC198" s="16"/>
      <c r="ED198" s="16">
        <v>1391</v>
      </c>
      <c r="EE198" s="16">
        <f t="shared" ref="EE198:EE209" si="192">ED198-EF198</f>
        <v>12</v>
      </c>
      <c r="EF198" s="16">
        <v>1379</v>
      </c>
      <c r="EG198" s="16">
        <v>1371</v>
      </c>
      <c r="EH198" s="16">
        <f t="shared" ref="EH198:EH209" si="193">EF198-EG198</f>
        <v>8</v>
      </c>
      <c r="EI198" s="16"/>
      <c r="EJ198" s="16"/>
      <c r="EK198" s="78"/>
      <c r="EL198" s="79"/>
      <c r="EM198" s="15"/>
      <c r="EN198" s="15"/>
      <c r="EO198" s="15"/>
      <c r="EP198" s="16"/>
      <c r="EQ198" s="16"/>
      <c r="ER198" s="16"/>
      <c r="ES198" s="16"/>
      <c r="ET198" s="16"/>
      <c r="EU198" s="16"/>
      <c r="EV198" s="16"/>
      <c r="EW198" s="16"/>
      <c r="EX198" s="16"/>
      <c r="EY198" s="78"/>
      <c r="EZ198" s="79"/>
      <c r="FA198" s="15"/>
      <c r="FB198" s="15"/>
      <c r="FC198" s="15"/>
      <c r="FD198" s="16"/>
      <c r="FE198" s="16"/>
      <c r="FF198" s="16"/>
      <c r="FG198" s="16"/>
      <c r="FH198" s="16"/>
      <c r="FI198" s="16"/>
      <c r="FJ198" s="16"/>
      <c r="FK198" s="16"/>
      <c r="FM198" s="78"/>
      <c r="FN198" s="79"/>
      <c r="FO198" s="15"/>
      <c r="FP198" s="15"/>
      <c r="FQ198" s="15"/>
      <c r="FR198" s="16"/>
      <c r="FS198" s="16"/>
      <c r="FT198" s="16"/>
      <c r="FU198" s="16"/>
      <c r="FV198" s="16"/>
      <c r="FW198" s="16"/>
      <c r="FX198" s="16"/>
      <c r="FY198" s="16"/>
      <c r="GA198" s="78"/>
      <c r="GB198" s="79"/>
      <c r="GC198" s="15"/>
      <c r="GD198" s="15"/>
      <c r="GE198" s="15"/>
      <c r="GF198" s="16"/>
      <c r="GG198" s="16"/>
      <c r="GH198" s="16"/>
      <c r="GI198" s="16"/>
      <c r="GJ198" s="16"/>
      <c r="GK198" s="16"/>
      <c r="GL198" s="16"/>
      <c r="GM198" s="16"/>
    </row>
    <row r="199" spans="1:195" s="18" customFormat="1" ht="15" customHeight="1">
      <c r="A199" s="80">
        <v>2009</v>
      </c>
      <c r="B199" s="81" t="s">
        <v>37</v>
      </c>
      <c r="C199" s="15">
        <f t="shared" ref="C199:C262" si="194">K199/H199</f>
        <v>0.88188142770719902</v>
      </c>
      <c r="D199" s="15">
        <f t="shared" ref="D199:D262" si="195">K199/J199</f>
        <v>0.90384416658055178</v>
      </c>
      <c r="E199" s="15">
        <f t="shared" ref="E199:E262" si="196">J199/H199</f>
        <v>0.97570074611816904</v>
      </c>
      <c r="F199" s="16"/>
      <c r="G199" s="33"/>
      <c r="H19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19836</v>
      </c>
      <c r="I199" s="16">
        <f t="shared" ref="I199:I262" si="197">H199-J199</f>
        <v>482</v>
      </c>
      <c r="J19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19354</v>
      </c>
      <c r="K19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17493</v>
      </c>
      <c r="L199" s="16">
        <f t="shared" ref="L199:L262" si="198">J199-K199</f>
        <v>1861</v>
      </c>
      <c r="M199" s="16"/>
      <c r="N199" s="16"/>
      <c r="O199" s="80">
        <v>2009</v>
      </c>
      <c r="P199" s="81" t="s">
        <v>37</v>
      </c>
      <c r="Q199" s="15">
        <f t="shared" si="157"/>
        <v>0.90371900826446283</v>
      </c>
      <c r="R199" s="15">
        <f t="shared" si="158"/>
        <v>0.91832878437959264</v>
      </c>
      <c r="S199" s="15">
        <f t="shared" si="159"/>
        <v>0.98409090909090913</v>
      </c>
      <c r="T199" s="26"/>
      <c r="U199" s="26"/>
      <c r="V199" s="16">
        <v>4840</v>
      </c>
      <c r="W199" s="16">
        <f t="shared" si="160"/>
        <v>77</v>
      </c>
      <c r="X199" s="16">
        <v>4763</v>
      </c>
      <c r="Y199" s="16">
        <v>4374</v>
      </c>
      <c r="Z199" s="16">
        <f t="shared" si="161"/>
        <v>389</v>
      </c>
      <c r="AA199" s="16"/>
      <c r="AB199" s="16"/>
      <c r="AC199" s="80"/>
      <c r="AD199" s="81"/>
      <c r="AE199" s="15"/>
      <c r="AF199" s="15"/>
      <c r="AG199" s="15"/>
      <c r="AH199" s="15"/>
      <c r="AI199" s="15"/>
      <c r="AJ199" s="16"/>
      <c r="AK199" s="16"/>
      <c r="AL199" s="16"/>
      <c r="AM199" s="16"/>
      <c r="AN199" s="16"/>
      <c r="AO199" s="16"/>
      <c r="AP199" s="16"/>
      <c r="AQ199" s="80">
        <v>2009</v>
      </c>
      <c r="AR199" s="81" t="s">
        <v>37</v>
      </c>
      <c r="AS199" s="15">
        <f t="shared" si="162"/>
        <v>0.90695652173913044</v>
      </c>
      <c r="AT199" s="15">
        <f t="shared" si="163"/>
        <v>0.93626570915619389</v>
      </c>
      <c r="AU199" s="15">
        <f t="shared" si="164"/>
        <v>0.96869565217391307</v>
      </c>
      <c r="AV199" s="16"/>
      <c r="AW199" s="16"/>
      <c r="AX199" s="16">
        <v>4600</v>
      </c>
      <c r="AY199" s="16">
        <f t="shared" si="165"/>
        <v>144</v>
      </c>
      <c r="AZ199" s="16">
        <v>4456</v>
      </c>
      <c r="BA199" s="16">
        <v>4172</v>
      </c>
      <c r="BB199" s="16">
        <f t="shared" si="166"/>
        <v>284</v>
      </c>
      <c r="BC199" s="16"/>
      <c r="BD199" s="16"/>
      <c r="BE199" s="80">
        <v>2009</v>
      </c>
      <c r="BF199" s="81" t="s">
        <v>37</v>
      </c>
      <c r="BG199" s="15">
        <f t="shared" si="167"/>
        <v>0.68793103448275861</v>
      </c>
      <c r="BH199" s="15">
        <f t="shared" si="168"/>
        <v>0.72677595628415304</v>
      </c>
      <c r="BI199" s="15">
        <f t="shared" si="169"/>
        <v>0.94655172413793098</v>
      </c>
      <c r="BJ199" s="16"/>
      <c r="BK199" s="16"/>
      <c r="BL199" s="16">
        <v>580</v>
      </c>
      <c r="BM199" s="16">
        <f t="shared" si="170"/>
        <v>31</v>
      </c>
      <c r="BN199" s="16">
        <v>549</v>
      </c>
      <c r="BO199" s="16">
        <v>399</v>
      </c>
      <c r="BP199" s="16">
        <f t="shared" si="171"/>
        <v>150</v>
      </c>
      <c r="BQ199" s="16"/>
      <c r="BR199" s="16"/>
      <c r="BS199" s="80">
        <v>2009</v>
      </c>
      <c r="BT199" s="81" t="s">
        <v>37</v>
      </c>
      <c r="BU199" s="15">
        <f t="shared" si="172"/>
        <v>0.81948881789137384</v>
      </c>
      <c r="BV199" s="15">
        <f t="shared" si="173"/>
        <v>0.83448556323708822</v>
      </c>
      <c r="BW199" s="15">
        <f t="shared" si="174"/>
        <v>0.98202875399361023</v>
      </c>
      <c r="BX199" s="16"/>
      <c r="BY199" s="16"/>
      <c r="BZ199" s="16">
        <v>2504</v>
      </c>
      <c r="CA199" s="16">
        <f t="shared" si="175"/>
        <v>45</v>
      </c>
      <c r="CB199" s="16">
        <v>2459</v>
      </c>
      <c r="CC199" s="16">
        <v>2052</v>
      </c>
      <c r="CD199" s="16">
        <f t="shared" si="176"/>
        <v>407</v>
      </c>
      <c r="CE199" s="16"/>
      <c r="CF199" s="16"/>
      <c r="CG199" s="80">
        <v>2009</v>
      </c>
      <c r="CH199" s="81" t="s">
        <v>37</v>
      </c>
      <c r="CI199" s="15">
        <f t="shared" si="177"/>
        <v>0.91347687400318978</v>
      </c>
      <c r="CJ199" s="15">
        <f t="shared" si="178"/>
        <v>0.93472052223582214</v>
      </c>
      <c r="CK199" s="15">
        <f t="shared" si="179"/>
        <v>0.97727272727272729</v>
      </c>
      <c r="CL199" s="16"/>
      <c r="CM199" s="16"/>
      <c r="CN199" s="16">
        <v>2508</v>
      </c>
      <c r="CO199" s="16">
        <f t="shared" si="180"/>
        <v>57</v>
      </c>
      <c r="CP199" s="16">
        <v>2451</v>
      </c>
      <c r="CQ199" s="16">
        <v>2291</v>
      </c>
      <c r="CR199" s="16">
        <f t="shared" si="181"/>
        <v>160</v>
      </c>
      <c r="CS199" s="16"/>
      <c r="CT199" s="16"/>
      <c r="CU199" s="80">
        <v>2009</v>
      </c>
      <c r="CV199" s="81" t="s">
        <v>37</v>
      </c>
      <c r="CW199" s="15">
        <f t="shared" ref="CW199:CW261" si="199">DE199/DB199</f>
        <v>0.83019578313253017</v>
      </c>
      <c r="CX199" s="15">
        <f t="shared" ref="CX199:CX261" si="200">DE199/DD199</f>
        <v>0.85498255137650248</v>
      </c>
      <c r="CY199" s="15">
        <f t="shared" ref="CY199:CY261" si="201">DD199/DB199</f>
        <v>0.97100903614457834</v>
      </c>
      <c r="CZ199" s="16"/>
      <c r="DA199" s="16"/>
      <c r="DB199" s="16">
        <v>2656</v>
      </c>
      <c r="DC199" s="16">
        <f t="shared" si="182"/>
        <v>77</v>
      </c>
      <c r="DD199" s="16">
        <v>2579</v>
      </c>
      <c r="DE199" s="16">
        <v>2205</v>
      </c>
      <c r="DF199" s="16">
        <f t="shared" si="183"/>
        <v>374</v>
      </c>
      <c r="DG199" s="16"/>
      <c r="DH199" s="16"/>
      <c r="DI199" s="80">
        <v>2009</v>
      </c>
      <c r="DJ199" s="81" t="s">
        <v>37</v>
      </c>
      <c r="DK199" s="15">
        <f t="shared" si="184"/>
        <v>0.88288288288288286</v>
      </c>
      <c r="DL199" s="15">
        <f t="shared" si="185"/>
        <v>0.90740740740740744</v>
      </c>
      <c r="DM199" s="15">
        <f t="shared" si="186"/>
        <v>0.97297297297297303</v>
      </c>
      <c r="DN199" s="16"/>
      <c r="DO199" s="16"/>
      <c r="DP199" s="16">
        <v>888</v>
      </c>
      <c r="DQ199" s="16">
        <f t="shared" si="187"/>
        <v>24</v>
      </c>
      <c r="DR199" s="16">
        <v>864</v>
      </c>
      <c r="DS199" s="16">
        <v>784</v>
      </c>
      <c r="DT199" s="16">
        <f t="shared" si="188"/>
        <v>80</v>
      </c>
      <c r="DU199" s="16"/>
      <c r="DV199" s="16"/>
      <c r="DW199" s="80">
        <v>2009</v>
      </c>
      <c r="DX199" s="81" t="s">
        <v>37</v>
      </c>
      <c r="DY199" s="15">
        <f t="shared" si="189"/>
        <v>0.96507936507936509</v>
      </c>
      <c r="DZ199" s="15">
        <f t="shared" si="190"/>
        <v>0.98621248986212495</v>
      </c>
      <c r="EA199" s="15">
        <f t="shared" si="191"/>
        <v>0.97857142857142854</v>
      </c>
      <c r="EB199" s="16"/>
      <c r="EC199" s="16"/>
      <c r="ED199" s="16">
        <v>1260</v>
      </c>
      <c r="EE199" s="16">
        <f t="shared" si="192"/>
        <v>27</v>
      </c>
      <c r="EF199" s="16">
        <v>1233</v>
      </c>
      <c r="EG199" s="16">
        <v>1216</v>
      </c>
      <c r="EH199" s="16">
        <f t="shared" si="193"/>
        <v>17</v>
      </c>
      <c r="EI199" s="16"/>
      <c r="EJ199" s="16"/>
      <c r="EK199" s="80"/>
      <c r="EL199" s="81"/>
      <c r="EM199" s="15"/>
      <c r="EN199" s="15"/>
      <c r="EO199" s="15"/>
      <c r="EP199" s="16"/>
      <c r="EQ199" s="16"/>
      <c r="ER199" s="16"/>
      <c r="ES199" s="16"/>
      <c r="ET199" s="16"/>
      <c r="EU199" s="16"/>
      <c r="EV199" s="16"/>
      <c r="EW199" s="16"/>
      <c r="EX199" s="16"/>
      <c r="EY199" s="80"/>
      <c r="EZ199" s="81"/>
      <c r="FA199" s="15"/>
      <c r="FB199" s="15"/>
      <c r="FC199" s="15"/>
      <c r="FD199" s="16"/>
      <c r="FE199" s="16"/>
      <c r="FF199" s="16"/>
      <c r="FG199" s="16"/>
      <c r="FH199" s="16"/>
      <c r="FI199" s="16"/>
      <c r="FJ199" s="16"/>
      <c r="FK199" s="16"/>
      <c r="FM199" s="80"/>
      <c r="FN199" s="81"/>
      <c r="FO199" s="15"/>
      <c r="FP199" s="15"/>
      <c r="FQ199" s="15"/>
      <c r="FR199" s="16"/>
      <c r="FS199" s="16"/>
      <c r="FT199" s="16"/>
      <c r="FU199" s="16"/>
      <c r="FV199" s="16"/>
      <c r="FW199" s="16"/>
      <c r="FX199" s="16"/>
      <c r="FY199" s="16"/>
      <c r="GA199" s="80"/>
      <c r="GB199" s="81"/>
      <c r="GC199" s="15"/>
      <c r="GD199" s="15"/>
      <c r="GE199" s="15"/>
      <c r="GF199" s="16"/>
      <c r="GG199" s="16"/>
      <c r="GH199" s="16"/>
      <c r="GI199" s="16"/>
      <c r="GJ199" s="16"/>
      <c r="GK199" s="16"/>
      <c r="GL199" s="16"/>
      <c r="GM199" s="16"/>
    </row>
    <row r="200" spans="1:195" s="18" customFormat="1" ht="15" customHeight="1">
      <c r="A200" s="78">
        <v>2009</v>
      </c>
      <c r="B200" s="79" t="s">
        <v>38</v>
      </c>
      <c r="C200" s="15">
        <f t="shared" si="194"/>
        <v>0.84908197329376855</v>
      </c>
      <c r="D200" s="15">
        <f t="shared" si="195"/>
        <v>0.87764784817406305</v>
      </c>
      <c r="E200" s="15">
        <f t="shared" si="196"/>
        <v>0.96745178041543023</v>
      </c>
      <c r="F200" s="16"/>
      <c r="G200" s="33"/>
      <c r="H20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21568</v>
      </c>
      <c r="I200" s="16">
        <f t="shared" si="197"/>
        <v>702</v>
      </c>
      <c r="J20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20866</v>
      </c>
      <c r="K20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18313</v>
      </c>
      <c r="L200" s="16">
        <f t="shared" si="198"/>
        <v>2553</v>
      </c>
      <c r="M200" s="16"/>
      <c r="N200" s="16"/>
      <c r="O200" s="78">
        <v>2009</v>
      </c>
      <c r="P200" s="79" t="s">
        <v>38</v>
      </c>
      <c r="Q200" s="15">
        <f t="shared" si="157"/>
        <v>0.87856732426738171</v>
      </c>
      <c r="R200" s="15">
        <f t="shared" si="158"/>
        <v>0.899941141848146</v>
      </c>
      <c r="S200" s="15">
        <f t="shared" si="159"/>
        <v>0.97624976058226398</v>
      </c>
      <c r="T200" s="26"/>
      <c r="U200" s="26"/>
      <c r="V200" s="16">
        <v>5221</v>
      </c>
      <c r="W200" s="16">
        <f t="shared" si="160"/>
        <v>124</v>
      </c>
      <c r="X200" s="16">
        <v>5097</v>
      </c>
      <c r="Y200" s="16">
        <v>4587</v>
      </c>
      <c r="Z200" s="16">
        <f t="shared" si="161"/>
        <v>510</v>
      </c>
      <c r="AA200" s="16"/>
      <c r="AB200" s="16"/>
      <c r="AC200" s="78"/>
      <c r="AD200" s="79"/>
      <c r="AE200" s="15"/>
      <c r="AF200" s="15"/>
      <c r="AG200" s="15"/>
      <c r="AH200" s="15"/>
      <c r="AI200" s="15"/>
      <c r="AJ200" s="16"/>
      <c r="AK200" s="16"/>
      <c r="AL200" s="16"/>
      <c r="AM200" s="16"/>
      <c r="AN200" s="16"/>
      <c r="AO200" s="16"/>
      <c r="AP200" s="16"/>
      <c r="AQ200" s="78">
        <v>2009</v>
      </c>
      <c r="AR200" s="79" t="s">
        <v>38</v>
      </c>
      <c r="AS200" s="15">
        <f t="shared" si="162"/>
        <v>0.87769060551196942</v>
      </c>
      <c r="AT200" s="15">
        <f t="shared" si="163"/>
        <v>0.92632696390658176</v>
      </c>
      <c r="AU200" s="15">
        <f t="shared" si="164"/>
        <v>0.9474954737477369</v>
      </c>
      <c r="AV200" s="16"/>
      <c r="AW200" s="16"/>
      <c r="AX200" s="16">
        <v>4971</v>
      </c>
      <c r="AY200" s="16">
        <f t="shared" si="165"/>
        <v>261</v>
      </c>
      <c r="AZ200" s="16">
        <v>4710</v>
      </c>
      <c r="BA200" s="16">
        <v>4363</v>
      </c>
      <c r="BB200" s="16">
        <f t="shared" si="166"/>
        <v>347</v>
      </c>
      <c r="BC200" s="16"/>
      <c r="BD200" s="16"/>
      <c r="BE200" s="78">
        <v>2009</v>
      </c>
      <c r="BF200" s="79" t="s">
        <v>38</v>
      </c>
      <c r="BG200" s="15">
        <f t="shared" si="167"/>
        <v>0.63875205254515599</v>
      </c>
      <c r="BH200" s="15">
        <f t="shared" si="168"/>
        <v>0.67068965517241375</v>
      </c>
      <c r="BI200" s="15">
        <f t="shared" si="169"/>
        <v>0.95238095238095233</v>
      </c>
      <c r="BJ200" s="16"/>
      <c r="BK200" s="16"/>
      <c r="BL200" s="16">
        <v>609</v>
      </c>
      <c r="BM200" s="16">
        <f t="shared" si="170"/>
        <v>29</v>
      </c>
      <c r="BN200" s="16">
        <v>580</v>
      </c>
      <c r="BO200" s="16">
        <v>389</v>
      </c>
      <c r="BP200" s="16">
        <f t="shared" si="171"/>
        <v>191</v>
      </c>
      <c r="BQ200" s="16"/>
      <c r="BR200" s="16"/>
      <c r="BS200" s="78">
        <v>2009</v>
      </c>
      <c r="BT200" s="79" t="s">
        <v>38</v>
      </c>
      <c r="BU200" s="15">
        <f t="shared" si="172"/>
        <v>0.74471188913202047</v>
      </c>
      <c r="BV200" s="15">
        <f t="shared" si="173"/>
        <v>0.76565429321334832</v>
      </c>
      <c r="BW200" s="15">
        <f t="shared" si="174"/>
        <v>0.97264770240700216</v>
      </c>
      <c r="BX200" s="16"/>
      <c r="BY200" s="16"/>
      <c r="BZ200" s="16">
        <v>2742</v>
      </c>
      <c r="CA200" s="16">
        <f t="shared" si="175"/>
        <v>75</v>
      </c>
      <c r="CB200" s="16">
        <v>2667</v>
      </c>
      <c r="CC200" s="16">
        <v>2042</v>
      </c>
      <c r="CD200" s="16">
        <f t="shared" si="176"/>
        <v>625</v>
      </c>
      <c r="CE200" s="16"/>
      <c r="CF200" s="16"/>
      <c r="CG200" s="78">
        <v>2009</v>
      </c>
      <c r="CH200" s="79" t="s">
        <v>38</v>
      </c>
      <c r="CI200" s="15">
        <f t="shared" si="177"/>
        <v>0.86817188638018938</v>
      </c>
      <c r="CJ200" s="15">
        <f t="shared" si="178"/>
        <v>0.89590379556557687</v>
      </c>
      <c r="CK200" s="15">
        <f t="shared" si="179"/>
        <v>0.96904588492352517</v>
      </c>
      <c r="CL200" s="16"/>
      <c r="CM200" s="16"/>
      <c r="CN200" s="16">
        <v>2746</v>
      </c>
      <c r="CO200" s="16">
        <f t="shared" si="180"/>
        <v>85</v>
      </c>
      <c r="CP200" s="16">
        <v>2661</v>
      </c>
      <c r="CQ200" s="16">
        <v>2384</v>
      </c>
      <c r="CR200" s="16">
        <f t="shared" si="181"/>
        <v>277</v>
      </c>
      <c r="CS200" s="16"/>
      <c r="CT200" s="16"/>
      <c r="CU200" s="78">
        <v>2009</v>
      </c>
      <c r="CV200" s="79" t="s">
        <v>38</v>
      </c>
      <c r="CW200" s="15">
        <f t="shared" si="199"/>
        <v>0.80205831903945113</v>
      </c>
      <c r="CX200" s="15">
        <f t="shared" si="200"/>
        <v>0.81891418563922946</v>
      </c>
      <c r="CY200" s="15">
        <f t="shared" si="201"/>
        <v>0.97941680960548883</v>
      </c>
      <c r="CZ200" s="16"/>
      <c r="DA200" s="16"/>
      <c r="DB200" s="16">
        <v>2915</v>
      </c>
      <c r="DC200" s="16">
        <f t="shared" si="182"/>
        <v>60</v>
      </c>
      <c r="DD200" s="16">
        <v>2855</v>
      </c>
      <c r="DE200" s="16">
        <v>2338</v>
      </c>
      <c r="DF200" s="16">
        <f t="shared" si="183"/>
        <v>517</v>
      </c>
      <c r="DG200" s="16"/>
      <c r="DH200" s="16"/>
      <c r="DI200" s="78">
        <v>2009</v>
      </c>
      <c r="DJ200" s="79" t="s">
        <v>38</v>
      </c>
      <c r="DK200" s="15">
        <f t="shared" si="184"/>
        <v>0.92755102040816328</v>
      </c>
      <c r="DL200" s="15">
        <f t="shared" si="185"/>
        <v>0.9380804953560371</v>
      </c>
      <c r="DM200" s="15">
        <f t="shared" si="186"/>
        <v>0.98877551020408161</v>
      </c>
      <c r="DN200" s="16"/>
      <c r="DO200" s="16"/>
      <c r="DP200" s="16">
        <v>980</v>
      </c>
      <c r="DQ200" s="16">
        <f t="shared" si="187"/>
        <v>11</v>
      </c>
      <c r="DR200" s="16">
        <v>969</v>
      </c>
      <c r="DS200" s="16">
        <v>909</v>
      </c>
      <c r="DT200" s="16">
        <f t="shared" si="188"/>
        <v>60</v>
      </c>
      <c r="DU200" s="16"/>
      <c r="DV200" s="16"/>
      <c r="DW200" s="78">
        <v>2009</v>
      </c>
      <c r="DX200" s="79" t="s">
        <v>38</v>
      </c>
      <c r="DY200" s="15">
        <f t="shared" si="189"/>
        <v>0.94002890173410403</v>
      </c>
      <c r="DZ200" s="15">
        <f t="shared" si="190"/>
        <v>0.98040693293142422</v>
      </c>
      <c r="EA200" s="15">
        <f t="shared" si="191"/>
        <v>0.95881502890173409</v>
      </c>
      <c r="EB200" s="16"/>
      <c r="EC200" s="16"/>
      <c r="ED200" s="16">
        <v>1384</v>
      </c>
      <c r="EE200" s="16">
        <f t="shared" si="192"/>
        <v>57</v>
      </c>
      <c r="EF200" s="16">
        <v>1327</v>
      </c>
      <c r="EG200" s="16">
        <v>1301</v>
      </c>
      <c r="EH200" s="16">
        <f t="shared" si="193"/>
        <v>26</v>
      </c>
      <c r="EI200" s="16"/>
      <c r="EJ200" s="16"/>
      <c r="EK200" s="78"/>
      <c r="EL200" s="79"/>
      <c r="EM200" s="15"/>
      <c r="EN200" s="15"/>
      <c r="EO200" s="15"/>
      <c r="EP200" s="16"/>
      <c r="EQ200" s="16"/>
      <c r="ER200" s="16"/>
      <c r="ES200" s="16"/>
      <c r="ET200" s="16"/>
      <c r="EU200" s="16"/>
      <c r="EV200" s="16"/>
      <c r="EW200" s="16"/>
      <c r="EX200" s="16"/>
      <c r="EY200" s="78"/>
      <c r="EZ200" s="79"/>
      <c r="FA200" s="15"/>
      <c r="FB200" s="15"/>
      <c r="FC200" s="15"/>
      <c r="FD200" s="16"/>
      <c r="FE200" s="16"/>
      <c r="FF200" s="16"/>
      <c r="FG200" s="16"/>
      <c r="FH200" s="16"/>
      <c r="FI200" s="16"/>
      <c r="FJ200" s="16"/>
      <c r="FK200" s="16"/>
      <c r="FM200" s="78"/>
      <c r="FN200" s="79"/>
      <c r="FO200" s="15"/>
      <c r="FP200" s="15"/>
      <c r="FQ200" s="15"/>
      <c r="FR200" s="16"/>
      <c r="FS200" s="16"/>
      <c r="FT200" s="16"/>
      <c r="FU200" s="16"/>
      <c r="FV200" s="16"/>
      <c r="FW200" s="16"/>
      <c r="FX200" s="16"/>
      <c r="FY200" s="16"/>
      <c r="GA200" s="78"/>
      <c r="GB200" s="79"/>
      <c r="GC200" s="15"/>
      <c r="GD200" s="15"/>
      <c r="GE200" s="15"/>
      <c r="GF200" s="16"/>
      <c r="GG200" s="16"/>
      <c r="GH200" s="16"/>
      <c r="GI200" s="16"/>
      <c r="GJ200" s="16"/>
      <c r="GK200" s="16"/>
      <c r="GL200" s="16"/>
      <c r="GM200" s="16"/>
    </row>
    <row r="201" spans="1:195" s="18" customFormat="1" ht="15" customHeight="1">
      <c r="A201" s="80">
        <v>2009</v>
      </c>
      <c r="B201" s="81" t="s">
        <v>39</v>
      </c>
      <c r="C201" s="15">
        <f t="shared" si="194"/>
        <v>0.83445406608291806</v>
      </c>
      <c r="D201" s="15">
        <f t="shared" si="195"/>
        <v>0.87129363034803253</v>
      </c>
      <c r="E201" s="15">
        <f t="shared" si="196"/>
        <v>0.95771854288616898</v>
      </c>
      <c r="F201" s="16"/>
      <c r="G201" s="33"/>
      <c r="H20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20671</v>
      </c>
      <c r="I201" s="16">
        <f t="shared" si="197"/>
        <v>874</v>
      </c>
      <c r="J20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19797</v>
      </c>
      <c r="K20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17249</v>
      </c>
      <c r="L201" s="16">
        <f t="shared" si="198"/>
        <v>2548</v>
      </c>
      <c r="M201" s="16"/>
      <c r="N201" s="16"/>
      <c r="O201" s="80">
        <v>2009</v>
      </c>
      <c r="P201" s="81" t="s">
        <v>39</v>
      </c>
      <c r="Q201" s="15">
        <f t="shared" si="157"/>
        <v>0.81728840754111509</v>
      </c>
      <c r="R201" s="15">
        <f t="shared" si="158"/>
        <v>0.85699263932702419</v>
      </c>
      <c r="S201" s="15">
        <f t="shared" si="159"/>
        <v>0.95367027677496996</v>
      </c>
      <c r="T201" s="26"/>
      <c r="U201" s="26"/>
      <c r="V201" s="16">
        <v>4986</v>
      </c>
      <c r="W201" s="16">
        <f t="shared" si="160"/>
        <v>231</v>
      </c>
      <c r="X201" s="16">
        <v>4755</v>
      </c>
      <c r="Y201" s="16">
        <v>4075</v>
      </c>
      <c r="Z201" s="16">
        <f t="shared" si="161"/>
        <v>680</v>
      </c>
      <c r="AA201" s="16"/>
      <c r="AB201" s="16"/>
      <c r="AC201" s="80"/>
      <c r="AD201" s="81"/>
      <c r="AE201" s="15"/>
      <c r="AF201" s="15"/>
      <c r="AG201" s="15"/>
      <c r="AH201" s="15"/>
      <c r="AI201" s="15"/>
      <c r="AJ201" s="16"/>
      <c r="AK201" s="16"/>
      <c r="AL201" s="16"/>
      <c r="AM201" s="16"/>
      <c r="AN201" s="16"/>
      <c r="AO201" s="16"/>
      <c r="AP201" s="16"/>
      <c r="AQ201" s="80">
        <v>2009</v>
      </c>
      <c r="AR201" s="81" t="s">
        <v>39</v>
      </c>
      <c r="AS201" s="15">
        <f t="shared" si="162"/>
        <v>0.84162990968283979</v>
      </c>
      <c r="AT201" s="15">
        <f t="shared" si="163"/>
        <v>0.8946193346729181</v>
      </c>
      <c r="AU201" s="15">
        <f t="shared" si="164"/>
        <v>0.94076874606175176</v>
      </c>
      <c r="AV201" s="16"/>
      <c r="AW201" s="16"/>
      <c r="AX201" s="16">
        <v>4761</v>
      </c>
      <c r="AY201" s="16">
        <f t="shared" si="165"/>
        <v>282</v>
      </c>
      <c r="AZ201" s="16">
        <v>4479</v>
      </c>
      <c r="BA201" s="16">
        <v>4007</v>
      </c>
      <c r="BB201" s="16">
        <f t="shared" si="166"/>
        <v>472</v>
      </c>
      <c r="BC201" s="16"/>
      <c r="BD201" s="16"/>
      <c r="BE201" s="80">
        <v>2009</v>
      </c>
      <c r="BF201" s="81" t="s">
        <v>39</v>
      </c>
      <c r="BG201" s="15">
        <f t="shared" si="167"/>
        <v>0.4627949183303085</v>
      </c>
      <c r="BH201" s="15">
        <f t="shared" si="168"/>
        <v>0.5368421052631579</v>
      </c>
      <c r="BI201" s="15">
        <f t="shared" si="169"/>
        <v>0.86206896551724133</v>
      </c>
      <c r="BJ201" s="16"/>
      <c r="BK201" s="16"/>
      <c r="BL201" s="16">
        <v>551</v>
      </c>
      <c r="BM201" s="16">
        <f t="shared" si="170"/>
        <v>76</v>
      </c>
      <c r="BN201" s="16">
        <v>475</v>
      </c>
      <c r="BO201" s="16">
        <v>255</v>
      </c>
      <c r="BP201" s="16">
        <f t="shared" si="171"/>
        <v>220</v>
      </c>
      <c r="BQ201" s="16"/>
      <c r="BR201" s="16"/>
      <c r="BS201" s="80">
        <v>2009</v>
      </c>
      <c r="BT201" s="81" t="s">
        <v>39</v>
      </c>
      <c r="BU201" s="15">
        <f t="shared" si="172"/>
        <v>0.83206974981046244</v>
      </c>
      <c r="BV201" s="15">
        <f t="shared" si="173"/>
        <v>0.85242718446601939</v>
      </c>
      <c r="BW201" s="15">
        <f t="shared" si="174"/>
        <v>0.97611827141774066</v>
      </c>
      <c r="BX201" s="16"/>
      <c r="BY201" s="16"/>
      <c r="BZ201" s="16">
        <v>2638</v>
      </c>
      <c r="CA201" s="16">
        <f t="shared" si="175"/>
        <v>63</v>
      </c>
      <c r="CB201" s="16">
        <v>2575</v>
      </c>
      <c r="CC201" s="16">
        <v>2195</v>
      </c>
      <c r="CD201" s="16">
        <f t="shared" si="176"/>
        <v>380</v>
      </c>
      <c r="CE201" s="16"/>
      <c r="CF201" s="16"/>
      <c r="CG201" s="80">
        <v>2009</v>
      </c>
      <c r="CH201" s="81" t="s">
        <v>39</v>
      </c>
      <c r="CI201" s="15">
        <f t="shared" si="177"/>
        <v>0.91184260310253495</v>
      </c>
      <c r="CJ201" s="15">
        <f t="shared" si="178"/>
        <v>0.93701399688958009</v>
      </c>
      <c r="CK201" s="15">
        <f t="shared" si="179"/>
        <v>0.97313658721150209</v>
      </c>
      <c r="CL201" s="16"/>
      <c r="CM201" s="16"/>
      <c r="CN201" s="16">
        <v>2643</v>
      </c>
      <c r="CO201" s="16">
        <f t="shared" si="180"/>
        <v>71</v>
      </c>
      <c r="CP201" s="16">
        <v>2572</v>
      </c>
      <c r="CQ201" s="16">
        <v>2410</v>
      </c>
      <c r="CR201" s="16">
        <f t="shared" si="181"/>
        <v>162</v>
      </c>
      <c r="CS201" s="16"/>
      <c r="CT201" s="16"/>
      <c r="CU201" s="80">
        <v>2009</v>
      </c>
      <c r="CV201" s="81" t="s">
        <v>39</v>
      </c>
      <c r="CW201" s="15">
        <f t="shared" si="199"/>
        <v>0.7637205987170349</v>
      </c>
      <c r="CX201" s="15">
        <f t="shared" si="200"/>
        <v>0.79517625231910949</v>
      </c>
      <c r="CY201" s="15">
        <f t="shared" si="201"/>
        <v>0.96044191019244474</v>
      </c>
      <c r="CZ201" s="16"/>
      <c r="DA201" s="16"/>
      <c r="DB201" s="16">
        <v>2806</v>
      </c>
      <c r="DC201" s="16">
        <f t="shared" si="182"/>
        <v>111</v>
      </c>
      <c r="DD201" s="16">
        <v>2695</v>
      </c>
      <c r="DE201" s="16">
        <v>2143</v>
      </c>
      <c r="DF201" s="16">
        <f t="shared" si="183"/>
        <v>552</v>
      </c>
      <c r="DG201" s="16"/>
      <c r="DH201" s="16"/>
      <c r="DI201" s="80">
        <v>2009</v>
      </c>
      <c r="DJ201" s="81" t="s">
        <v>39</v>
      </c>
      <c r="DK201" s="15">
        <f t="shared" si="184"/>
        <v>0.91455696202531644</v>
      </c>
      <c r="DL201" s="15">
        <f t="shared" si="185"/>
        <v>0.93025751072961371</v>
      </c>
      <c r="DM201" s="15">
        <f t="shared" si="186"/>
        <v>0.9831223628691983</v>
      </c>
      <c r="DN201" s="16"/>
      <c r="DO201" s="16"/>
      <c r="DP201" s="16">
        <v>948</v>
      </c>
      <c r="DQ201" s="16">
        <f t="shared" si="187"/>
        <v>16</v>
      </c>
      <c r="DR201" s="16">
        <v>932</v>
      </c>
      <c r="DS201" s="16">
        <v>867</v>
      </c>
      <c r="DT201" s="16">
        <f t="shared" si="188"/>
        <v>65</v>
      </c>
      <c r="DU201" s="16"/>
      <c r="DV201" s="16"/>
      <c r="DW201" s="80">
        <v>2009</v>
      </c>
      <c r="DX201" s="81" t="s">
        <v>39</v>
      </c>
      <c r="DY201" s="15">
        <f t="shared" si="189"/>
        <v>0.96935724962630787</v>
      </c>
      <c r="DZ201" s="15">
        <f t="shared" si="190"/>
        <v>0.98706240487062402</v>
      </c>
      <c r="EA201" s="15">
        <f t="shared" si="191"/>
        <v>0.98206278026905824</v>
      </c>
      <c r="EB201" s="16"/>
      <c r="EC201" s="16"/>
      <c r="ED201" s="16">
        <v>1338</v>
      </c>
      <c r="EE201" s="16">
        <f t="shared" si="192"/>
        <v>24</v>
      </c>
      <c r="EF201" s="16">
        <v>1314</v>
      </c>
      <c r="EG201" s="16">
        <v>1297</v>
      </c>
      <c r="EH201" s="16">
        <f t="shared" si="193"/>
        <v>17</v>
      </c>
      <c r="EI201" s="16"/>
      <c r="EJ201" s="16"/>
      <c r="EK201" s="80"/>
      <c r="EL201" s="81"/>
      <c r="EM201" s="15"/>
      <c r="EN201" s="15"/>
      <c r="EO201" s="15"/>
      <c r="EP201" s="16"/>
      <c r="EQ201" s="16"/>
      <c r="ER201" s="16"/>
      <c r="ES201" s="16"/>
      <c r="ET201" s="16"/>
      <c r="EU201" s="16"/>
      <c r="EV201" s="16"/>
      <c r="EW201" s="16"/>
      <c r="EX201" s="16"/>
      <c r="EY201" s="80"/>
      <c r="EZ201" s="81"/>
      <c r="FA201" s="15"/>
      <c r="FB201" s="15"/>
      <c r="FC201" s="15"/>
      <c r="FD201" s="16"/>
      <c r="FE201" s="16"/>
      <c r="FF201" s="16"/>
      <c r="FG201" s="16"/>
      <c r="FH201" s="16"/>
      <c r="FI201" s="16"/>
      <c r="FJ201" s="16"/>
      <c r="FK201" s="16"/>
      <c r="FM201" s="80"/>
      <c r="FN201" s="81"/>
      <c r="FO201" s="15"/>
      <c r="FP201" s="15"/>
      <c r="FQ201" s="15"/>
      <c r="FR201" s="16"/>
      <c r="FS201" s="16"/>
      <c r="FT201" s="16"/>
      <c r="FU201" s="16"/>
      <c r="FV201" s="16"/>
      <c r="FW201" s="16"/>
      <c r="FX201" s="16"/>
      <c r="FY201" s="16"/>
      <c r="GA201" s="80"/>
      <c r="GB201" s="81"/>
      <c r="GC201" s="15"/>
      <c r="GD201" s="15"/>
      <c r="GE201" s="15"/>
      <c r="GF201" s="16"/>
      <c r="GG201" s="16"/>
      <c r="GH201" s="16"/>
      <c r="GI201" s="16"/>
      <c r="GJ201" s="16"/>
      <c r="GK201" s="16"/>
      <c r="GL201" s="16"/>
      <c r="GM201" s="16"/>
    </row>
    <row r="202" spans="1:195" s="18" customFormat="1" ht="15" customHeight="1">
      <c r="A202" s="78">
        <v>2009</v>
      </c>
      <c r="B202" s="79" t="s">
        <v>40</v>
      </c>
      <c r="C202" s="15">
        <f t="shared" si="194"/>
        <v>0.83072559678562985</v>
      </c>
      <c r="D202" s="15">
        <f t="shared" si="195"/>
        <v>0.86083761939750181</v>
      </c>
      <c r="E202" s="15">
        <f t="shared" si="196"/>
        <v>0.96502008981328291</v>
      </c>
      <c r="F202" s="16"/>
      <c r="G202" s="33"/>
      <c r="H20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21155</v>
      </c>
      <c r="I202" s="16">
        <f t="shared" si="197"/>
        <v>740</v>
      </c>
      <c r="J20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20415</v>
      </c>
      <c r="K20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17574</v>
      </c>
      <c r="L202" s="16">
        <f t="shared" si="198"/>
        <v>2841</v>
      </c>
      <c r="M202" s="16"/>
      <c r="N202" s="16"/>
      <c r="O202" s="78">
        <v>2009</v>
      </c>
      <c r="P202" s="79" t="s">
        <v>40</v>
      </c>
      <c r="Q202" s="15">
        <f t="shared" si="157"/>
        <v>0.82007874015748028</v>
      </c>
      <c r="R202" s="15">
        <f t="shared" si="158"/>
        <v>0.84812703583061888</v>
      </c>
      <c r="S202" s="15">
        <f t="shared" si="159"/>
        <v>0.96692913385826773</v>
      </c>
      <c r="T202" s="26"/>
      <c r="U202" s="26"/>
      <c r="V202" s="16">
        <v>5080</v>
      </c>
      <c r="W202" s="16">
        <f t="shared" si="160"/>
        <v>168</v>
      </c>
      <c r="X202" s="16">
        <v>4912</v>
      </c>
      <c r="Y202" s="16">
        <v>4166</v>
      </c>
      <c r="Z202" s="16">
        <f t="shared" si="161"/>
        <v>746</v>
      </c>
      <c r="AA202" s="16"/>
      <c r="AB202" s="16"/>
      <c r="AC202" s="78"/>
      <c r="AD202" s="79"/>
      <c r="AE202" s="15"/>
      <c r="AF202" s="15"/>
      <c r="AG202" s="15"/>
      <c r="AH202" s="15"/>
      <c r="AI202" s="15"/>
      <c r="AJ202" s="16"/>
      <c r="AK202" s="16"/>
      <c r="AL202" s="16"/>
      <c r="AM202" s="16"/>
      <c r="AN202" s="16"/>
      <c r="AO202" s="16"/>
      <c r="AP202" s="16"/>
      <c r="AQ202" s="78">
        <v>2009</v>
      </c>
      <c r="AR202" s="79" t="s">
        <v>40</v>
      </c>
      <c r="AS202" s="15">
        <f t="shared" si="162"/>
        <v>0.83985179086043638</v>
      </c>
      <c r="AT202" s="15">
        <f t="shared" si="163"/>
        <v>0.88388214904679374</v>
      </c>
      <c r="AU202" s="15">
        <f t="shared" si="164"/>
        <v>0.95018526142445447</v>
      </c>
      <c r="AV202" s="16"/>
      <c r="AW202" s="16"/>
      <c r="AX202" s="16">
        <v>4858</v>
      </c>
      <c r="AY202" s="16">
        <f t="shared" si="165"/>
        <v>242</v>
      </c>
      <c r="AZ202" s="16">
        <v>4616</v>
      </c>
      <c r="BA202" s="16">
        <v>4080</v>
      </c>
      <c r="BB202" s="16">
        <f t="shared" si="166"/>
        <v>536</v>
      </c>
      <c r="BC202" s="16"/>
      <c r="BD202" s="16"/>
      <c r="BE202" s="78">
        <v>2009</v>
      </c>
      <c r="BF202" s="79" t="s">
        <v>40</v>
      </c>
      <c r="BG202" s="15">
        <f t="shared" si="167"/>
        <v>0.44827586206896552</v>
      </c>
      <c r="BH202" s="15">
        <f t="shared" si="168"/>
        <v>0.49598393574297189</v>
      </c>
      <c r="BI202" s="15">
        <f t="shared" si="169"/>
        <v>0.90381125226860259</v>
      </c>
      <c r="BJ202" s="16"/>
      <c r="BK202" s="16"/>
      <c r="BL202" s="16">
        <v>551</v>
      </c>
      <c r="BM202" s="16">
        <f t="shared" si="170"/>
        <v>53</v>
      </c>
      <c r="BN202" s="16">
        <v>498</v>
      </c>
      <c r="BO202" s="16">
        <v>247</v>
      </c>
      <c r="BP202" s="16">
        <f t="shared" si="171"/>
        <v>251</v>
      </c>
      <c r="BQ202" s="16"/>
      <c r="BR202" s="16"/>
      <c r="BS202" s="78">
        <v>2009</v>
      </c>
      <c r="BT202" s="79" t="s">
        <v>40</v>
      </c>
      <c r="BU202" s="15">
        <f t="shared" si="172"/>
        <v>0.7944649446494465</v>
      </c>
      <c r="BV202" s="15">
        <f t="shared" si="173"/>
        <v>0.8106174698795181</v>
      </c>
      <c r="BW202" s="15">
        <f t="shared" si="174"/>
        <v>0.98007380073800743</v>
      </c>
      <c r="BX202" s="16"/>
      <c r="BY202" s="16"/>
      <c r="BZ202" s="16">
        <v>2710</v>
      </c>
      <c r="CA202" s="16">
        <f t="shared" si="175"/>
        <v>54</v>
      </c>
      <c r="CB202" s="16">
        <v>2656</v>
      </c>
      <c r="CC202" s="16">
        <v>2153</v>
      </c>
      <c r="CD202" s="16">
        <f t="shared" si="176"/>
        <v>503</v>
      </c>
      <c r="CE202" s="16"/>
      <c r="CF202" s="16"/>
      <c r="CG202" s="78">
        <v>2009</v>
      </c>
      <c r="CH202" s="79" t="s">
        <v>40</v>
      </c>
      <c r="CI202" s="15">
        <f t="shared" si="177"/>
        <v>0.91344383057090239</v>
      </c>
      <c r="CJ202" s="15">
        <f t="shared" si="178"/>
        <v>0.93058161350844282</v>
      </c>
      <c r="CK202" s="15">
        <f t="shared" si="179"/>
        <v>0.98158379373848992</v>
      </c>
      <c r="CL202" s="16"/>
      <c r="CM202" s="16"/>
      <c r="CN202" s="16">
        <v>2715</v>
      </c>
      <c r="CO202" s="16">
        <f t="shared" si="180"/>
        <v>50</v>
      </c>
      <c r="CP202" s="16">
        <v>2665</v>
      </c>
      <c r="CQ202" s="16">
        <v>2480</v>
      </c>
      <c r="CR202" s="16">
        <f t="shared" si="181"/>
        <v>185</v>
      </c>
      <c r="CS202" s="16"/>
      <c r="CT202" s="16"/>
      <c r="CU202" s="78">
        <v>2009</v>
      </c>
      <c r="CV202" s="79" t="s">
        <v>40</v>
      </c>
      <c r="CW202" s="15">
        <f t="shared" si="199"/>
        <v>0.81566181566181561</v>
      </c>
      <c r="CX202" s="15">
        <f t="shared" si="200"/>
        <v>0.82451838879159367</v>
      </c>
      <c r="CY202" s="15">
        <f t="shared" si="201"/>
        <v>0.98925848925848925</v>
      </c>
      <c r="CZ202" s="16"/>
      <c r="DA202" s="16"/>
      <c r="DB202" s="16">
        <v>2886</v>
      </c>
      <c r="DC202" s="16">
        <f t="shared" si="182"/>
        <v>31</v>
      </c>
      <c r="DD202" s="16">
        <v>2855</v>
      </c>
      <c r="DE202" s="16">
        <v>2354</v>
      </c>
      <c r="DF202" s="16">
        <f t="shared" si="183"/>
        <v>501</v>
      </c>
      <c r="DG202" s="16"/>
      <c r="DH202" s="16"/>
      <c r="DI202" s="78">
        <v>2009</v>
      </c>
      <c r="DJ202" s="79" t="s">
        <v>40</v>
      </c>
      <c r="DK202" s="15">
        <f t="shared" si="184"/>
        <v>0.77811860940695299</v>
      </c>
      <c r="DL202" s="15">
        <f t="shared" si="185"/>
        <v>0.89214536928487687</v>
      </c>
      <c r="DM202" s="15">
        <f t="shared" si="186"/>
        <v>0.8721881390593047</v>
      </c>
      <c r="DN202" s="16"/>
      <c r="DO202" s="16"/>
      <c r="DP202" s="16">
        <v>978</v>
      </c>
      <c r="DQ202" s="16">
        <f t="shared" si="187"/>
        <v>125</v>
      </c>
      <c r="DR202" s="16">
        <v>853</v>
      </c>
      <c r="DS202" s="16">
        <v>761</v>
      </c>
      <c r="DT202" s="16">
        <f t="shared" si="188"/>
        <v>92</v>
      </c>
      <c r="DU202" s="16"/>
      <c r="DV202" s="16"/>
      <c r="DW202" s="78">
        <v>2009</v>
      </c>
      <c r="DX202" s="79" t="s">
        <v>40</v>
      </c>
      <c r="DY202" s="15">
        <f t="shared" si="189"/>
        <v>0.96804647785039943</v>
      </c>
      <c r="DZ202" s="15">
        <f t="shared" si="190"/>
        <v>0.98014705882352937</v>
      </c>
      <c r="EA202" s="15">
        <f t="shared" si="191"/>
        <v>0.98765432098765427</v>
      </c>
      <c r="EB202" s="16"/>
      <c r="EC202" s="16"/>
      <c r="ED202" s="16">
        <v>1377</v>
      </c>
      <c r="EE202" s="16">
        <f t="shared" si="192"/>
        <v>17</v>
      </c>
      <c r="EF202" s="16">
        <v>1360</v>
      </c>
      <c r="EG202" s="16">
        <v>1333</v>
      </c>
      <c r="EH202" s="16">
        <f t="shared" si="193"/>
        <v>27</v>
      </c>
      <c r="EI202" s="16"/>
      <c r="EJ202" s="16"/>
      <c r="EK202" s="78"/>
      <c r="EL202" s="79"/>
      <c r="EM202" s="15"/>
      <c r="EN202" s="15"/>
      <c r="EO202" s="15"/>
      <c r="EP202" s="16"/>
      <c r="EQ202" s="16"/>
      <c r="ER202" s="16"/>
      <c r="ES202" s="16"/>
      <c r="ET202" s="16"/>
      <c r="EU202" s="16"/>
      <c r="EV202" s="16"/>
      <c r="EW202" s="16"/>
      <c r="EX202" s="16"/>
      <c r="EY202" s="78"/>
      <c r="EZ202" s="79"/>
      <c r="FA202" s="15"/>
      <c r="FB202" s="15"/>
      <c r="FC202" s="15"/>
      <c r="FD202" s="16"/>
      <c r="FE202" s="16"/>
      <c r="FF202" s="16"/>
      <c r="FG202" s="16"/>
      <c r="FH202" s="16"/>
      <c r="FI202" s="16"/>
      <c r="FJ202" s="16"/>
      <c r="FK202" s="16"/>
      <c r="FM202" s="78"/>
      <c r="FN202" s="79"/>
      <c r="FO202" s="15"/>
      <c r="FP202" s="15"/>
      <c r="FQ202" s="15"/>
      <c r="FR202" s="16"/>
      <c r="FS202" s="16"/>
      <c r="FT202" s="16"/>
      <c r="FU202" s="16"/>
      <c r="FV202" s="16"/>
      <c r="FW202" s="16"/>
      <c r="FX202" s="16"/>
      <c r="FY202" s="16"/>
      <c r="GA202" s="78"/>
      <c r="GB202" s="79"/>
      <c r="GC202" s="15"/>
      <c r="GD202" s="15"/>
      <c r="GE202" s="15"/>
      <c r="GF202" s="16"/>
      <c r="GG202" s="16"/>
      <c r="GH202" s="16"/>
      <c r="GI202" s="16"/>
      <c r="GJ202" s="16"/>
      <c r="GK202" s="16"/>
      <c r="GL202" s="16"/>
      <c r="GM202" s="16"/>
    </row>
    <row r="203" spans="1:195" s="18" customFormat="1" ht="15" customHeight="1">
      <c r="A203" s="80">
        <v>2009</v>
      </c>
      <c r="B203" s="81" t="s">
        <v>41</v>
      </c>
      <c r="C203" s="15">
        <f t="shared" si="194"/>
        <v>0.85094375414967272</v>
      </c>
      <c r="D203" s="15">
        <f t="shared" si="195"/>
        <v>0.87335118033584813</v>
      </c>
      <c r="E203" s="15">
        <f t="shared" si="196"/>
        <v>0.97434316608176041</v>
      </c>
      <c r="F203" s="16"/>
      <c r="G203" s="33"/>
      <c r="H20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21086</v>
      </c>
      <c r="I203" s="16">
        <f t="shared" si="197"/>
        <v>541</v>
      </c>
      <c r="J20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20545</v>
      </c>
      <c r="K20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17943</v>
      </c>
      <c r="L203" s="16">
        <f t="shared" si="198"/>
        <v>2602</v>
      </c>
      <c r="M203" s="16"/>
      <c r="N203" s="16"/>
      <c r="O203" s="80">
        <v>2009</v>
      </c>
      <c r="P203" s="81" t="s">
        <v>41</v>
      </c>
      <c r="Q203" s="15">
        <f t="shared" si="157"/>
        <v>0.86385800663155843</v>
      </c>
      <c r="R203" s="15">
        <f t="shared" si="158"/>
        <v>0.88104237119554407</v>
      </c>
      <c r="S203" s="15">
        <f t="shared" si="159"/>
        <v>0.98049541642285942</v>
      </c>
      <c r="T203" s="26"/>
      <c r="U203" s="26"/>
      <c r="V203" s="16">
        <v>5127</v>
      </c>
      <c r="W203" s="16">
        <f t="shared" si="160"/>
        <v>100</v>
      </c>
      <c r="X203" s="16">
        <v>5027</v>
      </c>
      <c r="Y203" s="16">
        <v>4429</v>
      </c>
      <c r="Z203" s="16">
        <f t="shared" si="161"/>
        <v>598</v>
      </c>
      <c r="AA203" s="16"/>
      <c r="AB203" s="16"/>
      <c r="AC203" s="80"/>
      <c r="AD203" s="81"/>
      <c r="AE203" s="15"/>
      <c r="AF203" s="15"/>
      <c r="AG203" s="15"/>
      <c r="AH203" s="15"/>
      <c r="AI203" s="15"/>
      <c r="AJ203" s="16"/>
      <c r="AK203" s="16"/>
      <c r="AL203" s="16"/>
      <c r="AM203" s="16"/>
      <c r="AN203" s="16"/>
      <c r="AO203" s="16"/>
      <c r="AP203" s="16"/>
      <c r="AQ203" s="80">
        <v>2009</v>
      </c>
      <c r="AR203" s="81" t="s">
        <v>41</v>
      </c>
      <c r="AS203" s="15">
        <f t="shared" si="162"/>
        <v>0.85643970467596386</v>
      </c>
      <c r="AT203" s="15">
        <f t="shared" si="163"/>
        <v>0.89211706900234988</v>
      </c>
      <c r="AU203" s="15">
        <f t="shared" si="164"/>
        <v>0.96000820344544713</v>
      </c>
      <c r="AV203" s="16"/>
      <c r="AW203" s="16"/>
      <c r="AX203" s="16">
        <v>4876</v>
      </c>
      <c r="AY203" s="16">
        <f t="shared" si="165"/>
        <v>195</v>
      </c>
      <c r="AZ203" s="16">
        <v>4681</v>
      </c>
      <c r="BA203" s="16">
        <v>4176</v>
      </c>
      <c r="BB203" s="16">
        <f t="shared" si="166"/>
        <v>505</v>
      </c>
      <c r="BC203" s="16"/>
      <c r="BD203" s="16"/>
      <c r="BE203" s="80">
        <v>2009</v>
      </c>
      <c r="BF203" s="81" t="s">
        <v>41</v>
      </c>
      <c r="BG203" s="15">
        <f t="shared" si="167"/>
        <v>0.54351395730706076</v>
      </c>
      <c r="BH203" s="15">
        <f t="shared" si="168"/>
        <v>0.57766143106457246</v>
      </c>
      <c r="BI203" s="15">
        <f t="shared" si="169"/>
        <v>0.94088669950738912</v>
      </c>
      <c r="BJ203" s="16"/>
      <c r="BK203" s="16"/>
      <c r="BL203" s="16">
        <v>609</v>
      </c>
      <c r="BM203" s="16">
        <f t="shared" si="170"/>
        <v>36</v>
      </c>
      <c r="BN203" s="16">
        <v>573</v>
      </c>
      <c r="BO203" s="16">
        <v>331</v>
      </c>
      <c r="BP203" s="16">
        <f t="shared" si="171"/>
        <v>242</v>
      </c>
      <c r="BQ203" s="16"/>
      <c r="BR203" s="16"/>
      <c r="BS203" s="80">
        <v>2009</v>
      </c>
      <c r="BT203" s="81" t="s">
        <v>41</v>
      </c>
      <c r="BU203" s="15">
        <f t="shared" si="172"/>
        <v>0.81235955056179776</v>
      </c>
      <c r="BV203" s="15">
        <f t="shared" si="173"/>
        <v>0.83358954650269024</v>
      </c>
      <c r="BW203" s="15">
        <f t="shared" si="174"/>
        <v>0.97453183520599251</v>
      </c>
      <c r="BX203" s="16"/>
      <c r="BY203" s="16"/>
      <c r="BZ203" s="16">
        <v>2670</v>
      </c>
      <c r="CA203" s="16">
        <f t="shared" si="175"/>
        <v>68</v>
      </c>
      <c r="CB203" s="16">
        <v>2602</v>
      </c>
      <c r="CC203" s="16">
        <v>2169</v>
      </c>
      <c r="CD203" s="16">
        <f t="shared" si="176"/>
        <v>433</v>
      </c>
      <c r="CE203" s="16"/>
      <c r="CF203" s="16"/>
      <c r="CG203" s="80">
        <v>2009</v>
      </c>
      <c r="CH203" s="81" t="s">
        <v>41</v>
      </c>
      <c r="CI203" s="15">
        <f t="shared" si="177"/>
        <v>0.90949887808526553</v>
      </c>
      <c r="CJ203" s="15">
        <f t="shared" si="178"/>
        <v>0.92401215805471126</v>
      </c>
      <c r="CK203" s="15">
        <f t="shared" si="179"/>
        <v>0.98429319371727753</v>
      </c>
      <c r="CL203" s="16"/>
      <c r="CM203" s="16"/>
      <c r="CN203" s="16">
        <v>2674</v>
      </c>
      <c r="CO203" s="16">
        <f t="shared" si="180"/>
        <v>42</v>
      </c>
      <c r="CP203" s="16">
        <v>2632</v>
      </c>
      <c r="CQ203" s="16">
        <v>2432</v>
      </c>
      <c r="CR203" s="16">
        <f t="shared" si="181"/>
        <v>200</v>
      </c>
      <c r="CS203" s="16"/>
      <c r="CT203" s="16"/>
      <c r="CU203" s="80">
        <v>2009</v>
      </c>
      <c r="CV203" s="81" t="s">
        <v>41</v>
      </c>
      <c r="CW203" s="15">
        <f t="shared" si="199"/>
        <v>0.81552028218694883</v>
      </c>
      <c r="CX203" s="15">
        <f t="shared" si="200"/>
        <v>0.82926829268292679</v>
      </c>
      <c r="CY203" s="15">
        <f t="shared" si="201"/>
        <v>0.98342151675485012</v>
      </c>
      <c r="CZ203" s="16"/>
      <c r="DA203" s="16"/>
      <c r="DB203" s="16">
        <v>2835</v>
      </c>
      <c r="DC203" s="16">
        <f t="shared" si="182"/>
        <v>47</v>
      </c>
      <c r="DD203" s="16">
        <v>2788</v>
      </c>
      <c r="DE203" s="16">
        <v>2312</v>
      </c>
      <c r="DF203" s="16">
        <f t="shared" si="183"/>
        <v>476</v>
      </c>
      <c r="DG203" s="16"/>
      <c r="DH203" s="16"/>
      <c r="DI203" s="80">
        <v>2009</v>
      </c>
      <c r="DJ203" s="81" t="s">
        <v>41</v>
      </c>
      <c r="DK203" s="15">
        <f t="shared" si="184"/>
        <v>0.82842105263157895</v>
      </c>
      <c r="DL203" s="15">
        <f t="shared" si="185"/>
        <v>0.87153931339977853</v>
      </c>
      <c r="DM203" s="15">
        <f t="shared" si="186"/>
        <v>0.95052631578947366</v>
      </c>
      <c r="DN203" s="16"/>
      <c r="DO203" s="16"/>
      <c r="DP203" s="16">
        <v>950</v>
      </c>
      <c r="DQ203" s="16">
        <f t="shared" si="187"/>
        <v>47</v>
      </c>
      <c r="DR203" s="16">
        <v>903</v>
      </c>
      <c r="DS203" s="16">
        <v>787</v>
      </c>
      <c r="DT203" s="16">
        <f t="shared" si="188"/>
        <v>116</v>
      </c>
      <c r="DU203" s="16"/>
      <c r="DV203" s="16"/>
      <c r="DW203" s="80">
        <v>2009</v>
      </c>
      <c r="DX203" s="81" t="s">
        <v>41</v>
      </c>
      <c r="DY203" s="15">
        <f t="shared" si="189"/>
        <v>0.97174721189591073</v>
      </c>
      <c r="DZ203" s="15">
        <f t="shared" si="190"/>
        <v>0.97610156833457806</v>
      </c>
      <c r="EA203" s="15">
        <f t="shared" si="191"/>
        <v>0.99553903345724903</v>
      </c>
      <c r="EB203" s="16"/>
      <c r="EC203" s="16"/>
      <c r="ED203" s="16">
        <v>1345</v>
      </c>
      <c r="EE203" s="16">
        <f t="shared" si="192"/>
        <v>6</v>
      </c>
      <c r="EF203" s="16">
        <v>1339</v>
      </c>
      <c r="EG203" s="16">
        <v>1307</v>
      </c>
      <c r="EH203" s="16">
        <f t="shared" si="193"/>
        <v>32</v>
      </c>
      <c r="EI203" s="16"/>
      <c r="EJ203" s="16"/>
      <c r="EK203" s="80"/>
      <c r="EL203" s="81"/>
      <c r="EM203" s="15"/>
      <c r="EN203" s="15"/>
      <c r="EO203" s="15"/>
      <c r="EP203" s="16"/>
      <c r="EQ203" s="16"/>
      <c r="ER203" s="16"/>
      <c r="ES203" s="16"/>
      <c r="ET203" s="16"/>
      <c r="EU203" s="16"/>
      <c r="EV203" s="16"/>
      <c r="EW203" s="16"/>
      <c r="EX203" s="16"/>
      <c r="EY203" s="80"/>
      <c r="EZ203" s="81"/>
      <c r="FA203" s="15"/>
      <c r="FB203" s="15"/>
      <c r="FC203" s="15"/>
      <c r="FD203" s="16"/>
      <c r="FE203" s="16"/>
      <c r="FF203" s="16"/>
      <c r="FG203" s="16"/>
      <c r="FH203" s="16"/>
      <c r="FI203" s="16"/>
      <c r="FJ203" s="16"/>
      <c r="FK203" s="16"/>
      <c r="FM203" s="80"/>
      <c r="FN203" s="81"/>
      <c r="FO203" s="15"/>
      <c r="FP203" s="15"/>
      <c r="FQ203" s="15"/>
      <c r="FR203" s="16"/>
      <c r="FS203" s="16"/>
      <c r="FT203" s="16"/>
      <c r="FU203" s="16"/>
      <c r="FV203" s="16"/>
      <c r="FW203" s="16"/>
      <c r="FX203" s="16"/>
      <c r="FY203" s="16"/>
      <c r="GA203" s="80"/>
      <c r="GB203" s="81"/>
      <c r="GC203" s="15"/>
      <c r="GD203" s="15"/>
      <c r="GE203" s="15"/>
      <c r="GF203" s="16"/>
      <c r="GG203" s="16"/>
      <c r="GH203" s="16"/>
      <c r="GI203" s="16"/>
      <c r="GJ203" s="16"/>
      <c r="GK203" s="16"/>
      <c r="GL203" s="16"/>
      <c r="GM203" s="16"/>
    </row>
    <row r="204" spans="1:195" s="18" customFormat="1" ht="15" customHeight="1">
      <c r="A204" s="78">
        <v>2009</v>
      </c>
      <c r="B204" s="79" t="s">
        <v>42</v>
      </c>
      <c r="C204" s="15">
        <f t="shared" si="194"/>
        <v>0.88805008285766895</v>
      </c>
      <c r="D204" s="15">
        <f t="shared" si="195"/>
        <v>0.91884168413031053</v>
      </c>
      <c r="E204" s="15">
        <f t="shared" si="196"/>
        <v>0.96648867611857858</v>
      </c>
      <c r="F204" s="16"/>
      <c r="G204" s="33"/>
      <c r="H20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21724</v>
      </c>
      <c r="I204" s="16">
        <f t="shared" si="197"/>
        <v>728</v>
      </c>
      <c r="J20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20996</v>
      </c>
      <c r="K20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19292</v>
      </c>
      <c r="L204" s="16">
        <f t="shared" si="198"/>
        <v>1704</v>
      </c>
      <c r="M204" s="16"/>
      <c r="N204" s="16"/>
      <c r="O204" s="78">
        <v>2009</v>
      </c>
      <c r="P204" s="79" t="s">
        <v>42</v>
      </c>
      <c r="Q204" s="15">
        <f t="shared" si="157"/>
        <v>0.88044713906782868</v>
      </c>
      <c r="R204" s="15">
        <f t="shared" si="158"/>
        <v>0.91458374335760673</v>
      </c>
      <c r="S204" s="15">
        <f t="shared" si="159"/>
        <v>0.96267525577870405</v>
      </c>
      <c r="T204" s="26"/>
      <c r="U204" s="26"/>
      <c r="V204" s="16">
        <v>5278</v>
      </c>
      <c r="W204" s="16">
        <f t="shared" si="160"/>
        <v>197</v>
      </c>
      <c r="X204" s="16">
        <v>5081</v>
      </c>
      <c r="Y204" s="16">
        <v>4647</v>
      </c>
      <c r="Z204" s="16">
        <f t="shared" si="161"/>
        <v>434</v>
      </c>
      <c r="AA204" s="16"/>
      <c r="AB204" s="16"/>
      <c r="AC204" s="78"/>
      <c r="AD204" s="79"/>
      <c r="AE204" s="15"/>
      <c r="AF204" s="15"/>
      <c r="AG204" s="15"/>
      <c r="AH204" s="15"/>
      <c r="AI204" s="15"/>
      <c r="AJ204" s="16"/>
      <c r="AK204" s="16"/>
      <c r="AL204" s="16"/>
      <c r="AM204" s="16"/>
      <c r="AN204" s="16"/>
      <c r="AO204" s="16"/>
      <c r="AP204" s="16"/>
      <c r="AQ204" s="78">
        <v>2009</v>
      </c>
      <c r="AR204" s="79" t="s">
        <v>42</v>
      </c>
      <c r="AS204" s="15">
        <f t="shared" si="162"/>
        <v>0.90371991247264771</v>
      </c>
      <c r="AT204" s="15">
        <f t="shared" si="163"/>
        <v>0.94508009153318073</v>
      </c>
      <c r="AU204" s="15">
        <f t="shared" si="164"/>
        <v>0.9562363238512035</v>
      </c>
      <c r="AV204" s="16"/>
      <c r="AW204" s="16"/>
      <c r="AX204" s="16">
        <v>5027</v>
      </c>
      <c r="AY204" s="16">
        <f t="shared" si="165"/>
        <v>220</v>
      </c>
      <c r="AZ204" s="16">
        <v>4807</v>
      </c>
      <c r="BA204" s="16">
        <v>4543</v>
      </c>
      <c r="BB204" s="16">
        <f t="shared" si="166"/>
        <v>264</v>
      </c>
      <c r="BC204" s="16"/>
      <c r="BD204" s="16"/>
      <c r="BE204" s="78">
        <v>2009</v>
      </c>
      <c r="BF204" s="79" t="s">
        <v>42</v>
      </c>
      <c r="BG204" s="15">
        <f t="shared" si="167"/>
        <v>0.68637110016420366</v>
      </c>
      <c r="BH204" s="15">
        <f t="shared" si="168"/>
        <v>0.78277153558052437</v>
      </c>
      <c r="BI204" s="15">
        <f t="shared" si="169"/>
        <v>0.87684729064039413</v>
      </c>
      <c r="BJ204" s="16"/>
      <c r="BK204" s="16"/>
      <c r="BL204" s="16">
        <v>609</v>
      </c>
      <c r="BM204" s="16">
        <f t="shared" si="170"/>
        <v>75</v>
      </c>
      <c r="BN204" s="16">
        <v>534</v>
      </c>
      <c r="BO204" s="16">
        <v>418</v>
      </c>
      <c r="BP204" s="16">
        <f t="shared" si="171"/>
        <v>116</v>
      </c>
      <c r="BQ204" s="16"/>
      <c r="BR204" s="16"/>
      <c r="BS204" s="78">
        <v>2009</v>
      </c>
      <c r="BT204" s="79" t="s">
        <v>42</v>
      </c>
      <c r="BU204" s="15">
        <f t="shared" si="172"/>
        <v>0.88271604938271608</v>
      </c>
      <c r="BV204" s="15">
        <f t="shared" si="173"/>
        <v>0.89970392301998514</v>
      </c>
      <c r="BW204" s="15">
        <f t="shared" si="174"/>
        <v>0.98111837327523599</v>
      </c>
      <c r="BX204" s="16"/>
      <c r="BY204" s="16"/>
      <c r="BZ204" s="16">
        <v>2754</v>
      </c>
      <c r="CA204" s="16">
        <f t="shared" si="175"/>
        <v>52</v>
      </c>
      <c r="CB204" s="16">
        <v>2702</v>
      </c>
      <c r="CC204" s="16">
        <v>2431</v>
      </c>
      <c r="CD204" s="16">
        <f t="shared" si="176"/>
        <v>271</v>
      </c>
      <c r="CE204" s="16"/>
      <c r="CF204" s="16"/>
      <c r="CG204" s="78">
        <v>2009</v>
      </c>
      <c r="CH204" s="79" t="s">
        <v>42</v>
      </c>
      <c r="CI204" s="15">
        <f t="shared" si="177"/>
        <v>0.9423704240666908</v>
      </c>
      <c r="CJ204" s="15">
        <f t="shared" si="178"/>
        <v>0.95729013254786455</v>
      </c>
      <c r="CK204" s="15">
        <f t="shared" si="179"/>
        <v>0.98441464298658932</v>
      </c>
      <c r="CL204" s="16"/>
      <c r="CM204" s="16"/>
      <c r="CN204" s="16">
        <v>2759</v>
      </c>
      <c r="CO204" s="16">
        <f t="shared" si="180"/>
        <v>43</v>
      </c>
      <c r="CP204" s="16">
        <v>2716</v>
      </c>
      <c r="CQ204" s="16">
        <v>2600</v>
      </c>
      <c r="CR204" s="16">
        <f t="shared" si="181"/>
        <v>116</v>
      </c>
      <c r="CS204" s="16"/>
      <c r="CT204" s="16"/>
      <c r="CU204" s="78">
        <v>2009</v>
      </c>
      <c r="CV204" s="79" t="s">
        <v>42</v>
      </c>
      <c r="CW204" s="15">
        <f t="shared" si="199"/>
        <v>0.84336525307797539</v>
      </c>
      <c r="CX204" s="15">
        <f t="shared" si="200"/>
        <v>0.8772678762006404</v>
      </c>
      <c r="CY204" s="15">
        <f t="shared" si="201"/>
        <v>0.96135430916552667</v>
      </c>
      <c r="CZ204" s="16"/>
      <c r="DA204" s="16"/>
      <c r="DB204" s="16">
        <v>2924</v>
      </c>
      <c r="DC204" s="16">
        <f t="shared" si="182"/>
        <v>113</v>
      </c>
      <c r="DD204" s="16">
        <v>2811</v>
      </c>
      <c r="DE204" s="16">
        <v>2466</v>
      </c>
      <c r="DF204" s="16">
        <f t="shared" si="183"/>
        <v>345</v>
      </c>
      <c r="DG204" s="16"/>
      <c r="DH204" s="16"/>
      <c r="DI204" s="78">
        <v>2009</v>
      </c>
      <c r="DJ204" s="79" t="s">
        <v>42</v>
      </c>
      <c r="DK204" s="15">
        <f t="shared" si="184"/>
        <v>0.84928716904276991</v>
      </c>
      <c r="DL204" s="15">
        <f t="shared" si="185"/>
        <v>0.86694386694386694</v>
      </c>
      <c r="DM204" s="15">
        <f t="shared" si="186"/>
        <v>0.97963340122199594</v>
      </c>
      <c r="DN204" s="16"/>
      <c r="DO204" s="16"/>
      <c r="DP204" s="16">
        <v>982</v>
      </c>
      <c r="DQ204" s="16">
        <f t="shared" si="187"/>
        <v>20</v>
      </c>
      <c r="DR204" s="16">
        <v>962</v>
      </c>
      <c r="DS204" s="16">
        <v>834</v>
      </c>
      <c r="DT204" s="16">
        <f t="shared" si="188"/>
        <v>128</v>
      </c>
      <c r="DU204" s="16"/>
      <c r="DV204" s="16"/>
      <c r="DW204" s="78">
        <v>2009</v>
      </c>
      <c r="DX204" s="79" t="s">
        <v>42</v>
      </c>
      <c r="DY204" s="15">
        <f t="shared" si="189"/>
        <v>0.97268152408339326</v>
      </c>
      <c r="DZ204" s="15">
        <f t="shared" si="190"/>
        <v>0.97830802603036882</v>
      </c>
      <c r="EA204" s="15">
        <f t="shared" si="191"/>
        <v>0.99424874191229329</v>
      </c>
      <c r="EB204" s="16"/>
      <c r="EC204" s="16"/>
      <c r="ED204" s="16">
        <v>1391</v>
      </c>
      <c r="EE204" s="16">
        <f t="shared" si="192"/>
        <v>8</v>
      </c>
      <c r="EF204" s="16">
        <v>1383</v>
      </c>
      <c r="EG204" s="16">
        <v>1353</v>
      </c>
      <c r="EH204" s="16">
        <f t="shared" si="193"/>
        <v>30</v>
      </c>
      <c r="EI204" s="16"/>
      <c r="EJ204" s="16"/>
      <c r="EK204" s="78"/>
      <c r="EL204" s="79"/>
      <c r="EM204" s="15"/>
      <c r="EN204" s="15"/>
      <c r="EO204" s="15"/>
      <c r="EP204" s="16"/>
      <c r="EQ204" s="16"/>
      <c r="ER204" s="16"/>
      <c r="ES204" s="16"/>
      <c r="ET204" s="16"/>
      <c r="EU204" s="16"/>
      <c r="EV204" s="16"/>
      <c r="EW204" s="16"/>
      <c r="EX204" s="16"/>
      <c r="EY204" s="78"/>
      <c r="EZ204" s="79"/>
      <c r="FA204" s="15"/>
      <c r="FB204" s="15"/>
      <c r="FC204" s="15"/>
      <c r="FD204" s="16"/>
      <c r="FE204" s="16"/>
      <c r="FF204" s="16"/>
      <c r="FG204" s="16"/>
      <c r="FH204" s="16"/>
      <c r="FI204" s="16"/>
      <c r="FJ204" s="16"/>
      <c r="FK204" s="16"/>
      <c r="FM204" s="78"/>
      <c r="FN204" s="79"/>
      <c r="FO204" s="15"/>
      <c r="FP204" s="15"/>
      <c r="FQ204" s="15"/>
      <c r="FR204" s="16"/>
      <c r="FS204" s="16"/>
      <c r="FT204" s="16"/>
      <c r="FU204" s="16"/>
      <c r="FV204" s="16"/>
      <c r="FW204" s="16"/>
      <c r="FX204" s="16"/>
      <c r="FY204" s="16"/>
      <c r="GA204" s="78"/>
      <c r="GB204" s="79"/>
      <c r="GC204" s="15"/>
      <c r="GD204" s="15"/>
      <c r="GE204" s="15"/>
      <c r="GF204" s="16"/>
      <c r="GG204" s="16"/>
      <c r="GH204" s="16"/>
      <c r="GI204" s="16"/>
      <c r="GJ204" s="16"/>
      <c r="GK204" s="16"/>
      <c r="GL204" s="16"/>
      <c r="GM204" s="16"/>
    </row>
    <row r="205" spans="1:195" s="18" customFormat="1" ht="15" customHeight="1">
      <c r="A205" s="80">
        <v>2009</v>
      </c>
      <c r="B205" s="81" t="s">
        <v>43</v>
      </c>
      <c r="C205" s="15">
        <f t="shared" si="194"/>
        <v>0.88628200942208124</v>
      </c>
      <c r="D205" s="15">
        <f t="shared" si="195"/>
        <v>0.90679583850338841</v>
      </c>
      <c r="E205" s="15">
        <f t="shared" si="196"/>
        <v>0.97737767619758387</v>
      </c>
      <c r="F205" s="16"/>
      <c r="G205" s="33"/>
      <c r="H20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21439</v>
      </c>
      <c r="I205" s="16">
        <f t="shared" si="197"/>
        <v>485</v>
      </c>
      <c r="J20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20954</v>
      </c>
      <c r="K20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19001</v>
      </c>
      <c r="L205" s="16">
        <f t="shared" si="198"/>
        <v>1953</v>
      </c>
      <c r="M205" s="16"/>
      <c r="N205" s="16"/>
      <c r="O205" s="80">
        <v>2009</v>
      </c>
      <c r="P205" s="81" t="s">
        <v>43</v>
      </c>
      <c r="Q205" s="15">
        <f t="shared" si="157"/>
        <v>0.89283645491407604</v>
      </c>
      <c r="R205" s="15">
        <f t="shared" si="158"/>
        <v>0.91185170577795305</v>
      </c>
      <c r="S205" s="15">
        <f t="shared" si="159"/>
        <v>0.97914655338868506</v>
      </c>
      <c r="T205" s="26"/>
      <c r="U205" s="26"/>
      <c r="V205" s="16">
        <v>5179</v>
      </c>
      <c r="W205" s="16">
        <f t="shared" si="160"/>
        <v>108</v>
      </c>
      <c r="X205" s="16">
        <v>5071</v>
      </c>
      <c r="Y205" s="16">
        <v>4624</v>
      </c>
      <c r="Z205" s="16">
        <f t="shared" si="161"/>
        <v>447</v>
      </c>
      <c r="AA205" s="16"/>
      <c r="AB205" s="16"/>
      <c r="AC205" s="80"/>
      <c r="AD205" s="81"/>
      <c r="AE205" s="15"/>
      <c r="AF205" s="15"/>
      <c r="AG205" s="15"/>
      <c r="AH205" s="15"/>
      <c r="AI205" s="15"/>
      <c r="AJ205" s="16"/>
      <c r="AK205" s="16"/>
      <c r="AL205" s="16"/>
      <c r="AM205" s="16"/>
      <c r="AN205" s="16"/>
      <c r="AO205" s="16"/>
      <c r="AP205" s="16"/>
      <c r="AQ205" s="80">
        <v>2009</v>
      </c>
      <c r="AR205" s="81" t="s">
        <v>43</v>
      </c>
      <c r="AS205" s="15">
        <f t="shared" si="162"/>
        <v>0.91056252529340354</v>
      </c>
      <c r="AT205" s="15">
        <f t="shared" si="163"/>
        <v>0.9384775808133472</v>
      </c>
      <c r="AU205" s="15">
        <f t="shared" si="164"/>
        <v>0.97025495750708213</v>
      </c>
      <c r="AV205" s="16"/>
      <c r="AW205" s="16"/>
      <c r="AX205" s="16">
        <v>4942</v>
      </c>
      <c r="AY205" s="16">
        <f t="shared" si="165"/>
        <v>147</v>
      </c>
      <c r="AZ205" s="16">
        <v>4795</v>
      </c>
      <c r="BA205" s="16">
        <v>4500</v>
      </c>
      <c r="BB205" s="16">
        <f t="shared" si="166"/>
        <v>295</v>
      </c>
      <c r="BC205" s="16"/>
      <c r="BD205" s="16"/>
      <c r="BE205" s="80">
        <v>2009</v>
      </c>
      <c r="BF205" s="81" t="s">
        <v>43</v>
      </c>
      <c r="BG205" s="15">
        <f t="shared" si="167"/>
        <v>0.73793103448275865</v>
      </c>
      <c r="BH205" s="15">
        <f t="shared" si="168"/>
        <v>0.81060606060606055</v>
      </c>
      <c r="BI205" s="15">
        <f t="shared" si="169"/>
        <v>0.91034482758620694</v>
      </c>
      <c r="BJ205" s="16"/>
      <c r="BK205" s="16"/>
      <c r="BL205" s="16">
        <v>580</v>
      </c>
      <c r="BM205" s="16">
        <f t="shared" si="170"/>
        <v>52</v>
      </c>
      <c r="BN205" s="16">
        <v>528</v>
      </c>
      <c r="BO205" s="16">
        <v>428</v>
      </c>
      <c r="BP205" s="16">
        <f t="shared" si="171"/>
        <v>100</v>
      </c>
      <c r="BQ205" s="16"/>
      <c r="BR205" s="16"/>
      <c r="BS205" s="80">
        <v>2009</v>
      </c>
      <c r="BT205" s="81" t="s">
        <v>43</v>
      </c>
      <c r="BU205" s="15">
        <f t="shared" si="172"/>
        <v>0.85688140556368964</v>
      </c>
      <c r="BV205" s="15">
        <f t="shared" si="173"/>
        <v>0.87415982076176246</v>
      </c>
      <c r="BW205" s="15">
        <f t="shared" si="174"/>
        <v>0.98023426061493413</v>
      </c>
      <c r="BX205" s="16"/>
      <c r="BY205" s="16"/>
      <c r="BZ205" s="16">
        <v>2732</v>
      </c>
      <c r="CA205" s="16">
        <f t="shared" si="175"/>
        <v>54</v>
      </c>
      <c r="CB205" s="16">
        <v>2678</v>
      </c>
      <c r="CC205" s="16">
        <v>2341</v>
      </c>
      <c r="CD205" s="16">
        <f t="shared" si="176"/>
        <v>337</v>
      </c>
      <c r="CE205" s="16"/>
      <c r="CF205" s="16"/>
      <c r="CG205" s="80">
        <v>2009</v>
      </c>
      <c r="CH205" s="81" t="s">
        <v>43</v>
      </c>
      <c r="CI205" s="15">
        <f t="shared" si="177"/>
        <v>0.92838874680306904</v>
      </c>
      <c r="CJ205" s="15">
        <f t="shared" si="178"/>
        <v>0.94250741839762608</v>
      </c>
      <c r="CK205" s="15">
        <f t="shared" si="179"/>
        <v>0.98502009499451959</v>
      </c>
      <c r="CL205" s="16"/>
      <c r="CM205" s="16"/>
      <c r="CN205" s="16">
        <v>2737</v>
      </c>
      <c r="CO205" s="16">
        <f t="shared" si="180"/>
        <v>41</v>
      </c>
      <c r="CP205" s="16">
        <v>2696</v>
      </c>
      <c r="CQ205" s="16">
        <v>2541</v>
      </c>
      <c r="CR205" s="16">
        <f t="shared" si="181"/>
        <v>155</v>
      </c>
      <c r="CS205" s="16"/>
      <c r="CT205" s="16"/>
      <c r="CU205" s="80">
        <v>2009</v>
      </c>
      <c r="CV205" s="81" t="s">
        <v>43</v>
      </c>
      <c r="CW205" s="15">
        <f t="shared" si="199"/>
        <v>0.83063683304647162</v>
      </c>
      <c r="CX205" s="15">
        <f t="shared" si="200"/>
        <v>0.8451838879159369</v>
      </c>
      <c r="CY205" s="15">
        <f t="shared" si="201"/>
        <v>0.98278829604130813</v>
      </c>
      <c r="CZ205" s="16"/>
      <c r="DA205" s="16"/>
      <c r="DB205" s="16">
        <v>2905</v>
      </c>
      <c r="DC205" s="16">
        <f t="shared" si="182"/>
        <v>50</v>
      </c>
      <c r="DD205" s="16">
        <v>2855</v>
      </c>
      <c r="DE205" s="16">
        <v>2413</v>
      </c>
      <c r="DF205" s="16">
        <f t="shared" si="183"/>
        <v>442</v>
      </c>
      <c r="DG205" s="16"/>
      <c r="DH205" s="16"/>
      <c r="DI205" s="80">
        <v>2009</v>
      </c>
      <c r="DJ205" s="81" t="s">
        <v>43</v>
      </c>
      <c r="DK205" s="15">
        <f t="shared" si="184"/>
        <v>0.83061224489795915</v>
      </c>
      <c r="DL205" s="15">
        <f t="shared" si="185"/>
        <v>0.84703433922996874</v>
      </c>
      <c r="DM205" s="15">
        <f t="shared" si="186"/>
        <v>0.98061224489795917</v>
      </c>
      <c r="DN205" s="16"/>
      <c r="DO205" s="16"/>
      <c r="DP205" s="16">
        <v>980</v>
      </c>
      <c r="DQ205" s="16">
        <f t="shared" si="187"/>
        <v>19</v>
      </c>
      <c r="DR205" s="16">
        <v>961</v>
      </c>
      <c r="DS205" s="16">
        <v>814</v>
      </c>
      <c r="DT205" s="16">
        <f t="shared" si="188"/>
        <v>147</v>
      </c>
      <c r="DU205" s="16"/>
      <c r="DV205" s="16"/>
      <c r="DW205" s="80">
        <v>2009</v>
      </c>
      <c r="DX205" s="81" t="s">
        <v>43</v>
      </c>
      <c r="DY205" s="15">
        <f t="shared" si="189"/>
        <v>0.96820809248554918</v>
      </c>
      <c r="DZ205" s="15">
        <f t="shared" si="190"/>
        <v>0.97810218978102192</v>
      </c>
      <c r="EA205" s="15">
        <f t="shared" si="191"/>
        <v>0.98988439306358378</v>
      </c>
      <c r="EB205" s="16"/>
      <c r="EC205" s="16"/>
      <c r="ED205" s="16">
        <v>1384</v>
      </c>
      <c r="EE205" s="16">
        <f t="shared" si="192"/>
        <v>14</v>
      </c>
      <c r="EF205" s="16">
        <v>1370</v>
      </c>
      <c r="EG205" s="16">
        <v>1340</v>
      </c>
      <c r="EH205" s="16">
        <f t="shared" si="193"/>
        <v>30</v>
      </c>
      <c r="EI205" s="16"/>
      <c r="EJ205" s="16"/>
      <c r="EK205" s="80"/>
      <c r="EL205" s="81"/>
      <c r="EM205" s="15"/>
      <c r="EN205" s="15"/>
      <c r="EO205" s="15"/>
      <c r="EP205" s="16"/>
      <c r="EQ205" s="16"/>
      <c r="ER205" s="16"/>
      <c r="ES205" s="16"/>
      <c r="ET205" s="16"/>
      <c r="EU205" s="16"/>
      <c r="EV205" s="16"/>
      <c r="EW205" s="16"/>
      <c r="EX205" s="16"/>
      <c r="EY205" s="80"/>
      <c r="EZ205" s="81"/>
      <c r="FA205" s="15"/>
      <c r="FB205" s="15"/>
      <c r="FC205" s="15"/>
      <c r="FD205" s="16"/>
      <c r="FE205" s="16"/>
      <c r="FF205" s="16"/>
      <c r="FG205" s="16"/>
      <c r="FH205" s="16"/>
      <c r="FI205" s="16"/>
      <c r="FJ205" s="16"/>
      <c r="FK205" s="16"/>
      <c r="FM205" s="80"/>
      <c r="FN205" s="81"/>
      <c r="FO205" s="15"/>
      <c r="FP205" s="15"/>
      <c r="FQ205" s="15"/>
      <c r="FR205" s="16"/>
      <c r="FS205" s="16"/>
      <c r="FT205" s="16"/>
      <c r="FU205" s="16"/>
      <c r="FV205" s="16"/>
      <c r="FW205" s="16"/>
      <c r="FX205" s="16"/>
      <c r="FY205" s="16"/>
      <c r="GA205" s="80"/>
      <c r="GB205" s="81"/>
      <c r="GC205" s="15"/>
      <c r="GD205" s="15"/>
      <c r="GE205" s="15"/>
      <c r="GF205" s="16"/>
      <c r="GG205" s="16"/>
      <c r="GH205" s="16"/>
      <c r="GI205" s="16"/>
      <c r="GJ205" s="16"/>
      <c r="GK205" s="16"/>
      <c r="GL205" s="16"/>
      <c r="GM205" s="16"/>
    </row>
    <row r="206" spans="1:195" s="18" customFormat="1" ht="15" customHeight="1">
      <c r="A206" s="78">
        <v>2009</v>
      </c>
      <c r="B206" s="79" t="s">
        <v>44</v>
      </c>
      <c r="C206" s="15">
        <f t="shared" si="194"/>
        <v>0.87160771102376944</v>
      </c>
      <c r="D206" s="15">
        <f t="shared" si="195"/>
        <v>0.89855771549852881</v>
      </c>
      <c r="E206" s="15">
        <f t="shared" si="196"/>
        <v>0.97000748643084411</v>
      </c>
      <c r="F206" s="16"/>
      <c r="G206" s="33"/>
      <c r="H20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21372</v>
      </c>
      <c r="I206" s="16">
        <f t="shared" si="197"/>
        <v>641</v>
      </c>
      <c r="J20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20731</v>
      </c>
      <c r="K20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18628</v>
      </c>
      <c r="L206" s="16">
        <f t="shared" si="198"/>
        <v>2103</v>
      </c>
      <c r="M206" s="16"/>
      <c r="N206" s="16"/>
      <c r="O206" s="78">
        <v>2009</v>
      </c>
      <c r="P206" s="79" t="s">
        <v>44</v>
      </c>
      <c r="Q206" s="15">
        <f t="shared" si="157"/>
        <v>0.86414083429008803</v>
      </c>
      <c r="R206" s="15">
        <f t="shared" si="158"/>
        <v>0.88775309612738351</v>
      </c>
      <c r="S206" s="15">
        <f t="shared" si="159"/>
        <v>0.97340221967087637</v>
      </c>
      <c r="T206" s="26"/>
      <c r="U206" s="26"/>
      <c r="V206" s="16">
        <v>5226</v>
      </c>
      <c r="W206" s="16">
        <f t="shared" si="160"/>
        <v>139</v>
      </c>
      <c r="X206" s="16">
        <v>5087</v>
      </c>
      <c r="Y206" s="16">
        <v>4516</v>
      </c>
      <c r="Z206" s="16">
        <f t="shared" si="161"/>
        <v>571</v>
      </c>
      <c r="AA206" s="16"/>
      <c r="AB206" s="16"/>
      <c r="AC206" s="78"/>
      <c r="AD206" s="79"/>
      <c r="AE206" s="15"/>
      <c r="AF206" s="15"/>
      <c r="AG206" s="15"/>
      <c r="AH206" s="15"/>
      <c r="AI206" s="15"/>
      <c r="AJ206" s="16"/>
      <c r="AK206" s="16"/>
      <c r="AL206" s="16"/>
      <c r="AM206" s="16"/>
      <c r="AN206" s="16"/>
      <c r="AO206" s="16"/>
      <c r="AP206" s="16"/>
      <c r="AQ206" s="78">
        <v>2009</v>
      </c>
      <c r="AR206" s="79" t="s">
        <v>44</v>
      </c>
      <c r="AS206" s="15">
        <f t="shared" si="162"/>
        <v>0.8766626360338573</v>
      </c>
      <c r="AT206" s="15">
        <f t="shared" si="163"/>
        <v>0.91907880836678635</v>
      </c>
      <c r="AU206" s="15">
        <f t="shared" si="164"/>
        <v>0.95384925433293022</v>
      </c>
      <c r="AV206" s="16"/>
      <c r="AW206" s="16"/>
      <c r="AX206" s="16">
        <v>4962</v>
      </c>
      <c r="AY206" s="16">
        <f t="shared" si="165"/>
        <v>229</v>
      </c>
      <c r="AZ206" s="16">
        <v>4733</v>
      </c>
      <c r="BA206" s="16">
        <v>4350</v>
      </c>
      <c r="BB206" s="16">
        <f t="shared" si="166"/>
        <v>383</v>
      </c>
      <c r="BC206" s="16"/>
      <c r="BD206" s="16"/>
      <c r="BE206" s="78">
        <v>2009</v>
      </c>
      <c r="BF206" s="79" t="s">
        <v>44</v>
      </c>
      <c r="BG206" s="15">
        <f t="shared" si="167"/>
        <v>0.72257053291536055</v>
      </c>
      <c r="BH206" s="15">
        <f t="shared" si="168"/>
        <v>0.81592920353982301</v>
      </c>
      <c r="BI206" s="15">
        <f t="shared" si="169"/>
        <v>0.88557993730407525</v>
      </c>
      <c r="BJ206" s="16"/>
      <c r="BK206" s="16"/>
      <c r="BL206" s="16">
        <v>638</v>
      </c>
      <c r="BM206" s="16">
        <f t="shared" si="170"/>
        <v>73</v>
      </c>
      <c r="BN206" s="16">
        <v>565</v>
      </c>
      <c r="BO206" s="16">
        <v>461</v>
      </c>
      <c r="BP206" s="16">
        <f t="shared" si="171"/>
        <v>104</v>
      </c>
      <c r="BQ206" s="16"/>
      <c r="BR206" s="16"/>
      <c r="BS206" s="78">
        <v>2009</v>
      </c>
      <c r="BT206" s="79" t="s">
        <v>44</v>
      </c>
      <c r="BU206" s="15">
        <f t="shared" si="172"/>
        <v>0.82132243684992567</v>
      </c>
      <c r="BV206" s="15">
        <f t="shared" si="173"/>
        <v>0.84647779479326191</v>
      </c>
      <c r="BW206" s="15">
        <f t="shared" si="174"/>
        <v>0.97028231797919762</v>
      </c>
      <c r="BX206" s="16"/>
      <c r="BY206" s="16"/>
      <c r="BZ206" s="16">
        <v>2692</v>
      </c>
      <c r="CA206" s="16">
        <f t="shared" si="175"/>
        <v>80</v>
      </c>
      <c r="CB206" s="16">
        <v>2612</v>
      </c>
      <c r="CC206" s="16">
        <v>2211</v>
      </c>
      <c r="CD206" s="16">
        <f t="shared" si="176"/>
        <v>401</v>
      </c>
      <c r="CE206" s="16"/>
      <c r="CF206" s="16"/>
      <c r="CG206" s="78">
        <v>2009</v>
      </c>
      <c r="CH206" s="79" t="s">
        <v>44</v>
      </c>
      <c r="CI206" s="15">
        <f t="shared" si="177"/>
        <v>0.9228486646884273</v>
      </c>
      <c r="CJ206" s="15">
        <f t="shared" si="178"/>
        <v>0.94528875379939215</v>
      </c>
      <c r="CK206" s="15">
        <f t="shared" si="179"/>
        <v>0.97626112759643913</v>
      </c>
      <c r="CL206" s="16"/>
      <c r="CM206" s="16"/>
      <c r="CN206" s="16">
        <v>2696</v>
      </c>
      <c r="CO206" s="16">
        <f t="shared" si="180"/>
        <v>64</v>
      </c>
      <c r="CP206" s="16">
        <v>2632</v>
      </c>
      <c r="CQ206" s="16">
        <v>2488</v>
      </c>
      <c r="CR206" s="16">
        <f t="shared" si="181"/>
        <v>144</v>
      </c>
      <c r="CS206" s="16"/>
      <c r="CT206" s="16"/>
      <c r="CU206" s="78">
        <v>2009</v>
      </c>
      <c r="CV206" s="79" t="s">
        <v>44</v>
      </c>
      <c r="CW206" s="15">
        <f t="shared" si="199"/>
        <v>0.86054660126138749</v>
      </c>
      <c r="CX206" s="15">
        <f t="shared" si="200"/>
        <v>0.86753797244789832</v>
      </c>
      <c r="CY206" s="15">
        <f t="shared" si="201"/>
        <v>0.9919411352487737</v>
      </c>
      <c r="CZ206" s="16"/>
      <c r="DA206" s="16"/>
      <c r="DB206" s="16">
        <v>2854</v>
      </c>
      <c r="DC206" s="16">
        <f t="shared" si="182"/>
        <v>23</v>
      </c>
      <c r="DD206" s="16">
        <v>2831</v>
      </c>
      <c r="DE206" s="16">
        <v>2456</v>
      </c>
      <c r="DF206" s="16">
        <f t="shared" si="183"/>
        <v>375</v>
      </c>
      <c r="DG206" s="16"/>
      <c r="DH206" s="16"/>
      <c r="DI206" s="78">
        <v>2009</v>
      </c>
      <c r="DJ206" s="79" t="s">
        <v>44</v>
      </c>
      <c r="DK206" s="15">
        <f t="shared" si="184"/>
        <v>0.88025210084033612</v>
      </c>
      <c r="DL206" s="15">
        <f t="shared" si="185"/>
        <v>0.88583509513742076</v>
      </c>
      <c r="DM206" s="15">
        <f t="shared" si="186"/>
        <v>0.99369747899159666</v>
      </c>
      <c r="DN206" s="16"/>
      <c r="DO206" s="16"/>
      <c r="DP206" s="16">
        <v>952</v>
      </c>
      <c r="DQ206" s="16">
        <f t="shared" si="187"/>
        <v>6</v>
      </c>
      <c r="DR206" s="16">
        <v>946</v>
      </c>
      <c r="DS206" s="16">
        <v>838</v>
      </c>
      <c r="DT206" s="16">
        <f t="shared" si="188"/>
        <v>108</v>
      </c>
      <c r="DU206" s="16"/>
      <c r="DV206" s="16"/>
      <c r="DW206" s="78">
        <v>2009</v>
      </c>
      <c r="DX206" s="79" t="s">
        <v>44</v>
      </c>
      <c r="DY206" s="15">
        <f t="shared" si="189"/>
        <v>0.96745562130177509</v>
      </c>
      <c r="DZ206" s="15">
        <f t="shared" si="190"/>
        <v>0.98716981132075476</v>
      </c>
      <c r="EA206" s="15">
        <f t="shared" si="191"/>
        <v>0.9800295857988166</v>
      </c>
      <c r="EB206" s="16"/>
      <c r="EC206" s="16"/>
      <c r="ED206" s="16">
        <v>1352</v>
      </c>
      <c r="EE206" s="16">
        <f t="shared" si="192"/>
        <v>27</v>
      </c>
      <c r="EF206" s="16">
        <v>1325</v>
      </c>
      <c r="EG206" s="16">
        <v>1308</v>
      </c>
      <c r="EH206" s="16">
        <f t="shared" si="193"/>
        <v>17</v>
      </c>
      <c r="EI206" s="16"/>
      <c r="EJ206" s="16"/>
      <c r="EK206" s="78"/>
      <c r="EL206" s="79"/>
      <c r="EM206" s="15"/>
      <c r="EN206" s="15"/>
      <c r="EO206" s="15"/>
      <c r="EP206" s="16"/>
      <c r="EQ206" s="16"/>
      <c r="ER206" s="16"/>
      <c r="ES206" s="16"/>
      <c r="ET206" s="16"/>
      <c r="EU206" s="16"/>
      <c r="EV206" s="16"/>
      <c r="EW206" s="16"/>
      <c r="EX206" s="16"/>
      <c r="EY206" s="78"/>
      <c r="EZ206" s="79"/>
      <c r="FA206" s="15"/>
      <c r="FB206" s="15"/>
      <c r="FC206" s="15"/>
      <c r="FD206" s="16"/>
      <c r="FE206" s="16"/>
      <c r="FF206" s="16"/>
      <c r="FG206" s="16"/>
      <c r="FH206" s="16"/>
      <c r="FI206" s="16"/>
      <c r="FJ206" s="16"/>
      <c r="FK206" s="16"/>
      <c r="FM206" s="78"/>
      <c r="FN206" s="79"/>
      <c r="FO206" s="15"/>
      <c r="FP206" s="15"/>
      <c r="FQ206" s="15"/>
      <c r="FR206" s="16"/>
      <c r="FS206" s="16"/>
      <c r="FT206" s="16"/>
      <c r="FU206" s="16"/>
      <c r="FV206" s="16"/>
      <c r="FW206" s="16"/>
      <c r="FX206" s="16"/>
      <c r="FY206" s="16"/>
      <c r="GA206" s="78"/>
      <c r="GB206" s="79"/>
      <c r="GC206" s="15"/>
      <c r="GD206" s="15"/>
      <c r="GE206" s="15"/>
      <c r="GF206" s="16"/>
      <c r="GG206" s="16"/>
      <c r="GH206" s="16"/>
      <c r="GI206" s="16"/>
      <c r="GJ206" s="16"/>
      <c r="GK206" s="16"/>
      <c r="GL206" s="16"/>
      <c r="GM206" s="16"/>
    </row>
    <row r="207" spans="1:195" s="18" customFormat="1" ht="15" customHeight="1">
      <c r="A207" s="80">
        <v>2009</v>
      </c>
      <c r="B207" s="81" t="s">
        <v>45</v>
      </c>
      <c r="C207" s="15">
        <f t="shared" si="194"/>
        <v>0.8832681242807825</v>
      </c>
      <c r="D207" s="15">
        <f t="shared" si="195"/>
        <v>0.91055328841226157</v>
      </c>
      <c r="E207" s="15">
        <f t="shared" si="196"/>
        <v>0.97003452243958577</v>
      </c>
      <c r="F207" s="16"/>
      <c r="G207" s="33"/>
      <c r="H20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21725</v>
      </c>
      <c r="I207" s="16">
        <f t="shared" si="197"/>
        <v>651</v>
      </c>
      <c r="J20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21074</v>
      </c>
      <c r="K20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19189</v>
      </c>
      <c r="L207" s="16">
        <f t="shared" si="198"/>
        <v>1885</v>
      </c>
      <c r="M207" s="16"/>
      <c r="N207" s="16"/>
      <c r="O207" s="80">
        <v>2009</v>
      </c>
      <c r="P207" s="81" t="s">
        <v>45</v>
      </c>
      <c r="Q207" s="15">
        <f t="shared" si="157"/>
        <v>0.87741568776051537</v>
      </c>
      <c r="R207" s="15">
        <f t="shared" si="158"/>
        <v>0.91485578822599767</v>
      </c>
      <c r="S207" s="15">
        <f t="shared" si="159"/>
        <v>0.95907540735126939</v>
      </c>
      <c r="T207" s="26"/>
      <c r="U207" s="26"/>
      <c r="V207" s="16">
        <v>5278</v>
      </c>
      <c r="W207" s="16">
        <f t="shared" si="160"/>
        <v>216</v>
      </c>
      <c r="X207" s="16">
        <v>5062</v>
      </c>
      <c r="Y207" s="16">
        <v>4631</v>
      </c>
      <c r="Z207" s="16">
        <f t="shared" si="161"/>
        <v>431</v>
      </c>
      <c r="AA207" s="16"/>
      <c r="AB207" s="16"/>
      <c r="AC207" s="80"/>
      <c r="AD207" s="81"/>
      <c r="AE207" s="15"/>
      <c r="AF207" s="15"/>
      <c r="AG207" s="15"/>
      <c r="AH207" s="15"/>
      <c r="AI207" s="15"/>
      <c r="AJ207" s="16"/>
      <c r="AK207" s="16"/>
      <c r="AL207" s="16"/>
      <c r="AM207" s="16"/>
      <c r="AN207" s="16"/>
      <c r="AO207" s="16"/>
      <c r="AP207" s="16"/>
      <c r="AQ207" s="80">
        <v>2009</v>
      </c>
      <c r="AR207" s="81" t="s">
        <v>45</v>
      </c>
      <c r="AS207" s="15">
        <f t="shared" si="162"/>
        <v>0.9138822593476531</v>
      </c>
      <c r="AT207" s="15">
        <f t="shared" si="163"/>
        <v>0.94198441984419845</v>
      </c>
      <c r="AU207" s="15">
        <f t="shared" si="164"/>
        <v>0.9701670644391408</v>
      </c>
      <c r="AV207" s="16"/>
      <c r="AW207" s="16"/>
      <c r="AX207" s="16">
        <v>5028</v>
      </c>
      <c r="AY207" s="16">
        <f t="shared" si="165"/>
        <v>150</v>
      </c>
      <c r="AZ207" s="16">
        <v>4878</v>
      </c>
      <c r="BA207" s="16">
        <v>4595</v>
      </c>
      <c r="BB207" s="16">
        <f t="shared" si="166"/>
        <v>283</v>
      </c>
      <c r="BC207" s="16"/>
      <c r="BD207" s="16"/>
      <c r="BE207" s="80">
        <v>2009</v>
      </c>
      <c r="BF207" s="81" t="s">
        <v>45</v>
      </c>
      <c r="BG207" s="15">
        <f t="shared" si="167"/>
        <v>0.75697865353037763</v>
      </c>
      <c r="BH207" s="15">
        <f t="shared" si="168"/>
        <v>0.78268251273344647</v>
      </c>
      <c r="BI207" s="15">
        <f t="shared" si="169"/>
        <v>0.96715927750410513</v>
      </c>
      <c r="BJ207" s="16"/>
      <c r="BK207" s="16"/>
      <c r="BL207" s="16">
        <v>609</v>
      </c>
      <c r="BM207" s="16">
        <f t="shared" si="170"/>
        <v>20</v>
      </c>
      <c r="BN207" s="16">
        <v>589</v>
      </c>
      <c r="BO207" s="16">
        <v>461</v>
      </c>
      <c r="BP207" s="16">
        <f t="shared" si="171"/>
        <v>128</v>
      </c>
      <c r="BQ207" s="16"/>
      <c r="BR207" s="16"/>
      <c r="BS207" s="80">
        <v>2009</v>
      </c>
      <c r="BT207" s="81" t="s">
        <v>45</v>
      </c>
      <c r="BU207" s="15">
        <f t="shared" si="172"/>
        <v>0.81299927378358749</v>
      </c>
      <c r="BV207" s="15">
        <f t="shared" si="173"/>
        <v>0.83544776119402986</v>
      </c>
      <c r="BW207" s="15">
        <f t="shared" si="174"/>
        <v>0.97312999273783585</v>
      </c>
      <c r="BX207" s="16"/>
      <c r="BY207" s="16"/>
      <c r="BZ207" s="16">
        <v>2754</v>
      </c>
      <c r="CA207" s="16">
        <f t="shared" si="175"/>
        <v>74</v>
      </c>
      <c r="CB207" s="16">
        <v>2680</v>
      </c>
      <c r="CC207" s="16">
        <v>2239</v>
      </c>
      <c r="CD207" s="16">
        <f t="shared" si="176"/>
        <v>441</v>
      </c>
      <c r="CE207" s="16"/>
      <c r="CF207" s="16"/>
      <c r="CG207" s="80">
        <v>2009</v>
      </c>
      <c r="CH207" s="81" t="s">
        <v>45</v>
      </c>
      <c r="CI207" s="15">
        <f t="shared" si="177"/>
        <v>0.91736136281261327</v>
      </c>
      <c r="CJ207" s="15">
        <f t="shared" si="178"/>
        <v>0.94054254923820146</v>
      </c>
      <c r="CK207" s="15">
        <f t="shared" si="179"/>
        <v>0.97535338890902501</v>
      </c>
      <c r="CL207" s="16"/>
      <c r="CM207" s="16"/>
      <c r="CN207" s="16">
        <v>2759</v>
      </c>
      <c r="CO207" s="16">
        <f t="shared" si="180"/>
        <v>68</v>
      </c>
      <c r="CP207" s="16">
        <v>2691</v>
      </c>
      <c r="CQ207" s="16">
        <v>2531</v>
      </c>
      <c r="CR207" s="16">
        <f t="shared" si="181"/>
        <v>160</v>
      </c>
      <c r="CS207" s="16"/>
      <c r="CT207" s="16"/>
      <c r="CU207" s="80">
        <v>2009</v>
      </c>
      <c r="CV207" s="81" t="s">
        <v>45</v>
      </c>
      <c r="CW207" s="15">
        <f t="shared" si="199"/>
        <v>0.84268125854993159</v>
      </c>
      <c r="CX207" s="15">
        <f t="shared" si="200"/>
        <v>0.87437899219304471</v>
      </c>
      <c r="CY207" s="15">
        <f t="shared" si="201"/>
        <v>0.9637482900136799</v>
      </c>
      <c r="CZ207" s="16"/>
      <c r="DA207" s="16"/>
      <c r="DB207" s="16">
        <v>2924</v>
      </c>
      <c r="DC207" s="16">
        <f t="shared" si="182"/>
        <v>106</v>
      </c>
      <c r="DD207" s="16">
        <v>2818</v>
      </c>
      <c r="DE207" s="16">
        <v>2464</v>
      </c>
      <c r="DF207" s="16">
        <f t="shared" si="183"/>
        <v>354</v>
      </c>
      <c r="DG207" s="16"/>
      <c r="DH207" s="16"/>
      <c r="DI207" s="80">
        <v>2009</v>
      </c>
      <c r="DJ207" s="81" t="s">
        <v>45</v>
      </c>
      <c r="DK207" s="15">
        <f t="shared" si="184"/>
        <v>0.92566191446028512</v>
      </c>
      <c r="DL207" s="15">
        <f t="shared" si="185"/>
        <v>0.93326488706365507</v>
      </c>
      <c r="DM207" s="15">
        <f t="shared" si="186"/>
        <v>0.99185336048879835</v>
      </c>
      <c r="DN207" s="16"/>
      <c r="DO207" s="16"/>
      <c r="DP207" s="16">
        <v>982</v>
      </c>
      <c r="DQ207" s="16">
        <f t="shared" si="187"/>
        <v>8</v>
      </c>
      <c r="DR207" s="16">
        <v>974</v>
      </c>
      <c r="DS207" s="16">
        <v>909</v>
      </c>
      <c r="DT207" s="16">
        <f t="shared" si="188"/>
        <v>65</v>
      </c>
      <c r="DU207" s="16"/>
      <c r="DV207" s="16"/>
      <c r="DW207" s="80">
        <v>2009</v>
      </c>
      <c r="DX207" s="81" t="s">
        <v>45</v>
      </c>
      <c r="DY207" s="15">
        <f t="shared" si="189"/>
        <v>0.97699496764917326</v>
      </c>
      <c r="DZ207" s="15">
        <f t="shared" si="190"/>
        <v>0.98335745296671495</v>
      </c>
      <c r="EA207" s="15">
        <f t="shared" si="191"/>
        <v>0.99352983465132994</v>
      </c>
      <c r="EB207" s="16"/>
      <c r="EC207" s="16"/>
      <c r="ED207" s="16">
        <v>1391</v>
      </c>
      <c r="EE207" s="16">
        <f t="shared" si="192"/>
        <v>9</v>
      </c>
      <c r="EF207" s="16">
        <v>1382</v>
      </c>
      <c r="EG207" s="16">
        <v>1359</v>
      </c>
      <c r="EH207" s="16">
        <f t="shared" si="193"/>
        <v>23</v>
      </c>
      <c r="EI207" s="16"/>
      <c r="EJ207" s="16"/>
      <c r="EK207" s="80"/>
      <c r="EL207" s="81"/>
      <c r="EM207" s="15"/>
      <c r="EN207" s="15"/>
      <c r="EO207" s="15"/>
      <c r="EP207" s="16"/>
      <c r="EQ207" s="16"/>
      <c r="ER207" s="16"/>
      <c r="ES207" s="16"/>
      <c r="ET207" s="16"/>
      <c r="EU207" s="16"/>
      <c r="EV207" s="16"/>
      <c r="EW207" s="16"/>
      <c r="EX207" s="16"/>
      <c r="EY207" s="80"/>
      <c r="EZ207" s="81"/>
      <c r="FA207" s="15"/>
      <c r="FB207" s="15"/>
      <c r="FC207" s="15"/>
      <c r="FD207" s="16"/>
      <c r="FE207" s="16"/>
      <c r="FF207" s="16"/>
      <c r="FG207" s="16"/>
      <c r="FH207" s="16"/>
      <c r="FI207" s="16"/>
      <c r="FJ207" s="16"/>
      <c r="FK207" s="16"/>
      <c r="FM207" s="80"/>
      <c r="FN207" s="81"/>
      <c r="FO207" s="15"/>
      <c r="FP207" s="15"/>
      <c r="FQ207" s="15"/>
      <c r="FR207" s="16"/>
      <c r="FS207" s="16"/>
      <c r="FT207" s="16"/>
      <c r="FU207" s="16"/>
      <c r="FV207" s="16"/>
      <c r="FW207" s="16"/>
      <c r="FX207" s="16"/>
      <c r="FY207" s="16"/>
      <c r="GA207" s="80"/>
      <c r="GB207" s="81"/>
      <c r="GC207" s="15"/>
      <c r="GD207" s="15"/>
      <c r="GE207" s="15"/>
      <c r="GF207" s="16"/>
      <c r="GG207" s="16"/>
      <c r="GH207" s="16"/>
      <c r="GI207" s="16"/>
      <c r="GJ207" s="16"/>
      <c r="GK207" s="16"/>
      <c r="GL207" s="16"/>
      <c r="GM207" s="16"/>
    </row>
    <row r="208" spans="1:195" s="18" customFormat="1" ht="15" customHeight="1">
      <c r="A208" s="78">
        <v>2009</v>
      </c>
      <c r="B208" s="79" t="s">
        <v>46</v>
      </c>
      <c r="C208" s="15">
        <f t="shared" si="194"/>
        <v>0.89623446836763732</v>
      </c>
      <c r="D208" s="15">
        <f t="shared" si="195"/>
        <v>0.91600019388299159</v>
      </c>
      <c r="E208" s="15">
        <f t="shared" si="196"/>
        <v>0.97842170160295927</v>
      </c>
      <c r="F208" s="16"/>
      <c r="G208" s="33"/>
      <c r="H20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21086</v>
      </c>
      <c r="I208" s="16">
        <f t="shared" si="197"/>
        <v>455</v>
      </c>
      <c r="J20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20631</v>
      </c>
      <c r="K20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18898</v>
      </c>
      <c r="L208" s="16">
        <f t="shared" si="198"/>
        <v>1733</v>
      </c>
      <c r="M208" s="16"/>
      <c r="N208" s="16"/>
      <c r="O208" s="78">
        <v>2009</v>
      </c>
      <c r="P208" s="79" t="s">
        <v>46</v>
      </c>
      <c r="Q208" s="15">
        <f t="shared" si="157"/>
        <v>0.91925102399063785</v>
      </c>
      <c r="R208" s="15">
        <f t="shared" si="158"/>
        <v>0.93679189028026233</v>
      </c>
      <c r="S208" s="15">
        <f t="shared" si="159"/>
        <v>0.98127559976594503</v>
      </c>
      <c r="T208" s="26"/>
      <c r="U208" s="26"/>
      <c r="V208" s="16">
        <v>5127</v>
      </c>
      <c r="W208" s="16">
        <f t="shared" si="160"/>
        <v>96</v>
      </c>
      <c r="X208" s="16">
        <v>5031</v>
      </c>
      <c r="Y208" s="16">
        <v>4713</v>
      </c>
      <c r="Z208" s="16">
        <f t="shared" si="161"/>
        <v>318</v>
      </c>
      <c r="AA208" s="16"/>
      <c r="AB208" s="16"/>
      <c r="AC208" s="78"/>
      <c r="AD208" s="79"/>
      <c r="AE208" s="15"/>
      <c r="AF208" s="15"/>
      <c r="AG208" s="15"/>
      <c r="AH208" s="15"/>
      <c r="AI208" s="15"/>
      <c r="AJ208" s="16"/>
      <c r="AK208" s="16"/>
      <c r="AL208" s="16"/>
      <c r="AM208" s="16"/>
      <c r="AN208" s="16"/>
      <c r="AO208" s="16"/>
      <c r="AP208" s="16"/>
      <c r="AQ208" s="78">
        <v>2009</v>
      </c>
      <c r="AR208" s="79" t="s">
        <v>46</v>
      </c>
      <c r="AS208" s="15">
        <f t="shared" si="162"/>
        <v>0.92555373256767848</v>
      </c>
      <c r="AT208" s="15">
        <f t="shared" si="163"/>
        <v>0.94751207222338862</v>
      </c>
      <c r="AU208" s="15">
        <f t="shared" si="164"/>
        <v>0.97682526661197699</v>
      </c>
      <c r="AV208" s="16"/>
      <c r="AW208" s="16"/>
      <c r="AX208" s="16">
        <v>4876</v>
      </c>
      <c r="AY208" s="16">
        <f t="shared" si="165"/>
        <v>113</v>
      </c>
      <c r="AZ208" s="16">
        <v>4763</v>
      </c>
      <c r="BA208" s="16">
        <v>4513</v>
      </c>
      <c r="BB208" s="16">
        <f t="shared" si="166"/>
        <v>250</v>
      </c>
      <c r="BC208" s="16"/>
      <c r="BD208" s="16"/>
      <c r="BE208" s="78">
        <v>2009</v>
      </c>
      <c r="BF208" s="79" t="s">
        <v>46</v>
      </c>
      <c r="BG208" s="15">
        <f t="shared" si="167"/>
        <v>0.82922824302134646</v>
      </c>
      <c r="BH208" s="15">
        <f t="shared" si="168"/>
        <v>0.858843537414966</v>
      </c>
      <c r="BI208" s="15">
        <f t="shared" si="169"/>
        <v>0.96551724137931039</v>
      </c>
      <c r="BJ208" s="16"/>
      <c r="BK208" s="16"/>
      <c r="BL208" s="16">
        <v>609</v>
      </c>
      <c r="BM208" s="16">
        <f t="shared" si="170"/>
        <v>21</v>
      </c>
      <c r="BN208" s="16">
        <v>588</v>
      </c>
      <c r="BO208" s="16">
        <v>505</v>
      </c>
      <c r="BP208" s="16">
        <f t="shared" si="171"/>
        <v>83</v>
      </c>
      <c r="BQ208" s="16"/>
      <c r="BR208" s="16"/>
      <c r="BS208" s="78">
        <v>2009</v>
      </c>
      <c r="BT208" s="79" t="s">
        <v>46</v>
      </c>
      <c r="BU208" s="15">
        <f t="shared" si="172"/>
        <v>0.79288389513108615</v>
      </c>
      <c r="BV208" s="15">
        <f t="shared" si="173"/>
        <v>0.81800618238021638</v>
      </c>
      <c r="BW208" s="15">
        <f t="shared" si="174"/>
        <v>0.96928838951310858</v>
      </c>
      <c r="BX208" s="16"/>
      <c r="BY208" s="16"/>
      <c r="BZ208" s="16">
        <v>2670</v>
      </c>
      <c r="CA208" s="16">
        <f t="shared" si="175"/>
        <v>82</v>
      </c>
      <c r="CB208" s="16">
        <v>2588</v>
      </c>
      <c r="CC208" s="16">
        <v>2117</v>
      </c>
      <c r="CD208" s="16">
        <f t="shared" si="176"/>
        <v>471</v>
      </c>
      <c r="CE208" s="16"/>
      <c r="CF208" s="16"/>
      <c r="CG208" s="78">
        <v>2009</v>
      </c>
      <c r="CH208" s="79" t="s">
        <v>46</v>
      </c>
      <c r="CI208" s="15">
        <f t="shared" si="177"/>
        <v>0.89865370231862374</v>
      </c>
      <c r="CJ208" s="15">
        <f t="shared" si="178"/>
        <v>0.92959381044487432</v>
      </c>
      <c r="CK208" s="15">
        <f t="shared" si="179"/>
        <v>0.96671652954375464</v>
      </c>
      <c r="CL208" s="16"/>
      <c r="CM208" s="16"/>
      <c r="CN208" s="16">
        <v>2674</v>
      </c>
      <c r="CO208" s="16">
        <f t="shared" si="180"/>
        <v>89</v>
      </c>
      <c r="CP208" s="16">
        <v>2585</v>
      </c>
      <c r="CQ208" s="16">
        <v>2403</v>
      </c>
      <c r="CR208" s="16">
        <f t="shared" si="181"/>
        <v>182</v>
      </c>
      <c r="CS208" s="16"/>
      <c r="CT208" s="16"/>
      <c r="CU208" s="78">
        <v>2009</v>
      </c>
      <c r="CV208" s="79" t="s">
        <v>46</v>
      </c>
      <c r="CW208" s="15">
        <f t="shared" si="199"/>
        <v>0.8666666666666667</v>
      </c>
      <c r="CX208" s="15">
        <f t="shared" si="200"/>
        <v>0.87624821683309562</v>
      </c>
      <c r="CY208" s="15">
        <f t="shared" si="201"/>
        <v>0.98906525573192239</v>
      </c>
      <c r="CZ208" s="16"/>
      <c r="DA208" s="16"/>
      <c r="DB208" s="16">
        <v>2835</v>
      </c>
      <c r="DC208" s="16">
        <f t="shared" si="182"/>
        <v>31</v>
      </c>
      <c r="DD208" s="16">
        <v>2804</v>
      </c>
      <c r="DE208" s="16">
        <v>2457</v>
      </c>
      <c r="DF208" s="16">
        <f t="shared" si="183"/>
        <v>347</v>
      </c>
      <c r="DG208" s="16"/>
      <c r="DH208" s="16"/>
      <c r="DI208" s="78">
        <v>2009</v>
      </c>
      <c r="DJ208" s="79" t="s">
        <v>46</v>
      </c>
      <c r="DK208" s="15">
        <f t="shared" si="184"/>
        <v>0.92105263157894735</v>
      </c>
      <c r="DL208" s="15">
        <f t="shared" si="185"/>
        <v>0.9288747346072187</v>
      </c>
      <c r="DM208" s="15">
        <f t="shared" si="186"/>
        <v>0.991578947368421</v>
      </c>
      <c r="DN208" s="16"/>
      <c r="DO208" s="16"/>
      <c r="DP208" s="16">
        <v>950</v>
      </c>
      <c r="DQ208" s="16">
        <f t="shared" si="187"/>
        <v>8</v>
      </c>
      <c r="DR208" s="16">
        <v>942</v>
      </c>
      <c r="DS208" s="16">
        <v>875</v>
      </c>
      <c r="DT208" s="16">
        <f t="shared" si="188"/>
        <v>67</v>
      </c>
      <c r="DU208" s="16"/>
      <c r="DV208" s="16"/>
      <c r="DW208" s="78">
        <v>2009</v>
      </c>
      <c r="DX208" s="79" t="s">
        <v>46</v>
      </c>
      <c r="DY208" s="15">
        <f t="shared" si="189"/>
        <v>0.97769516728624539</v>
      </c>
      <c r="DZ208" s="15">
        <f t="shared" si="190"/>
        <v>0.98872180451127822</v>
      </c>
      <c r="EA208" s="15">
        <f t="shared" si="191"/>
        <v>0.98884758364312264</v>
      </c>
      <c r="EB208" s="16"/>
      <c r="EC208" s="16"/>
      <c r="ED208" s="16">
        <v>1345</v>
      </c>
      <c r="EE208" s="16">
        <f t="shared" si="192"/>
        <v>15</v>
      </c>
      <c r="EF208" s="16">
        <v>1330</v>
      </c>
      <c r="EG208" s="16">
        <v>1315</v>
      </c>
      <c r="EH208" s="16">
        <f t="shared" si="193"/>
        <v>15</v>
      </c>
      <c r="EI208" s="16"/>
      <c r="EJ208" s="16"/>
      <c r="EK208" s="78"/>
      <c r="EL208" s="79"/>
      <c r="EM208" s="15"/>
      <c r="EN208" s="15"/>
      <c r="EO208" s="15"/>
      <c r="EP208" s="16"/>
      <c r="EQ208" s="16"/>
      <c r="ER208" s="16"/>
      <c r="ES208" s="16"/>
      <c r="ET208" s="16"/>
      <c r="EU208" s="16"/>
      <c r="EV208" s="16"/>
      <c r="EW208" s="16"/>
      <c r="EX208" s="16"/>
      <c r="EY208" s="78"/>
      <c r="EZ208" s="79"/>
      <c r="FA208" s="15"/>
      <c r="FB208" s="15"/>
      <c r="FC208" s="15"/>
      <c r="FD208" s="16"/>
      <c r="FE208" s="16"/>
      <c r="FF208" s="16"/>
      <c r="FG208" s="16"/>
      <c r="FH208" s="16"/>
      <c r="FI208" s="16"/>
      <c r="FJ208" s="16"/>
      <c r="FK208" s="16"/>
      <c r="FM208" s="78"/>
      <c r="FN208" s="79"/>
      <c r="FO208" s="15"/>
      <c r="FP208" s="15"/>
      <c r="FQ208" s="15"/>
      <c r="FR208" s="16"/>
      <c r="FS208" s="16"/>
      <c r="FT208" s="16"/>
      <c r="FU208" s="16"/>
      <c r="FV208" s="16"/>
      <c r="FW208" s="16"/>
      <c r="FX208" s="16"/>
      <c r="FY208" s="16"/>
      <c r="GA208" s="78"/>
      <c r="GB208" s="79"/>
      <c r="GC208" s="15"/>
      <c r="GD208" s="15"/>
      <c r="GE208" s="15"/>
      <c r="GF208" s="16"/>
      <c r="GG208" s="16"/>
      <c r="GH208" s="16"/>
      <c r="GI208" s="16"/>
      <c r="GJ208" s="16"/>
      <c r="GK208" s="16"/>
      <c r="GL208" s="16"/>
      <c r="GM208" s="16"/>
    </row>
    <row r="209" spans="1:195" s="18" customFormat="1" ht="15" customHeight="1">
      <c r="A209" s="80">
        <v>2009</v>
      </c>
      <c r="B209" s="81" t="s">
        <v>47</v>
      </c>
      <c r="C209" s="15">
        <f t="shared" si="194"/>
        <v>0.90389429763560503</v>
      </c>
      <c r="D209" s="15">
        <f t="shared" si="195"/>
        <v>0.93515276512062928</v>
      </c>
      <c r="E209" s="15">
        <f t="shared" si="196"/>
        <v>0.96657394529439034</v>
      </c>
      <c r="F209" s="16"/>
      <c r="G209" s="33"/>
      <c r="H20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21570</v>
      </c>
      <c r="I209" s="16">
        <f t="shared" si="197"/>
        <v>721</v>
      </c>
      <c r="J20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20849</v>
      </c>
      <c r="K20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19497</v>
      </c>
      <c r="L209" s="16">
        <f t="shared" si="198"/>
        <v>1352</v>
      </c>
      <c r="M209" s="16"/>
      <c r="N209" s="16"/>
      <c r="O209" s="80">
        <v>2009</v>
      </c>
      <c r="P209" s="81" t="s">
        <v>47</v>
      </c>
      <c r="Q209" s="15">
        <f t="shared" si="157"/>
        <v>0.90729745259528827</v>
      </c>
      <c r="R209" s="15">
        <f t="shared" si="158"/>
        <v>0.94381350866706515</v>
      </c>
      <c r="S209" s="15">
        <f t="shared" si="159"/>
        <v>0.96131009385175259</v>
      </c>
      <c r="T209" s="26"/>
      <c r="U209" s="26"/>
      <c r="V209" s="16">
        <v>5221</v>
      </c>
      <c r="W209" s="16">
        <f t="shared" si="160"/>
        <v>202</v>
      </c>
      <c r="X209" s="16">
        <v>5019</v>
      </c>
      <c r="Y209" s="16">
        <v>4737</v>
      </c>
      <c r="Z209" s="16">
        <f t="shared" si="161"/>
        <v>282</v>
      </c>
      <c r="AA209" s="16"/>
      <c r="AB209" s="16"/>
      <c r="AC209" s="80"/>
      <c r="AD209" s="81"/>
      <c r="AE209" s="15"/>
      <c r="AF209" s="15"/>
      <c r="AG209" s="15"/>
      <c r="AH209" s="15"/>
      <c r="AI209" s="15"/>
      <c r="AJ209" s="16"/>
      <c r="AK209" s="16"/>
      <c r="AL209" s="16"/>
      <c r="AM209" s="16"/>
      <c r="AN209" s="16"/>
      <c r="AO209" s="16"/>
      <c r="AP209" s="16"/>
      <c r="AQ209" s="80">
        <v>2009</v>
      </c>
      <c r="AR209" s="81" t="s">
        <v>47</v>
      </c>
      <c r="AS209" s="15">
        <f t="shared" si="162"/>
        <v>0.93263623567263221</v>
      </c>
      <c r="AT209" s="15">
        <f t="shared" si="163"/>
        <v>0.96766117254329231</v>
      </c>
      <c r="AU209" s="15">
        <f t="shared" si="164"/>
        <v>0.96380454454051878</v>
      </c>
      <c r="AV209" s="16"/>
      <c r="AW209" s="16"/>
      <c r="AX209" s="16">
        <v>4973</v>
      </c>
      <c r="AY209" s="16">
        <f t="shared" si="165"/>
        <v>180</v>
      </c>
      <c r="AZ209" s="16">
        <v>4793</v>
      </c>
      <c r="BA209" s="16">
        <v>4638</v>
      </c>
      <c r="BB209" s="16">
        <f t="shared" si="166"/>
        <v>155</v>
      </c>
      <c r="BC209" s="16"/>
      <c r="BD209" s="16"/>
      <c r="BE209" s="80">
        <v>2009</v>
      </c>
      <c r="BF209" s="81" t="s">
        <v>47</v>
      </c>
      <c r="BG209" s="15">
        <f t="shared" si="167"/>
        <v>0.73563218390804597</v>
      </c>
      <c r="BH209" s="15">
        <f t="shared" si="168"/>
        <v>0.84848484848484851</v>
      </c>
      <c r="BI209" s="15">
        <f t="shared" si="169"/>
        <v>0.86699507389162567</v>
      </c>
      <c r="BJ209" s="16"/>
      <c r="BK209" s="16"/>
      <c r="BL209" s="16">
        <v>609</v>
      </c>
      <c r="BM209" s="16">
        <f t="shared" si="170"/>
        <v>81</v>
      </c>
      <c r="BN209" s="16">
        <v>528</v>
      </c>
      <c r="BO209" s="16">
        <v>448</v>
      </c>
      <c r="BP209" s="16">
        <f t="shared" si="171"/>
        <v>80</v>
      </c>
      <c r="BQ209" s="16"/>
      <c r="BR209" s="16"/>
      <c r="BS209" s="80">
        <v>2009</v>
      </c>
      <c r="BT209" s="81" t="s">
        <v>47</v>
      </c>
      <c r="BU209" s="15">
        <f t="shared" si="172"/>
        <v>0.84427425237053244</v>
      </c>
      <c r="BV209" s="15">
        <f t="shared" si="173"/>
        <v>0.86606808829031057</v>
      </c>
      <c r="BW209" s="15">
        <f t="shared" si="174"/>
        <v>0.97483588621444206</v>
      </c>
      <c r="BX209" s="16"/>
      <c r="BY209" s="16"/>
      <c r="BZ209" s="16">
        <v>2742</v>
      </c>
      <c r="CA209" s="16">
        <f t="shared" si="175"/>
        <v>69</v>
      </c>
      <c r="CB209" s="16">
        <v>2673</v>
      </c>
      <c r="CC209" s="16">
        <v>2315</v>
      </c>
      <c r="CD209" s="16">
        <f t="shared" si="176"/>
        <v>358</v>
      </c>
      <c r="CE209" s="16"/>
      <c r="CF209" s="16"/>
      <c r="CG209" s="80">
        <v>2009</v>
      </c>
      <c r="CH209" s="81" t="s">
        <v>47</v>
      </c>
      <c r="CI209" s="15">
        <f t="shared" si="177"/>
        <v>0.92789512017479969</v>
      </c>
      <c r="CJ209" s="15">
        <f t="shared" si="178"/>
        <v>0.94897579143389199</v>
      </c>
      <c r="CK209" s="15">
        <f t="shared" si="179"/>
        <v>0.97778587035688269</v>
      </c>
      <c r="CL209" s="16"/>
      <c r="CM209" s="16"/>
      <c r="CN209" s="16">
        <v>2746</v>
      </c>
      <c r="CO209" s="16">
        <f t="shared" si="180"/>
        <v>61</v>
      </c>
      <c r="CP209" s="16">
        <v>2685</v>
      </c>
      <c r="CQ209" s="16">
        <v>2548</v>
      </c>
      <c r="CR209" s="16">
        <f t="shared" si="181"/>
        <v>137</v>
      </c>
      <c r="CS209" s="16"/>
      <c r="CT209" s="16"/>
      <c r="CU209" s="80">
        <v>2009</v>
      </c>
      <c r="CV209" s="81" t="s">
        <v>47</v>
      </c>
      <c r="CW209" s="15">
        <f t="shared" si="199"/>
        <v>0.869639794168096</v>
      </c>
      <c r="CX209" s="15">
        <f t="shared" si="200"/>
        <v>0.89989350372736954</v>
      </c>
      <c r="CY209" s="15">
        <f t="shared" si="201"/>
        <v>0.9663807890222984</v>
      </c>
      <c r="CZ209" s="16"/>
      <c r="DA209" s="16"/>
      <c r="DB209" s="16">
        <v>2915</v>
      </c>
      <c r="DC209" s="16">
        <f t="shared" si="182"/>
        <v>98</v>
      </c>
      <c r="DD209" s="16">
        <v>2817</v>
      </c>
      <c r="DE209" s="16">
        <v>2535</v>
      </c>
      <c r="DF209" s="16">
        <f t="shared" si="183"/>
        <v>282</v>
      </c>
      <c r="DG209" s="16"/>
      <c r="DH209" s="16"/>
      <c r="DI209" s="80">
        <v>2009</v>
      </c>
      <c r="DJ209" s="81" t="s">
        <v>47</v>
      </c>
      <c r="DK209" s="15">
        <f t="shared" si="184"/>
        <v>0.93877551020408168</v>
      </c>
      <c r="DL209" s="15">
        <f t="shared" si="185"/>
        <v>0.95041322314049592</v>
      </c>
      <c r="DM209" s="15">
        <f t="shared" si="186"/>
        <v>0.98775510204081629</v>
      </c>
      <c r="DN209" s="16"/>
      <c r="DO209" s="16"/>
      <c r="DP209" s="16">
        <v>980</v>
      </c>
      <c r="DQ209" s="16">
        <f t="shared" si="187"/>
        <v>12</v>
      </c>
      <c r="DR209" s="16">
        <v>968</v>
      </c>
      <c r="DS209" s="16">
        <v>920</v>
      </c>
      <c r="DT209" s="16">
        <f t="shared" si="188"/>
        <v>48</v>
      </c>
      <c r="DU209" s="16"/>
      <c r="DV209" s="16"/>
      <c r="DW209" s="80">
        <v>2009</v>
      </c>
      <c r="DX209" s="81" t="s">
        <v>47</v>
      </c>
      <c r="DY209" s="15">
        <f t="shared" si="189"/>
        <v>0.97976878612716767</v>
      </c>
      <c r="DZ209" s="15">
        <f t="shared" si="190"/>
        <v>0.9926793557833089</v>
      </c>
      <c r="EA209" s="15">
        <f t="shared" si="191"/>
        <v>0.98699421965317924</v>
      </c>
      <c r="EB209" s="16"/>
      <c r="EC209" s="16"/>
      <c r="ED209" s="16">
        <v>1384</v>
      </c>
      <c r="EE209" s="16">
        <f t="shared" si="192"/>
        <v>18</v>
      </c>
      <c r="EF209" s="16">
        <v>1366</v>
      </c>
      <c r="EG209" s="16">
        <v>1356</v>
      </c>
      <c r="EH209" s="16">
        <f t="shared" si="193"/>
        <v>10</v>
      </c>
      <c r="EI209" s="16"/>
      <c r="EJ209" s="16"/>
      <c r="EK209" s="80"/>
      <c r="EL209" s="81"/>
      <c r="EM209" s="15"/>
      <c r="EN209" s="15"/>
      <c r="EO209" s="15"/>
      <c r="EP209" s="16"/>
      <c r="EQ209" s="16"/>
      <c r="ER209" s="16"/>
      <c r="ES209" s="16"/>
      <c r="ET209" s="16"/>
      <c r="EU209" s="16"/>
      <c r="EV209" s="16"/>
      <c r="EW209" s="16"/>
      <c r="EX209" s="16"/>
      <c r="EY209" s="80"/>
      <c r="EZ209" s="81"/>
      <c r="FA209" s="15"/>
      <c r="FB209" s="15"/>
      <c r="FC209" s="15"/>
      <c r="FD209" s="16"/>
      <c r="FE209" s="16"/>
      <c r="FF209" s="16"/>
      <c r="FG209" s="16"/>
      <c r="FH209" s="16"/>
      <c r="FI209" s="16"/>
      <c r="FJ209" s="16"/>
      <c r="FK209" s="16"/>
      <c r="FM209" s="80"/>
      <c r="FN209" s="81"/>
      <c r="FO209" s="15"/>
      <c r="FP209" s="15"/>
      <c r="FQ209" s="15"/>
      <c r="FR209" s="16"/>
      <c r="FS209" s="16"/>
      <c r="FT209" s="16"/>
      <c r="FU209" s="16"/>
      <c r="FV209" s="16"/>
      <c r="FW209" s="16"/>
      <c r="FX209" s="16"/>
      <c r="FY209" s="16"/>
      <c r="GA209" s="80"/>
      <c r="GB209" s="81"/>
      <c r="GC209" s="15"/>
      <c r="GD209" s="15"/>
      <c r="GE209" s="15"/>
      <c r="GF209" s="16"/>
      <c r="GG209" s="16"/>
      <c r="GH209" s="16"/>
      <c r="GI209" s="16"/>
      <c r="GJ209" s="16"/>
      <c r="GK209" s="16"/>
      <c r="GL209" s="16"/>
      <c r="GM209" s="16"/>
    </row>
    <row r="210" spans="1:195" s="18" customFormat="1" ht="15" customHeight="1">
      <c r="A210" s="78">
        <v>2010</v>
      </c>
      <c r="B210" s="79" t="s">
        <v>36</v>
      </c>
      <c r="C210" s="15">
        <f t="shared" si="194"/>
        <v>0.89246057665391432</v>
      </c>
      <c r="D210" s="15">
        <f t="shared" si="195"/>
        <v>0.92881767419276529</v>
      </c>
      <c r="E210" s="15">
        <f t="shared" si="196"/>
        <v>0.96085658299897359</v>
      </c>
      <c r="F210" s="16"/>
      <c r="G210" s="33"/>
      <c r="H21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21434</v>
      </c>
      <c r="I210" s="16">
        <f t="shared" si="197"/>
        <v>839</v>
      </c>
      <c r="J21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20595</v>
      </c>
      <c r="K21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19129</v>
      </c>
      <c r="L210" s="16">
        <f t="shared" si="198"/>
        <v>1466</v>
      </c>
      <c r="M210" s="16"/>
      <c r="N210" s="16"/>
      <c r="O210" s="78">
        <v>2010</v>
      </c>
      <c r="P210" s="79" t="s">
        <v>36</v>
      </c>
      <c r="Q210" s="15">
        <f t="shared" si="157"/>
        <v>0.90568225744105146</v>
      </c>
      <c r="R210" s="15">
        <f t="shared" si="158"/>
        <v>0.95887047268262737</v>
      </c>
      <c r="S210" s="15">
        <f t="shared" si="159"/>
        <v>0.94453034402783143</v>
      </c>
      <c r="T210" s="26"/>
      <c r="U210" s="26"/>
      <c r="V210" s="16">
        <v>5174</v>
      </c>
      <c r="W210" s="16">
        <f t="shared" ref="W210:W221" si="202">V210-X210</f>
        <v>287</v>
      </c>
      <c r="X210" s="16">
        <v>4887</v>
      </c>
      <c r="Y210" s="16">
        <v>4686</v>
      </c>
      <c r="Z210" s="16">
        <f t="shared" ref="Z210:Z221" si="203">X210-Y210</f>
        <v>201</v>
      </c>
      <c r="AA210" s="16"/>
      <c r="AB210" s="16"/>
      <c r="AC210" s="78"/>
      <c r="AD210" s="79"/>
      <c r="AE210" s="15"/>
      <c r="AF210" s="15"/>
      <c r="AG210" s="15"/>
      <c r="AH210" s="15"/>
      <c r="AI210" s="15"/>
      <c r="AJ210" s="16"/>
      <c r="AK210" s="16"/>
      <c r="AL210" s="16"/>
      <c r="AM210" s="16"/>
      <c r="AN210" s="16"/>
      <c r="AO210" s="16"/>
      <c r="AP210" s="16"/>
      <c r="AQ210" s="78">
        <v>2010</v>
      </c>
      <c r="AR210" s="79" t="s">
        <v>36</v>
      </c>
      <c r="AS210" s="15">
        <f t="shared" si="162"/>
        <v>0.91906110886280856</v>
      </c>
      <c r="AT210" s="15">
        <f t="shared" si="163"/>
        <v>0.96310432569974558</v>
      </c>
      <c r="AU210" s="15">
        <f t="shared" si="164"/>
        <v>0.95426952650748686</v>
      </c>
      <c r="AV210" s="16"/>
      <c r="AW210" s="16"/>
      <c r="AX210" s="16">
        <v>4942</v>
      </c>
      <c r="AY210" s="16">
        <f t="shared" ref="AY210:AY221" si="204">AX210-AZ210</f>
        <v>226</v>
      </c>
      <c r="AZ210" s="16">
        <v>4716</v>
      </c>
      <c r="BA210" s="16">
        <v>4542</v>
      </c>
      <c r="BB210" s="16">
        <f t="shared" ref="BB210:BB221" si="205">AZ210-BA210</f>
        <v>174</v>
      </c>
      <c r="BC210" s="16"/>
      <c r="BD210" s="16"/>
      <c r="BE210" s="78">
        <v>2010</v>
      </c>
      <c r="BF210" s="79" t="s">
        <v>36</v>
      </c>
      <c r="BG210" s="15">
        <f t="shared" si="167"/>
        <v>0.75344827586206897</v>
      </c>
      <c r="BH210" s="15">
        <f t="shared" si="168"/>
        <v>0.85686274509803917</v>
      </c>
      <c r="BI210" s="15">
        <f t="shared" si="169"/>
        <v>0.87931034482758619</v>
      </c>
      <c r="BJ210" s="16"/>
      <c r="BK210" s="16"/>
      <c r="BL210" s="16">
        <v>580</v>
      </c>
      <c r="BM210" s="16">
        <f t="shared" ref="BM210:BM221" si="206">BL210-BN210</f>
        <v>70</v>
      </c>
      <c r="BN210" s="16">
        <v>510</v>
      </c>
      <c r="BO210" s="16">
        <v>437</v>
      </c>
      <c r="BP210" s="16">
        <f t="shared" ref="BP210:BP221" si="207">BN210-BO210</f>
        <v>73</v>
      </c>
      <c r="BQ210" s="16"/>
      <c r="BR210" s="16"/>
      <c r="BS210" s="78">
        <v>2010</v>
      </c>
      <c r="BT210" s="79" t="s">
        <v>36</v>
      </c>
      <c r="BU210" s="15">
        <f t="shared" si="172"/>
        <v>0.81808199121522696</v>
      </c>
      <c r="BV210" s="15">
        <f t="shared" si="173"/>
        <v>0.83364416262588581</v>
      </c>
      <c r="BW210" s="15">
        <f t="shared" si="174"/>
        <v>0.98133235724743773</v>
      </c>
      <c r="BX210" s="16"/>
      <c r="BY210" s="16"/>
      <c r="BZ210" s="16">
        <v>2732</v>
      </c>
      <c r="CA210" s="16">
        <f t="shared" ref="CA210:CA221" si="208">BZ210-CB210</f>
        <v>51</v>
      </c>
      <c r="CB210" s="16">
        <v>2681</v>
      </c>
      <c r="CC210" s="16">
        <v>2235</v>
      </c>
      <c r="CD210" s="16">
        <f t="shared" ref="CD210:CD221" si="209">CB210-CC210</f>
        <v>446</v>
      </c>
      <c r="CE210" s="16"/>
      <c r="CF210" s="16"/>
      <c r="CG210" s="78">
        <v>2010</v>
      </c>
      <c r="CH210" s="79" t="s">
        <v>36</v>
      </c>
      <c r="CI210" s="15">
        <f t="shared" si="177"/>
        <v>0.91487029594446478</v>
      </c>
      <c r="CJ210" s="15">
        <f t="shared" si="178"/>
        <v>0.93224125093075205</v>
      </c>
      <c r="CK210" s="15">
        <f t="shared" si="179"/>
        <v>0.98136645962732916</v>
      </c>
      <c r="CL210" s="16"/>
      <c r="CM210" s="16"/>
      <c r="CN210" s="16">
        <v>2737</v>
      </c>
      <c r="CO210" s="16">
        <f t="shared" ref="CO210:CO221" si="210">CN210-CP210</f>
        <v>51</v>
      </c>
      <c r="CP210" s="16">
        <v>2686</v>
      </c>
      <c r="CQ210" s="16">
        <v>2504</v>
      </c>
      <c r="CR210" s="16">
        <f t="shared" ref="CR210:CR221" si="211">CP210-CQ210</f>
        <v>182</v>
      </c>
      <c r="CS210" s="16"/>
      <c r="CT210" s="16"/>
      <c r="CU210" s="78">
        <v>2010</v>
      </c>
      <c r="CV210" s="79" t="s">
        <v>36</v>
      </c>
      <c r="CW210" s="15">
        <f t="shared" si="199"/>
        <v>0.85060240963855427</v>
      </c>
      <c r="CX210" s="15">
        <f t="shared" si="200"/>
        <v>0.8878907653611211</v>
      </c>
      <c r="CY210" s="15">
        <f t="shared" si="201"/>
        <v>0.95800344234079171</v>
      </c>
      <c r="CZ210" s="16"/>
      <c r="DA210" s="16"/>
      <c r="DB210" s="16">
        <v>2905</v>
      </c>
      <c r="DC210" s="16">
        <f t="shared" si="182"/>
        <v>122</v>
      </c>
      <c r="DD210" s="16">
        <v>2783</v>
      </c>
      <c r="DE210" s="16">
        <v>2471</v>
      </c>
      <c r="DF210" s="16">
        <f t="shared" si="183"/>
        <v>312</v>
      </c>
      <c r="DG210" s="16"/>
      <c r="DH210" s="16"/>
      <c r="DI210" s="78">
        <v>2010</v>
      </c>
      <c r="DJ210" s="79" t="s">
        <v>36</v>
      </c>
      <c r="DK210" s="15">
        <f t="shared" si="184"/>
        <v>0.92244897959183669</v>
      </c>
      <c r="DL210" s="15">
        <f t="shared" si="185"/>
        <v>0.93581780538302273</v>
      </c>
      <c r="DM210" s="15">
        <f t="shared" si="186"/>
        <v>0.98571428571428577</v>
      </c>
      <c r="DN210" s="16"/>
      <c r="DO210" s="16"/>
      <c r="DP210" s="16">
        <v>980</v>
      </c>
      <c r="DQ210" s="16">
        <f t="shared" ref="DQ210:DQ221" si="212">DP210-DR210</f>
        <v>14</v>
      </c>
      <c r="DR210" s="16">
        <v>966</v>
      </c>
      <c r="DS210" s="16">
        <v>904</v>
      </c>
      <c r="DT210" s="16">
        <f t="shared" ref="DT210:DT221" si="213">DR210-DS210</f>
        <v>62</v>
      </c>
      <c r="DU210" s="16"/>
      <c r="DV210" s="16"/>
      <c r="DW210" s="78">
        <v>2010</v>
      </c>
      <c r="DX210" s="79" t="s">
        <v>36</v>
      </c>
      <c r="DY210" s="15">
        <f t="shared" si="189"/>
        <v>0.97543352601156075</v>
      </c>
      <c r="DZ210" s="15">
        <f t="shared" si="190"/>
        <v>0.98828696925329429</v>
      </c>
      <c r="EA210" s="15">
        <f t="shared" si="191"/>
        <v>0.98699421965317924</v>
      </c>
      <c r="EB210" s="16"/>
      <c r="EC210" s="16"/>
      <c r="ED210" s="16">
        <v>1384</v>
      </c>
      <c r="EE210" s="16">
        <f t="shared" ref="EE210:EE221" si="214">ED210-EF210</f>
        <v>18</v>
      </c>
      <c r="EF210" s="16">
        <v>1366</v>
      </c>
      <c r="EG210" s="16">
        <v>1350</v>
      </c>
      <c r="EH210" s="16">
        <f t="shared" ref="EH210:EH221" si="215">EF210-EG210</f>
        <v>16</v>
      </c>
      <c r="EI210" s="16"/>
      <c r="EJ210" s="16"/>
      <c r="EK210" s="78"/>
      <c r="EL210" s="79"/>
      <c r="EM210" s="15"/>
      <c r="EN210" s="15"/>
      <c r="EO210" s="15"/>
      <c r="EP210" s="16"/>
      <c r="EQ210" s="16"/>
      <c r="ER210" s="16"/>
      <c r="ES210" s="16"/>
      <c r="ET210" s="16"/>
      <c r="EU210" s="16"/>
      <c r="EV210" s="16"/>
      <c r="EW210" s="16"/>
      <c r="EX210" s="16"/>
      <c r="EY210" s="78"/>
      <c r="EZ210" s="79"/>
      <c r="FA210" s="15"/>
      <c r="FB210" s="15"/>
      <c r="FC210" s="15"/>
      <c r="FD210" s="16"/>
      <c r="FE210" s="16"/>
      <c r="FF210" s="16"/>
      <c r="FG210" s="16"/>
      <c r="FH210" s="16"/>
      <c r="FI210" s="16"/>
      <c r="FJ210" s="16"/>
      <c r="FK210" s="16"/>
      <c r="FM210" s="78"/>
      <c r="FN210" s="79"/>
      <c r="FO210" s="15"/>
      <c r="FP210" s="15"/>
      <c r="FQ210" s="15"/>
      <c r="FR210" s="16"/>
      <c r="FS210" s="16"/>
      <c r="FT210" s="16"/>
      <c r="FU210" s="16"/>
      <c r="FV210" s="16"/>
      <c r="FW210" s="16"/>
      <c r="FX210" s="16"/>
      <c r="FY210" s="16"/>
      <c r="GA210" s="78"/>
      <c r="GB210" s="79"/>
      <c r="GC210" s="15"/>
      <c r="GD210" s="15"/>
      <c r="GE210" s="15"/>
      <c r="GF210" s="16"/>
      <c r="GG210" s="16"/>
      <c r="GH210" s="16"/>
      <c r="GI210" s="16"/>
      <c r="GJ210" s="16"/>
      <c r="GK210" s="16"/>
      <c r="GL210" s="16"/>
      <c r="GM210" s="16"/>
    </row>
    <row r="211" spans="1:195" s="18" customFormat="1" ht="15" customHeight="1">
      <c r="A211" s="80">
        <v>2010</v>
      </c>
      <c r="B211" s="81" t="s">
        <v>37</v>
      </c>
      <c r="C211" s="15">
        <f t="shared" si="194"/>
        <v>0.90774349667271625</v>
      </c>
      <c r="D211" s="15">
        <f t="shared" si="195"/>
        <v>0.93247022268254787</v>
      </c>
      <c r="E211" s="15">
        <f t="shared" si="196"/>
        <v>0.97348255696713049</v>
      </c>
      <c r="F211" s="16"/>
      <c r="G211" s="33"/>
      <c r="H21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19836</v>
      </c>
      <c r="I211" s="16">
        <f t="shared" si="197"/>
        <v>526</v>
      </c>
      <c r="J21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19310</v>
      </c>
      <c r="K21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18006</v>
      </c>
      <c r="L211" s="16">
        <f t="shared" si="198"/>
        <v>1304</v>
      </c>
      <c r="M211" s="16"/>
      <c r="N211" s="16"/>
      <c r="O211" s="80">
        <v>2010</v>
      </c>
      <c r="P211" s="81" t="s">
        <v>37</v>
      </c>
      <c r="Q211" s="15">
        <f t="shared" si="157"/>
        <v>0.92293388429752066</v>
      </c>
      <c r="R211" s="15">
        <f t="shared" si="158"/>
        <v>0.95714591814870364</v>
      </c>
      <c r="S211" s="15">
        <f t="shared" si="159"/>
        <v>0.96425619834710741</v>
      </c>
      <c r="T211" s="26"/>
      <c r="U211" s="26"/>
      <c r="V211" s="16">
        <v>4840</v>
      </c>
      <c r="W211" s="16">
        <f t="shared" si="202"/>
        <v>173</v>
      </c>
      <c r="X211" s="16">
        <v>4667</v>
      </c>
      <c r="Y211" s="16">
        <v>4467</v>
      </c>
      <c r="Z211" s="16">
        <f t="shared" si="203"/>
        <v>200</v>
      </c>
      <c r="AA211" s="16"/>
      <c r="AB211" s="16"/>
      <c r="AC211" s="80"/>
      <c r="AD211" s="81"/>
      <c r="AE211" s="15"/>
      <c r="AF211" s="15"/>
      <c r="AG211" s="15"/>
      <c r="AH211" s="15"/>
      <c r="AI211" s="15"/>
      <c r="AJ211" s="16"/>
      <c r="AK211" s="16"/>
      <c r="AL211" s="16"/>
      <c r="AM211" s="16"/>
      <c r="AN211" s="16"/>
      <c r="AO211" s="16"/>
      <c r="AP211" s="16"/>
      <c r="AQ211" s="80">
        <v>2010</v>
      </c>
      <c r="AR211" s="81" t="s">
        <v>37</v>
      </c>
      <c r="AS211" s="15">
        <f t="shared" si="162"/>
        <v>0.9378260869565217</v>
      </c>
      <c r="AT211" s="15">
        <f t="shared" si="163"/>
        <v>0.96251673360107093</v>
      </c>
      <c r="AU211" s="15">
        <f t="shared" si="164"/>
        <v>0.97434782608695647</v>
      </c>
      <c r="AV211" s="16"/>
      <c r="AW211" s="16"/>
      <c r="AX211" s="16">
        <v>4600</v>
      </c>
      <c r="AY211" s="16">
        <f t="shared" si="204"/>
        <v>118</v>
      </c>
      <c r="AZ211" s="16">
        <v>4482</v>
      </c>
      <c r="BA211" s="16">
        <v>4314</v>
      </c>
      <c r="BB211" s="16">
        <f t="shared" si="205"/>
        <v>168</v>
      </c>
      <c r="BC211" s="16"/>
      <c r="BD211" s="16"/>
      <c r="BE211" s="80">
        <v>2010</v>
      </c>
      <c r="BF211" s="81" t="s">
        <v>37</v>
      </c>
      <c r="BG211" s="15">
        <f t="shared" si="167"/>
        <v>0.84827586206896555</v>
      </c>
      <c r="BH211" s="15">
        <f t="shared" si="168"/>
        <v>0.89292196007259528</v>
      </c>
      <c r="BI211" s="15">
        <f t="shared" si="169"/>
        <v>0.95</v>
      </c>
      <c r="BJ211" s="16"/>
      <c r="BK211" s="16"/>
      <c r="BL211" s="16">
        <v>580</v>
      </c>
      <c r="BM211" s="16">
        <f t="shared" si="206"/>
        <v>29</v>
      </c>
      <c r="BN211" s="16">
        <v>551</v>
      </c>
      <c r="BO211" s="16">
        <v>492</v>
      </c>
      <c r="BP211" s="16">
        <f t="shared" si="207"/>
        <v>59</v>
      </c>
      <c r="BQ211" s="16"/>
      <c r="BR211" s="16"/>
      <c r="BS211" s="80">
        <v>2010</v>
      </c>
      <c r="BT211" s="81" t="s">
        <v>37</v>
      </c>
      <c r="BU211" s="15">
        <f t="shared" si="172"/>
        <v>0.81030351437699677</v>
      </c>
      <c r="BV211" s="15">
        <f t="shared" si="173"/>
        <v>0.83429276315789469</v>
      </c>
      <c r="BW211" s="15">
        <f t="shared" si="174"/>
        <v>0.97124600638977632</v>
      </c>
      <c r="BX211" s="16"/>
      <c r="BY211" s="16"/>
      <c r="BZ211" s="16">
        <v>2504</v>
      </c>
      <c r="CA211" s="16">
        <f t="shared" si="208"/>
        <v>72</v>
      </c>
      <c r="CB211" s="16">
        <v>2432</v>
      </c>
      <c r="CC211" s="16">
        <v>2029</v>
      </c>
      <c r="CD211" s="16">
        <f t="shared" si="209"/>
        <v>403</v>
      </c>
      <c r="CE211" s="16"/>
      <c r="CF211" s="16"/>
      <c r="CG211" s="80">
        <v>2010</v>
      </c>
      <c r="CH211" s="81" t="s">
        <v>37</v>
      </c>
      <c r="CI211" s="15">
        <f t="shared" si="177"/>
        <v>0.92304625199362045</v>
      </c>
      <c r="CJ211" s="15">
        <f t="shared" si="178"/>
        <v>0.94067452255180817</v>
      </c>
      <c r="CK211" s="15">
        <f t="shared" si="179"/>
        <v>0.98125996810207339</v>
      </c>
      <c r="CL211" s="16"/>
      <c r="CM211" s="16"/>
      <c r="CN211" s="16">
        <v>2508</v>
      </c>
      <c r="CO211" s="16">
        <f t="shared" si="210"/>
        <v>47</v>
      </c>
      <c r="CP211" s="16">
        <v>2461</v>
      </c>
      <c r="CQ211" s="16">
        <v>2315</v>
      </c>
      <c r="CR211" s="16">
        <f t="shared" si="211"/>
        <v>146</v>
      </c>
      <c r="CS211" s="16"/>
      <c r="CT211" s="16"/>
      <c r="CU211" s="80">
        <v>2010</v>
      </c>
      <c r="CV211" s="81" t="s">
        <v>37</v>
      </c>
      <c r="CW211" s="15">
        <f t="shared" si="199"/>
        <v>0.88177710843373491</v>
      </c>
      <c r="CX211" s="15">
        <f t="shared" si="200"/>
        <v>0.8959449120122418</v>
      </c>
      <c r="CY211" s="15">
        <f t="shared" si="201"/>
        <v>0.98418674698795183</v>
      </c>
      <c r="CZ211" s="16"/>
      <c r="DA211" s="16"/>
      <c r="DB211" s="16">
        <v>2656</v>
      </c>
      <c r="DC211" s="16">
        <f t="shared" si="182"/>
        <v>42</v>
      </c>
      <c r="DD211" s="16">
        <v>2614</v>
      </c>
      <c r="DE211" s="16">
        <v>2342</v>
      </c>
      <c r="DF211" s="16">
        <f t="shared" si="183"/>
        <v>272</v>
      </c>
      <c r="DG211" s="16"/>
      <c r="DH211" s="16"/>
      <c r="DI211" s="80">
        <v>2010</v>
      </c>
      <c r="DJ211" s="81" t="s">
        <v>37</v>
      </c>
      <c r="DK211" s="15">
        <f t="shared" si="184"/>
        <v>0.93355855855855852</v>
      </c>
      <c r="DL211" s="15">
        <f t="shared" si="185"/>
        <v>0.95397008055235899</v>
      </c>
      <c r="DM211" s="15">
        <f t="shared" si="186"/>
        <v>0.97860360360360366</v>
      </c>
      <c r="DN211" s="16"/>
      <c r="DO211" s="16"/>
      <c r="DP211" s="16">
        <v>888</v>
      </c>
      <c r="DQ211" s="16">
        <f t="shared" si="212"/>
        <v>19</v>
      </c>
      <c r="DR211" s="16">
        <v>869</v>
      </c>
      <c r="DS211" s="16">
        <v>829</v>
      </c>
      <c r="DT211" s="16">
        <f t="shared" si="213"/>
        <v>40</v>
      </c>
      <c r="DU211" s="16"/>
      <c r="DV211" s="16"/>
      <c r="DW211" s="80">
        <v>2010</v>
      </c>
      <c r="DX211" s="81" t="s">
        <v>37</v>
      </c>
      <c r="DY211" s="15">
        <f t="shared" si="189"/>
        <v>0.96666666666666667</v>
      </c>
      <c r="DZ211" s="15">
        <f t="shared" si="190"/>
        <v>0.98703403565640191</v>
      </c>
      <c r="EA211" s="15">
        <f t="shared" si="191"/>
        <v>0.97936507936507933</v>
      </c>
      <c r="EB211" s="16"/>
      <c r="EC211" s="16"/>
      <c r="ED211" s="16">
        <v>1260</v>
      </c>
      <c r="EE211" s="16">
        <f t="shared" si="214"/>
        <v>26</v>
      </c>
      <c r="EF211" s="16">
        <v>1234</v>
      </c>
      <c r="EG211" s="16">
        <v>1218</v>
      </c>
      <c r="EH211" s="16">
        <f t="shared" si="215"/>
        <v>16</v>
      </c>
      <c r="EI211" s="16"/>
      <c r="EJ211" s="16"/>
      <c r="EK211" s="80"/>
      <c r="EL211" s="81"/>
      <c r="EM211" s="15"/>
      <c r="EN211" s="15"/>
      <c r="EO211" s="15"/>
      <c r="EP211" s="16"/>
      <c r="EQ211" s="16"/>
      <c r="ER211" s="16"/>
      <c r="ES211" s="16"/>
      <c r="ET211" s="16"/>
      <c r="EU211" s="16"/>
      <c r="EV211" s="16"/>
      <c r="EW211" s="16"/>
      <c r="EX211" s="16"/>
      <c r="EY211" s="80"/>
      <c r="EZ211" s="81"/>
      <c r="FA211" s="15"/>
      <c r="FB211" s="15"/>
      <c r="FC211" s="15"/>
      <c r="FD211" s="16"/>
      <c r="FE211" s="16"/>
      <c r="FF211" s="16"/>
      <c r="FG211" s="16"/>
      <c r="FH211" s="16"/>
      <c r="FI211" s="16"/>
      <c r="FJ211" s="16"/>
      <c r="FK211" s="16"/>
      <c r="FM211" s="80"/>
      <c r="FN211" s="81"/>
      <c r="FO211" s="15"/>
      <c r="FP211" s="15"/>
      <c r="FQ211" s="15"/>
      <c r="FR211" s="16"/>
      <c r="FS211" s="16"/>
      <c r="FT211" s="16"/>
      <c r="FU211" s="16"/>
      <c r="FV211" s="16"/>
      <c r="FW211" s="16"/>
      <c r="FX211" s="16"/>
      <c r="FY211" s="16"/>
      <c r="GA211" s="80"/>
      <c r="GB211" s="81"/>
      <c r="GC211" s="15"/>
      <c r="GD211" s="15"/>
      <c r="GE211" s="15"/>
      <c r="GF211" s="16"/>
      <c r="GG211" s="16"/>
      <c r="GH211" s="16"/>
      <c r="GI211" s="16"/>
      <c r="GJ211" s="16"/>
      <c r="GK211" s="16"/>
      <c r="GL211" s="16"/>
      <c r="GM211" s="16"/>
    </row>
    <row r="212" spans="1:195" s="18" customFormat="1" ht="15" customHeight="1">
      <c r="A212" s="78">
        <v>2010</v>
      </c>
      <c r="B212" s="79" t="s">
        <v>38</v>
      </c>
      <c r="C212" s="15">
        <f t="shared" si="194"/>
        <v>0.92321771758030569</v>
      </c>
      <c r="D212" s="15">
        <f t="shared" si="195"/>
        <v>0.93763360907147508</v>
      </c>
      <c r="E212" s="15">
        <f t="shared" si="196"/>
        <v>0.98462524023062137</v>
      </c>
      <c r="F212" s="16"/>
      <c r="G212" s="33"/>
      <c r="H21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21854</v>
      </c>
      <c r="I212" s="16">
        <f t="shared" si="197"/>
        <v>336</v>
      </c>
      <c r="J21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21518</v>
      </c>
      <c r="K21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20176</v>
      </c>
      <c r="L212" s="16">
        <f t="shared" si="198"/>
        <v>1342</v>
      </c>
      <c r="M212" s="16"/>
      <c r="N212" s="16"/>
      <c r="O212" s="78">
        <v>2010</v>
      </c>
      <c r="P212" s="79" t="s">
        <v>38</v>
      </c>
      <c r="Q212" s="15">
        <f t="shared" si="157"/>
        <v>0.92894736842105263</v>
      </c>
      <c r="R212" s="15">
        <f t="shared" si="158"/>
        <v>0.94674329501915711</v>
      </c>
      <c r="S212" s="15">
        <f t="shared" si="159"/>
        <v>0.98120300751879697</v>
      </c>
      <c r="T212" s="26"/>
      <c r="U212" s="26"/>
      <c r="V212" s="16">
        <v>5320</v>
      </c>
      <c r="W212" s="16">
        <f t="shared" si="202"/>
        <v>100</v>
      </c>
      <c r="X212" s="16">
        <v>5220</v>
      </c>
      <c r="Y212" s="16">
        <v>4942</v>
      </c>
      <c r="Z212" s="16">
        <f t="shared" si="203"/>
        <v>278</v>
      </c>
      <c r="AA212" s="16"/>
      <c r="AB212" s="16"/>
      <c r="AC212" s="78"/>
      <c r="AD212" s="79"/>
      <c r="AE212" s="15"/>
      <c r="AF212" s="15"/>
      <c r="AG212" s="15"/>
      <c r="AH212" s="15"/>
      <c r="AI212" s="15"/>
      <c r="AJ212" s="16"/>
      <c r="AK212" s="16"/>
      <c r="AL212" s="16"/>
      <c r="AM212" s="16"/>
      <c r="AN212" s="16"/>
      <c r="AO212" s="16"/>
      <c r="AP212" s="16"/>
      <c r="AQ212" s="78">
        <v>2010</v>
      </c>
      <c r="AR212" s="79" t="s">
        <v>38</v>
      </c>
      <c r="AS212" s="15">
        <f t="shared" si="162"/>
        <v>0.95115681233933158</v>
      </c>
      <c r="AT212" s="15">
        <f t="shared" si="163"/>
        <v>0.96392785571142281</v>
      </c>
      <c r="AU212" s="15">
        <f t="shared" si="164"/>
        <v>0.98675103816491994</v>
      </c>
      <c r="AV212" s="16"/>
      <c r="AW212" s="16"/>
      <c r="AX212" s="16">
        <v>5057</v>
      </c>
      <c r="AY212" s="16">
        <f t="shared" si="204"/>
        <v>67</v>
      </c>
      <c r="AZ212" s="16">
        <v>4990</v>
      </c>
      <c r="BA212" s="16">
        <v>4810</v>
      </c>
      <c r="BB212" s="16">
        <f t="shared" si="205"/>
        <v>180</v>
      </c>
      <c r="BC212" s="16"/>
      <c r="BD212" s="16"/>
      <c r="BE212" s="78">
        <v>2010</v>
      </c>
      <c r="BF212" s="79" t="s">
        <v>38</v>
      </c>
      <c r="BG212" s="15">
        <f t="shared" si="167"/>
        <v>0.81661442006269591</v>
      </c>
      <c r="BH212" s="15">
        <f t="shared" si="168"/>
        <v>0.84715447154471546</v>
      </c>
      <c r="BI212" s="15">
        <f t="shared" si="169"/>
        <v>0.96394984326018807</v>
      </c>
      <c r="BJ212" s="16"/>
      <c r="BK212" s="16"/>
      <c r="BL212" s="16">
        <v>638</v>
      </c>
      <c r="BM212" s="16">
        <f t="shared" si="206"/>
        <v>23</v>
      </c>
      <c r="BN212" s="16">
        <v>615</v>
      </c>
      <c r="BO212" s="16">
        <v>521</v>
      </c>
      <c r="BP212" s="16">
        <f t="shared" si="207"/>
        <v>94</v>
      </c>
      <c r="BQ212" s="16"/>
      <c r="BR212" s="16"/>
      <c r="BS212" s="78">
        <v>2010</v>
      </c>
      <c r="BT212" s="79" t="s">
        <v>38</v>
      </c>
      <c r="BU212" s="15">
        <f t="shared" si="172"/>
        <v>0.8578147612156295</v>
      </c>
      <c r="BV212" s="15">
        <f t="shared" si="173"/>
        <v>0.8758773550055412</v>
      </c>
      <c r="BW212" s="15">
        <f t="shared" si="174"/>
        <v>0.97937771345875546</v>
      </c>
      <c r="BX212" s="16"/>
      <c r="BY212" s="16"/>
      <c r="BZ212" s="16">
        <v>2764</v>
      </c>
      <c r="CA212" s="16">
        <f t="shared" si="208"/>
        <v>57</v>
      </c>
      <c r="CB212" s="16">
        <v>2707</v>
      </c>
      <c r="CC212" s="16">
        <v>2371</v>
      </c>
      <c r="CD212" s="16">
        <f t="shared" si="209"/>
        <v>336</v>
      </c>
      <c r="CE212" s="16"/>
      <c r="CF212" s="16"/>
      <c r="CG212" s="78">
        <v>2010</v>
      </c>
      <c r="CH212" s="79" t="s">
        <v>38</v>
      </c>
      <c r="CI212" s="15">
        <f t="shared" si="177"/>
        <v>0.93533236994219648</v>
      </c>
      <c r="CJ212" s="15">
        <f t="shared" si="178"/>
        <v>0.95535055350553511</v>
      </c>
      <c r="CK212" s="15">
        <f t="shared" si="179"/>
        <v>0.97904624277456642</v>
      </c>
      <c r="CL212" s="16"/>
      <c r="CM212" s="16"/>
      <c r="CN212" s="16">
        <v>2768</v>
      </c>
      <c r="CO212" s="16">
        <f t="shared" si="210"/>
        <v>58</v>
      </c>
      <c r="CP212" s="16">
        <v>2710</v>
      </c>
      <c r="CQ212" s="16">
        <v>2589</v>
      </c>
      <c r="CR212" s="16">
        <f t="shared" si="211"/>
        <v>121</v>
      </c>
      <c r="CS212" s="16"/>
      <c r="CT212" s="16"/>
      <c r="CU212" s="78">
        <v>2010</v>
      </c>
      <c r="CV212" s="79" t="s">
        <v>38</v>
      </c>
      <c r="CW212" s="15">
        <f t="shared" si="199"/>
        <v>0.89604635310156777</v>
      </c>
      <c r="CX212" s="15">
        <f t="shared" si="200"/>
        <v>0.90095956134338584</v>
      </c>
      <c r="CY212" s="15">
        <f t="shared" si="201"/>
        <v>0.99454669393319695</v>
      </c>
      <c r="CZ212" s="16"/>
      <c r="DA212" s="16"/>
      <c r="DB212" s="16">
        <v>2934</v>
      </c>
      <c r="DC212" s="16">
        <f t="shared" si="182"/>
        <v>16</v>
      </c>
      <c r="DD212" s="16">
        <v>2918</v>
      </c>
      <c r="DE212" s="16">
        <v>2629</v>
      </c>
      <c r="DF212" s="16">
        <f t="shared" si="183"/>
        <v>289</v>
      </c>
      <c r="DG212" s="16"/>
      <c r="DH212" s="16"/>
      <c r="DI212" s="78">
        <v>2010</v>
      </c>
      <c r="DJ212" s="79" t="s">
        <v>38</v>
      </c>
      <c r="DK212" s="15">
        <f t="shared" si="184"/>
        <v>0.95926680244399187</v>
      </c>
      <c r="DL212" s="15">
        <f t="shared" si="185"/>
        <v>0.9651639344262295</v>
      </c>
      <c r="DM212" s="15">
        <f t="shared" si="186"/>
        <v>0.99389002036659879</v>
      </c>
      <c r="DN212" s="16"/>
      <c r="DO212" s="16"/>
      <c r="DP212" s="16">
        <v>982</v>
      </c>
      <c r="DQ212" s="16">
        <f t="shared" si="212"/>
        <v>6</v>
      </c>
      <c r="DR212" s="16">
        <v>976</v>
      </c>
      <c r="DS212" s="16">
        <v>942</v>
      </c>
      <c r="DT212" s="16">
        <f t="shared" si="213"/>
        <v>34</v>
      </c>
      <c r="DU212" s="16"/>
      <c r="DV212" s="16"/>
      <c r="DW212" s="78">
        <v>2010</v>
      </c>
      <c r="DX212" s="79" t="s">
        <v>38</v>
      </c>
      <c r="DY212" s="15">
        <f t="shared" si="189"/>
        <v>0.98634076204169663</v>
      </c>
      <c r="DZ212" s="15">
        <f t="shared" si="190"/>
        <v>0.99276410998552822</v>
      </c>
      <c r="EA212" s="15">
        <f t="shared" si="191"/>
        <v>0.99352983465132994</v>
      </c>
      <c r="EB212" s="16"/>
      <c r="EC212" s="16"/>
      <c r="ED212" s="16">
        <v>1391</v>
      </c>
      <c r="EE212" s="16">
        <f t="shared" si="214"/>
        <v>9</v>
      </c>
      <c r="EF212" s="16">
        <v>1382</v>
      </c>
      <c r="EG212" s="16">
        <v>1372</v>
      </c>
      <c r="EH212" s="16">
        <f t="shared" si="215"/>
        <v>10</v>
      </c>
      <c r="EI212" s="16"/>
      <c r="EJ212" s="16"/>
      <c r="EK212" s="78"/>
      <c r="EL212" s="79"/>
      <c r="EM212" s="15"/>
      <c r="EN212" s="15"/>
      <c r="EO212" s="15"/>
      <c r="EP212" s="16"/>
      <c r="EQ212" s="16"/>
      <c r="ER212" s="16"/>
      <c r="ES212" s="16"/>
      <c r="ET212" s="16"/>
      <c r="EU212" s="16"/>
      <c r="EV212" s="16"/>
      <c r="EW212" s="16"/>
      <c r="EX212" s="16"/>
      <c r="EY212" s="78"/>
      <c r="EZ212" s="79"/>
      <c r="FA212" s="15"/>
      <c r="FB212" s="15"/>
      <c r="FC212" s="15"/>
      <c r="FD212" s="16"/>
      <c r="FE212" s="16"/>
      <c r="FF212" s="16"/>
      <c r="FG212" s="16"/>
      <c r="FH212" s="16"/>
      <c r="FI212" s="16"/>
      <c r="FJ212" s="16"/>
      <c r="FK212" s="16"/>
      <c r="FM212" s="78"/>
      <c r="FN212" s="79"/>
      <c r="FO212" s="15"/>
      <c r="FP212" s="15"/>
      <c r="FQ212" s="15"/>
      <c r="FR212" s="16"/>
      <c r="FS212" s="16"/>
      <c r="FT212" s="16"/>
      <c r="FU212" s="16"/>
      <c r="FV212" s="16"/>
      <c r="FW212" s="16"/>
      <c r="FX212" s="16"/>
      <c r="FY212" s="16"/>
      <c r="GA212" s="78"/>
      <c r="GB212" s="79"/>
      <c r="GC212" s="15"/>
      <c r="GD212" s="15"/>
      <c r="GE212" s="15"/>
      <c r="GF212" s="16"/>
      <c r="GG212" s="16"/>
      <c r="GH212" s="16"/>
      <c r="GI212" s="16"/>
      <c r="GJ212" s="16"/>
      <c r="GK212" s="16"/>
      <c r="GL212" s="16"/>
      <c r="GM212" s="16"/>
    </row>
    <row r="213" spans="1:195" s="18" customFormat="1" ht="15" customHeight="1">
      <c r="A213" s="80">
        <v>2010</v>
      </c>
      <c r="B213" s="81" t="s">
        <v>39</v>
      </c>
      <c r="C213" s="15">
        <f t="shared" si="194"/>
        <v>0.90551631990837944</v>
      </c>
      <c r="D213" s="15">
        <f t="shared" si="195"/>
        <v>0.92737757794936959</v>
      </c>
      <c r="E213" s="15">
        <f t="shared" si="196"/>
        <v>0.97642679900744422</v>
      </c>
      <c r="F213" s="16"/>
      <c r="G213" s="33"/>
      <c r="H21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20956</v>
      </c>
      <c r="I213" s="16">
        <f t="shared" si="197"/>
        <v>494</v>
      </c>
      <c r="J21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20462</v>
      </c>
      <c r="K21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18976</v>
      </c>
      <c r="L213" s="16">
        <f t="shared" si="198"/>
        <v>1486</v>
      </c>
      <c r="M213" s="16"/>
      <c r="N213" s="16"/>
      <c r="O213" s="80">
        <v>2010</v>
      </c>
      <c r="P213" s="81" t="s">
        <v>39</v>
      </c>
      <c r="Q213" s="15">
        <f t="shared" si="157"/>
        <v>0.90678466076696163</v>
      </c>
      <c r="R213" s="15">
        <f t="shared" si="158"/>
        <v>0.94837515425750718</v>
      </c>
      <c r="S213" s="15">
        <f t="shared" si="159"/>
        <v>0.95614552605703051</v>
      </c>
      <c r="T213" s="26"/>
      <c r="U213" s="26"/>
      <c r="V213" s="16">
        <v>5085</v>
      </c>
      <c r="W213" s="16">
        <f t="shared" si="202"/>
        <v>223</v>
      </c>
      <c r="X213" s="16">
        <v>4862</v>
      </c>
      <c r="Y213" s="16">
        <v>4611</v>
      </c>
      <c r="Z213" s="16">
        <f t="shared" si="203"/>
        <v>251</v>
      </c>
      <c r="AA213" s="16"/>
      <c r="AB213" s="16"/>
      <c r="AC213" s="80"/>
      <c r="AD213" s="81"/>
      <c r="AE213" s="15"/>
      <c r="AF213" s="15"/>
      <c r="AG213" s="15"/>
      <c r="AH213" s="15"/>
      <c r="AI213" s="15"/>
      <c r="AJ213" s="16"/>
      <c r="AK213" s="16"/>
      <c r="AL213" s="16"/>
      <c r="AM213" s="16"/>
      <c r="AN213" s="16"/>
      <c r="AO213" s="16"/>
      <c r="AP213" s="16"/>
      <c r="AQ213" s="80">
        <v>2010</v>
      </c>
      <c r="AR213" s="81" t="s">
        <v>39</v>
      </c>
      <c r="AS213" s="15">
        <f t="shared" si="162"/>
        <v>0.93912505158893933</v>
      </c>
      <c r="AT213" s="15">
        <f t="shared" si="163"/>
        <v>0.96114044350580785</v>
      </c>
      <c r="AU213" s="15">
        <f t="shared" si="164"/>
        <v>0.97709451093685518</v>
      </c>
      <c r="AV213" s="16"/>
      <c r="AW213" s="16"/>
      <c r="AX213" s="16">
        <v>4846</v>
      </c>
      <c r="AY213" s="16">
        <f t="shared" si="204"/>
        <v>111</v>
      </c>
      <c r="AZ213" s="16">
        <v>4735</v>
      </c>
      <c r="BA213" s="16">
        <v>4551</v>
      </c>
      <c r="BB213" s="16">
        <f t="shared" si="205"/>
        <v>184</v>
      </c>
      <c r="BC213" s="16"/>
      <c r="BD213" s="16"/>
      <c r="BE213" s="80">
        <v>2010</v>
      </c>
      <c r="BF213" s="81" t="s">
        <v>39</v>
      </c>
      <c r="BG213" s="15">
        <f t="shared" si="167"/>
        <v>0.78448275862068961</v>
      </c>
      <c r="BH213" s="15">
        <f t="shared" si="168"/>
        <v>0.79545454545454541</v>
      </c>
      <c r="BI213" s="15">
        <f t="shared" si="169"/>
        <v>0.98620689655172411</v>
      </c>
      <c r="BJ213" s="16"/>
      <c r="BK213" s="16"/>
      <c r="BL213" s="16">
        <v>580</v>
      </c>
      <c r="BM213" s="16">
        <f t="shared" si="206"/>
        <v>8</v>
      </c>
      <c r="BN213" s="16">
        <v>572</v>
      </c>
      <c r="BO213" s="16">
        <v>455</v>
      </c>
      <c r="BP213" s="16">
        <f t="shared" si="207"/>
        <v>117</v>
      </c>
      <c r="BQ213" s="16"/>
      <c r="BR213" s="16"/>
      <c r="BS213" s="80">
        <v>2010</v>
      </c>
      <c r="BT213" s="81" t="s">
        <v>39</v>
      </c>
      <c r="BU213" s="15">
        <f t="shared" si="172"/>
        <v>0.80563909774436093</v>
      </c>
      <c r="BV213" s="15">
        <f t="shared" si="173"/>
        <v>0.82423076923076921</v>
      </c>
      <c r="BW213" s="15">
        <f t="shared" si="174"/>
        <v>0.97744360902255634</v>
      </c>
      <c r="BX213" s="16"/>
      <c r="BY213" s="16"/>
      <c r="BZ213" s="16">
        <v>2660</v>
      </c>
      <c r="CA213" s="16">
        <f t="shared" si="208"/>
        <v>60</v>
      </c>
      <c r="CB213" s="16">
        <v>2600</v>
      </c>
      <c r="CC213" s="16">
        <v>2143</v>
      </c>
      <c r="CD213" s="16">
        <f t="shared" si="209"/>
        <v>457</v>
      </c>
      <c r="CE213" s="16"/>
      <c r="CF213" s="16"/>
      <c r="CG213" s="80">
        <v>2010</v>
      </c>
      <c r="CH213" s="81" t="s">
        <v>39</v>
      </c>
      <c r="CI213" s="15">
        <f t="shared" si="177"/>
        <v>0.94821763602251408</v>
      </c>
      <c r="CJ213" s="15">
        <f t="shared" si="178"/>
        <v>0.9593773728170083</v>
      </c>
      <c r="CK213" s="15">
        <f t="shared" si="179"/>
        <v>0.98836772983114451</v>
      </c>
      <c r="CL213" s="16"/>
      <c r="CM213" s="16"/>
      <c r="CN213" s="16">
        <v>2665</v>
      </c>
      <c r="CO213" s="16">
        <f t="shared" si="210"/>
        <v>31</v>
      </c>
      <c r="CP213" s="16">
        <v>2634</v>
      </c>
      <c r="CQ213" s="16">
        <v>2527</v>
      </c>
      <c r="CR213" s="16">
        <f t="shared" si="211"/>
        <v>107</v>
      </c>
      <c r="CS213" s="16"/>
      <c r="CT213" s="16"/>
      <c r="CU213" s="80">
        <v>2010</v>
      </c>
      <c r="CV213" s="81" t="s">
        <v>39</v>
      </c>
      <c r="CW213" s="15">
        <f t="shared" si="199"/>
        <v>0.87681415929203543</v>
      </c>
      <c r="CX213" s="15">
        <f t="shared" si="200"/>
        <v>0.88940754039497305</v>
      </c>
      <c r="CY213" s="15">
        <f t="shared" si="201"/>
        <v>0.98584070796460177</v>
      </c>
      <c r="CZ213" s="16"/>
      <c r="DA213" s="16"/>
      <c r="DB213" s="16">
        <v>2825</v>
      </c>
      <c r="DC213" s="16">
        <f t="shared" si="182"/>
        <v>40</v>
      </c>
      <c r="DD213" s="16">
        <v>2785</v>
      </c>
      <c r="DE213" s="16">
        <v>2477</v>
      </c>
      <c r="DF213" s="16">
        <f t="shared" si="183"/>
        <v>308</v>
      </c>
      <c r="DG213" s="16"/>
      <c r="DH213" s="16"/>
      <c r="DI213" s="80">
        <v>2010</v>
      </c>
      <c r="DJ213" s="81" t="s">
        <v>39</v>
      </c>
      <c r="DK213" s="15">
        <f t="shared" si="184"/>
        <v>0.92842105263157892</v>
      </c>
      <c r="DL213" s="15">
        <f t="shared" si="185"/>
        <v>0.94130202774813232</v>
      </c>
      <c r="DM213" s="15">
        <f t="shared" si="186"/>
        <v>0.98631578947368426</v>
      </c>
      <c r="DN213" s="16"/>
      <c r="DO213" s="16"/>
      <c r="DP213" s="16">
        <v>950</v>
      </c>
      <c r="DQ213" s="16">
        <f t="shared" si="212"/>
        <v>13</v>
      </c>
      <c r="DR213" s="16">
        <v>937</v>
      </c>
      <c r="DS213" s="16">
        <v>882</v>
      </c>
      <c r="DT213" s="16">
        <f t="shared" si="213"/>
        <v>55</v>
      </c>
      <c r="DU213" s="16"/>
      <c r="DV213" s="16"/>
      <c r="DW213" s="80">
        <v>2010</v>
      </c>
      <c r="DX213" s="81" t="s">
        <v>39</v>
      </c>
      <c r="DY213" s="15">
        <f t="shared" si="189"/>
        <v>0.98884758364312264</v>
      </c>
      <c r="DZ213" s="15">
        <f t="shared" si="190"/>
        <v>0.99476439790575921</v>
      </c>
      <c r="EA213" s="15">
        <f t="shared" si="191"/>
        <v>0.99405204460966545</v>
      </c>
      <c r="EB213" s="16"/>
      <c r="EC213" s="16"/>
      <c r="ED213" s="16">
        <v>1345</v>
      </c>
      <c r="EE213" s="16">
        <f t="shared" si="214"/>
        <v>8</v>
      </c>
      <c r="EF213" s="16">
        <v>1337</v>
      </c>
      <c r="EG213" s="16">
        <v>1330</v>
      </c>
      <c r="EH213" s="16">
        <f t="shared" si="215"/>
        <v>7</v>
      </c>
      <c r="EI213" s="16"/>
      <c r="EJ213" s="16"/>
      <c r="EK213" s="80"/>
      <c r="EL213" s="81"/>
      <c r="EM213" s="15"/>
      <c r="EN213" s="15"/>
      <c r="EO213" s="15"/>
      <c r="EP213" s="16"/>
      <c r="EQ213" s="16"/>
      <c r="ER213" s="16"/>
      <c r="ES213" s="16"/>
      <c r="ET213" s="16"/>
      <c r="EU213" s="16"/>
      <c r="EV213" s="16"/>
      <c r="EW213" s="16"/>
      <c r="EX213" s="16"/>
      <c r="EY213" s="80"/>
      <c r="EZ213" s="81"/>
      <c r="FA213" s="15"/>
      <c r="FB213" s="15"/>
      <c r="FC213" s="15"/>
      <c r="FD213" s="16"/>
      <c r="FE213" s="16"/>
      <c r="FF213" s="16"/>
      <c r="FG213" s="16"/>
      <c r="FH213" s="16"/>
      <c r="FI213" s="16"/>
      <c r="FJ213" s="16"/>
      <c r="FK213" s="16"/>
      <c r="FM213" s="80"/>
      <c r="FN213" s="81"/>
      <c r="FO213" s="15"/>
      <c r="FP213" s="15"/>
      <c r="FQ213" s="15"/>
      <c r="FR213" s="16"/>
      <c r="FS213" s="16"/>
      <c r="FT213" s="16"/>
      <c r="FU213" s="16"/>
      <c r="FV213" s="16"/>
      <c r="FW213" s="16"/>
      <c r="FX213" s="16"/>
      <c r="FY213" s="16"/>
      <c r="GA213" s="80"/>
      <c r="GB213" s="81"/>
      <c r="GC213" s="15"/>
      <c r="GD213" s="15"/>
      <c r="GE213" s="15"/>
      <c r="GF213" s="16"/>
      <c r="GG213" s="16"/>
      <c r="GH213" s="16"/>
      <c r="GI213" s="16"/>
      <c r="GJ213" s="16"/>
      <c r="GK213" s="16"/>
      <c r="GL213" s="16"/>
      <c r="GM213" s="16"/>
    </row>
    <row r="214" spans="1:195" s="18" customFormat="1" ht="15" customHeight="1">
      <c r="A214" s="78">
        <v>2010</v>
      </c>
      <c r="B214" s="79" t="s">
        <v>40</v>
      </c>
      <c r="C214" s="15">
        <f t="shared" si="194"/>
        <v>0.85208026946249826</v>
      </c>
      <c r="D214" s="15">
        <f t="shared" si="195"/>
        <v>0.87781633351253607</v>
      </c>
      <c r="E214" s="15">
        <f t="shared" si="196"/>
        <v>0.97068172114426676</v>
      </c>
      <c r="F214" s="16"/>
      <c r="G214" s="33"/>
      <c r="H21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21079</v>
      </c>
      <c r="I214" s="16">
        <f t="shared" si="197"/>
        <v>618</v>
      </c>
      <c r="J21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20461</v>
      </c>
      <c r="K21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17961</v>
      </c>
      <c r="L214" s="16">
        <f t="shared" si="198"/>
        <v>2500</v>
      </c>
      <c r="M214" s="16"/>
      <c r="N214" s="16"/>
      <c r="O214" s="78">
        <v>2010</v>
      </c>
      <c r="P214" s="79" t="s">
        <v>40</v>
      </c>
      <c r="Q214" s="15">
        <f t="shared" si="157"/>
        <v>0.88108854269374881</v>
      </c>
      <c r="R214" s="15">
        <f t="shared" si="158"/>
        <v>0.91538619135423072</v>
      </c>
      <c r="S214" s="15">
        <f t="shared" si="159"/>
        <v>0.9625320449615461</v>
      </c>
      <c r="T214" s="26"/>
      <c r="U214" s="26"/>
      <c r="V214" s="16">
        <v>5071</v>
      </c>
      <c r="W214" s="16">
        <f t="shared" si="202"/>
        <v>190</v>
      </c>
      <c r="X214" s="16">
        <v>4881</v>
      </c>
      <c r="Y214" s="16">
        <v>4468</v>
      </c>
      <c r="Z214" s="16">
        <f t="shared" si="203"/>
        <v>413</v>
      </c>
      <c r="AA214" s="16"/>
      <c r="AB214" s="16"/>
      <c r="AC214" s="78"/>
      <c r="AD214" s="79"/>
      <c r="AE214" s="15"/>
      <c r="AF214" s="15"/>
      <c r="AG214" s="15"/>
      <c r="AH214" s="15"/>
      <c r="AI214" s="15"/>
      <c r="AJ214" s="16"/>
      <c r="AK214" s="16"/>
      <c r="AL214" s="16"/>
      <c r="AM214" s="16"/>
      <c r="AN214" s="16"/>
      <c r="AO214" s="16"/>
      <c r="AP214" s="16"/>
      <c r="AQ214" s="78">
        <v>2010</v>
      </c>
      <c r="AR214" s="79" t="s">
        <v>40</v>
      </c>
      <c r="AS214" s="15">
        <f t="shared" si="162"/>
        <v>0.90991361579596874</v>
      </c>
      <c r="AT214" s="15">
        <f t="shared" si="163"/>
        <v>0.93471371223325583</v>
      </c>
      <c r="AU214" s="15">
        <f t="shared" si="164"/>
        <v>0.97346770876182642</v>
      </c>
      <c r="AV214" s="16"/>
      <c r="AW214" s="16"/>
      <c r="AX214" s="16">
        <v>4862</v>
      </c>
      <c r="AY214" s="16">
        <f t="shared" si="204"/>
        <v>129</v>
      </c>
      <c r="AZ214" s="16">
        <v>4733</v>
      </c>
      <c r="BA214" s="16">
        <v>4424</v>
      </c>
      <c r="BB214" s="16">
        <f t="shared" si="205"/>
        <v>309</v>
      </c>
      <c r="BC214" s="16"/>
      <c r="BD214" s="16"/>
      <c r="BE214" s="78">
        <v>2010</v>
      </c>
      <c r="BF214" s="79" t="s">
        <v>40</v>
      </c>
      <c r="BG214" s="15">
        <f t="shared" si="167"/>
        <v>0.67458866544789764</v>
      </c>
      <c r="BH214" s="15">
        <f t="shared" si="168"/>
        <v>0.71098265895953761</v>
      </c>
      <c r="BI214" s="15">
        <f t="shared" si="169"/>
        <v>0.94881170018281535</v>
      </c>
      <c r="BJ214" s="16"/>
      <c r="BK214" s="16"/>
      <c r="BL214" s="16">
        <v>547</v>
      </c>
      <c r="BM214" s="16">
        <f t="shared" si="206"/>
        <v>28</v>
      </c>
      <c r="BN214" s="16">
        <v>519</v>
      </c>
      <c r="BO214" s="16">
        <v>369</v>
      </c>
      <c r="BP214" s="16">
        <f t="shared" si="207"/>
        <v>150</v>
      </c>
      <c r="BQ214" s="16"/>
      <c r="BR214" s="16"/>
      <c r="BS214" s="78">
        <v>2010</v>
      </c>
      <c r="BT214" s="79" t="s">
        <v>40</v>
      </c>
      <c r="BU214" s="15">
        <f t="shared" si="172"/>
        <v>0.63791821561338291</v>
      </c>
      <c r="BV214" s="15">
        <f t="shared" si="173"/>
        <v>0.67987321711568938</v>
      </c>
      <c r="BW214" s="15">
        <f t="shared" si="174"/>
        <v>0.93828996282527877</v>
      </c>
      <c r="BX214" s="16"/>
      <c r="BY214" s="16"/>
      <c r="BZ214" s="16">
        <v>2690</v>
      </c>
      <c r="CA214" s="16">
        <f t="shared" si="208"/>
        <v>166</v>
      </c>
      <c r="CB214" s="16">
        <v>2524</v>
      </c>
      <c r="CC214" s="16">
        <v>1716</v>
      </c>
      <c r="CD214" s="16">
        <f t="shared" si="209"/>
        <v>808</v>
      </c>
      <c r="CE214" s="16"/>
      <c r="CF214" s="16"/>
      <c r="CG214" s="78">
        <v>2010</v>
      </c>
      <c r="CH214" s="79" t="s">
        <v>40</v>
      </c>
      <c r="CI214" s="15">
        <f t="shared" si="177"/>
        <v>0.89458054936896803</v>
      </c>
      <c r="CJ214" s="15">
        <f t="shared" si="178"/>
        <v>0.91046467699282208</v>
      </c>
      <c r="CK214" s="15">
        <f t="shared" si="179"/>
        <v>0.98255382331106167</v>
      </c>
      <c r="CL214" s="16"/>
      <c r="CM214" s="16"/>
      <c r="CN214" s="16">
        <v>2694</v>
      </c>
      <c r="CO214" s="16">
        <f t="shared" si="210"/>
        <v>47</v>
      </c>
      <c r="CP214" s="16">
        <v>2647</v>
      </c>
      <c r="CQ214" s="16">
        <v>2410</v>
      </c>
      <c r="CR214" s="16">
        <f t="shared" si="211"/>
        <v>237</v>
      </c>
      <c r="CS214" s="16"/>
      <c r="CT214" s="16"/>
      <c r="CU214" s="78">
        <v>2010</v>
      </c>
      <c r="CV214" s="79" t="s">
        <v>40</v>
      </c>
      <c r="CW214" s="15">
        <f t="shared" si="199"/>
        <v>0.82398048100383414</v>
      </c>
      <c r="CX214" s="15">
        <f t="shared" si="200"/>
        <v>0.8323943661971831</v>
      </c>
      <c r="CY214" s="15">
        <f t="shared" si="201"/>
        <v>0.98989194841408157</v>
      </c>
      <c r="CZ214" s="16"/>
      <c r="DA214" s="16"/>
      <c r="DB214" s="16">
        <v>2869</v>
      </c>
      <c r="DC214" s="16">
        <f t="shared" si="182"/>
        <v>29</v>
      </c>
      <c r="DD214" s="16">
        <v>2840</v>
      </c>
      <c r="DE214" s="16">
        <v>2364</v>
      </c>
      <c r="DF214" s="16">
        <f t="shared" si="183"/>
        <v>476</v>
      </c>
      <c r="DG214" s="16"/>
      <c r="DH214" s="16"/>
      <c r="DI214" s="78">
        <v>2010</v>
      </c>
      <c r="DJ214" s="79" t="s">
        <v>40</v>
      </c>
      <c r="DK214" s="15">
        <f t="shared" si="184"/>
        <v>0.89446721311475408</v>
      </c>
      <c r="DL214" s="15">
        <f t="shared" si="185"/>
        <v>0.91127348643006267</v>
      </c>
      <c r="DM214" s="15">
        <f t="shared" si="186"/>
        <v>0.98155737704918034</v>
      </c>
      <c r="DN214" s="16"/>
      <c r="DO214" s="16"/>
      <c r="DP214" s="16">
        <v>976</v>
      </c>
      <c r="DQ214" s="16">
        <f t="shared" si="212"/>
        <v>18</v>
      </c>
      <c r="DR214" s="16">
        <v>958</v>
      </c>
      <c r="DS214" s="16">
        <v>873</v>
      </c>
      <c r="DT214" s="16">
        <f t="shared" si="213"/>
        <v>85</v>
      </c>
      <c r="DU214" s="16"/>
      <c r="DV214" s="16"/>
      <c r="DW214" s="78">
        <v>2010</v>
      </c>
      <c r="DX214" s="79" t="s">
        <v>40</v>
      </c>
      <c r="DY214" s="15">
        <f t="shared" si="189"/>
        <v>0.97591240875912411</v>
      </c>
      <c r="DZ214" s="15">
        <f t="shared" si="190"/>
        <v>0.98381162619573215</v>
      </c>
      <c r="EA214" s="15">
        <f t="shared" si="191"/>
        <v>0.99197080291970807</v>
      </c>
      <c r="EB214" s="16"/>
      <c r="EC214" s="16"/>
      <c r="ED214" s="16">
        <v>1370</v>
      </c>
      <c r="EE214" s="16">
        <f t="shared" si="214"/>
        <v>11</v>
      </c>
      <c r="EF214" s="16">
        <v>1359</v>
      </c>
      <c r="EG214" s="16">
        <v>1337</v>
      </c>
      <c r="EH214" s="16">
        <f t="shared" si="215"/>
        <v>22</v>
      </c>
      <c r="EI214" s="16"/>
      <c r="EJ214" s="16"/>
      <c r="EK214" s="78"/>
      <c r="EL214" s="79"/>
      <c r="EM214" s="15"/>
      <c r="EN214" s="15"/>
      <c r="EO214" s="15"/>
      <c r="EP214" s="16"/>
      <c r="EQ214" s="16"/>
      <c r="ER214" s="16"/>
      <c r="ES214" s="16"/>
      <c r="ET214" s="16"/>
      <c r="EU214" s="16"/>
      <c r="EV214" s="16"/>
      <c r="EW214" s="16"/>
      <c r="EX214" s="16"/>
      <c r="EY214" s="78"/>
      <c r="EZ214" s="79"/>
      <c r="FA214" s="15"/>
      <c r="FB214" s="15"/>
      <c r="FC214" s="15"/>
      <c r="FD214" s="16"/>
      <c r="FE214" s="16"/>
      <c r="FF214" s="16"/>
      <c r="FG214" s="16"/>
      <c r="FH214" s="16"/>
      <c r="FI214" s="16"/>
      <c r="FJ214" s="16"/>
      <c r="FK214" s="16"/>
      <c r="FM214" s="78"/>
      <c r="FN214" s="79"/>
      <c r="FO214" s="15"/>
      <c r="FP214" s="15"/>
      <c r="FQ214" s="15"/>
      <c r="FR214" s="16"/>
      <c r="FS214" s="16"/>
      <c r="FT214" s="16"/>
      <c r="FU214" s="16"/>
      <c r="FV214" s="16"/>
      <c r="FW214" s="16"/>
      <c r="FX214" s="16"/>
      <c r="FY214" s="16"/>
      <c r="GA214" s="78"/>
      <c r="GB214" s="79"/>
      <c r="GC214" s="15"/>
      <c r="GD214" s="15"/>
      <c r="GE214" s="15"/>
      <c r="GF214" s="16"/>
      <c r="GG214" s="16"/>
      <c r="GH214" s="16"/>
      <c r="GI214" s="16"/>
      <c r="GJ214" s="16"/>
      <c r="GK214" s="16"/>
      <c r="GL214" s="16"/>
      <c r="GM214" s="16"/>
    </row>
    <row r="215" spans="1:195" s="18" customFormat="1" ht="15" customHeight="1">
      <c r="A215" s="80">
        <v>2010</v>
      </c>
      <c r="B215" s="81" t="s">
        <v>41</v>
      </c>
      <c r="C215" s="15">
        <f t="shared" si="194"/>
        <v>0.87846912420756051</v>
      </c>
      <c r="D215" s="15">
        <f t="shared" si="195"/>
        <v>0.90424400618716161</v>
      </c>
      <c r="E215" s="15">
        <f t="shared" si="196"/>
        <v>0.97149565625733736</v>
      </c>
      <c r="F215" s="16"/>
      <c r="G215" s="33"/>
      <c r="H21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21295</v>
      </c>
      <c r="I215" s="16">
        <f t="shared" si="197"/>
        <v>607</v>
      </c>
      <c r="J21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20688</v>
      </c>
      <c r="K21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18707</v>
      </c>
      <c r="L215" s="16">
        <f t="shared" si="198"/>
        <v>1981</v>
      </c>
      <c r="M215" s="16"/>
      <c r="N215" s="16"/>
      <c r="O215" s="80">
        <v>2010</v>
      </c>
      <c r="P215" s="81" t="s">
        <v>41</v>
      </c>
      <c r="Q215" s="15">
        <f t="shared" si="157"/>
        <v>0.88869992441421009</v>
      </c>
      <c r="R215" s="15">
        <f t="shared" si="158"/>
        <v>0.93110275193031078</v>
      </c>
      <c r="S215" s="15">
        <f t="shared" si="159"/>
        <v>0.95445956160241874</v>
      </c>
      <c r="T215" s="26"/>
      <c r="U215" s="26"/>
      <c r="V215" s="16">
        <v>5292</v>
      </c>
      <c r="W215" s="16">
        <f t="shared" si="202"/>
        <v>241</v>
      </c>
      <c r="X215" s="16">
        <v>5051</v>
      </c>
      <c r="Y215" s="16">
        <v>4703</v>
      </c>
      <c r="Z215" s="16">
        <f t="shared" si="203"/>
        <v>348</v>
      </c>
      <c r="AA215" s="16"/>
      <c r="AB215" s="16"/>
      <c r="AC215" s="80"/>
      <c r="AD215" s="81"/>
      <c r="AE215" s="15"/>
      <c r="AF215" s="15"/>
      <c r="AG215" s="15"/>
      <c r="AH215" s="15"/>
      <c r="AI215" s="15"/>
      <c r="AJ215" s="16"/>
      <c r="AK215" s="16"/>
      <c r="AL215" s="16"/>
      <c r="AM215" s="16"/>
      <c r="AN215" s="16"/>
      <c r="AO215" s="16"/>
      <c r="AP215" s="16"/>
      <c r="AQ215" s="80">
        <v>2010</v>
      </c>
      <c r="AR215" s="81" t="s">
        <v>41</v>
      </c>
      <c r="AS215" s="15">
        <f t="shared" si="162"/>
        <v>0.93846153846153846</v>
      </c>
      <c r="AT215" s="15">
        <f t="shared" si="163"/>
        <v>0.95236188951160927</v>
      </c>
      <c r="AU215" s="15">
        <f t="shared" si="164"/>
        <v>0.98540433925049309</v>
      </c>
      <c r="AV215" s="16"/>
      <c r="AW215" s="16"/>
      <c r="AX215" s="16">
        <v>5070</v>
      </c>
      <c r="AY215" s="16">
        <f t="shared" si="204"/>
        <v>74</v>
      </c>
      <c r="AZ215" s="16">
        <v>4996</v>
      </c>
      <c r="BA215" s="16">
        <v>4758</v>
      </c>
      <c r="BB215" s="16">
        <f t="shared" si="205"/>
        <v>238</v>
      </c>
      <c r="BC215" s="16"/>
      <c r="BD215" s="16"/>
      <c r="BE215" s="80">
        <v>2010</v>
      </c>
      <c r="BF215" s="81" t="s">
        <v>41</v>
      </c>
      <c r="BG215" s="15">
        <f t="shared" si="167"/>
        <v>0.75680272108843538</v>
      </c>
      <c r="BH215" s="15">
        <f t="shared" si="168"/>
        <v>0.78900709219858156</v>
      </c>
      <c r="BI215" s="15">
        <f t="shared" si="169"/>
        <v>0.95918367346938771</v>
      </c>
      <c r="BJ215" s="16"/>
      <c r="BK215" s="16"/>
      <c r="BL215" s="16">
        <v>588</v>
      </c>
      <c r="BM215" s="16">
        <f t="shared" si="206"/>
        <v>24</v>
      </c>
      <c r="BN215" s="16">
        <v>564</v>
      </c>
      <c r="BO215" s="16">
        <v>445</v>
      </c>
      <c r="BP215" s="16">
        <f t="shared" si="207"/>
        <v>119</v>
      </c>
      <c r="BQ215" s="16"/>
      <c r="BR215" s="16"/>
      <c r="BS215" s="80">
        <v>2010</v>
      </c>
      <c r="BT215" s="81" t="s">
        <v>41</v>
      </c>
      <c r="BU215" s="15">
        <f t="shared" si="172"/>
        <v>0.71803652968036524</v>
      </c>
      <c r="BV215" s="15">
        <f t="shared" si="173"/>
        <v>0.75480000000000003</v>
      </c>
      <c r="BW215" s="15">
        <f t="shared" si="174"/>
        <v>0.9512937595129376</v>
      </c>
      <c r="BX215" s="16"/>
      <c r="BY215" s="16"/>
      <c r="BZ215" s="16">
        <v>2628</v>
      </c>
      <c r="CA215" s="16">
        <f t="shared" si="208"/>
        <v>128</v>
      </c>
      <c r="CB215" s="16">
        <v>2500</v>
      </c>
      <c r="CC215" s="16">
        <v>1887</v>
      </c>
      <c r="CD215" s="16">
        <f t="shared" si="209"/>
        <v>613</v>
      </c>
      <c r="CE215" s="16"/>
      <c r="CF215" s="16"/>
      <c r="CG215" s="80">
        <v>2010</v>
      </c>
      <c r="CH215" s="81" t="s">
        <v>41</v>
      </c>
      <c r="CI215" s="15">
        <f t="shared" si="177"/>
        <v>0.90995440729483279</v>
      </c>
      <c r="CJ215" s="15">
        <f t="shared" si="178"/>
        <v>0.93045843045843046</v>
      </c>
      <c r="CK215" s="15">
        <f t="shared" si="179"/>
        <v>0.97796352583586621</v>
      </c>
      <c r="CL215" s="16"/>
      <c r="CM215" s="16"/>
      <c r="CN215" s="16">
        <v>2632</v>
      </c>
      <c r="CO215" s="16">
        <f t="shared" si="210"/>
        <v>58</v>
      </c>
      <c r="CP215" s="16">
        <v>2574</v>
      </c>
      <c r="CQ215" s="16">
        <v>2395</v>
      </c>
      <c r="CR215" s="16">
        <f t="shared" si="211"/>
        <v>179</v>
      </c>
      <c r="CS215" s="16"/>
      <c r="CT215" s="16"/>
      <c r="CU215" s="80">
        <v>2010</v>
      </c>
      <c r="CV215" s="81" t="s">
        <v>41</v>
      </c>
      <c r="CW215" s="15">
        <f t="shared" si="199"/>
        <v>0.84587813620071683</v>
      </c>
      <c r="CX215" s="15">
        <f t="shared" si="200"/>
        <v>0.86541987532086539</v>
      </c>
      <c r="CY215" s="15">
        <f t="shared" si="201"/>
        <v>0.97741935483870968</v>
      </c>
      <c r="CZ215" s="16"/>
      <c r="DA215" s="16"/>
      <c r="DB215" s="16">
        <v>2790</v>
      </c>
      <c r="DC215" s="16">
        <f t="shared" si="182"/>
        <v>63</v>
      </c>
      <c r="DD215" s="16">
        <v>2727</v>
      </c>
      <c r="DE215" s="16">
        <v>2360</v>
      </c>
      <c r="DF215" s="16">
        <f t="shared" si="183"/>
        <v>367</v>
      </c>
      <c r="DG215" s="16"/>
      <c r="DH215" s="16"/>
      <c r="DI215" s="80">
        <v>2010</v>
      </c>
      <c r="DJ215" s="81" t="s">
        <v>41</v>
      </c>
      <c r="DK215" s="15">
        <f t="shared" si="184"/>
        <v>0.88526315789473686</v>
      </c>
      <c r="DL215" s="15">
        <f t="shared" si="185"/>
        <v>0.89563365282215124</v>
      </c>
      <c r="DM215" s="15">
        <f t="shared" si="186"/>
        <v>0.98842105263157898</v>
      </c>
      <c r="DN215" s="16"/>
      <c r="DO215" s="16"/>
      <c r="DP215" s="16">
        <v>950</v>
      </c>
      <c r="DQ215" s="16">
        <f t="shared" si="212"/>
        <v>11</v>
      </c>
      <c r="DR215" s="16">
        <v>939</v>
      </c>
      <c r="DS215" s="16">
        <v>841</v>
      </c>
      <c r="DT215" s="16">
        <f t="shared" si="213"/>
        <v>98</v>
      </c>
      <c r="DU215" s="16"/>
      <c r="DV215" s="16"/>
      <c r="DW215" s="80">
        <v>2010</v>
      </c>
      <c r="DX215" s="81" t="s">
        <v>41</v>
      </c>
      <c r="DY215" s="15">
        <f t="shared" si="189"/>
        <v>0.97992565055762082</v>
      </c>
      <c r="DZ215" s="15">
        <f t="shared" si="190"/>
        <v>0.98578908002991772</v>
      </c>
      <c r="EA215" s="15">
        <f t="shared" si="191"/>
        <v>0.99405204460966545</v>
      </c>
      <c r="EB215" s="16"/>
      <c r="EC215" s="16"/>
      <c r="ED215" s="16">
        <v>1345</v>
      </c>
      <c r="EE215" s="16">
        <f t="shared" si="214"/>
        <v>8</v>
      </c>
      <c r="EF215" s="16">
        <v>1337</v>
      </c>
      <c r="EG215" s="16">
        <v>1318</v>
      </c>
      <c r="EH215" s="16">
        <f t="shared" si="215"/>
        <v>19</v>
      </c>
      <c r="EI215" s="16"/>
      <c r="EJ215" s="16"/>
      <c r="EK215" s="80"/>
      <c r="EL215" s="81"/>
      <c r="EM215" s="15"/>
      <c r="EN215" s="15"/>
      <c r="EO215" s="15"/>
      <c r="EP215" s="16"/>
      <c r="EQ215" s="16"/>
      <c r="ER215" s="16"/>
      <c r="ES215" s="16"/>
      <c r="ET215" s="16"/>
      <c r="EU215" s="16"/>
      <c r="EV215" s="16"/>
      <c r="EW215" s="16"/>
      <c r="EX215" s="16"/>
      <c r="EY215" s="80"/>
      <c r="EZ215" s="81"/>
      <c r="FA215" s="15"/>
      <c r="FB215" s="15"/>
      <c r="FC215" s="15"/>
      <c r="FD215" s="16"/>
      <c r="FE215" s="16"/>
      <c r="FF215" s="16"/>
      <c r="FG215" s="16"/>
      <c r="FH215" s="16"/>
      <c r="FI215" s="16"/>
      <c r="FJ215" s="16"/>
      <c r="FK215" s="16"/>
      <c r="FM215" s="80"/>
      <c r="FN215" s="81"/>
      <c r="FO215" s="15"/>
      <c r="FP215" s="15"/>
      <c r="FQ215" s="15"/>
      <c r="FR215" s="16"/>
      <c r="FS215" s="16"/>
      <c r="FT215" s="16"/>
      <c r="FU215" s="16"/>
      <c r="FV215" s="16"/>
      <c r="FW215" s="16"/>
      <c r="FX215" s="16"/>
      <c r="FY215" s="16"/>
      <c r="GA215" s="80"/>
      <c r="GB215" s="81"/>
      <c r="GC215" s="15"/>
      <c r="GD215" s="15"/>
      <c r="GE215" s="15"/>
      <c r="GF215" s="16"/>
      <c r="GG215" s="16"/>
      <c r="GH215" s="16"/>
      <c r="GI215" s="16"/>
      <c r="GJ215" s="16"/>
      <c r="GK215" s="16"/>
      <c r="GL215" s="16"/>
      <c r="GM215" s="16"/>
    </row>
    <row r="216" spans="1:195" s="18" customFormat="1" ht="15" customHeight="1">
      <c r="A216" s="78">
        <v>2010</v>
      </c>
      <c r="B216" s="79" t="s">
        <v>42</v>
      </c>
      <c r="C216" s="15">
        <f t="shared" si="194"/>
        <v>0.87871332239839617</v>
      </c>
      <c r="D216" s="15">
        <f t="shared" si="195"/>
        <v>0.92022139517129498</v>
      </c>
      <c r="E216" s="15">
        <f t="shared" si="196"/>
        <v>0.95489338436303994</v>
      </c>
      <c r="F216" s="16"/>
      <c r="G216" s="33"/>
      <c r="H21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21948</v>
      </c>
      <c r="I216" s="16">
        <f t="shared" si="197"/>
        <v>990</v>
      </c>
      <c r="J21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20958</v>
      </c>
      <c r="K21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19286</v>
      </c>
      <c r="L216" s="16">
        <f t="shared" si="198"/>
        <v>1672</v>
      </c>
      <c r="M216" s="16"/>
      <c r="N216" s="16"/>
      <c r="O216" s="78">
        <v>2010</v>
      </c>
      <c r="P216" s="79" t="s">
        <v>42</v>
      </c>
      <c r="Q216" s="15">
        <f t="shared" si="157"/>
        <v>0.87364753346781587</v>
      </c>
      <c r="R216" s="15">
        <f t="shared" si="158"/>
        <v>0.93632075471698117</v>
      </c>
      <c r="S216" s="15">
        <f t="shared" si="159"/>
        <v>0.93306436823766736</v>
      </c>
      <c r="T216" s="26"/>
      <c r="U216" s="26"/>
      <c r="V216" s="16">
        <v>5453</v>
      </c>
      <c r="W216" s="16">
        <f t="shared" si="202"/>
        <v>365</v>
      </c>
      <c r="X216" s="16">
        <v>5088</v>
      </c>
      <c r="Y216" s="16">
        <v>4764</v>
      </c>
      <c r="Z216" s="16">
        <f t="shared" si="203"/>
        <v>324</v>
      </c>
      <c r="AA216" s="16"/>
      <c r="AB216" s="16"/>
      <c r="AC216" s="78"/>
      <c r="AD216" s="79"/>
      <c r="AE216" s="15"/>
      <c r="AF216" s="15"/>
      <c r="AG216" s="15"/>
      <c r="AH216" s="15"/>
      <c r="AI216" s="15"/>
      <c r="AJ216" s="16"/>
      <c r="AK216" s="16"/>
      <c r="AL216" s="16"/>
      <c r="AM216" s="16"/>
      <c r="AN216" s="16"/>
      <c r="AO216" s="16"/>
      <c r="AP216" s="16"/>
      <c r="AQ216" s="78">
        <v>2010</v>
      </c>
      <c r="AR216" s="79" t="s">
        <v>42</v>
      </c>
      <c r="AS216" s="15">
        <f t="shared" si="162"/>
        <v>0.92176740627390974</v>
      </c>
      <c r="AT216" s="15">
        <f t="shared" si="163"/>
        <v>0.95520317145688804</v>
      </c>
      <c r="AU216" s="15">
        <f t="shared" si="164"/>
        <v>0.96499617444529462</v>
      </c>
      <c r="AV216" s="16"/>
      <c r="AW216" s="16"/>
      <c r="AX216" s="16">
        <v>5228</v>
      </c>
      <c r="AY216" s="16">
        <f t="shared" si="204"/>
        <v>183</v>
      </c>
      <c r="AZ216" s="16">
        <v>5045</v>
      </c>
      <c r="BA216" s="16">
        <v>4819</v>
      </c>
      <c r="BB216" s="16">
        <f t="shared" si="205"/>
        <v>226</v>
      </c>
      <c r="BC216" s="16"/>
      <c r="BD216" s="16"/>
      <c r="BE216" s="78">
        <v>2010</v>
      </c>
      <c r="BF216" s="79" t="s">
        <v>42</v>
      </c>
      <c r="BG216" s="15">
        <f t="shared" si="167"/>
        <v>0.78231292517006801</v>
      </c>
      <c r="BH216" s="15">
        <f t="shared" si="168"/>
        <v>0.83484573502722326</v>
      </c>
      <c r="BI216" s="15">
        <f t="shared" si="169"/>
        <v>0.93707482993197277</v>
      </c>
      <c r="BJ216" s="16"/>
      <c r="BK216" s="16"/>
      <c r="BL216" s="16">
        <v>588</v>
      </c>
      <c r="BM216" s="16">
        <f t="shared" si="206"/>
        <v>37</v>
      </c>
      <c r="BN216" s="16">
        <v>551</v>
      </c>
      <c r="BO216" s="16">
        <v>460</v>
      </c>
      <c r="BP216" s="16">
        <f t="shared" si="207"/>
        <v>91</v>
      </c>
      <c r="BQ216" s="16"/>
      <c r="BR216" s="16"/>
      <c r="BS216" s="78">
        <v>2010</v>
      </c>
      <c r="BT216" s="79" t="s">
        <v>42</v>
      </c>
      <c r="BU216" s="15">
        <f t="shared" si="172"/>
        <v>0.79646017699115046</v>
      </c>
      <c r="BV216" s="15">
        <f t="shared" si="173"/>
        <v>0.82790341126868527</v>
      </c>
      <c r="BW216" s="15">
        <f t="shared" si="174"/>
        <v>0.96202064896755157</v>
      </c>
      <c r="BX216" s="16"/>
      <c r="BY216" s="16"/>
      <c r="BZ216" s="16">
        <v>2712</v>
      </c>
      <c r="CA216" s="16">
        <f t="shared" si="208"/>
        <v>103</v>
      </c>
      <c r="CB216" s="16">
        <v>2609</v>
      </c>
      <c r="CC216" s="16">
        <v>2160</v>
      </c>
      <c r="CD216" s="16">
        <f t="shared" si="209"/>
        <v>449</v>
      </c>
      <c r="CE216" s="16"/>
      <c r="CF216" s="16"/>
      <c r="CG216" s="78">
        <v>2010</v>
      </c>
      <c r="CH216" s="79" t="s">
        <v>42</v>
      </c>
      <c r="CI216" s="15">
        <f t="shared" si="177"/>
        <v>0.91203533308796469</v>
      </c>
      <c r="CJ216" s="15">
        <f t="shared" si="178"/>
        <v>0.94544067149942768</v>
      </c>
      <c r="CK216" s="15">
        <f t="shared" si="179"/>
        <v>0.96466691203533306</v>
      </c>
      <c r="CL216" s="16"/>
      <c r="CM216" s="16"/>
      <c r="CN216" s="16">
        <v>2717</v>
      </c>
      <c r="CO216" s="16">
        <f t="shared" si="210"/>
        <v>96</v>
      </c>
      <c r="CP216" s="16">
        <v>2621</v>
      </c>
      <c r="CQ216" s="16">
        <v>2478</v>
      </c>
      <c r="CR216" s="16">
        <f t="shared" si="211"/>
        <v>143</v>
      </c>
      <c r="CS216" s="16"/>
      <c r="CT216" s="16"/>
      <c r="CU216" s="78">
        <v>2010</v>
      </c>
      <c r="CV216" s="79" t="s">
        <v>42</v>
      </c>
      <c r="CW216" s="15">
        <f t="shared" si="199"/>
        <v>0.85297184567257556</v>
      </c>
      <c r="CX216" s="15">
        <f t="shared" si="200"/>
        <v>0.8824163969795038</v>
      </c>
      <c r="CY216" s="15">
        <f t="shared" si="201"/>
        <v>0.96663190823774769</v>
      </c>
      <c r="CZ216" s="16"/>
      <c r="DA216" s="16"/>
      <c r="DB216" s="16">
        <v>2877</v>
      </c>
      <c r="DC216" s="16">
        <f t="shared" si="182"/>
        <v>96</v>
      </c>
      <c r="DD216" s="16">
        <v>2781</v>
      </c>
      <c r="DE216" s="16">
        <v>2454</v>
      </c>
      <c r="DF216" s="16">
        <f t="shared" si="183"/>
        <v>327</v>
      </c>
      <c r="DG216" s="16"/>
      <c r="DH216" s="16"/>
      <c r="DI216" s="78">
        <v>2010</v>
      </c>
      <c r="DJ216" s="79" t="s">
        <v>42</v>
      </c>
      <c r="DK216" s="15">
        <f t="shared" si="184"/>
        <v>0.79735234215885942</v>
      </c>
      <c r="DL216" s="15">
        <f t="shared" si="185"/>
        <v>0.88775510204081631</v>
      </c>
      <c r="DM216" s="15">
        <f t="shared" si="186"/>
        <v>0.89816700610997968</v>
      </c>
      <c r="DN216" s="16"/>
      <c r="DO216" s="16"/>
      <c r="DP216" s="16">
        <v>982</v>
      </c>
      <c r="DQ216" s="16">
        <f t="shared" si="212"/>
        <v>100</v>
      </c>
      <c r="DR216" s="16">
        <v>882</v>
      </c>
      <c r="DS216" s="16">
        <v>783</v>
      </c>
      <c r="DT216" s="16">
        <f t="shared" si="213"/>
        <v>99</v>
      </c>
      <c r="DU216" s="16"/>
      <c r="DV216" s="16"/>
      <c r="DW216" s="78">
        <v>2010</v>
      </c>
      <c r="DX216" s="79" t="s">
        <v>42</v>
      </c>
      <c r="DY216" s="15">
        <f t="shared" si="189"/>
        <v>0.98346513299784333</v>
      </c>
      <c r="DZ216" s="15">
        <f t="shared" si="190"/>
        <v>0.99058653149891385</v>
      </c>
      <c r="EA216" s="15">
        <f t="shared" si="191"/>
        <v>0.99281092739036669</v>
      </c>
      <c r="EB216" s="16"/>
      <c r="EC216" s="16"/>
      <c r="ED216" s="16">
        <v>1391</v>
      </c>
      <c r="EE216" s="16">
        <f t="shared" si="214"/>
        <v>10</v>
      </c>
      <c r="EF216" s="16">
        <v>1381</v>
      </c>
      <c r="EG216" s="16">
        <v>1368</v>
      </c>
      <c r="EH216" s="16">
        <f t="shared" si="215"/>
        <v>13</v>
      </c>
      <c r="EI216" s="16"/>
      <c r="EJ216" s="16"/>
      <c r="EK216" s="78"/>
      <c r="EL216" s="79"/>
      <c r="EM216" s="15"/>
      <c r="EN216" s="15"/>
      <c r="EO216" s="15"/>
      <c r="EP216" s="16"/>
      <c r="EQ216" s="16"/>
      <c r="ER216" s="16"/>
      <c r="ES216" s="16"/>
      <c r="ET216" s="16"/>
      <c r="EU216" s="16"/>
      <c r="EV216" s="16"/>
      <c r="EW216" s="16"/>
      <c r="EX216" s="16"/>
      <c r="EY216" s="78"/>
      <c r="EZ216" s="79"/>
      <c r="FA216" s="15"/>
      <c r="FB216" s="15"/>
      <c r="FC216" s="15"/>
      <c r="FD216" s="16"/>
      <c r="FE216" s="16"/>
      <c r="FF216" s="16"/>
      <c r="FG216" s="16"/>
      <c r="FH216" s="16"/>
      <c r="FI216" s="16"/>
      <c r="FJ216" s="16"/>
      <c r="FK216" s="16"/>
      <c r="FM216" s="78"/>
      <c r="FN216" s="79"/>
      <c r="FO216" s="15"/>
      <c r="FP216" s="15"/>
      <c r="FQ216" s="15"/>
      <c r="FR216" s="16"/>
      <c r="FS216" s="16"/>
      <c r="FT216" s="16"/>
      <c r="FU216" s="16"/>
      <c r="FV216" s="16"/>
      <c r="FW216" s="16"/>
      <c r="FX216" s="16"/>
      <c r="FY216" s="16"/>
      <c r="GA216" s="78"/>
      <c r="GB216" s="79"/>
      <c r="GC216" s="15"/>
      <c r="GD216" s="15"/>
      <c r="GE216" s="15"/>
      <c r="GF216" s="16"/>
      <c r="GG216" s="16"/>
      <c r="GH216" s="16"/>
      <c r="GI216" s="16"/>
      <c r="GJ216" s="16"/>
      <c r="GK216" s="16"/>
      <c r="GL216" s="16"/>
      <c r="GM216" s="16"/>
    </row>
    <row r="217" spans="1:195" s="18" customFormat="1" ht="15" customHeight="1">
      <c r="A217" s="80">
        <v>2010</v>
      </c>
      <c r="B217" s="81" t="s">
        <v>43</v>
      </c>
      <c r="C217" s="15">
        <f t="shared" si="194"/>
        <v>0.90397761159792633</v>
      </c>
      <c r="D217" s="15">
        <f t="shared" si="195"/>
        <v>0.92537453623256472</v>
      </c>
      <c r="E217" s="15">
        <f t="shared" si="196"/>
        <v>0.97687755195669124</v>
      </c>
      <c r="F217" s="16"/>
      <c r="G217" s="33"/>
      <c r="H21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21797</v>
      </c>
      <c r="I217" s="16">
        <f t="shared" si="197"/>
        <v>504</v>
      </c>
      <c r="J21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21293</v>
      </c>
      <c r="K21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19704</v>
      </c>
      <c r="L217" s="16">
        <f t="shared" si="198"/>
        <v>1589</v>
      </c>
      <c r="M217" s="16"/>
      <c r="N217" s="16"/>
      <c r="O217" s="80">
        <v>2010</v>
      </c>
      <c r="P217" s="81" t="s">
        <v>43</v>
      </c>
      <c r="Q217" s="15">
        <f t="shared" si="157"/>
        <v>0.90293954520244035</v>
      </c>
      <c r="R217" s="15">
        <f t="shared" si="158"/>
        <v>0.94596165020337009</v>
      </c>
      <c r="S217" s="15">
        <f t="shared" si="159"/>
        <v>0.95452024403771496</v>
      </c>
      <c r="T217" s="26"/>
      <c r="U217" s="26"/>
      <c r="V217" s="16">
        <v>5409</v>
      </c>
      <c r="W217" s="16">
        <f t="shared" si="202"/>
        <v>246</v>
      </c>
      <c r="X217" s="16">
        <v>5163</v>
      </c>
      <c r="Y217" s="16">
        <v>4884</v>
      </c>
      <c r="Z217" s="16">
        <f t="shared" si="203"/>
        <v>279</v>
      </c>
      <c r="AA217" s="16"/>
      <c r="AB217" s="16"/>
      <c r="AC217" s="80"/>
      <c r="AD217" s="81"/>
      <c r="AE217" s="15"/>
      <c r="AF217" s="15"/>
      <c r="AG217" s="15"/>
      <c r="AH217" s="15"/>
      <c r="AI217" s="15"/>
      <c r="AJ217" s="16"/>
      <c r="AK217" s="16"/>
      <c r="AL217" s="16"/>
      <c r="AM217" s="16"/>
      <c r="AN217" s="16"/>
      <c r="AO217" s="16"/>
      <c r="AP217" s="16"/>
      <c r="AQ217" s="80">
        <v>2010</v>
      </c>
      <c r="AR217" s="81" t="s">
        <v>43</v>
      </c>
      <c r="AS217" s="15">
        <f t="shared" si="162"/>
        <v>0.94681677018633537</v>
      </c>
      <c r="AT217" s="15">
        <f t="shared" si="163"/>
        <v>0.95966948652370643</v>
      </c>
      <c r="AU217" s="15">
        <f t="shared" si="164"/>
        <v>0.9866071428571429</v>
      </c>
      <c r="AV217" s="16"/>
      <c r="AW217" s="16"/>
      <c r="AX217" s="16">
        <v>5152</v>
      </c>
      <c r="AY217" s="16">
        <f t="shared" si="204"/>
        <v>69</v>
      </c>
      <c r="AZ217" s="16">
        <v>5083</v>
      </c>
      <c r="BA217" s="16">
        <v>4878</v>
      </c>
      <c r="BB217" s="16">
        <f t="shared" si="205"/>
        <v>205</v>
      </c>
      <c r="BC217" s="16"/>
      <c r="BD217" s="16"/>
      <c r="BE217" s="80">
        <v>2010</v>
      </c>
      <c r="BF217" s="81" t="s">
        <v>43</v>
      </c>
      <c r="BG217" s="15">
        <f t="shared" si="167"/>
        <v>0.8571428571428571</v>
      </c>
      <c r="BH217" s="15">
        <f t="shared" si="168"/>
        <v>0.88266199649737298</v>
      </c>
      <c r="BI217" s="15">
        <f t="shared" si="169"/>
        <v>0.97108843537414968</v>
      </c>
      <c r="BJ217" s="16"/>
      <c r="BK217" s="16"/>
      <c r="BL217" s="16">
        <v>588</v>
      </c>
      <c r="BM217" s="16">
        <f t="shared" si="206"/>
        <v>17</v>
      </c>
      <c r="BN217" s="16">
        <v>571</v>
      </c>
      <c r="BO217" s="16">
        <v>504</v>
      </c>
      <c r="BP217" s="16">
        <f t="shared" si="207"/>
        <v>67</v>
      </c>
      <c r="BQ217" s="16"/>
      <c r="BR217" s="16"/>
      <c r="BS217" s="80">
        <v>2010</v>
      </c>
      <c r="BT217" s="81" t="s">
        <v>43</v>
      </c>
      <c r="BU217" s="15">
        <f t="shared" si="172"/>
        <v>0.7911111111111111</v>
      </c>
      <c r="BV217" s="15">
        <f t="shared" si="173"/>
        <v>0.82059162504802152</v>
      </c>
      <c r="BW217" s="15">
        <f t="shared" si="174"/>
        <v>0.96407407407407408</v>
      </c>
      <c r="BX217" s="16"/>
      <c r="BY217" s="16"/>
      <c r="BZ217" s="16">
        <v>2700</v>
      </c>
      <c r="CA217" s="16">
        <f t="shared" si="208"/>
        <v>97</v>
      </c>
      <c r="CB217" s="16">
        <v>2603</v>
      </c>
      <c r="CC217" s="16">
        <v>2136</v>
      </c>
      <c r="CD217" s="16">
        <f t="shared" si="209"/>
        <v>467</v>
      </c>
      <c r="CE217" s="16"/>
      <c r="CF217" s="16"/>
      <c r="CG217" s="80">
        <v>2010</v>
      </c>
      <c r="CH217" s="81" t="s">
        <v>43</v>
      </c>
      <c r="CI217" s="15">
        <f t="shared" si="177"/>
        <v>0.94082840236686394</v>
      </c>
      <c r="CJ217" s="15">
        <f t="shared" si="178"/>
        <v>0.9545966228893058</v>
      </c>
      <c r="CK217" s="15">
        <f t="shared" si="179"/>
        <v>0.98557692307692313</v>
      </c>
      <c r="CL217" s="16"/>
      <c r="CM217" s="16"/>
      <c r="CN217" s="16">
        <v>2704</v>
      </c>
      <c r="CO217" s="16">
        <f t="shared" si="210"/>
        <v>39</v>
      </c>
      <c r="CP217" s="16">
        <v>2665</v>
      </c>
      <c r="CQ217" s="16">
        <v>2544</v>
      </c>
      <c r="CR217" s="16">
        <f t="shared" si="211"/>
        <v>121</v>
      </c>
      <c r="CS217" s="16"/>
      <c r="CT217" s="16"/>
      <c r="CU217" s="80">
        <v>2010</v>
      </c>
      <c r="CV217" s="81" t="s">
        <v>43</v>
      </c>
      <c r="CW217" s="15">
        <f t="shared" si="199"/>
        <v>0.8881944444444444</v>
      </c>
      <c r="CX217" s="15">
        <f t="shared" si="200"/>
        <v>0.89440559440559442</v>
      </c>
      <c r="CY217" s="15">
        <f t="shared" si="201"/>
        <v>0.99305555555555558</v>
      </c>
      <c r="CZ217" s="16"/>
      <c r="DA217" s="16"/>
      <c r="DB217" s="16">
        <v>2880</v>
      </c>
      <c r="DC217" s="16">
        <f t="shared" si="182"/>
        <v>20</v>
      </c>
      <c r="DD217" s="16">
        <v>2860</v>
      </c>
      <c r="DE217" s="16">
        <v>2558</v>
      </c>
      <c r="DF217" s="16">
        <f t="shared" si="183"/>
        <v>302</v>
      </c>
      <c r="DG217" s="16"/>
      <c r="DH217" s="16"/>
      <c r="DI217" s="80">
        <v>2010</v>
      </c>
      <c r="DJ217" s="81" t="s">
        <v>43</v>
      </c>
      <c r="DK217" s="15">
        <f t="shared" si="184"/>
        <v>0.86326530612244901</v>
      </c>
      <c r="DL217" s="15">
        <f t="shared" si="185"/>
        <v>0.86680327868852458</v>
      </c>
      <c r="DM217" s="15">
        <f t="shared" si="186"/>
        <v>0.99591836734693873</v>
      </c>
      <c r="DN217" s="16"/>
      <c r="DO217" s="16"/>
      <c r="DP217" s="16">
        <v>980</v>
      </c>
      <c r="DQ217" s="16">
        <f t="shared" si="212"/>
        <v>4</v>
      </c>
      <c r="DR217" s="16">
        <v>976</v>
      </c>
      <c r="DS217" s="16">
        <v>846</v>
      </c>
      <c r="DT217" s="16">
        <f t="shared" si="213"/>
        <v>130</v>
      </c>
      <c r="DU217" s="16"/>
      <c r="DV217" s="16"/>
      <c r="DW217" s="80">
        <v>2010</v>
      </c>
      <c r="DX217" s="81" t="s">
        <v>43</v>
      </c>
      <c r="DY217" s="15">
        <f t="shared" si="189"/>
        <v>0.97832369942196529</v>
      </c>
      <c r="DZ217" s="15">
        <f t="shared" si="190"/>
        <v>0.98688046647230321</v>
      </c>
      <c r="EA217" s="15">
        <f t="shared" si="191"/>
        <v>0.99132947976878616</v>
      </c>
      <c r="EB217" s="16"/>
      <c r="EC217" s="16"/>
      <c r="ED217" s="16">
        <v>1384</v>
      </c>
      <c r="EE217" s="16">
        <f t="shared" si="214"/>
        <v>12</v>
      </c>
      <c r="EF217" s="16">
        <v>1372</v>
      </c>
      <c r="EG217" s="16">
        <v>1354</v>
      </c>
      <c r="EH217" s="16">
        <f t="shared" si="215"/>
        <v>18</v>
      </c>
      <c r="EI217" s="16"/>
      <c r="EJ217" s="16"/>
      <c r="EK217" s="80"/>
      <c r="EL217" s="81"/>
      <c r="EM217" s="15"/>
      <c r="EN217" s="15"/>
      <c r="EO217" s="15"/>
      <c r="EP217" s="16"/>
      <c r="EQ217" s="16"/>
      <c r="ER217" s="16"/>
      <c r="ES217" s="16"/>
      <c r="ET217" s="16"/>
      <c r="EU217" s="16"/>
      <c r="EV217" s="16"/>
      <c r="EW217" s="16"/>
      <c r="EX217" s="16"/>
      <c r="EY217" s="80"/>
      <c r="EZ217" s="81"/>
      <c r="FA217" s="15"/>
      <c r="FB217" s="15"/>
      <c r="FC217" s="15"/>
      <c r="FD217" s="16"/>
      <c r="FE217" s="16"/>
      <c r="FF217" s="16"/>
      <c r="FG217" s="16"/>
      <c r="FH217" s="16"/>
      <c r="FI217" s="16"/>
      <c r="FJ217" s="16"/>
      <c r="FK217" s="16"/>
      <c r="FM217" s="80"/>
      <c r="FN217" s="81"/>
      <c r="FO217" s="15"/>
      <c r="FP217" s="15"/>
      <c r="FQ217" s="15"/>
      <c r="FR217" s="16"/>
      <c r="FS217" s="16"/>
      <c r="FT217" s="16"/>
      <c r="FU217" s="16"/>
      <c r="FV217" s="16"/>
      <c r="FW217" s="16"/>
      <c r="FX217" s="16"/>
      <c r="FY217" s="16"/>
      <c r="GA217" s="80"/>
      <c r="GB217" s="81"/>
      <c r="GC217" s="15"/>
      <c r="GD217" s="15"/>
      <c r="GE217" s="15"/>
      <c r="GF217" s="16"/>
      <c r="GG217" s="16"/>
      <c r="GH217" s="16"/>
      <c r="GI217" s="16"/>
      <c r="GJ217" s="16"/>
      <c r="GK217" s="16"/>
      <c r="GL217" s="16"/>
      <c r="GM217" s="16"/>
    </row>
    <row r="218" spans="1:195" s="18" customFormat="1" ht="15" customHeight="1">
      <c r="A218" s="78">
        <v>2010</v>
      </c>
      <c r="B218" s="79" t="s">
        <v>44</v>
      </c>
      <c r="C218" s="15">
        <f t="shared" si="194"/>
        <v>0.89290012033694344</v>
      </c>
      <c r="D218" s="15">
        <f t="shared" si="195"/>
        <v>0.91919191919191923</v>
      </c>
      <c r="E218" s="15">
        <f t="shared" si="196"/>
        <v>0.97139683421271872</v>
      </c>
      <c r="F218" s="16"/>
      <c r="G218" s="33"/>
      <c r="H21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21606</v>
      </c>
      <c r="I218" s="16">
        <f t="shared" si="197"/>
        <v>618</v>
      </c>
      <c r="J21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20988</v>
      </c>
      <c r="K21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19292</v>
      </c>
      <c r="L218" s="16">
        <f t="shared" si="198"/>
        <v>1696</v>
      </c>
      <c r="M218" s="16"/>
      <c r="N218" s="16"/>
      <c r="O218" s="78">
        <v>2010</v>
      </c>
      <c r="P218" s="79" t="s">
        <v>44</v>
      </c>
      <c r="Q218" s="15">
        <f t="shared" si="157"/>
        <v>0.88175799926443543</v>
      </c>
      <c r="R218" s="15">
        <f t="shared" si="158"/>
        <v>0.94426939740055138</v>
      </c>
      <c r="S218" s="15">
        <f t="shared" si="159"/>
        <v>0.93379919087899965</v>
      </c>
      <c r="T218" s="26"/>
      <c r="U218" s="26"/>
      <c r="V218" s="16">
        <v>5438</v>
      </c>
      <c r="W218" s="16">
        <f t="shared" si="202"/>
        <v>360</v>
      </c>
      <c r="X218" s="16">
        <v>5078</v>
      </c>
      <c r="Y218" s="16">
        <v>4795</v>
      </c>
      <c r="Z218" s="16">
        <f t="shared" si="203"/>
        <v>283</v>
      </c>
      <c r="AA218" s="16"/>
      <c r="AB218" s="16"/>
      <c r="AC218" s="78"/>
      <c r="AD218" s="79"/>
      <c r="AE218" s="15"/>
      <c r="AF218" s="15"/>
      <c r="AG218" s="15"/>
      <c r="AH218" s="15"/>
      <c r="AI218" s="15"/>
      <c r="AJ218" s="16"/>
      <c r="AK218" s="16"/>
      <c r="AL218" s="16"/>
      <c r="AM218" s="16"/>
      <c r="AN218" s="16"/>
      <c r="AO218" s="16"/>
      <c r="AP218" s="16"/>
      <c r="AQ218" s="78">
        <v>2010</v>
      </c>
      <c r="AR218" s="79" t="s">
        <v>44</v>
      </c>
      <c r="AS218" s="15">
        <f t="shared" si="162"/>
        <v>0.94307992202729041</v>
      </c>
      <c r="AT218" s="15">
        <f t="shared" si="163"/>
        <v>0.95801980198019798</v>
      </c>
      <c r="AU218" s="15">
        <f t="shared" si="164"/>
        <v>0.98440545808966862</v>
      </c>
      <c r="AV218" s="16"/>
      <c r="AW218" s="16"/>
      <c r="AX218" s="16">
        <v>5130</v>
      </c>
      <c r="AY218" s="16">
        <f t="shared" si="204"/>
        <v>80</v>
      </c>
      <c r="AZ218" s="16">
        <v>5050</v>
      </c>
      <c r="BA218" s="16">
        <v>4838</v>
      </c>
      <c r="BB218" s="16">
        <f t="shared" si="205"/>
        <v>212</v>
      </c>
      <c r="BC218" s="16"/>
      <c r="BD218" s="16"/>
      <c r="BE218" s="78">
        <v>2010</v>
      </c>
      <c r="BF218" s="79" t="s">
        <v>44</v>
      </c>
      <c r="BG218" s="15">
        <f t="shared" si="167"/>
        <v>0.84577922077922074</v>
      </c>
      <c r="BH218" s="15">
        <f t="shared" si="168"/>
        <v>0.87563025210084033</v>
      </c>
      <c r="BI218" s="15">
        <f t="shared" si="169"/>
        <v>0.96590909090909094</v>
      </c>
      <c r="BJ218" s="16"/>
      <c r="BK218" s="16"/>
      <c r="BL218" s="16">
        <v>616</v>
      </c>
      <c r="BM218" s="16">
        <f t="shared" si="206"/>
        <v>21</v>
      </c>
      <c r="BN218" s="16">
        <v>595</v>
      </c>
      <c r="BO218" s="16">
        <v>521</v>
      </c>
      <c r="BP218" s="16">
        <f t="shared" si="207"/>
        <v>74</v>
      </c>
      <c r="BQ218" s="16"/>
      <c r="BR218" s="16"/>
      <c r="BS218" s="78">
        <v>2010</v>
      </c>
      <c r="BT218" s="79" t="s">
        <v>44</v>
      </c>
      <c r="BU218" s="15">
        <f t="shared" si="172"/>
        <v>0.75453172205438068</v>
      </c>
      <c r="BV218" s="15">
        <f t="shared" si="173"/>
        <v>0.7711308375144732</v>
      </c>
      <c r="BW218" s="15">
        <f t="shared" si="174"/>
        <v>0.9784743202416919</v>
      </c>
      <c r="BX218" s="16"/>
      <c r="BY218" s="16"/>
      <c r="BZ218" s="16">
        <v>2648</v>
      </c>
      <c r="CA218" s="16">
        <f t="shared" si="208"/>
        <v>57</v>
      </c>
      <c r="CB218" s="16">
        <v>2591</v>
      </c>
      <c r="CC218" s="16">
        <v>1998</v>
      </c>
      <c r="CD218" s="16">
        <f t="shared" si="209"/>
        <v>593</v>
      </c>
      <c r="CE218" s="16"/>
      <c r="CF218" s="16"/>
      <c r="CG218" s="78">
        <v>2010</v>
      </c>
      <c r="CH218" s="79" t="s">
        <v>44</v>
      </c>
      <c r="CI218" s="15">
        <f t="shared" si="177"/>
        <v>0.92006033182503766</v>
      </c>
      <c r="CJ218" s="15">
        <f t="shared" si="178"/>
        <v>0.9373799462159047</v>
      </c>
      <c r="CK218" s="15">
        <f t="shared" si="179"/>
        <v>0.98152337858220207</v>
      </c>
      <c r="CL218" s="16"/>
      <c r="CM218" s="16"/>
      <c r="CN218" s="16">
        <v>2652</v>
      </c>
      <c r="CO218" s="16">
        <f t="shared" si="210"/>
        <v>49</v>
      </c>
      <c r="CP218" s="16">
        <v>2603</v>
      </c>
      <c r="CQ218" s="16">
        <v>2440</v>
      </c>
      <c r="CR218" s="16">
        <f t="shared" si="211"/>
        <v>163</v>
      </c>
      <c r="CS218" s="16"/>
      <c r="CT218" s="16"/>
      <c r="CU218" s="78">
        <v>2010</v>
      </c>
      <c r="CV218" s="79" t="s">
        <v>44</v>
      </c>
      <c r="CW218" s="15">
        <f t="shared" si="199"/>
        <v>0.90525195173882189</v>
      </c>
      <c r="CX218" s="15">
        <f t="shared" si="200"/>
        <v>0.91400931565747046</v>
      </c>
      <c r="CY218" s="15">
        <f t="shared" si="201"/>
        <v>0.99041873669268987</v>
      </c>
      <c r="CZ218" s="16"/>
      <c r="DA218" s="16"/>
      <c r="DB218" s="16">
        <v>2818</v>
      </c>
      <c r="DC218" s="16">
        <f t="shared" si="182"/>
        <v>27</v>
      </c>
      <c r="DD218" s="16">
        <v>2791</v>
      </c>
      <c r="DE218" s="16">
        <v>2551</v>
      </c>
      <c r="DF218" s="16">
        <f t="shared" si="183"/>
        <v>240</v>
      </c>
      <c r="DG218" s="16"/>
      <c r="DH218" s="16"/>
      <c r="DI218" s="78">
        <v>2010</v>
      </c>
      <c r="DJ218" s="79" t="s">
        <v>44</v>
      </c>
      <c r="DK218" s="15">
        <f t="shared" si="184"/>
        <v>0.85189075630252098</v>
      </c>
      <c r="DL218" s="15">
        <f t="shared" si="185"/>
        <v>0.86552828175026686</v>
      </c>
      <c r="DM218" s="15">
        <f t="shared" si="186"/>
        <v>0.98424369747899154</v>
      </c>
      <c r="DN218" s="16"/>
      <c r="DO218" s="16"/>
      <c r="DP218" s="16">
        <v>952</v>
      </c>
      <c r="DQ218" s="16">
        <f t="shared" si="212"/>
        <v>15</v>
      </c>
      <c r="DR218" s="16">
        <v>937</v>
      </c>
      <c r="DS218" s="16">
        <v>811</v>
      </c>
      <c r="DT218" s="16">
        <f t="shared" si="213"/>
        <v>126</v>
      </c>
      <c r="DU218" s="16"/>
      <c r="DV218" s="16"/>
      <c r="DW218" s="78">
        <v>2010</v>
      </c>
      <c r="DX218" s="79" t="s">
        <v>44</v>
      </c>
      <c r="DY218" s="15">
        <f t="shared" si="189"/>
        <v>0.98964497041420119</v>
      </c>
      <c r="DZ218" s="15">
        <f t="shared" si="190"/>
        <v>0.99627699180938201</v>
      </c>
      <c r="EA218" s="15">
        <f t="shared" si="191"/>
        <v>0.99334319526627224</v>
      </c>
      <c r="EB218" s="16"/>
      <c r="EC218" s="16"/>
      <c r="ED218" s="16">
        <v>1352</v>
      </c>
      <c r="EE218" s="16">
        <f t="shared" si="214"/>
        <v>9</v>
      </c>
      <c r="EF218" s="16">
        <v>1343</v>
      </c>
      <c r="EG218" s="16">
        <v>1338</v>
      </c>
      <c r="EH218" s="16">
        <f t="shared" si="215"/>
        <v>5</v>
      </c>
      <c r="EI218" s="16"/>
      <c r="EJ218" s="16"/>
      <c r="EK218" s="78"/>
      <c r="EL218" s="79"/>
      <c r="EM218" s="15"/>
      <c r="EN218" s="15"/>
      <c r="EO218" s="15"/>
      <c r="EP218" s="16"/>
      <c r="EQ218" s="16"/>
      <c r="ER218" s="16"/>
      <c r="ES218" s="16"/>
      <c r="ET218" s="16"/>
      <c r="EU218" s="16"/>
      <c r="EV218" s="16"/>
      <c r="EW218" s="16"/>
      <c r="EX218" s="16"/>
      <c r="EY218" s="78"/>
      <c r="EZ218" s="79"/>
      <c r="FA218" s="15"/>
      <c r="FB218" s="15"/>
      <c r="FC218" s="15"/>
      <c r="FD218" s="16"/>
      <c r="FE218" s="16"/>
      <c r="FF218" s="16"/>
      <c r="FG218" s="16"/>
      <c r="FH218" s="16"/>
      <c r="FI218" s="16"/>
      <c r="FJ218" s="16"/>
      <c r="FK218" s="16"/>
      <c r="FM218" s="78"/>
      <c r="FN218" s="79"/>
      <c r="FO218" s="15"/>
      <c r="FP218" s="15"/>
      <c r="FQ218" s="15"/>
      <c r="FR218" s="16"/>
      <c r="FS218" s="16"/>
      <c r="FT218" s="16"/>
      <c r="FU218" s="16"/>
      <c r="FV218" s="16"/>
      <c r="FW218" s="16"/>
      <c r="FX218" s="16"/>
      <c r="FY218" s="16"/>
      <c r="GA218" s="78"/>
      <c r="GB218" s="79"/>
      <c r="GC218" s="15"/>
      <c r="GD218" s="15"/>
      <c r="GE218" s="15"/>
      <c r="GF218" s="16"/>
      <c r="GG218" s="16"/>
      <c r="GH218" s="16"/>
      <c r="GI218" s="16"/>
      <c r="GJ218" s="16"/>
      <c r="GK218" s="16"/>
      <c r="GL218" s="16"/>
      <c r="GM218" s="16"/>
    </row>
    <row r="219" spans="1:195" s="18" customFormat="1" ht="15" customHeight="1">
      <c r="A219" s="80">
        <v>2010</v>
      </c>
      <c r="B219" s="81" t="s">
        <v>45</v>
      </c>
      <c r="C219" s="15">
        <f t="shared" si="194"/>
        <v>0.85793702700177521</v>
      </c>
      <c r="D219" s="15">
        <f t="shared" si="195"/>
        <v>0.91309103564858551</v>
      </c>
      <c r="E219" s="15">
        <f t="shared" si="196"/>
        <v>0.93959637484817338</v>
      </c>
      <c r="F219" s="16"/>
      <c r="G219" s="33"/>
      <c r="H21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21406</v>
      </c>
      <c r="I219" s="16">
        <f t="shared" si="197"/>
        <v>1293</v>
      </c>
      <c r="J21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20113</v>
      </c>
      <c r="K21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18365</v>
      </c>
      <c r="L219" s="16">
        <f t="shared" si="198"/>
        <v>1748</v>
      </c>
      <c r="M219" s="16"/>
      <c r="N219" s="16"/>
      <c r="O219" s="80">
        <v>2010</v>
      </c>
      <c r="P219" s="81" t="s">
        <v>45</v>
      </c>
      <c r="Q219" s="15">
        <f t="shared" si="157"/>
        <v>0.8012492901760363</v>
      </c>
      <c r="R219" s="15">
        <f t="shared" si="158"/>
        <v>0.92992091388400699</v>
      </c>
      <c r="S219" s="15">
        <f t="shared" si="159"/>
        <v>0.86163164868445963</v>
      </c>
      <c r="T219" s="26"/>
      <c r="U219" s="26"/>
      <c r="V219" s="16">
        <v>5283</v>
      </c>
      <c r="W219" s="16">
        <f t="shared" si="202"/>
        <v>731</v>
      </c>
      <c r="X219" s="16">
        <v>4552</v>
      </c>
      <c r="Y219" s="16">
        <v>4233</v>
      </c>
      <c r="Z219" s="16">
        <f t="shared" si="203"/>
        <v>319</v>
      </c>
      <c r="AA219" s="16"/>
      <c r="AB219" s="16"/>
      <c r="AC219" s="80"/>
      <c r="AD219" s="81"/>
      <c r="AE219" s="15"/>
      <c r="AF219" s="15"/>
      <c r="AG219" s="15"/>
      <c r="AH219" s="15"/>
      <c r="AI219" s="15"/>
      <c r="AJ219" s="16"/>
      <c r="AK219" s="16"/>
      <c r="AL219" s="16"/>
      <c r="AM219" s="16"/>
      <c r="AN219" s="16"/>
      <c r="AO219" s="16"/>
      <c r="AP219" s="16"/>
      <c r="AQ219" s="80">
        <v>2010</v>
      </c>
      <c r="AR219" s="81" t="s">
        <v>45</v>
      </c>
      <c r="AS219" s="15">
        <f t="shared" si="162"/>
        <v>0.91804257012134471</v>
      </c>
      <c r="AT219" s="15">
        <f t="shared" si="163"/>
        <v>0.94841759145088367</v>
      </c>
      <c r="AU219" s="15">
        <f t="shared" si="164"/>
        <v>0.96797294609110807</v>
      </c>
      <c r="AV219" s="16"/>
      <c r="AW219" s="16"/>
      <c r="AX219" s="16">
        <v>5027</v>
      </c>
      <c r="AY219" s="16">
        <f t="shared" si="204"/>
        <v>161</v>
      </c>
      <c r="AZ219" s="16">
        <v>4866</v>
      </c>
      <c r="BA219" s="16">
        <v>4615</v>
      </c>
      <c r="BB219" s="16">
        <f t="shared" si="205"/>
        <v>251</v>
      </c>
      <c r="BC219" s="16"/>
      <c r="BD219" s="16"/>
      <c r="BE219" s="80">
        <v>2010</v>
      </c>
      <c r="BF219" s="81" t="s">
        <v>45</v>
      </c>
      <c r="BG219" s="15">
        <f t="shared" si="167"/>
        <v>0.8007518796992481</v>
      </c>
      <c r="BH219" s="15">
        <f t="shared" si="168"/>
        <v>0.8693877551020408</v>
      </c>
      <c r="BI219" s="15">
        <f t="shared" si="169"/>
        <v>0.92105263157894735</v>
      </c>
      <c r="BJ219" s="16"/>
      <c r="BK219" s="16"/>
      <c r="BL219" s="16">
        <v>532</v>
      </c>
      <c r="BM219" s="16">
        <f t="shared" si="206"/>
        <v>42</v>
      </c>
      <c r="BN219" s="16">
        <v>490</v>
      </c>
      <c r="BO219" s="16">
        <v>426</v>
      </c>
      <c r="BP219" s="16">
        <f t="shared" si="207"/>
        <v>64</v>
      </c>
      <c r="BQ219" s="16"/>
      <c r="BR219" s="16"/>
      <c r="BS219" s="80">
        <v>2010</v>
      </c>
      <c r="BT219" s="81" t="s">
        <v>45</v>
      </c>
      <c r="BU219" s="15">
        <f t="shared" si="172"/>
        <v>0.78181137724550898</v>
      </c>
      <c r="BV219" s="15">
        <f t="shared" si="173"/>
        <v>0.80968992248062011</v>
      </c>
      <c r="BW219" s="15">
        <f t="shared" si="174"/>
        <v>0.96556886227544914</v>
      </c>
      <c r="BX219" s="16"/>
      <c r="BY219" s="16"/>
      <c r="BZ219" s="16">
        <v>2672</v>
      </c>
      <c r="CA219" s="16">
        <f t="shared" si="208"/>
        <v>92</v>
      </c>
      <c r="CB219" s="16">
        <v>2580</v>
      </c>
      <c r="CC219" s="16">
        <v>2089</v>
      </c>
      <c r="CD219" s="16">
        <f t="shared" si="209"/>
        <v>491</v>
      </c>
      <c r="CE219" s="16"/>
      <c r="CF219" s="16"/>
      <c r="CG219" s="80">
        <v>2010</v>
      </c>
      <c r="CH219" s="81" t="s">
        <v>45</v>
      </c>
      <c r="CI219" s="15">
        <f t="shared" si="177"/>
        <v>0.91296227119910345</v>
      </c>
      <c r="CJ219" s="15">
        <f t="shared" si="178"/>
        <v>0.94875776397515532</v>
      </c>
      <c r="CK219" s="15">
        <f t="shared" si="179"/>
        <v>0.96227119910347403</v>
      </c>
      <c r="CL219" s="16"/>
      <c r="CM219" s="16"/>
      <c r="CN219" s="16">
        <v>2677</v>
      </c>
      <c r="CO219" s="16">
        <f t="shared" si="210"/>
        <v>101</v>
      </c>
      <c r="CP219" s="16">
        <v>2576</v>
      </c>
      <c r="CQ219" s="16">
        <v>2444</v>
      </c>
      <c r="CR219" s="16">
        <f t="shared" si="211"/>
        <v>132</v>
      </c>
      <c r="CS219" s="16"/>
      <c r="CT219" s="16"/>
      <c r="CU219" s="80">
        <v>2010</v>
      </c>
      <c r="CV219" s="81" t="s">
        <v>45</v>
      </c>
      <c r="CW219" s="15">
        <f t="shared" si="199"/>
        <v>0.8311188811188811</v>
      </c>
      <c r="CX219" s="15">
        <f t="shared" si="200"/>
        <v>0.85967450271247736</v>
      </c>
      <c r="CY219" s="15">
        <f t="shared" si="201"/>
        <v>0.96678321678321677</v>
      </c>
      <c r="CZ219" s="16"/>
      <c r="DA219" s="16"/>
      <c r="DB219" s="16">
        <v>2860</v>
      </c>
      <c r="DC219" s="16">
        <f t="shared" si="182"/>
        <v>95</v>
      </c>
      <c r="DD219" s="16">
        <v>2765</v>
      </c>
      <c r="DE219" s="16">
        <v>2377</v>
      </c>
      <c r="DF219" s="16">
        <f t="shared" si="183"/>
        <v>388</v>
      </c>
      <c r="DG219" s="16"/>
      <c r="DH219" s="16"/>
      <c r="DI219" s="80">
        <v>2010</v>
      </c>
      <c r="DJ219" s="81" t="s">
        <v>45</v>
      </c>
      <c r="DK219" s="15">
        <f t="shared" si="184"/>
        <v>0.85889570552147243</v>
      </c>
      <c r="DL219" s="15">
        <f t="shared" si="185"/>
        <v>0.8936170212765957</v>
      </c>
      <c r="DM219" s="15">
        <f t="shared" si="186"/>
        <v>0.96114519427402867</v>
      </c>
      <c r="DN219" s="16"/>
      <c r="DO219" s="16"/>
      <c r="DP219" s="16">
        <v>978</v>
      </c>
      <c r="DQ219" s="16">
        <f t="shared" si="212"/>
        <v>38</v>
      </c>
      <c r="DR219" s="16">
        <v>940</v>
      </c>
      <c r="DS219" s="16">
        <v>840</v>
      </c>
      <c r="DT219" s="16">
        <f t="shared" si="213"/>
        <v>100</v>
      </c>
      <c r="DU219" s="16"/>
      <c r="DV219" s="16"/>
      <c r="DW219" s="80">
        <v>2010</v>
      </c>
      <c r="DX219" s="81" t="s">
        <v>45</v>
      </c>
      <c r="DY219" s="15">
        <f t="shared" si="189"/>
        <v>0.97385620915032678</v>
      </c>
      <c r="DZ219" s="15">
        <f t="shared" si="190"/>
        <v>0.9977678571428571</v>
      </c>
      <c r="EA219" s="15">
        <f t="shared" si="191"/>
        <v>0.97603485838779958</v>
      </c>
      <c r="EB219" s="16"/>
      <c r="EC219" s="16"/>
      <c r="ED219" s="16">
        <v>1377</v>
      </c>
      <c r="EE219" s="16">
        <f t="shared" si="214"/>
        <v>33</v>
      </c>
      <c r="EF219" s="16">
        <v>1344</v>
      </c>
      <c r="EG219" s="16">
        <v>1341</v>
      </c>
      <c r="EH219" s="16">
        <f t="shared" si="215"/>
        <v>3</v>
      </c>
      <c r="EI219" s="16"/>
      <c r="EJ219" s="16"/>
      <c r="EK219" s="80"/>
      <c r="EL219" s="81"/>
      <c r="EM219" s="15"/>
      <c r="EN219" s="15"/>
      <c r="EO219" s="15"/>
      <c r="EP219" s="16"/>
      <c r="EQ219" s="16"/>
      <c r="ER219" s="16"/>
      <c r="ES219" s="16"/>
      <c r="ET219" s="16"/>
      <c r="EU219" s="16"/>
      <c r="EV219" s="16"/>
      <c r="EW219" s="16"/>
      <c r="EX219" s="16"/>
      <c r="EY219" s="80"/>
      <c r="EZ219" s="81"/>
      <c r="FA219" s="15"/>
      <c r="FB219" s="15"/>
      <c r="FC219" s="15"/>
      <c r="FD219" s="16"/>
      <c r="FE219" s="16"/>
      <c r="FF219" s="16"/>
      <c r="FG219" s="16"/>
      <c r="FH219" s="16"/>
      <c r="FI219" s="16"/>
      <c r="FJ219" s="16"/>
      <c r="FK219" s="16"/>
      <c r="FM219" s="80"/>
      <c r="FN219" s="81"/>
      <c r="FO219" s="15"/>
      <c r="FP219" s="15"/>
      <c r="FQ219" s="15"/>
      <c r="FR219" s="16"/>
      <c r="FS219" s="16"/>
      <c r="FT219" s="16"/>
      <c r="FU219" s="16"/>
      <c r="FV219" s="16"/>
      <c r="FW219" s="16"/>
      <c r="FX219" s="16"/>
      <c r="FY219" s="16"/>
      <c r="GA219" s="80"/>
      <c r="GB219" s="81"/>
      <c r="GC219" s="15"/>
      <c r="GD219" s="15"/>
      <c r="GE219" s="15"/>
      <c r="GF219" s="16"/>
      <c r="GG219" s="16"/>
      <c r="GH219" s="16"/>
      <c r="GI219" s="16"/>
      <c r="GJ219" s="16"/>
      <c r="GK219" s="16"/>
      <c r="GL219" s="16"/>
      <c r="GM219" s="16"/>
    </row>
    <row r="220" spans="1:195" s="18" customFormat="1" ht="15" customHeight="1">
      <c r="A220" s="78">
        <v>2010</v>
      </c>
      <c r="B220" s="79" t="s">
        <v>46</v>
      </c>
      <c r="C220" s="15">
        <f t="shared" si="194"/>
        <v>0.88763781374618811</v>
      </c>
      <c r="D220" s="15">
        <f t="shared" si="195"/>
        <v>0.92554544565111041</v>
      </c>
      <c r="E220" s="15">
        <f t="shared" si="196"/>
        <v>0.95904292751583387</v>
      </c>
      <c r="F220" s="16"/>
      <c r="G220" s="33"/>
      <c r="H22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21315</v>
      </c>
      <c r="I220" s="16">
        <f t="shared" si="197"/>
        <v>873</v>
      </c>
      <c r="J22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20442</v>
      </c>
      <c r="K22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18920</v>
      </c>
      <c r="L220" s="16">
        <f t="shared" si="198"/>
        <v>1522</v>
      </c>
      <c r="M220" s="16"/>
      <c r="N220" s="16"/>
      <c r="O220" s="78">
        <v>2010</v>
      </c>
      <c r="P220" s="79" t="s">
        <v>46</v>
      </c>
      <c r="Q220" s="15">
        <f t="shared" si="157"/>
        <v>0.86472795497185739</v>
      </c>
      <c r="R220" s="15">
        <f t="shared" si="158"/>
        <v>0.95207601735178682</v>
      </c>
      <c r="S220" s="15">
        <f t="shared" si="159"/>
        <v>0.90825515947467172</v>
      </c>
      <c r="T220" s="26"/>
      <c r="U220" s="26"/>
      <c r="V220" s="16">
        <v>5330</v>
      </c>
      <c r="W220" s="16">
        <f t="shared" si="202"/>
        <v>489</v>
      </c>
      <c r="X220" s="16">
        <v>4841</v>
      </c>
      <c r="Y220" s="16">
        <v>4609</v>
      </c>
      <c r="Z220" s="16">
        <f t="shared" si="203"/>
        <v>232</v>
      </c>
      <c r="AA220" s="16"/>
      <c r="AB220" s="16"/>
      <c r="AC220" s="78"/>
      <c r="AD220" s="79"/>
      <c r="AE220" s="15"/>
      <c r="AF220" s="15"/>
      <c r="AG220" s="15"/>
      <c r="AH220" s="15"/>
      <c r="AI220" s="15"/>
      <c r="AJ220" s="16"/>
      <c r="AK220" s="16"/>
      <c r="AL220" s="16"/>
      <c r="AM220" s="16"/>
      <c r="AN220" s="16"/>
      <c r="AO220" s="16"/>
      <c r="AP220" s="16"/>
      <c r="AQ220" s="78">
        <v>2010</v>
      </c>
      <c r="AR220" s="79" t="s">
        <v>46</v>
      </c>
      <c r="AS220" s="15">
        <f t="shared" si="162"/>
        <v>0.94067460317460316</v>
      </c>
      <c r="AT220" s="15">
        <f t="shared" si="163"/>
        <v>0.9618583891255833</v>
      </c>
      <c r="AU220" s="15">
        <f t="shared" si="164"/>
        <v>0.97797619047619044</v>
      </c>
      <c r="AV220" s="16"/>
      <c r="AW220" s="16"/>
      <c r="AX220" s="16">
        <v>5040</v>
      </c>
      <c r="AY220" s="16">
        <f t="shared" si="204"/>
        <v>111</v>
      </c>
      <c r="AZ220" s="16">
        <v>4929</v>
      </c>
      <c r="BA220" s="16">
        <v>4741</v>
      </c>
      <c r="BB220" s="16">
        <f t="shared" si="205"/>
        <v>188</v>
      </c>
      <c r="BC220" s="16"/>
      <c r="BD220" s="16"/>
      <c r="BE220" s="78">
        <v>2010</v>
      </c>
      <c r="BF220" s="79" t="s">
        <v>46</v>
      </c>
      <c r="BG220" s="15">
        <f t="shared" si="167"/>
        <v>0.86394557823129248</v>
      </c>
      <c r="BH220" s="15">
        <f t="shared" si="168"/>
        <v>0.90714285714285714</v>
      </c>
      <c r="BI220" s="15">
        <f t="shared" si="169"/>
        <v>0.95238095238095233</v>
      </c>
      <c r="BJ220" s="16"/>
      <c r="BK220" s="16"/>
      <c r="BL220" s="16">
        <v>588</v>
      </c>
      <c r="BM220" s="16">
        <f t="shared" si="206"/>
        <v>28</v>
      </c>
      <c r="BN220" s="16">
        <v>560</v>
      </c>
      <c r="BO220" s="16">
        <v>508</v>
      </c>
      <c r="BP220" s="16">
        <f t="shared" si="207"/>
        <v>52</v>
      </c>
      <c r="BQ220" s="16"/>
      <c r="BR220" s="16"/>
      <c r="BS220" s="78">
        <v>2010</v>
      </c>
      <c r="BT220" s="79" t="s">
        <v>46</v>
      </c>
      <c r="BU220" s="15">
        <f t="shared" si="172"/>
        <v>0.78196347031963476</v>
      </c>
      <c r="BV220" s="15">
        <f t="shared" si="173"/>
        <v>0.80430528375733856</v>
      </c>
      <c r="BW220" s="15">
        <f t="shared" si="174"/>
        <v>0.97222222222222221</v>
      </c>
      <c r="BX220" s="16"/>
      <c r="BY220" s="16"/>
      <c r="BZ220" s="16">
        <v>2628</v>
      </c>
      <c r="CA220" s="16">
        <f t="shared" si="208"/>
        <v>73</v>
      </c>
      <c r="CB220" s="16">
        <v>2555</v>
      </c>
      <c r="CC220" s="16">
        <v>2055</v>
      </c>
      <c r="CD220" s="16">
        <f t="shared" si="209"/>
        <v>500</v>
      </c>
      <c r="CE220" s="16"/>
      <c r="CF220" s="16"/>
      <c r="CG220" s="78">
        <v>2010</v>
      </c>
      <c r="CH220" s="79" t="s">
        <v>46</v>
      </c>
      <c r="CI220" s="15">
        <f t="shared" si="177"/>
        <v>0.91831306990881456</v>
      </c>
      <c r="CJ220" s="15">
        <f t="shared" si="178"/>
        <v>0.94635865309318712</v>
      </c>
      <c r="CK220" s="15">
        <f t="shared" si="179"/>
        <v>0.97036474164133735</v>
      </c>
      <c r="CL220" s="16"/>
      <c r="CM220" s="16"/>
      <c r="CN220" s="16">
        <v>2632</v>
      </c>
      <c r="CO220" s="16">
        <f t="shared" si="210"/>
        <v>78</v>
      </c>
      <c r="CP220" s="16">
        <v>2554</v>
      </c>
      <c r="CQ220" s="16">
        <v>2417</v>
      </c>
      <c r="CR220" s="16">
        <f t="shared" si="211"/>
        <v>137</v>
      </c>
      <c r="CS220" s="16"/>
      <c r="CT220" s="16"/>
      <c r="CU220" s="78">
        <v>2010</v>
      </c>
      <c r="CV220" s="79" t="s">
        <v>46</v>
      </c>
      <c r="CW220" s="15">
        <f t="shared" si="199"/>
        <v>0.87901498929336186</v>
      </c>
      <c r="CX220" s="15">
        <f t="shared" si="200"/>
        <v>0.89531079607415487</v>
      </c>
      <c r="CY220" s="15">
        <f t="shared" si="201"/>
        <v>0.9817987152034261</v>
      </c>
      <c r="CZ220" s="16"/>
      <c r="DA220" s="16"/>
      <c r="DB220" s="16">
        <v>2802</v>
      </c>
      <c r="DC220" s="16">
        <f t="shared" si="182"/>
        <v>51</v>
      </c>
      <c r="DD220" s="16">
        <v>2751</v>
      </c>
      <c r="DE220" s="16">
        <v>2463</v>
      </c>
      <c r="DF220" s="16">
        <f t="shared" si="183"/>
        <v>288</v>
      </c>
      <c r="DG220" s="16"/>
      <c r="DH220" s="16"/>
      <c r="DI220" s="78">
        <v>2010</v>
      </c>
      <c r="DJ220" s="79" t="s">
        <v>46</v>
      </c>
      <c r="DK220" s="15">
        <f t="shared" si="184"/>
        <v>0.88105263157894742</v>
      </c>
      <c r="DL220" s="15">
        <f t="shared" si="185"/>
        <v>0.88105263157894742</v>
      </c>
      <c r="DM220" s="15">
        <f t="shared" si="186"/>
        <v>1</v>
      </c>
      <c r="DN220" s="16"/>
      <c r="DO220" s="16"/>
      <c r="DP220" s="16">
        <v>950</v>
      </c>
      <c r="DQ220" s="16">
        <f t="shared" si="212"/>
        <v>0</v>
      </c>
      <c r="DR220" s="16">
        <v>950</v>
      </c>
      <c r="DS220" s="16">
        <v>837</v>
      </c>
      <c r="DT220" s="16">
        <f t="shared" si="213"/>
        <v>113</v>
      </c>
      <c r="DU220" s="16"/>
      <c r="DV220" s="16"/>
      <c r="DW220" s="78">
        <v>2010</v>
      </c>
      <c r="DX220" s="79" t="s">
        <v>46</v>
      </c>
      <c r="DY220" s="15">
        <f t="shared" si="189"/>
        <v>0.95910780669144979</v>
      </c>
      <c r="DZ220" s="15">
        <f t="shared" si="190"/>
        <v>0.99078341013824889</v>
      </c>
      <c r="EA220" s="15">
        <f t="shared" si="191"/>
        <v>0.96802973977695173</v>
      </c>
      <c r="EB220" s="16"/>
      <c r="EC220" s="16"/>
      <c r="ED220" s="16">
        <v>1345</v>
      </c>
      <c r="EE220" s="16">
        <f t="shared" si="214"/>
        <v>43</v>
      </c>
      <c r="EF220" s="16">
        <v>1302</v>
      </c>
      <c r="EG220" s="16">
        <v>1290</v>
      </c>
      <c r="EH220" s="16">
        <f t="shared" si="215"/>
        <v>12</v>
      </c>
      <c r="EI220" s="16"/>
      <c r="EJ220" s="16"/>
      <c r="EK220" s="78"/>
      <c r="EL220" s="79"/>
      <c r="EM220" s="15"/>
      <c r="EN220" s="15"/>
      <c r="EO220" s="15"/>
      <c r="EP220" s="16"/>
      <c r="EQ220" s="16"/>
      <c r="ER220" s="16"/>
      <c r="ES220" s="16"/>
      <c r="ET220" s="16"/>
      <c r="EU220" s="16"/>
      <c r="EV220" s="16"/>
      <c r="EW220" s="16"/>
      <c r="EX220" s="16"/>
      <c r="EY220" s="78"/>
      <c r="EZ220" s="79"/>
      <c r="FA220" s="15"/>
      <c r="FB220" s="15"/>
      <c r="FC220" s="15"/>
      <c r="FD220" s="16"/>
      <c r="FE220" s="16"/>
      <c r="FF220" s="16"/>
      <c r="FG220" s="16"/>
      <c r="FH220" s="16"/>
      <c r="FI220" s="16"/>
      <c r="FJ220" s="16"/>
      <c r="FK220" s="16"/>
      <c r="FM220" s="78"/>
      <c r="FN220" s="79"/>
      <c r="FO220" s="15"/>
      <c r="FP220" s="15"/>
      <c r="FQ220" s="15"/>
      <c r="FR220" s="16"/>
      <c r="FS220" s="16"/>
      <c r="FT220" s="16"/>
      <c r="FU220" s="16"/>
      <c r="FV220" s="16"/>
      <c r="FW220" s="16"/>
      <c r="FX220" s="16"/>
      <c r="FY220" s="16"/>
      <c r="GA220" s="78"/>
      <c r="GB220" s="79"/>
      <c r="GC220" s="15"/>
      <c r="GD220" s="15"/>
      <c r="GE220" s="15"/>
      <c r="GF220" s="16"/>
      <c r="GG220" s="16"/>
      <c r="GH220" s="16"/>
      <c r="GI220" s="16"/>
      <c r="GJ220" s="16"/>
      <c r="GK220" s="16"/>
      <c r="GL220" s="16"/>
      <c r="GM220" s="16"/>
    </row>
    <row r="221" spans="1:195" s="18" customFormat="1" ht="15" customHeight="1">
      <c r="A221" s="80">
        <v>2010</v>
      </c>
      <c r="B221" s="81" t="s">
        <v>47</v>
      </c>
      <c r="C221" s="15">
        <f t="shared" si="194"/>
        <v>0.86600885282183693</v>
      </c>
      <c r="D221" s="15">
        <f t="shared" si="195"/>
        <v>0.92485719913334652</v>
      </c>
      <c r="E221" s="15">
        <f t="shared" si="196"/>
        <v>0.93637034304684619</v>
      </c>
      <c r="F221" s="16"/>
      <c r="G221" s="33"/>
      <c r="H22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21688</v>
      </c>
      <c r="I221" s="16">
        <f t="shared" si="197"/>
        <v>1380</v>
      </c>
      <c r="J22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20308</v>
      </c>
      <c r="K22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18782</v>
      </c>
      <c r="L221" s="16">
        <f t="shared" si="198"/>
        <v>1526</v>
      </c>
      <c r="M221" s="16"/>
      <c r="N221" s="16"/>
      <c r="O221" s="80">
        <v>2010</v>
      </c>
      <c r="P221" s="81" t="s">
        <v>47</v>
      </c>
      <c r="Q221" s="15">
        <f t="shared" si="157"/>
        <v>0.81473918693150171</v>
      </c>
      <c r="R221" s="15">
        <f t="shared" si="158"/>
        <v>0.95704317488006974</v>
      </c>
      <c r="S221" s="15">
        <f t="shared" si="159"/>
        <v>0.85130870614442178</v>
      </c>
      <c r="T221" s="26"/>
      <c r="U221" s="26"/>
      <c r="V221" s="16">
        <v>5387</v>
      </c>
      <c r="W221" s="16">
        <f t="shared" si="202"/>
        <v>801</v>
      </c>
      <c r="X221" s="16">
        <v>4586</v>
      </c>
      <c r="Y221" s="16">
        <v>4389</v>
      </c>
      <c r="Z221" s="16">
        <f t="shared" si="203"/>
        <v>197</v>
      </c>
      <c r="AA221" s="16"/>
      <c r="AB221" s="16"/>
      <c r="AC221" s="80"/>
      <c r="AD221" s="81"/>
      <c r="AE221" s="15"/>
      <c r="AF221" s="15"/>
      <c r="AG221" s="15"/>
      <c r="AH221" s="15"/>
      <c r="AI221" s="15"/>
      <c r="AJ221" s="16"/>
      <c r="AK221" s="16"/>
      <c r="AL221" s="16"/>
      <c r="AM221" s="16"/>
      <c r="AN221" s="16"/>
      <c r="AO221" s="16"/>
      <c r="AP221" s="16"/>
      <c r="AQ221" s="80">
        <v>2010</v>
      </c>
      <c r="AR221" s="81" t="s">
        <v>47</v>
      </c>
      <c r="AS221" s="15">
        <f t="shared" si="162"/>
        <v>0.93525039123630671</v>
      </c>
      <c r="AT221" s="15">
        <f t="shared" si="163"/>
        <v>0.96859805510534847</v>
      </c>
      <c r="AU221" s="15">
        <f t="shared" si="164"/>
        <v>0.96557120500782467</v>
      </c>
      <c r="AV221" s="16"/>
      <c r="AW221" s="16"/>
      <c r="AX221" s="16">
        <v>5112</v>
      </c>
      <c r="AY221" s="16">
        <f t="shared" si="204"/>
        <v>176</v>
      </c>
      <c r="AZ221" s="16">
        <v>4936</v>
      </c>
      <c r="BA221" s="16">
        <v>4781</v>
      </c>
      <c r="BB221" s="16">
        <f t="shared" si="205"/>
        <v>155</v>
      </c>
      <c r="BC221" s="16"/>
      <c r="BD221" s="16"/>
      <c r="BE221" s="80">
        <v>2010</v>
      </c>
      <c r="BF221" s="81" t="s">
        <v>47</v>
      </c>
      <c r="BG221" s="15">
        <f t="shared" si="167"/>
        <v>0.84107142857142858</v>
      </c>
      <c r="BH221" s="15">
        <f t="shared" si="168"/>
        <v>0.89204545454545459</v>
      </c>
      <c r="BI221" s="15">
        <f t="shared" si="169"/>
        <v>0.94285714285714284</v>
      </c>
      <c r="BJ221" s="16"/>
      <c r="BK221" s="16"/>
      <c r="BL221" s="16">
        <v>560</v>
      </c>
      <c r="BM221" s="16">
        <f t="shared" si="206"/>
        <v>32</v>
      </c>
      <c r="BN221" s="16">
        <v>528</v>
      </c>
      <c r="BO221" s="16">
        <v>471</v>
      </c>
      <c r="BP221" s="16">
        <f t="shared" si="207"/>
        <v>57</v>
      </c>
      <c r="BQ221" s="16"/>
      <c r="BR221" s="16"/>
      <c r="BS221" s="80">
        <v>2010</v>
      </c>
      <c r="BT221" s="81" t="s">
        <v>47</v>
      </c>
      <c r="BU221" s="15">
        <f t="shared" si="172"/>
        <v>0.74702823179791977</v>
      </c>
      <c r="BV221" s="15">
        <f t="shared" si="173"/>
        <v>0.78770074422248337</v>
      </c>
      <c r="BW221" s="15">
        <f t="shared" si="174"/>
        <v>0.94836552748885583</v>
      </c>
      <c r="BX221" s="16"/>
      <c r="BY221" s="16"/>
      <c r="BZ221" s="16">
        <v>2692</v>
      </c>
      <c r="CA221" s="16">
        <f t="shared" si="208"/>
        <v>139</v>
      </c>
      <c r="CB221" s="16">
        <v>2553</v>
      </c>
      <c r="CC221" s="16">
        <v>2011</v>
      </c>
      <c r="CD221" s="16">
        <f t="shared" si="209"/>
        <v>542</v>
      </c>
      <c r="CE221" s="16"/>
      <c r="CF221" s="16"/>
      <c r="CG221" s="80">
        <v>2010</v>
      </c>
      <c r="CH221" s="81" t="s">
        <v>47</v>
      </c>
      <c r="CI221" s="15">
        <f t="shared" si="177"/>
        <v>0.90100111234705227</v>
      </c>
      <c r="CJ221" s="15">
        <f t="shared" si="178"/>
        <v>0.93677717810331529</v>
      </c>
      <c r="CK221" s="15">
        <f t="shared" si="179"/>
        <v>0.96180941787170926</v>
      </c>
      <c r="CL221" s="16"/>
      <c r="CM221" s="16"/>
      <c r="CN221" s="16">
        <v>2697</v>
      </c>
      <c r="CO221" s="16">
        <f t="shared" si="210"/>
        <v>103</v>
      </c>
      <c r="CP221" s="16">
        <v>2594</v>
      </c>
      <c r="CQ221" s="16">
        <v>2430</v>
      </c>
      <c r="CR221" s="16">
        <f t="shared" si="211"/>
        <v>164</v>
      </c>
      <c r="CS221" s="16"/>
      <c r="CT221" s="16"/>
      <c r="CU221" s="80">
        <v>2010</v>
      </c>
      <c r="CV221" s="81" t="s">
        <v>47</v>
      </c>
      <c r="CW221" s="15">
        <f t="shared" si="199"/>
        <v>0.85744089012517388</v>
      </c>
      <c r="CX221" s="15">
        <f t="shared" si="200"/>
        <v>0.88387096774193552</v>
      </c>
      <c r="CY221" s="15">
        <f t="shared" si="201"/>
        <v>0.9700973574408901</v>
      </c>
      <c r="CZ221" s="16"/>
      <c r="DA221" s="16"/>
      <c r="DB221" s="16">
        <v>2876</v>
      </c>
      <c r="DC221" s="16">
        <f t="shared" si="182"/>
        <v>86</v>
      </c>
      <c r="DD221" s="16">
        <v>2790</v>
      </c>
      <c r="DE221" s="16">
        <v>2466</v>
      </c>
      <c r="DF221" s="16">
        <f t="shared" si="183"/>
        <v>324</v>
      </c>
      <c r="DG221" s="16"/>
      <c r="DH221" s="16"/>
      <c r="DI221" s="80">
        <v>2010</v>
      </c>
      <c r="DJ221" s="81" t="s">
        <v>47</v>
      </c>
      <c r="DK221" s="15">
        <f t="shared" si="184"/>
        <v>0.88877551020408163</v>
      </c>
      <c r="DL221" s="15">
        <f t="shared" si="185"/>
        <v>0.91299790356394128</v>
      </c>
      <c r="DM221" s="15">
        <f t="shared" si="186"/>
        <v>0.97346938775510206</v>
      </c>
      <c r="DN221" s="16"/>
      <c r="DO221" s="16"/>
      <c r="DP221" s="16">
        <v>980</v>
      </c>
      <c r="DQ221" s="16">
        <f t="shared" si="212"/>
        <v>26</v>
      </c>
      <c r="DR221" s="16">
        <v>954</v>
      </c>
      <c r="DS221" s="16">
        <v>871</v>
      </c>
      <c r="DT221" s="16">
        <f t="shared" si="213"/>
        <v>83</v>
      </c>
      <c r="DU221" s="16"/>
      <c r="DV221" s="16"/>
      <c r="DW221" s="80">
        <v>2010</v>
      </c>
      <c r="DX221" s="81" t="s">
        <v>47</v>
      </c>
      <c r="DY221" s="15">
        <f t="shared" si="189"/>
        <v>0.98482658959537572</v>
      </c>
      <c r="DZ221" s="15">
        <f t="shared" si="190"/>
        <v>0.99707388441843448</v>
      </c>
      <c r="EA221" s="15">
        <f t="shared" si="191"/>
        <v>0.98771676300578037</v>
      </c>
      <c r="EB221" s="16"/>
      <c r="EC221" s="16"/>
      <c r="ED221" s="16">
        <v>1384</v>
      </c>
      <c r="EE221" s="16">
        <f t="shared" si="214"/>
        <v>17</v>
      </c>
      <c r="EF221" s="16">
        <v>1367</v>
      </c>
      <c r="EG221" s="16">
        <v>1363</v>
      </c>
      <c r="EH221" s="16">
        <f t="shared" si="215"/>
        <v>4</v>
      </c>
      <c r="EI221" s="16"/>
      <c r="EJ221" s="16"/>
      <c r="EK221" s="80"/>
      <c r="EL221" s="81"/>
      <c r="EM221" s="15"/>
      <c r="EN221" s="15"/>
      <c r="EO221" s="15"/>
      <c r="EP221" s="16"/>
      <c r="EQ221" s="16"/>
      <c r="ER221" s="16"/>
      <c r="ES221" s="16"/>
      <c r="ET221" s="16"/>
      <c r="EU221" s="16"/>
      <c r="EV221" s="16"/>
      <c r="EW221" s="16"/>
      <c r="EX221" s="16"/>
      <c r="EY221" s="80"/>
      <c r="EZ221" s="81"/>
      <c r="FA221" s="15"/>
      <c r="FB221" s="15"/>
      <c r="FC221" s="15"/>
      <c r="FD221" s="16"/>
      <c r="FE221" s="16"/>
      <c r="FF221" s="16"/>
      <c r="FG221" s="16"/>
      <c r="FH221" s="16"/>
      <c r="FI221" s="16"/>
      <c r="FJ221" s="16"/>
      <c r="FK221" s="16"/>
      <c r="FM221" s="80"/>
      <c r="FN221" s="81"/>
      <c r="FO221" s="15"/>
      <c r="FP221" s="15"/>
      <c r="FQ221" s="15"/>
      <c r="FR221" s="16"/>
      <c r="FS221" s="16"/>
      <c r="FT221" s="16"/>
      <c r="FU221" s="16"/>
      <c r="FV221" s="16"/>
      <c r="FW221" s="16"/>
      <c r="FX221" s="16"/>
      <c r="FY221" s="16"/>
      <c r="GA221" s="80"/>
      <c r="GB221" s="81"/>
      <c r="GC221" s="15"/>
      <c r="GD221" s="15"/>
      <c r="GE221" s="15"/>
      <c r="GF221" s="16"/>
      <c r="GG221" s="16"/>
      <c r="GH221" s="16"/>
      <c r="GI221" s="16"/>
      <c r="GJ221" s="16"/>
      <c r="GK221" s="16"/>
      <c r="GL221" s="16"/>
      <c r="GM221" s="16"/>
    </row>
    <row r="222" spans="1:195" s="18" customFormat="1" ht="15" customHeight="1">
      <c r="A222" s="78">
        <v>2011</v>
      </c>
      <c r="B222" s="79" t="s">
        <v>36</v>
      </c>
      <c r="C222" s="15">
        <f t="shared" si="194"/>
        <v>0.83235509904622162</v>
      </c>
      <c r="D222" s="15">
        <f t="shared" si="195"/>
        <v>0.89759185086287885</v>
      </c>
      <c r="E222" s="15">
        <f t="shared" si="196"/>
        <v>0.92732024944974323</v>
      </c>
      <c r="F222" s="16"/>
      <c r="G222" s="33"/>
      <c r="H22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21808</v>
      </c>
      <c r="I222" s="16">
        <f t="shared" si="197"/>
        <v>1585</v>
      </c>
      <c r="J22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20223</v>
      </c>
      <c r="K22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18152</v>
      </c>
      <c r="L222" s="16">
        <f t="shared" si="198"/>
        <v>2071</v>
      </c>
      <c r="M222" s="16"/>
      <c r="N222" s="16"/>
      <c r="O222" s="78">
        <v>2011</v>
      </c>
      <c r="P222" s="79" t="s">
        <v>36</v>
      </c>
      <c r="Q222" s="15">
        <f t="shared" si="157"/>
        <v>0.82015846692463612</v>
      </c>
      <c r="R222" s="15">
        <f t="shared" si="158"/>
        <v>0.93429890848026864</v>
      </c>
      <c r="S222" s="15">
        <f t="shared" si="159"/>
        <v>0.87783305693753455</v>
      </c>
      <c r="T222" s="26"/>
      <c r="U222" s="26"/>
      <c r="V222" s="16">
        <v>5427</v>
      </c>
      <c r="W222" s="16">
        <f t="shared" ref="W222:W233" si="216">V222-X222</f>
        <v>663</v>
      </c>
      <c r="X222" s="16">
        <v>4764</v>
      </c>
      <c r="Y222" s="16">
        <v>4451</v>
      </c>
      <c r="Z222" s="16">
        <f t="shared" ref="Z222:Z233" si="217">X222-Y222</f>
        <v>313</v>
      </c>
      <c r="AA222" s="16"/>
      <c r="AB222" s="16"/>
      <c r="AC222" s="78"/>
      <c r="AD222" s="79"/>
      <c r="AE222" s="15"/>
      <c r="AF222" s="15"/>
      <c r="AG222" s="15"/>
      <c r="AH222" s="15"/>
      <c r="AI222" s="15"/>
      <c r="AJ222" s="16"/>
      <c r="AK222" s="16"/>
      <c r="AL222" s="16"/>
      <c r="AM222" s="16"/>
      <c r="AN222" s="16"/>
      <c r="AO222" s="16"/>
      <c r="AP222" s="16"/>
      <c r="AQ222" s="78">
        <v>2011</v>
      </c>
      <c r="AR222" s="79" t="s">
        <v>36</v>
      </c>
      <c r="AS222" s="15">
        <f t="shared" si="162"/>
        <v>0.91306884480746786</v>
      </c>
      <c r="AT222" s="15">
        <f t="shared" si="163"/>
        <v>0.94695441710367079</v>
      </c>
      <c r="AU222" s="15">
        <f t="shared" si="164"/>
        <v>0.96421625826526647</v>
      </c>
      <c r="AV222" s="16"/>
      <c r="AW222" s="16"/>
      <c r="AX222" s="16">
        <v>5142</v>
      </c>
      <c r="AY222" s="16">
        <f t="shared" ref="AY222:AY233" si="218">AX222-AZ222</f>
        <v>184</v>
      </c>
      <c r="AZ222" s="16">
        <v>4958</v>
      </c>
      <c r="BA222" s="16">
        <v>4695</v>
      </c>
      <c r="BB222" s="16">
        <f t="shared" ref="BB222:BB233" si="219">AZ222-BA222</f>
        <v>263</v>
      </c>
      <c r="BC222" s="16"/>
      <c r="BD222" s="16"/>
      <c r="BE222" s="78">
        <v>2011</v>
      </c>
      <c r="BF222" s="79" t="s">
        <v>36</v>
      </c>
      <c r="BG222" s="15">
        <f t="shared" si="167"/>
        <v>0.77721088435374153</v>
      </c>
      <c r="BH222" s="15">
        <f t="shared" si="168"/>
        <v>0.84944237918215615</v>
      </c>
      <c r="BI222" s="15">
        <f t="shared" si="169"/>
        <v>0.91496598639455784</v>
      </c>
      <c r="BJ222" s="16"/>
      <c r="BK222" s="16"/>
      <c r="BL222" s="16">
        <v>588</v>
      </c>
      <c r="BM222" s="16">
        <f t="shared" ref="BM222:BM233" si="220">BL222-BN222</f>
        <v>50</v>
      </c>
      <c r="BN222" s="16">
        <v>538</v>
      </c>
      <c r="BO222" s="16">
        <v>457</v>
      </c>
      <c r="BP222" s="16">
        <f t="shared" ref="BP222:BP233" si="221">BN222-BO222</f>
        <v>81</v>
      </c>
      <c r="BQ222" s="16"/>
      <c r="BR222" s="16"/>
      <c r="BS222" s="78">
        <v>2011</v>
      </c>
      <c r="BT222" s="79" t="s">
        <v>36</v>
      </c>
      <c r="BU222" s="15">
        <f t="shared" si="172"/>
        <v>0.67481481481481487</v>
      </c>
      <c r="BV222" s="15">
        <f t="shared" si="173"/>
        <v>0.75979983319432864</v>
      </c>
      <c r="BW222" s="15">
        <f t="shared" si="174"/>
        <v>0.88814814814814813</v>
      </c>
      <c r="BX222" s="16"/>
      <c r="BY222" s="16"/>
      <c r="BZ222" s="16">
        <v>2700</v>
      </c>
      <c r="CA222" s="16">
        <f t="shared" ref="CA222:CA233" si="222">BZ222-CB222</f>
        <v>302</v>
      </c>
      <c r="CB222" s="16">
        <v>2398</v>
      </c>
      <c r="CC222" s="16">
        <v>1822</v>
      </c>
      <c r="CD222" s="16">
        <f t="shared" ref="CD222:CD233" si="223">CB222-CC222</f>
        <v>576</v>
      </c>
      <c r="CE222" s="16"/>
      <c r="CF222" s="16"/>
      <c r="CG222" s="78">
        <v>2011</v>
      </c>
      <c r="CH222" s="79" t="s">
        <v>36</v>
      </c>
      <c r="CI222" s="15">
        <f t="shared" si="177"/>
        <v>0.88054733727810652</v>
      </c>
      <c r="CJ222" s="15">
        <f t="shared" si="178"/>
        <v>0.91718027734976892</v>
      </c>
      <c r="CK222" s="15">
        <f t="shared" si="179"/>
        <v>0.9600591715976331</v>
      </c>
      <c r="CL222" s="16"/>
      <c r="CM222" s="16"/>
      <c r="CN222" s="16">
        <v>2704</v>
      </c>
      <c r="CO222" s="16">
        <f t="shared" ref="CO222:CO233" si="224">CN222-CP222</f>
        <v>108</v>
      </c>
      <c r="CP222" s="16">
        <v>2596</v>
      </c>
      <c r="CQ222" s="16">
        <v>2381</v>
      </c>
      <c r="CR222" s="16">
        <f t="shared" ref="CR222:CR233" si="225">CP222-CQ222</f>
        <v>215</v>
      </c>
      <c r="CS222" s="16"/>
      <c r="CT222" s="16"/>
      <c r="CU222" s="78">
        <v>2011</v>
      </c>
      <c r="CV222" s="79" t="s">
        <v>36</v>
      </c>
      <c r="CW222" s="15">
        <f t="shared" si="199"/>
        <v>0.75858480749219559</v>
      </c>
      <c r="CX222" s="15">
        <f t="shared" si="200"/>
        <v>0.8142218912881608</v>
      </c>
      <c r="CY222" s="15">
        <f t="shared" si="201"/>
        <v>0.93166840097121051</v>
      </c>
      <c r="CZ222" s="16"/>
      <c r="DA222" s="16"/>
      <c r="DB222" s="16">
        <v>2883</v>
      </c>
      <c r="DC222" s="16">
        <f t="shared" si="182"/>
        <v>197</v>
      </c>
      <c r="DD222" s="16">
        <v>2686</v>
      </c>
      <c r="DE222" s="16">
        <v>2187</v>
      </c>
      <c r="DF222" s="16">
        <f t="shared" si="183"/>
        <v>499</v>
      </c>
      <c r="DG222" s="16"/>
      <c r="DH222" s="16"/>
      <c r="DI222" s="78">
        <v>2011</v>
      </c>
      <c r="DJ222" s="79" t="s">
        <v>36</v>
      </c>
      <c r="DK222" s="15">
        <f t="shared" si="184"/>
        <v>0.8510204081632653</v>
      </c>
      <c r="DL222" s="15">
        <f t="shared" si="185"/>
        <v>0.89967637540453071</v>
      </c>
      <c r="DM222" s="15">
        <f t="shared" si="186"/>
        <v>0.94591836734693879</v>
      </c>
      <c r="DN222" s="16"/>
      <c r="DO222" s="16"/>
      <c r="DP222" s="16">
        <v>980</v>
      </c>
      <c r="DQ222" s="16">
        <f t="shared" ref="DQ222:DQ233" si="226">DP222-DR222</f>
        <v>53</v>
      </c>
      <c r="DR222" s="16">
        <v>927</v>
      </c>
      <c r="DS222" s="16">
        <v>834</v>
      </c>
      <c r="DT222" s="16">
        <f t="shared" ref="DT222:DT233" si="227">DR222-DS222</f>
        <v>93</v>
      </c>
      <c r="DU222" s="16"/>
      <c r="DV222" s="16"/>
      <c r="DW222" s="78">
        <v>2011</v>
      </c>
      <c r="DX222" s="79" t="s">
        <v>36</v>
      </c>
      <c r="DY222" s="15">
        <f t="shared" si="189"/>
        <v>0.95736994219653182</v>
      </c>
      <c r="DZ222" s="15">
        <f t="shared" si="190"/>
        <v>0.97713864306784659</v>
      </c>
      <c r="EA222" s="15">
        <f t="shared" si="191"/>
        <v>0.97976878612716767</v>
      </c>
      <c r="EB222" s="16"/>
      <c r="EC222" s="16"/>
      <c r="ED222" s="16">
        <v>1384</v>
      </c>
      <c r="EE222" s="16">
        <f t="shared" ref="EE222:EE233" si="228">ED222-EF222</f>
        <v>28</v>
      </c>
      <c r="EF222" s="16">
        <v>1356</v>
      </c>
      <c r="EG222" s="16">
        <v>1325</v>
      </c>
      <c r="EH222" s="16">
        <f t="shared" ref="EH222:EH233" si="229">EF222-EG222</f>
        <v>31</v>
      </c>
      <c r="EI222" s="16"/>
      <c r="EJ222" s="16"/>
      <c r="EK222" s="78"/>
      <c r="EL222" s="79"/>
      <c r="EM222" s="15"/>
      <c r="EN222" s="15"/>
      <c r="EO222" s="15"/>
      <c r="EP222" s="16"/>
      <c r="EQ222" s="16"/>
      <c r="ER222" s="16"/>
      <c r="ES222" s="16"/>
      <c r="ET222" s="16"/>
      <c r="EU222" s="16"/>
      <c r="EV222" s="16"/>
      <c r="EW222" s="16"/>
      <c r="EX222" s="16"/>
      <c r="EY222" s="78"/>
      <c r="EZ222" s="79"/>
      <c r="FA222" s="15"/>
      <c r="FB222" s="15"/>
      <c r="FC222" s="15"/>
      <c r="FD222" s="16"/>
      <c r="FE222" s="16"/>
      <c r="FF222" s="16"/>
      <c r="FG222" s="16"/>
      <c r="FH222" s="16"/>
      <c r="FI222" s="16"/>
      <c r="FJ222" s="16"/>
      <c r="FK222" s="16"/>
      <c r="FM222" s="78"/>
      <c r="FN222" s="79"/>
      <c r="FO222" s="15"/>
      <c r="FP222" s="15"/>
      <c r="FQ222" s="15"/>
      <c r="FR222" s="16"/>
      <c r="FS222" s="16"/>
      <c r="FT222" s="16"/>
      <c r="FU222" s="16"/>
      <c r="FV222" s="16"/>
      <c r="FW222" s="16"/>
      <c r="FX222" s="16"/>
      <c r="FY222" s="16"/>
      <c r="GA222" s="78"/>
      <c r="GB222" s="79"/>
      <c r="GC222" s="15"/>
      <c r="GD222" s="15"/>
      <c r="GE222" s="15"/>
      <c r="GF222" s="16"/>
      <c r="GG222" s="16"/>
      <c r="GH222" s="16"/>
      <c r="GI222" s="16"/>
      <c r="GJ222" s="16"/>
      <c r="GK222" s="16"/>
      <c r="GL222" s="16"/>
      <c r="GM222" s="16"/>
    </row>
    <row r="223" spans="1:195" s="18" customFormat="1" ht="15" customHeight="1">
      <c r="A223" s="80">
        <v>2011</v>
      </c>
      <c r="B223" s="81" t="s">
        <v>37</v>
      </c>
      <c r="C223" s="15">
        <f t="shared" si="194"/>
        <v>0.8188571998404468</v>
      </c>
      <c r="D223" s="15">
        <f t="shared" si="195"/>
        <v>0.89792236194641883</v>
      </c>
      <c r="E223" s="15">
        <f t="shared" si="196"/>
        <v>0.91194654966094935</v>
      </c>
      <c r="F223" s="16"/>
      <c r="G223" s="33"/>
      <c r="H22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20056</v>
      </c>
      <c r="I223" s="16">
        <f t="shared" si="197"/>
        <v>1766</v>
      </c>
      <c r="J22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18290</v>
      </c>
      <c r="K22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16423</v>
      </c>
      <c r="L223" s="16">
        <f t="shared" si="198"/>
        <v>1867</v>
      </c>
      <c r="M223" s="16"/>
      <c r="N223" s="16"/>
      <c r="O223" s="80">
        <v>2011</v>
      </c>
      <c r="P223" s="81" t="s">
        <v>37</v>
      </c>
      <c r="Q223" s="15">
        <f t="shared" si="157"/>
        <v>0.77740270055599681</v>
      </c>
      <c r="R223" s="15">
        <f t="shared" si="158"/>
        <v>0.92794501066603463</v>
      </c>
      <c r="S223" s="15">
        <f t="shared" si="159"/>
        <v>0.83776806989674346</v>
      </c>
      <c r="T223" s="26"/>
      <c r="U223" s="26"/>
      <c r="V223" s="16">
        <v>5036</v>
      </c>
      <c r="W223" s="16">
        <f t="shared" si="216"/>
        <v>817</v>
      </c>
      <c r="X223" s="16">
        <v>4219</v>
      </c>
      <c r="Y223" s="16">
        <v>3915</v>
      </c>
      <c r="Z223" s="16">
        <f t="shared" si="217"/>
        <v>304</v>
      </c>
      <c r="AA223" s="16"/>
      <c r="AB223" s="16"/>
      <c r="AC223" s="80"/>
      <c r="AD223" s="81"/>
      <c r="AE223" s="15"/>
      <c r="AF223" s="15"/>
      <c r="AG223" s="15"/>
      <c r="AH223" s="15"/>
      <c r="AI223" s="15"/>
      <c r="AJ223" s="16"/>
      <c r="AK223" s="16"/>
      <c r="AL223" s="16"/>
      <c r="AM223" s="16"/>
      <c r="AN223" s="16"/>
      <c r="AO223" s="16"/>
      <c r="AP223" s="16"/>
      <c r="AQ223" s="80">
        <v>2011</v>
      </c>
      <c r="AR223" s="81" t="s">
        <v>37</v>
      </c>
      <c r="AS223" s="15">
        <f t="shared" si="162"/>
        <v>0.89192598822539948</v>
      </c>
      <c r="AT223" s="15">
        <f t="shared" si="163"/>
        <v>0.94560855996433346</v>
      </c>
      <c r="AU223" s="15">
        <f t="shared" si="164"/>
        <v>0.94322960470984019</v>
      </c>
      <c r="AV223" s="16"/>
      <c r="AW223" s="16"/>
      <c r="AX223" s="16">
        <v>4756</v>
      </c>
      <c r="AY223" s="16">
        <f t="shared" si="218"/>
        <v>270</v>
      </c>
      <c r="AZ223" s="16">
        <v>4486</v>
      </c>
      <c r="BA223" s="16">
        <v>4242</v>
      </c>
      <c r="BB223" s="16">
        <f t="shared" si="219"/>
        <v>244</v>
      </c>
      <c r="BC223" s="16"/>
      <c r="BD223" s="16"/>
      <c r="BE223" s="80">
        <v>2011</v>
      </c>
      <c r="BF223" s="81" t="s">
        <v>37</v>
      </c>
      <c r="BG223" s="15">
        <f t="shared" si="167"/>
        <v>0.71250000000000002</v>
      </c>
      <c r="BH223" s="15">
        <f t="shared" si="168"/>
        <v>0.78853754940711462</v>
      </c>
      <c r="BI223" s="15">
        <f t="shared" si="169"/>
        <v>0.90357142857142858</v>
      </c>
      <c r="BJ223" s="16"/>
      <c r="BK223" s="16"/>
      <c r="BL223" s="16">
        <v>560</v>
      </c>
      <c r="BM223" s="16">
        <f t="shared" si="220"/>
        <v>54</v>
      </c>
      <c r="BN223" s="16">
        <v>506</v>
      </c>
      <c r="BO223" s="16">
        <v>399</v>
      </c>
      <c r="BP223" s="16">
        <f t="shared" si="221"/>
        <v>107</v>
      </c>
      <c r="BQ223" s="16"/>
      <c r="BR223" s="16"/>
      <c r="BS223" s="80">
        <v>2011</v>
      </c>
      <c r="BT223" s="81" t="s">
        <v>37</v>
      </c>
      <c r="BU223" s="15">
        <f t="shared" si="172"/>
        <v>0.77394480519480524</v>
      </c>
      <c r="BV223" s="15">
        <f t="shared" si="173"/>
        <v>0.8323876036665212</v>
      </c>
      <c r="BW223" s="15">
        <f t="shared" si="174"/>
        <v>0.92978896103896103</v>
      </c>
      <c r="BX223" s="16"/>
      <c r="BY223" s="16"/>
      <c r="BZ223" s="16">
        <v>2464</v>
      </c>
      <c r="CA223" s="16">
        <f t="shared" si="222"/>
        <v>173</v>
      </c>
      <c r="CB223" s="16">
        <v>2291</v>
      </c>
      <c r="CC223" s="16">
        <v>1907</v>
      </c>
      <c r="CD223" s="16">
        <f t="shared" si="223"/>
        <v>384</v>
      </c>
      <c r="CE223" s="16"/>
      <c r="CF223" s="16"/>
      <c r="CG223" s="80">
        <v>2011</v>
      </c>
      <c r="CH223" s="81" t="s">
        <v>37</v>
      </c>
      <c r="CI223" s="15">
        <f t="shared" si="177"/>
        <v>0.87398703403565636</v>
      </c>
      <c r="CJ223" s="15">
        <f t="shared" si="178"/>
        <v>0.93174946004319659</v>
      </c>
      <c r="CK223" s="15">
        <f t="shared" si="179"/>
        <v>0.93800648298217182</v>
      </c>
      <c r="CL223" s="16"/>
      <c r="CM223" s="16"/>
      <c r="CN223" s="16">
        <v>2468</v>
      </c>
      <c r="CO223" s="16">
        <f t="shared" si="224"/>
        <v>153</v>
      </c>
      <c r="CP223" s="16">
        <v>2315</v>
      </c>
      <c r="CQ223" s="16">
        <v>2157</v>
      </c>
      <c r="CR223" s="16">
        <f t="shared" si="225"/>
        <v>158</v>
      </c>
      <c r="CS223" s="16"/>
      <c r="CT223" s="16"/>
      <c r="CU223" s="80">
        <v>2011</v>
      </c>
      <c r="CV223" s="81" t="s">
        <v>37</v>
      </c>
      <c r="CW223" s="15">
        <f t="shared" si="199"/>
        <v>0.70007621951219512</v>
      </c>
      <c r="CX223" s="15">
        <f t="shared" si="200"/>
        <v>0.75815105241436231</v>
      </c>
      <c r="CY223" s="15">
        <f t="shared" si="201"/>
        <v>0.92339939024390238</v>
      </c>
      <c r="CZ223" s="16"/>
      <c r="DA223" s="16"/>
      <c r="DB223" s="16">
        <v>2624</v>
      </c>
      <c r="DC223" s="16">
        <f t="shared" si="182"/>
        <v>201</v>
      </c>
      <c r="DD223" s="16">
        <v>2423</v>
      </c>
      <c r="DE223" s="16">
        <v>1837</v>
      </c>
      <c r="DF223" s="16">
        <f t="shared" si="183"/>
        <v>586</v>
      </c>
      <c r="DG223" s="16"/>
      <c r="DH223" s="16"/>
      <c r="DI223" s="80">
        <v>2011</v>
      </c>
      <c r="DJ223" s="81" t="s">
        <v>37</v>
      </c>
      <c r="DK223" s="15">
        <f t="shared" si="184"/>
        <v>0.87725225225225223</v>
      </c>
      <c r="DL223" s="15">
        <f t="shared" si="185"/>
        <v>0.92189349112426033</v>
      </c>
      <c r="DM223" s="15">
        <f t="shared" si="186"/>
        <v>0.95157657657657657</v>
      </c>
      <c r="DN223" s="16"/>
      <c r="DO223" s="16"/>
      <c r="DP223" s="16">
        <v>888</v>
      </c>
      <c r="DQ223" s="16">
        <f t="shared" si="226"/>
        <v>43</v>
      </c>
      <c r="DR223" s="16">
        <v>845</v>
      </c>
      <c r="DS223" s="16">
        <v>779</v>
      </c>
      <c r="DT223" s="16">
        <f t="shared" si="227"/>
        <v>66</v>
      </c>
      <c r="DU223" s="16"/>
      <c r="DV223" s="16"/>
      <c r="DW223" s="80">
        <v>2011</v>
      </c>
      <c r="DX223" s="81" t="s">
        <v>37</v>
      </c>
      <c r="DY223" s="15">
        <f t="shared" si="189"/>
        <v>0.94206349206349205</v>
      </c>
      <c r="DZ223" s="15">
        <f t="shared" si="190"/>
        <v>0.98506224066390047</v>
      </c>
      <c r="EA223" s="15">
        <f t="shared" si="191"/>
        <v>0.95634920634920639</v>
      </c>
      <c r="EB223" s="16"/>
      <c r="EC223" s="16"/>
      <c r="ED223" s="16">
        <v>1260</v>
      </c>
      <c r="EE223" s="16">
        <f t="shared" si="228"/>
        <v>55</v>
      </c>
      <c r="EF223" s="16">
        <v>1205</v>
      </c>
      <c r="EG223" s="16">
        <v>1187</v>
      </c>
      <c r="EH223" s="16">
        <f t="shared" si="229"/>
        <v>18</v>
      </c>
      <c r="EI223" s="16"/>
      <c r="EJ223" s="16"/>
      <c r="EK223" s="80"/>
      <c r="EL223" s="81"/>
      <c r="EM223" s="15"/>
      <c r="EN223" s="15"/>
      <c r="EO223" s="15"/>
      <c r="EP223" s="16"/>
      <c r="EQ223" s="16"/>
      <c r="ER223" s="16"/>
      <c r="ES223" s="16"/>
      <c r="ET223" s="16"/>
      <c r="EU223" s="16"/>
      <c r="EV223" s="16"/>
      <c r="EW223" s="16"/>
      <c r="EX223" s="16"/>
      <c r="EY223" s="80"/>
      <c r="EZ223" s="81"/>
      <c r="FA223" s="15"/>
      <c r="FB223" s="15"/>
      <c r="FC223" s="15"/>
      <c r="FD223" s="16"/>
      <c r="FE223" s="16"/>
      <c r="FF223" s="16"/>
      <c r="FG223" s="16"/>
      <c r="FH223" s="16"/>
      <c r="FI223" s="16"/>
      <c r="FJ223" s="16"/>
      <c r="FK223" s="16"/>
      <c r="FM223" s="80"/>
      <c r="FN223" s="81"/>
      <c r="FO223" s="15"/>
      <c r="FP223" s="15"/>
      <c r="FQ223" s="15"/>
      <c r="FR223" s="16"/>
      <c r="FS223" s="16"/>
      <c r="FT223" s="16"/>
      <c r="FU223" s="16"/>
      <c r="FV223" s="16"/>
      <c r="FW223" s="16"/>
      <c r="FX223" s="16"/>
      <c r="FY223" s="16"/>
      <c r="GA223" s="80"/>
      <c r="GB223" s="81"/>
      <c r="GC223" s="15"/>
      <c r="GD223" s="15"/>
      <c r="GE223" s="15"/>
      <c r="GF223" s="16"/>
      <c r="GG223" s="16"/>
      <c r="GH223" s="16"/>
      <c r="GI223" s="16"/>
      <c r="GJ223" s="16"/>
      <c r="GK223" s="16"/>
      <c r="GL223" s="16"/>
      <c r="GM223" s="16"/>
    </row>
    <row r="224" spans="1:195" s="18" customFormat="1" ht="15" customHeight="1">
      <c r="A224" s="78">
        <v>2011</v>
      </c>
      <c r="B224" s="79" t="s">
        <v>38</v>
      </c>
      <c r="C224" s="15">
        <f t="shared" si="194"/>
        <v>0.86947725027055001</v>
      </c>
      <c r="D224" s="15">
        <f t="shared" si="195"/>
        <v>0.91885038038884193</v>
      </c>
      <c r="E224" s="15">
        <f t="shared" si="196"/>
        <v>0.94626640944807794</v>
      </c>
      <c r="F224" s="16"/>
      <c r="G224" s="33"/>
      <c r="H22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21253</v>
      </c>
      <c r="I224" s="16">
        <f t="shared" si="197"/>
        <v>1142</v>
      </c>
      <c r="J22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20111</v>
      </c>
      <c r="K22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18479</v>
      </c>
      <c r="L224" s="16">
        <f t="shared" si="198"/>
        <v>1632</v>
      </c>
      <c r="M224" s="16"/>
      <c r="N224" s="16"/>
      <c r="O224" s="78">
        <v>2011</v>
      </c>
      <c r="P224" s="79" t="s">
        <v>38</v>
      </c>
      <c r="Q224" s="15">
        <f t="shared" si="157"/>
        <v>0.79724296381390003</v>
      </c>
      <c r="R224" s="15">
        <f t="shared" si="158"/>
        <v>0.93258678611422174</v>
      </c>
      <c r="S224" s="15">
        <f t="shared" si="159"/>
        <v>0.85487267853723914</v>
      </c>
      <c r="T224" s="26"/>
      <c r="U224" s="26"/>
      <c r="V224" s="16">
        <v>5223</v>
      </c>
      <c r="W224" s="16">
        <f t="shared" si="216"/>
        <v>758</v>
      </c>
      <c r="X224" s="16">
        <v>4465</v>
      </c>
      <c r="Y224" s="16">
        <v>4164</v>
      </c>
      <c r="Z224" s="16">
        <f t="shared" si="217"/>
        <v>301</v>
      </c>
      <c r="AA224" s="16"/>
      <c r="AB224" s="16"/>
      <c r="AC224" s="78"/>
      <c r="AD224" s="79"/>
      <c r="AE224" s="15"/>
      <c r="AF224" s="15"/>
      <c r="AG224" s="15"/>
      <c r="AH224" s="15"/>
      <c r="AI224" s="15"/>
      <c r="AJ224" s="16"/>
      <c r="AK224" s="16"/>
      <c r="AL224" s="16"/>
      <c r="AM224" s="16"/>
      <c r="AN224" s="16"/>
      <c r="AO224" s="16"/>
      <c r="AP224" s="16"/>
      <c r="AQ224" s="78">
        <v>2011</v>
      </c>
      <c r="AR224" s="79" t="s">
        <v>38</v>
      </c>
      <c r="AS224" s="15">
        <f t="shared" si="162"/>
        <v>0.92384970865983529</v>
      </c>
      <c r="AT224" s="15">
        <f t="shared" si="163"/>
        <v>0.94921552436003298</v>
      </c>
      <c r="AU224" s="15">
        <f t="shared" si="164"/>
        <v>0.97327707454289736</v>
      </c>
      <c r="AV224" s="16"/>
      <c r="AW224" s="16"/>
      <c r="AX224" s="16">
        <v>4977</v>
      </c>
      <c r="AY224" s="16">
        <f t="shared" si="218"/>
        <v>133</v>
      </c>
      <c r="AZ224" s="16">
        <v>4844</v>
      </c>
      <c r="BA224" s="16">
        <v>4598</v>
      </c>
      <c r="BB224" s="16">
        <f t="shared" si="219"/>
        <v>246</v>
      </c>
      <c r="BC224" s="16"/>
      <c r="BD224" s="16"/>
      <c r="BE224" s="78">
        <v>2011</v>
      </c>
      <c r="BF224" s="79" t="s">
        <v>38</v>
      </c>
      <c r="BG224" s="15">
        <f t="shared" si="167"/>
        <v>0.86278195488721809</v>
      </c>
      <c r="BH224" s="15">
        <f t="shared" si="168"/>
        <v>0.89126213592233006</v>
      </c>
      <c r="BI224" s="15">
        <f t="shared" si="169"/>
        <v>0.96804511278195493</v>
      </c>
      <c r="BJ224" s="16"/>
      <c r="BK224" s="16"/>
      <c r="BL224" s="16">
        <v>532</v>
      </c>
      <c r="BM224" s="16">
        <f t="shared" si="220"/>
        <v>17</v>
      </c>
      <c r="BN224" s="16">
        <v>515</v>
      </c>
      <c r="BO224" s="16">
        <v>459</v>
      </c>
      <c r="BP224" s="16">
        <f t="shared" si="221"/>
        <v>56</v>
      </c>
      <c r="BQ224" s="16"/>
      <c r="BR224" s="16"/>
      <c r="BS224" s="78">
        <v>2011</v>
      </c>
      <c r="BT224" s="79" t="s">
        <v>38</v>
      </c>
      <c r="BU224" s="15">
        <f t="shared" si="172"/>
        <v>0.84436090225563909</v>
      </c>
      <c r="BV224" s="15">
        <f t="shared" si="173"/>
        <v>0.86617817200154257</v>
      </c>
      <c r="BW224" s="15">
        <f t="shared" si="174"/>
        <v>0.97481203007518802</v>
      </c>
      <c r="BX224" s="16"/>
      <c r="BY224" s="16"/>
      <c r="BZ224" s="16">
        <v>2660</v>
      </c>
      <c r="CA224" s="16">
        <f t="shared" si="222"/>
        <v>67</v>
      </c>
      <c r="CB224" s="16">
        <v>2593</v>
      </c>
      <c r="CC224" s="16">
        <v>2246</v>
      </c>
      <c r="CD224" s="16">
        <f t="shared" si="223"/>
        <v>347</v>
      </c>
      <c r="CE224" s="16"/>
      <c r="CF224" s="16"/>
      <c r="CG224" s="78">
        <v>2011</v>
      </c>
      <c r="CH224" s="79" t="s">
        <v>38</v>
      </c>
      <c r="CI224" s="15">
        <f t="shared" si="177"/>
        <v>0.91516516516516522</v>
      </c>
      <c r="CJ224" s="15">
        <f t="shared" si="178"/>
        <v>0.93517453011123897</v>
      </c>
      <c r="CK224" s="15">
        <f t="shared" si="179"/>
        <v>0.97860360360360366</v>
      </c>
      <c r="CL224" s="16"/>
      <c r="CM224" s="16"/>
      <c r="CN224" s="16">
        <v>2664</v>
      </c>
      <c r="CO224" s="16">
        <f t="shared" si="224"/>
        <v>57</v>
      </c>
      <c r="CP224" s="16">
        <v>2607</v>
      </c>
      <c r="CQ224" s="16">
        <v>2438</v>
      </c>
      <c r="CR224" s="16">
        <f t="shared" si="225"/>
        <v>169</v>
      </c>
      <c r="CS224" s="16"/>
      <c r="CT224" s="16"/>
      <c r="CU224" s="78">
        <v>2011</v>
      </c>
      <c r="CV224" s="79" t="s">
        <v>38</v>
      </c>
      <c r="CW224" s="15">
        <f t="shared" si="199"/>
        <v>0.84110838302350055</v>
      </c>
      <c r="CX224" s="15">
        <f t="shared" si="200"/>
        <v>0.86135057471264365</v>
      </c>
      <c r="CY224" s="15">
        <f t="shared" si="201"/>
        <v>0.97649947386881797</v>
      </c>
      <c r="CZ224" s="16"/>
      <c r="DA224" s="16"/>
      <c r="DB224" s="16">
        <v>2851</v>
      </c>
      <c r="DC224" s="16">
        <f t="shared" si="182"/>
        <v>67</v>
      </c>
      <c r="DD224" s="16">
        <v>2784</v>
      </c>
      <c r="DE224" s="16">
        <v>2398</v>
      </c>
      <c r="DF224" s="16">
        <f t="shared" si="183"/>
        <v>386</v>
      </c>
      <c r="DG224" s="16"/>
      <c r="DH224" s="16"/>
      <c r="DI224" s="78">
        <v>2011</v>
      </c>
      <c r="DJ224" s="79" t="s">
        <v>38</v>
      </c>
      <c r="DK224" s="15">
        <f t="shared" si="184"/>
        <v>0.86168032786885251</v>
      </c>
      <c r="DL224" s="15">
        <f t="shared" si="185"/>
        <v>0.88433228180862256</v>
      </c>
      <c r="DM224" s="15">
        <f t="shared" si="186"/>
        <v>0.97438524590163933</v>
      </c>
      <c r="DN224" s="16"/>
      <c r="DO224" s="16"/>
      <c r="DP224" s="16">
        <v>976</v>
      </c>
      <c r="DQ224" s="16">
        <f t="shared" si="226"/>
        <v>25</v>
      </c>
      <c r="DR224" s="16">
        <v>951</v>
      </c>
      <c r="DS224" s="16">
        <v>841</v>
      </c>
      <c r="DT224" s="16">
        <f t="shared" si="227"/>
        <v>110</v>
      </c>
      <c r="DU224" s="16"/>
      <c r="DV224" s="16"/>
      <c r="DW224" s="78">
        <v>2011</v>
      </c>
      <c r="DX224" s="79" t="s">
        <v>38</v>
      </c>
      <c r="DY224" s="15">
        <f t="shared" si="189"/>
        <v>0.97445255474452552</v>
      </c>
      <c r="DZ224" s="15">
        <f t="shared" si="190"/>
        <v>0.9874260355029586</v>
      </c>
      <c r="EA224" s="15">
        <f t="shared" si="191"/>
        <v>0.98686131386861309</v>
      </c>
      <c r="EB224" s="16"/>
      <c r="EC224" s="16"/>
      <c r="ED224" s="16">
        <v>1370</v>
      </c>
      <c r="EE224" s="16">
        <f t="shared" si="228"/>
        <v>18</v>
      </c>
      <c r="EF224" s="16">
        <v>1352</v>
      </c>
      <c r="EG224" s="16">
        <v>1335</v>
      </c>
      <c r="EH224" s="16">
        <f t="shared" si="229"/>
        <v>17</v>
      </c>
      <c r="EI224" s="16"/>
      <c r="EJ224" s="16"/>
      <c r="EK224" s="78"/>
      <c r="EL224" s="79"/>
      <c r="EM224" s="15"/>
      <c r="EN224" s="15"/>
      <c r="EO224" s="15"/>
      <c r="EP224" s="16"/>
      <c r="EQ224" s="16"/>
      <c r="ER224" s="16"/>
      <c r="ES224" s="16"/>
      <c r="ET224" s="16"/>
      <c r="EU224" s="16"/>
      <c r="EV224" s="16"/>
      <c r="EW224" s="16"/>
      <c r="EX224" s="16"/>
      <c r="EY224" s="78"/>
      <c r="EZ224" s="79"/>
      <c r="FA224" s="15"/>
      <c r="FB224" s="15"/>
      <c r="FC224" s="15"/>
      <c r="FD224" s="16"/>
      <c r="FE224" s="16"/>
      <c r="FF224" s="16"/>
      <c r="FG224" s="16"/>
      <c r="FH224" s="16"/>
      <c r="FI224" s="16"/>
      <c r="FJ224" s="16"/>
      <c r="FK224" s="16"/>
      <c r="FM224" s="78"/>
      <c r="FN224" s="79"/>
      <c r="FO224" s="15"/>
      <c r="FP224" s="15"/>
      <c r="FQ224" s="15"/>
      <c r="FR224" s="16"/>
      <c r="FS224" s="16"/>
      <c r="FT224" s="16"/>
      <c r="FU224" s="16"/>
      <c r="FV224" s="16"/>
      <c r="FW224" s="16"/>
      <c r="FX224" s="16"/>
      <c r="FY224" s="16"/>
      <c r="GA224" s="78"/>
      <c r="GB224" s="79"/>
      <c r="GC224" s="15"/>
      <c r="GD224" s="15"/>
      <c r="GE224" s="15"/>
      <c r="GF224" s="16"/>
      <c r="GG224" s="16"/>
      <c r="GH224" s="16"/>
      <c r="GI224" s="16"/>
      <c r="GJ224" s="16"/>
      <c r="GK224" s="16"/>
      <c r="GL224" s="16"/>
      <c r="GM224" s="16"/>
    </row>
    <row r="225" spans="1:195" s="18" customFormat="1" ht="15" customHeight="1">
      <c r="A225" s="80">
        <v>2011</v>
      </c>
      <c r="B225" s="81" t="s">
        <v>39</v>
      </c>
      <c r="C225" s="15">
        <f t="shared" si="194"/>
        <v>0.84179332759774406</v>
      </c>
      <c r="D225" s="15">
        <f t="shared" si="195"/>
        <v>0.87774732120608023</v>
      </c>
      <c r="E225" s="15">
        <f t="shared" si="196"/>
        <v>0.95903833285536755</v>
      </c>
      <c r="F225" s="16"/>
      <c r="G225" s="33"/>
      <c r="H22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20922</v>
      </c>
      <c r="I225" s="16">
        <f t="shared" si="197"/>
        <v>857</v>
      </c>
      <c r="J22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20065</v>
      </c>
      <c r="K22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17612</v>
      </c>
      <c r="L225" s="16">
        <f t="shared" si="198"/>
        <v>2453</v>
      </c>
      <c r="M225" s="16"/>
      <c r="N225" s="16"/>
      <c r="O225" s="80">
        <v>2011</v>
      </c>
      <c r="P225" s="81" t="s">
        <v>39</v>
      </c>
      <c r="Q225" s="15">
        <f t="shared" si="157"/>
        <v>0.851252408477842</v>
      </c>
      <c r="R225" s="15">
        <f t="shared" si="158"/>
        <v>0.9020008166598612</v>
      </c>
      <c r="S225" s="15">
        <f t="shared" si="159"/>
        <v>0.94373795761078993</v>
      </c>
      <c r="T225" s="26"/>
      <c r="U225" s="26"/>
      <c r="V225" s="16">
        <v>5190</v>
      </c>
      <c r="W225" s="16">
        <f t="shared" si="216"/>
        <v>292</v>
      </c>
      <c r="X225" s="16">
        <v>4898</v>
      </c>
      <c r="Y225" s="16">
        <v>4418</v>
      </c>
      <c r="Z225" s="16">
        <f t="shared" si="217"/>
        <v>480</v>
      </c>
      <c r="AA225" s="16"/>
      <c r="AB225" s="16"/>
      <c r="AC225" s="80"/>
      <c r="AD225" s="81"/>
      <c r="AE225" s="15"/>
      <c r="AF225" s="15"/>
      <c r="AG225" s="15"/>
      <c r="AH225" s="15"/>
      <c r="AI225" s="15"/>
      <c r="AJ225" s="16"/>
      <c r="AK225" s="16"/>
      <c r="AL225" s="16"/>
      <c r="AM225" s="16"/>
      <c r="AN225" s="16"/>
      <c r="AO225" s="16"/>
      <c r="AP225" s="16"/>
      <c r="AQ225" s="80">
        <v>2011</v>
      </c>
      <c r="AR225" s="81" t="s">
        <v>39</v>
      </c>
      <c r="AS225" s="15">
        <f t="shared" si="162"/>
        <v>0.8910750507099392</v>
      </c>
      <c r="AT225" s="15">
        <f t="shared" si="163"/>
        <v>0.91922996442770455</v>
      </c>
      <c r="AU225" s="15">
        <f t="shared" si="164"/>
        <v>0.96937119675456385</v>
      </c>
      <c r="AV225" s="16"/>
      <c r="AW225" s="16"/>
      <c r="AX225" s="16">
        <v>4930</v>
      </c>
      <c r="AY225" s="16">
        <f t="shared" si="218"/>
        <v>151</v>
      </c>
      <c r="AZ225" s="16">
        <v>4779</v>
      </c>
      <c r="BA225" s="16">
        <v>4393</v>
      </c>
      <c r="BB225" s="16">
        <f t="shared" si="219"/>
        <v>386</v>
      </c>
      <c r="BC225" s="16"/>
      <c r="BD225" s="16"/>
      <c r="BE225" s="80">
        <v>2011</v>
      </c>
      <c r="BF225" s="81" t="s">
        <v>39</v>
      </c>
      <c r="BG225" s="15">
        <f t="shared" si="167"/>
        <v>0.72556390977443608</v>
      </c>
      <c r="BH225" s="15">
        <f t="shared" si="168"/>
        <v>0.74517374517374513</v>
      </c>
      <c r="BI225" s="15">
        <f t="shared" si="169"/>
        <v>0.97368421052631582</v>
      </c>
      <c r="BJ225" s="16"/>
      <c r="BK225" s="16"/>
      <c r="BL225" s="16">
        <v>532</v>
      </c>
      <c r="BM225" s="16">
        <f t="shared" si="220"/>
        <v>14</v>
      </c>
      <c r="BN225" s="16">
        <v>518</v>
      </c>
      <c r="BO225" s="16">
        <v>386</v>
      </c>
      <c r="BP225" s="16">
        <f t="shared" si="221"/>
        <v>132</v>
      </c>
      <c r="BQ225" s="16"/>
      <c r="BR225" s="16"/>
      <c r="BS225" s="80">
        <v>2011</v>
      </c>
      <c r="BT225" s="81" t="s">
        <v>39</v>
      </c>
      <c r="BU225" s="15">
        <f t="shared" si="172"/>
        <v>0.71846153846153848</v>
      </c>
      <c r="BV225" s="15">
        <f t="shared" si="173"/>
        <v>0.7640081799591002</v>
      </c>
      <c r="BW225" s="15">
        <f t="shared" si="174"/>
        <v>0.94038461538461537</v>
      </c>
      <c r="BX225" s="16"/>
      <c r="BY225" s="16"/>
      <c r="BZ225" s="16">
        <v>2600</v>
      </c>
      <c r="CA225" s="16">
        <f t="shared" si="222"/>
        <v>155</v>
      </c>
      <c r="CB225" s="16">
        <v>2445</v>
      </c>
      <c r="CC225" s="16">
        <v>1868</v>
      </c>
      <c r="CD225" s="16">
        <f t="shared" si="223"/>
        <v>577</v>
      </c>
      <c r="CE225" s="16"/>
      <c r="CF225" s="16"/>
      <c r="CG225" s="80">
        <v>2011</v>
      </c>
      <c r="CH225" s="81" t="s">
        <v>39</v>
      </c>
      <c r="CI225" s="15">
        <f t="shared" si="177"/>
        <v>0.85374280230326294</v>
      </c>
      <c r="CJ225" s="15">
        <f t="shared" si="178"/>
        <v>0.90333062550771726</v>
      </c>
      <c r="CK225" s="15">
        <f t="shared" si="179"/>
        <v>0.94510556621881003</v>
      </c>
      <c r="CL225" s="16"/>
      <c r="CM225" s="16"/>
      <c r="CN225" s="16">
        <v>2605</v>
      </c>
      <c r="CO225" s="16">
        <f t="shared" si="224"/>
        <v>143</v>
      </c>
      <c r="CP225" s="16">
        <v>2462</v>
      </c>
      <c r="CQ225" s="16">
        <v>2224</v>
      </c>
      <c r="CR225" s="16">
        <f t="shared" si="225"/>
        <v>238</v>
      </c>
      <c r="CS225" s="16"/>
      <c r="CT225" s="16"/>
      <c r="CU225" s="80">
        <v>2011</v>
      </c>
      <c r="CV225" s="81" t="s">
        <v>39</v>
      </c>
      <c r="CW225" s="15">
        <f t="shared" si="199"/>
        <v>0.78589420654911835</v>
      </c>
      <c r="CX225" s="15">
        <f t="shared" si="200"/>
        <v>0.80769230769230771</v>
      </c>
      <c r="CY225" s="15">
        <f t="shared" si="201"/>
        <v>0.97301187477509898</v>
      </c>
      <c r="CZ225" s="16"/>
      <c r="DA225" s="16"/>
      <c r="DB225" s="16">
        <v>2779</v>
      </c>
      <c r="DC225" s="16">
        <f t="shared" si="182"/>
        <v>75</v>
      </c>
      <c r="DD225" s="16">
        <v>2704</v>
      </c>
      <c r="DE225" s="16">
        <v>2184</v>
      </c>
      <c r="DF225" s="16">
        <f t="shared" si="183"/>
        <v>520</v>
      </c>
      <c r="DG225" s="16"/>
      <c r="DH225" s="16"/>
      <c r="DI225" s="80">
        <v>2011</v>
      </c>
      <c r="DJ225" s="81" t="s">
        <v>39</v>
      </c>
      <c r="DK225" s="15">
        <f t="shared" si="184"/>
        <v>0.90295358649789026</v>
      </c>
      <c r="DL225" s="15">
        <f t="shared" si="185"/>
        <v>0.91160809371671991</v>
      </c>
      <c r="DM225" s="15">
        <f t="shared" si="186"/>
        <v>0.990506329113924</v>
      </c>
      <c r="DN225" s="16"/>
      <c r="DO225" s="16"/>
      <c r="DP225" s="16">
        <v>948</v>
      </c>
      <c r="DQ225" s="16">
        <f t="shared" si="226"/>
        <v>9</v>
      </c>
      <c r="DR225" s="16">
        <v>939</v>
      </c>
      <c r="DS225" s="16">
        <v>856</v>
      </c>
      <c r="DT225" s="16">
        <f t="shared" si="227"/>
        <v>83</v>
      </c>
      <c r="DU225" s="16"/>
      <c r="DV225" s="16"/>
      <c r="DW225" s="80">
        <v>2011</v>
      </c>
      <c r="DX225" s="81" t="s">
        <v>39</v>
      </c>
      <c r="DY225" s="15">
        <f t="shared" si="189"/>
        <v>0.95889387144992522</v>
      </c>
      <c r="DZ225" s="15">
        <f t="shared" si="190"/>
        <v>0.97196969696969693</v>
      </c>
      <c r="EA225" s="15">
        <f t="shared" si="191"/>
        <v>0.98654708520179368</v>
      </c>
      <c r="EB225" s="16"/>
      <c r="EC225" s="16"/>
      <c r="ED225" s="16">
        <v>1338</v>
      </c>
      <c r="EE225" s="16">
        <f t="shared" si="228"/>
        <v>18</v>
      </c>
      <c r="EF225" s="16">
        <v>1320</v>
      </c>
      <c r="EG225" s="16">
        <v>1283</v>
      </c>
      <c r="EH225" s="16">
        <f t="shared" si="229"/>
        <v>37</v>
      </c>
      <c r="EI225" s="16"/>
      <c r="EJ225" s="16"/>
      <c r="EK225" s="80"/>
      <c r="EL225" s="81"/>
      <c r="EM225" s="15"/>
      <c r="EN225" s="15"/>
      <c r="EO225" s="15"/>
      <c r="EP225" s="16"/>
      <c r="EQ225" s="16"/>
      <c r="ER225" s="16"/>
      <c r="ES225" s="16"/>
      <c r="ET225" s="16"/>
      <c r="EU225" s="16"/>
      <c r="EV225" s="16"/>
      <c r="EW225" s="16"/>
      <c r="EX225" s="16"/>
      <c r="EY225" s="80"/>
      <c r="EZ225" s="81"/>
      <c r="FA225" s="15"/>
      <c r="FB225" s="15"/>
      <c r="FC225" s="15"/>
      <c r="FD225" s="16"/>
      <c r="FE225" s="16"/>
      <c r="FF225" s="16"/>
      <c r="FG225" s="16"/>
      <c r="FH225" s="16"/>
      <c r="FI225" s="16"/>
      <c r="FJ225" s="16"/>
      <c r="FK225" s="16"/>
      <c r="FM225" s="80"/>
      <c r="FN225" s="81"/>
      <c r="FO225" s="15"/>
      <c r="FP225" s="15"/>
      <c r="FQ225" s="15"/>
      <c r="FR225" s="16"/>
      <c r="FS225" s="16"/>
      <c r="FT225" s="16"/>
      <c r="FU225" s="16"/>
      <c r="FV225" s="16"/>
      <c r="FW225" s="16"/>
      <c r="FX225" s="16"/>
      <c r="FY225" s="16"/>
      <c r="GA225" s="80"/>
      <c r="GB225" s="81"/>
      <c r="GC225" s="15"/>
      <c r="GD225" s="15"/>
      <c r="GE225" s="15"/>
      <c r="GF225" s="16"/>
      <c r="GG225" s="16"/>
      <c r="GH225" s="16"/>
      <c r="GI225" s="16"/>
      <c r="GJ225" s="16"/>
      <c r="GK225" s="16"/>
      <c r="GL225" s="16"/>
      <c r="GM225" s="16"/>
    </row>
    <row r="226" spans="1:195" s="18" customFormat="1" ht="15" customHeight="1">
      <c r="A226" s="78">
        <v>2011</v>
      </c>
      <c r="B226" s="79" t="s">
        <v>40</v>
      </c>
      <c r="C226" s="15">
        <f t="shared" si="194"/>
        <v>0.83604752511583103</v>
      </c>
      <c r="D226" s="15">
        <f t="shared" si="195"/>
        <v>0.86810517290654476</v>
      </c>
      <c r="E226" s="15">
        <f t="shared" si="196"/>
        <v>0.96307170053672186</v>
      </c>
      <c r="F226" s="16"/>
      <c r="G226" s="33"/>
      <c r="H22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21799</v>
      </c>
      <c r="I226" s="16">
        <f t="shared" si="197"/>
        <v>805</v>
      </c>
      <c r="J22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20994</v>
      </c>
      <c r="K22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18225</v>
      </c>
      <c r="L226" s="16">
        <f t="shared" si="198"/>
        <v>2769</v>
      </c>
      <c r="M226" s="16"/>
      <c r="N226" s="16"/>
      <c r="O226" s="78">
        <v>2011</v>
      </c>
      <c r="P226" s="79" t="s">
        <v>40</v>
      </c>
      <c r="Q226" s="15">
        <f t="shared" si="157"/>
        <v>0.83274940070071912</v>
      </c>
      <c r="R226" s="15">
        <f t="shared" si="158"/>
        <v>0.88967691095350665</v>
      </c>
      <c r="S226" s="15">
        <f t="shared" si="159"/>
        <v>0.93601327678406787</v>
      </c>
      <c r="T226" s="26"/>
      <c r="U226" s="26"/>
      <c r="V226" s="16">
        <v>5423</v>
      </c>
      <c r="W226" s="16">
        <f t="shared" si="216"/>
        <v>347</v>
      </c>
      <c r="X226" s="16">
        <v>5076</v>
      </c>
      <c r="Y226" s="16">
        <v>4516</v>
      </c>
      <c r="Z226" s="16">
        <f t="shared" si="217"/>
        <v>560</v>
      </c>
      <c r="AA226" s="16"/>
      <c r="AB226" s="16"/>
      <c r="AC226" s="78"/>
      <c r="AD226" s="79"/>
      <c r="AE226" s="15"/>
      <c r="AF226" s="15"/>
      <c r="AG226" s="15"/>
      <c r="AH226" s="15"/>
      <c r="AI226" s="15"/>
      <c r="AJ226" s="16"/>
      <c r="AK226" s="16"/>
      <c r="AL226" s="16"/>
      <c r="AM226" s="16"/>
      <c r="AN226" s="16"/>
      <c r="AO226" s="16"/>
      <c r="AP226" s="16"/>
      <c r="AQ226" s="78">
        <v>2011</v>
      </c>
      <c r="AR226" s="79" t="s">
        <v>40</v>
      </c>
      <c r="AS226" s="15">
        <f t="shared" si="162"/>
        <v>0.8865096359743041</v>
      </c>
      <c r="AT226" s="15">
        <f t="shared" si="163"/>
        <v>0.91500904159132013</v>
      </c>
      <c r="AU226" s="15">
        <f t="shared" si="164"/>
        <v>0.96885341639088962</v>
      </c>
      <c r="AV226" s="16"/>
      <c r="AW226" s="16"/>
      <c r="AX226" s="16">
        <v>5137</v>
      </c>
      <c r="AY226" s="16">
        <f t="shared" si="218"/>
        <v>160</v>
      </c>
      <c r="AZ226" s="16">
        <v>4977</v>
      </c>
      <c r="BA226" s="16">
        <v>4554</v>
      </c>
      <c r="BB226" s="16">
        <f t="shared" si="219"/>
        <v>423</v>
      </c>
      <c r="BC226" s="16"/>
      <c r="BD226" s="16"/>
      <c r="BE226" s="78">
        <v>2011</v>
      </c>
      <c r="BF226" s="79" t="s">
        <v>40</v>
      </c>
      <c r="BG226" s="15">
        <f t="shared" si="167"/>
        <v>0.63265306122448983</v>
      </c>
      <c r="BH226" s="15">
        <f t="shared" si="168"/>
        <v>0.65840707964601775</v>
      </c>
      <c r="BI226" s="15">
        <f t="shared" si="169"/>
        <v>0.96088435374149661</v>
      </c>
      <c r="BJ226" s="16"/>
      <c r="BK226" s="16"/>
      <c r="BL226" s="16">
        <v>588</v>
      </c>
      <c r="BM226" s="16">
        <f t="shared" si="220"/>
        <v>23</v>
      </c>
      <c r="BN226" s="16">
        <v>565</v>
      </c>
      <c r="BO226" s="16">
        <v>372</v>
      </c>
      <c r="BP226" s="16">
        <f t="shared" si="221"/>
        <v>193</v>
      </c>
      <c r="BQ226" s="16"/>
      <c r="BR226" s="16"/>
      <c r="BS226" s="78">
        <v>2011</v>
      </c>
      <c r="BT226" s="79" t="s">
        <v>40</v>
      </c>
      <c r="BU226" s="15">
        <f t="shared" si="172"/>
        <v>0.73370370370370375</v>
      </c>
      <c r="BV226" s="15">
        <f t="shared" si="173"/>
        <v>0.76368542791056282</v>
      </c>
      <c r="BW226" s="15">
        <f t="shared" si="174"/>
        <v>0.96074074074074078</v>
      </c>
      <c r="BX226" s="16"/>
      <c r="BY226" s="16"/>
      <c r="BZ226" s="16">
        <v>2700</v>
      </c>
      <c r="CA226" s="16">
        <f t="shared" si="222"/>
        <v>106</v>
      </c>
      <c r="CB226" s="16">
        <v>2594</v>
      </c>
      <c r="CC226" s="16">
        <v>1981</v>
      </c>
      <c r="CD226" s="16">
        <f t="shared" si="223"/>
        <v>613</v>
      </c>
      <c r="CE226" s="16"/>
      <c r="CF226" s="16"/>
      <c r="CG226" s="78">
        <v>2011</v>
      </c>
      <c r="CH226" s="79" t="s">
        <v>40</v>
      </c>
      <c r="CI226" s="15">
        <f t="shared" si="177"/>
        <v>0.88461538461538458</v>
      </c>
      <c r="CJ226" s="15">
        <f t="shared" si="178"/>
        <v>0.90332326283987918</v>
      </c>
      <c r="CK226" s="15">
        <f t="shared" si="179"/>
        <v>0.97928994082840237</v>
      </c>
      <c r="CL226" s="16"/>
      <c r="CM226" s="16"/>
      <c r="CN226" s="16">
        <v>2704</v>
      </c>
      <c r="CO226" s="16">
        <f t="shared" si="224"/>
        <v>56</v>
      </c>
      <c r="CP226" s="16">
        <v>2648</v>
      </c>
      <c r="CQ226" s="16">
        <v>2392</v>
      </c>
      <c r="CR226" s="16">
        <f t="shared" si="225"/>
        <v>256</v>
      </c>
      <c r="CS226" s="16"/>
      <c r="CT226" s="16"/>
      <c r="CU226" s="78">
        <v>2011</v>
      </c>
      <c r="CV226" s="79" t="s">
        <v>40</v>
      </c>
      <c r="CW226" s="15">
        <f t="shared" si="199"/>
        <v>0.75095386749913284</v>
      </c>
      <c r="CX226" s="15">
        <f t="shared" si="200"/>
        <v>0.77515216612960969</v>
      </c>
      <c r="CY226" s="15">
        <f t="shared" si="201"/>
        <v>0.96878251821019767</v>
      </c>
      <c r="CZ226" s="16"/>
      <c r="DA226" s="16"/>
      <c r="DB226" s="16">
        <v>2883</v>
      </c>
      <c r="DC226" s="16">
        <f t="shared" si="182"/>
        <v>90</v>
      </c>
      <c r="DD226" s="16">
        <v>2793</v>
      </c>
      <c r="DE226" s="16">
        <v>2165</v>
      </c>
      <c r="DF226" s="16">
        <f t="shared" si="183"/>
        <v>628</v>
      </c>
      <c r="DG226" s="16"/>
      <c r="DH226" s="16"/>
      <c r="DI226" s="78">
        <v>2011</v>
      </c>
      <c r="DJ226" s="79" t="s">
        <v>40</v>
      </c>
      <c r="DK226" s="15">
        <f t="shared" si="184"/>
        <v>0.9</v>
      </c>
      <c r="DL226" s="15">
        <f t="shared" si="185"/>
        <v>0.91304347826086951</v>
      </c>
      <c r="DM226" s="15">
        <f t="shared" si="186"/>
        <v>0.98571428571428577</v>
      </c>
      <c r="DN226" s="16"/>
      <c r="DO226" s="16"/>
      <c r="DP226" s="16">
        <v>980</v>
      </c>
      <c r="DQ226" s="16">
        <f t="shared" si="226"/>
        <v>14</v>
      </c>
      <c r="DR226" s="16">
        <v>966</v>
      </c>
      <c r="DS226" s="16">
        <v>882</v>
      </c>
      <c r="DT226" s="16">
        <f t="shared" si="227"/>
        <v>84</v>
      </c>
      <c r="DU226" s="16"/>
      <c r="DV226" s="16"/>
      <c r="DW226" s="78">
        <v>2011</v>
      </c>
      <c r="DX226" s="79" t="s">
        <v>40</v>
      </c>
      <c r="DY226" s="15">
        <f t="shared" si="189"/>
        <v>0.98482658959537572</v>
      </c>
      <c r="DZ226" s="15">
        <f t="shared" si="190"/>
        <v>0.99127272727272731</v>
      </c>
      <c r="EA226" s="15">
        <f t="shared" si="191"/>
        <v>0.99349710982658956</v>
      </c>
      <c r="EB226" s="16"/>
      <c r="EC226" s="16"/>
      <c r="ED226" s="16">
        <v>1384</v>
      </c>
      <c r="EE226" s="16">
        <f t="shared" si="228"/>
        <v>9</v>
      </c>
      <c r="EF226" s="16">
        <v>1375</v>
      </c>
      <c r="EG226" s="16">
        <v>1363</v>
      </c>
      <c r="EH226" s="16">
        <f t="shared" si="229"/>
        <v>12</v>
      </c>
      <c r="EI226" s="16"/>
      <c r="EJ226" s="16"/>
      <c r="EK226" s="78"/>
      <c r="EL226" s="79"/>
      <c r="EM226" s="15"/>
      <c r="EN226" s="15"/>
      <c r="EO226" s="15"/>
      <c r="EP226" s="16"/>
      <c r="EQ226" s="16"/>
      <c r="ER226" s="16"/>
      <c r="ES226" s="16"/>
      <c r="ET226" s="16"/>
      <c r="EU226" s="16"/>
      <c r="EV226" s="16"/>
      <c r="EW226" s="16"/>
      <c r="EX226" s="16"/>
      <c r="EY226" s="78"/>
      <c r="EZ226" s="79"/>
      <c r="FA226" s="15"/>
      <c r="FB226" s="15"/>
      <c r="FC226" s="15"/>
      <c r="FD226" s="16"/>
      <c r="FE226" s="16"/>
      <c r="FF226" s="16"/>
      <c r="FG226" s="16"/>
      <c r="FH226" s="16"/>
      <c r="FI226" s="16"/>
      <c r="FJ226" s="16"/>
      <c r="FK226" s="16"/>
      <c r="FM226" s="78"/>
      <c r="FN226" s="79"/>
      <c r="FO226" s="15"/>
      <c r="FP226" s="15"/>
      <c r="FQ226" s="15"/>
      <c r="FR226" s="16"/>
      <c r="FS226" s="16"/>
      <c r="FT226" s="16"/>
      <c r="FU226" s="16"/>
      <c r="FV226" s="16"/>
      <c r="FW226" s="16"/>
      <c r="FX226" s="16"/>
      <c r="FY226" s="16"/>
      <c r="GA226" s="78"/>
      <c r="GB226" s="79"/>
      <c r="GC226" s="15"/>
      <c r="GD226" s="15"/>
      <c r="GE226" s="15"/>
      <c r="GF226" s="16"/>
      <c r="GG226" s="16"/>
      <c r="GH226" s="16"/>
      <c r="GI226" s="16"/>
      <c r="GJ226" s="16"/>
      <c r="GK226" s="16"/>
      <c r="GL226" s="16"/>
      <c r="GM226" s="16"/>
    </row>
    <row r="227" spans="1:195" s="18" customFormat="1" ht="15" customHeight="1">
      <c r="A227" s="80">
        <v>2011</v>
      </c>
      <c r="B227" s="81" t="s">
        <v>41</v>
      </c>
      <c r="C227" s="15">
        <f t="shared" si="194"/>
        <v>0.83584246096481007</v>
      </c>
      <c r="D227" s="15">
        <f t="shared" si="195"/>
        <v>0.86909954444121351</v>
      </c>
      <c r="E227" s="15">
        <f t="shared" si="196"/>
        <v>0.96173386157072949</v>
      </c>
      <c r="F227" s="16"/>
      <c r="G227" s="33"/>
      <c r="H22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21455</v>
      </c>
      <c r="I227" s="16">
        <f t="shared" si="197"/>
        <v>821</v>
      </c>
      <c r="J22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20634</v>
      </c>
      <c r="K22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17933</v>
      </c>
      <c r="L227" s="16">
        <f t="shared" si="198"/>
        <v>2701</v>
      </c>
      <c r="M227" s="16"/>
      <c r="N227" s="16"/>
      <c r="O227" s="80">
        <v>2011</v>
      </c>
      <c r="P227" s="81" t="s">
        <v>41</v>
      </c>
      <c r="Q227" s="15">
        <f t="shared" si="157"/>
        <v>0.83464566929133854</v>
      </c>
      <c r="R227" s="15">
        <f t="shared" si="158"/>
        <v>0.88210818307905692</v>
      </c>
      <c r="S227" s="15">
        <f t="shared" si="159"/>
        <v>0.9461942257217848</v>
      </c>
      <c r="T227" s="26"/>
      <c r="U227" s="26"/>
      <c r="V227" s="16">
        <v>5334</v>
      </c>
      <c r="W227" s="16">
        <f t="shared" si="216"/>
        <v>287</v>
      </c>
      <c r="X227" s="16">
        <v>5047</v>
      </c>
      <c r="Y227" s="16">
        <v>4452</v>
      </c>
      <c r="Z227" s="16">
        <f t="shared" si="217"/>
        <v>595</v>
      </c>
      <c r="AA227" s="16"/>
      <c r="AB227" s="16"/>
      <c r="AC227" s="80"/>
      <c r="AD227" s="81"/>
      <c r="AE227" s="15"/>
      <c r="AF227" s="15"/>
      <c r="AG227" s="15"/>
      <c r="AH227" s="15"/>
      <c r="AI227" s="15"/>
      <c r="AJ227" s="16"/>
      <c r="AK227" s="16"/>
      <c r="AL227" s="16"/>
      <c r="AM227" s="16"/>
      <c r="AN227" s="16"/>
      <c r="AO227" s="16"/>
      <c r="AP227" s="16"/>
      <c r="AQ227" s="80">
        <v>2011</v>
      </c>
      <c r="AR227" s="81" t="s">
        <v>41</v>
      </c>
      <c r="AS227" s="15">
        <f t="shared" si="162"/>
        <v>0.89078295341922697</v>
      </c>
      <c r="AT227" s="15">
        <f t="shared" si="163"/>
        <v>0.91137700263638211</v>
      </c>
      <c r="AU227" s="15">
        <f t="shared" si="164"/>
        <v>0.9774033696729435</v>
      </c>
      <c r="AV227" s="16"/>
      <c r="AW227" s="16"/>
      <c r="AX227" s="16">
        <v>5045</v>
      </c>
      <c r="AY227" s="16">
        <f t="shared" si="218"/>
        <v>114</v>
      </c>
      <c r="AZ227" s="16">
        <v>4931</v>
      </c>
      <c r="BA227" s="16">
        <v>4494</v>
      </c>
      <c r="BB227" s="16">
        <f t="shared" si="219"/>
        <v>437</v>
      </c>
      <c r="BC227" s="16"/>
      <c r="BD227" s="16"/>
      <c r="BE227" s="80">
        <v>2011</v>
      </c>
      <c r="BF227" s="81" t="s">
        <v>41</v>
      </c>
      <c r="BG227" s="15">
        <f t="shared" si="167"/>
        <v>0.69387755102040816</v>
      </c>
      <c r="BH227" s="15">
        <f t="shared" si="168"/>
        <v>0.72597864768683273</v>
      </c>
      <c r="BI227" s="15">
        <f t="shared" si="169"/>
        <v>0.95578231292517002</v>
      </c>
      <c r="BJ227" s="16"/>
      <c r="BK227" s="16"/>
      <c r="BL227" s="16">
        <v>588</v>
      </c>
      <c r="BM227" s="16">
        <f t="shared" si="220"/>
        <v>26</v>
      </c>
      <c r="BN227" s="16">
        <v>562</v>
      </c>
      <c r="BO227" s="16">
        <v>408</v>
      </c>
      <c r="BP227" s="16">
        <f t="shared" si="221"/>
        <v>154</v>
      </c>
      <c r="BQ227" s="16"/>
      <c r="BR227" s="16"/>
      <c r="BS227" s="80">
        <v>2011</v>
      </c>
      <c r="BT227" s="81" t="s">
        <v>41</v>
      </c>
      <c r="BU227" s="15">
        <f t="shared" si="172"/>
        <v>0.73552780930760497</v>
      </c>
      <c r="BV227" s="15">
        <f t="shared" si="173"/>
        <v>0.76265202040015689</v>
      </c>
      <c r="BW227" s="15">
        <f t="shared" si="174"/>
        <v>0.96443435489973517</v>
      </c>
      <c r="BX227" s="16"/>
      <c r="BY227" s="16"/>
      <c r="BZ227" s="16">
        <v>2643</v>
      </c>
      <c r="CA227" s="16">
        <f t="shared" si="222"/>
        <v>94</v>
      </c>
      <c r="CB227" s="16">
        <v>2549</v>
      </c>
      <c r="CC227" s="16">
        <v>1944</v>
      </c>
      <c r="CD227" s="16">
        <f t="shared" si="223"/>
        <v>605</v>
      </c>
      <c r="CE227" s="16"/>
      <c r="CF227" s="16"/>
      <c r="CG227" s="80">
        <v>2011</v>
      </c>
      <c r="CH227" s="81" t="s">
        <v>41</v>
      </c>
      <c r="CI227" s="15">
        <f t="shared" si="177"/>
        <v>0.87762762762762758</v>
      </c>
      <c r="CJ227" s="15">
        <f t="shared" si="178"/>
        <v>0.89578544061302678</v>
      </c>
      <c r="CK227" s="15">
        <f t="shared" si="179"/>
        <v>0.97972972972972971</v>
      </c>
      <c r="CL227" s="16"/>
      <c r="CM227" s="16"/>
      <c r="CN227" s="16">
        <v>2664</v>
      </c>
      <c r="CO227" s="16">
        <f t="shared" si="224"/>
        <v>54</v>
      </c>
      <c r="CP227" s="16">
        <v>2610</v>
      </c>
      <c r="CQ227" s="16">
        <v>2338</v>
      </c>
      <c r="CR227" s="16">
        <f t="shared" si="225"/>
        <v>272</v>
      </c>
      <c r="CS227" s="16"/>
      <c r="CT227" s="16"/>
      <c r="CU227" s="80">
        <v>2011</v>
      </c>
      <c r="CV227" s="81" t="s">
        <v>41</v>
      </c>
      <c r="CW227" s="15">
        <f t="shared" si="199"/>
        <v>0.74337221633085893</v>
      </c>
      <c r="CX227" s="15">
        <f t="shared" si="200"/>
        <v>0.78470149253731347</v>
      </c>
      <c r="CY227" s="15">
        <f t="shared" si="201"/>
        <v>0.94733121244255925</v>
      </c>
      <c r="CZ227" s="16"/>
      <c r="DA227" s="16"/>
      <c r="DB227" s="16">
        <v>2829</v>
      </c>
      <c r="DC227" s="16">
        <f t="shared" si="182"/>
        <v>149</v>
      </c>
      <c r="DD227" s="16">
        <v>2680</v>
      </c>
      <c r="DE227" s="16">
        <v>2103</v>
      </c>
      <c r="DF227" s="16">
        <f t="shared" si="183"/>
        <v>577</v>
      </c>
      <c r="DG227" s="16"/>
      <c r="DH227" s="16"/>
      <c r="DI227" s="80">
        <v>2011</v>
      </c>
      <c r="DJ227" s="81" t="s">
        <v>41</v>
      </c>
      <c r="DK227" s="15">
        <f t="shared" si="184"/>
        <v>0.89117043121149897</v>
      </c>
      <c r="DL227" s="15">
        <f t="shared" si="185"/>
        <v>0.95700110253583237</v>
      </c>
      <c r="DM227" s="15">
        <f t="shared" si="186"/>
        <v>0.93121149897330591</v>
      </c>
      <c r="DN227" s="16"/>
      <c r="DO227" s="16"/>
      <c r="DP227" s="16">
        <v>974</v>
      </c>
      <c r="DQ227" s="16">
        <f t="shared" si="226"/>
        <v>67</v>
      </c>
      <c r="DR227" s="16">
        <v>907</v>
      </c>
      <c r="DS227" s="16">
        <v>868</v>
      </c>
      <c r="DT227" s="16">
        <f t="shared" si="227"/>
        <v>39</v>
      </c>
      <c r="DU227" s="16"/>
      <c r="DV227" s="16"/>
      <c r="DW227" s="80">
        <v>2011</v>
      </c>
      <c r="DX227" s="81" t="s">
        <v>41</v>
      </c>
      <c r="DY227" s="15">
        <f t="shared" si="189"/>
        <v>0.96226415094339623</v>
      </c>
      <c r="DZ227" s="15">
        <f t="shared" si="190"/>
        <v>0.98367952522255198</v>
      </c>
      <c r="EA227" s="15">
        <f t="shared" si="191"/>
        <v>0.97822931785195932</v>
      </c>
      <c r="EB227" s="16"/>
      <c r="EC227" s="16"/>
      <c r="ED227" s="16">
        <v>1378</v>
      </c>
      <c r="EE227" s="16">
        <f t="shared" si="228"/>
        <v>30</v>
      </c>
      <c r="EF227" s="16">
        <v>1348</v>
      </c>
      <c r="EG227" s="16">
        <v>1326</v>
      </c>
      <c r="EH227" s="16">
        <f t="shared" si="229"/>
        <v>22</v>
      </c>
      <c r="EI227" s="16"/>
      <c r="EJ227" s="16"/>
      <c r="EK227" s="80"/>
      <c r="EL227" s="81"/>
      <c r="EM227" s="15"/>
      <c r="EN227" s="15"/>
      <c r="EO227" s="15"/>
      <c r="EP227" s="16"/>
      <c r="EQ227" s="16"/>
      <c r="ER227" s="16"/>
      <c r="ES227" s="16"/>
      <c r="ET227" s="16"/>
      <c r="EU227" s="16"/>
      <c r="EV227" s="16"/>
      <c r="EW227" s="16"/>
      <c r="EX227" s="16"/>
      <c r="EY227" s="80"/>
      <c r="EZ227" s="81"/>
      <c r="FA227" s="15"/>
      <c r="FB227" s="15"/>
      <c r="FC227" s="15"/>
      <c r="FD227" s="16"/>
      <c r="FE227" s="16"/>
      <c r="FF227" s="16"/>
      <c r="FG227" s="16"/>
      <c r="FH227" s="16"/>
      <c r="FI227" s="16"/>
      <c r="FJ227" s="16"/>
      <c r="FK227" s="16"/>
      <c r="FM227" s="80"/>
      <c r="FN227" s="81"/>
      <c r="FO227" s="15"/>
      <c r="FP227" s="15"/>
      <c r="FQ227" s="15"/>
      <c r="FR227" s="16"/>
      <c r="FS227" s="16"/>
      <c r="FT227" s="16"/>
      <c r="FU227" s="16"/>
      <c r="FV227" s="16"/>
      <c r="FW227" s="16"/>
      <c r="FX227" s="16"/>
      <c r="FY227" s="16"/>
      <c r="GA227" s="80"/>
      <c r="GB227" s="81"/>
      <c r="GC227" s="15"/>
      <c r="GD227" s="15"/>
      <c r="GE227" s="15"/>
      <c r="GF227" s="16"/>
      <c r="GG227" s="16"/>
      <c r="GH227" s="16"/>
      <c r="GI227" s="16"/>
      <c r="GJ227" s="16"/>
      <c r="GK227" s="16"/>
      <c r="GL227" s="16"/>
      <c r="GM227" s="16"/>
    </row>
    <row r="228" spans="1:195" s="18" customFormat="1" ht="15" customHeight="1">
      <c r="A228" s="78">
        <v>2011</v>
      </c>
      <c r="B228" s="79" t="s">
        <v>42</v>
      </c>
      <c r="C228" s="15">
        <f t="shared" si="194"/>
        <v>0.84213374216530645</v>
      </c>
      <c r="D228" s="15">
        <f t="shared" si="195"/>
        <v>0.89047823391980163</v>
      </c>
      <c r="E228" s="15">
        <f t="shared" si="196"/>
        <v>0.94570951887090227</v>
      </c>
      <c r="F228" s="16"/>
      <c r="G228" s="33"/>
      <c r="H22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22177</v>
      </c>
      <c r="I228" s="16">
        <f t="shared" si="197"/>
        <v>1204</v>
      </c>
      <c r="J22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20973</v>
      </c>
      <c r="K22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18676</v>
      </c>
      <c r="L228" s="16">
        <f t="shared" si="198"/>
        <v>2297</v>
      </c>
      <c r="M228" s="16"/>
      <c r="N228" s="16"/>
      <c r="O228" s="78">
        <v>2011</v>
      </c>
      <c r="P228" s="79" t="s">
        <v>42</v>
      </c>
      <c r="Q228" s="15">
        <f t="shared" si="157"/>
        <v>0.84919904253360334</v>
      </c>
      <c r="R228" s="15">
        <f t="shared" si="158"/>
        <v>0.90626842208685399</v>
      </c>
      <c r="S228" s="15">
        <f t="shared" si="159"/>
        <v>0.93702817160743879</v>
      </c>
      <c r="T228" s="26"/>
      <c r="U228" s="26"/>
      <c r="V228" s="16">
        <v>5431</v>
      </c>
      <c r="W228" s="16">
        <f t="shared" si="216"/>
        <v>342</v>
      </c>
      <c r="X228" s="16">
        <v>5089</v>
      </c>
      <c r="Y228" s="16">
        <v>4612</v>
      </c>
      <c r="Z228" s="16">
        <f t="shared" si="217"/>
        <v>477</v>
      </c>
      <c r="AA228" s="16"/>
      <c r="AB228" s="16"/>
      <c r="AC228" s="78"/>
      <c r="AD228" s="79"/>
      <c r="AE228" s="15"/>
      <c r="AF228" s="15"/>
      <c r="AG228" s="15"/>
      <c r="AH228" s="15"/>
      <c r="AI228" s="15"/>
      <c r="AJ228" s="16"/>
      <c r="AK228" s="16"/>
      <c r="AL228" s="16"/>
      <c r="AM228" s="16"/>
      <c r="AN228" s="16"/>
      <c r="AO228" s="16"/>
      <c r="AP228" s="16"/>
      <c r="AQ228" s="78">
        <v>2011</v>
      </c>
      <c r="AR228" s="79" t="s">
        <v>42</v>
      </c>
      <c r="AS228" s="15">
        <f t="shared" si="162"/>
        <v>0.8748785700408005</v>
      </c>
      <c r="AT228" s="15">
        <f t="shared" si="163"/>
        <v>0.92350287120590646</v>
      </c>
      <c r="AU228" s="15">
        <f t="shared" si="164"/>
        <v>0.94734796969108215</v>
      </c>
      <c r="AV228" s="16"/>
      <c r="AW228" s="16"/>
      <c r="AX228" s="16">
        <v>5147</v>
      </c>
      <c r="AY228" s="16">
        <f t="shared" si="218"/>
        <v>271</v>
      </c>
      <c r="AZ228" s="16">
        <v>4876</v>
      </c>
      <c r="BA228" s="16">
        <v>4503</v>
      </c>
      <c r="BB228" s="16">
        <f t="shared" si="219"/>
        <v>373</v>
      </c>
      <c r="BC228" s="16"/>
      <c r="BD228" s="16"/>
      <c r="BE228" s="78">
        <v>2011</v>
      </c>
      <c r="BF228" s="79" t="s">
        <v>42</v>
      </c>
      <c r="BG228" s="15">
        <f t="shared" si="167"/>
        <v>0.71088435374149661</v>
      </c>
      <c r="BH228" s="15">
        <f t="shared" si="168"/>
        <v>0.75451263537906132</v>
      </c>
      <c r="BI228" s="15">
        <f t="shared" si="169"/>
        <v>0.94217687074829937</v>
      </c>
      <c r="BJ228" s="16"/>
      <c r="BK228" s="16"/>
      <c r="BL228" s="16">
        <v>588</v>
      </c>
      <c r="BM228" s="16">
        <f t="shared" si="220"/>
        <v>34</v>
      </c>
      <c r="BN228" s="16">
        <v>554</v>
      </c>
      <c r="BO228" s="16">
        <v>418</v>
      </c>
      <c r="BP228" s="16">
        <f t="shared" si="221"/>
        <v>136</v>
      </c>
      <c r="BQ228" s="16"/>
      <c r="BR228" s="16"/>
      <c r="BS228" s="78">
        <v>2011</v>
      </c>
      <c r="BT228" s="79" t="s">
        <v>42</v>
      </c>
      <c r="BU228" s="15">
        <f t="shared" si="172"/>
        <v>0.80014587892049593</v>
      </c>
      <c r="BV228" s="15">
        <f t="shared" si="173"/>
        <v>0.8285498489425982</v>
      </c>
      <c r="BW228" s="15">
        <f t="shared" si="174"/>
        <v>0.96571845368344278</v>
      </c>
      <c r="BX228" s="16"/>
      <c r="BY228" s="16"/>
      <c r="BZ228" s="16">
        <v>2742</v>
      </c>
      <c r="CA228" s="16">
        <f t="shared" si="222"/>
        <v>94</v>
      </c>
      <c r="CB228" s="16">
        <v>2648</v>
      </c>
      <c r="CC228" s="16">
        <v>2194</v>
      </c>
      <c r="CD228" s="16">
        <f t="shared" si="223"/>
        <v>454</v>
      </c>
      <c r="CE228" s="16"/>
      <c r="CF228" s="16"/>
      <c r="CG228" s="78">
        <v>2011</v>
      </c>
      <c r="CH228" s="79" t="s">
        <v>42</v>
      </c>
      <c r="CI228" s="15">
        <f t="shared" si="177"/>
        <v>0.90844062947067239</v>
      </c>
      <c r="CJ228" s="15">
        <f t="shared" si="178"/>
        <v>0.93451066961000739</v>
      </c>
      <c r="CK228" s="15">
        <f t="shared" si="179"/>
        <v>0.97210300429184548</v>
      </c>
      <c r="CL228" s="16"/>
      <c r="CM228" s="16"/>
      <c r="CN228" s="16">
        <v>2796</v>
      </c>
      <c r="CO228" s="16">
        <f t="shared" si="224"/>
        <v>78</v>
      </c>
      <c r="CP228" s="16">
        <v>2718</v>
      </c>
      <c r="CQ228" s="16">
        <v>2540</v>
      </c>
      <c r="CR228" s="16">
        <f t="shared" si="225"/>
        <v>178</v>
      </c>
      <c r="CS228" s="16"/>
      <c r="CT228" s="16"/>
      <c r="CU228" s="78">
        <v>2011</v>
      </c>
      <c r="CV228" s="79" t="s">
        <v>42</v>
      </c>
      <c r="CW228" s="15">
        <f t="shared" si="199"/>
        <v>0.72312373225152127</v>
      </c>
      <c r="CX228" s="15">
        <f t="shared" si="200"/>
        <v>0.79222222222222227</v>
      </c>
      <c r="CY228" s="15">
        <f t="shared" si="201"/>
        <v>0.91277890466531442</v>
      </c>
      <c r="CZ228" s="16"/>
      <c r="DA228" s="16"/>
      <c r="DB228" s="16">
        <v>2958</v>
      </c>
      <c r="DC228" s="16">
        <f t="shared" si="182"/>
        <v>258</v>
      </c>
      <c r="DD228" s="16">
        <v>2700</v>
      </c>
      <c r="DE228" s="16">
        <v>2139</v>
      </c>
      <c r="DF228" s="16">
        <f t="shared" si="183"/>
        <v>561</v>
      </c>
      <c r="DG228" s="16"/>
      <c r="DH228" s="16"/>
      <c r="DI228" s="78">
        <v>2011</v>
      </c>
      <c r="DJ228" s="79" t="s">
        <v>42</v>
      </c>
      <c r="DK228" s="15">
        <f t="shared" si="184"/>
        <v>0.81879194630872487</v>
      </c>
      <c r="DL228" s="15">
        <f t="shared" si="185"/>
        <v>0.8970588235294118</v>
      </c>
      <c r="DM228" s="15">
        <f t="shared" si="186"/>
        <v>0.91275167785234901</v>
      </c>
      <c r="DN228" s="16"/>
      <c r="DO228" s="16"/>
      <c r="DP228" s="16">
        <v>1043</v>
      </c>
      <c r="DQ228" s="16">
        <f t="shared" si="226"/>
        <v>91</v>
      </c>
      <c r="DR228" s="16">
        <v>952</v>
      </c>
      <c r="DS228" s="16">
        <v>854</v>
      </c>
      <c r="DT228" s="16">
        <f t="shared" si="227"/>
        <v>98</v>
      </c>
      <c r="DU228" s="16"/>
      <c r="DV228" s="16"/>
      <c r="DW228" s="78">
        <v>2011</v>
      </c>
      <c r="DX228" s="79" t="s">
        <v>42</v>
      </c>
      <c r="DY228" s="15">
        <f t="shared" si="189"/>
        <v>0.96195652173913049</v>
      </c>
      <c r="DZ228" s="15">
        <f t="shared" si="190"/>
        <v>0.98607242339832868</v>
      </c>
      <c r="EA228" s="15">
        <f t="shared" si="191"/>
        <v>0.97554347826086951</v>
      </c>
      <c r="EB228" s="16"/>
      <c r="EC228" s="16"/>
      <c r="ED228" s="16">
        <v>1472</v>
      </c>
      <c r="EE228" s="16">
        <f t="shared" si="228"/>
        <v>36</v>
      </c>
      <c r="EF228" s="16">
        <v>1436</v>
      </c>
      <c r="EG228" s="16">
        <v>1416</v>
      </c>
      <c r="EH228" s="16">
        <f t="shared" si="229"/>
        <v>20</v>
      </c>
      <c r="EI228" s="16"/>
      <c r="EJ228" s="16"/>
      <c r="EK228" s="78"/>
      <c r="EL228" s="79"/>
      <c r="EM228" s="15"/>
      <c r="EN228" s="15"/>
      <c r="EO228" s="15"/>
      <c r="EP228" s="16"/>
      <c r="EQ228" s="16"/>
      <c r="ER228" s="16"/>
      <c r="ES228" s="16"/>
      <c r="ET228" s="16"/>
      <c r="EU228" s="16"/>
      <c r="EV228" s="16"/>
      <c r="EW228" s="16"/>
      <c r="EX228" s="16"/>
      <c r="EY228" s="78"/>
      <c r="EZ228" s="79"/>
      <c r="FA228" s="15"/>
      <c r="FB228" s="15"/>
      <c r="FC228" s="15"/>
      <c r="FD228" s="16"/>
      <c r="FE228" s="16"/>
      <c r="FF228" s="16"/>
      <c r="FG228" s="16"/>
      <c r="FH228" s="16"/>
      <c r="FI228" s="16"/>
      <c r="FJ228" s="16"/>
      <c r="FK228" s="16"/>
      <c r="FM228" s="78"/>
      <c r="FN228" s="79"/>
      <c r="FO228" s="15"/>
      <c r="FP228" s="15"/>
      <c r="FQ228" s="15"/>
      <c r="FR228" s="16"/>
      <c r="FS228" s="16"/>
      <c r="FT228" s="16"/>
      <c r="FU228" s="16"/>
      <c r="FV228" s="16"/>
      <c r="FW228" s="16"/>
      <c r="FX228" s="16"/>
      <c r="FY228" s="16"/>
      <c r="GA228" s="78"/>
      <c r="GB228" s="79"/>
      <c r="GC228" s="15"/>
      <c r="GD228" s="15"/>
      <c r="GE228" s="15"/>
      <c r="GF228" s="16"/>
      <c r="GG228" s="16"/>
      <c r="GH228" s="16"/>
      <c r="GI228" s="16"/>
      <c r="GJ228" s="16"/>
      <c r="GK228" s="16"/>
      <c r="GL228" s="16"/>
      <c r="GM228" s="16"/>
    </row>
    <row r="229" spans="1:195" s="18" customFormat="1" ht="15" customHeight="1">
      <c r="A229" s="80">
        <v>2011</v>
      </c>
      <c r="B229" s="81" t="s">
        <v>43</v>
      </c>
      <c r="C229" s="15">
        <f t="shared" si="194"/>
        <v>0.86484441080888574</v>
      </c>
      <c r="D229" s="15">
        <f t="shared" si="195"/>
        <v>0.89952308190952446</v>
      </c>
      <c r="E229" s="15">
        <f t="shared" si="196"/>
        <v>0.9614477140186084</v>
      </c>
      <c r="F229" s="16"/>
      <c r="G229" s="33"/>
      <c r="H22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22463</v>
      </c>
      <c r="I229" s="16">
        <f t="shared" si="197"/>
        <v>866</v>
      </c>
      <c r="J22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21597</v>
      </c>
      <c r="K22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19427</v>
      </c>
      <c r="L229" s="16">
        <f t="shared" si="198"/>
        <v>2170</v>
      </c>
      <c r="M229" s="16"/>
      <c r="N229" s="16"/>
      <c r="O229" s="80">
        <v>2011</v>
      </c>
      <c r="P229" s="81" t="s">
        <v>43</v>
      </c>
      <c r="Q229" s="15">
        <f t="shared" si="157"/>
        <v>0.87651419273187492</v>
      </c>
      <c r="R229" s="15">
        <f t="shared" si="158"/>
        <v>0.92009869045359649</v>
      </c>
      <c r="S229" s="15">
        <f t="shared" si="159"/>
        <v>0.95263062737298865</v>
      </c>
      <c r="T229" s="26"/>
      <c r="U229" s="26"/>
      <c r="V229" s="16">
        <v>5531</v>
      </c>
      <c r="W229" s="16">
        <f t="shared" si="216"/>
        <v>262</v>
      </c>
      <c r="X229" s="16">
        <v>5269</v>
      </c>
      <c r="Y229" s="16">
        <v>4848</v>
      </c>
      <c r="Z229" s="16">
        <f t="shared" si="217"/>
        <v>421</v>
      </c>
      <c r="AA229" s="16"/>
      <c r="AB229" s="16"/>
      <c r="AC229" s="80"/>
      <c r="AD229" s="81"/>
      <c r="AE229" s="15"/>
      <c r="AF229" s="15"/>
      <c r="AG229" s="15"/>
      <c r="AH229" s="15"/>
      <c r="AI229" s="15"/>
      <c r="AJ229" s="16"/>
      <c r="AK229" s="16"/>
      <c r="AL229" s="16"/>
      <c r="AM229" s="16"/>
      <c r="AN229" s="16"/>
      <c r="AO229" s="16"/>
      <c r="AP229" s="16"/>
      <c r="AQ229" s="80">
        <v>2011</v>
      </c>
      <c r="AR229" s="81" t="s">
        <v>43</v>
      </c>
      <c r="AS229" s="15">
        <f t="shared" si="162"/>
        <v>0.91218672278553659</v>
      </c>
      <c r="AT229" s="15">
        <f t="shared" si="163"/>
        <v>0.93821330184966545</v>
      </c>
      <c r="AU229" s="15">
        <f t="shared" si="164"/>
        <v>0.97225942223072503</v>
      </c>
      <c r="AV229" s="16"/>
      <c r="AW229" s="16"/>
      <c r="AX229" s="16">
        <v>5227</v>
      </c>
      <c r="AY229" s="16">
        <f t="shared" si="218"/>
        <v>145</v>
      </c>
      <c r="AZ229" s="16">
        <v>5082</v>
      </c>
      <c r="BA229" s="16">
        <v>4768</v>
      </c>
      <c r="BB229" s="16">
        <f t="shared" si="219"/>
        <v>314</v>
      </c>
      <c r="BC229" s="16"/>
      <c r="BD229" s="16"/>
      <c r="BE229" s="80">
        <v>2011</v>
      </c>
      <c r="BF229" s="81" t="s">
        <v>43</v>
      </c>
      <c r="BG229" s="15">
        <f t="shared" si="167"/>
        <v>0.70941558441558439</v>
      </c>
      <c r="BH229" s="15">
        <f t="shared" si="168"/>
        <v>0.74957118353344765</v>
      </c>
      <c r="BI229" s="15">
        <f t="shared" si="169"/>
        <v>0.9464285714285714</v>
      </c>
      <c r="BJ229" s="16"/>
      <c r="BK229" s="16"/>
      <c r="BL229" s="16">
        <v>616</v>
      </c>
      <c r="BM229" s="16">
        <f t="shared" si="220"/>
        <v>33</v>
      </c>
      <c r="BN229" s="16">
        <v>583</v>
      </c>
      <c r="BO229" s="16">
        <v>437</v>
      </c>
      <c r="BP229" s="16">
        <f t="shared" si="221"/>
        <v>146</v>
      </c>
      <c r="BQ229" s="16"/>
      <c r="BR229" s="16"/>
      <c r="BS229" s="80">
        <v>2011</v>
      </c>
      <c r="BT229" s="81" t="s">
        <v>43</v>
      </c>
      <c r="BU229" s="15">
        <f t="shared" si="172"/>
        <v>0.82301845819761132</v>
      </c>
      <c r="BV229" s="15">
        <f t="shared" si="173"/>
        <v>0.84503901895206246</v>
      </c>
      <c r="BW229" s="15">
        <f t="shared" si="174"/>
        <v>0.97394136807817588</v>
      </c>
      <c r="BX229" s="16"/>
      <c r="BY229" s="16"/>
      <c r="BZ229" s="16">
        <v>2763</v>
      </c>
      <c r="CA229" s="16">
        <f t="shared" si="222"/>
        <v>72</v>
      </c>
      <c r="CB229" s="16">
        <v>2691</v>
      </c>
      <c r="CC229" s="16">
        <v>2274</v>
      </c>
      <c r="CD229" s="16">
        <f t="shared" si="223"/>
        <v>417</v>
      </c>
      <c r="CE229" s="16"/>
      <c r="CF229" s="16"/>
      <c r="CG229" s="80">
        <v>2011</v>
      </c>
      <c r="CH229" s="81" t="s">
        <v>43</v>
      </c>
      <c r="CI229" s="15">
        <f t="shared" si="177"/>
        <v>0.9357700496806246</v>
      </c>
      <c r="CJ229" s="15">
        <f t="shared" si="178"/>
        <v>0.94924406047516197</v>
      </c>
      <c r="CK229" s="15">
        <f t="shared" si="179"/>
        <v>0.98580553584102204</v>
      </c>
      <c r="CL229" s="16"/>
      <c r="CM229" s="16"/>
      <c r="CN229" s="16">
        <v>2818</v>
      </c>
      <c r="CO229" s="16">
        <f t="shared" si="224"/>
        <v>40</v>
      </c>
      <c r="CP229" s="16">
        <v>2778</v>
      </c>
      <c r="CQ229" s="16">
        <v>2637</v>
      </c>
      <c r="CR229" s="16">
        <f t="shared" si="225"/>
        <v>141</v>
      </c>
      <c r="CS229" s="16"/>
      <c r="CT229" s="16"/>
      <c r="CU229" s="80">
        <v>2011</v>
      </c>
      <c r="CV229" s="81" t="s">
        <v>43</v>
      </c>
      <c r="CW229" s="15">
        <f t="shared" si="199"/>
        <v>0.73799126637554591</v>
      </c>
      <c r="CX229" s="15">
        <f t="shared" si="200"/>
        <v>0.7900035958288385</v>
      </c>
      <c r="CY229" s="15">
        <f t="shared" si="201"/>
        <v>0.9341619079610346</v>
      </c>
      <c r="CZ229" s="16"/>
      <c r="DA229" s="16"/>
      <c r="DB229" s="16">
        <v>2977</v>
      </c>
      <c r="DC229" s="16">
        <f t="shared" si="182"/>
        <v>196</v>
      </c>
      <c r="DD229" s="16">
        <v>2781</v>
      </c>
      <c r="DE229" s="16">
        <v>2197</v>
      </c>
      <c r="DF229" s="16">
        <f t="shared" si="183"/>
        <v>584</v>
      </c>
      <c r="DG229" s="16"/>
      <c r="DH229" s="16"/>
      <c r="DI229" s="80">
        <v>2011</v>
      </c>
      <c r="DJ229" s="81" t="s">
        <v>43</v>
      </c>
      <c r="DK229" s="15">
        <f t="shared" si="184"/>
        <v>0.8024809160305344</v>
      </c>
      <c r="DL229" s="15">
        <f t="shared" si="185"/>
        <v>0.86880165289256195</v>
      </c>
      <c r="DM229" s="15">
        <f t="shared" si="186"/>
        <v>0.92366412213740456</v>
      </c>
      <c r="DN229" s="16"/>
      <c r="DO229" s="16"/>
      <c r="DP229" s="16">
        <v>1048</v>
      </c>
      <c r="DQ229" s="16">
        <f t="shared" si="226"/>
        <v>80</v>
      </c>
      <c r="DR229" s="16">
        <v>968</v>
      </c>
      <c r="DS229" s="16">
        <v>841</v>
      </c>
      <c r="DT229" s="16">
        <f t="shared" si="227"/>
        <v>127</v>
      </c>
      <c r="DU229" s="16"/>
      <c r="DV229" s="16"/>
      <c r="DW229" s="80">
        <v>2011</v>
      </c>
      <c r="DX229" s="81" t="s">
        <v>43</v>
      </c>
      <c r="DY229" s="15">
        <f t="shared" si="189"/>
        <v>0.96089008766014838</v>
      </c>
      <c r="DZ229" s="15">
        <f t="shared" si="190"/>
        <v>0.98615916955017302</v>
      </c>
      <c r="EA229" s="15">
        <f t="shared" si="191"/>
        <v>0.97437626432906266</v>
      </c>
      <c r="EB229" s="16"/>
      <c r="EC229" s="16"/>
      <c r="ED229" s="16">
        <v>1483</v>
      </c>
      <c r="EE229" s="16">
        <f t="shared" si="228"/>
        <v>38</v>
      </c>
      <c r="EF229" s="16">
        <v>1445</v>
      </c>
      <c r="EG229" s="16">
        <v>1425</v>
      </c>
      <c r="EH229" s="16">
        <f t="shared" si="229"/>
        <v>20</v>
      </c>
      <c r="EI229" s="16"/>
      <c r="EJ229" s="16"/>
      <c r="EK229" s="80"/>
      <c r="EL229" s="81"/>
      <c r="EM229" s="15"/>
      <c r="EN229" s="15"/>
      <c r="EO229" s="15"/>
      <c r="EP229" s="16"/>
      <c r="EQ229" s="16"/>
      <c r="ER229" s="16"/>
      <c r="ES229" s="16"/>
      <c r="ET229" s="16"/>
      <c r="EU229" s="16"/>
      <c r="EV229" s="16"/>
      <c r="EW229" s="16"/>
      <c r="EX229" s="16"/>
      <c r="EY229" s="80"/>
      <c r="EZ229" s="81"/>
      <c r="FA229" s="15"/>
      <c r="FB229" s="15"/>
      <c r="FC229" s="15"/>
      <c r="FD229" s="16"/>
      <c r="FE229" s="16"/>
      <c r="FF229" s="16"/>
      <c r="FG229" s="16"/>
      <c r="FH229" s="16"/>
      <c r="FI229" s="16"/>
      <c r="FJ229" s="16"/>
      <c r="FK229" s="16"/>
      <c r="FM229" s="80"/>
      <c r="FN229" s="81"/>
      <c r="FO229" s="15"/>
      <c r="FP229" s="15"/>
      <c r="FQ229" s="15"/>
      <c r="FR229" s="16"/>
      <c r="FS229" s="16"/>
      <c r="FT229" s="16"/>
      <c r="FU229" s="16"/>
      <c r="FV229" s="16"/>
      <c r="FW229" s="16"/>
      <c r="FX229" s="16"/>
      <c r="FY229" s="16"/>
      <c r="GA229" s="80"/>
      <c r="GB229" s="81"/>
      <c r="GC229" s="15"/>
      <c r="GD229" s="15"/>
      <c r="GE229" s="15"/>
      <c r="GF229" s="16"/>
      <c r="GG229" s="16"/>
      <c r="GH229" s="16"/>
      <c r="GI229" s="16"/>
      <c r="GJ229" s="16"/>
      <c r="GK229" s="16"/>
      <c r="GL229" s="16"/>
      <c r="GM229" s="16"/>
    </row>
    <row r="230" spans="1:195" s="18" customFormat="1" ht="15" customHeight="1">
      <c r="A230" s="78">
        <v>2011</v>
      </c>
      <c r="B230" s="79" t="s">
        <v>44</v>
      </c>
      <c r="C230" s="15">
        <f t="shared" si="194"/>
        <v>0.89177508870894373</v>
      </c>
      <c r="D230" s="15">
        <f t="shared" si="195"/>
        <v>0.92593642246469232</v>
      </c>
      <c r="E230" s="15">
        <f t="shared" si="196"/>
        <v>0.9631061777818215</v>
      </c>
      <c r="F230" s="16"/>
      <c r="G230" s="33"/>
      <c r="H23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21982</v>
      </c>
      <c r="I230" s="16">
        <f t="shared" si="197"/>
        <v>811</v>
      </c>
      <c r="J23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21171</v>
      </c>
      <c r="K23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19603</v>
      </c>
      <c r="L230" s="16">
        <f t="shared" si="198"/>
        <v>1568</v>
      </c>
      <c r="M230" s="16"/>
      <c r="N230" s="16"/>
      <c r="O230" s="78">
        <v>2011</v>
      </c>
      <c r="P230" s="79" t="s">
        <v>44</v>
      </c>
      <c r="Q230" s="15">
        <f t="shared" si="157"/>
        <v>0.88304523721956607</v>
      </c>
      <c r="R230" s="15">
        <f t="shared" si="158"/>
        <v>0.94323315655077589</v>
      </c>
      <c r="S230" s="15">
        <f t="shared" si="159"/>
        <v>0.93618977565281358</v>
      </c>
      <c r="T230" s="26"/>
      <c r="U230" s="26"/>
      <c r="V230" s="16">
        <v>5438</v>
      </c>
      <c r="W230" s="16">
        <f t="shared" si="216"/>
        <v>347</v>
      </c>
      <c r="X230" s="16">
        <v>5091</v>
      </c>
      <c r="Y230" s="16">
        <v>4802</v>
      </c>
      <c r="Z230" s="16">
        <f t="shared" si="217"/>
        <v>289</v>
      </c>
      <c r="AA230" s="16"/>
      <c r="AB230" s="16"/>
      <c r="AC230" s="78"/>
      <c r="AD230" s="79"/>
      <c r="AE230" s="15"/>
      <c r="AF230" s="15"/>
      <c r="AG230" s="15"/>
      <c r="AH230" s="15"/>
      <c r="AI230" s="15"/>
      <c r="AJ230" s="16"/>
      <c r="AK230" s="16"/>
      <c r="AL230" s="16"/>
      <c r="AM230" s="16"/>
      <c r="AN230" s="16"/>
      <c r="AO230" s="16"/>
      <c r="AP230" s="16"/>
      <c r="AQ230" s="78">
        <v>2011</v>
      </c>
      <c r="AR230" s="79" t="s">
        <v>44</v>
      </c>
      <c r="AS230" s="15">
        <f t="shared" si="162"/>
        <v>0.95048732943469783</v>
      </c>
      <c r="AT230" s="15">
        <f t="shared" si="163"/>
        <v>0.96726839912715734</v>
      </c>
      <c r="AU230" s="15">
        <f t="shared" si="164"/>
        <v>0.98265107212475633</v>
      </c>
      <c r="AV230" s="16"/>
      <c r="AW230" s="16"/>
      <c r="AX230" s="16">
        <v>5130</v>
      </c>
      <c r="AY230" s="16">
        <f t="shared" si="218"/>
        <v>89</v>
      </c>
      <c r="AZ230" s="16">
        <v>5041</v>
      </c>
      <c r="BA230" s="16">
        <v>4876</v>
      </c>
      <c r="BB230" s="16">
        <f t="shared" si="219"/>
        <v>165</v>
      </c>
      <c r="BC230" s="16"/>
      <c r="BD230" s="16"/>
      <c r="BE230" s="78">
        <v>2011</v>
      </c>
      <c r="BF230" s="79" t="s">
        <v>44</v>
      </c>
      <c r="BG230" s="15">
        <f t="shared" si="167"/>
        <v>0.8571428571428571</v>
      </c>
      <c r="BH230" s="15">
        <f t="shared" si="168"/>
        <v>0.90877796901893293</v>
      </c>
      <c r="BI230" s="15">
        <f t="shared" si="169"/>
        <v>0.94318181818181823</v>
      </c>
      <c r="BJ230" s="16"/>
      <c r="BK230" s="16"/>
      <c r="BL230" s="16">
        <v>616</v>
      </c>
      <c r="BM230" s="16">
        <f t="shared" si="220"/>
        <v>35</v>
      </c>
      <c r="BN230" s="16">
        <v>581</v>
      </c>
      <c r="BO230" s="16">
        <v>528</v>
      </c>
      <c r="BP230" s="16">
        <f t="shared" si="221"/>
        <v>53</v>
      </c>
      <c r="BQ230" s="16"/>
      <c r="BR230" s="16"/>
      <c r="BS230" s="78">
        <v>2011</v>
      </c>
      <c r="BT230" s="79" t="s">
        <v>44</v>
      </c>
      <c r="BU230" s="15">
        <f t="shared" si="172"/>
        <v>0.82986627043090644</v>
      </c>
      <c r="BV230" s="15">
        <f t="shared" si="173"/>
        <v>0.85725249424405214</v>
      </c>
      <c r="BW230" s="15">
        <f t="shared" si="174"/>
        <v>0.96805349182763745</v>
      </c>
      <c r="BX230" s="16"/>
      <c r="BY230" s="16"/>
      <c r="BZ230" s="16">
        <v>2692</v>
      </c>
      <c r="CA230" s="16">
        <f t="shared" si="222"/>
        <v>86</v>
      </c>
      <c r="CB230" s="16">
        <v>2606</v>
      </c>
      <c r="CC230" s="16">
        <v>2234</v>
      </c>
      <c r="CD230" s="16">
        <f t="shared" si="223"/>
        <v>372</v>
      </c>
      <c r="CE230" s="16"/>
      <c r="CF230" s="16"/>
      <c r="CG230" s="78">
        <v>2011</v>
      </c>
      <c r="CH230" s="79" t="s">
        <v>44</v>
      </c>
      <c r="CI230" s="15">
        <f t="shared" si="177"/>
        <v>0.93740902474526933</v>
      </c>
      <c r="CJ230" s="15">
        <f t="shared" si="178"/>
        <v>0.95478131949592293</v>
      </c>
      <c r="CK230" s="15">
        <f t="shared" si="179"/>
        <v>0.9818049490538574</v>
      </c>
      <c r="CL230" s="16"/>
      <c r="CM230" s="16"/>
      <c r="CN230" s="16">
        <v>2748</v>
      </c>
      <c r="CO230" s="16">
        <f t="shared" si="224"/>
        <v>50</v>
      </c>
      <c r="CP230" s="16">
        <v>2698</v>
      </c>
      <c r="CQ230" s="16">
        <v>2576</v>
      </c>
      <c r="CR230" s="16">
        <f t="shared" si="225"/>
        <v>122</v>
      </c>
      <c r="CS230" s="16"/>
      <c r="CT230" s="16"/>
      <c r="CU230" s="78">
        <v>2011</v>
      </c>
      <c r="CV230" s="79" t="s">
        <v>44</v>
      </c>
      <c r="CW230" s="15">
        <f t="shared" si="199"/>
        <v>0.76968232044198892</v>
      </c>
      <c r="CX230" s="15">
        <f t="shared" si="200"/>
        <v>0.81888317413666423</v>
      </c>
      <c r="CY230" s="15">
        <f t="shared" si="201"/>
        <v>0.93991712707182318</v>
      </c>
      <c r="CZ230" s="16"/>
      <c r="DA230" s="16"/>
      <c r="DB230" s="16">
        <v>2896</v>
      </c>
      <c r="DC230" s="16">
        <f t="shared" si="182"/>
        <v>174</v>
      </c>
      <c r="DD230" s="16">
        <v>2722</v>
      </c>
      <c r="DE230" s="16">
        <v>2229</v>
      </c>
      <c r="DF230" s="16">
        <f t="shared" si="183"/>
        <v>493</v>
      </c>
      <c r="DG230" s="16"/>
      <c r="DH230" s="16"/>
      <c r="DI230" s="78">
        <v>2011</v>
      </c>
      <c r="DJ230" s="79" t="s">
        <v>44</v>
      </c>
      <c r="DK230" s="15">
        <f t="shared" si="184"/>
        <v>0.9263261296660118</v>
      </c>
      <c r="DL230" s="15">
        <f t="shared" si="185"/>
        <v>0.93551587301587302</v>
      </c>
      <c r="DM230" s="15">
        <f t="shared" si="186"/>
        <v>0.99017681728880158</v>
      </c>
      <c r="DN230" s="16"/>
      <c r="DO230" s="16"/>
      <c r="DP230" s="16">
        <v>1018</v>
      </c>
      <c r="DQ230" s="16">
        <f t="shared" si="226"/>
        <v>10</v>
      </c>
      <c r="DR230" s="16">
        <v>1008</v>
      </c>
      <c r="DS230" s="16">
        <v>943</v>
      </c>
      <c r="DT230" s="16">
        <f t="shared" si="227"/>
        <v>65</v>
      </c>
      <c r="DU230" s="16"/>
      <c r="DV230" s="16"/>
      <c r="DW230" s="78">
        <v>2011</v>
      </c>
      <c r="DX230" s="79" t="s">
        <v>44</v>
      </c>
      <c r="DY230" s="15">
        <f t="shared" si="189"/>
        <v>0.97991689750692523</v>
      </c>
      <c r="DZ230" s="15">
        <f t="shared" si="190"/>
        <v>0.9936797752808989</v>
      </c>
      <c r="EA230" s="15">
        <f t="shared" si="191"/>
        <v>0.98614958448753465</v>
      </c>
      <c r="EB230" s="16"/>
      <c r="EC230" s="16"/>
      <c r="ED230" s="16">
        <v>1444</v>
      </c>
      <c r="EE230" s="16">
        <f t="shared" si="228"/>
        <v>20</v>
      </c>
      <c r="EF230" s="16">
        <v>1424</v>
      </c>
      <c r="EG230" s="16">
        <v>1415</v>
      </c>
      <c r="EH230" s="16">
        <f t="shared" si="229"/>
        <v>9</v>
      </c>
      <c r="EI230" s="16"/>
      <c r="EJ230" s="16"/>
      <c r="EK230" s="78"/>
      <c r="EL230" s="79"/>
      <c r="EM230" s="15"/>
      <c r="EN230" s="15"/>
      <c r="EO230" s="15"/>
      <c r="EP230" s="16"/>
      <c r="EQ230" s="16"/>
      <c r="ER230" s="16"/>
      <c r="ES230" s="16"/>
      <c r="ET230" s="16"/>
      <c r="EU230" s="16"/>
      <c r="EV230" s="16"/>
      <c r="EW230" s="16"/>
      <c r="EX230" s="16"/>
      <c r="EY230" s="78"/>
      <c r="EZ230" s="79"/>
      <c r="FA230" s="15"/>
      <c r="FB230" s="15"/>
      <c r="FC230" s="15"/>
      <c r="FD230" s="16"/>
      <c r="FE230" s="16"/>
      <c r="FF230" s="16"/>
      <c r="FG230" s="16"/>
      <c r="FH230" s="16"/>
      <c r="FI230" s="16"/>
      <c r="FJ230" s="16"/>
      <c r="FK230" s="16"/>
      <c r="FM230" s="78"/>
      <c r="FN230" s="79"/>
      <c r="FO230" s="15"/>
      <c r="FP230" s="15"/>
      <c r="FQ230" s="15"/>
      <c r="FR230" s="16"/>
      <c r="FS230" s="16"/>
      <c r="FT230" s="16"/>
      <c r="FU230" s="16"/>
      <c r="FV230" s="16"/>
      <c r="FW230" s="16"/>
      <c r="FX230" s="16"/>
      <c r="FY230" s="16"/>
      <c r="GA230" s="78"/>
      <c r="GB230" s="79"/>
      <c r="GC230" s="15"/>
      <c r="GD230" s="15"/>
      <c r="GE230" s="15"/>
      <c r="GF230" s="16"/>
      <c r="GG230" s="16"/>
      <c r="GH230" s="16"/>
      <c r="GI230" s="16"/>
      <c r="GJ230" s="16"/>
      <c r="GK230" s="16"/>
      <c r="GL230" s="16"/>
      <c r="GM230" s="16"/>
    </row>
    <row r="231" spans="1:195" s="18" customFormat="1" ht="15" customHeight="1">
      <c r="A231" s="80">
        <v>2011</v>
      </c>
      <c r="B231" s="81" t="s">
        <v>45</v>
      </c>
      <c r="C231" s="15">
        <f t="shared" si="194"/>
        <v>0.89935565840820397</v>
      </c>
      <c r="D231" s="15">
        <f t="shared" si="195"/>
        <v>0.93060381256456004</v>
      </c>
      <c r="E231" s="15">
        <f t="shared" si="196"/>
        <v>0.96642163535711045</v>
      </c>
      <c r="F231" s="16"/>
      <c r="G231" s="33"/>
      <c r="H23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22038</v>
      </c>
      <c r="I231" s="16">
        <f t="shared" si="197"/>
        <v>740</v>
      </c>
      <c r="J23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21298</v>
      </c>
      <c r="K23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19820</v>
      </c>
      <c r="L231" s="16">
        <f t="shared" si="198"/>
        <v>1478</v>
      </c>
      <c r="M231" s="16"/>
      <c r="N231" s="16"/>
      <c r="O231" s="80">
        <v>2011</v>
      </c>
      <c r="P231" s="81" t="s">
        <v>45</v>
      </c>
      <c r="Q231" s="15">
        <f t="shared" si="157"/>
        <v>0.87803972526452567</v>
      </c>
      <c r="R231" s="15">
        <f t="shared" si="158"/>
        <v>0.93700475435816166</v>
      </c>
      <c r="S231" s="15">
        <f t="shared" si="159"/>
        <v>0.93707072582142192</v>
      </c>
      <c r="T231" s="26"/>
      <c r="U231" s="26"/>
      <c r="V231" s="16">
        <v>5387</v>
      </c>
      <c r="W231" s="16">
        <f t="shared" si="216"/>
        <v>339</v>
      </c>
      <c r="X231" s="16">
        <v>5048</v>
      </c>
      <c r="Y231" s="16">
        <v>4730</v>
      </c>
      <c r="Z231" s="16">
        <f t="shared" si="217"/>
        <v>318</v>
      </c>
      <c r="AA231" s="16"/>
      <c r="AB231" s="16"/>
      <c r="AC231" s="80"/>
      <c r="AD231" s="81"/>
      <c r="AE231" s="15"/>
      <c r="AF231" s="15"/>
      <c r="AG231" s="15"/>
      <c r="AH231" s="15"/>
      <c r="AI231" s="15"/>
      <c r="AJ231" s="16"/>
      <c r="AK231" s="16"/>
      <c r="AL231" s="16"/>
      <c r="AM231" s="16"/>
      <c r="AN231" s="16"/>
      <c r="AO231" s="16"/>
      <c r="AP231" s="16"/>
      <c r="AQ231" s="80">
        <v>2011</v>
      </c>
      <c r="AR231" s="81" t="s">
        <v>45</v>
      </c>
      <c r="AS231" s="15">
        <f t="shared" si="162"/>
        <v>0.9499217527386542</v>
      </c>
      <c r="AT231" s="15">
        <f t="shared" si="163"/>
        <v>0.96656050955414008</v>
      </c>
      <c r="AU231" s="15">
        <f t="shared" si="164"/>
        <v>0.98278560250391234</v>
      </c>
      <c r="AV231" s="16"/>
      <c r="AW231" s="16"/>
      <c r="AX231" s="16">
        <v>5112</v>
      </c>
      <c r="AY231" s="16">
        <f t="shared" si="218"/>
        <v>88</v>
      </c>
      <c r="AZ231" s="16">
        <v>5024</v>
      </c>
      <c r="BA231" s="16">
        <v>4856</v>
      </c>
      <c r="BB231" s="16">
        <f t="shared" si="219"/>
        <v>168</v>
      </c>
      <c r="BC231" s="16"/>
      <c r="BD231" s="16"/>
      <c r="BE231" s="80">
        <v>2011</v>
      </c>
      <c r="BF231" s="81" t="s">
        <v>45</v>
      </c>
      <c r="BG231" s="15">
        <f t="shared" si="167"/>
        <v>0.85535714285714282</v>
      </c>
      <c r="BH231" s="15">
        <f t="shared" si="168"/>
        <v>0.89365671641791045</v>
      </c>
      <c r="BI231" s="15">
        <f t="shared" si="169"/>
        <v>0.95714285714285718</v>
      </c>
      <c r="BJ231" s="16"/>
      <c r="BK231" s="16"/>
      <c r="BL231" s="16">
        <v>560</v>
      </c>
      <c r="BM231" s="16">
        <f t="shared" si="220"/>
        <v>24</v>
      </c>
      <c r="BN231" s="16">
        <v>536</v>
      </c>
      <c r="BO231" s="16">
        <v>479</v>
      </c>
      <c r="BP231" s="16">
        <f t="shared" si="221"/>
        <v>57</v>
      </c>
      <c r="BQ231" s="16"/>
      <c r="BR231" s="16"/>
      <c r="BS231" s="80">
        <v>2011</v>
      </c>
      <c r="BT231" s="81" t="s">
        <v>45</v>
      </c>
      <c r="BU231" s="15">
        <f t="shared" si="172"/>
        <v>0.86932650073206441</v>
      </c>
      <c r="BV231" s="15">
        <f t="shared" si="173"/>
        <v>0.88224368499257055</v>
      </c>
      <c r="BW231" s="15">
        <f t="shared" si="174"/>
        <v>0.98535871156661792</v>
      </c>
      <c r="BX231" s="16"/>
      <c r="BY231" s="16"/>
      <c r="BZ231" s="16">
        <v>2732</v>
      </c>
      <c r="CA231" s="16">
        <f t="shared" si="222"/>
        <v>40</v>
      </c>
      <c r="CB231" s="16">
        <v>2692</v>
      </c>
      <c r="CC231" s="16">
        <v>2375</v>
      </c>
      <c r="CD231" s="16">
        <f t="shared" si="223"/>
        <v>317</v>
      </c>
      <c r="CE231" s="16"/>
      <c r="CF231" s="16"/>
      <c r="CG231" s="80">
        <v>2011</v>
      </c>
      <c r="CH231" s="81" t="s">
        <v>45</v>
      </c>
      <c r="CI231" s="15">
        <f t="shared" si="177"/>
        <v>0.94474345174022245</v>
      </c>
      <c r="CJ231" s="15">
        <f t="shared" si="178"/>
        <v>0.9591985428051002</v>
      </c>
      <c r="CK231" s="15">
        <f t="shared" si="179"/>
        <v>0.98493003229278797</v>
      </c>
      <c r="CL231" s="16"/>
      <c r="CM231" s="16"/>
      <c r="CN231" s="16">
        <v>2787</v>
      </c>
      <c r="CO231" s="16">
        <f t="shared" si="224"/>
        <v>42</v>
      </c>
      <c r="CP231" s="16">
        <v>2745</v>
      </c>
      <c r="CQ231" s="16">
        <v>2633</v>
      </c>
      <c r="CR231" s="16">
        <f t="shared" si="225"/>
        <v>112</v>
      </c>
      <c r="CS231" s="16"/>
      <c r="CT231" s="16"/>
      <c r="CU231" s="80">
        <v>2011</v>
      </c>
      <c r="CV231" s="81" t="s">
        <v>45</v>
      </c>
      <c r="CW231" s="15">
        <f t="shared" si="199"/>
        <v>0.793629278210776</v>
      </c>
      <c r="CX231" s="15">
        <f t="shared" si="200"/>
        <v>0.84184040258806614</v>
      </c>
      <c r="CY231" s="15">
        <f t="shared" si="201"/>
        <v>0.94273127753303965</v>
      </c>
      <c r="CZ231" s="16"/>
      <c r="DA231" s="16"/>
      <c r="DB231" s="16">
        <v>2951</v>
      </c>
      <c r="DC231" s="16">
        <f t="shared" si="182"/>
        <v>169</v>
      </c>
      <c r="DD231" s="16">
        <v>2782</v>
      </c>
      <c r="DE231" s="16">
        <v>2342</v>
      </c>
      <c r="DF231" s="16">
        <f t="shared" si="183"/>
        <v>440</v>
      </c>
      <c r="DG231" s="16"/>
      <c r="DH231" s="16"/>
      <c r="DI231" s="80">
        <v>2011</v>
      </c>
      <c r="DJ231" s="81" t="s">
        <v>45</v>
      </c>
      <c r="DK231" s="15">
        <f t="shared" si="184"/>
        <v>0.91442307692307689</v>
      </c>
      <c r="DL231" s="15">
        <f t="shared" si="185"/>
        <v>0.93694581280788181</v>
      </c>
      <c r="DM231" s="15">
        <f t="shared" si="186"/>
        <v>0.97596153846153844</v>
      </c>
      <c r="DN231" s="16"/>
      <c r="DO231" s="16"/>
      <c r="DP231" s="16">
        <v>1040</v>
      </c>
      <c r="DQ231" s="16">
        <f t="shared" si="226"/>
        <v>25</v>
      </c>
      <c r="DR231" s="16">
        <v>1015</v>
      </c>
      <c r="DS231" s="16">
        <v>951</v>
      </c>
      <c r="DT231" s="16">
        <f t="shared" si="227"/>
        <v>64</v>
      </c>
      <c r="DU231" s="16"/>
      <c r="DV231" s="16"/>
      <c r="DW231" s="80">
        <v>2011</v>
      </c>
      <c r="DX231" s="81" t="s">
        <v>45</v>
      </c>
      <c r="DY231" s="15">
        <f t="shared" si="189"/>
        <v>0.98978897208985706</v>
      </c>
      <c r="DZ231" s="15">
        <f t="shared" si="190"/>
        <v>0.99862637362637363</v>
      </c>
      <c r="EA231" s="15">
        <f t="shared" si="191"/>
        <v>0.99115044247787609</v>
      </c>
      <c r="EB231" s="16"/>
      <c r="EC231" s="16"/>
      <c r="ED231" s="16">
        <v>1469</v>
      </c>
      <c r="EE231" s="16">
        <f t="shared" si="228"/>
        <v>13</v>
      </c>
      <c r="EF231" s="16">
        <v>1456</v>
      </c>
      <c r="EG231" s="16">
        <v>1454</v>
      </c>
      <c r="EH231" s="16">
        <f t="shared" si="229"/>
        <v>2</v>
      </c>
      <c r="EI231" s="16"/>
      <c r="EJ231" s="16"/>
      <c r="EK231" s="80"/>
      <c r="EL231" s="81"/>
      <c r="EM231" s="15"/>
      <c r="EN231" s="15"/>
      <c r="EO231" s="15"/>
      <c r="EP231" s="16"/>
      <c r="EQ231" s="16"/>
      <c r="ER231" s="16"/>
      <c r="ES231" s="16"/>
      <c r="ET231" s="16"/>
      <c r="EU231" s="16"/>
      <c r="EV231" s="16"/>
      <c r="EW231" s="16"/>
      <c r="EX231" s="16"/>
      <c r="EY231" s="80"/>
      <c r="EZ231" s="81"/>
      <c r="FA231" s="15"/>
      <c r="FB231" s="15"/>
      <c r="FC231" s="15"/>
      <c r="FD231" s="16"/>
      <c r="FE231" s="16"/>
      <c r="FF231" s="16"/>
      <c r="FG231" s="16"/>
      <c r="FH231" s="16"/>
      <c r="FI231" s="16"/>
      <c r="FJ231" s="16"/>
      <c r="FK231" s="16"/>
      <c r="FM231" s="80"/>
      <c r="FN231" s="81"/>
      <c r="FO231" s="15"/>
      <c r="FP231" s="15"/>
      <c r="FQ231" s="15"/>
      <c r="FR231" s="16"/>
      <c r="FS231" s="16"/>
      <c r="FT231" s="16"/>
      <c r="FU231" s="16"/>
      <c r="FV231" s="16"/>
      <c r="FW231" s="16"/>
      <c r="FX231" s="16"/>
      <c r="FY231" s="16"/>
      <c r="GA231" s="80"/>
      <c r="GB231" s="81"/>
      <c r="GC231" s="15"/>
      <c r="GD231" s="15"/>
      <c r="GE231" s="15"/>
      <c r="GF231" s="16"/>
      <c r="GG231" s="16"/>
      <c r="GH231" s="16"/>
      <c r="GI231" s="16"/>
      <c r="GJ231" s="16"/>
      <c r="GK231" s="16"/>
      <c r="GL231" s="16"/>
      <c r="GM231" s="16"/>
    </row>
    <row r="232" spans="1:195" s="18" customFormat="1" ht="15" customHeight="1">
      <c r="A232" s="78">
        <v>2011</v>
      </c>
      <c r="B232" s="79" t="s">
        <v>46</v>
      </c>
      <c r="C232" s="15">
        <f t="shared" si="194"/>
        <v>0.91334624608005899</v>
      </c>
      <c r="D232" s="15">
        <f t="shared" si="195"/>
        <v>0.93938244082910405</v>
      </c>
      <c r="E232" s="15">
        <f t="shared" si="196"/>
        <v>0.9722837114923446</v>
      </c>
      <c r="F232" s="16"/>
      <c r="G232" s="33"/>
      <c r="H23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21684</v>
      </c>
      <c r="I232" s="16">
        <f t="shared" si="197"/>
        <v>601</v>
      </c>
      <c r="J23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21083</v>
      </c>
      <c r="K23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19805</v>
      </c>
      <c r="L232" s="16">
        <f t="shared" si="198"/>
        <v>1278</v>
      </c>
      <c r="M232" s="16"/>
      <c r="N232" s="16"/>
      <c r="O232" s="78">
        <v>2011</v>
      </c>
      <c r="P232" s="79" t="s">
        <v>46</v>
      </c>
      <c r="Q232" s="15">
        <f t="shared" si="157"/>
        <v>0.92650918635170598</v>
      </c>
      <c r="R232" s="15">
        <f t="shared" si="158"/>
        <v>0.96731258563319633</v>
      </c>
      <c r="S232" s="15">
        <f t="shared" si="159"/>
        <v>0.95781777277840274</v>
      </c>
      <c r="T232" s="26"/>
      <c r="U232" s="26"/>
      <c r="V232" s="16">
        <v>5334</v>
      </c>
      <c r="W232" s="16">
        <f t="shared" si="216"/>
        <v>225</v>
      </c>
      <c r="X232" s="16">
        <v>5109</v>
      </c>
      <c r="Y232" s="16">
        <v>4942</v>
      </c>
      <c r="Z232" s="16">
        <f t="shared" si="217"/>
        <v>167</v>
      </c>
      <c r="AA232" s="16"/>
      <c r="AB232" s="16"/>
      <c r="AC232" s="78"/>
      <c r="AD232" s="79"/>
      <c r="AE232" s="15"/>
      <c r="AF232" s="15"/>
      <c r="AG232" s="15"/>
      <c r="AH232" s="15"/>
      <c r="AI232" s="15"/>
      <c r="AJ232" s="16"/>
      <c r="AK232" s="16"/>
      <c r="AL232" s="16"/>
      <c r="AM232" s="16"/>
      <c r="AN232" s="16"/>
      <c r="AO232" s="16"/>
      <c r="AP232" s="16"/>
      <c r="AQ232" s="78">
        <v>2011</v>
      </c>
      <c r="AR232" s="79" t="s">
        <v>46</v>
      </c>
      <c r="AS232" s="15">
        <f t="shared" si="162"/>
        <v>0.97046580773042612</v>
      </c>
      <c r="AT232" s="15">
        <f t="shared" si="163"/>
        <v>0.97841726618705038</v>
      </c>
      <c r="AU232" s="15">
        <f t="shared" si="164"/>
        <v>0.99187314172447971</v>
      </c>
      <c r="AV232" s="16"/>
      <c r="AW232" s="16"/>
      <c r="AX232" s="16">
        <v>5045</v>
      </c>
      <c r="AY232" s="16">
        <f t="shared" si="218"/>
        <v>41</v>
      </c>
      <c r="AZ232" s="16">
        <v>5004</v>
      </c>
      <c r="BA232" s="16">
        <v>4896</v>
      </c>
      <c r="BB232" s="16">
        <f t="shared" si="219"/>
        <v>108</v>
      </c>
      <c r="BC232" s="16"/>
      <c r="BD232" s="16"/>
      <c r="BE232" s="78">
        <v>2011</v>
      </c>
      <c r="BF232" s="79" t="s">
        <v>46</v>
      </c>
      <c r="BG232" s="15">
        <f t="shared" si="167"/>
        <v>0.92006802721088432</v>
      </c>
      <c r="BH232" s="15">
        <f t="shared" si="168"/>
        <v>0.92006802721088432</v>
      </c>
      <c r="BI232" s="15">
        <f t="shared" si="169"/>
        <v>1</v>
      </c>
      <c r="BJ232" s="16"/>
      <c r="BK232" s="16"/>
      <c r="BL232" s="16">
        <v>588</v>
      </c>
      <c r="BM232" s="16">
        <f t="shared" si="220"/>
        <v>0</v>
      </c>
      <c r="BN232" s="16">
        <v>588</v>
      </c>
      <c r="BO232" s="16">
        <v>541</v>
      </c>
      <c r="BP232" s="16">
        <f t="shared" si="221"/>
        <v>47</v>
      </c>
      <c r="BQ232" s="16"/>
      <c r="BR232" s="16"/>
      <c r="BS232" s="78">
        <v>2011</v>
      </c>
      <c r="BT232" s="79" t="s">
        <v>46</v>
      </c>
      <c r="BU232" s="15">
        <f t="shared" si="172"/>
        <v>0.84456928838951306</v>
      </c>
      <c r="BV232" s="15">
        <f t="shared" si="173"/>
        <v>0.86697424067666284</v>
      </c>
      <c r="BW232" s="15">
        <f t="shared" si="174"/>
        <v>0.97415730337078654</v>
      </c>
      <c r="BX232" s="16"/>
      <c r="BY232" s="16"/>
      <c r="BZ232" s="16">
        <v>2670</v>
      </c>
      <c r="CA232" s="16">
        <f t="shared" si="222"/>
        <v>69</v>
      </c>
      <c r="CB232" s="16">
        <v>2601</v>
      </c>
      <c r="CC232" s="16">
        <v>2255</v>
      </c>
      <c r="CD232" s="16">
        <f t="shared" si="223"/>
        <v>346</v>
      </c>
      <c r="CE232" s="16"/>
      <c r="CF232" s="16"/>
      <c r="CG232" s="78">
        <v>2011</v>
      </c>
      <c r="CH232" s="79" t="s">
        <v>46</v>
      </c>
      <c r="CI232" s="15">
        <f t="shared" si="177"/>
        <v>0.92951541850220265</v>
      </c>
      <c r="CJ232" s="15">
        <f t="shared" si="178"/>
        <v>0.95009380863039394</v>
      </c>
      <c r="CK232" s="15">
        <f t="shared" si="179"/>
        <v>0.97834067547723935</v>
      </c>
      <c r="CL232" s="16"/>
      <c r="CM232" s="16"/>
      <c r="CN232" s="16">
        <v>2724</v>
      </c>
      <c r="CO232" s="16">
        <f t="shared" si="224"/>
        <v>59</v>
      </c>
      <c r="CP232" s="16">
        <v>2665</v>
      </c>
      <c r="CQ232" s="16">
        <v>2532</v>
      </c>
      <c r="CR232" s="16">
        <f t="shared" si="225"/>
        <v>133</v>
      </c>
      <c r="CS232" s="16"/>
      <c r="CT232" s="16"/>
      <c r="CU232" s="78">
        <v>2011</v>
      </c>
      <c r="CV232" s="79" t="s">
        <v>46</v>
      </c>
      <c r="CW232" s="15">
        <f t="shared" si="199"/>
        <v>0.80604796663190825</v>
      </c>
      <c r="CX232" s="15">
        <f t="shared" si="200"/>
        <v>0.85603543743078625</v>
      </c>
      <c r="CY232" s="15">
        <f t="shared" si="201"/>
        <v>0.94160583941605835</v>
      </c>
      <c r="CZ232" s="16"/>
      <c r="DA232" s="16"/>
      <c r="DB232" s="16">
        <v>2877</v>
      </c>
      <c r="DC232" s="16">
        <f t="shared" si="182"/>
        <v>168</v>
      </c>
      <c r="DD232" s="16">
        <v>2709</v>
      </c>
      <c r="DE232" s="16">
        <v>2319</v>
      </c>
      <c r="DF232" s="16">
        <f t="shared" si="183"/>
        <v>390</v>
      </c>
      <c r="DG232" s="16"/>
      <c r="DH232" s="16"/>
      <c r="DI232" s="78">
        <v>2011</v>
      </c>
      <c r="DJ232" s="79" t="s">
        <v>46</v>
      </c>
      <c r="DK232" s="15">
        <f t="shared" si="184"/>
        <v>0.89239881539980259</v>
      </c>
      <c r="DL232" s="15">
        <f t="shared" si="185"/>
        <v>0.92150866462793068</v>
      </c>
      <c r="DM232" s="15">
        <f t="shared" si="186"/>
        <v>0.9684106614017769</v>
      </c>
      <c r="DN232" s="16"/>
      <c r="DO232" s="16"/>
      <c r="DP232" s="16">
        <v>1013</v>
      </c>
      <c r="DQ232" s="16">
        <f t="shared" si="226"/>
        <v>32</v>
      </c>
      <c r="DR232" s="16">
        <v>981</v>
      </c>
      <c r="DS232" s="16">
        <v>904</v>
      </c>
      <c r="DT232" s="16">
        <f t="shared" si="227"/>
        <v>77</v>
      </c>
      <c r="DU232" s="16"/>
      <c r="DV232" s="16"/>
      <c r="DW232" s="78">
        <v>2011</v>
      </c>
      <c r="DX232" s="79" t="s">
        <v>46</v>
      </c>
      <c r="DY232" s="15">
        <f t="shared" si="189"/>
        <v>0.98813677599441729</v>
      </c>
      <c r="DZ232" s="15">
        <f t="shared" si="190"/>
        <v>0.99298737727910236</v>
      </c>
      <c r="EA232" s="15">
        <f t="shared" si="191"/>
        <v>0.99511514305652482</v>
      </c>
      <c r="EB232" s="16"/>
      <c r="EC232" s="16"/>
      <c r="ED232" s="16">
        <v>1433</v>
      </c>
      <c r="EE232" s="16">
        <f t="shared" si="228"/>
        <v>7</v>
      </c>
      <c r="EF232" s="16">
        <v>1426</v>
      </c>
      <c r="EG232" s="16">
        <v>1416</v>
      </c>
      <c r="EH232" s="16">
        <f t="shared" si="229"/>
        <v>10</v>
      </c>
      <c r="EI232" s="16"/>
      <c r="EJ232" s="16"/>
      <c r="EK232" s="78"/>
      <c r="EL232" s="79"/>
      <c r="EM232" s="15"/>
      <c r="EN232" s="15"/>
      <c r="EO232" s="15"/>
      <c r="EP232" s="16"/>
      <c r="EQ232" s="16"/>
      <c r="ER232" s="16"/>
      <c r="ES232" s="16"/>
      <c r="ET232" s="16"/>
      <c r="EU232" s="16"/>
      <c r="EV232" s="16"/>
      <c r="EW232" s="16"/>
      <c r="EX232" s="16"/>
      <c r="EY232" s="78"/>
      <c r="EZ232" s="79"/>
      <c r="FA232" s="15"/>
      <c r="FB232" s="15"/>
      <c r="FC232" s="15"/>
      <c r="FD232" s="16"/>
      <c r="FE232" s="16"/>
      <c r="FF232" s="16"/>
      <c r="FG232" s="16"/>
      <c r="FH232" s="16"/>
      <c r="FI232" s="16"/>
      <c r="FJ232" s="16"/>
      <c r="FK232" s="16"/>
      <c r="FM232" s="78"/>
      <c r="FN232" s="79"/>
      <c r="FO232" s="15"/>
      <c r="FP232" s="15"/>
      <c r="FQ232" s="15"/>
      <c r="FR232" s="16"/>
      <c r="FS232" s="16"/>
      <c r="FT232" s="16"/>
      <c r="FU232" s="16"/>
      <c r="FV232" s="16"/>
      <c r="FW232" s="16"/>
      <c r="FX232" s="16"/>
      <c r="FY232" s="16"/>
      <c r="GA232" s="78"/>
      <c r="GB232" s="79"/>
      <c r="GC232" s="15"/>
      <c r="GD232" s="15"/>
      <c r="GE232" s="15"/>
      <c r="GF232" s="16"/>
      <c r="GG232" s="16"/>
      <c r="GH232" s="16"/>
      <c r="GI232" s="16"/>
      <c r="GJ232" s="16"/>
      <c r="GK232" s="16"/>
      <c r="GL232" s="16"/>
      <c r="GM232" s="16"/>
    </row>
    <row r="233" spans="1:195" s="18" customFormat="1" ht="15" customHeight="1">
      <c r="A233" s="80">
        <v>2011</v>
      </c>
      <c r="B233" s="81" t="s">
        <v>47</v>
      </c>
      <c r="C233" s="15">
        <f t="shared" si="194"/>
        <v>0.90013605442176869</v>
      </c>
      <c r="D233" s="15">
        <f t="shared" si="195"/>
        <v>0.92204775620180246</v>
      </c>
      <c r="E233" s="15">
        <f t="shared" si="196"/>
        <v>0.97623582766439909</v>
      </c>
      <c r="F233" s="16"/>
      <c r="G233" s="33"/>
      <c r="H23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22050</v>
      </c>
      <c r="I233" s="16">
        <f t="shared" si="197"/>
        <v>524</v>
      </c>
      <c r="J23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21526</v>
      </c>
      <c r="K23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19848</v>
      </c>
      <c r="L233" s="16">
        <f t="shared" si="198"/>
        <v>1678</v>
      </c>
      <c r="M233" s="16"/>
      <c r="N233" s="16"/>
      <c r="O233" s="80">
        <v>2011</v>
      </c>
      <c r="P233" s="81" t="s">
        <v>47</v>
      </c>
      <c r="Q233" s="15">
        <f t="shared" si="157"/>
        <v>0.91764051196438512</v>
      </c>
      <c r="R233" s="15">
        <f t="shared" si="158"/>
        <v>0.94697549770290967</v>
      </c>
      <c r="S233" s="15">
        <f t="shared" si="159"/>
        <v>0.96902244481543309</v>
      </c>
      <c r="T233" s="26"/>
      <c r="U233" s="26"/>
      <c r="V233" s="16">
        <v>5391</v>
      </c>
      <c r="W233" s="16">
        <f t="shared" si="216"/>
        <v>167</v>
      </c>
      <c r="X233" s="16">
        <v>5224</v>
      </c>
      <c r="Y233" s="16">
        <v>4947</v>
      </c>
      <c r="Z233" s="16">
        <f t="shared" si="217"/>
        <v>277</v>
      </c>
      <c r="AA233" s="16"/>
      <c r="AB233" s="16"/>
      <c r="AC233" s="80"/>
      <c r="AD233" s="81"/>
      <c r="AE233" s="15"/>
      <c r="AF233" s="15"/>
      <c r="AG233" s="15"/>
      <c r="AH233" s="15"/>
      <c r="AI233" s="15"/>
      <c r="AJ233" s="16"/>
      <c r="AK233" s="16"/>
      <c r="AL233" s="16"/>
      <c r="AM233" s="16"/>
      <c r="AN233" s="16"/>
      <c r="AO233" s="16"/>
      <c r="AP233" s="16"/>
      <c r="AQ233" s="80">
        <v>2011</v>
      </c>
      <c r="AR233" s="81" t="s">
        <v>47</v>
      </c>
      <c r="AS233" s="15">
        <f t="shared" si="162"/>
        <v>0.94449872972444793</v>
      </c>
      <c r="AT233" s="15">
        <f t="shared" si="163"/>
        <v>0.9623655913978495</v>
      </c>
      <c r="AU233" s="15">
        <f t="shared" si="164"/>
        <v>0.98143443423881183</v>
      </c>
      <c r="AV233" s="16"/>
      <c r="AW233" s="16"/>
      <c r="AX233" s="16">
        <v>5117</v>
      </c>
      <c r="AY233" s="16">
        <f t="shared" si="218"/>
        <v>95</v>
      </c>
      <c r="AZ233" s="16">
        <v>5022</v>
      </c>
      <c r="BA233" s="16">
        <v>4833</v>
      </c>
      <c r="BB233" s="16">
        <f t="shared" si="219"/>
        <v>189</v>
      </c>
      <c r="BC233" s="16"/>
      <c r="BD233" s="16"/>
      <c r="BE233" s="80">
        <v>2011</v>
      </c>
      <c r="BF233" s="81" t="s">
        <v>47</v>
      </c>
      <c r="BG233" s="15">
        <f t="shared" si="167"/>
        <v>0.84464285714285714</v>
      </c>
      <c r="BH233" s="15">
        <f t="shared" si="168"/>
        <v>0.86471663619744055</v>
      </c>
      <c r="BI233" s="15">
        <f t="shared" si="169"/>
        <v>0.97678571428571426</v>
      </c>
      <c r="BJ233" s="16"/>
      <c r="BK233" s="16"/>
      <c r="BL233" s="16">
        <v>560</v>
      </c>
      <c r="BM233" s="16">
        <f t="shared" si="220"/>
        <v>13</v>
      </c>
      <c r="BN233" s="16">
        <v>547</v>
      </c>
      <c r="BO233" s="16">
        <v>473</v>
      </c>
      <c r="BP233" s="16">
        <f t="shared" si="221"/>
        <v>74</v>
      </c>
      <c r="BQ233" s="16"/>
      <c r="BR233" s="16"/>
      <c r="BS233" s="80">
        <v>2011</v>
      </c>
      <c r="BT233" s="81" t="s">
        <v>47</v>
      </c>
      <c r="BU233" s="15">
        <f t="shared" si="172"/>
        <v>0.84522502744237105</v>
      </c>
      <c r="BV233" s="15">
        <f t="shared" si="173"/>
        <v>0.86419753086419748</v>
      </c>
      <c r="BW233" s="15">
        <f t="shared" si="174"/>
        <v>0.97804610318331509</v>
      </c>
      <c r="BX233" s="16"/>
      <c r="BY233" s="16"/>
      <c r="BZ233" s="16">
        <v>2733</v>
      </c>
      <c r="CA233" s="16">
        <f t="shared" si="222"/>
        <v>60</v>
      </c>
      <c r="CB233" s="16">
        <v>2673</v>
      </c>
      <c r="CC233" s="16">
        <v>2310</v>
      </c>
      <c r="CD233" s="16">
        <f t="shared" si="223"/>
        <v>363</v>
      </c>
      <c r="CE233" s="16"/>
      <c r="CF233" s="16"/>
      <c r="CG233" s="80">
        <v>2011</v>
      </c>
      <c r="CH233" s="81" t="s">
        <v>47</v>
      </c>
      <c r="CI233" s="15">
        <f t="shared" si="177"/>
        <v>0.92757260666905705</v>
      </c>
      <c r="CJ233" s="15">
        <f t="shared" si="178"/>
        <v>0.94381612550164173</v>
      </c>
      <c r="CK233" s="15">
        <f t="shared" si="179"/>
        <v>0.98278953029759775</v>
      </c>
      <c r="CL233" s="16"/>
      <c r="CM233" s="16"/>
      <c r="CN233" s="16">
        <v>2789</v>
      </c>
      <c r="CO233" s="16">
        <f t="shared" si="224"/>
        <v>48</v>
      </c>
      <c r="CP233" s="16">
        <v>2741</v>
      </c>
      <c r="CQ233" s="16">
        <v>2587</v>
      </c>
      <c r="CR233" s="16">
        <f t="shared" si="225"/>
        <v>154</v>
      </c>
      <c r="CS233" s="16"/>
      <c r="CT233" s="16"/>
      <c r="CU233" s="80">
        <v>2011</v>
      </c>
      <c r="CV233" s="81" t="s">
        <v>47</v>
      </c>
      <c r="CW233" s="15">
        <f t="shared" si="199"/>
        <v>0.83700440528634357</v>
      </c>
      <c r="CX233" s="15">
        <f t="shared" si="200"/>
        <v>0.86002785515320335</v>
      </c>
      <c r="CY233" s="15">
        <f t="shared" si="201"/>
        <v>0.97322941375804817</v>
      </c>
      <c r="CZ233" s="16"/>
      <c r="DA233" s="16"/>
      <c r="DB233" s="16">
        <v>2951</v>
      </c>
      <c r="DC233" s="16">
        <f t="shared" si="182"/>
        <v>79</v>
      </c>
      <c r="DD233" s="16">
        <v>2872</v>
      </c>
      <c r="DE233" s="16">
        <v>2470</v>
      </c>
      <c r="DF233" s="16">
        <f t="shared" si="183"/>
        <v>402</v>
      </c>
      <c r="DG233" s="16"/>
      <c r="DH233" s="16"/>
      <c r="DI233" s="80">
        <v>2011</v>
      </c>
      <c r="DJ233" s="81" t="s">
        <v>47</v>
      </c>
      <c r="DK233" s="15">
        <f t="shared" si="184"/>
        <v>0.76442307692307687</v>
      </c>
      <c r="DL233" s="15">
        <f t="shared" si="185"/>
        <v>0.80221997981836524</v>
      </c>
      <c r="DM233" s="15">
        <f t="shared" si="186"/>
        <v>0.95288461538461533</v>
      </c>
      <c r="DN233" s="16"/>
      <c r="DO233" s="16"/>
      <c r="DP233" s="16">
        <v>1040</v>
      </c>
      <c r="DQ233" s="16">
        <f t="shared" si="226"/>
        <v>49</v>
      </c>
      <c r="DR233" s="16">
        <v>991</v>
      </c>
      <c r="DS233" s="16">
        <v>795</v>
      </c>
      <c r="DT233" s="16">
        <f t="shared" si="227"/>
        <v>196</v>
      </c>
      <c r="DU233" s="16"/>
      <c r="DV233" s="16"/>
      <c r="DW233" s="80">
        <v>2011</v>
      </c>
      <c r="DX233" s="81" t="s">
        <v>47</v>
      </c>
      <c r="DY233" s="15">
        <f t="shared" si="189"/>
        <v>0.97549353301565689</v>
      </c>
      <c r="DZ233" s="15">
        <f t="shared" si="190"/>
        <v>0.98420329670329665</v>
      </c>
      <c r="EA233" s="15">
        <f t="shared" si="191"/>
        <v>0.99115044247787609</v>
      </c>
      <c r="EB233" s="16"/>
      <c r="EC233" s="16"/>
      <c r="ED233" s="16">
        <v>1469</v>
      </c>
      <c r="EE233" s="16">
        <f t="shared" si="228"/>
        <v>13</v>
      </c>
      <c r="EF233" s="16">
        <v>1456</v>
      </c>
      <c r="EG233" s="16">
        <v>1433</v>
      </c>
      <c r="EH233" s="16">
        <f t="shared" si="229"/>
        <v>23</v>
      </c>
      <c r="EI233" s="16"/>
      <c r="EJ233" s="16"/>
      <c r="EK233" s="80"/>
      <c r="EL233" s="81"/>
      <c r="EM233" s="15"/>
      <c r="EN233" s="15"/>
      <c r="EO233" s="15"/>
      <c r="EP233" s="16"/>
      <c r="EQ233" s="16"/>
      <c r="ER233" s="16"/>
      <c r="ES233" s="16"/>
      <c r="ET233" s="16"/>
      <c r="EU233" s="16"/>
      <c r="EV233" s="16"/>
      <c r="EW233" s="16"/>
      <c r="EX233" s="16"/>
      <c r="EY233" s="80"/>
      <c r="EZ233" s="81"/>
      <c r="FA233" s="15"/>
      <c r="FB233" s="15"/>
      <c r="FC233" s="15"/>
      <c r="FD233" s="16"/>
      <c r="FE233" s="16"/>
      <c r="FF233" s="16"/>
      <c r="FG233" s="16"/>
      <c r="FH233" s="16"/>
      <c r="FI233" s="16"/>
      <c r="FJ233" s="16"/>
      <c r="FK233" s="16"/>
      <c r="FM233" s="80"/>
      <c r="FN233" s="81"/>
      <c r="FO233" s="15"/>
      <c r="FP233" s="15"/>
      <c r="FQ233" s="15"/>
      <c r="FR233" s="16"/>
      <c r="FS233" s="16"/>
      <c r="FT233" s="16"/>
      <c r="FU233" s="16"/>
      <c r="FV233" s="16"/>
      <c r="FW233" s="16"/>
      <c r="FX233" s="16"/>
      <c r="FY233" s="16"/>
      <c r="GA233" s="80"/>
      <c r="GB233" s="81"/>
      <c r="GC233" s="15"/>
      <c r="GD233" s="15"/>
      <c r="GE233" s="15"/>
      <c r="GF233" s="16"/>
      <c r="GG233" s="16"/>
      <c r="GH233" s="16"/>
      <c r="GI233" s="16"/>
      <c r="GJ233" s="16"/>
      <c r="GK233" s="16"/>
      <c r="GL233" s="16"/>
      <c r="GM233" s="16"/>
    </row>
    <row r="234" spans="1:195" s="18" customFormat="1" ht="15" customHeight="1">
      <c r="A234" s="78">
        <v>2012</v>
      </c>
      <c r="B234" s="79" t="s">
        <v>36</v>
      </c>
      <c r="C234" s="15">
        <f t="shared" si="194"/>
        <v>0.92071406312602944</v>
      </c>
      <c r="D234" s="15">
        <f t="shared" si="195"/>
        <v>0.9394077034883721</v>
      </c>
      <c r="E234" s="15">
        <f t="shared" si="196"/>
        <v>0.98010060989182213</v>
      </c>
      <c r="F234" s="16"/>
      <c r="G234" s="33"/>
      <c r="H23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22463</v>
      </c>
      <c r="I234" s="16">
        <f t="shared" si="197"/>
        <v>447</v>
      </c>
      <c r="J23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22016</v>
      </c>
      <c r="K23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20682</v>
      </c>
      <c r="L234" s="16">
        <f t="shared" si="198"/>
        <v>1334</v>
      </c>
      <c r="M234" s="16"/>
      <c r="N234" s="16"/>
      <c r="O234" s="78">
        <v>2012</v>
      </c>
      <c r="P234" s="79" t="s">
        <v>36</v>
      </c>
      <c r="Q234" s="15">
        <f t="shared" si="157"/>
        <v>0.95588501175194363</v>
      </c>
      <c r="R234" s="15">
        <f t="shared" si="158"/>
        <v>0.96991377728857087</v>
      </c>
      <c r="S234" s="15">
        <f t="shared" si="159"/>
        <v>0.98553606942686678</v>
      </c>
      <c r="T234" s="26"/>
      <c r="U234" s="26"/>
      <c r="V234" s="16">
        <v>5531</v>
      </c>
      <c r="W234" s="16">
        <f t="shared" ref="W234:W245" si="230">V234-X234</f>
        <v>80</v>
      </c>
      <c r="X234" s="16">
        <v>5451</v>
      </c>
      <c r="Y234" s="16">
        <v>5287</v>
      </c>
      <c r="Z234" s="16">
        <f t="shared" ref="Z234:Z245" si="231">X234-Y234</f>
        <v>164</v>
      </c>
      <c r="AA234" s="16"/>
      <c r="AB234" s="16"/>
      <c r="AC234" s="78"/>
      <c r="AD234" s="79"/>
      <c r="AE234" s="15"/>
      <c r="AF234" s="15"/>
      <c r="AG234" s="15"/>
      <c r="AH234" s="15"/>
      <c r="AI234" s="15"/>
      <c r="AJ234" s="16"/>
      <c r="AK234" s="16"/>
      <c r="AL234" s="16"/>
      <c r="AM234" s="16"/>
      <c r="AN234" s="16"/>
      <c r="AO234" s="16"/>
      <c r="AP234" s="16"/>
      <c r="AQ234" s="78">
        <v>2012</v>
      </c>
      <c r="AR234" s="79" t="s">
        <v>36</v>
      </c>
      <c r="AS234" s="15">
        <f t="shared" si="162"/>
        <v>0.96671130667687011</v>
      </c>
      <c r="AT234" s="15">
        <f t="shared" si="163"/>
        <v>0.97774767801857587</v>
      </c>
      <c r="AU234" s="15">
        <f t="shared" si="164"/>
        <v>0.98871245456284673</v>
      </c>
      <c r="AV234" s="16"/>
      <c r="AW234" s="16"/>
      <c r="AX234" s="16">
        <v>5227</v>
      </c>
      <c r="AY234" s="16">
        <f t="shared" ref="AY234:AY245" si="232">AX234-AZ234</f>
        <v>59</v>
      </c>
      <c r="AZ234" s="16">
        <v>5168</v>
      </c>
      <c r="BA234" s="16">
        <v>5053</v>
      </c>
      <c r="BB234" s="16">
        <f t="shared" ref="BB234:BB245" si="233">AZ234-BA234</f>
        <v>115</v>
      </c>
      <c r="BC234" s="16"/>
      <c r="BD234" s="16"/>
      <c r="BE234" s="78">
        <v>2012</v>
      </c>
      <c r="BF234" s="79" t="s">
        <v>36</v>
      </c>
      <c r="BG234" s="15">
        <f t="shared" si="167"/>
        <v>0.90909090909090906</v>
      </c>
      <c r="BH234" s="15">
        <f t="shared" si="168"/>
        <v>0.91803278688524592</v>
      </c>
      <c r="BI234" s="15">
        <f t="shared" si="169"/>
        <v>0.99025974025974028</v>
      </c>
      <c r="BJ234" s="16"/>
      <c r="BK234" s="16"/>
      <c r="BL234" s="16">
        <v>616</v>
      </c>
      <c r="BM234" s="16">
        <f t="shared" ref="BM234:BM245" si="234">BL234-BN234</f>
        <v>6</v>
      </c>
      <c r="BN234" s="16">
        <v>610</v>
      </c>
      <c r="BO234" s="16">
        <v>560</v>
      </c>
      <c r="BP234" s="16">
        <f t="shared" ref="BP234:BP245" si="235">BN234-BO234</f>
        <v>50</v>
      </c>
      <c r="BQ234" s="16"/>
      <c r="BR234" s="16"/>
      <c r="BS234" s="78">
        <v>2012</v>
      </c>
      <c r="BT234" s="79" t="s">
        <v>36</v>
      </c>
      <c r="BU234" s="15">
        <f t="shared" si="172"/>
        <v>0.88526963445530216</v>
      </c>
      <c r="BV234" s="15">
        <f t="shared" si="173"/>
        <v>0.91610486891385767</v>
      </c>
      <c r="BW234" s="15">
        <f t="shared" si="174"/>
        <v>0.96634093376764385</v>
      </c>
      <c r="BX234" s="16"/>
      <c r="BY234" s="16"/>
      <c r="BZ234" s="16">
        <v>2763</v>
      </c>
      <c r="CA234" s="16">
        <f t="shared" ref="CA234:CA245" si="236">BZ234-CB234</f>
        <v>93</v>
      </c>
      <c r="CB234" s="16">
        <v>2670</v>
      </c>
      <c r="CC234" s="16">
        <v>2446</v>
      </c>
      <c r="CD234" s="16">
        <f t="shared" ref="CD234:CD245" si="237">CB234-CC234</f>
        <v>224</v>
      </c>
      <c r="CE234" s="16"/>
      <c r="CF234" s="16"/>
      <c r="CG234" s="78">
        <v>2012</v>
      </c>
      <c r="CH234" s="79" t="s">
        <v>36</v>
      </c>
      <c r="CI234" s="15">
        <f t="shared" si="177"/>
        <v>0.92725337118523776</v>
      </c>
      <c r="CJ234" s="15">
        <f t="shared" si="178"/>
        <v>0.96456256921373196</v>
      </c>
      <c r="CK234" s="15">
        <f t="shared" si="179"/>
        <v>0.96132008516678491</v>
      </c>
      <c r="CL234" s="16"/>
      <c r="CM234" s="16"/>
      <c r="CN234" s="16">
        <v>2818</v>
      </c>
      <c r="CO234" s="16">
        <f t="shared" ref="CO234:CO245" si="238">CN234-CP234</f>
        <v>109</v>
      </c>
      <c r="CP234" s="16">
        <v>2709</v>
      </c>
      <c r="CQ234" s="16">
        <v>2613</v>
      </c>
      <c r="CR234" s="16">
        <f t="shared" ref="CR234:CR245" si="239">CP234-CQ234</f>
        <v>96</v>
      </c>
      <c r="CS234" s="16"/>
      <c r="CT234" s="16"/>
      <c r="CU234" s="78">
        <v>2012</v>
      </c>
      <c r="CV234" s="79" t="s">
        <v>36</v>
      </c>
      <c r="CW234" s="15">
        <f t="shared" si="199"/>
        <v>0.84111521666106814</v>
      </c>
      <c r="CX234" s="15">
        <f t="shared" si="200"/>
        <v>0.85286103542234337</v>
      </c>
      <c r="CY234" s="15">
        <f t="shared" si="201"/>
        <v>0.98622774605307362</v>
      </c>
      <c r="CZ234" s="16"/>
      <c r="DA234" s="16"/>
      <c r="DB234" s="16">
        <v>2977</v>
      </c>
      <c r="DC234" s="16">
        <f t="shared" si="182"/>
        <v>41</v>
      </c>
      <c r="DD234" s="16">
        <v>2936</v>
      </c>
      <c r="DE234" s="16">
        <v>2504</v>
      </c>
      <c r="DF234" s="16">
        <f t="shared" si="183"/>
        <v>432</v>
      </c>
      <c r="DG234" s="16"/>
      <c r="DH234" s="16"/>
      <c r="DI234" s="78">
        <v>2012</v>
      </c>
      <c r="DJ234" s="79" t="s">
        <v>36</v>
      </c>
      <c r="DK234" s="15">
        <f t="shared" si="184"/>
        <v>0.74904580152671751</v>
      </c>
      <c r="DL234" s="15">
        <f t="shared" si="185"/>
        <v>0.7741617357001972</v>
      </c>
      <c r="DM234" s="15">
        <f t="shared" si="186"/>
        <v>0.96755725190839692</v>
      </c>
      <c r="DN234" s="16"/>
      <c r="DO234" s="16"/>
      <c r="DP234" s="16">
        <v>1048</v>
      </c>
      <c r="DQ234" s="16">
        <f t="shared" ref="DQ234:DQ245" si="240">DP234-DR234</f>
        <v>34</v>
      </c>
      <c r="DR234" s="16">
        <v>1014</v>
      </c>
      <c r="DS234" s="16">
        <v>785</v>
      </c>
      <c r="DT234" s="16">
        <f t="shared" ref="DT234:DT245" si="241">DR234-DS234</f>
        <v>229</v>
      </c>
      <c r="DU234" s="16"/>
      <c r="DV234" s="16"/>
      <c r="DW234" s="78">
        <v>2012</v>
      </c>
      <c r="DX234" s="79" t="s">
        <v>36</v>
      </c>
      <c r="DY234" s="15">
        <f t="shared" si="189"/>
        <v>0.96695886716115986</v>
      </c>
      <c r="DZ234" s="15">
        <f t="shared" si="190"/>
        <v>0.98353909465020573</v>
      </c>
      <c r="EA234" s="15">
        <f t="shared" si="191"/>
        <v>0.98314227916385699</v>
      </c>
      <c r="EB234" s="16"/>
      <c r="EC234" s="16"/>
      <c r="ED234" s="16">
        <v>1483</v>
      </c>
      <c r="EE234" s="16">
        <f t="shared" ref="EE234:EE245" si="242">ED234-EF234</f>
        <v>25</v>
      </c>
      <c r="EF234" s="16">
        <v>1458</v>
      </c>
      <c r="EG234" s="16">
        <v>1434</v>
      </c>
      <c r="EH234" s="16">
        <f t="shared" ref="EH234:EH245" si="243">EF234-EG234</f>
        <v>24</v>
      </c>
      <c r="EI234" s="16"/>
      <c r="EJ234" s="16"/>
      <c r="EK234" s="78"/>
      <c r="EL234" s="79"/>
      <c r="EM234" s="15"/>
      <c r="EN234" s="15"/>
      <c r="EO234" s="15"/>
      <c r="EP234" s="16"/>
      <c r="EQ234" s="16"/>
      <c r="ER234" s="16"/>
      <c r="ES234" s="16"/>
      <c r="ET234" s="16"/>
      <c r="EU234" s="16"/>
      <c r="EV234" s="16"/>
      <c r="EW234" s="16"/>
      <c r="EX234" s="16"/>
      <c r="EY234" s="78"/>
      <c r="EZ234" s="79"/>
      <c r="FA234" s="15"/>
      <c r="FB234" s="15"/>
      <c r="FC234" s="15"/>
      <c r="FD234" s="16"/>
      <c r="FE234" s="16"/>
      <c r="FF234" s="16"/>
      <c r="FG234" s="16"/>
      <c r="FH234" s="16"/>
      <c r="FI234" s="16"/>
      <c r="FJ234" s="16"/>
      <c r="FK234" s="16"/>
      <c r="FM234" s="78"/>
      <c r="FN234" s="79"/>
      <c r="FO234" s="15"/>
      <c r="FP234" s="15"/>
      <c r="FQ234" s="15"/>
      <c r="FR234" s="16"/>
      <c r="FS234" s="16"/>
      <c r="FT234" s="16"/>
      <c r="FU234" s="16"/>
      <c r="FV234" s="16"/>
      <c r="FW234" s="16"/>
      <c r="FX234" s="16"/>
      <c r="FY234" s="16"/>
      <c r="GA234" s="78"/>
      <c r="GB234" s="79"/>
      <c r="GC234" s="15"/>
      <c r="GD234" s="15"/>
      <c r="GE234" s="15"/>
      <c r="GF234" s="16"/>
      <c r="GG234" s="16"/>
      <c r="GH234" s="16"/>
      <c r="GI234" s="16"/>
      <c r="GJ234" s="16"/>
      <c r="GK234" s="16"/>
      <c r="GL234" s="16"/>
      <c r="GM234" s="16"/>
    </row>
    <row r="235" spans="1:195" s="18" customFormat="1" ht="15" customHeight="1">
      <c r="A235" s="80">
        <v>2012</v>
      </c>
      <c r="B235" s="81" t="s">
        <v>37</v>
      </c>
      <c r="C235" s="15">
        <f t="shared" si="194"/>
        <v>0.8822978765334778</v>
      </c>
      <c r="D235" s="15">
        <f t="shared" si="195"/>
        <v>0.90668826894840771</v>
      </c>
      <c r="E235" s="15">
        <f t="shared" si="196"/>
        <v>0.97309947282849685</v>
      </c>
      <c r="F235" s="16"/>
      <c r="G235" s="33"/>
      <c r="H23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20297</v>
      </c>
      <c r="I235" s="16">
        <f t="shared" si="197"/>
        <v>546</v>
      </c>
      <c r="J23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19751</v>
      </c>
      <c r="K23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17908</v>
      </c>
      <c r="L235" s="16">
        <f t="shared" si="198"/>
        <v>1843</v>
      </c>
      <c r="M235" s="16"/>
      <c r="N235" s="16"/>
      <c r="O235" s="80">
        <v>2012</v>
      </c>
      <c r="P235" s="81" t="s">
        <v>37</v>
      </c>
      <c r="Q235" s="15">
        <f t="shared" si="157"/>
        <v>0.90558375634517763</v>
      </c>
      <c r="R235" s="15">
        <f t="shared" si="158"/>
        <v>0.93756569266344336</v>
      </c>
      <c r="S235" s="15">
        <f t="shared" si="159"/>
        <v>0.96588832487309639</v>
      </c>
      <c r="T235" s="26"/>
      <c r="U235" s="26"/>
      <c r="V235" s="16">
        <v>4925</v>
      </c>
      <c r="W235" s="16">
        <f t="shared" si="230"/>
        <v>168</v>
      </c>
      <c r="X235" s="16">
        <v>4757</v>
      </c>
      <c r="Y235" s="16">
        <v>4460</v>
      </c>
      <c r="Z235" s="16">
        <f t="shared" si="231"/>
        <v>297</v>
      </c>
      <c r="AA235" s="16"/>
      <c r="AB235" s="16"/>
      <c r="AC235" s="80"/>
      <c r="AD235" s="81"/>
      <c r="AE235" s="15"/>
      <c r="AF235" s="15"/>
      <c r="AG235" s="15"/>
      <c r="AH235" s="15"/>
      <c r="AI235" s="15"/>
      <c r="AJ235" s="16"/>
      <c r="AK235" s="16"/>
      <c r="AL235" s="16"/>
      <c r="AM235" s="16"/>
      <c r="AN235" s="16"/>
      <c r="AO235" s="16"/>
      <c r="AP235" s="16"/>
      <c r="AQ235" s="80">
        <v>2012</v>
      </c>
      <c r="AR235" s="81" t="s">
        <v>37</v>
      </c>
      <c r="AS235" s="15">
        <f t="shared" si="162"/>
        <v>0.93963310580204773</v>
      </c>
      <c r="AT235" s="15">
        <f t="shared" si="163"/>
        <v>0.96116081169539602</v>
      </c>
      <c r="AU235" s="15">
        <f t="shared" si="164"/>
        <v>0.97760238907849828</v>
      </c>
      <c r="AV235" s="16"/>
      <c r="AW235" s="16"/>
      <c r="AX235" s="16">
        <v>4688</v>
      </c>
      <c r="AY235" s="16">
        <f t="shared" si="232"/>
        <v>105</v>
      </c>
      <c r="AZ235" s="16">
        <v>4583</v>
      </c>
      <c r="BA235" s="16">
        <v>4405</v>
      </c>
      <c r="BB235" s="16">
        <f t="shared" si="233"/>
        <v>178</v>
      </c>
      <c r="BC235" s="16"/>
      <c r="BD235" s="16"/>
      <c r="BE235" s="80">
        <v>2012</v>
      </c>
      <c r="BF235" s="81" t="s">
        <v>37</v>
      </c>
      <c r="BG235" s="15">
        <f t="shared" si="167"/>
        <v>0.83531746031746035</v>
      </c>
      <c r="BH235" s="15">
        <f t="shared" si="168"/>
        <v>0.85743380855397144</v>
      </c>
      <c r="BI235" s="15">
        <f t="shared" si="169"/>
        <v>0.97420634920634919</v>
      </c>
      <c r="BJ235" s="16"/>
      <c r="BK235" s="16"/>
      <c r="BL235" s="16">
        <v>504</v>
      </c>
      <c r="BM235" s="16">
        <f t="shared" si="234"/>
        <v>13</v>
      </c>
      <c r="BN235" s="16">
        <v>491</v>
      </c>
      <c r="BO235" s="16">
        <v>421</v>
      </c>
      <c r="BP235" s="16">
        <f t="shared" si="235"/>
        <v>70</v>
      </c>
      <c r="BQ235" s="16"/>
      <c r="BR235" s="16"/>
      <c r="BS235" s="80">
        <v>2012</v>
      </c>
      <c r="BT235" s="81" t="s">
        <v>37</v>
      </c>
      <c r="BU235" s="15">
        <f t="shared" si="172"/>
        <v>0.84478672985781988</v>
      </c>
      <c r="BV235" s="15">
        <f t="shared" si="173"/>
        <v>0.85697115384615385</v>
      </c>
      <c r="BW235" s="15">
        <f t="shared" si="174"/>
        <v>0.98578199052132698</v>
      </c>
      <c r="BX235" s="16"/>
      <c r="BY235" s="16"/>
      <c r="BZ235" s="16">
        <v>2532</v>
      </c>
      <c r="CA235" s="16">
        <f t="shared" si="236"/>
        <v>36</v>
      </c>
      <c r="CB235" s="16">
        <v>2496</v>
      </c>
      <c r="CC235" s="16">
        <v>2139</v>
      </c>
      <c r="CD235" s="16">
        <f t="shared" si="237"/>
        <v>357</v>
      </c>
      <c r="CE235" s="16"/>
      <c r="CF235" s="16"/>
      <c r="CG235" s="80">
        <v>2012</v>
      </c>
      <c r="CH235" s="81" t="s">
        <v>37</v>
      </c>
      <c r="CI235" s="15">
        <f t="shared" si="177"/>
        <v>0.91201550387596897</v>
      </c>
      <c r="CJ235" s="15">
        <f t="shared" si="178"/>
        <v>0.93373015873015874</v>
      </c>
      <c r="CK235" s="15">
        <f t="shared" si="179"/>
        <v>0.97674418604651159</v>
      </c>
      <c r="CL235" s="16"/>
      <c r="CM235" s="16"/>
      <c r="CN235" s="16">
        <v>2580</v>
      </c>
      <c r="CO235" s="16">
        <f t="shared" si="238"/>
        <v>60</v>
      </c>
      <c r="CP235" s="16">
        <v>2520</v>
      </c>
      <c r="CQ235" s="16">
        <v>2353</v>
      </c>
      <c r="CR235" s="16">
        <f t="shared" si="239"/>
        <v>167</v>
      </c>
      <c r="CS235" s="16"/>
      <c r="CT235" s="16"/>
      <c r="CU235" s="80">
        <v>2012</v>
      </c>
      <c r="CV235" s="81" t="s">
        <v>37</v>
      </c>
      <c r="CW235" s="15">
        <f t="shared" si="199"/>
        <v>0.78605330412559327</v>
      </c>
      <c r="CX235" s="15">
        <f t="shared" si="200"/>
        <v>0.80909432544156334</v>
      </c>
      <c r="CY235" s="15">
        <f t="shared" si="201"/>
        <v>0.9715224534501643</v>
      </c>
      <c r="CZ235" s="16"/>
      <c r="DA235" s="16"/>
      <c r="DB235" s="16">
        <v>2739</v>
      </c>
      <c r="DC235" s="16">
        <f t="shared" si="182"/>
        <v>78</v>
      </c>
      <c r="DD235" s="16">
        <v>2661</v>
      </c>
      <c r="DE235" s="16">
        <v>2153</v>
      </c>
      <c r="DF235" s="16">
        <f t="shared" si="183"/>
        <v>508</v>
      </c>
      <c r="DG235" s="16"/>
      <c r="DH235" s="16"/>
      <c r="DI235" s="80">
        <v>2012</v>
      </c>
      <c r="DJ235" s="81" t="s">
        <v>37</v>
      </c>
      <c r="DK235" s="15">
        <f t="shared" si="184"/>
        <v>0.74896694214876036</v>
      </c>
      <c r="DL235" s="15">
        <f t="shared" si="185"/>
        <v>0.75995807127882598</v>
      </c>
      <c r="DM235" s="15">
        <f t="shared" si="186"/>
        <v>0.98553719008264462</v>
      </c>
      <c r="DN235" s="16"/>
      <c r="DO235" s="16"/>
      <c r="DP235" s="16">
        <v>968</v>
      </c>
      <c r="DQ235" s="16">
        <f t="shared" si="240"/>
        <v>14</v>
      </c>
      <c r="DR235" s="16">
        <v>954</v>
      </c>
      <c r="DS235" s="16">
        <v>725</v>
      </c>
      <c r="DT235" s="16">
        <f t="shared" si="241"/>
        <v>229</v>
      </c>
      <c r="DU235" s="16"/>
      <c r="DV235" s="16"/>
      <c r="DW235" s="80">
        <v>2012</v>
      </c>
      <c r="DX235" s="81" t="s">
        <v>37</v>
      </c>
      <c r="DY235" s="15">
        <f t="shared" si="189"/>
        <v>0.91991182953710504</v>
      </c>
      <c r="DZ235" s="15">
        <f t="shared" si="190"/>
        <v>0.97129557796741661</v>
      </c>
      <c r="EA235" s="15">
        <f t="shared" si="191"/>
        <v>0.9470977222630419</v>
      </c>
      <c r="EB235" s="16"/>
      <c r="EC235" s="16"/>
      <c r="ED235" s="16">
        <v>1361</v>
      </c>
      <c r="EE235" s="16">
        <f t="shared" si="242"/>
        <v>72</v>
      </c>
      <c r="EF235" s="16">
        <v>1289</v>
      </c>
      <c r="EG235" s="16">
        <v>1252</v>
      </c>
      <c r="EH235" s="16">
        <f t="shared" si="243"/>
        <v>37</v>
      </c>
      <c r="EI235" s="16"/>
      <c r="EJ235" s="16"/>
      <c r="EK235" s="80"/>
      <c r="EL235" s="81"/>
      <c r="EM235" s="15"/>
      <c r="EN235" s="15"/>
      <c r="EO235" s="15"/>
      <c r="EP235" s="16"/>
      <c r="EQ235" s="16"/>
      <c r="ER235" s="16"/>
      <c r="ES235" s="16"/>
      <c r="ET235" s="16"/>
      <c r="EU235" s="16"/>
      <c r="EV235" s="16"/>
      <c r="EW235" s="16"/>
      <c r="EX235" s="16"/>
      <c r="EY235" s="80"/>
      <c r="EZ235" s="81"/>
      <c r="FA235" s="15"/>
      <c r="FB235" s="15"/>
      <c r="FC235" s="15"/>
      <c r="FD235" s="16"/>
      <c r="FE235" s="16"/>
      <c r="FF235" s="16"/>
      <c r="FG235" s="16"/>
      <c r="FH235" s="16"/>
      <c r="FI235" s="16"/>
      <c r="FJ235" s="16"/>
      <c r="FK235" s="16"/>
      <c r="FM235" s="80"/>
      <c r="FN235" s="81"/>
      <c r="FO235" s="15"/>
      <c r="FP235" s="15"/>
      <c r="FQ235" s="15"/>
      <c r="FR235" s="16"/>
      <c r="FS235" s="16"/>
      <c r="FT235" s="16"/>
      <c r="FU235" s="16"/>
      <c r="FV235" s="16"/>
      <c r="FW235" s="16"/>
      <c r="FX235" s="16"/>
      <c r="FY235" s="16"/>
      <c r="GA235" s="80"/>
      <c r="GB235" s="81"/>
      <c r="GC235" s="15"/>
      <c r="GD235" s="15"/>
      <c r="GE235" s="15"/>
      <c r="GF235" s="16"/>
      <c r="GG235" s="16"/>
      <c r="GH235" s="16"/>
      <c r="GI235" s="16"/>
      <c r="GJ235" s="16"/>
      <c r="GK235" s="16"/>
      <c r="GL235" s="16"/>
      <c r="GM235" s="16"/>
    </row>
    <row r="236" spans="1:195" s="18" customFormat="1" ht="15" customHeight="1">
      <c r="A236" s="78">
        <v>2012</v>
      </c>
      <c r="B236" s="79" t="s">
        <v>38</v>
      </c>
      <c r="C236" s="15">
        <f t="shared" si="194"/>
        <v>0.84369299221357064</v>
      </c>
      <c r="D236" s="15">
        <f t="shared" si="195"/>
        <v>0.88068366541266085</v>
      </c>
      <c r="E236" s="15">
        <f t="shared" si="196"/>
        <v>0.95799777530589547</v>
      </c>
      <c r="F236" s="16"/>
      <c r="G236" s="33"/>
      <c r="H23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22475</v>
      </c>
      <c r="I236" s="16">
        <f t="shared" si="197"/>
        <v>944</v>
      </c>
      <c r="J23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21531</v>
      </c>
      <c r="K23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18962</v>
      </c>
      <c r="L236" s="16">
        <f t="shared" si="198"/>
        <v>2569</v>
      </c>
      <c r="M236" s="16"/>
      <c r="N236" s="16"/>
      <c r="O236" s="78">
        <v>2012</v>
      </c>
      <c r="P236" s="79" t="s">
        <v>38</v>
      </c>
      <c r="Q236" s="15">
        <f t="shared" si="157"/>
        <v>0.88256549232158987</v>
      </c>
      <c r="R236" s="15">
        <f t="shared" si="158"/>
        <v>0.90951405697263077</v>
      </c>
      <c r="S236" s="15">
        <f t="shared" si="159"/>
        <v>0.97037037037037033</v>
      </c>
      <c r="T236" s="26"/>
      <c r="U236" s="26"/>
      <c r="V236" s="16">
        <v>5535</v>
      </c>
      <c r="W236" s="16">
        <f t="shared" si="230"/>
        <v>164</v>
      </c>
      <c r="X236" s="16">
        <v>5371</v>
      </c>
      <c r="Y236" s="16">
        <v>4885</v>
      </c>
      <c r="Z236" s="16">
        <f t="shared" si="231"/>
        <v>486</v>
      </c>
      <c r="AA236" s="16"/>
      <c r="AB236" s="16"/>
      <c r="AC236" s="78"/>
      <c r="AD236" s="79"/>
      <c r="AE236" s="15"/>
      <c r="AF236" s="15"/>
      <c r="AG236" s="15"/>
      <c r="AH236" s="15"/>
      <c r="AI236" s="15"/>
      <c r="AJ236" s="16"/>
      <c r="AK236" s="16"/>
      <c r="AL236" s="16"/>
      <c r="AM236" s="16"/>
      <c r="AN236" s="16"/>
      <c r="AO236" s="16"/>
      <c r="AP236" s="16"/>
      <c r="AQ236" s="78">
        <v>2012</v>
      </c>
      <c r="AR236" s="79" t="s">
        <v>38</v>
      </c>
      <c r="AS236" s="15">
        <f t="shared" si="162"/>
        <v>0.89277522935779818</v>
      </c>
      <c r="AT236" s="15">
        <f t="shared" si="163"/>
        <v>0.92825914149443556</v>
      </c>
      <c r="AU236" s="15">
        <f t="shared" si="164"/>
        <v>0.96177370030581044</v>
      </c>
      <c r="AV236" s="16"/>
      <c r="AW236" s="16"/>
      <c r="AX236" s="16">
        <v>5232</v>
      </c>
      <c r="AY236" s="16">
        <f t="shared" si="232"/>
        <v>200</v>
      </c>
      <c r="AZ236" s="16">
        <v>5032</v>
      </c>
      <c r="BA236" s="16">
        <v>4671</v>
      </c>
      <c r="BB236" s="16">
        <f t="shared" si="233"/>
        <v>361</v>
      </c>
      <c r="BC236" s="16"/>
      <c r="BD236" s="16"/>
      <c r="BE236" s="78">
        <v>2012</v>
      </c>
      <c r="BF236" s="79" t="s">
        <v>38</v>
      </c>
      <c r="BG236" s="15">
        <f t="shared" si="167"/>
        <v>0.74025974025974028</v>
      </c>
      <c r="BH236" s="15">
        <f t="shared" si="168"/>
        <v>0.77815699658703075</v>
      </c>
      <c r="BI236" s="15">
        <f t="shared" si="169"/>
        <v>0.95129870129870131</v>
      </c>
      <c r="BJ236" s="16"/>
      <c r="BK236" s="16"/>
      <c r="BL236" s="16">
        <v>616</v>
      </c>
      <c r="BM236" s="16">
        <f t="shared" si="234"/>
        <v>30</v>
      </c>
      <c r="BN236" s="16">
        <v>586</v>
      </c>
      <c r="BO236" s="16">
        <v>456</v>
      </c>
      <c r="BP236" s="16">
        <f t="shared" si="235"/>
        <v>130</v>
      </c>
      <c r="BQ236" s="16"/>
      <c r="BR236" s="16"/>
      <c r="BS236" s="78">
        <v>2012</v>
      </c>
      <c r="BT236" s="79" t="s">
        <v>38</v>
      </c>
      <c r="BU236" s="15">
        <f t="shared" si="172"/>
        <v>0.8238060781476122</v>
      </c>
      <c r="BV236" s="15">
        <f t="shared" si="173"/>
        <v>0.84458456973293772</v>
      </c>
      <c r="BW236" s="15">
        <f t="shared" si="174"/>
        <v>0.97539797395079597</v>
      </c>
      <c r="BX236" s="16"/>
      <c r="BY236" s="16"/>
      <c r="BZ236" s="16">
        <v>2764</v>
      </c>
      <c r="CA236" s="16">
        <f t="shared" si="236"/>
        <v>68</v>
      </c>
      <c r="CB236" s="16">
        <v>2696</v>
      </c>
      <c r="CC236" s="16">
        <v>2277</v>
      </c>
      <c r="CD236" s="16">
        <f t="shared" si="237"/>
        <v>419</v>
      </c>
      <c r="CE236" s="16"/>
      <c r="CF236" s="16"/>
      <c r="CG236" s="78">
        <v>2012</v>
      </c>
      <c r="CH236" s="79" t="s">
        <v>38</v>
      </c>
      <c r="CI236" s="15">
        <f t="shared" si="177"/>
        <v>0.86808510638297876</v>
      </c>
      <c r="CJ236" s="15">
        <f t="shared" si="178"/>
        <v>0.9276241000378932</v>
      </c>
      <c r="CK236" s="15">
        <f t="shared" si="179"/>
        <v>0.93581560283687948</v>
      </c>
      <c r="CL236" s="16"/>
      <c r="CM236" s="16"/>
      <c r="CN236" s="16">
        <v>2820</v>
      </c>
      <c r="CO236" s="16">
        <f t="shared" si="238"/>
        <v>181</v>
      </c>
      <c r="CP236" s="16">
        <v>2639</v>
      </c>
      <c r="CQ236" s="16">
        <v>2448</v>
      </c>
      <c r="CR236" s="16">
        <f t="shared" si="239"/>
        <v>191</v>
      </c>
      <c r="CS236" s="16"/>
      <c r="CT236" s="16"/>
      <c r="CU236" s="78">
        <v>2012</v>
      </c>
      <c r="CV236" s="79" t="s">
        <v>38</v>
      </c>
      <c r="CW236" s="15">
        <f t="shared" si="199"/>
        <v>0.73731944910984215</v>
      </c>
      <c r="CX236" s="15">
        <f t="shared" si="200"/>
        <v>0.79934450109249822</v>
      </c>
      <c r="CY236" s="15">
        <f t="shared" si="201"/>
        <v>0.92240510581121937</v>
      </c>
      <c r="CZ236" s="16"/>
      <c r="DA236" s="16"/>
      <c r="DB236" s="16">
        <v>2977</v>
      </c>
      <c r="DC236" s="16">
        <f t="shared" si="182"/>
        <v>231</v>
      </c>
      <c r="DD236" s="16">
        <v>2746</v>
      </c>
      <c r="DE236" s="16">
        <v>2195</v>
      </c>
      <c r="DF236" s="16">
        <f t="shared" si="183"/>
        <v>551</v>
      </c>
      <c r="DG236" s="16"/>
      <c r="DH236" s="16"/>
      <c r="DI236" s="78">
        <v>2012</v>
      </c>
      <c r="DJ236" s="79" t="s">
        <v>38</v>
      </c>
      <c r="DK236" s="15">
        <f t="shared" si="184"/>
        <v>0.57061068702290074</v>
      </c>
      <c r="DL236" s="15">
        <f t="shared" si="185"/>
        <v>0.59502487562189055</v>
      </c>
      <c r="DM236" s="15">
        <f t="shared" si="186"/>
        <v>0.95896946564885499</v>
      </c>
      <c r="DN236" s="16"/>
      <c r="DO236" s="16"/>
      <c r="DP236" s="16">
        <v>1048</v>
      </c>
      <c r="DQ236" s="16">
        <f t="shared" si="240"/>
        <v>43</v>
      </c>
      <c r="DR236" s="16">
        <v>1005</v>
      </c>
      <c r="DS236" s="16">
        <v>598</v>
      </c>
      <c r="DT236" s="16">
        <f t="shared" si="241"/>
        <v>407</v>
      </c>
      <c r="DU236" s="16"/>
      <c r="DV236" s="16"/>
      <c r="DW236" s="78">
        <v>2012</v>
      </c>
      <c r="DX236" s="79" t="s">
        <v>38</v>
      </c>
      <c r="DY236" s="15">
        <f t="shared" si="189"/>
        <v>0.96561024949426832</v>
      </c>
      <c r="DZ236" s="15">
        <f t="shared" si="190"/>
        <v>0.98351648351648346</v>
      </c>
      <c r="EA236" s="15">
        <f t="shared" si="191"/>
        <v>0.98179366149696556</v>
      </c>
      <c r="EB236" s="16"/>
      <c r="EC236" s="16"/>
      <c r="ED236" s="16">
        <v>1483</v>
      </c>
      <c r="EE236" s="16">
        <f t="shared" si="242"/>
        <v>27</v>
      </c>
      <c r="EF236" s="16">
        <v>1456</v>
      </c>
      <c r="EG236" s="16">
        <v>1432</v>
      </c>
      <c r="EH236" s="16">
        <f t="shared" si="243"/>
        <v>24</v>
      </c>
      <c r="EI236" s="16"/>
      <c r="EJ236" s="16"/>
      <c r="EK236" s="78"/>
      <c r="EL236" s="79"/>
      <c r="EM236" s="15"/>
      <c r="EN236" s="15"/>
      <c r="EO236" s="15"/>
      <c r="EP236" s="16"/>
      <c r="EQ236" s="16"/>
      <c r="ER236" s="16"/>
      <c r="ES236" s="16"/>
      <c r="ET236" s="16"/>
      <c r="EU236" s="16"/>
      <c r="EV236" s="16"/>
      <c r="EW236" s="16"/>
      <c r="EX236" s="16"/>
      <c r="EY236" s="78"/>
      <c r="EZ236" s="79"/>
      <c r="FA236" s="15"/>
      <c r="FB236" s="15"/>
      <c r="FC236" s="15"/>
      <c r="FD236" s="16"/>
      <c r="FE236" s="16"/>
      <c r="FF236" s="16"/>
      <c r="FG236" s="16"/>
      <c r="FH236" s="16"/>
      <c r="FI236" s="16"/>
      <c r="FJ236" s="16"/>
      <c r="FK236" s="16"/>
      <c r="FM236" s="78"/>
      <c r="FN236" s="79"/>
      <c r="FO236" s="15"/>
      <c r="FP236" s="15"/>
      <c r="FQ236" s="15"/>
      <c r="FR236" s="16"/>
      <c r="FS236" s="16"/>
      <c r="FT236" s="16"/>
      <c r="FU236" s="16"/>
      <c r="FV236" s="16"/>
      <c r="FW236" s="16"/>
      <c r="FX236" s="16"/>
      <c r="FY236" s="16"/>
      <c r="GA236" s="78"/>
      <c r="GB236" s="79"/>
      <c r="GC236" s="15"/>
      <c r="GD236" s="15"/>
      <c r="GE236" s="15"/>
      <c r="GF236" s="16"/>
      <c r="GG236" s="16"/>
      <c r="GH236" s="16"/>
      <c r="GI236" s="16"/>
      <c r="GJ236" s="16"/>
      <c r="GK236" s="16"/>
      <c r="GL236" s="16"/>
      <c r="GM236" s="16"/>
    </row>
    <row r="237" spans="1:195" s="18" customFormat="1" ht="15" customHeight="1">
      <c r="A237" s="80">
        <v>2012</v>
      </c>
      <c r="B237" s="81" t="s">
        <v>39</v>
      </c>
      <c r="C237" s="15">
        <f t="shared" si="194"/>
        <v>0.74277694429656871</v>
      </c>
      <c r="D237" s="15">
        <f t="shared" si="195"/>
        <v>0.83590218397690763</v>
      </c>
      <c r="E237" s="15">
        <f t="shared" si="196"/>
        <v>0.88859313749213575</v>
      </c>
      <c r="F237" s="16"/>
      <c r="G237" s="33"/>
      <c r="H23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20663</v>
      </c>
      <c r="I237" s="16">
        <f t="shared" si="197"/>
        <v>2302</v>
      </c>
      <c r="J23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18361</v>
      </c>
      <c r="K23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15348</v>
      </c>
      <c r="L237" s="16">
        <f t="shared" si="198"/>
        <v>3013</v>
      </c>
      <c r="M237" s="16"/>
      <c r="N237" s="16"/>
      <c r="O237" s="80">
        <v>2012</v>
      </c>
      <c r="P237" s="81" t="s">
        <v>39</v>
      </c>
      <c r="Q237" s="15">
        <f t="shared" si="157"/>
        <v>0.87234042553191493</v>
      </c>
      <c r="R237" s="15">
        <f t="shared" si="158"/>
        <v>0.92665245202558633</v>
      </c>
      <c r="S237" s="15">
        <f t="shared" si="159"/>
        <v>0.94138900040144524</v>
      </c>
      <c r="T237" s="26"/>
      <c r="U237" s="26"/>
      <c r="V237" s="16">
        <v>4982</v>
      </c>
      <c r="W237" s="16">
        <f t="shared" si="230"/>
        <v>292</v>
      </c>
      <c r="X237" s="16">
        <v>4690</v>
      </c>
      <c r="Y237" s="16">
        <v>4346</v>
      </c>
      <c r="Z237" s="16">
        <f t="shared" si="231"/>
        <v>344</v>
      </c>
      <c r="AA237" s="16"/>
      <c r="AB237" s="16"/>
      <c r="AC237" s="80"/>
      <c r="AD237" s="81"/>
      <c r="AE237" s="15"/>
      <c r="AF237" s="15"/>
      <c r="AG237" s="15"/>
      <c r="AH237" s="15"/>
      <c r="AI237" s="15"/>
      <c r="AJ237" s="16"/>
      <c r="AK237" s="16"/>
      <c r="AL237" s="16"/>
      <c r="AM237" s="16"/>
      <c r="AN237" s="16"/>
      <c r="AO237" s="16"/>
      <c r="AP237" s="16"/>
      <c r="AQ237" s="80">
        <v>2012</v>
      </c>
      <c r="AR237" s="81" t="s">
        <v>39</v>
      </c>
      <c r="AS237" s="15">
        <f t="shared" si="162"/>
        <v>0.89369747899159668</v>
      </c>
      <c r="AT237" s="15">
        <f t="shared" si="163"/>
        <v>0.94094226940942272</v>
      </c>
      <c r="AU237" s="15">
        <f t="shared" si="164"/>
        <v>0.94978991596638651</v>
      </c>
      <c r="AV237" s="16"/>
      <c r="AW237" s="16"/>
      <c r="AX237" s="16">
        <v>4760</v>
      </c>
      <c r="AY237" s="16">
        <f t="shared" si="232"/>
        <v>239</v>
      </c>
      <c r="AZ237" s="16">
        <v>4521</v>
      </c>
      <c r="BA237" s="16">
        <v>4254</v>
      </c>
      <c r="BB237" s="16">
        <f t="shared" si="233"/>
        <v>267</v>
      </c>
      <c r="BC237" s="16"/>
      <c r="BD237" s="16"/>
      <c r="BE237" s="80">
        <v>2012</v>
      </c>
      <c r="BF237" s="81" t="s">
        <v>39</v>
      </c>
      <c r="BG237" s="15">
        <f t="shared" si="167"/>
        <v>0.72899159663865543</v>
      </c>
      <c r="BH237" s="15">
        <f t="shared" si="168"/>
        <v>0.80138568129330257</v>
      </c>
      <c r="BI237" s="15">
        <f t="shared" si="169"/>
        <v>0.90966386554621848</v>
      </c>
      <c r="BJ237" s="16"/>
      <c r="BK237" s="16"/>
      <c r="BL237" s="16">
        <v>476</v>
      </c>
      <c r="BM237" s="16">
        <f t="shared" si="234"/>
        <v>43</v>
      </c>
      <c r="BN237" s="16">
        <v>433</v>
      </c>
      <c r="BO237" s="16">
        <v>347</v>
      </c>
      <c r="BP237" s="16">
        <f t="shared" si="235"/>
        <v>86</v>
      </c>
      <c r="BQ237" s="16"/>
      <c r="BR237" s="16"/>
      <c r="BS237" s="80">
        <v>2012</v>
      </c>
      <c r="BT237" s="81" t="s">
        <v>39</v>
      </c>
      <c r="BU237" s="15">
        <f t="shared" si="172"/>
        <v>0.41502890173410406</v>
      </c>
      <c r="BV237" s="15">
        <f t="shared" si="173"/>
        <v>0.46382428940568476</v>
      </c>
      <c r="BW237" s="15">
        <f t="shared" si="174"/>
        <v>0.89479768786127167</v>
      </c>
      <c r="BX237" s="16"/>
      <c r="BY237" s="16"/>
      <c r="BZ237" s="16">
        <v>2595</v>
      </c>
      <c r="CA237" s="16">
        <f t="shared" si="236"/>
        <v>273</v>
      </c>
      <c r="CB237" s="16">
        <v>2322</v>
      </c>
      <c r="CC237" s="16">
        <v>1077</v>
      </c>
      <c r="CD237" s="16">
        <f t="shared" si="237"/>
        <v>1245</v>
      </c>
      <c r="CE237" s="16"/>
      <c r="CF237" s="16"/>
      <c r="CG237" s="80">
        <v>2012</v>
      </c>
      <c r="CH237" s="81" t="s">
        <v>39</v>
      </c>
      <c r="CI237" s="15">
        <f t="shared" si="177"/>
        <v>0.66275992438563325</v>
      </c>
      <c r="CJ237" s="15">
        <f t="shared" si="178"/>
        <v>0.88179074446680084</v>
      </c>
      <c r="CK237" s="15">
        <f t="shared" si="179"/>
        <v>0.75160680529300572</v>
      </c>
      <c r="CL237" s="16"/>
      <c r="CM237" s="16"/>
      <c r="CN237" s="16">
        <v>2645</v>
      </c>
      <c r="CO237" s="16">
        <f t="shared" si="238"/>
        <v>657</v>
      </c>
      <c r="CP237" s="16">
        <v>1988</v>
      </c>
      <c r="CQ237" s="16">
        <v>1753</v>
      </c>
      <c r="CR237" s="16">
        <f t="shared" si="239"/>
        <v>235</v>
      </c>
      <c r="CS237" s="16"/>
      <c r="CT237" s="16"/>
      <c r="CU237" s="80">
        <v>2012</v>
      </c>
      <c r="CV237" s="81" t="s">
        <v>39</v>
      </c>
      <c r="CW237" s="15">
        <f t="shared" si="199"/>
        <v>0.6306434411660149</v>
      </c>
      <c r="CX237" s="15">
        <f t="shared" si="200"/>
        <v>0.81189931350114419</v>
      </c>
      <c r="CY237" s="15">
        <f t="shared" si="201"/>
        <v>0.77675079985780304</v>
      </c>
      <c r="CZ237" s="16"/>
      <c r="DA237" s="16"/>
      <c r="DB237" s="16">
        <v>2813</v>
      </c>
      <c r="DC237" s="16">
        <f t="shared" si="182"/>
        <v>628</v>
      </c>
      <c r="DD237" s="16">
        <v>2185</v>
      </c>
      <c r="DE237" s="16">
        <v>1774</v>
      </c>
      <c r="DF237" s="16">
        <f t="shared" si="183"/>
        <v>411</v>
      </c>
      <c r="DG237" s="16"/>
      <c r="DH237" s="16"/>
      <c r="DI237" s="80">
        <v>2012</v>
      </c>
      <c r="DJ237" s="81" t="s">
        <v>39</v>
      </c>
      <c r="DK237" s="15">
        <f t="shared" si="184"/>
        <v>0.42713567839195982</v>
      </c>
      <c r="DL237" s="15">
        <f t="shared" si="185"/>
        <v>0.51143200962695545</v>
      </c>
      <c r="DM237" s="15">
        <f t="shared" si="186"/>
        <v>0.8351758793969849</v>
      </c>
      <c r="DN237" s="16"/>
      <c r="DO237" s="16"/>
      <c r="DP237" s="16">
        <v>995</v>
      </c>
      <c r="DQ237" s="16">
        <f t="shared" si="240"/>
        <v>164</v>
      </c>
      <c r="DR237" s="16">
        <v>831</v>
      </c>
      <c r="DS237" s="16">
        <v>425</v>
      </c>
      <c r="DT237" s="16">
        <f t="shared" si="241"/>
        <v>406</v>
      </c>
      <c r="DU237" s="16"/>
      <c r="DV237" s="16"/>
      <c r="DW237" s="80">
        <v>2012</v>
      </c>
      <c r="DX237" s="81" t="s">
        <v>39</v>
      </c>
      <c r="DY237" s="15">
        <f t="shared" si="189"/>
        <v>0.98210450966356477</v>
      </c>
      <c r="DZ237" s="15">
        <f t="shared" si="190"/>
        <v>0.98634076204169663</v>
      </c>
      <c r="EA237" s="15">
        <f t="shared" si="191"/>
        <v>0.99570508231925559</v>
      </c>
      <c r="EB237" s="16"/>
      <c r="EC237" s="16"/>
      <c r="ED237" s="16">
        <v>1397</v>
      </c>
      <c r="EE237" s="16">
        <f t="shared" si="242"/>
        <v>6</v>
      </c>
      <c r="EF237" s="16">
        <v>1391</v>
      </c>
      <c r="EG237" s="16">
        <v>1372</v>
      </c>
      <c r="EH237" s="16">
        <f t="shared" si="243"/>
        <v>19</v>
      </c>
      <c r="EI237" s="16"/>
      <c r="EJ237" s="16"/>
      <c r="EK237" s="80"/>
      <c r="EL237" s="81"/>
      <c r="EM237" s="15"/>
      <c r="EN237" s="15"/>
      <c r="EO237" s="15"/>
      <c r="EP237" s="16"/>
      <c r="EQ237" s="16"/>
      <c r="ER237" s="16"/>
      <c r="ES237" s="16"/>
      <c r="ET237" s="16"/>
      <c r="EU237" s="16"/>
      <c r="EV237" s="16"/>
      <c r="EW237" s="16"/>
      <c r="EX237" s="16"/>
      <c r="EY237" s="80"/>
      <c r="EZ237" s="81"/>
      <c r="FA237" s="15"/>
      <c r="FB237" s="15"/>
      <c r="FC237" s="15"/>
      <c r="FD237" s="16"/>
      <c r="FE237" s="16"/>
      <c r="FF237" s="16"/>
      <c r="FG237" s="16"/>
      <c r="FH237" s="16"/>
      <c r="FI237" s="16"/>
      <c r="FJ237" s="16"/>
      <c r="FK237" s="16"/>
      <c r="FM237" s="80"/>
      <c r="FN237" s="81"/>
      <c r="FO237" s="15"/>
      <c r="FP237" s="15"/>
      <c r="FQ237" s="15"/>
      <c r="FR237" s="16"/>
      <c r="FS237" s="16"/>
      <c r="FT237" s="16"/>
      <c r="FU237" s="16"/>
      <c r="FV237" s="16"/>
      <c r="FW237" s="16"/>
      <c r="FX237" s="16"/>
      <c r="FY237" s="16"/>
      <c r="GA237" s="80"/>
      <c r="GB237" s="81"/>
      <c r="GC237" s="15"/>
      <c r="GD237" s="15"/>
      <c r="GE237" s="15"/>
      <c r="GF237" s="16"/>
      <c r="GG237" s="16"/>
      <c r="GH237" s="16"/>
      <c r="GI237" s="16"/>
      <c r="GJ237" s="16"/>
      <c r="GK237" s="16"/>
      <c r="GL237" s="16"/>
      <c r="GM237" s="16"/>
    </row>
    <row r="238" spans="1:195" s="18" customFormat="1" ht="15" customHeight="1">
      <c r="A238" s="78">
        <v>2012</v>
      </c>
      <c r="B238" s="79" t="s">
        <v>40</v>
      </c>
      <c r="C238" s="15">
        <f t="shared" si="194"/>
        <v>0.71418903676968193</v>
      </c>
      <c r="D238" s="15">
        <f t="shared" si="195"/>
        <v>0.78308186989859019</v>
      </c>
      <c r="E238" s="15">
        <f t="shared" si="196"/>
        <v>0.91202346041055715</v>
      </c>
      <c r="F238" s="16"/>
      <c r="G238" s="33"/>
      <c r="H23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22165</v>
      </c>
      <c r="I238" s="16">
        <f t="shared" si="197"/>
        <v>1950</v>
      </c>
      <c r="J23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20215</v>
      </c>
      <c r="K23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15830</v>
      </c>
      <c r="L238" s="16">
        <f t="shared" si="198"/>
        <v>4385</v>
      </c>
      <c r="M238" s="16"/>
      <c r="N238" s="16"/>
      <c r="O238" s="78">
        <v>2012</v>
      </c>
      <c r="P238" s="79" t="s">
        <v>40</v>
      </c>
      <c r="Q238" s="15">
        <f t="shared" si="157"/>
        <v>0.80283766353418096</v>
      </c>
      <c r="R238" s="15">
        <f t="shared" si="158"/>
        <v>0.86654733492442326</v>
      </c>
      <c r="S238" s="15">
        <f t="shared" si="159"/>
        <v>0.92647871752349364</v>
      </c>
      <c r="T238" s="26"/>
      <c r="U238" s="26"/>
      <c r="V238" s="16">
        <v>5427</v>
      </c>
      <c r="W238" s="16">
        <f t="shared" si="230"/>
        <v>399</v>
      </c>
      <c r="X238" s="16">
        <v>5028</v>
      </c>
      <c r="Y238" s="16">
        <v>4357</v>
      </c>
      <c r="Z238" s="16">
        <f t="shared" si="231"/>
        <v>671</v>
      </c>
      <c r="AA238" s="16"/>
      <c r="AB238" s="16"/>
      <c r="AC238" s="78"/>
      <c r="AD238" s="79"/>
      <c r="AE238" s="15"/>
      <c r="AF238" s="15"/>
      <c r="AG238" s="15"/>
      <c r="AH238" s="15"/>
      <c r="AI238" s="15"/>
      <c r="AJ238" s="16"/>
      <c r="AK238" s="16"/>
      <c r="AL238" s="16"/>
      <c r="AM238" s="16"/>
      <c r="AN238" s="16"/>
      <c r="AO238" s="16"/>
      <c r="AP238" s="16"/>
      <c r="AQ238" s="78">
        <v>2012</v>
      </c>
      <c r="AR238" s="79" t="s">
        <v>40</v>
      </c>
      <c r="AS238" s="15">
        <f t="shared" si="162"/>
        <v>0.81524698560871256</v>
      </c>
      <c r="AT238" s="15">
        <f t="shared" si="163"/>
        <v>0.89400725101300915</v>
      </c>
      <c r="AU238" s="15">
        <f t="shared" si="164"/>
        <v>0.91190198366394404</v>
      </c>
      <c r="AV238" s="16"/>
      <c r="AW238" s="16"/>
      <c r="AX238" s="16">
        <v>5142</v>
      </c>
      <c r="AY238" s="16">
        <f t="shared" si="232"/>
        <v>453</v>
      </c>
      <c r="AZ238" s="16">
        <v>4689</v>
      </c>
      <c r="BA238" s="16">
        <v>4192</v>
      </c>
      <c r="BB238" s="16">
        <f t="shared" si="233"/>
        <v>497</v>
      </c>
      <c r="BC238" s="16"/>
      <c r="BD238" s="16"/>
      <c r="BE238" s="78">
        <v>2012</v>
      </c>
      <c r="BF238" s="79" t="s">
        <v>40</v>
      </c>
      <c r="BG238" s="15">
        <f t="shared" si="167"/>
        <v>0.62755102040816324</v>
      </c>
      <c r="BH238" s="15">
        <f t="shared" si="168"/>
        <v>0.71098265895953761</v>
      </c>
      <c r="BI238" s="15">
        <f t="shared" si="169"/>
        <v>0.88265306122448983</v>
      </c>
      <c r="BJ238" s="16"/>
      <c r="BK238" s="16"/>
      <c r="BL238" s="16">
        <v>588</v>
      </c>
      <c r="BM238" s="16">
        <f t="shared" si="234"/>
        <v>69</v>
      </c>
      <c r="BN238" s="16">
        <v>519</v>
      </c>
      <c r="BO238" s="16">
        <v>369</v>
      </c>
      <c r="BP238" s="16">
        <f t="shared" si="235"/>
        <v>150</v>
      </c>
      <c r="BQ238" s="16"/>
      <c r="BR238" s="16"/>
      <c r="BS238" s="78">
        <v>2012</v>
      </c>
      <c r="BT238" s="79" t="s">
        <v>40</v>
      </c>
      <c r="BU238" s="15">
        <f t="shared" si="172"/>
        <v>0.38380153228748631</v>
      </c>
      <c r="BV238" s="15">
        <f t="shared" si="173"/>
        <v>0.41499013806706114</v>
      </c>
      <c r="BW238" s="15">
        <f t="shared" si="174"/>
        <v>0.92484494709959864</v>
      </c>
      <c r="BX238" s="16"/>
      <c r="BY238" s="16"/>
      <c r="BZ238" s="16">
        <v>2741</v>
      </c>
      <c r="CA238" s="16">
        <f t="shared" si="236"/>
        <v>206</v>
      </c>
      <c r="CB238" s="16">
        <v>2535</v>
      </c>
      <c r="CC238" s="16">
        <v>1052</v>
      </c>
      <c r="CD238" s="16">
        <f t="shared" si="237"/>
        <v>1483</v>
      </c>
      <c r="CE238" s="16"/>
      <c r="CF238" s="16"/>
      <c r="CG238" s="78">
        <v>2012</v>
      </c>
      <c r="CH238" s="79" t="s">
        <v>40</v>
      </c>
      <c r="CI238" s="15">
        <f t="shared" si="177"/>
        <v>0.705798138869005</v>
      </c>
      <c r="CJ238" s="15">
        <f t="shared" si="178"/>
        <v>0.84598884598884594</v>
      </c>
      <c r="CK238" s="15">
        <f t="shared" si="179"/>
        <v>0.83428775948460987</v>
      </c>
      <c r="CL238" s="16"/>
      <c r="CM238" s="16"/>
      <c r="CN238" s="16">
        <v>2794</v>
      </c>
      <c r="CO238" s="16">
        <f t="shared" si="238"/>
        <v>463</v>
      </c>
      <c r="CP238" s="16">
        <v>2331</v>
      </c>
      <c r="CQ238" s="16">
        <v>1972</v>
      </c>
      <c r="CR238" s="16">
        <f t="shared" si="239"/>
        <v>359</v>
      </c>
      <c r="CS238" s="16"/>
      <c r="CT238" s="16"/>
      <c r="CU238" s="78">
        <v>2012</v>
      </c>
      <c r="CV238" s="79" t="s">
        <v>40</v>
      </c>
      <c r="CW238" s="15">
        <f t="shared" si="199"/>
        <v>0.67849898580121704</v>
      </c>
      <c r="CX238" s="15">
        <f t="shared" si="200"/>
        <v>0.72298270893371763</v>
      </c>
      <c r="CY238" s="15">
        <f t="shared" si="201"/>
        <v>0.93847194050033811</v>
      </c>
      <c r="CZ238" s="16"/>
      <c r="DA238" s="16"/>
      <c r="DB238" s="16">
        <v>2958</v>
      </c>
      <c r="DC238" s="16">
        <f t="shared" si="182"/>
        <v>182</v>
      </c>
      <c r="DD238" s="16">
        <v>2776</v>
      </c>
      <c r="DE238" s="16">
        <v>2007</v>
      </c>
      <c r="DF238" s="16">
        <f t="shared" si="183"/>
        <v>769</v>
      </c>
      <c r="DG238" s="16"/>
      <c r="DH238" s="16"/>
      <c r="DI238" s="78">
        <v>2012</v>
      </c>
      <c r="DJ238" s="79" t="s">
        <v>40</v>
      </c>
      <c r="DK238" s="15">
        <f t="shared" si="184"/>
        <v>0.538830297219559</v>
      </c>
      <c r="DL238" s="15">
        <f t="shared" si="185"/>
        <v>0.57230142566191444</v>
      </c>
      <c r="DM238" s="15">
        <f t="shared" si="186"/>
        <v>0.94151486097794823</v>
      </c>
      <c r="DN238" s="16"/>
      <c r="DO238" s="16"/>
      <c r="DP238" s="16">
        <v>1043</v>
      </c>
      <c r="DQ238" s="16">
        <f t="shared" si="240"/>
        <v>61</v>
      </c>
      <c r="DR238" s="16">
        <v>982</v>
      </c>
      <c r="DS238" s="16">
        <v>562</v>
      </c>
      <c r="DT238" s="16">
        <f t="shared" si="241"/>
        <v>420</v>
      </c>
      <c r="DU238" s="16"/>
      <c r="DV238" s="16"/>
      <c r="DW238" s="78">
        <v>2012</v>
      </c>
      <c r="DX238" s="79" t="s">
        <v>40</v>
      </c>
      <c r="DY238" s="15">
        <f t="shared" si="189"/>
        <v>0.89605978260869568</v>
      </c>
      <c r="DZ238" s="15">
        <f t="shared" si="190"/>
        <v>0.9734317343173432</v>
      </c>
      <c r="EA238" s="15">
        <f t="shared" si="191"/>
        <v>0.92051630434782605</v>
      </c>
      <c r="EB238" s="16"/>
      <c r="EC238" s="16"/>
      <c r="ED238" s="16">
        <v>1472</v>
      </c>
      <c r="EE238" s="16">
        <f t="shared" si="242"/>
        <v>117</v>
      </c>
      <c r="EF238" s="16">
        <v>1355</v>
      </c>
      <c r="EG238" s="16">
        <v>1319</v>
      </c>
      <c r="EH238" s="16">
        <f t="shared" si="243"/>
        <v>36</v>
      </c>
      <c r="EI238" s="16"/>
      <c r="EJ238" s="16"/>
      <c r="EK238" s="78"/>
      <c r="EL238" s="79"/>
      <c r="EM238" s="15"/>
      <c r="EN238" s="15"/>
      <c r="EO238" s="15"/>
      <c r="EP238" s="16"/>
      <c r="EQ238" s="16"/>
      <c r="ER238" s="16"/>
      <c r="ES238" s="16"/>
      <c r="ET238" s="16"/>
      <c r="EU238" s="16"/>
      <c r="EV238" s="16"/>
      <c r="EW238" s="16"/>
      <c r="EX238" s="16"/>
      <c r="EY238" s="78"/>
      <c r="EZ238" s="79"/>
      <c r="FA238" s="15"/>
      <c r="FB238" s="15"/>
      <c r="FC238" s="15"/>
      <c r="FD238" s="16"/>
      <c r="FE238" s="16"/>
      <c r="FF238" s="16"/>
      <c r="FG238" s="16"/>
      <c r="FH238" s="16"/>
      <c r="FI238" s="16"/>
      <c r="FJ238" s="16"/>
      <c r="FK238" s="16"/>
      <c r="FM238" s="78"/>
      <c r="FN238" s="79"/>
      <c r="FO238" s="15"/>
      <c r="FP238" s="15"/>
      <c r="FQ238" s="15"/>
      <c r="FR238" s="16"/>
      <c r="FS238" s="16"/>
      <c r="FT238" s="16"/>
      <c r="FU238" s="16"/>
      <c r="FV238" s="16"/>
      <c r="FW238" s="16"/>
      <c r="FX238" s="16"/>
      <c r="FY238" s="16"/>
      <c r="GA238" s="78"/>
      <c r="GB238" s="79"/>
      <c r="GC238" s="15"/>
      <c r="GD238" s="15"/>
      <c r="GE238" s="15"/>
      <c r="GF238" s="16"/>
      <c r="GG238" s="16"/>
      <c r="GH238" s="16"/>
      <c r="GI238" s="16"/>
      <c r="GJ238" s="16"/>
      <c r="GK238" s="16"/>
      <c r="GL238" s="16"/>
      <c r="GM238" s="16"/>
    </row>
    <row r="239" spans="1:195" s="18" customFormat="1" ht="15" customHeight="1">
      <c r="A239" s="80">
        <v>2012</v>
      </c>
      <c r="B239" s="81" t="s">
        <v>41</v>
      </c>
      <c r="C239" s="15">
        <f t="shared" si="194"/>
        <v>0.76732420515200739</v>
      </c>
      <c r="D239" s="15">
        <f t="shared" si="195"/>
        <v>0.80346034214618978</v>
      </c>
      <c r="E239" s="15">
        <f t="shared" si="196"/>
        <v>0.95502436760269205</v>
      </c>
      <c r="F239" s="16"/>
      <c r="G239" s="33"/>
      <c r="H23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21545</v>
      </c>
      <c r="I239" s="16">
        <f t="shared" si="197"/>
        <v>969</v>
      </c>
      <c r="J23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20576</v>
      </c>
      <c r="K23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16532</v>
      </c>
      <c r="L239" s="16">
        <f t="shared" si="198"/>
        <v>4044</v>
      </c>
      <c r="M239" s="16"/>
      <c r="N239" s="16"/>
      <c r="O239" s="80">
        <v>2012</v>
      </c>
      <c r="P239" s="81" t="s">
        <v>41</v>
      </c>
      <c r="Q239" s="15">
        <f t="shared" si="157"/>
        <v>0.88185255198487711</v>
      </c>
      <c r="R239" s="15">
        <f t="shared" si="158"/>
        <v>0.90670553935860054</v>
      </c>
      <c r="S239" s="15">
        <f t="shared" si="159"/>
        <v>0.97258979206049145</v>
      </c>
      <c r="T239" s="26"/>
      <c r="U239" s="26"/>
      <c r="V239" s="16">
        <v>5290</v>
      </c>
      <c r="W239" s="16">
        <f t="shared" si="230"/>
        <v>145</v>
      </c>
      <c r="X239" s="16">
        <v>5145</v>
      </c>
      <c r="Y239" s="16">
        <v>4665</v>
      </c>
      <c r="Z239" s="16">
        <f t="shared" si="231"/>
        <v>480</v>
      </c>
      <c r="AA239" s="16"/>
      <c r="AB239" s="16"/>
      <c r="AC239" s="80"/>
      <c r="AD239" s="81"/>
      <c r="AE239" s="15"/>
      <c r="AF239" s="15"/>
      <c r="AG239" s="15"/>
      <c r="AH239" s="15"/>
      <c r="AI239" s="15"/>
      <c r="AJ239" s="16"/>
      <c r="AK239" s="16"/>
      <c r="AL239" s="16"/>
      <c r="AM239" s="16"/>
      <c r="AN239" s="16"/>
      <c r="AO239" s="16"/>
      <c r="AP239" s="16"/>
      <c r="AQ239" s="80">
        <v>2012</v>
      </c>
      <c r="AR239" s="81" t="s">
        <v>41</v>
      </c>
      <c r="AS239" s="15">
        <f t="shared" si="162"/>
        <v>0.89900199600798403</v>
      </c>
      <c r="AT239" s="15">
        <f t="shared" si="163"/>
        <v>0.92981007431874485</v>
      </c>
      <c r="AU239" s="15">
        <f t="shared" si="164"/>
        <v>0.96686626746506987</v>
      </c>
      <c r="AV239" s="16"/>
      <c r="AW239" s="16"/>
      <c r="AX239" s="16">
        <v>5010</v>
      </c>
      <c r="AY239" s="16">
        <f t="shared" si="232"/>
        <v>166</v>
      </c>
      <c r="AZ239" s="16">
        <v>4844</v>
      </c>
      <c r="BA239" s="16">
        <v>4504</v>
      </c>
      <c r="BB239" s="16">
        <f t="shared" si="233"/>
        <v>340</v>
      </c>
      <c r="BC239" s="16"/>
      <c r="BD239" s="16"/>
      <c r="BE239" s="80">
        <v>2012</v>
      </c>
      <c r="BF239" s="81" t="s">
        <v>41</v>
      </c>
      <c r="BG239" s="15">
        <f t="shared" si="167"/>
        <v>0.69464285714285712</v>
      </c>
      <c r="BH239" s="15">
        <f t="shared" si="168"/>
        <v>0.76725838264299806</v>
      </c>
      <c r="BI239" s="15">
        <f t="shared" si="169"/>
        <v>0.90535714285714286</v>
      </c>
      <c r="BJ239" s="16"/>
      <c r="BK239" s="16"/>
      <c r="BL239" s="16">
        <v>560</v>
      </c>
      <c r="BM239" s="16">
        <f t="shared" si="234"/>
        <v>53</v>
      </c>
      <c r="BN239" s="16">
        <v>507</v>
      </c>
      <c r="BO239" s="16">
        <v>389</v>
      </c>
      <c r="BP239" s="16">
        <f t="shared" si="235"/>
        <v>118</v>
      </c>
      <c r="BQ239" s="16"/>
      <c r="BR239" s="16"/>
      <c r="BS239" s="80">
        <v>2012</v>
      </c>
      <c r="BT239" s="81" t="s">
        <v>41</v>
      </c>
      <c r="BU239" s="15">
        <f t="shared" si="172"/>
        <v>0.39323308270676693</v>
      </c>
      <c r="BV239" s="15">
        <f t="shared" si="173"/>
        <v>0.40668740279937793</v>
      </c>
      <c r="BW239" s="15">
        <f t="shared" si="174"/>
        <v>0.96691729323308273</v>
      </c>
      <c r="BX239" s="16"/>
      <c r="BY239" s="16"/>
      <c r="BZ239" s="16">
        <v>2660</v>
      </c>
      <c r="CA239" s="16">
        <f t="shared" si="236"/>
        <v>88</v>
      </c>
      <c r="CB239" s="16">
        <v>2572</v>
      </c>
      <c r="CC239" s="16">
        <v>1046</v>
      </c>
      <c r="CD239" s="16">
        <f t="shared" si="237"/>
        <v>1526</v>
      </c>
      <c r="CE239" s="16"/>
      <c r="CF239" s="16"/>
      <c r="CG239" s="80">
        <v>2012</v>
      </c>
      <c r="CH239" s="81" t="s">
        <v>41</v>
      </c>
      <c r="CI239" s="15">
        <f t="shared" si="177"/>
        <v>0.74254143646408843</v>
      </c>
      <c r="CJ239" s="15">
        <f t="shared" si="178"/>
        <v>0.85532456512515909</v>
      </c>
      <c r="CK239" s="15">
        <f t="shared" si="179"/>
        <v>0.86813996316758746</v>
      </c>
      <c r="CL239" s="16"/>
      <c r="CM239" s="16"/>
      <c r="CN239" s="16">
        <v>2715</v>
      </c>
      <c r="CO239" s="16">
        <f t="shared" si="238"/>
        <v>358</v>
      </c>
      <c r="CP239" s="16">
        <v>2357</v>
      </c>
      <c r="CQ239" s="16">
        <v>2016</v>
      </c>
      <c r="CR239" s="16">
        <f t="shared" si="239"/>
        <v>341</v>
      </c>
      <c r="CS239" s="16"/>
      <c r="CT239" s="16"/>
      <c r="CU239" s="80">
        <v>2012</v>
      </c>
      <c r="CV239" s="81" t="s">
        <v>41</v>
      </c>
      <c r="CW239" s="15">
        <f t="shared" si="199"/>
        <v>0.64529616724738681</v>
      </c>
      <c r="CX239" s="15">
        <f t="shared" si="200"/>
        <v>0.67517316806416328</v>
      </c>
      <c r="CY239" s="15">
        <f t="shared" si="201"/>
        <v>0.95574912891986064</v>
      </c>
      <c r="CZ239" s="16"/>
      <c r="DA239" s="16"/>
      <c r="DB239" s="16">
        <v>2870</v>
      </c>
      <c r="DC239" s="16">
        <f t="shared" si="182"/>
        <v>127</v>
      </c>
      <c r="DD239" s="16">
        <v>2743</v>
      </c>
      <c r="DE239" s="16">
        <v>1852</v>
      </c>
      <c r="DF239" s="16">
        <f t="shared" si="183"/>
        <v>891</v>
      </c>
      <c r="DG239" s="16"/>
      <c r="DH239" s="16"/>
      <c r="DI239" s="80">
        <v>2012</v>
      </c>
      <c r="DJ239" s="81" t="s">
        <v>41</v>
      </c>
      <c r="DK239" s="15">
        <f t="shared" si="184"/>
        <v>0.6524752475247525</v>
      </c>
      <c r="DL239" s="15">
        <f t="shared" si="185"/>
        <v>0.6717635066258919</v>
      </c>
      <c r="DM239" s="15">
        <f t="shared" si="186"/>
        <v>0.97128712871287126</v>
      </c>
      <c r="DN239" s="16"/>
      <c r="DO239" s="16"/>
      <c r="DP239" s="16">
        <v>1010</v>
      </c>
      <c r="DQ239" s="16">
        <f t="shared" si="240"/>
        <v>29</v>
      </c>
      <c r="DR239" s="16">
        <v>981</v>
      </c>
      <c r="DS239" s="16">
        <v>659</v>
      </c>
      <c r="DT239" s="16">
        <f t="shared" si="241"/>
        <v>322</v>
      </c>
      <c r="DU239" s="16"/>
      <c r="DV239" s="16"/>
      <c r="DW239" s="80">
        <v>2012</v>
      </c>
      <c r="DX239" s="81" t="s">
        <v>41</v>
      </c>
      <c r="DY239" s="15">
        <f t="shared" si="189"/>
        <v>0.97972027972027975</v>
      </c>
      <c r="DZ239" s="15">
        <f t="shared" si="190"/>
        <v>0.98177995795374917</v>
      </c>
      <c r="EA239" s="15">
        <f t="shared" si="191"/>
        <v>0.99790209790209794</v>
      </c>
      <c r="EB239" s="16"/>
      <c r="EC239" s="16"/>
      <c r="ED239" s="16">
        <v>1430</v>
      </c>
      <c r="EE239" s="16">
        <f t="shared" si="242"/>
        <v>3</v>
      </c>
      <c r="EF239" s="16">
        <v>1427</v>
      </c>
      <c r="EG239" s="16">
        <v>1401</v>
      </c>
      <c r="EH239" s="16">
        <f t="shared" si="243"/>
        <v>26</v>
      </c>
      <c r="EI239" s="16"/>
      <c r="EJ239" s="16"/>
      <c r="EK239" s="80"/>
      <c r="EL239" s="81"/>
      <c r="EM239" s="15"/>
      <c r="EN239" s="15"/>
      <c r="EO239" s="15"/>
      <c r="EP239" s="16"/>
      <c r="EQ239" s="16"/>
      <c r="ER239" s="16"/>
      <c r="ES239" s="16"/>
      <c r="ET239" s="16"/>
      <c r="EU239" s="16"/>
      <c r="EV239" s="16"/>
      <c r="EW239" s="16"/>
      <c r="EX239" s="16"/>
      <c r="EY239" s="80"/>
      <c r="EZ239" s="81"/>
      <c r="FA239" s="15"/>
      <c r="FB239" s="15"/>
      <c r="FC239" s="15"/>
      <c r="FD239" s="16"/>
      <c r="FE239" s="16"/>
      <c r="FF239" s="16"/>
      <c r="FG239" s="16"/>
      <c r="FH239" s="16"/>
      <c r="FI239" s="16"/>
      <c r="FJ239" s="16"/>
      <c r="FK239" s="16"/>
      <c r="FM239" s="80"/>
      <c r="FN239" s="81"/>
      <c r="FO239" s="15"/>
      <c r="FP239" s="15"/>
      <c r="FQ239" s="15"/>
      <c r="FR239" s="16"/>
      <c r="FS239" s="16"/>
      <c r="FT239" s="16"/>
      <c r="FU239" s="16"/>
      <c r="FV239" s="16"/>
      <c r="FW239" s="16"/>
      <c r="FX239" s="16"/>
      <c r="FY239" s="16"/>
      <c r="GA239" s="80"/>
      <c r="GB239" s="81"/>
      <c r="GC239" s="15"/>
      <c r="GD239" s="15"/>
      <c r="GE239" s="15"/>
      <c r="GF239" s="16"/>
      <c r="GG239" s="16"/>
      <c r="GH239" s="16"/>
      <c r="GI239" s="16"/>
      <c r="GJ239" s="16"/>
      <c r="GK239" s="16"/>
      <c r="GL239" s="16"/>
      <c r="GM239" s="16"/>
    </row>
    <row r="240" spans="1:195" s="18" customFormat="1" ht="15" customHeight="1">
      <c r="A240" s="78">
        <v>2012</v>
      </c>
      <c r="B240" s="79" t="s">
        <v>42</v>
      </c>
      <c r="C240" s="15">
        <f t="shared" si="194"/>
        <v>0.77667493796526055</v>
      </c>
      <c r="D240" s="15">
        <f t="shared" si="195"/>
        <v>0.82661096706040527</v>
      </c>
      <c r="E240" s="15">
        <f t="shared" si="196"/>
        <v>0.93958944281524925</v>
      </c>
      <c r="F240" s="16"/>
      <c r="G240" s="33"/>
      <c r="H24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22165</v>
      </c>
      <c r="I240" s="16">
        <f t="shared" si="197"/>
        <v>1339</v>
      </c>
      <c r="J24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20826</v>
      </c>
      <c r="K24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17215</v>
      </c>
      <c r="L240" s="16">
        <f t="shared" si="198"/>
        <v>3611</v>
      </c>
      <c r="M240" s="16"/>
      <c r="N240" s="16"/>
      <c r="O240" s="78">
        <v>2012</v>
      </c>
      <c r="P240" s="79" t="s">
        <v>42</v>
      </c>
      <c r="Q240" s="15">
        <f t="shared" si="157"/>
        <v>0.91487009397457164</v>
      </c>
      <c r="R240" s="15">
        <f t="shared" si="158"/>
        <v>0.92786395066342742</v>
      </c>
      <c r="S240" s="15">
        <f t="shared" si="159"/>
        <v>0.98599594619495112</v>
      </c>
      <c r="T240" s="26"/>
      <c r="U240" s="26"/>
      <c r="V240" s="16">
        <v>5427</v>
      </c>
      <c r="W240" s="16">
        <f t="shared" si="230"/>
        <v>76</v>
      </c>
      <c r="X240" s="16">
        <v>5351</v>
      </c>
      <c r="Y240" s="16">
        <v>4965</v>
      </c>
      <c r="Z240" s="16">
        <f t="shared" si="231"/>
        <v>386</v>
      </c>
      <c r="AA240" s="16"/>
      <c r="AB240" s="16"/>
      <c r="AC240" s="78"/>
      <c r="AD240" s="79"/>
      <c r="AE240" s="15"/>
      <c r="AF240" s="15"/>
      <c r="AG240" s="15"/>
      <c r="AH240" s="15"/>
      <c r="AI240" s="15"/>
      <c r="AJ240" s="16"/>
      <c r="AK240" s="16"/>
      <c r="AL240" s="16"/>
      <c r="AM240" s="16"/>
      <c r="AN240" s="16"/>
      <c r="AO240" s="16"/>
      <c r="AP240" s="16"/>
      <c r="AQ240" s="78">
        <v>2012</v>
      </c>
      <c r="AR240" s="79" t="s">
        <v>42</v>
      </c>
      <c r="AS240" s="15">
        <f t="shared" si="162"/>
        <v>0.92998833138856474</v>
      </c>
      <c r="AT240" s="15">
        <f t="shared" si="163"/>
        <v>0.94730586370839942</v>
      </c>
      <c r="AU240" s="15">
        <f t="shared" si="164"/>
        <v>0.98171917541812526</v>
      </c>
      <c r="AV240" s="16"/>
      <c r="AW240" s="16"/>
      <c r="AX240" s="16">
        <v>5142</v>
      </c>
      <c r="AY240" s="16">
        <f t="shared" si="232"/>
        <v>94</v>
      </c>
      <c r="AZ240" s="16">
        <v>5048</v>
      </c>
      <c r="BA240" s="16">
        <v>4782</v>
      </c>
      <c r="BB240" s="16">
        <f t="shared" si="233"/>
        <v>266</v>
      </c>
      <c r="BC240" s="16"/>
      <c r="BD240" s="16"/>
      <c r="BE240" s="78">
        <v>2012</v>
      </c>
      <c r="BF240" s="79" t="s">
        <v>42</v>
      </c>
      <c r="BG240" s="15">
        <f t="shared" si="167"/>
        <v>0.66666666666666663</v>
      </c>
      <c r="BH240" s="15">
        <f t="shared" si="168"/>
        <v>0.69503546099290781</v>
      </c>
      <c r="BI240" s="15">
        <f t="shared" si="169"/>
        <v>0.95918367346938771</v>
      </c>
      <c r="BJ240" s="16"/>
      <c r="BK240" s="16"/>
      <c r="BL240" s="16">
        <v>588</v>
      </c>
      <c r="BM240" s="16">
        <f t="shared" si="234"/>
        <v>24</v>
      </c>
      <c r="BN240" s="16">
        <v>564</v>
      </c>
      <c r="BO240" s="16">
        <v>392</v>
      </c>
      <c r="BP240" s="16">
        <f t="shared" si="235"/>
        <v>172</v>
      </c>
      <c r="BQ240" s="16"/>
      <c r="BR240" s="16"/>
      <c r="BS240" s="78">
        <v>2012</v>
      </c>
      <c r="BT240" s="79" t="s">
        <v>42</v>
      </c>
      <c r="BU240" s="15">
        <f t="shared" si="172"/>
        <v>0.47245530828164906</v>
      </c>
      <c r="BV240" s="15">
        <f t="shared" si="173"/>
        <v>0.4853823088455772</v>
      </c>
      <c r="BW240" s="15">
        <f t="shared" si="174"/>
        <v>0.97336738416636259</v>
      </c>
      <c r="BX240" s="16"/>
      <c r="BY240" s="16"/>
      <c r="BZ240" s="16">
        <v>2741</v>
      </c>
      <c r="CA240" s="16">
        <f t="shared" si="236"/>
        <v>73</v>
      </c>
      <c r="CB240" s="16">
        <v>2668</v>
      </c>
      <c r="CC240" s="16">
        <v>1295</v>
      </c>
      <c r="CD240" s="16">
        <f t="shared" si="237"/>
        <v>1373</v>
      </c>
      <c r="CE240" s="16"/>
      <c r="CF240" s="16"/>
      <c r="CG240" s="78">
        <v>2012</v>
      </c>
      <c r="CH240" s="79" t="s">
        <v>42</v>
      </c>
      <c r="CI240" s="15">
        <f t="shared" si="177"/>
        <v>0.77415891195418751</v>
      </c>
      <c r="CJ240" s="15">
        <f t="shared" si="178"/>
        <v>0.84261784183872224</v>
      </c>
      <c r="CK240" s="15">
        <f t="shared" si="179"/>
        <v>0.91875447387258413</v>
      </c>
      <c r="CL240" s="16"/>
      <c r="CM240" s="16"/>
      <c r="CN240" s="16">
        <v>2794</v>
      </c>
      <c r="CO240" s="16">
        <f t="shared" si="238"/>
        <v>227</v>
      </c>
      <c r="CP240" s="16">
        <v>2567</v>
      </c>
      <c r="CQ240" s="16">
        <v>2163</v>
      </c>
      <c r="CR240" s="16">
        <f t="shared" si="239"/>
        <v>404</v>
      </c>
      <c r="CS240" s="16"/>
      <c r="CT240" s="16"/>
      <c r="CU240" s="78">
        <v>2012</v>
      </c>
      <c r="CV240" s="79" t="s">
        <v>42</v>
      </c>
      <c r="CW240" s="15">
        <f t="shared" si="199"/>
        <v>0.51419878296146049</v>
      </c>
      <c r="CX240" s="15">
        <f t="shared" si="200"/>
        <v>0.70319001386962554</v>
      </c>
      <c r="CY240" s="15">
        <f t="shared" si="201"/>
        <v>0.73123732251521301</v>
      </c>
      <c r="CZ240" s="16"/>
      <c r="DA240" s="16"/>
      <c r="DB240" s="16">
        <v>2958</v>
      </c>
      <c r="DC240" s="16">
        <f t="shared" si="182"/>
        <v>795</v>
      </c>
      <c r="DD240" s="16">
        <v>2163</v>
      </c>
      <c r="DE240" s="16">
        <v>1521</v>
      </c>
      <c r="DF240" s="16">
        <f t="shared" si="183"/>
        <v>642</v>
      </c>
      <c r="DG240" s="16"/>
      <c r="DH240" s="16"/>
      <c r="DI240" s="78">
        <v>2012</v>
      </c>
      <c r="DJ240" s="79" t="s">
        <v>42</v>
      </c>
      <c r="DK240" s="15">
        <f t="shared" si="184"/>
        <v>0.63950143815915628</v>
      </c>
      <c r="DL240" s="15">
        <f t="shared" si="185"/>
        <v>0.66236345580933464</v>
      </c>
      <c r="DM240" s="15">
        <f t="shared" si="186"/>
        <v>0.96548418024928095</v>
      </c>
      <c r="DN240" s="16"/>
      <c r="DO240" s="16"/>
      <c r="DP240" s="16">
        <v>1043</v>
      </c>
      <c r="DQ240" s="16">
        <f t="shared" si="240"/>
        <v>36</v>
      </c>
      <c r="DR240" s="16">
        <v>1007</v>
      </c>
      <c r="DS240" s="16">
        <v>667</v>
      </c>
      <c r="DT240" s="16">
        <f t="shared" si="241"/>
        <v>340</v>
      </c>
      <c r="DU240" s="16"/>
      <c r="DV240" s="16"/>
      <c r="DW240" s="78">
        <v>2012</v>
      </c>
      <c r="DX240" s="79" t="s">
        <v>42</v>
      </c>
      <c r="DY240" s="15">
        <f t="shared" si="189"/>
        <v>0.97146739130434778</v>
      </c>
      <c r="DZ240" s="15">
        <f t="shared" si="190"/>
        <v>0.98079561042524011</v>
      </c>
      <c r="EA240" s="15">
        <f t="shared" si="191"/>
        <v>0.99048913043478259</v>
      </c>
      <c r="EB240" s="16"/>
      <c r="EC240" s="16"/>
      <c r="ED240" s="16">
        <v>1472</v>
      </c>
      <c r="EE240" s="16">
        <f t="shared" si="242"/>
        <v>14</v>
      </c>
      <c r="EF240" s="16">
        <v>1458</v>
      </c>
      <c r="EG240" s="16">
        <v>1430</v>
      </c>
      <c r="EH240" s="16">
        <f t="shared" si="243"/>
        <v>28</v>
      </c>
      <c r="EI240" s="16"/>
      <c r="EJ240" s="16"/>
      <c r="EK240" s="78"/>
      <c r="EL240" s="79"/>
      <c r="EM240" s="15"/>
      <c r="EN240" s="15"/>
      <c r="EO240" s="15"/>
      <c r="EP240" s="16"/>
      <c r="EQ240" s="16"/>
      <c r="ER240" s="16"/>
      <c r="ES240" s="16"/>
      <c r="ET240" s="16"/>
      <c r="EU240" s="16"/>
      <c r="EV240" s="16"/>
      <c r="EW240" s="16"/>
      <c r="EX240" s="16"/>
      <c r="EY240" s="78"/>
      <c r="EZ240" s="79"/>
      <c r="FA240" s="15"/>
      <c r="FB240" s="15"/>
      <c r="FC240" s="15"/>
      <c r="FD240" s="16"/>
      <c r="FE240" s="16"/>
      <c r="FF240" s="16"/>
      <c r="FG240" s="16"/>
      <c r="FH240" s="16"/>
      <c r="FI240" s="16"/>
      <c r="FJ240" s="16"/>
      <c r="FK240" s="16"/>
      <c r="FM240" s="78"/>
      <c r="FN240" s="79"/>
      <c r="FO240" s="15"/>
      <c r="FP240" s="15"/>
      <c r="FQ240" s="15"/>
      <c r="FR240" s="16"/>
      <c r="FS240" s="16"/>
      <c r="FT240" s="16"/>
      <c r="FU240" s="16"/>
      <c r="FV240" s="16"/>
      <c r="FW240" s="16"/>
      <c r="FX240" s="16"/>
      <c r="FY240" s="16"/>
      <c r="GA240" s="78"/>
      <c r="GB240" s="79"/>
      <c r="GC240" s="15"/>
      <c r="GD240" s="15"/>
      <c r="GE240" s="15"/>
      <c r="GF240" s="16"/>
      <c r="GG240" s="16"/>
      <c r="GH240" s="16"/>
      <c r="GI240" s="16"/>
      <c r="GJ240" s="16"/>
      <c r="GK240" s="16"/>
      <c r="GL240" s="16"/>
      <c r="GM240" s="16"/>
    </row>
    <row r="241" spans="1:195" s="18" customFormat="1" ht="15" customHeight="1">
      <c r="A241" s="80">
        <v>2012</v>
      </c>
      <c r="B241" s="81" t="s">
        <v>43</v>
      </c>
      <c r="C241" s="15">
        <f t="shared" si="194"/>
        <v>0.75294483708938975</v>
      </c>
      <c r="D241" s="15">
        <f t="shared" si="195"/>
        <v>0.84340768771161123</v>
      </c>
      <c r="E241" s="15">
        <f t="shared" si="196"/>
        <v>0.89274125438947416</v>
      </c>
      <c r="F241" s="16"/>
      <c r="G241" s="33"/>
      <c r="H24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22497</v>
      </c>
      <c r="I241" s="16">
        <f t="shared" si="197"/>
        <v>2413</v>
      </c>
      <c r="J24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20084</v>
      </c>
      <c r="K24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16939</v>
      </c>
      <c r="L241" s="16">
        <f t="shared" si="198"/>
        <v>3145</v>
      </c>
      <c r="M241" s="16"/>
      <c r="N241" s="16"/>
      <c r="O241" s="80">
        <v>2012</v>
      </c>
      <c r="P241" s="81" t="s">
        <v>43</v>
      </c>
      <c r="Q241" s="15">
        <f t="shared" si="157"/>
        <v>0.89177021429857739</v>
      </c>
      <c r="R241" s="15">
        <f t="shared" si="158"/>
        <v>0.91264283081459641</v>
      </c>
      <c r="S241" s="15">
        <f t="shared" si="159"/>
        <v>0.97712947956059792</v>
      </c>
      <c r="T241" s="26"/>
      <c r="U241" s="26"/>
      <c r="V241" s="16">
        <v>5553</v>
      </c>
      <c r="W241" s="16">
        <f t="shared" si="230"/>
        <v>127</v>
      </c>
      <c r="X241" s="16">
        <v>5426</v>
      </c>
      <c r="Y241" s="16">
        <v>4952</v>
      </c>
      <c r="Z241" s="16">
        <f t="shared" si="231"/>
        <v>474</v>
      </c>
      <c r="AA241" s="16"/>
      <c r="AB241" s="16"/>
      <c r="AC241" s="80"/>
      <c r="AD241" s="81"/>
      <c r="AE241" s="15"/>
      <c r="AF241" s="15"/>
      <c r="AG241" s="15"/>
      <c r="AH241" s="15"/>
      <c r="AI241" s="15"/>
      <c r="AJ241" s="16"/>
      <c r="AK241" s="16"/>
      <c r="AL241" s="16"/>
      <c r="AM241" s="16"/>
      <c r="AN241" s="16"/>
      <c r="AO241" s="16"/>
      <c r="AP241" s="16"/>
      <c r="AQ241" s="80">
        <v>2012</v>
      </c>
      <c r="AR241" s="81" t="s">
        <v>43</v>
      </c>
      <c r="AS241" s="15">
        <f t="shared" si="162"/>
        <v>0.90787461773700306</v>
      </c>
      <c r="AT241" s="15">
        <f t="shared" si="163"/>
        <v>0.92755321226322984</v>
      </c>
      <c r="AU241" s="15">
        <f t="shared" si="164"/>
        <v>0.97878440366972475</v>
      </c>
      <c r="AV241" s="16"/>
      <c r="AW241" s="16"/>
      <c r="AX241" s="16">
        <v>5232</v>
      </c>
      <c r="AY241" s="16">
        <f t="shared" si="232"/>
        <v>111</v>
      </c>
      <c r="AZ241" s="16">
        <v>5121</v>
      </c>
      <c r="BA241" s="16">
        <v>4750</v>
      </c>
      <c r="BB241" s="16">
        <f t="shared" si="233"/>
        <v>371</v>
      </c>
      <c r="BC241" s="16"/>
      <c r="BD241" s="16"/>
      <c r="BE241" s="80">
        <v>2012</v>
      </c>
      <c r="BF241" s="81" t="s">
        <v>43</v>
      </c>
      <c r="BG241" s="15">
        <f t="shared" si="167"/>
        <v>0.58116883116883122</v>
      </c>
      <c r="BH241" s="15">
        <f t="shared" si="168"/>
        <v>0.62807017543859645</v>
      </c>
      <c r="BI241" s="15">
        <f t="shared" si="169"/>
        <v>0.92532467532467533</v>
      </c>
      <c r="BJ241" s="16"/>
      <c r="BK241" s="16"/>
      <c r="BL241" s="16">
        <v>616</v>
      </c>
      <c r="BM241" s="16">
        <f t="shared" si="234"/>
        <v>46</v>
      </c>
      <c r="BN241" s="16">
        <v>570</v>
      </c>
      <c r="BO241" s="16">
        <v>358</v>
      </c>
      <c r="BP241" s="16">
        <f t="shared" si="235"/>
        <v>212</v>
      </c>
      <c r="BQ241" s="16"/>
      <c r="BR241" s="16"/>
      <c r="BS241" s="80">
        <v>2012</v>
      </c>
      <c r="BT241" s="81" t="s">
        <v>43</v>
      </c>
      <c r="BU241" s="15">
        <f t="shared" si="172"/>
        <v>0.65101156069364163</v>
      </c>
      <c r="BV241" s="15">
        <f t="shared" si="173"/>
        <v>0.67364485981308408</v>
      </c>
      <c r="BW241" s="15">
        <f t="shared" si="174"/>
        <v>0.96640173410404628</v>
      </c>
      <c r="BX241" s="16"/>
      <c r="BY241" s="16"/>
      <c r="BZ241" s="16">
        <v>2768</v>
      </c>
      <c r="CA241" s="16">
        <f t="shared" si="236"/>
        <v>93</v>
      </c>
      <c r="CB241" s="16">
        <v>2675</v>
      </c>
      <c r="CC241" s="16">
        <v>1802</v>
      </c>
      <c r="CD241" s="16">
        <f t="shared" si="237"/>
        <v>873</v>
      </c>
      <c r="CE241" s="16"/>
      <c r="CF241" s="16"/>
      <c r="CG241" s="80">
        <v>2012</v>
      </c>
      <c r="CH241" s="81" t="s">
        <v>43</v>
      </c>
      <c r="CI241" s="15">
        <f t="shared" si="177"/>
        <v>0.66347517730496453</v>
      </c>
      <c r="CJ241" s="15">
        <f t="shared" si="178"/>
        <v>0.82677861246133455</v>
      </c>
      <c r="CK241" s="15">
        <f t="shared" si="179"/>
        <v>0.80248226950354606</v>
      </c>
      <c r="CL241" s="16"/>
      <c r="CM241" s="16"/>
      <c r="CN241" s="16">
        <v>2820</v>
      </c>
      <c r="CO241" s="16">
        <f t="shared" si="238"/>
        <v>557</v>
      </c>
      <c r="CP241" s="16">
        <v>2263</v>
      </c>
      <c r="CQ241" s="16">
        <v>1871</v>
      </c>
      <c r="CR241" s="16">
        <f t="shared" si="239"/>
        <v>392</v>
      </c>
      <c r="CS241" s="16"/>
      <c r="CT241" s="16"/>
      <c r="CU241" s="80">
        <v>2012</v>
      </c>
      <c r="CV241" s="81" t="s">
        <v>43</v>
      </c>
      <c r="CW241" s="15">
        <f t="shared" si="199"/>
        <v>0.3322136378904938</v>
      </c>
      <c r="CX241" s="15">
        <f t="shared" si="200"/>
        <v>0.63438101347017317</v>
      </c>
      <c r="CY241" s="15">
        <f t="shared" si="201"/>
        <v>0.52368155861605648</v>
      </c>
      <c r="CZ241" s="16"/>
      <c r="DA241" s="16"/>
      <c r="DB241" s="16">
        <v>2977</v>
      </c>
      <c r="DC241" s="16">
        <f t="shared" si="182"/>
        <v>1418</v>
      </c>
      <c r="DD241" s="16">
        <v>1559</v>
      </c>
      <c r="DE241" s="16">
        <v>989</v>
      </c>
      <c r="DF241" s="16">
        <f t="shared" si="183"/>
        <v>570</v>
      </c>
      <c r="DG241" s="16"/>
      <c r="DH241" s="16"/>
      <c r="DI241" s="80">
        <v>2012</v>
      </c>
      <c r="DJ241" s="81" t="s">
        <v>43</v>
      </c>
      <c r="DK241" s="15">
        <f t="shared" si="184"/>
        <v>0.72900763358778631</v>
      </c>
      <c r="DL241" s="15">
        <f t="shared" si="185"/>
        <v>0.76171485543369888</v>
      </c>
      <c r="DM241" s="15">
        <f t="shared" si="186"/>
        <v>0.95706106870229013</v>
      </c>
      <c r="DN241" s="16"/>
      <c r="DO241" s="16"/>
      <c r="DP241" s="16">
        <v>1048</v>
      </c>
      <c r="DQ241" s="16">
        <f t="shared" si="240"/>
        <v>45</v>
      </c>
      <c r="DR241" s="16">
        <v>1003</v>
      </c>
      <c r="DS241" s="16">
        <v>764</v>
      </c>
      <c r="DT241" s="16">
        <f t="shared" si="241"/>
        <v>239</v>
      </c>
      <c r="DU241" s="16"/>
      <c r="DV241" s="16"/>
      <c r="DW241" s="80">
        <v>2012</v>
      </c>
      <c r="DX241" s="81" t="s">
        <v>43</v>
      </c>
      <c r="DY241" s="15">
        <f t="shared" si="189"/>
        <v>0.97977073499662848</v>
      </c>
      <c r="DZ241" s="15">
        <f t="shared" si="190"/>
        <v>0.99045671438309479</v>
      </c>
      <c r="EA241" s="15">
        <f t="shared" si="191"/>
        <v>0.98921105866486847</v>
      </c>
      <c r="EB241" s="16"/>
      <c r="EC241" s="16"/>
      <c r="ED241" s="16">
        <v>1483</v>
      </c>
      <c r="EE241" s="16">
        <f t="shared" si="242"/>
        <v>16</v>
      </c>
      <c r="EF241" s="16">
        <v>1467</v>
      </c>
      <c r="EG241" s="16">
        <v>1453</v>
      </c>
      <c r="EH241" s="16">
        <f t="shared" si="243"/>
        <v>14</v>
      </c>
      <c r="EI241" s="16"/>
      <c r="EJ241" s="16"/>
      <c r="EK241" s="80"/>
      <c r="EL241" s="81"/>
      <c r="EM241" s="15"/>
      <c r="EN241" s="15"/>
      <c r="EO241" s="15"/>
      <c r="EP241" s="16"/>
      <c r="EQ241" s="16"/>
      <c r="ER241" s="16"/>
      <c r="ES241" s="16"/>
      <c r="ET241" s="16"/>
      <c r="EU241" s="16"/>
      <c r="EV241" s="16"/>
      <c r="EW241" s="16"/>
      <c r="EX241" s="16"/>
      <c r="EY241" s="80"/>
      <c r="EZ241" s="81"/>
      <c r="FA241" s="15"/>
      <c r="FB241" s="15"/>
      <c r="FC241" s="15"/>
      <c r="FD241" s="16"/>
      <c r="FE241" s="16"/>
      <c r="FF241" s="16"/>
      <c r="FG241" s="16"/>
      <c r="FH241" s="16"/>
      <c r="FI241" s="16"/>
      <c r="FJ241" s="16"/>
      <c r="FK241" s="16"/>
      <c r="FM241" s="80"/>
      <c r="FN241" s="81"/>
      <c r="FO241" s="15"/>
      <c r="FP241" s="15"/>
      <c r="FQ241" s="15"/>
      <c r="FR241" s="16"/>
      <c r="FS241" s="16"/>
      <c r="FT241" s="16"/>
      <c r="FU241" s="16"/>
      <c r="FV241" s="16"/>
      <c r="FW241" s="16"/>
      <c r="FX241" s="16"/>
      <c r="FY241" s="16"/>
      <c r="GA241" s="80"/>
      <c r="GB241" s="81"/>
      <c r="GC241" s="15"/>
      <c r="GD241" s="15"/>
      <c r="GE241" s="15"/>
      <c r="GF241" s="16"/>
      <c r="GG241" s="16"/>
      <c r="GH241" s="16"/>
      <c r="GI241" s="16"/>
      <c r="GJ241" s="16"/>
      <c r="GK241" s="16"/>
      <c r="GL241" s="16"/>
      <c r="GM241" s="16"/>
    </row>
    <row r="242" spans="1:195" s="18" customFormat="1" ht="15" customHeight="1">
      <c r="A242" s="78">
        <v>2012</v>
      </c>
      <c r="B242" s="79" t="s">
        <v>44</v>
      </c>
      <c r="C242" s="15">
        <f t="shared" si="194"/>
        <v>0.69386220509446372</v>
      </c>
      <c r="D242" s="15">
        <f t="shared" si="195"/>
        <v>0.80422703998256895</v>
      </c>
      <c r="E242" s="15">
        <f t="shared" si="196"/>
        <v>0.86276905724222197</v>
      </c>
      <c r="F242" s="16"/>
      <c r="G242" s="33"/>
      <c r="H24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21278</v>
      </c>
      <c r="I242" s="16">
        <f t="shared" si="197"/>
        <v>2920</v>
      </c>
      <c r="J24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18358</v>
      </c>
      <c r="K24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14764</v>
      </c>
      <c r="L242" s="16">
        <f t="shared" si="198"/>
        <v>3594</v>
      </c>
      <c r="M242" s="16"/>
      <c r="N242" s="16"/>
      <c r="O242" s="78">
        <v>2012</v>
      </c>
      <c r="P242" s="79" t="s">
        <v>44</v>
      </c>
      <c r="Q242" s="15">
        <f t="shared" si="157"/>
        <v>0.80192122958693568</v>
      </c>
      <c r="R242" s="15">
        <f t="shared" si="158"/>
        <v>0.85867105533840771</v>
      </c>
      <c r="S242" s="15">
        <f t="shared" si="159"/>
        <v>0.93390970220941405</v>
      </c>
      <c r="T242" s="26"/>
      <c r="U242" s="26"/>
      <c r="V242" s="16">
        <v>5205</v>
      </c>
      <c r="W242" s="16">
        <f t="shared" si="230"/>
        <v>344</v>
      </c>
      <c r="X242" s="16">
        <v>4861</v>
      </c>
      <c r="Y242" s="16">
        <v>4174</v>
      </c>
      <c r="Z242" s="16">
        <f t="shared" si="231"/>
        <v>687</v>
      </c>
      <c r="AA242" s="16"/>
      <c r="AB242" s="16"/>
      <c r="AC242" s="78"/>
      <c r="AD242" s="79"/>
      <c r="AE242" s="15"/>
      <c r="AF242" s="15"/>
      <c r="AG242" s="15"/>
      <c r="AH242" s="15"/>
      <c r="AI242" s="15"/>
      <c r="AJ242" s="16"/>
      <c r="AK242" s="16"/>
      <c r="AL242" s="16"/>
      <c r="AM242" s="16"/>
      <c r="AN242" s="16"/>
      <c r="AO242" s="16"/>
      <c r="AP242" s="16"/>
      <c r="AQ242" s="78">
        <v>2012</v>
      </c>
      <c r="AR242" s="79" t="s">
        <v>44</v>
      </c>
      <c r="AS242" s="15">
        <f t="shared" si="162"/>
        <v>0.82129817444219066</v>
      </c>
      <c r="AT242" s="15">
        <f t="shared" si="163"/>
        <v>0.87545945945945947</v>
      </c>
      <c r="AU242" s="15">
        <f t="shared" si="164"/>
        <v>0.93813387423935091</v>
      </c>
      <c r="AV242" s="16"/>
      <c r="AW242" s="16"/>
      <c r="AX242" s="16">
        <v>4930</v>
      </c>
      <c r="AY242" s="16">
        <f t="shared" si="232"/>
        <v>305</v>
      </c>
      <c r="AZ242" s="16">
        <v>4625</v>
      </c>
      <c r="BA242" s="16">
        <v>4049</v>
      </c>
      <c r="BB242" s="16">
        <f t="shared" si="233"/>
        <v>576</v>
      </c>
      <c r="BC242" s="16"/>
      <c r="BD242" s="16"/>
      <c r="BE242" s="78">
        <v>2012</v>
      </c>
      <c r="BF242" s="79" t="s">
        <v>44</v>
      </c>
      <c r="BG242" s="15">
        <f t="shared" si="167"/>
        <v>0.46052631578947367</v>
      </c>
      <c r="BH242" s="15">
        <f t="shared" si="168"/>
        <v>0.5125523012552301</v>
      </c>
      <c r="BI242" s="15">
        <f t="shared" si="169"/>
        <v>0.89849624060150379</v>
      </c>
      <c r="BJ242" s="16"/>
      <c r="BK242" s="16"/>
      <c r="BL242" s="16">
        <v>532</v>
      </c>
      <c r="BM242" s="16">
        <f t="shared" si="234"/>
        <v>54</v>
      </c>
      <c r="BN242" s="16">
        <v>478</v>
      </c>
      <c r="BO242" s="16">
        <v>245</v>
      </c>
      <c r="BP242" s="16">
        <f t="shared" si="235"/>
        <v>233</v>
      </c>
      <c r="BQ242" s="16"/>
      <c r="BR242" s="16"/>
      <c r="BS242" s="78">
        <v>2012</v>
      </c>
      <c r="BT242" s="79" t="s">
        <v>44</v>
      </c>
      <c r="BU242" s="15">
        <f t="shared" si="172"/>
        <v>0.63526295875898597</v>
      </c>
      <c r="BV242" s="15">
        <f t="shared" si="173"/>
        <v>0.65052305308020142</v>
      </c>
      <c r="BW242" s="15">
        <f t="shared" si="174"/>
        <v>0.97654180855088912</v>
      </c>
      <c r="BX242" s="16"/>
      <c r="BY242" s="16"/>
      <c r="BZ242" s="16">
        <v>2643</v>
      </c>
      <c r="CA242" s="16">
        <f t="shared" si="236"/>
        <v>62</v>
      </c>
      <c r="CB242" s="16">
        <v>2581</v>
      </c>
      <c r="CC242" s="16">
        <v>1679</v>
      </c>
      <c r="CD242" s="16">
        <f t="shared" si="237"/>
        <v>902</v>
      </c>
      <c r="CE242" s="16"/>
      <c r="CF242" s="16"/>
      <c r="CG242" s="78">
        <v>2012</v>
      </c>
      <c r="CH242" s="79" t="s">
        <v>44</v>
      </c>
      <c r="CI242" s="15">
        <f t="shared" si="177"/>
        <v>0.60787226141849238</v>
      </c>
      <c r="CJ242" s="15">
        <f t="shared" si="178"/>
        <v>0.84034907597535935</v>
      </c>
      <c r="CK242" s="15">
        <f t="shared" si="179"/>
        <v>0.72335685109543257</v>
      </c>
      <c r="CL242" s="16"/>
      <c r="CM242" s="16"/>
      <c r="CN242" s="16">
        <v>2693</v>
      </c>
      <c r="CO242" s="16">
        <f t="shared" si="238"/>
        <v>745</v>
      </c>
      <c r="CP242" s="16">
        <v>1948</v>
      </c>
      <c r="CQ242" s="16">
        <v>1637</v>
      </c>
      <c r="CR242" s="16">
        <f t="shared" si="239"/>
        <v>311</v>
      </c>
      <c r="CS242" s="16"/>
      <c r="CT242" s="16"/>
      <c r="CU242" s="78">
        <v>2012</v>
      </c>
      <c r="CV242" s="79" t="s">
        <v>44</v>
      </c>
      <c r="CW242" s="15">
        <f t="shared" si="199"/>
        <v>0.32970887407927041</v>
      </c>
      <c r="CX242" s="15">
        <f t="shared" si="200"/>
        <v>0.62128222075346995</v>
      </c>
      <c r="CY242" s="15">
        <f t="shared" si="201"/>
        <v>0.53069098561908101</v>
      </c>
      <c r="CZ242" s="16"/>
      <c r="DA242" s="16"/>
      <c r="DB242" s="16">
        <v>2851</v>
      </c>
      <c r="DC242" s="16">
        <f t="shared" si="182"/>
        <v>1338</v>
      </c>
      <c r="DD242" s="16">
        <v>1513</v>
      </c>
      <c r="DE242" s="16">
        <v>940</v>
      </c>
      <c r="DF242" s="16">
        <f t="shared" si="183"/>
        <v>573</v>
      </c>
      <c r="DG242" s="16"/>
      <c r="DH242" s="16"/>
      <c r="DI242" s="78">
        <v>2012</v>
      </c>
      <c r="DJ242" s="79" t="s">
        <v>44</v>
      </c>
      <c r="DK242" s="15">
        <f t="shared" si="184"/>
        <v>0.68159203980099503</v>
      </c>
      <c r="DL242" s="15">
        <f t="shared" si="185"/>
        <v>0.70328542094455848</v>
      </c>
      <c r="DM242" s="15">
        <f t="shared" si="186"/>
        <v>0.96915422885572144</v>
      </c>
      <c r="DN242" s="16"/>
      <c r="DO242" s="16"/>
      <c r="DP242" s="16">
        <v>1005</v>
      </c>
      <c r="DQ242" s="16">
        <f t="shared" si="240"/>
        <v>31</v>
      </c>
      <c r="DR242" s="16">
        <v>974</v>
      </c>
      <c r="DS242" s="16">
        <v>685</v>
      </c>
      <c r="DT242" s="16">
        <f t="shared" si="241"/>
        <v>289</v>
      </c>
      <c r="DU242" s="16"/>
      <c r="DV242" s="16"/>
      <c r="DW242" s="78">
        <v>2012</v>
      </c>
      <c r="DX242" s="79" t="s">
        <v>44</v>
      </c>
      <c r="DY242" s="15">
        <f t="shared" si="189"/>
        <v>0.95489781536293161</v>
      </c>
      <c r="DZ242" s="15">
        <f t="shared" si="190"/>
        <v>0.98330914368650213</v>
      </c>
      <c r="EA242" s="15">
        <f t="shared" si="191"/>
        <v>0.97110641296687805</v>
      </c>
      <c r="EB242" s="16"/>
      <c r="EC242" s="16"/>
      <c r="ED242" s="16">
        <v>1419</v>
      </c>
      <c r="EE242" s="16">
        <f t="shared" si="242"/>
        <v>41</v>
      </c>
      <c r="EF242" s="16">
        <v>1378</v>
      </c>
      <c r="EG242" s="16">
        <v>1355</v>
      </c>
      <c r="EH242" s="16">
        <f t="shared" si="243"/>
        <v>23</v>
      </c>
      <c r="EI242" s="16"/>
      <c r="EJ242" s="16"/>
      <c r="EK242" s="78"/>
      <c r="EL242" s="79"/>
      <c r="EM242" s="15"/>
      <c r="EN242" s="15"/>
      <c r="EO242" s="15"/>
      <c r="EP242" s="16"/>
      <c r="EQ242" s="16"/>
      <c r="ER242" s="16"/>
      <c r="ES242" s="16"/>
      <c r="ET242" s="16"/>
      <c r="EU242" s="16"/>
      <c r="EV242" s="16"/>
      <c r="EW242" s="16"/>
      <c r="EX242" s="16"/>
      <c r="EY242" s="78"/>
      <c r="EZ242" s="79"/>
      <c r="FA242" s="15"/>
      <c r="FB242" s="15"/>
      <c r="FC242" s="15"/>
      <c r="FD242" s="16"/>
      <c r="FE242" s="16"/>
      <c r="FF242" s="16"/>
      <c r="FG242" s="16"/>
      <c r="FH242" s="16"/>
      <c r="FI242" s="16"/>
      <c r="FJ242" s="16"/>
      <c r="FK242" s="16"/>
      <c r="FM242" s="78"/>
      <c r="FN242" s="79"/>
      <c r="FO242" s="15"/>
      <c r="FP242" s="15"/>
      <c r="FQ242" s="15"/>
      <c r="FR242" s="16"/>
      <c r="FS242" s="16"/>
      <c r="FT242" s="16"/>
      <c r="FU242" s="16"/>
      <c r="FV242" s="16"/>
      <c r="FW242" s="16"/>
      <c r="FX242" s="16"/>
      <c r="FY242" s="16"/>
      <c r="GA242" s="78"/>
      <c r="GB242" s="79"/>
      <c r="GC242" s="15"/>
      <c r="GD242" s="15"/>
      <c r="GE242" s="15"/>
      <c r="GF242" s="16"/>
      <c r="GG242" s="16"/>
      <c r="GH242" s="16"/>
      <c r="GI242" s="16"/>
      <c r="GJ242" s="16"/>
      <c r="GK242" s="16"/>
      <c r="GL242" s="16"/>
      <c r="GM242" s="16"/>
    </row>
    <row r="243" spans="1:195" s="18" customFormat="1" ht="15" customHeight="1">
      <c r="A243" s="80">
        <v>2012</v>
      </c>
      <c r="B243" s="81" t="s">
        <v>45</v>
      </c>
      <c r="C243" s="15">
        <f t="shared" si="194"/>
        <v>0.76152990882810767</v>
      </c>
      <c r="D243" s="15">
        <f t="shared" si="195"/>
        <v>0.85057870945308234</v>
      </c>
      <c r="E243" s="15">
        <f t="shared" si="196"/>
        <v>0.89530798309984438</v>
      </c>
      <c r="F243" s="16"/>
      <c r="G243" s="33"/>
      <c r="H24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22485</v>
      </c>
      <c r="I243" s="16">
        <f t="shared" si="197"/>
        <v>2354</v>
      </c>
      <c r="J24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20131</v>
      </c>
      <c r="K24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17123</v>
      </c>
      <c r="L243" s="16">
        <f t="shared" si="198"/>
        <v>3008</v>
      </c>
      <c r="M243" s="16"/>
      <c r="N243" s="16"/>
      <c r="O243" s="80">
        <v>2012</v>
      </c>
      <c r="P243" s="81" t="s">
        <v>45</v>
      </c>
      <c r="Q243" s="15">
        <f t="shared" si="157"/>
        <v>0.88121845710165825</v>
      </c>
      <c r="R243" s="15">
        <f t="shared" si="158"/>
        <v>0.90503517215845986</v>
      </c>
      <c r="S243" s="15">
        <f t="shared" si="159"/>
        <v>0.97368421052631582</v>
      </c>
      <c r="T243" s="26"/>
      <c r="U243" s="26"/>
      <c r="V243" s="16">
        <v>5548</v>
      </c>
      <c r="W243" s="16">
        <f t="shared" si="230"/>
        <v>146</v>
      </c>
      <c r="X243" s="16">
        <v>5402</v>
      </c>
      <c r="Y243" s="16">
        <v>4889</v>
      </c>
      <c r="Z243" s="16">
        <f t="shared" si="231"/>
        <v>513</v>
      </c>
      <c r="AA243" s="16"/>
      <c r="AB243" s="16"/>
      <c r="AC243" s="80"/>
      <c r="AD243" s="81"/>
      <c r="AE243" s="15"/>
      <c r="AF243" s="15"/>
      <c r="AG243" s="15"/>
      <c r="AH243" s="15"/>
      <c r="AI243" s="15"/>
      <c r="AJ243" s="16"/>
      <c r="AK243" s="16"/>
      <c r="AL243" s="16"/>
      <c r="AM243" s="16"/>
      <c r="AN243" s="16"/>
      <c r="AO243" s="16"/>
      <c r="AP243" s="16"/>
      <c r="AQ243" s="80">
        <v>2012</v>
      </c>
      <c r="AR243" s="81" t="s">
        <v>45</v>
      </c>
      <c r="AS243" s="15">
        <f t="shared" si="162"/>
        <v>0.87698488616797399</v>
      </c>
      <c r="AT243" s="15">
        <f t="shared" si="163"/>
        <v>0.91187587030037798</v>
      </c>
      <c r="AU243" s="15">
        <f t="shared" si="164"/>
        <v>0.96173713411134498</v>
      </c>
      <c r="AV243" s="16"/>
      <c r="AW243" s="16"/>
      <c r="AX243" s="16">
        <v>5227</v>
      </c>
      <c r="AY243" s="16">
        <f t="shared" si="232"/>
        <v>200</v>
      </c>
      <c r="AZ243" s="16">
        <v>5027</v>
      </c>
      <c r="BA243" s="16">
        <v>4584</v>
      </c>
      <c r="BB243" s="16">
        <f t="shared" si="233"/>
        <v>443</v>
      </c>
      <c r="BC243" s="16"/>
      <c r="BD243" s="16"/>
      <c r="BE243" s="80">
        <v>2012</v>
      </c>
      <c r="BF243" s="81" t="s">
        <v>45</v>
      </c>
      <c r="BG243" s="15">
        <f t="shared" si="167"/>
        <v>0.65746753246753242</v>
      </c>
      <c r="BH243" s="15">
        <f t="shared" si="168"/>
        <v>0.71052631578947367</v>
      </c>
      <c r="BI243" s="15">
        <f t="shared" si="169"/>
        <v>0.92532467532467533</v>
      </c>
      <c r="BJ243" s="16"/>
      <c r="BK243" s="16"/>
      <c r="BL243" s="16">
        <v>616</v>
      </c>
      <c r="BM243" s="16">
        <f t="shared" si="234"/>
        <v>46</v>
      </c>
      <c r="BN243" s="16">
        <v>570</v>
      </c>
      <c r="BO243" s="16">
        <v>405</v>
      </c>
      <c r="BP243" s="16">
        <f t="shared" si="235"/>
        <v>165</v>
      </c>
      <c r="BQ243" s="16"/>
      <c r="BR243" s="16"/>
      <c r="BS243" s="80">
        <v>2012</v>
      </c>
      <c r="BT243" s="81" t="s">
        <v>45</v>
      </c>
      <c r="BU243" s="15">
        <f t="shared" si="172"/>
        <v>0.71604046242774566</v>
      </c>
      <c r="BV243" s="15">
        <f t="shared" si="173"/>
        <v>0.72787366874770476</v>
      </c>
      <c r="BW243" s="15">
        <f t="shared" si="174"/>
        <v>0.98374277456647397</v>
      </c>
      <c r="BX243" s="16"/>
      <c r="BY243" s="16"/>
      <c r="BZ243" s="16">
        <v>2768</v>
      </c>
      <c r="CA243" s="16">
        <f t="shared" si="236"/>
        <v>45</v>
      </c>
      <c r="CB243" s="16">
        <v>2723</v>
      </c>
      <c r="CC243" s="16">
        <v>1982</v>
      </c>
      <c r="CD243" s="16">
        <f t="shared" si="237"/>
        <v>741</v>
      </c>
      <c r="CE243" s="16"/>
      <c r="CF243" s="16"/>
      <c r="CG243" s="80">
        <v>2012</v>
      </c>
      <c r="CH243" s="81" t="s">
        <v>45</v>
      </c>
      <c r="CI243" s="15">
        <f t="shared" si="177"/>
        <v>0.63378282469836766</v>
      </c>
      <c r="CJ243" s="15">
        <f t="shared" si="178"/>
        <v>0.88547347545860189</v>
      </c>
      <c r="CK243" s="15">
        <f t="shared" si="179"/>
        <v>0.71575585521646556</v>
      </c>
      <c r="CL243" s="16"/>
      <c r="CM243" s="16"/>
      <c r="CN243" s="16">
        <v>2818</v>
      </c>
      <c r="CO243" s="16">
        <f t="shared" si="238"/>
        <v>801</v>
      </c>
      <c r="CP243" s="16">
        <v>2017</v>
      </c>
      <c r="CQ243" s="16">
        <v>1786</v>
      </c>
      <c r="CR243" s="16">
        <f t="shared" si="239"/>
        <v>231</v>
      </c>
      <c r="CS243" s="16"/>
      <c r="CT243" s="16"/>
      <c r="CU243" s="80">
        <v>2012</v>
      </c>
      <c r="CV243" s="81" t="s">
        <v>45</v>
      </c>
      <c r="CW243" s="15">
        <f t="shared" si="199"/>
        <v>0.46422573060127648</v>
      </c>
      <c r="CX243" s="15">
        <f t="shared" si="200"/>
        <v>0.68687872763419489</v>
      </c>
      <c r="CY243" s="15">
        <f t="shared" si="201"/>
        <v>0.675848169297951</v>
      </c>
      <c r="CZ243" s="16"/>
      <c r="DA243" s="16"/>
      <c r="DB243" s="16">
        <v>2977</v>
      </c>
      <c r="DC243" s="16">
        <f t="shared" si="182"/>
        <v>965</v>
      </c>
      <c r="DD243" s="16">
        <v>2012</v>
      </c>
      <c r="DE243" s="16">
        <v>1382</v>
      </c>
      <c r="DF243" s="16">
        <f t="shared" si="183"/>
        <v>630</v>
      </c>
      <c r="DG243" s="16"/>
      <c r="DH243" s="16"/>
      <c r="DI243" s="80">
        <v>2012</v>
      </c>
      <c r="DJ243" s="81" t="s">
        <v>45</v>
      </c>
      <c r="DK243" s="15">
        <f t="shared" si="184"/>
        <v>0.65267175572519087</v>
      </c>
      <c r="DL243" s="15">
        <f t="shared" si="185"/>
        <v>0.73076923076923073</v>
      </c>
      <c r="DM243" s="15">
        <f t="shared" si="186"/>
        <v>0.89312977099236646</v>
      </c>
      <c r="DN243" s="16"/>
      <c r="DO243" s="16"/>
      <c r="DP243" s="16">
        <v>1048</v>
      </c>
      <c r="DQ243" s="16">
        <f t="shared" si="240"/>
        <v>112</v>
      </c>
      <c r="DR243" s="16">
        <v>936</v>
      </c>
      <c r="DS243" s="16">
        <v>684</v>
      </c>
      <c r="DT243" s="16">
        <f t="shared" si="241"/>
        <v>252</v>
      </c>
      <c r="DU243" s="16"/>
      <c r="DV243" s="16"/>
      <c r="DW243" s="80">
        <v>2012</v>
      </c>
      <c r="DX243" s="81" t="s">
        <v>45</v>
      </c>
      <c r="DY243" s="15">
        <f t="shared" si="189"/>
        <v>0.95144976399190828</v>
      </c>
      <c r="DZ243" s="15">
        <f t="shared" si="190"/>
        <v>0.97714681440443218</v>
      </c>
      <c r="EA243" s="15">
        <f t="shared" si="191"/>
        <v>0.973701955495617</v>
      </c>
      <c r="EB243" s="16"/>
      <c r="EC243" s="16"/>
      <c r="ED243" s="16">
        <v>1483</v>
      </c>
      <c r="EE243" s="16">
        <f t="shared" si="242"/>
        <v>39</v>
      </c>
      <c r="EF243" s="16">
        <v>1444</v>
      </c>
      <c r="EG243" s="16">
        <v>1411</v>
      </c>
      <c r="EH243" s="16">
        <f t="shared" si="243"/>
        <v>33</v>
      </c>
      <c r="EI243" s="16"/>
      <c r="EJ243" s="16"/>
      <c r="EK243" s="80"/>
      <c r="EL243" s="81"/>
      <c r="EM243" s="15"/>
      <c r="EN243" s="15"/>
      <c r="EO243" s="15"/>
      <c r="EP243" s="16"/>
      <c r="EQ243" s="16"/>
      <c r="ER243" s="16"/>
      <c r="ES243" s="16"/>
      <c r="ET243" s="16"/>
      <c r="EU243" s="16"/>
      <c r="EV243" s="16"/>
      <c r="EW243" s="16"/>
      <c r="EX243" s="16"/>
      <c r="EY243" s="80"/>
      <c r="EZ243" s="81"/>
      <c r="FA243" s="15"/>
      <c r="FB243" s="15"/>
      <c r="FC243" s="15"/>
      <c r="FD243" s="16"/>
      <c r="FE243" s="16"/>
      <c r="FF243" s="16"/>
      <c r="FG243" s="16"/>
      <c r="FH243" s="16"/>
      <c r="FI243" s="16"/>
      <c r="FJ243" s="16"/>
      <c r="FK243" s="16"/>
      <c r="FM243" s="80"/>
      <c r="FN243" s="81"/>
      <c r="FO243" s="15"/>
      <c r="FP243" s="15"/>
      <c r="FQ243" s="15"/>
      <c r="FR243" s="16"/>
      <c r="FS243" s="16"/>
      <c r="FT243" s="16"/>
      <c r="FU243" s="16"/>
      <c r="FV243" s="16"/>
      <c r="FW243" s="16"/>
      <c r="FX243" s="16"/>
      <c r="FY243" s="16"/>
      <c r="GA243" s="80"/>
      <c r="GB243" s="81"/>
      <c r="GC243" s="15"/>
      <c r="GD243" s="15"/>
      <c r="GE243" s="15"/>
      <c r="GF243" s="16"/>
      <c r="GG243" s="16"/>
      <c r="GH243" s="16"/>
      <c r="GI243" s="16"/>
      <c r="GJ243" s="16"/>
      <c r="GK243" s="16"/>
      <c r="GL243" s="16"/>
      <c r="GM243" s="16"/>
    </row>
    <row r="244" spans="1:195" s="18" customFormat="1" ht="15" customHeight="1">
      <c r="A244" s="78">
        <v>2012</v>
      </c>
      <c r="B244" s="79" t="s">
        <v>46</v>
      </c>
      <c r="C244" s="15">
        <f t="shared" si="194"/>
        <v>0.75240727942870311</v>
      </c>
      <c r="D244" s="15">
        <f t="shared" si="195"/>
        <v>0.84660445826853292</v>
      </c>
      <c r="E244" s="15">
        <f t="shared" si="196"/>
        <v>0.88873531444367659</v>
      </c>
      <c r="F244" s="16"/>
      <c r="G244" s="33"/>
      <c r="H24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21705</v>
      </c>
      <c r="I244" s="16">
        <f t="shared" si="197"/>
        <v>2415</v>
      </c>
      <c r="J24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19290</v>
      </c>
      <c r="K24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16331</v>
      </c>
      <c r="L244" s="16">
        <f t="shared" si="198"/>
        <v>2959</v>
      </c>
      <c r="M244" s="16"/>
      <c r="N244" s="16"/>
      <c r="O244" s="78">
        <v>2012</v>
      </c>
      <c r="P244" s="79" t="s">
        <v>46</v>
      </c>
      <c r="Q244" s="15">
        <f t="shared" si="157"/>
        <v>0.84301999626238089</v>
      </c>
      <c r="R244" s="15">
        <f t="shared" si="158"/>
        <v>0.90418921627580673</v>
      </c>
      <c r="S244" s="15">
        <f t="shared" si="159"/>
        <v>0.9323490936273594</v>
      </c>
      <c r="T244" s="26"/>
      <c r="U244" s="26"/>
      <c r="V244" s="16">
        <v>5351</v>
      </c>
      <c r="W244" s="16">
        <f t="shared" si="230"/>
        <v>362</v>
      </c>
      <c r="X244" s="16">
        <v>4989</v>
      </c>
      <c r="Y244" s="16">
        <v>4511</v>
      </c>
      <c r="Z244" s="16">
        <f t="shared" si="231"/>
        <v>478</v>
      </c>
      <c r="AA244" s="16"/>
      <c r="AB244" s="16"/>
      <c r="AC244" s="78"/>
      <c r="AD244" s="79"/>
      <c r="AE244" s="15"/>
      <c r="AF244" s="15"/>
      <c r="AG244" s="15"/>
      <c r="AH244" s="15"/>
      <c r="AI244" s="15"/>
      <c r="AJ244" s="16"/>
      <c r="AK244" s="16"/>
      <c r="AL244" s="16"/>
      <c r="AM244" s="16"/>
      <c r="AN244" s="16"/>
      <c r="AO244" s="16"/>
      <c r="AP244" s="16"/>
      <c r="AQ244" s="78">
        <v>2012</v>
      </c>
      <c r="AR244" s="79" t="s">
        <v>46</v>
      </c>
      <c r="AS244" s="15">
        <f t="shared" si="162"/>
        <v>0.84539147670961345</v>
      </c>
      <c r="AT244" s="15">
        <f t="shared" si="163"/>
        <v>0.91327623126338331</v>
      </c>
      <c r="AU244" s="15">
        <f t="shared" si="164"/>
        <v>0.92566897918731417</v>
      </c>
      <c r="AV244" s="16"/>
      <c r="AW244" s="16"/>
      <c r="AX244" s="16">
        <v>5045</v>
      </c>
      <c r="AY244" s="16">
        <f t="shared" si="232"/>
        <v>375</v>
      </c>
      <c r="AZ244" s="16">
        <v>4670</v>
      </c>
      <c r="BA244" s="16">
        <v>4265</v>
      </c>
      <c r="BB244" s="16">
        <f t="shared" si="233"/>
        <v>405</v>
      </c>
      <c r="BC244" s="16"/>
      <c r="BD244" s="16"/>
      <c r="BE244" s="78">
        <v>2012</v>
      </c>
      <c r="BF244" s="79" t="s">
        <v>46</v>
      </c>
      <c r="BG244" s="15">
        <f t="shared" si="167"/>
        <v>0.72108843537414968</v>
      </c>
      <c r="BH244" s="15">
        <f t="shared" si="168"/>
        <v>0.80303030303030298</v>
      </c>
      <c r="BI244" s="15">
        <f t="shared" si="169"/>
        <v>0.89795918367346939</v>
      </c>
      <c r="BJ244" s="16"/>
      <c r="BK244" s="16"/>
      <c r="BL244" s="16">
        <v>588</v>
      </c>
      <c r="BM244" s="16">
        <f t="shared" si="234"/>
        <v>60</v>
      </c>
      <c r="BN244" s="16">
        <v>528</v>
      </c>
      <c r="BO244" s="16">
        <v>424</v>
      </c>
      <c r="BP244" s="16">
        <f t="shared" si="235"/>
        <v>104</v>
      </c>
      <c r="BQ244" s="16"/>
      <c r="BR244" s="16"/>
      <c r="BS244" s="78">
        <v>2012</v>
      </c>
      <c r="BT244" s="79" t="s">
        <v>46</v>
      </c>
      <c r="BU244" s="15">
        <f t="shared" si="172"/>
        <v>0.59985041136873596</v>
      </c>
      <c r="BV244" s="15">
        <f t="shared" si="173"/>
        <v>0.63399209486166008</v>
      </c>
      <c r="BW244" s="15">
        <f t="shared" si="174"/>
        <v>0.94614809274495137</v>
      </c>
      <c r="BX244" s="16"/>
      <c r="BY244" s="16"/>
      <c r="BZ244" s="16">
        <v>2674</v>
      </c>
      <c r="CA244" s="16">
        <f t="shared" si="236"/>
        <v>144</v>
      </c>
      <c r="CB244" s="16">
        <v>2530</v>
      </c>
      <c r="CC244" s="16">
        <v>1604</v>
      </c>
      <c r="CD244" s="16">
        <f t="shared" si="237"/>
        <v>926</v>
      </c>
      <c r="CE244" s="16"/>
      <c r="CF244" s="16"/>
      <c r="CG244" s="78">
        <v>2012</v>
      </c>
      <c r="CH244" s="79" t="s">
        <v>46</v>
      </c>
      <c r="CI244" s="15">
        <f t="shared" si="177"/>
        <v>0.73825256975036713</v>
      </c>
      <c r="CJ244" s="15">
        <f t="shared" si="178"/>
        <v>0.88356766256590513</v>
      </c>
      <c r="CK244" s="15">
        <f t="shared" si="179"/>
        <v>0.83553597650513955</v>
      </c>
      <c r="CL244" s="16"/>
      <c r="CM244" s="16"/>
      <c r="CN244" s="16">
        <v>2724</v>
      </c>
      <c r="CO244" s="16">
        <f t="shared" si="238"/>
        <v>448</v>
      </c>
      <c r="CP244" s="16">
        <v>2276</v>
      </c>
      <c r="CQ244" s="16">
        <v>2011</v>
      </c>
      <c r="CR244" s="16">
        <f t="shared" si="239"/>
        <v>265</v>
      </c>
      <c r="CS244" s="16"/>
      <c r="CT244" s="16"/>
      <c r="CU244" s="78">
        <v>2012</v>
      </c>
      <c r="CV244" s="79" t="s">
        <v>46</v>
      </c>
      <c r="CW244" s="15">
        <f t="shared" si="199"/>
        <v>0.53110879388251653</v>
      </c>
      <c r="CX244" s="15">
        <f t="shared" si="200"/>
        <v>0.76095617529880477</v>
      </c>
      <c r="CY244" s="15">
        <f t="shared" si="201"/>
        <v>0.69794925269377828</v>
      </c>
      <c r="CZ244" s="16"/>
      <c r="DA244" s="16"/>
      <c r="DB244" s="16">
        <v>2877</v>
      </c>
      <c r="DC244" s="16">
        <f t="shared" si="182"/>
        <v>869</v>
      </c>
      <c r="DD244" s="16">
        <v>2008</v>
      </c>
      <c r="DE244" s="16">
        <v>1528</v>
      </c>
      <c r="DF244" s="16">
        <f t="shared" si="183"/>
        <v>480</v>
      </c>
      <c r="DG244" s="16"/>
      <c r="DH244" s="16"/>
      <c r="DI244" s="78">
        <v>2012</v>
      </c>
      <c r="DJ244" s="79" t="s">
        <v>46</v>
      </c>
      <c r="DK244" s="15">
        <f t="shared" si="184"/>
        <v>0.64659427443237905</v>
      </c>
      <c r="DL244" s="15">
        <f t="shared" si="185"/>
        <v>0.69903948772678759</v>
      </c>
      <c r="DM244" s="15">
        <f t="shared" si="186"/>
        <v>0.92497532082922018</v>
      </c>
      <c r="DN244" s="16"/>
      <c r="DO244" s="16"/>
      <c r="DP244" s="16">
        <v>1013</v>
      </c>
      <c r="DQ244" s="16">
        <f t="shared" si="240"/>
        <v>76</v>
      </c>
      <c r="DR244" s="16">
        <v>937</v>
      </c>
      <c r="DS244" s="16">
        <v>655</v>
      </c>
      <c r="DT244" s="16">
        <f t="shared" si="241"/>
        <v>282</v>
      </c>
      <c r="DU244" s="16"/>
      <c r="DV244" s="16"/>
      <c r="DW244" s="78">
        <v>2012</v>
      </c>
      <c r="DX244" s="79" t="s">
        <v>46</v>
      </c>
      <c r="DY244" s="15">
        <f t="shared" si="189"/>
        <v>0.93021632937892529</v>
      </c>
      <c r="DZ244" s="15">
        <f t="shared" si="190"/>
        <v>0.98594674556213013</v>
      </c>
      <c r="EA244" s="15">
        <f t="shared" si="191"/>
        <v>0.94347522679692952</v>
      </c>
      <c r="EB244" s="16"/>
      <c r="EC244" s="16"/>
      <c r="ED244" s="16">
        <v>1433</v>
      </c>
      <c r="EE244" s="16">
        <f t="shared" si="242"/>
        <v>81</v>
      </c>
      <c r="EF244" s="16">
        <v>1352</v>
      </c>
      <c r="EG244" s="16">
        <v>1333</v>
      </c>
      <c r="EH244" s="16">
        <f t="shared" si="243"/>
        <v>19</v>
      </c>
      <c r="EI244" s="16"/>
      <c r="EJ244" s="16"/>
      <c r="EK244" s="78"/>
      <c r="EL244" s="79"/>
      <c r="EM244" s="15"/>
      <c r="EN244" s="15"/>
      <c r="EO244" s="15"/>
      <c r="EP244" s="16"/>
      <c r="EQ244" s="16"/>
      <c r="ER244" s="16"/>
      <c r="ES244" s="16"/>
      <c r="ET244" s="16"/>
      <c r="EU244" s="16"/>
      <c r="EV244" s="16"/>
      <c r="EW244" s="16"/>
      <c r="EX244" s="16"/>
      <c r="EY244" s="78"/>
      <c r="EZ244" s="79"/>
      <c r="FA244" s="15"/>
      <c r="FB244" s="15"/>
      <c r="FC244" s="15"/>
      <c r="FD244" s="16"/>
      <c r="FE244" s="16"/>
      <c r="FF244" s="16"/>
      <c r="FG244" s="16"/>
      <c r="FH244" s="16"/>
      <c r="FI244" s="16"/>
      <c r="FJ244" s="16"/>
      <c r="FK244" s="16"/>
      <c r="FM244" s="78"/>
      <c r="FN244" s="79"/>
      <c r="FO244" s="15"/>
      <c r="FP244" s="15"/>
      <c r="FQ244" s="15"/>
      <c r="FR244" s="16"/>
      <c r="FS244" s="16"/>
      <c r="FT244" s="16"/>
      <c r="FU244" s="16"/>
      <c r="FV244" s="16"/>
      <c r="FW244" s="16"/>
      <c r="FX244" s="16"/>
      <c r="FY244" s="16"/>
      <c r="GA244" s="78"/>
      <c r="GB244" s="79"/>
      <c r="GC244" s="15"/>
      <c r="GD244" s="15"/>
      <c r="GE244" s="15"/>
      <c r="GF244" s="16"/>
      <c r="GG244" s="16"/>
      <c r="GH244" s="16"/>
      <c r="GI244" s="16"/>
      <c r="GJ244" s="16"/>
      <c r="GK244" s="16"/>
      <c r="GL244" s="16"/>
      <c r="GM244" s="16"/>
    </row>
    <row r="245" spans="1:195" s="18" customFormat="1" ht="15" customHeight="1">
      <c r="A245" s="80">
        <v>2012</v>
      </c>
      <c r="B245" s="81" t="s">
        <v>47</v>
      </c>
      <c r="C245" s="15">
        <f t="shared" si="194"/>
        <v>0.79268123642748234</v>
      </c>
      <c r="D245" s="15">
        <f t="shared" si="195"/>
        <v>0.88011080900836203</v>
      </c>
      <c r="E245" s="15">
        <f t="shared" si="196"/>
        <v>0.90066072171140787</v>
      </c>
      <c r="F245" s="16"/>
      <c r="G245" s="33"/>
      <c r="H24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21643</v>
      </c>
      <c r="I245" s="16">
        <f t="shared" si="197"/>
        <v>2150</v>
      </c>
      <c r="J24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19493</v>
      </c>
      <c r="K24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17156</v>
      </c>
      <c r="L245" s="16">
        <f t="shared" si="198"/>
        <v>2337</v>
      </c>
      <c r="M245" s="16"/>
      <c r="N245" s="16"/>
      <c r="O245" s="80">
        <v>2012</v>
      </c>
      <c r="P245" s="81" t="s">
        <v>47</v>
      </c>
      <c r="Q245" s="15">
        <f t="shared" si="157"/>
        <v>0.87283786352404491</v>
      </c>
      <c r="R245" s="15">
        <f t="shared" si="158"/>
        <v>0.90643505724437423</v>
      </c>
      <c r="S245" s="15">
        <f t="shared" si="159"/>
        <v>0.96293480326934044</v>
      </c>
      <c r="T245" s="26"/>
      <c r="U245" s="26"/>
      <c r="V245" s="16">
        <v>5261</v>
      </c>
      <c r="W245" s="16">
        <f t="shared" si="230"/>
        <v>195</v>
      </c>
      <c r="X245" s="16">
        <v>5066</v>
      </c>
      <c r="Y245" s="16">
        <v>4592</v>
      </c>
      <c r="Z245" s="16">
        <f t="shared" si="231"/>
        <v>474</v>
      </c>
      <c r="AA245" s="16"/>
      <c r="AB245" s="16"/>
      <c r="AC245" s="80"/>
      <c r="AD245" s="81"/>
      <c r="AE245" s="15"/>
      <c r="AF245" s="15"/>
      <c r="AG245" s="15"/>
      <c r="AH245" s="15"/>
      <c r="AI245" s="15"/>
      <c r="AJ245" s="16"/>
      <c r="AK245" s="16"/>
      <c r="AL245" s="16"/>
      <c r="AM245" s="16"/>
      <c r="AN245" s="16"/>
      <c r="AO245" s="16"/>
      <c r="AP245" s="16"/>
      <c r="AQ245" s="80">
        <v>2012</v>
      </c>
      <c r="AR245" s="81" t="s">
        <v>47</v>
      </c>
      <c r="AS245" s="15">
        <f t="shared" si="162"/>
        <v>0.89424230307876851</v>
      </c>
      <c r="AT245" s="15">
        <f t="shared" si="163"/>
        <v>0.92955112219451375</v>
      </c>
      <c r="AU245" s="15">
        <f t="shared" si="164"/>
        <v>0.96201519392243107</v>
      </c>
      <c r="AV245" s="16"/>
      <c r="AW245" s="16"/>
      <c r="AX245" s="16">
        <v>5002</v>
      </c>
      <c r="AY245" s="16">
        <f t="shared" si="232"/>
        <v>190</v>
      </c>
      <c r="AZ245" s="16">
        <v>4812</v>
      </c>
      <c r="BA245" s="16">
        <v>4473</v>
      </c>
      <c r="BB245" s="16">
        <f t="shared" si="233"/>
        <v>339</v>
      </c>
      <c r="BC245" s="16"/>
      <c r="BD245" s="16"/>
      <c r="BE245" s="80">
        <v>2012</v>
      </c>
      <c r="BF245" s="81" t="s">
        <v>47</v>
      </c>
      <c r="BG245" s="15">
        <f t="shared" si="167"/>
        <v>0.77976190476190477</v>
      </c>
      <c r="BH245" s="15">
        <f t="shared" si="168"/>
        <v>0.83974358974358976</v>
      </c>
      <c r="BI245" s="15">
        <f t="shared" si="169"/>
        <v>0.9285714285714286</v>
      </c>
      <c r="BJ245" s="16"/>
      <c r="BK245" s="16"/>
      <c r="BL245" s="16">
        <v>504</v>
      </c>
      <c r="BM245" s="16">
        <f t="shared" si="234"/>
        <v>36</v>
      </c>
      <c r="BN245" s="16">
        <v>468</v>
      </c>
      <c r="BO245" s="16">
        <v>393</v>
      </c>
      <c r="BP245" s="16">
        <f t="shared" si="235"/>
        <v>75</v>
      </c>
      <c r="BQ245" s="16"/>
      <c r="BR245" s="16"/>
      <c r="BS245" s="80">
        <v>2012</v>
      </c>
      <c r="BT245" s="81" t="s">
        <v>47</v>
      </c>
      <c r="BU245" s="15">
        <f t="shared" si="172"/>
        <v>0.70288248337028825</v>
      </c>
      <c r="BV245" s="15">
        <f t="shared" si="173"/>
        <v>0.71936459909228445</v>
      </c>
      <c r="BW245" s="15">
        <f t="shared" si="174"/>
        <v>0.97708795269770876</v>
      </c>
      <c r="BX245" s="16"/>
      <c r="BY245" s="16"/>
      <c r="BZ245" s="16">
        <v>2706</v>
      </c>
      <c r="CA245" s="16">
        <f t="shared" si="236"/>
        <v>62</v>
      </c>
      <c r="CB245" s="16">
        <v>2644</v>
      </c>
      <c r="CC245" s="16">
        <v>1902</v>
      </c>
      <c r="CD245" s="16">
        <f t="shared" si="237"/>
        <v>742</v>
      </c>
      <c r="CE245" s="16"/>
      <c r="CF245" s="16"/>
      <c r="CG245" s="80">
        <v>2012</v>
      </c>
      <c r="CH245" s="81" t="s">
        <v>47</v>
      </c>
      <c r="CI245" s="15">
        <f t="shared" si="177"/>
        <v>0.84771573604060912</v>
      </c>
      <c r="CJ245" s="15">
        <f t="shared" si="178"/>
        <v>0.90235430335777689</v>
      </c>
      <c r="CK245" s="15">
        <f t="shared" si="179"/>
        <v>0.93944887599709936</v>
      </c>
      <c r="CL245" s="16"/>
      <c r="CM245" s="16"/>
      <c r="CN245" s="16">
        <v>2758</v>
      </c>
      <c r="CO245" s="16">
        <f t="shared" si="238"/>
        <v>167</v>
      </c>
      <c r="CP245" s="16">
        <v>2591</v>
      </c>
      <c r="CQ245" s="16">
        <v>2338</v>
      </c>
      <c r="CR245" s="16">
        <f t="shared" si="239"/>
        <v>253</v>
      </c>
      <c r="CS245" s="16"/>
      <c r="CT245" s="16"/>
      <c r="CU245" s="80">
        <v>2012</v>
      </c>
      <c r="CV245" s="81" t="s">
        <v>47</v>
      </c>
      <c r="CW245" s="15">
        <f t="shared" si="199"/>
        <v>0.454017094017094</v>
      </c>
      <c r="CX245" s="15">
        <f t="shared" si="200"/>
        <v>0.87310979618671924</v>
      </c>
      <c r="CY245" s="15">
        <f t="shared" si="201"/>
        <v>0.52</v>
      </c>
      <c r="CZ245" s="16"/>
      <c r="DA245" s="16"/>
      <c r="DB245" s="16">
        <v>2925</v>
      </c>
      <c r="DC245" s="16">
        <f t="shared" si="182"/>
        <v>1404</v>
      </c>
      <c r="DD245" s="16">
        <v>1521</v>
      </c>
      <c r="DE245" s="16">
        <v>1328</v>
      </c>
      <c r="DF245" s="16">
        <f t="shared" si="183"/>
        <v>193</v>
      </c>
      <c r="DG245" s="16"/>
      <c r="DH245" s="16"/>
      <c r="DI245" s="80">
        <v>2012</v>
      </c>
      <c r="DJ245" s="81" t="s">
        <v>47</v>
      </c>
      <c r="DK245" s="15">
        <f t="shared" si="184"/>
        <v>0.69767441860465118</v>
      </c>
      <c r="DL245" s="15">
        <f t="shared" si="185"/>
        <v>0.75235109717868343</v>
      </c>
      <c r="DM245" s="15">
        <f t="shared" si="186"/>
        <v>0.92732558139534882</v>
      </c>
      <c r="DN245" s="16"/>
      <c r="DO245" s="16"/>
      <c r="DP245" s="16">
        <v>1032</v>
      </c>
      <c r="DQ245" s="16">
        <f t="shared" si="240"/>
        <v>75</v>
      </c>
      <c r="DR245" s="16">
        <v>957</v>
      </c>
      <c r="DS245" s="16">
        <v>720</v>
      </c>
      <c r="DT245" s="16">
        <f t="shared" si="241"/>
        <v>237</v>
      </c>
      <c r="DU245" s="16"/>
      <c r="DV245" s="16"/>
      <c r="DW245" s="80">
        <v>2012</v>
      </c>
      <c r="DX245" s="81" t="s">
        <v>47</v>
      </c>
      <c r="DY245" s="15">
        <f t="shared" si="189"/>
        <v>0.96907216494845361</v>
      </c>
      <c r="DZ245" s="15">
        <f t="shared" si="190"/>
        <v>0.98326359832635979</v>
      </c>
      <c r="EA245" s="15">
        <f t="shared" si="191"/>
        <v>0.9855670103092784</v>
      </c>
      <c r="EB245" s="16"/>
      <c r="EC245" s="16"/>
      <c r="ED245" s="16">
        <v>1455</v>
      </c>
      <c r="EE245" s="16">
        <f t="shared" si="242"/>
        <v>21</v>
      </c>
      <c r="EF245" s="16">
        <v>1434</v>
      </c>
      <c r="EG245" s="16">
        <v>1410</v>
      </c>
      <c r="EH245" s="16">
        <f t="shared" si="243"/>
        <v>24</v>
      </c>
      <c r="EI245" s="16"/>
      <c r="EJ245" s="16"/>
      <c r="EK245" s="80"/>
      <c r="EL245" s="81"/>
      <c r="EM245" s="15"/>
      <c r="EN245" s="15"/>
      <c r="EO245" s="15"/>
      <c r="EP245" s="16"/>
      <c r="EQ245" s="16"/>
      <c r="ER245" s="16"/>
      <c r="ES245" s="16"/>
      <c r="ET245" s="16"/>
      <c r="EU245" s="16"/>
      <c r="EV245" s="16"/>
      <c r="EW245" s="16"/>
      <c r="EX245" s="16"/>
      <c r="EY245" s="80"/>
      <c r="EZ245" s="81"/>
      <c r="FA245" s="15"/>
      <c r="FB245" s="15"/>
      <c r="FC245" s="15"/>
      <c r="FD245" s="16"/>
      <c r="FE245" s="16"/>
      <c r="FF245" s="16"/>
      <c r="FG245" s="16"/>
      <c r="FH245" s="16"/>
      <c r="FI245" s="16"/>
      <c r="FJ245" s="16"/>
      <c r="FK245" s="16"/>
      <c r="FM245" s="80"/>
      <c r="FN245" s="81"/>
      <c r="FO245" s="15"/>
      <c r="FP245" s="15"/>
      <c r="FQ245" s="15"/>
      <c r="FR245" s="16"/>
      <c r="FS245" s="16"/>
      <c r="FT245" s="16"/>
      <c r="FU245" s="16"/>
      <c r="FV245" s="16"/>
      <c r="FW245" s="16"/>
      <c r="FX245" s="16"/>
      <c r="FY245" s="16"/>
      <c r="GA245" s="80"/>
      <c r="GB245" s="81"/>
      <c r="GC245" s="15"/>
      <c r="GD245" s="15"/>
      <c r="GE245" s="15"/>
      <c r="GF245" s="16"/>
      <c r="GG245" s="16"/>
      <c r="GH245" s="16"/>
      <c r="GI245" s="16"/>
      <c r="GJ245" s="16"/>
      <c r="GK245" s="16"/>
      <c r="GL245" s="16"/>
      <c r="GM245" s="16"/>
    </row>
    <row r="246" spans="1:195" s="18" customFormat="1" ht="15" customHeight="1">
      <c r="A246" s="78">
        <v>2013</v>
      </c>
      <c r="B246" s="79" t="s">
        <v>36</v>
      </c>
      <c r="C246" s="15">
        <f t="shared" si="194"/>
        <v>0.84742630487694948</v>
      </c>
      <c r="D246" s="15">
        <f t="shared" si="195"/>
        <v>0.90690270609232548</v>
      </c>
      <c r="E246" s="15">
        <f t="shared" si="196"/>
        <v>0.9344181015054539</v>
      </c>
      <c r="F246" s="16"/>
      <c r="G246" s="33"/>
      <c r="H24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22186</v>
      </c>
      <c r="I246" s="16">
        <f t="shared" si="197"/>
        <v>1455</v>
      </c>
      <c r="J24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20731</v>
      </c>
      <c r="K24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18801</v>
      </c>
      <c r="L246" s="16">
        <f t="shared" si="198"/>
        <v>1930</v>
      </c>
      <c r="M246" s="16"/>
      <c r="N246" s="16"/>
      <c r="O246" s="78">
        <v>2013</v>
      </c>
      <c r="P246" s="79" t="s">
        <v>36</v>
      </c>
      <c r="Q246" s="15">
        <f t="shared" si="157"/>
        <v>0.88186661767407681</v>
      </c>
      <c r="R246" s="15">
        <f t="shared" si="158"/>
        <v>0.92825372268420037</v>
      </c>
      <c r="S246" s="15">
        <f t="shared" si="159"/>
        <v>0.9500275583318023</v>
      </c>
      <c r="T246" s="26"/>
      <c r="U246" s="26"/>
      <c r="V246" s="16">
        <v>5443</v>
      </c>
      <c r="W246" s="16">
        <f t="shared" ref="W246:W257" si="244">V246-X246</f>
        <v>272</v>
      </c>
      <c r="X246" s="16">
        <v>5171</v>
      </c>
      <c r="Y246" s="16">
        <v>4800</v>
      </c>
      <c r="Z246" s="16">
        <f t="shared" ref="Z246:Z257" si="245">X246-Y246</f>
        <v>371</v>
      </c>
      <c r="AA246" s="16"/>
      <c r="AB246" s="16"/>
      <c r="AC246" s="78"/>
      <c r="AD246" s="79"/>
      <c r="AE246" s="15"/>
      <c r="AF246" s="15"/>
      <c r="AG246" s="15"/>
      <c r="AH246" s="15"/>
      <c r="AI246" s="15"/>
      <c r="AJ246" s="16"/>
      <c r="AK246" s="16"/>
      <c r="AL246" s="16"/>
      <c r="AM246" s="16"/>
      <c r="AN246" s="16"/>
      <c r="AO246" s="16"/>
      <c r="AP246" s="16"/>
      <c r="AQ246" s="78">
        <v>2013</v>
      </c>
      <c r="AR246" s="79" t="s">
        <v>36</v>
      </c>
      <c r="AS246" s="15">
        <f t="shared" si="162"/>
        <v>0.92104239595488135</v>
      </c>
      <c r="AT246" s="15">
        <f t="shared" si="163"/>
        <v>0.9483380056067281</v>
      </c>
      <c r="AU246" s="15">
        <f t="shared" si="164"/>
        <v>0.97121742512640996</v>
      </c>
      <c r="AV246" s="16"/>
      <c r="AW246" s="16"/>
      <c r="AX246" s="16">
        <v>5142</v>
      </c>
      <c r="AY246" s="16">
        <f t="shared" ref="AY246:AY257" si="246">AX246-AZ246</f>
        <v>148</v>
      </c>
      <c r="AZ246" s="16">
        <v>4994</v>
      </c>
      <c r="BA246" s="16">
        <v>4736</v>
      </c>
      <c r="BB246" s="16">
        <f t="shared" ref="BB246:BB257" si="247">AZ246-BA246</f>
        <v>258</v>
      </c>
      <c r="BC246" s="16"/>
      <c r="BD246" s="16"/>
      <c r="BE246" s="78">
        <v>2013</v>
      </c>
      <c r="BF246" s="79" t="s">
        <v>36</v>
      </c>
      <c r="BG246" s="15">
        <f t="shared" si="167"/>
        <v>0.86904761904761907</v>
      </c>
      <c r="BH246" s="15">
        <f t="shared" si="168"/>
        <v>0.92072072072072075</v>
      </c>
      <c r="BI246" s="15">
        <f t="shared" si="169"/>
        <v>0.94387755102040816</v>
      </c>
      <c r="BJ246" s="16"/>
      <c r="BK246" s="16"/>
      <c r="BL246" s="16">
        <v>588</v>
      </c>
      <c r="BM246" s="16">
        <f t="shared" ref="BM246:BM257" si="248">BL246-BN246</f>
        <v>33</v>
      </c>
      <c r="BN246" s="16">
        <v>555</v>
      </c>
      <c r="BO246" s="16">
        <v>511</v>
      </c>
      <c r="BP246" s="16">
        <f t="shared" ref="BP246:BP257" si="249">BN246-BO246</f>
        <v>44</v>
      </c>
      <c r="BQ246" s="16"/>
      <c r="BR246" s="16"/>
      <c r="BS246" s="78">
        <v>2013</v>
      </c>
      <c r="BT246" s="79" t="s">
        <v>36</v>
      </c>
      <c r="BU246" s="15">
        <f t="shared" si="172"/>
        <v>0.79606700655498908</v>
      </c>
      <c r="BV246" s="15">
        <f t="shared" si="173"/>
        <v>0.81083086053412468</v>
      </c>
      <c r="BW246" s="15">
        <f t="shared" si="174"/>
        <v>0.98179169701383828</v>
      </c>
      <c r="BX246" s="16"/>
      <c r="BY246" s="16"/>
      <c r="BZ246" s="16">
        <v>2746</v>
      </c>
      <c r="CA246" s="16">
        <f t="shared" ref="CA246:CA257" si="250">BZ246-CB246</f>
        <v>50</v>
      </c>
      <c r="CB246" s="16">
        <v>2696</v>
      </c>
      <c r="CC246" s="16">
        <v>2186</v>
      </c>
      <c r="CD246" s="16">
        <f t="shared" ref="CD246:CD257" si="251">CB246-CC246</f>
        <v>510</v>
      </c>
      <c r="CE246" s="16"/>
      <c r="CF246" s="16"/>
      <c r="CG246" s="78">
        <v>2013</v>
      </c>
      <c r="CH246" s="79" t="s">
        <v>36</v>
      </c>
      <c r="CI246" s="15">
        <f t="shared" si="177"/>
        <v>0.90050107372942023</v>
      </c>
      <c r="CJ246" s="15">
        <f t="shared" si="178"/>
        <v>0.93531598513011149</v>
      </c>
      <c r="CK246" s="15">
        <f t="shared" si="179"/>
        <v>0.96277738010021474</v>
      </c>
      <c r="CL246" s="16"/>
      <c r="CM246" s="16"/>
      <c r="CN246" s="16">
        <v>2794</v>
      </c>
      <c r="CO246" s="16">
        <f t="shared" ref="CO246:CO257" si="252">CN246-CP246</f>
        <v>104</v>
      </c>
      <c r="CP246" s="16">
        <v>2690</v>
      </c>
      <c r="CQ246" s="16">
        <v>2516</v>
      </c>
      <c r="CR246" s="16">
        <f t="shared" ref="CR246:CR257" si="253">CP246-CQ246</f>
        <v>174</v>
      </c>
      <c r="CS246" s="16"/>
      <c r="CT246" s="16"/>
      <c r="CU246" s="78">
        <v>2013</v>
      </c>
      <c r="CV246" s="79" t="s">
        <v>36</v>
      </c>
      <c r="CW246" s="15">
        <f t="shared" si="199"/>
        <v>0.6345503718728871</v>
      </c>
      <c r="CX246" s="15">
        <f t="shared" si="200"/>
        <v>0.86418047882136284</v>
      </c>
      <c r="CY246" s="15">
        <f t="shared" si="201"/>
        <v>0.73427991886409738</v>
      </c>
      <c r="CZ246" s="16"/>
      <c r="DA246" s="16"/>
      <c r="DB246" s="16">
        <v>2958</v>
      </c>
      <c r="DC246" s="16">
        <f t="shared" si="182"/>
        <v>786</v>
      </c>
      <c r="DD246" s="16">
        <v>2172</v>
      </c>
      <c r="DE246" s="16">
        <v>1877</v>
      </c>
      <c r="DF246" s="16">
        <f t="shared" si="183"/>
        <v>295</v>
      </c>
      <c r="DG246" s="16"/>
      <c r="DH246" s="16"/>
      <c r="DI246" s="78">
        <v>2013</v>
      </c>
      <c r="DJ246" s="79" t="s">
        <v>36</v>
      </c>
      <c r="DK246" s="15">
        <f t="shared" si="184"/>
        <v>0.71716203259827416</v>
      </c>
      <c r="DL246" s="15">
        <f t="shared" si="185"/>
        <v>0.74725274725274726</v>
      </c>
      <c r="DM246" s="15">
        <f t="shared" si="186"/>
        <v>0.95973154362416102</v>
      </c>
      <c r="DN246" s="16"/>
      <c r="DO246" s="16"/>
      <c r="DP246" s="16">
        <v>1043</v>
      </c>
      <c r="DQ246" s="16">
        <f t="shared" ref="DQ246:DQ257" si="254">DP246-DR246</f>
        <v>42</v>
      </c>
      <c r="DR246" s="16">
        <v>1001</v>
      </c>
      <c r="DS246" s="16">
        <v>748</v>
      </c>
      <c r="DT246" s="16">
        <f t="shared" ref="DT246:DT257" si="255">DR246-DS246</f>
        <v>253</v>
      </c>
      <c r="DU246" s="16"/>
      <c r="DV246" s="16"/>
      <c r="DW246" s="78">
        <v>2013</v>
      </c>
      <c r="DX246" s="79" t="s">
        <v>36</v>
      </c>
      <c r="DY246" s="15">
        <f t="shared" si="189"/>
        <v>0.96942934782608692</v>
      </c>
      <c r="DZ246" s="15">
        <f t="shared" si="190"/>
        <v>0.98278236914600547</v>
      </c>
      <c r="EA246" s="15">
        <f t="shared" si="191"/>
        <v>0.98641304347826086</v>
      </c>
      <c r="EB246" s="16"/>
      <c r="EC246" s="16"/>
      <c r="ED246" s="16">
        <v>1472</v>
      </c>
      <c r="EE246" s="16">
        <f t="shared" ref="EE246:EE257" si="256">ED246-EF246</f>
        <v>20</v>
      </c>
      <c r="EF246" s="16">
        <v>1452</v>
      </c>
      <c r="EG246" s="16">
        <v>1427</v>
      </c>
      <c r="EH246" s="16">
        <f t="shared" ref="EH246:EH257" si="257">EF246-EG246</f>
        <v>25</v>
      </c>
      <c r="EI246" s="16"/>
      <c r="EJ246" s="16"/>
      <c r="EK246" s="78"/>
      <c r="EL246" s="79"/>
      <c r="EM246" s="15"/>
      <c r="EN246" s="15"/>
      <c r="EO246" s="15"/>
      <c r="EP246" s="16"/>
      <c r="EQ246" s="16"/>
      <c r="ER246" s="16"/>
      <c r="ES246" s="16"/>
      <c r="ET246" s="16"/>
      <c r="EU246" s="16"/>
      <c r="EV246" s="16"/>
      <c r="EW246" s="16"/>
      <c r="EX246" s="16"/>
      <c r="EY246" s="78"/>
      <c r="EZ246" s="79"/>
      <c r="FA246" s="15"/>
      <c r="FB246" s="15"/>
      <c r="FC246" s="15"/>
      <c r="FD246" s="16"/>
      <c r="FE246" s="16"/>
      <c r="FF246" s="16"/>
      <c r="FG246" s="16"/>
      <c r="FH246" s="16"/>
      <c r="FI246" s="16"/>
      <c r="FJ246" s="16"/>
      <c r="FK246" s="16"/>
      <c r="FM246" s="78"/>
      <c r="FN246" s="79"/>
      <c r="FO246" s="15"/>
      <c r="FP246" s="15"/>
      <c r="FQ246" s="15"/>
      <c r="FR246" s="16"/>
      <c r="FS246" s="16"/>
      <c r="FT246" s="16"/>
      <c r="FU246" s="16"/>
      <c r="FV246" s="16"/>
      <c r="FW246" s="16"/>
      <c r="FX246" s="16"/>
      <c r="FY246" s="16"/>
      <c r="GA246" s="78"/>
      <c r="GB246" s="79"/>
      <c r="GC246" s="15"/>
      <c r="GD246" s="15"/>
      <c r="GE246" s="15"/>
      <c r="GF246" s="16"/>
      <c r="GG246" s="16"/>
      <c r="GH246" s="16"/>
      <c r="GI246" s="16"/>
      <c r="GJ246" s="16"/>
      <c r="GK246" s="16"/>
      <c r="GL246" s="16"/>
      <c r="GM246" s="16"/>
    </row>
    <row r="247" spans="1:195" s="18" customFormat="1" ht="15" customHeight="1">
      <c r="A247" s="80">
        <v>2013</v>
      </c>
      <c r="B247" s="81" t="s">
        <v>37</v>
      </c>
      <c r="C247" s="15">
        <f t="shared" si="194"/>
        <v>0.81701625724396121</v>
      </c>
      <c r="D247" s="15">
        <f t="shared" si="195"/>
        <v>0.85146980224478885</v>
      </c>
      <c r="E247" s="15">
        <f t="shared" si="196"/>
        <v>0.95953638648135797</v>
      </c>
      <c r="F247" s="16"/>
      <c r="G247" s="33"/>
      <c r="H24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19499</v>
      </c>
      <c r="I247" s="16">
        <f t="shared" si="197"/>
        <v>789</v>
      </c>
      <c r="J24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18710</v>
      </c>
      <c r="K24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15931</v>
      </c>
      <c r="L247" s="16">
        <f t="shared" si="198"/>
        <v>2779</v>
      </c>
      <c r="M247" s="16"/>
      <c r="N247" s="16"/>
      <c r="O247" s="80">
        <v>2013</v>
      </c>
      <c r="P247" s="81" t="s">
        <v>37</v>
      </c>
      <c r="Q247" s="15">
        <f t="shared" si="157"/>
        <v>0.82145123757139837</v>
      </c>
      <c r="R247" s="15">
        <f t="shared" si="158"/>
        <v>0.85641817379797092</v>
      </c>
      <c r="S247" s="15">
        <f t="shared" si="159"/>
        <v>0.95917072138777237</v>
      </c>
      <c r="T247" s="26"/>
      <c r="U247" s="26"/>
      <c r="V247" s="16">
        <v>4727</v>
      </c>
      <c r="W247" s="16">
        <f t="shared" si="244"/>
        <v>193</v>
      </c>
      <c r="X247" s="16">
        <v>4534</v>
      </c>
      <c r="Y247" s="16">
        <v>3883</v>
      </c>
      <c r="Z247" s="16">
        <f t="shared" si="245"/>
        <v>651</v>
      </c>
      <c r="AA247" s="16"/>
      <c r="AB247" s="16"/>
      <c r="AC247" s="80"/>
      <c r="AD247" s="81"/>
      <c r="AE247" s="15"/>
      <c r="AF247" s="15"/>
      <c r="AG247" s="15"/>
      <c r="AH247" s="15"/>
      <c r="AI247" s="15"/>
      <c r="AJ247" s="16"/>
      <c r="AK247" s="16"/>
      <c r="AL247" s="16"/>
      <c r="AM247" s="16"/>
      <c r="AN247" s="16"/>
      <c r="AO247" s="16"/>
      <c r="AP247" s="16"/>
      <c r="AQ247" s="80">
        <v>2013</v>
      </c>
      <c r="AR247" s="81" t="s">
        <v>37</v>
      </c>
      <c r="AS247" s="15">
        <f t="shared" si="162"/>
        <v>0.87463816521932758</v>
      </c>
      <c r="AT247" s="15">
        <f t="shared" si="163"/>
        <v>0.90674053554939982</v>
      </c>
      <c r="AU247" s="15">
        <f t="shared" si="164"/>
        <v>0.96459585838343354</v>
      </c>
      <c r="AV247" s="16"/>
      <c r="AW247" s="16"/>
      <c r="AX247" s="16">
        <v>4491</v>
      </c>
      <c r="AY247" s="16">
        <f t="shared" si="246"/>
        <v>159</v>
      </c>
      <c r="AZ247" s="16">
        <v>4332</v>
      </c>
      <c r="BA247" s="16">
        <v>3928</v>
      </c>
      <c r="BB247" s="16">
        <f t="shared" si="247"/>
        <v>404</v>
      </c>
      <c r="BC247" s="16"/>
      <c r="BD247" s="16"/>
      <c r="BE247" s="80">
        <v>2013</v>
      </c>
      <c r="BF247" s="81" t="s">
        <v>37</v>
      </c>
      <c r="BG247" s="15">
        <f t="shared" si="167"/>
        <v>0.69747899159663862</v>
      </c>
      <c r="BH247" s="15">
        <f t="shared" si="168"/>
        <v>0.77030162412993042</v>
      </c>
      <c r="BI247" s="15">
        <f t="shared" si="169"/>
        <v>0.90546218487394958</v>
      </c>
      <c r="BJ247" s="16"/>
      <c r="BK247" s="16"/>
      <c r="BL247" s="16">
        <v>476</v>
      </c>
      <c r="BM247" s="16">
        <f t="shared" si="248"/>
        <v>45</v>
      </c>
      <c r="BN247" s="16">
        <v>431</v>
      </c>
      <c r="BO247" s="16">
        <v>332</v>
      </c>
      <c r="BP247" s="16">
        <f t="shared" si="249"/>
        <v>99</v>
      </c>
      <c r="BQ247" s="16"/>
      <c r="BR247" s="16"/>
      <c r="BS247" s="80">
        <v>2013</v>
      </c>
      <c r="BT247" s="81" t="s">
        <v>37</v>
      </c>
      <c r="BU247" s="15">
        <f t="shared" si="172"/>
        <v>0.72645372645372641</v>
      </c>
      <c r="BV247" s="15">
        <f t="shared" si="173"/>
        <v>0.74194897532413218</v>
      </c>
      <c r="BW247" s="15">
        <f t="shared" si="174"/>
        <v>0.97911547911547914</v>
      </c>
      <c r="BX247" s="16"/>
      <c r="BY247" s="16"/>
      <c r="BZ247" s="16">
        <v>2442</v>
      </c>
      <c r="CA247" s="16">
        <f t="shared" si="250"/>
        <v>51</v>
      </c>
      <c r="CB247" s="16">
        <v>2391</v>
      </c>
      <c r="CC247" s="16">
        <v>1774</v>
      </c>
      <c r="CD247" s="16">
        <f t="shared" si="251"/>
        <v>617</v>
      </c>
      <c r="CE247" s="16"/>
      <c r="CF247" s="16"/>
      <c r="CG247" s="80">
        <v>2013</v>
      </c>
      <c r="CH247" s="81" t="s">
        <v>37</v>
      </c>
      <c r="CI247" s="15">
        <f t="shared" si="177"/>
        <v>0.85927419354838708</v>
      </c>
      <c r="CJ247" s="15">
        <f t="shared" si="178"/>
        <v>0.8980193847450485</v>
      </c>
      <c r="CK247" s="15">
        <f t="shared" si="179"/>
        <v>0.95685483870967747</v>
      </c>
      <c r="CL247" s="16"/>
      <c r="CM247" s="16"/>
      <c r="CN247" s="16">
        <v>2480</v>
      </c>
      <c r="CO247" s="16">
        <f t="shared" si="252"/>
        <v>107</v>
      </c>
      <c r="CP247" s="16">
        <v>2373</v>
      </c>
      <c r="CQ247" s="16">
        <v>2131</v>
      </c>
      <c r="CR247" s="16">
        <f t="shared" si="253"/>
        <v>242</v>
      </c>
      <c r="CS247" s="16"/>
      <c r="CT247" s="16"/>
      <c r="CU247" s="80">
        <v>2013</v>
      </c>
      <c r="CV247" s="81" t="s">
        <v>37</v>
      </c>
      <c r="CW247" s="15">
        <f t="shared" si="199"/>
        <v>0.76089427813565746</v>
      </c>
      <c r="CX247" s="15">
        <f t="shared" si="200"/>
        <v>0.80223731522173392</v>
      </c>
      <c r="CY247" s="15">
        <f t="shared" si="201"/>
        <v>0.94846532777567261</v>
      </c>
      <c r="CZ247" s="16"/>
      <c r="DA247" s="16"/>
      <c r="DB247" s="16">
        <v>2639</v>
      </c>
      <c r="DC247" s="16">
        <f t="shared" si="182"/>
        <v>136</v>
      </c>
      <c r="DD247" s="16">
        <v>2503</v>
      </c>
      <c r="DE247" s="16">
        <v>2008</v>
      </c>
      <c r="DF247" s="16">
        <f t="shared" si="183"/>
        <v>495</v>
      </c>
      <c r="DG247" s="16"/>
      <c r="DH247" s="16"/>
      <c r="DI247" s="80">
        <v>2013</v>
      </c>
      <c r="DJ247" s="81" t="s">
        <v>37</v>
      </c>
      <c r="DK247" s="15">
        <f t="shared" si="184"/>
        <v>0.69346195069667738</v>
      </c>
      <c r="DL247" s="15">
        <f t="shared" si="185"/>
        <v>0.7220982142857143</v>
      </c>
      <c r="DM247" s="15">
        <f t="shared" si="186"/>
        <v>0.96034297963558413</v>
      </c>
      <c r="DN247" s="16"/>
      <c r="DO247" s="16"/>
      <c r="DP247" s="16">
        <v>933</v>
      </c>
      <c r="DQ247" s="16">
        <f t="shared" si="254"/>
        <v>37</v>
      </c>
      <c r="DR247" s="16">
        <v>896</v>
      </c>
      <c r="DS247" s="16">
        <v>647</v>
      </c>
      <c r="DT247" s="16">
        <f t="shared" si="255"/>
        <v>249</v>
      </c>
      <c r="DU247" s="16"/>
      <c r="DV247" s="16"/>
      <c r="DW247" s="80">
        <v>2013</v>
      </c>
      <c r="DX247" s="81" t="s">
        <v>37</v>
      </c>
      <c r="DY247" s="15">
        <f t="shared" si="189"/>
        <v>0.93668954996186116</v>
      </c>
      <c r="DZ247" s="15">
        <f t="shared" si="190"/>
        <v>0.98240000000000005</v>
      </c>
      <c r="EA247" s="15">
        <f t="shared" si="191"/>
        <v>0.95347063310450042</v>
      </c>
      <c r="EB247" s="16"/>
      <c r="EC247" s="16"/>
      <c r="ED247" s="16">
        <v>1311</v>
      </c>
      <c r="EE247" s="16">
        <f t="shared" si="256"/>
        <v>61</v>
      </c>
      <c r="EF247" s="16">
        <v>1250</v>
      </c>
      <c r="EG247" s="16">
        <v>1228</v>
      </c>
      <c r="EH247" s="16">
        <f t="shared" si="257"/>
        <v>22</v>
      </c>
      <c r="EI247" s="16"/>
      <c r="EJ247" s="16"/>
      <c r="EK247" s="80"/>
      <c r="EL247" s="81"/>
      <c r="EM247" s="15"/>
      <c r="EN247" s="15"/>
      <c r="EO247" s="15"/>
      <c r="EP247" s="16"/>
      <c r="EQ247" s="16"/>
      <c r="ER247" s="16"/>
      <c r="ES247" s="16"/>
      <c r="ET247" s="16"/>
      <c r="EU247" s="16"/>
      <c r="EV247" s="16"/>
      <c r="EW247" s="16"/>
      <c r="EX247" s="16"/>
      <c r="EY247" s="80"/>
      <c r="EZ247" s="81"/>
      <c r="FA247" s="15"/>
      <c r="FB247" s="15"/>
      <c r="FC247" s="15"/>
      <c r="FD247" s="16"/>
      <c r="FE247" s="16"/>
      <c r="FF247" s="16"/>
      <c r="FG247" s="16"/>
      <c r="FH247" s="16"/>
      <c r="FI247" s="16"/>
      <c r="FJ247" s="16"/>
      <c r="FK247" s="16"/>
      <c r="FM247" s="80"/>
      <c r="FN247" s="81"/>
      <c r="FO247" s="15"/>
      <c r="FP247" s="15"/>
      <c r="FQ247" s="15"/>
      <c r="FR247" s="16"/>
      <c r="FS247" s="16"/>
      <c r="FT247" s="16"/>
      <c r="FU247" s="16"/>
      <c r="FV247" s="16"/>
      <c r="FW247" s="16"/>
      <c r="FX247" s="16"/>
      <c r="FY247" s="16"/>
      <c r="GA247" s="80"/>
      <c r="GB247" s="81"/>
      <c r="GC247" s="15"/>
      <c r="GD247" s="15"/>
      <c r="GE247" s="15"/>
      <c r="GF247" s="16"/>
      <c r="GG247" s="16"/>
      <c r="GH247" s="16"/>
      <c r="GI247" s="16"/>
      <c r="GJ247" s="16"/>
      <c r="GK247" s="16"/>
      <c r="GL247" s="16"/>
      <c r="GM247" s="16"/>
    </row>
    <row r="248" spans="1:195" s="18" customFormat="1" ht="15" customHeight="1">
      <c r="A248" s="78">
        <v>2013</v>
      </c>
      <c r="B248" s="79" t="s">
        <v>38</v>
      </c>
      <c r="C248" s="15">
        <f t="shared" si="194"/>
        <v>0.7135174551089235</v>
      </c>
      <c r="D248" s="15">
        <f t="shared" si="195"/>
        <v>0.76756385743001421</v>
      </c>
      <c r="E248" s="15">
        <f t="shared" si="196"/>
        <v>0.92958709324582989</v>
      </c>
      <c r="F248" s="16"/>
      <c r="G248" s="33"/>
      <c r="H24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21942</v>
      </c>
      <c r="I248" s="16">
        <f t="shared" si="197"/>
        <v>1545</v>
      </c>
      <c r="J24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20397</v>
      </c>
      <c r="K24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15656</v>
      </c>
      <c r="L248" s="16">
        <f t="shared" si="198"/>
        <v>4741</v>
      </c>
      <c r="M248" s="16"/>
      <c r="N248" s="16"/>
      <c r="O248" s="78">
        <v>2013</v>
      </c>
      <c r="P248" s="79" t="s">
        <v>38</v>
      </c>
      <c r="Q248" s="15">
        <f t="shared" si="157"/>
        <v>0.72791651136787183</v>
      </c>
      <c r="R248" s="15">
        <f t="shared" si="158"/>
        <v>0.75318164288468958</v>
      </c>
      <c r="S248" s="15">
        <f t="shared" si="159"/>
        <v>0.96645546030562801</v>
      </c>
      <c r="T248" s="26"/>
      <c r="U248" s="26"/>
      <c r="V248" s="16">
        <v>5366</v>
      </c>
      <c r="W248" s="16">
        <f t="shared" si="244"/>
        <v>180</v>
      </c>
      <c r="X248" s="16">
        <v>5186</v>
      </c>
      <c r="Y248" s="16">
        <v>3906</v>
      </c>
      <c r="Z248" s="16">
        <f t="shared" si="245"/>
        <v>1280</v>
      </c>
      <c r="AA248" s="16"/>
      <c r="AB248" s="16"/>
      <c r="AC248" s="78"/>
      <c r="AD248" s="79"/>
      <c r="AE248" s="15"/>
      <c r="AF248" s="15"/>
      <c r="AG248" s="15"/>
      <c r="AH248" s="15"/>
      <c r="AI248" s="15"/>
      <c r="AJ248" s="16"/>
      <c r="AK248" s="16"/>
      <c r="AL248" s="16"/>
      <c r="AM248" s="16"/>
      <c r="AN248" s="16"/>
      <c r="AO248" s="16"/>
      <c r="AP248" s="16"/>
      <c r="AQ248" s="78">
        <v>2013</v>
      </c>
      <c r="AR248" s="79" t="s">
        <v>38</v>
      </c>
      <c r="AS248" s="15">
        <f t="shared" si="162"/>
        <v>0.76213878513858857</v>
      </c>
      <c r="AT248" s="15">
        <f t="shared" si="163"/>
        <v>0.78688857316825656</v>
      </c>
      <c r="AU248" s="15">
        <f t="shared" si="164"/>
        <v>0.96854727737369761</v>
      </c>
      <c r="AV248" s="16"/>
      <c r="AW248" s="16"/>
      <c r="AX248" s="16">
        <v>5087</v>
      </c>
      <c r="AY248" s="16">
        <f t="shared" si="246"/>
        <v>160</v>
      </c>
      <c r="AZ248" s="16">
        <v>4927</v>
      </c>
      <c r="BA248" s="16">
        <v>3877</v>
      </c>
      <c r="BB248" s="16">
        <f t="shared" si="247"/>
        <v>1050</v>
      </c>
      <c r="BC248" s="16"/>
      <c r="BD248" s="16"/>
      <c r="BE248" s="78">
        <v>2013</v>
      </c>
      <c r="BF248" s="79" t="s">
        <v>38</v>
      </c>
      <c r="BG248" s="15">
        <f t="shared" si="167"/>
        <v>0.65789473684210531</v>
      </c>
      <c r="BH248" s="15">
        <f t="shared" si="168"/>
        <v>0.70993914807302227</v>
      </c>
      <c r="BI248" s="15">
        <f t="shared" si="169"/>
        <v>0.92669172932330823</v>
      </c>
      <c r="BJ248" s="16"/>
      <c r="BK248" s="16"/>
      <c r="BL248" s="16">
        <v>532</v>
      </c>
      <c r="BM248" s="16">
        <f t="shared" si="248"/>
        <v>39</v>
      </c>
      <c r="BN248" s="16">
        <v>493</v>
      </c>
      <c r="BO248" s="16">
        <v>350</v>
      </c>
      <c r="BP248" s="16">
        <f t="shared" si="249"/>
        <v>143</v>
      </c>
      <c r="BQ248" s="16"/>
      <c r="BR248" s="16"/>
      <c r="BS248" s="78">
        <v>2013</v>
      </c>
      <c r="BT248" s="79" t="s">
        <v>38</v>
      </c>
      <c r="BU248" s="15">
        <f t="shared" si="172"/>
        <v>0.63563049853372433</v>
      </c>
      <c r="BV248" s="15">
        <f t="shared" si="173"/>
        <v>0.66692307692307695</v>
      </c>
      <c r="BW248" s="15">
        <f t="shared" si="174"/>
        <v>0.95307917888563054</v>
      </c>
      <c r="BX248" s="16"/>
      <c r="BY248" s="16"/>
      <c r="BZ248" s="16">
        <v>2728</v>
      </c>
      <c r="CA248" s="16">
        <f t="shared" si="250"/>
        <v>128</v>
      </c>
      <c r="CB248" s="16">
        <v>2600</v>
      </c>
      <c r="CC248" s="16">
        <v>1734</v>
      </c>
      <c r="CD248" s="16">
        <f t="shared" si="251"/>
        <v>866</v>
      </c>
      <c r="CE248" s="16"/>
      <c r="CF248" s="16"/>
      <c r="CG248" s="78">
        <v>2013</v>
      </c>
      <c r="CH248" s="79" t="s">
        <v>38</v>
      </c>
      <c r="CI248" s="15">
        <f t="shared" si="177"/>
        <v>0.67289719626168221</v>
      </c>
      <c r="CJ248" s="15">
        <f t="shared" si="178"/>
        <v>0.84744228157537349</v>
      </c>
      <c r="CK248" s="15">
        <f t="shared" si="179"/>
        <v>0.79403306973400434</v>
      </c>
      <c r="CL248" s="16"/>
      <c r="CM248" s="16"/>
      <c r="CN248" s="16">
        <v>2782</v>
      </c>
      <c r="CO248" s="16">
        <f t="shared" si="252"/>
        <v>573</v>
      </c>
      <c r="CP248" s="16">
        <v>2209</v>
      </c>
      <c r="CQ248" s="16">
        <v>1872</v>
      </c>
      <c r="CR248" s="16">
        <f t="shared" si="253"/>
        <v>337</v>
      </c>
      <c r="CS248" s="16"/>
      <c r="CT248" s="16"/>
      <c r="CU248" s="78">
        <v>2013</v>
      </c>
      <c r="CV248" s="79" t="s">
        <v>38</v>
      </c>
      <c r="CW248" s="15">
        <f t="shared" si="199"/>
        <v>0.64504076086956519</v>
      </c>
      <c r="CX248" s="15">
        <f t="shared" si="200"/>
        <v>0.70937616735151288</v>
      </c>
      <c r="CY248" s="15">
        <f t="shared" si="201"/>
        <v>0.90930706521739135</v>
      </c>
      <c r="CZ248" s="16"/>
      <c r="DA248" s="16"/>
      <c r="DB248" s="16">
        <v>2944</v>
      </c>
      <c r="DC248" s="16">
        <f t="shared" si="182"/>
        <v>267</v>
      </c>
      <c r="DD248" s="16">
        <v>2677</v>
      </c>
      <c r="DE248" s="16">
        <v>1899</v>
      </c>
      <c r="DF248" s="16">
        <f t="shared" si="183"/>
        <v>778</v>
      </c>
      <c r="DG248" s="16"/>
      <c r="DH248" s="16"/>
      <c r="DI248" s="78">
        <v>2013</v>
      </c>
      <c r="DJ248" s="79" t="s">
        <v>38</v>
      </c>
      <c r="DK248" s="15">
        <f t="shared" si="184"/>
        <v>0.65284474445515916</v>
      </c>
      <c r="DL248" s="15">
        <f t="shared" si="185"/>
        <v>0.71868365180467086</v>
      </c>
      <c r="DM248" s="15">
        <f t="shared" si="186"/>
        <v>0.90838958534233361</v>
      </c>
      <c r="DN248" s="16"/>
      <c r="DO248" s="16"/>
      <c r="DP248" s="16">
        <v>1037</v>
      </c>
      <c r="DQ248" s="16">
        <f t="shared" si="254"/>
        <v>95</v>
      </c>
      <c r="DR248" s="16">
        <v>942</v>
      </c>
      <c r="DS248" s="16">
        <v>677</v>
      </c>
      <c r="DT248" s="16">
        <f t="shared" si="255"/>
        <v>265</v>
      </c>
      <c r="DU248" s="16"/>
      <c r="DV248" s="16"/>
      <c r="DW248" s="78">
        <v>2013</v>
      </c>
      <c r="DX248" s="79" t="s">
        <v>38</v>
      </c>
      <c r="DY248" s="15">
        <f t="shared" si="189"/>
        <v>0.91473396998635748</v>
      </c>
      <c r="DZ248" s="15">
        <f t="shared" si="190"/>
        <v>0.98385913426265592</v>
      </c>
      <c r="EA248" s="15">
        <f t="shared" si="191"/>
        <v>0.92974079126875853</v>
      </c>
      <c r="EB248" s="16"/>
      <c r="EC248" s="16"/>
      <c r="ED248" s="16">
        <v>1466</v>
      </c>
      <c r="EE248" s="16">
        <f t="shared" si="256"/>
        <v>103</v>
      </c>
      <c r="EF248" s="16">
        <v>1363</v>
      </c>
      <c r="EG248" s="16">
        <v>1341</v>
      </c>
      <c r="EH248" s="16">
        <f t="shared" si="257"/>
        <v>22</v>
      </c>
      <c r="EI248" s="16"/>
      <c r="EJ248" s="16"/>
      <c r="EK248" s="78"/>
      <c r="EL248" s="79"/>
      <c r="EM248" s="15"/>
      <c r="EN248" s="15"/>
      <c r="EO248" s="15"/>
      <c r="EP248" s="16"/>
      <c r="EQ248" s="16"/>
      <c r="ER248" s="16"/>
      <c r="ES248" s="16"/>
      <c r="ET248" s="16"/>
      <c r="EU248" s="16"/>
      <c r="EV248" s="16"/>
      <c r="EW248" s="16"/>
      <c r="EX248" s="16"/>
      <c r="EY248" s="78"/>
      <c r="EZ248" s="79"/>
      <c r="FA248" s="15"/>
      <c r="FB248" s="15"/>
      <c r="FC248" s="15"/>
      <c r="FD248" s="16"/>
      <c r="FE248" s="16"/>
      <c r="FF248" s="16"/>
      <c r="FG248" s="16"/>
      <c r="FH248" s="16"/>
      <c r="FI248" s="16"/>
      <c r="FJ248" s="16"/>
      <c r="FK248" s="16"/>
      <c r="FM248" s="78"/>
      <c r="FN248" s="79"/>
      <c r="FO248" s="15"/>
      <c r="FP248" s="15"/>
      <c r="FQ248" s="15"/>
      <c r="FR248" s="16"/>
      <c r="FS248" s="16"/>
      <c r="FT248" s="16"/>
      <c r="FU248" s="16"/>
      <c r="FV248" s="16"/>
      <c r="FW248" s="16"/>
      <c r="FX248" s="16"/>
      <c r="FY248" s="16"/>
      <c r="GA248" s="78"/>
      <c r="GB248" s="79"/>
      <c r="GC248" s="15"/>
      <c r="GD248" s="15"/>
      <c r="GE248" s="15"/>
      <c r="GF248" s="16"/>
      <c r="GG248" s="16"/>
      <c r="GH248" s="16"/>
      <c r="GI248" s="16"/>
      <c r="GJ248" s="16"/>
      <c r="GK248" s="16"/>
      <c r="GL248" s="16"/>
      <c r="GM248" s="16"/>
    </row>
    <row r="249" spans="1:195" s="18" customFormat="1" ht="15" customHeight="1">
      <c r="A249" s="80">
        <v>2013</v>
      </c>
      <c r="B249" s="81" t="s">
        <v>39</v>
      </c>
      <c r="C249" s="15">
        <f t="shared" si="194"/>
        <v>0.62900813312143589</v>
      </c>
      <c r="D249" s="15">
        <f t="shared" si="195"/>
        <v>0.74541627430343982</v>
      </c>
      <c r="E249" s="15">
        <f t="shared" si="196"/>
        <v>0.84383472001495752</v>
      </c>
      <c r="F249" s="16"/>
      <c r="G249" s="33"/>
      <c r="H24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21394</v>
      </c>
      <c r="I249" s="16">
        <f t="shared" si="197"/>
        <v>3341</v>
      </c>
      <c r="J24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18053</v>
      </c>
      <c r="K24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13457</v>
      </c>
      <c r="L249" s="16">
        <f t="shared" si="198"/>
        <v>4596</v>
      </c>
      <c r="M249" s="16"/>
      <c r="N249" s="16"/>
      <c r="O249" s="80">
        <v>2013</v>
      </c>
      <c r="P249" s="81" t="s">
        <v>39</v>
      </c>
      <c r="Q249" s="15">
        <f t="shared" si="157"/>
        <v>0.75577179927494753</v>
      </c>
      <c r="R249" s="15">
        <f t="shared" si="158"/>
        <v>0.80737871993477373</v>
      </c>
      <c r="S249" s="15">
        <f t="shared" si="159"/>
        <v>0.93608090059149018</v>
      </c>
      <c r="T249" s="26"/>
      <c r="U249" s="26"/>
      <c r="V249" s="16">
        <v>5241</v>
      </c>
      <c r="W249" s="16">
        <f t="shared" si="244"/>
        <v>335</v>
      </c>
      <c r="X249" s="16">
        <v>4906</v>
      </c>
      <c r="Y249" s="16">
        <v>3961</v>
      </c>
      <c r="Z249" s="16">
        <f t="shared" si="245"/>
        <v>945</v>
      </c>
      <c r="AA249" s="16"/>
      <c r="AB249" s="16"/>
      <c r="AC249" s="80"/>
      <c r="AD249" s="81"/>
      <c r="AE249" s="15"/>
      <c r="AF249" s="15"/>
      <c r="AG249" s="15"/>
      <c r="AH249" s="15"/>
      <c r="AI249" s="15"/>
      <c r="AJ249" s="16"/>
      <c r="AK249" s="16"/>
      <c r="AL249" s="16"/>
      <c r="AM249" s="16"/>
      <c r="AN249" s="16"/>
      <c r="AO249" s="16"/>
      <c r="AP249" s="16"/>
      <c r="AQ249" s="80">
        <v>2013</v>
      </c>
      <c r="AR249" s="81" t="s">
        <v>39</v>
      </c>
      <c r="AS249" s="15">
        <f t="shared" si="162"/>
        <v>0.7547931382441978</v>
      </c>
      <c r="AT249" s="15">
        <f t="shared" si="163"/>
        <v>0.80171489817792063</v>
      </c>
      <c r="AU249" s="15">
        <f t="shared" si="164"/>
        <v>0.94147325933400605</v>
      </c>
      <c r="AV249" s="16"/>
      <c r="AW249" s="16"/>
      <c r="AX249" s="16">
        <v>4955</v>
      </c>
      <c r="AY249" s="16">
        <f t="shared" si="246"/>
        <v>290</v>
      </c>
      <c r="AZ249" s="16">
        <v>4665</v>
      </c>
      <c r="BA249" s="16">
        <v>3740</v>
      </c>
      <c r="BB249" s="16">
        <f t="shared" si="247"/>
        <v>925</v>
      </c>
      <c r="BC249" s="16"/>
      <c r="BD249" s="16"/>
      <c r="BE249" s="80">
        <v>2013</v>
      </c>
      <c r="BF249" s="81" t="s">
        <v>39</v>
      </c>
      <c r="BG249" s="15">
        <f t="shared" si="167"/>
        <v>0.58392857142857146</v>
      </c>
      <c r="BH249" s="15">
        <f t="shared" si="168"/>
        <v>0.63742690058479534</v>
      </c>
      <c r="BI249" s="15">
        <f t="shared" si="169"/>
        <v>0.91607142857142854</v>
      </c>
      <c r="BJ249" s="16"/>
      <c r="BK249" s="16"/>
      <c r="BL249" s="16">
        <v>560</v>
      </c>
      <c r="BM249" s="16">
        <f t="shared" si="248"/>
        <v>47</v>
      </c>
      <c r="BN249" s="16">
        <v>513</v>
      </c>
      <c r="BO249" s="16">
        <v>327</v>
      </c>
      <c r="BP249" s="16">
        <f t="shared" si="249"/>
        <v>186</v>
      </c>
      <c r="BQ249" s="16"/>
      <c r="BR249" s="16"/>
      <c r="BS249" s="80">
        <v>2013</v>
      </c>
      <c r="BT249" s="81" t="s">
        <v>39</v>
      </c>
      <c r="BU249" s="15">
        <f t="shared" si="172"/>
        <v>0.55052790346907998</v>
      </c>
      <c r="BV249" s="15">
        <f t="shared" si="173"/>
        <v>0.58728881737731298</v>
      </c>
      <c r="BW249" s="15">
        <f t="shared" si="174"/>
        <v>0.93740573152337858</v>
      </c>
      <c r="BX249" s="16"/>
      <c r="BY249" s="16"/>
      <c r="BZ249" s="16">
        <v>2652</v>
      </c>
      <c r="CA249" s="16">
        <f t="shared" si="250"/>
        <v>166</v>
      </c>
      <c r="CB249" s="16">
        <v>2486</v>
      </c>
      <c r="CC249" s="16">
        <v>1460</v>
      </c>
      <c r="CD249" s="16">
        <f t="shared" si="251"/>
        <v>1026</v>
      </c>
      <c r="CE249" s="16"/>
      <c r="CF249" s="16"/>
      <c r="CG249" s="80">
        <v>2013</v>
      </c>
      <c r="CH249" s="81" t="s">
        <v>39</v>
      </c>
      <c r="CI249" s="15">
        <f t="shared" si="177"/>
        <v>0.56152705707931805</v>
      </c>
      <c r="CJ249" s="15">
        <f t="shared" si="178"/>
        <v>0.82024905251759606</v>
      </c>
      <c r="CK249" s="15">
        <f t="shared" si="179"/>
        <v>0.68458117123795403</v>
      </c>
      <c r="CL249" s="16"/>
      <c r="CM249" s="16"/>
      <c r="CN249" s="16">
        <v>2698</v>
      </c>
      <c r="CO249" s="16">
        <f t="shared" si="252"/>
        <v>851</v>
      </c>
      <c r="CP249" s="16">
        <v>1847</v>
      </c>
      <c r="CQ249" s="16">
        <v>1515</v>
      </c>
      <c r="CR249" s="16">
        <f t="shared" si="253"/>
        <v>332</v>
      </c>
      <c r="CS249" s="16"/>
      <c r="CT249" s="16"/>
      <c r="CU249" s="80">
        <v>2013</v>
      </c>
      <c r="CV249" s="81" t="s">
        <v>39</v>
      </c>
      <c r="CW249" s="15">
        <f t="shared" si="199"/>
        <v>0.38243526941917427</v>
      </c>
      <c r="CX249" s="15">
        <f t="shared" si="200"/>
        <v>0.52801932367149762</v>
      </c>
      <c r="CY249" s="15">
        <f t="shared" si="201"/>
        <v>0.7242827151854444</v>
      </c>
      <c r="CZ249" s="16"/>
      <c r="DA249" s="16"/>
      <c r="DB249" s="16">
        <v>2858</v>
      </c>
      <c r="DC249" s="16">
        <f t="shared" si="182"/>
        <v>788</v>
      </c>
      <c r="DD249" s="16">
        <v>2070</v>
      </c>
      <c r="DE249" s="16">
        <v>1093</v>
      </c>
      <c r="DF249" s="16">
        <f t="shared" si="183"/>
        <v>977</v>
      </c>
      <c r="DG249" s="16"/>
      <c r="DH249" s="16"/>
      <c r="DI249" s="80">
        <v>2013</v>
      </c>
      <c r="DJ249" s="81" t="s">
        <v>39</v>
      </c>
      <c r="DK249" s="15">
        <f t="shared" si="184"/>
        <v>0.36210317460317459</v>
      </c>
      <c r="DL249" s="15">
        <f t="shared" si="185"/>
        <v>0.67343173431734316</v>
      </c>
      <c r="DM249" s="15">
        <f t="shared" si="186"/>
        <v>0.53769841269841268</v>
      </c>
      <c r="DN249" s="16"/>
      <c r="DO249" s="16"/>
      <c r="DP249" s="16">
        <v>1008</v>
      </c>
      <c r="DQ249" s="16">
        <f t="shared" si="254"/>
        <v>466</v>
      </c>
      <c r="DR249" s="16">
        <v>542</v>
      </c>
      <c r="DS249" s="16">
        <v>365</v>
      </c>
      <c r="DT249" s="16">
        <f t="shared" si="255"/>
        <v>177</v>
      </c>
      <c r="DU249" s="16"/>
      <c r="DV249" s="16"/>
      <c r="DW249" s="80">
        <v>2013</v>
      </c>
      <c r="DX249" s="81" t="s">
        <v>39</v>
      </c>
      <c r="DY249" s="15">
        <f t="shared" si="189"/>
        <v>0.70042194092827004</v>
      </c>
      <c r="DZ249" s="15">
        <f t="shared" si="190"/>
        <v>0.97265625</v>
      </c>
      <c r="EA249" s="15">
        <f t="shared" si="191"/>
        <v>0.72011251758087202</v>
      </c>
      <c r="EB249" s="16"/>
      <c r="EC249" s="16"/>
      <c r="ED249" s="16">
        <v>1422</v>
      </c>
      <c r="EE249" s="16">
        <f t="shared" si="256"/>
        <v>398</v>
      </c>
      <c r="EF249" s="16">
        <v>1024</v>
      </c>
      <c r="EG249" s="16">
        <v>996</v>
      </c>
      <c r="EH249" s="16">
        <f t="shared" si="257"/>
        <v>28</v>
      </c>
      <c r="EI249" s="16"/>
      <c r="EJ249" s="16"/>
      <c r="EK249" s="80"/>
      <c r="EL249" s="81"/>
      <c r="EM249" s="15"/>
      <c r="EN249" s="15"/>
      <c r="EO249" s="15"/>
      <c r="EP249" s="16"/>
      <c r="EQ249" s="16"/>
      <c r="ER249" s="16"/>
      <c r="ES249" s="16"/>
      <c r="ET249" s="16"/>
      <c r="EU249" s="16"/>
      <c r="EV249" s="16"/>
      <c r="EW249" s="16"/>
      <c r="EX249" s="16"/>
      <c r="EY249" s="80"/>
      <c r="EZ249" s="81"/>
      <c r="FA249" s="15"/>
      <c r="FB249" s="15"/>
      <c r="FC249" s="15"/>
      <c r="FD249" s="16"/>
      <c r="FE249" s="16"/>
      <c r="FF249" s="16"/>
      <c r="FG249" s="16"/>
      <c r="FH249" s="16"/>
      <c r="FI249" s="16"/>
      <c r="FJ249" s="16"/>
      <c r="FK249" s="16"/>
      <c r="FM249" s="80"/>
      <c r="FN249" s="81"/>
      <c r="FO249" s="15"/>
      <c r="FP249" s="15"/>
      <c r="FQ249" s="15"/>
      <c r="FR249" s="16"/>
      <c r="FS249" s="16"/>
      <c r="FT249" s="16"/>
      <c r="FU249" s="16"/>
      <c r="FV249" s="16"/>
      <c r="FW249" s="16"/>
      <c r="FX249" s="16"/>
      <c r="FY249" s="16"/>
      <c r="GA249" s="80"/>
      <c r="GB249" s="81"/>
      <c r="GC249" s="15"/>
      <c r="GD249" s="15"/>
      <c r="GE249" s="15"/>
      <c r="GF249" s="16"/>
      <c r="GG249" s="16"/>
      <c r="GH249" s="16"/>
      <c r="GI249" s="16"/>
      <c r="GJ249" s="16"/>
      <c r="GK249" s="16"/>
      <c r="GL249" s="16"/>
      <c r="GM249" s="16"/>
    </row>
    <row r="250" spans="1:195" s="18" customFormat="1" ht="15" customHeight="1">
      <c r="A250" s="78">
        <v>2013</v>
      </c>
      <c r="B250" s="79" t="s">
        <v>40</v>
      </c>
      <c r="C250" s="15">
        <f t="shared" si="194"/>
        <v>0.61907938625750503</v>
      </c>
      <c r="D250" s="15">
        <f t="shared" si="195"/>
        <v>0.72300420713655011</v>
      </c>
      <c r="E250" s="15">
        <f t="shared" si="196"/>
        <v>0.85625972870802758</v>
      </c>
      <c r="F250" s="16"/>
      <c r="G250" s="33"/>
      <c r="H25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22485</v>
      </c>
      <c r="I250" s="16">
        <f t="shared" si="197"/>
        <v>3232</v>
      </c>
      <c r="J25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19253</v>
      </c>
      <c r="K25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13920</v>
      </c>
      <c r="L250" s="16">
        <f t="shared" si="198"/>
        <v>5333</v>
      </c>
      <c r="M250" s="16"/>
      <c r="N250" s="16"/>
      <c r="O250" s="78">
        <v>2013</v>
      </c>
      <c r="P250" s="79" t="s">
        <v>40</v>
      </c>
      <c r="Q250" s="15">
        <f t="shared" si="157"/>
        <v>0.75504686373467922</v>
      </c>
      <c r="R250" s="15">
        <f t="shared" si="158"/>
        <v>0.78036512667660207</v>
      </c>
      <c r="S250" s="15">
        <f t="shared" si="159"/>
        <v>0.96755587599134818</v>
      </c>
      <c r="T250" s="26"/>
      <c r="U250" s="26"/>
      <c r="V250" s="16">
        <v>5548</v>
      </c>
      <c r="W250" s="16">
        <f t="shared" si="244"/>
        <v>180</v>
      </c>
      <c r="X250" s="16">
        <v>5368</v>
      </c>
      <c r="Y250" s="16">
        <v>4189</v>
      </c>
      <c r="Z250" s="16">
        <f t="shared" si="245"/>
        <v>1179</v>
      </c>
      <c r="AA250" s="16"/>
      <c r="AB250" s="16"/>
      <c r="AC250" s="78"/>
      <c r="AD250" s="79"/>
      <c r="AE250" s="15"/>
      <c r="AF250" s="15"/>
      <c r="AG250" s="15"/>
      <c r="AH250" s="15"/>
      <c r="AI250" s="15"/>
      <c r="AJ250" s="16"/>
      <c r="AK250" s="16"/>
      <c r="AL250" s="16"/>
      <c r="AM250" s="16"/>
      <c r="AN250" s="16"/>
      <c r="AO250" s="16"/>
      <c r="AP250" s="16"/>
      <c r="AQ250" s="78">
        <v>2013</v>
      </c>
      <c r="AR250" s="79" t="s">
        <v>40</v>
      </c>
      <c r="AS250" s="15">
        <f t="shared" si="162"/>
        <v>0.72335947962502389</v>
      </c>
      <c r="AT250" s="15">
        <f t="shared" si="163"/>
        <v>0.75908452118048586</v>
      </c>
      <c r="AU250" s="15">
        <f t="shared" si="164"/>
        <v>0.95293667495695422</v>
      </c>
      <c r="AV250" s="16"/>
      <c r="AW250" s="16"/>
      <c r="AX250" s="16">
        <v>5227</v>
      </c>
      <c r="AY250" s="16">
        <f t="shared" si="246"/>
        <v>246</v>
      </c>
      <c r="AZ250" s="16">
        <v>4981</v>
      </c>
      <c r="BA250" s="16">
        <v>3781</v>
      </c>
      <c r="BB250" s="16">
        <f t="shared" si="247"/>
        <v>1200</v>
      </c>
      <c r="BC250" s="16"/>
      <c r="BD250" s="16"/>
      <c r="BE250" s="78">
        <v>2013</v>
      </c>
      <c r="BF250" s="79" t="s">
        <v>40</v>
      </c>
      <c r="BG250" s="15">
        <f t="shared" si="167"/>
        <v>0.58766233766233766</v>
      </c>
      <c r="BH250" s="15">
        <f t="shared" si="168"/>
        <v>0.61669505962521298</v>
      </c>
      <c r="BI250" s="15">
        <f t="shared" si="169"/>
        <v>0.95292207792207795</v>
      </c>
      <c r="BJ250" s="16"/>
      <c r="BK250" s="16"/>
      <c r="BL250" s="16">
        <v>616</v>
      </c>
      <c r="BM250" s="16">
        <f t="shared" si="248"/>
        <v>29</v>
      </c>
      <c r="BN250" s="16">
        <v>587</v>
      </c>
      <c r="BO250" s="16">
        <v>362</v>
      </c>
      <c r="BP250" s="16">
        <f t="shared" si="249"/>
        <v>225</v>
      </c>
      <c r="BQ250" s="16"/>
      <c r="BR250" s="16"/>
      <c r="BS250" s="78">
        <v>2013</v>
      </c>
      <c r="BT250" s="79" t="s">
        <v>40</v>
      </c>
      <c r="BU250" s="15">
        <f t="shared" si="172"/>
        <v>0.58887283236994215</v>
      </c>
      <c r="BV250" s="15">
        <f t="shared" si="173"/>
        <v>0.62190003815337658</v>
      </c>
      <c r="BW250" s="15">
        <f t="shared" si="174"/>
        <v>0.94689306358381498</v>
      </c>
      <c r="BX250" s="16"/>
      <c r="BY250" s="16"/>
      <c r="BZ250" s="16">
        <v>2768</v>
      </c>
      <c r="CA250" s="16">
        <f t="shared" si="250"/>
        <v>147</v>
      </c>
      <c r="CB250" s="16">
        <v>2621</v>
      </c>
      <c r="CC250" s="16">
        <v>1630</v>
      </c>
      <c r="CD250" s="16">
        <f t="shared" si="251"/>
        <v>991</v>
      </c>
      <c r="CE250" s="16"/>
      <c r="CF250" s="16"/>
      <c r="CG250" s="78">
        <v>2013</v>
      </c>
      <c r="CH250" s="79" t="s">
        <v>40</v>
      </c>
      <c r="CI250" s="15">
        <f t="shared" si="177"/>
        <v>0.578069552874379</v>
      </c>
      <c r="CJ250" s="15">
        <f t="shared" si="178"/>
        <v>0.82900763358778629</v>
      </c>
      <c r="CK250" s="15">
        <f t="shared" si="179"/>
        <v>0.69730305180979413</v>
      </c>
      <c r="CL250" s="16"/>
      <c r="CM250" s="16"/>
      <c r="CN250" s="16">
        <v>2818</v>
      </c>
      <c r="CO250" s="16">
        <f t="shared" si="252"/>
        <v>853</v>
      </c>
      <c r="CP250" s="16">
        <v>1965</v>
      </c>
      <c r="CQ250" s="16">
        <v>1629</v>
      </c>
      <c r="CR250" s="16">
        <f t="shared" si="253"/>
        <v>336</v>
      </c>
      <c r="CS250" s="16"/>
      <c r="CT250" s="16"/>
      <c r="CU250" s="78">
        <v>2013</v>
      </c>
      <c r="CV250" s="79" t="s">
        <v>40</v>
      </c>
      <c r="CW250" s="15">
        <f t="shared" si="199"/>
        <v>0.30836412495801141</v>
      </c>
      <c r="CX250" s="15">
        <f t="shared" si="200"/>
        <v>0.44347826086956521</v>
      </c>
      <c r="CY250" s="15">
        <f t="shared" si="201"/>
        <v>0.69533087000335914</v>
      </c>
      <c r="CZ250" s="16"/>
      <c r="DA250" s="16"/>
      <c r="DB250" s="16">
        <v>2977</v>
      </c>
      <c r="DC250" s="16">
        <f t="shared" si="182"/>
        <v>907</v>
      </c>
      <c r="DD250" s="16">
        <v>2070</v>
      </c>
      <c r="DE250" s="16">
        <v>918</v>
      </c>
      <c r="DF250" s="16">
        <f t="shared" si="183"/>
        <v>1152</v>
      </c>
      <c r="DG250" s="16"/>
      <c r="DH250" s="16"/>
      <c r="DI250" s="78">
        <v>2013</v>
      </c>
      <c r="DJ250" s="79" t="s">
        <v>40</v>
      </c>
      <c r="DK250" s="15">
        <f t="shared" si="184"/>
        <v>0.39408396946564883</v>
      </c>
      <c r="DL250" s="15">
        <f t="shared" si="185"/>
        <v>0.67373572593800979</v>
      </c>
      <c r="DM250" s="15">
        <f t="shared" si="186"/>
        <v>0.58492366412213737</v>
      </c>
      <c r="DN250" s="16"/>
      <c r="DO250" s="16"/>
      <c r="DP250" s="16">
        <v>1048</v>
      </c>
      <c r="DQ250" s="16">
        <f t="shared" si="254"/>
        <v>435</v>
      </c>
      <c r="DR250" s="16">
        <v>613</v>
      </c>
      <c r="DS250" s="16">
        <v>413</v>
      </c>
      <c r="DT250" s="16">
        <f t="shared" si="255"/>
        <v>200</v>
      </c>
      <c r="DU250" s="16"/>
      <c r="DV250" s="16"/>
      <c r="DW250" s="78">
        <v>2013</v>
      </c>
      <c r="DX250" s="79" t="s">
        <v>40</v>
      </c>
      <c r="DY250" s="15">
        <f t="shared" si="189"/>
        <v>0.6729602157788267</v>
      </c>
      <c r="DZ250" s="15">
        <f t="shared" si="190"/>
        <v>0.95229007633587781</v>
      </c>
      <c r="EA250" s="15">
        <f t="shared" si="191"/>
        <v>0.7066756574511126</v>
      </c>
      <c r="EB250" s="16"/>
      <c r="EC250" s="16"/>
      <c r="ED250" s="16">
        <v>1483</v>
      </c>
      <c r="EE250" s="16">
        <f t="shared" si="256"/>
        <v>435</v>
      </c>
      <c r="EF250" s="16">
        <v>1048</v>
      </c>
      <c r="EG250" s="16">
        <v>998</v>
      </c>
      <c r="EH250" s="16">
        <f t="shared" si="257"/>
        <v>50</v>
      </c>
      <c r="EI250" s="16"/>
      <c r="EJ250" s="16"/>
      <c r="EK250" s="78"/>
      <c r="EL250" s="79"/>
      <c r="EM250" s="15"/>
      <c r="EN250" s="15"/>
      <c r="EO250" s="15"/>
      <c r="EP250" s="16"/>
      <c r="EQ250" s="16"/>
      <c r="ER250" s="16"/>
      <c r="ES250" s="16"/>
      <c r="ET250" s="16"/>
      <c r="EU250" s="16"/>
      <c r="EV250" s="16"/>
      <c r="EW250" s="16"/>
      <c r="EX250" s="16"/>
      <c r="EY250" s="78"/>
      <c r="EZ250" s="79"/>
      <c r="FA250" s="15"/>
      <c r="FB250" s="15"/>
      <c r="FC250" s="15"/>
      <c r="FD250" s="16"/>
      <c r="FE250" s="16"/>
      <c r="FF250" s="16"/>
      <c r="FG250" s="16"/>
      <c r="FH250" s="16"/>
      <c r="FI250" s="16"/>
      <c r="FJ250" s="16"/>
      <c r="FK250" s="16"/>
      <c r="FM250" s="78"/>
      <c r="FN250" s="79"/>
      <c r="FO250" s="15"/>
      <c r="FP250" s="15"/>
      <c r="FQ250" s="15"/>
      <c r="FR250" s="16"/>
      <c r="FS250" s="16"/>
      <c r="FT250" s="16"/>
      <c r="FU250" s="16"/>
      <c r="FV250" s="16"/>
      <c r="FW250" s="16"/>
      <c r="FX250" s="16"/>
      <c r="FY250" s="16"/>
      <c r="GA250" s="78"/>
      <c r="GB250" s="79"/>
      <c r="GC250" s="15"/>
      <c r="GD250" s="15"/>
      <c r="GE250" s="15"/>
      <c r="GF250" s="16"/>
      <c r="GG250" s="16"/>
      <c r="GH250" s="16"/>
      <c r="GI250" s="16"/>
      <c r="GJ250" s="16"/>
      <c r="GK250" s="16"/>
      <c r="GL250" s="16"/>
      <c r="GM250" s="16"/>
    </row>
    <row r="251" spans="1:195" s="18" customFormat="1" ht="15" customHeight="1">
      <c r="A251" s="80">
        <v>2013</v>
      </c>
      <c r="B251" s="81" t="s">
        <v>41</v>
      </c>
      <c r="C251" s="15">
        <f t="shared" si="194"/>
        <v>0.62033462033462028</v>
      </c>
      <c r="D251" s="15">
        <f t="shared" si="195"/>
        <v>0.73091828138163439</v>
      </c>
      <c r="E251" s="15">
        <f t="shared" si="196"/>
        <v>0.84870584870584875</v>
      </c>
      <c r="F251" s="16"/>
      <c r="G251" s="33"/>
      <c r="H25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20979</v>
      </c>
      <c r="I251" s="16">
        <f t="shared" si="197"/>
        <v>3174</v>
      </c>
      <c r="J25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17805</v>
      </c>
      <c r="K25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13014</v>
      </c>
      <c r="L251" s="16">
        <f t="shared" si="198"/>
        <v>4791</v>
      </c>
      <c r="M251" s="16"/>
      <c r="N251" s="16"/>
      <c r="O251" s="80">
        <v>2013</v>
      </c>
      <c r="P251" s="81" t="s">
        <v>41</v>
      </c>
      <c r="Q251" s="15">
        <f t="shared" si="157"/>
        <v>0.74058823529411766</v>
      </c>
      <c r="R251" s="15">
        <f t="shared" si="158"/>
        <v>0.78117890382626676</v>
      </c>
      <c r="S251" s="15">
        <f t="shared" si="159"/>
        <v>0.94803921568627447</v>
      </c>
      <c r="T251" s="26"/>
      <c r="U251" s="26"/>
      <c r="V251" s="16">
        <v>5100</v>
      </c>
      <c r="W251" s="16">
        <f t="shared" si="244"/>
        <v>265</v>
      </c>
      <c r="X251" s="16">
        <v>4835</v>
      </c>
      <c r="Y251" s="16">
        <v>3777</v>
      </c>
      <c r="Z251" s="16">
        <f t="shared" si="245"/>
        <v>1058</v>
      </c>
      <c r="AA251" s="16"/>
      <c r="AB251" s="16"/>
      <c r="AC251" s="80"/>
      <c r="AD251" s="81"/>
      <c r="AE251" s="15"/>
      <c r="AF251" s="15"/>
      <c r="AG251" s="15"/>
      <c r="AH251" s="15"/>
      <c r="AI251" s="15"/>
      <c r="AJ251" s="16"/>
      <c r="AK251" s="16"/>
      <c r="AL251" s="16"/>
      <c r="AM251" s="16"/>
      <c r="AN251" s="16"/>
      <c r="AO251" s="16"/>
      <c r="AP251" s="16"/>
      <c r="AQ251" s="80">
        <v>2013</v>
      </c>
      <c r="AR251" s="81" t="s">
        <v>41</v>
      </c>
      <c r="AS251" s="15">
        <f t="shared" si="162"/>
        <v>0.75356037151702782</v>
      </c>
      <c r="AT251" s="15">
        <f t="shared" si="163"/>
        <v>0.79094454072790299</v>
      </c>
      <c r="AU251" s="15">
        <f t="shared" si="164"/>
        <v>0.95273477812177498</v>
      </c>
      <c r="AV251" s="16"/>
      <c r="AW251" s="16"/>
      <c r="AX251" s="16">
        <v>4845</v>
      </c>
      <c r="AY251" s="16">
        <f t="shared" si="246"/>
        <v>229</v>
      </c>
      <c r="AZ251" s="16">
        <v>4616</v>
      </c>
      <c r="BA251" s="16">
        <v>3651</v>
      </c>
      <c r="BB251" s="16">
        <f t="shared" si="247"/>
        <v>965</v>
      </c>
      <c r="BC251" s="16"/>
      <c r="BD251" s="16"/>
      <c r="BE251" s="80">
        <v>2013</v>
      </c>
      <c r="BF251" s="81" t="s">
        <v>41</v>
      </c>
      <c r="BG251" s="15">
        <f t="shared" si="167"/>
        <v>0.55753968253968256</v>
      </c>
      <c r="BH251" s="15">
        <f t="shared" si="168"/>
        <v>0.61487964989059085</v>
      </c>
      <c r="BI251" s="15">
        <f t="shared" si="169"/>
        <v>0.90674603174603174</v>
      </c>
      <c r="BJ251" s="16"/>
      <c r="BK251" s="16"/>
      <c r="BL251" s="16">
        <v>504</v>
      </c>
      <c r="BM251" s="16">
        <f t="shared" si="248"/>
        <v>47</v>
      </c>
      <c r="BN251" s="16">
        <v>457</v>
      </c>
      <c r="BO251" s="16">
        <v>281</v>
      </c>
      <c r="BP251" s="16">
        <f t="shared" si="249"/>
        <v>176</v>
      </c>
      <c r="BQ251" s="16"/>
      <c r="BR251" s="16"/>
      <c r="BS251" s="80">
        <v>2013</v>
      </c>
      <c r="BT251" s="81" t="s">
        <v>41</v>
      </c>
      <c r="BU251" s="15">
        <f t="shared" si="172"/>
        <v>0.61426936283861122</v>
      </c>
      <c r="BV251" s="15">
        <f t="shared" si="173"/>
        <v>0.66091954022988508</v>
      </c>
      <c r="BW251" s="15">
        <f t="shared" si="174"/>
        <v>0.92941625333842048</v>
      </c>
      <c r="BX251" s="16"/>
      <c r="BY251" s="16"/>
      <c r="BZ251" s="16">
        <v>2621</v>
      </c>
      <c r="CA251" s="16">
        <f t="shared" si="250"/>
        <v>185</v>
      </c>
      <c r="CB251" s="16">
        <v>2436</v>
      </c>
      <c r="CC251" s="16">
        <v>1610</v>
      </c>
      <c r="CD251" s="16">
        <f t="shared" si="251"/>
        <v>826</v>
      </c>
      <c r="CE251" s="16"/>
      <c r="CF251" s="16"/>
      <c r="CG251" s="80">
        <v>2013</v>
      </c>
      <c r="CH251" s="81" t="s">
        <v>41</v>
      </c>
      <c r="CI251" s="15">
        <f t="shared" si="177"/>
        <v>0.59048332708879725</v>
      </c>
      <c r="CJ251" s="15">
        <f t="shared" si="178"/>
        <v>0.81615743138270325</v>
      </c>
      <c r="CK251" s="15">
        <f t="shared" si="179"/>
        <v>0.72349194454852006</v>
      </c>
      <c r="CL251" s="16"/>
      <c r="CM251" s="16"/>
      <c r="CN251" s="16">
        <v>2669</v>
      </c>
      <c r="CO251" s="16">
        <f t="shared" si="252"/>
        <v>738</v>
      </c>
      <c r="CP251" s="16">
        <v>1931</v>
      </c>
      <c r="CQ251" s="16">
        <v>1576</v>
      </c>
      <c r="CR251" s="16">
        <f t="shared" si="253"/>
        <v>355</v>
      </c>
      <c r="CS251" s="16"/>
      <c r="CT251" s="16"/>
      <c r="CU251" s="80">
        <v>2013</v>
      </c>
      <c r="CV251" s="81" t="s">
        <v>41</v>
      </c>
      <c r="CW251" s="15">
        <f t="shared" si="199"/>
        <v>0.32768361581920902</v>
      </c>
      <c r="CX251" s="15">
        <f t="shared" si="200"/>
        <v>0.46077457795431975</v>
      </c>
      <c r="CY251" s="15">
        <f t="shared" si="201"/>
        <v>0.71115819209039544</v>
      </c>
      <c r="CZ251" s="16"/>
      <c r="DA251" s="16"/>
      <c r="DB251" s="16">
        <v>2832</v>
      </c>
      <c r="DC251" s="16">
        <f t="shared" si="182"/>
        <v>818</v>
      </c>
      <c r="DD251" s="16">
        <v>2014</v>
      </c>
      <c r="DE251" s="16">
        <v>928</v>
      </c>
      <c r="DF251" s="16">
        <f t="shared" si="183"/>
        <v>1086</v>
      </c>
      <c r="DG251" s="16"/>
      <c r="DH251" s="16"/>
      <c r="DI251" s="80">
        <v>2013</v>
      </c>
      <c r="DJ251" s="81" t="s">
        <v>41</v>
      </c>
      <c r="DK251" s="15">
        <f t="shared" si="184"/>
        <v>0.29099999999999998</v>
      </c>
      <c r="DL251" s="15">
        <f t="shared" si="185"/>
        <v>0.55534351145038163</v>
      </c>
      <c r="DM251" s="15">
        <f t="shared" si="186"/>
        <v>0.52400000000000002</v>
      </c>
      <c r="DN251" s="16"/>
      <c r="DO251" s="16"/>
      <c r="DP251" s="16">
        <v>1000</v>
      </c>
      <c r="DQ251" s="16">
        <f t="shared" si="254"/>
        <v>476</v>
      </c>
      <c r="DR251" s="16">
        <v>524</v>
      </c>
      <c r="DS251" s="16">
        <v>291</v>
      </c>
      <c r="DT251" s="16">
        <f t="shared" si="255"/>
        <v>233</v>
      </c>
      <c r="DU251" s="16"/>
      <c r="DV251" s="16"/>
      <c r="DW251" s="80">
        <v>2013</v>
      </c>
      <c r="DX251" s="81" t="s">
        <v>41</v>
      </c>
      <c r="DY251" s="15">
        <f t="shared" si="189"/>
        <v>0.63920454545454541</v>
      </c>
      <c r="DZ251" s="15">
        <f t="shared" si="190"/>
        <v>0.907258064516129</v>
      </c>
      <c r="EA251" s="15">
        <f t="shared" si="191"/>
        <v>0.70454545454545459</v>
      </c>
      <c r="EB251" s="16"/>
      <c r="EC251" s="16"/>
      <c r="ED251" s="16">
        <v>1408</v>
      </c>
      <c r="EE251" s="16">
        <f t="shared" si="256"/>
        <v>416</v>
      </c>
      <c r="EF251" s="16">
        <v>992</v>
      </c>
      <c r="EG251" s="16">
        <v>900</v>
      </c>
      <c r="EH251" s="16">
        <f t="shared" si="257"/>
        <v>92</v>
      </c>
      <c r="EI251" s="16"/>
      <c r="EJ251" s="16"/>
      <c r="EK251" s="80"/>
      <c r="EL251" s="81"/>
      <c r="EM251" s="15"/>
      <c r="EN251" s="15"/>
      <c r="EO251" s="15"/>
      <c r="EP251" s="16"/>
      <c r="EQ251" s="16"/>
      <c r="ER251" s="16"/>
      <c r="ES251" s="16"/>
      <c r="ET251" s="16"/>
      <c r="EU251" s="16"/>
      <c r="EV251" s="16"/>
      <c r="EW251" s="16"/>
      <c r="EX251" s="16"/>
      <c r="EY251" s="80"/>
      <c r="EZ251" s="81"/>
      <c r="FA251" s="15"/>
      <c r="FB251" s="15"/>
      <c r="FC251" s="15"/>
      <c r="FD251" s="16"/>
      <c r="FE251" s="16"/>
      <c r="FF251" s="16"/>
      <c r="FG251" s="16"/>
      <c r="FH251" s="16"/>
      <c r="FI251" s="16"/>
      <c r="FJ251" s="16"/>
      <c r="FK251" s="16"/>
      <c r="FM251" s="80"/>
      <c r="FN251" s="81"/>
      <c r="FO251" s="15"/>
      <c r="FP251" s="15"/>
      <c r="FQ251" s="15"/>
      <c r="FR251" s="16"/>
      <c r="FS251" s="16"/>
      <c r="FT251" s="16"/>
      <c r="FU251" s="16"/>
      <c r="FV251" s="16"/>
      <c r="FW251" s="16"/>
      <c r="FX251" s="16"/>
      <c r="FY251" s="16"/>
      <c r="GA251" s="80"/>
      <c r="GB251" s="81"/>
      <c r="GC251" s="15"/>
      <c r="GD251" s="15"/>
      <c r="GE251" s="15"/>
      <c r="GF251" s="16"/>
      <c r="GG251" s="16"/>
      <c r="GH251" s="16"/>
      <c r="GI251" s="16"/>
      <c r="GJ251" s="16"/>
      <c r="GK251" s="16"/>
      <c r="GL251" s="16"/>
      <c r="GM251" s="16"/>
    </row>
    <row r="252" spans="1:195" s="18" customFormat="1" ht="15" customHeight="1">
      <c r="A252" s="78">
        <v>2013</v>
      </c>
      <c r="B252" s="79" t="s">
        <v>42</v>
      </c>
      <c r="C252" s="15">
        <f t="shared" si="194"/>
        <v>0.59385589441769215</v>
      </c>
      <c r="D252" s="15">
        <f t="shared" si="195"/>
        <v>0.69168051516410467</v>
      </c>
      <c r="E252" s="15">
        <f t="shared" si="196"/>
        <v>0.85856964508649902</v>
      </c>
      <c r="F252" s="16"/>
      <c r="G252" s="33"/>
      <c r="H25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22428</v>
      </c>
      <c r="I252" s="16">
        <f t="shared" si="197"/>
        <v>3172</v>
      </c>
      <c r="J25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19256</v>
      </c>
      <c r="K25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13319</v>
      </c>
      <c r="L252" s="16">
        <f t="shared" si="198"/>
        <v>5937</v>
      </c>
      <c r="M252" s="16"/>
      <c r="N252" s="16"/>
      <c r="O252" s="78">
        <v>2013</v>
      </c>
      <c r="P252" s="79" t="s">
        <v>42</v>
      </c>
      <c r="Q252" s="15">
        <f t="shared" si="157"/>
        <v>0.64910698177882009</v>
      </c>
      <c r="R252" s="15">
        <f t="shared" si="158"/>
        <v>0.6967467079783114</v>
      </c>
      <c r="S252" s="15">
        <f t="shared" si="159"/>
        <v>0.93162547357026881</v>
      </c>
      <c r="T252" s="26"/>
      <c r="U252" s="26"/>
      <c r="V252" s="16">
        <v>5543</v>
      </c>
      <c r="W252" s="16">
        <f t="shared" si="244"/>
        <v>379</v>
      </c>
      <c r="X252" s="16">
        <v>5164</v>
      </c>
      <c r="Y252" s="16">
        <v>3598</v>
      </c>
      <c r="Z252" s="16">
        <f t="shared" si="245"/>
        <v>1566</v>
      </c>
      <c r="AA252" s="16"/>
      <c r="AB252" s="16"/>
      <c r="AC252" s="78"/>
      <c r="AD252" s="79"/>
      <c r="AE252" s="15"/>
      <c r="AF252" s="15"/>
      <c r="AG252" s="15"/>
      <c r="AH252" s="15"/>
      <c r="AI252" s="15"/>
      <c r="AJ252" s="16"/>
      <c r="AK252" s="16"/>
      <c r="AL252" s="16"/>
      <c r="AM252" s="16"/>
      <c r="AN252" s="16"/>
      <c r="AO252" s="16"/>
      <c r="AP252" s="16"/>
      <c r="AQ252" s="78">
        <v>2013</v>
      </c>
      <c r="AR252" s="79" t="s">
        <v>42</v>
      </c>
      <c r="AS252" s="15">
        <f t="shared" si="162"/>
        <v>0.66909230180007662</v>
      </c>
      <c r="AT252" s="15">
        <f t="shared" si="163"/>
        <v>0.721602643535729</v>
      </c>
      <c r="AU252" s="15">
        <f t="shared" si="164"/>
        <v>0.92723094599770206</v>
      </c>
      <c r="AV252" s="16"/>
      <c r="AW252" s="16"/>
      <c r="AX252" s="16">
        <v>5222</v>
      </c>
      <c r="AY252" s="16">
        <f t="shared" si="246"/>
        <v>380</v>
      </c>
      <c r="AZ252" s="16">
        <v>4842</v>
      </c>
      <c r="BA252" s="16">
        <v>3494</v>
      </c>
      <c r="BB252" s="16">
        <f t="shared" si="247"/>
        <v>1348</v>
      </c>
      <c r="BC252" s="16"/>
      <c r="BD252" s="16"/>
      <c r="BE252" s="78">
        <v>2013</v>
      </c>
      <c r="BF252" s="79" t="s">
        <v>42</v>
      </c>
      <c r="BG252" s="15">
        <f t="shared" si="167"/>
        <v>0.50974025974025972</v>
      </c>
      <c r="BH252" s="15">
        <f t="shared" si="168"/>
        <v>0.56171735241502685</v>
      </c>
      <c r="BI252" s="15">
        <f t="shared" si="169"/>
        <v>0.90746753246753242</v>
      </c>
      <c r="BJ252" s="16"/>
      <c r="BK252" s="16"/>
      <c r="BL252" s="16">
        <v>616</v>
      </c>
      <c r="BM252" s="16">
        <f t="shared" si="248"/>
        <v>57</v>
      </c>
      <c r="BN252" s="16">
        <v>559</v>
      </c>
      <c r="BO252" s="16">
        <v>314</v>
      </c>
      <c r="BP252" s="16">
        <f t="shared" si="249"/>
        <v>245</v>
      </c>
      <c r="BQ252" s="16"/>
      <c r="BR252" s="16"/>
      <c r="BS252" s="78">
        <v>2013</v>
      </c>
      <c r="BT252" s="79" t="s">
        <v>42</v>
      </c>
      <c r="BU252" s="15">
        <f t="shared" si="172"/>
        <v>0.59140173410404628</v>
      </c>
      <c r="BV252" s="15">
        <f t="shared" si="173"/>
        <v>0.65271132376395535</v>
      </c>
      <c r="BW252" s="15">
        <f t="shared" si="174"/>
        <v>0.90606936416184969</v>
      </c>
      <c r="BX252" s="16"/>
      <c r="BY252" s="16"/>
      <c r="BZ252" s="16">
        <v>2768</v>
      </c>
      <c r="CA252" s="16">
        <f t="shared" si="250"/>
        <v>260</v>
      </c>
      <c r="CB252" s="16">
        <v>2508</v>
      </c>
      <c r="CC252" s="16">
        <v>1637</v>
      </c>
      <c r="CD252" s="16">
        <f t="shared" si="251"/>
        <v>871</v>
      </c>
      <c r="CE252" s="16"/>
      <c r="CF252" s="16"/>
      <c r="CG252" s="78">
        <v>2013</v>
      </c>
      <c r="CH252" s="79" t="s">
        <v>42</v>
      </c>
      <c r="CI252" s="15">
        <f t="shared" si="177"/>
        <v>0.70596590909090906</v>
      </c>
      <c r="CJ252" s="15">
        <f t="shared" si="178"/>
        <v>0.79967819790828643</v>
      </c>
      <c r="CK252" s="15">
        <f t="shared" si="179"/>
        <v>0.8828125</v>
      </c>
      <c r="CL252" s="16"/>
      <c r="CM252" s="16"/>
      <c r="CN252" s="16">
        <v>2816</v>
      </c>
      <c r="CO252" s="16">
        <f t="shared" si="252"/>
        <v>330</v>
      </c>
      <c r="CP252" s="16">
        <v>2486</v>
      </c>
      <c r="CQ252" s="16">
        <v>1988</v>
      </c>
      <c r="CR252" s="16">
        <f t="shared" si="253"/>
        <v>498</v>
      </c>
      <c r="CS252" s="16"/>
      <c r="CT252" s="16"/>
      <c r="CU252" s="78">
        <v>2013</v>
      </c>
      <c r="CV252" s="79" t="s">
        <v>42</v>
      </c>
      <c r="CW252" s="15">
        <f t="shared" si="199"/>
        <v>0.37856902922405106</v>
      </c>
      <c r="CX252" s="15">
        <f t="shared" si="200"/>
        <v>0.5108794197642792</v>
      </c>
      <c r="CY252" s="15">
        <f t="shared" si="201"/>
        <v>0.74101444407121264</v>
      </c>
      <c r="CZ252" s="16"/>
      <c r="DA252" s="16"/>
      <c r="DB252" s="16">
        <v>2977</v>
      </c>
      <c r="DC252" s="16">
        <f t="shared" si="182"/>
        <v>771</v>
      </c>
      <c r="DD252" s="16">
        <v>2206</v>
      </c>
      <c r="DE252" s="16">
        <v>1127</v>
      </c>
      <c r="DF252" s="16">
        <f t="shared" si="183"/>
        <v>1079</v>
      </c>
      <c r="DG252" s="16"/>
      <c r="DH252" s="16"/>
      <c r="DI252" s="78">
        <v>2013</v>
      </c>
      <c r="DJ252" s="79" t="s">
        <v>42</v>
      </c>
      <c r="DK252" s="15">
        <f t="shared" si="184"/>
        <v>0.26335877862595419</v>
      </c>
      <c r="DL252" s="15">
        <f t="shared" si="185"/>
        <v>0.51396648044692739</v>
      </c>
      <c r="DM252" s="15">
        <f t="shared" si="186"/>
        <v>0.51240458015267176</v>
      </c>
      <c r="DN252" s="16"/>
      <c r="DO252" s="16"/>
      <c r="DP252" s="16">
        <v>1048</v>
      </c>
      <c r="DQ252" s="16">
        <f t="shared" si="254"/>
        <v>511</v>
      </c>
      <c r="DR252" s="16">
        <v>537</v>
      </c>
      <c r="DS252" s="16">
        <v>276</v>
      </c>
      <c r="DT252" s="16">
        <f t="shared" si="255"/>
        <v>261</v>
      </c>
      <c r="DU252" s="16"/>
      <c r="DV252" s="16"/>
      <c r="DW252" s="78">
        <v>2013</v>
      </c>
      <c r="DX252" s="79" t="s">
        <v>42</v>
      </c>
      <c r="DY252" s="15">
        <f t="shared" si="189"/>
        <v>0.6154381084840056</v>
      </c>
      <c r="DZ252" s="15">
        <f t="shared" si="190"/>
        <v>0.92767295597484278</v>
      </c>
      <c r="EA252" s="15">
        <f t="shared" si="191"/>
        <v>0.66342141863699577</v>
      </c>
      <c r="EB252" s="16"/>
      <c r="EC252" s="16"/>
      <c r="ED252" s="16">
        <v>1438</v>
      </c>
      <c r="EE252" s="16">
        <f t="shared" si="256"/>
        <v>484</v>
      </c>
      <c r="EF252" s="16">
        <v>954</v>
      </c>
      <c r="EG252" s="16">
        <v>885</v>
      </c>
      <c r="EH252" s="16">
        <f t="shared" si="257"/>
        <v>69</v>
      </c>
      <c r="EI252" s="16"/>
      <c r="EJ252" s="16"/>
      <c r="EK252" s="78"/>
      <c r="EL252" s="79"/>
      <c r="EM252" s="15"/>
      <c r="EN252" s="15"/>
      <c r="EO252" s="15"/>
      <c r="EP252" s="16"/>
      <c r="EQ252" s="16"/>
      <c r="ER252" s="16"/>
      <c r="ES252" s="16"/>
      <c r="ET252" s="16"/>
      <c r="EU252" s="16"/>
      <c r="EV252" s="16"/>
      <c r="EW252" s="16"/>
      <c r="EX252" s="16"/>
      <c r="EY252" s="78"/>
      <c r="EZ252" s="79"/>
      <c r="FA252" s="15"/>
      <c r="FB252" s="15"/>
      <c r="FC252" s="15"/>
      <c r="FD252" s="16"/>
      <c r="FE252" s="16"/>
      <c r="FF252" s="16"/>
      <c r="FG252" s="16"/>
      <c r="FH252" s="16"/>
      <c r="FI252" s="16"/>
      <c r="FJ252" s="16"/>
      <c r="FK252" s="16"/>
      <c r="FM252" s="78"/>
      <c r="FN252" s="79"/>
      <c r="FO252" s="15"/>
      <c r="FP252" s="15"/>
      <c r="FQ252" s="15"/>
      <c r="FR252" s="16"/>
      <c r="FS252" s="16"/>
      <c r="FT252" s="16"/>
      <c r="FU252" s="16"/>
      <c r="FV252" s="16"/>
      <c r="FW252" s="16"/>
      <c r="FX252" s="16"/>
      <c r="FY252" s="16"/>
      <c r="GA252" s="78"/>
      <c r="GB252" s="79"/>
      <c r="GC252" s="15"/>
      <c r="GD252" s="15"/>
      <c r="GE252" s="15"/>
      <c r="GF252" s="16"/>
      <c r="GG252" s="16"/>
      <c r="GH252" s="16"/>
      <c r="GI252" s="16"/>
      <c r="GJ252" s="16"/>
      <c r="GK252" s="16"/>
      <c r="GL252" s="16"/>
      <c r="GM252" s="16"/>
    </row>
    <row r="253" spans="1:195" s="18" customFormat="1" ht="15" customHeight="1">
      <c r="A253" s="80">
        <v>2013</v>
      </c>
      <c r="B253" s="81" t="s">
        <v>43</v>
      </c>
      <c r="C253" s="15">
        <f t="shared" si="194"/>
        <v>0.53855782556216192</v>
      </c>
      <c r="D253" s="15">
        <f t="shared" si="195"/>
        <v>0.62928332636857498</v>
      </c>
      <c r="E253" s="15">
        <f t="shared" si="196"/>
        <v>0.85582726094148154</v>
      </c>
      <c r="F253" s="16"/>
      <c r="G253" s="33"/>
      <c r="H25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22369</v>
      </c>
      <c r="I253" s="16">
        <f t="shared" si="197"/>
        <v>3225</v>
      </c>
      <c r="J25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19144</v>
      </c>
      <c r="K25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12047</v>
      </c>
      <c r="L253" s="16">
        <f t="shared" si="198"/>
        <v>7097</v>
      </c>
      <c r="M253" s="16"/>
      <c r="N253" s="16"/>
      <c r="O253" s="80">
        <v>2013</v>
      </c>
      <c r="P253" s="81" t="s">
        <v>43</v>
      </c>
      <c r="Q253" s="15">
        <f t="shared" si="157"/>
        <v>0.58944121915820025</v>
      </c>
      <c r="R253" s="15">
        <f t="shared" si="158"/>
        <v>0.63506645817044571</v>
      </c>
      <c r="S253" s="15">
        <f t="shared" si="159"/>
        <v>0.92815674891146593</v>
      </c>
      <c r="T253" s="26"/>
      <c r="U253" s="26"/>
      <c r="V253" s="16">
        <v>5512</v>
      </c>
      <c r="W253" s="16">
        <f t="shared" si="244"/>
        <v>396</v>
      </c>
      <c r="X253" s="16">
        <v>5116</v>
      </c>
      <c r="Y253" s="16">
        <v>3249</v>
      </c>
      <c r="Z253" s="16">
        <f t="shared" si="245"/>
        <v>1867</v>
      </c>
      <c r="AA253" s="16"/>
      <c r="AB253" s="16"/>
      <c r="AC253" s="80"/>
      <c r="AD253" s="81"/>
      <c r="AE253" s="15"/>
      <c r="AF253" s="15"/>
      <c r="AG253" s="15"/>
      <c r="AH253" s="15"/>
      <c r="AI253" s="15"/>
      <c r="AJ253" s="16"/>
      <c r="AK253" s="16"/>
      <c r="AL253" s="16"/>
      <c r="AM253" s="16"/>
      <c r="AN253" s="16"/>
      <c r="AO253" s="16"/>
      <c r="AP253" s="16"/>
      <c r="AQ253" s="80">
        <v>2013</v>
      </c>
      <c r="AR253" s="81" t="s">
        <v>43</v>
      </c>
      <c r="AS253" s="15">
        <f t="shared" si="162"/>
        <v>0.58688965782391389</v>
      </c>
      <c r="AT253" s="15">
        <f t="shared" si="163"/>
        <v>0.62741471434443075</v>
      </c>
      <c r="AU253" s="15">
        <f t="shared" si="164"/>
        <v>0.93540945790080743</v>
      </c>
      <c r="AV253" s="16"/>
      <c r="AW253" s="16"/>
      <c r="AX253" s="16">
        <v>5202</v>
      </c>
      <c r="AY253" s="16">
        <f t="shared" si="246"/>
        <v>336</v>
      </c>
      <c r="AZ253" s="16">
        <v>4866</v>
      </c>
      <c r="BA253" s="16">
        <v>3053</v>
      </c>
      <c r="BB253" s="16">
        <f t="shared" si="247"/>
        <v>1813</v>
      </c>
      <c r="BC253" s="16"/>
      <c r="BD253" s="16"/>
      <c r="BE253" s="80">
        <v>2013</v>
      </c>
      <c r="BF253" s="81" t="s">
        <v>43</v>
      </c>
      <c r="BG253" s="15">
        <f t="shared" si="167"/>
        <v>0.50850340136054417</v>
      </c>
      <c r="BH253" s="15">
        <f t="shared" si="168"/>
        <v>0.59090909090909094</v>
      </c>
      <c r="BI253" s="15">
        <f t="shared" si="169"/>
        <v>0.86054421768707479</v>
      </c>
      <c r="BJ253" s="16"/>
      <c r="BK253" s="16"/>
      <c r="BL253" s="16">
        <v>588</v>
      </c>
      <c r="BM253" s="16">
        <f t="shared" si="248"/>
        <v>82</v>
      </c>
      <c r="BN253" s="16">
        <v>506</v>
      </c>
      <c r="BO253" s="16">
        <v>299</v>
      </c>
      <c r="BP253" s="16">
        <f t="shared" si="249"/>
        <v>207</v>
      </c>
      <c r="BQ253" s="16"/>
      <c r="BR253" s="16"/>
      <c r="BS253" s="80">
        <v>2013</v>
      </c>
      <c r="BT253" s="81" t="s">
        <v>43</v>
      </c>
      <c r="BU253" s="15">
        <f t="shared" si="172"/>
        <v>0.49148242116708951</v>
      </c>
      <c r="BV253" s="15">
        <f t="shared" si="173"/>
        <v>0.52906749902458061</v>
      </c>
      <c r="BW253" s="15">
        <f t="shared" si="174"/>
        <v>0.92895976803189562</v>
      </c>
      <c r="BX253" s="16"/>
      <c r="BY253" s="16"/>
      <c r="BZ253" s="16">
        <v>2759</v>
      </c>
      <c r="CA253" s="16">
        <f t="shared" si="250"/>
        <v>196</v>
      </c>
      <c r="CB253" s="16">
        <v>2563</v>
      </c>
      <c r="CC253" s="16">
        <v>1356</v>
      </c>
      <c r="CD253" s="16">
        <f t="shared" si="251"/>
        <v>1207</v>
      </c>
      <c r="CE253" s="16"/>
      <c r="CF253" s="16"/>
      <c r="CG253" s="80">
        <v>2013</v>
      </c>
      <c r="CH253" s="81" t="s">
        <v>43</v>
      </c>
      <c r="CI253" s="15">
        <f t="shared" si="177"/>
        <v>0.65979381443298968</v>
      </c>
      <c r="CJ253" s="15">
        <f t="shared" si="178"/>
        <v>0.75233076611268745</v>
      </c>
      <c r="CK253" s="15">
        <f t="shared" si="179"/>
        <v>0.87699964450764312</v>
      </c>
      <c r="CL253" s="16"/>
      <c r="CM253" s="16"/>
      <c r="CN253" s="16">
        <v>2813</v>
      </c>
      <c r="CO253" s="16">
        <f t="shared" si="252"/>
        <v>346</v>
      </c>
      <c r="CP253" s="16">
        <v>2467</v>
      </c>
      <c r="CQ253" s="16">
        <v>1856</v>
      </c>
      <c r="CR253" s="16">
        <f t="shared" si="253"/>
        <v>611</v>
      </c>
      <c r="CS253" s="16"/>
      <c r="CT253" s="16"/>
      <c r="CU253" s="80">
        <v>2013</v>
      </c>
      <c r="CV253" s="81" t="s">
        <v>43</v>
      </c>
      <c r="CW253" s="15">
        <f t="shared" si="199"/>
        <v>0.36801346801346801</v>
      </c>
      <c r="CX253" s="15">
        <f t="shared" si="200"/>
        <v>0.50931966449207833</v>
      </c>
      <c r="CY253" s="15">
        <f t="shared" si="201"/>
        <v>0.72255892255892251</v>
      </c>
      <c r="CZ253" s="16"/>
      <c r="DA253" s="16"/>
      <c r="DB253" s="16">
        <v>2970</v>
      </c>
      <c r="DC253" s="16">
        <f t="shared" si="182"/>
        <v>824</v>
      </c>
      <c r="DD253" s="16">
        <v>2146</v>
      </c>
      <c r="DE253" s="16">
        <v>1093</v>
      </c>
      <c r="DF253" s="16">
        <f t="shared" si="183"/>
        <v>1053</v>
      </c>
      <c r="DG253" s="16"/>
      <c r="DH253" s="16"/>
      <c r="DI253" s="80">
        <v>2013</v>
      </c>
      <c r="DJ253" s="81" t="s">
        <v>43</v>
      </c>
      <c r="DK253" s="15">
        <f t="shared" si="184"/>
        <v>0.28133971291866028</v>
      </c>
      <c r="DL253" s="15">
        <f t="shared" si="185"/>
        <v>0.54850746268656714</v>
      </c>
      <c r="DM253" s="15">
        <f t="shared" si="186"/>
        <v>0.51291866028708133</v>
      </c>
      <c r="DN253" s="16"/>
      <c r="DO253" s="16"/>
      <c r="DP253" s="16">
        <v>1045</v>
      </c>
      <c r="DQ253" s="16">
        <f t="shared" si="254"/>
        <v>509</v>
      </c>
      <c r="DR253" s="16">
        <v>536</v>
      </c>
      <c r="DS253" s="16">
        <v>294</v>
      </c>
      <c r="DT253" s="16">
        <f t="shared" si="255"/>
        <v>242</v>
      </c>
      <c r="DU253" s="16"/>
      <c r="DV253" s="16"/>
      <c r="DW253" s="80">
        <v>2013</v>
      </c>
      <c r="DX253" s="81" t="s">
        <v>43</v>
      </c>
      <c r="DY253" s="15">
        <f t="shared" si="189"/>
        <v>0.57229729729729728</v>
      </c>
      <c r="DZ253" s="15">
        <f t="shared" si="190"/>
        <v>0.8972457627118644</v>
      </c>
      <c r="EA253" s="15">
        <f t="shared" si="191"/>
        <v>0.63783783783783787</v>
      </c>
      <c r="EB253" s="16"/>
      <c r="EC253" s="16"/>
      <c r="ED253" s="16">
        <v>1480</v>
      </c>
      <c r="EE253" s="16">
        <f t="shared" si="256"/>
        <v>536</v>
      </c>
      <c r="EF253" s="16">
        <v>944</v>
      </c>
      <c r="EG253" s="16">
        <v>847</v>
      </c>
      <c r="EH253" s="16">
        <f t="shared" si="257"/>
        <v>97</v>
      </c>
      <c r="EI253" s="16"/>
      <c r="EJ253" s="16"/>
      <c r="EK253" s="80"/>
      <c r="EL253" s="81"/>
      <c r="EM253" s="15"/>
      <c r="EN253" s="15"/>
      <c r="EO253" s="15"/>
      <c r="EP253" s="16"/>
      <c r="EQ253" s="16"/>
      <c r="ER253" s="16"/>
      <c r="ES253" s="16"/>
      <c r="ET253" s="16"/>
      <c r="EU253" s="16"/>
      <c r="EV253" s="16"/>
      <c r="EW253" s="16"/>
      <c r="EX253" s="16"/>
      <c r="EY253" s="80"/>
      <c r="EZ253" s="81"/>
      <c r="FA253" s="15"/>
      <c r="FB253" s="15"/>
      <c r="FC253" s="15"/>
      <c r="FD253" s="16"/>
      <c r="FE253" s="16"/>
      <c r="FF253" s="16"/>
      <c r="FG253" s="16"/>
      <c r="FH253" s="16"/>
      <c r="FI253" s="16"/>
      <c r="FJ253" s="16"/>
      <c r="FK253" s="16"/>
      <c r="FM253" s="80"/>
      <c r="FN253" s="81"/>
      <c r="FO253" s="15"/>
      <c r="FP253" s="15"/>
      <c r="FQ253" s="15"/>
      <c r="FR253" s="16"/>
      <c r="FS253" s="16"/>
      <c r="FT253" s="16"/>
      <c r="FU253" s="16"/>
      <c r="FV253" s="16"/>
      <c r="FW253" s="16"/>
      <c r="FX253" s="16"/>
      <c r="FY253" s="16"/>
      <c r="GA253" s="80"/>
      <c r="GB253" s="81"/>
      <c r="GC253" s="15"/>
      <c r="GD253" s="15"/>
      <c r="GE253" s="15"/>
      <c r="GF253" s="16"/>
      <c r="GG253" s="16"/>
      <c r="GH253" s="16"/>
      <c r="GI253" s="16"/>
      <c r="GJ253" s="16"/>
      <c r="GK253" s="16"/>
      <c r="GL253" s="16"/>
      <c r="GM253" s="16"/>
    </row>
    <row r="254" spans="1:195" s="18" customFormat="1" ht="15" customHeight="1">
      <c r="A254" s="78">
        <v>2013</v>
      </c>
      <c r="B254" s="79" t="s">
        <v>44</v>
      </c>
      <c r="C254" s="15">
        <f t="shared" si="194"/>
        <v>0.58659475406813255</v>
      </c>
      <c r="D254" s="15">
        <f t="shared" si="195"/>
        <v>0.69278092334494779</v>
      </c>
      <c r="E254" s="15">
        <f t="shared" si="196"/>
        <v>0.84672474991932878</v>
      </c>
      <c r="F254" s="16"/>
      <c r="G254" s="33"/>
      <c r="H25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21693</v>
      </c>
      <c r="I254" s="16">
        <f t="shared" si="197"/>
        <v>3325</v>
      </c>
      <c r="J25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18368</v>
      </c>
      <c r="K25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12725</v>
      </c>
      <c r="L254" s="16">
        <f t="shared" si="198"/>
        <v>5643</v>
      </c>
      <c r="M254" s="16"/>
      <c r="N254" s="16"/>
      <c r="O254" s="78">
        <v>2013</v>
      </c>
      <c r="P254" s="79" t="s">
        <v>44</v>
      </c>
      <c r="Q254" s="15">
        <f t="shared" si="157"/>
        <v>0.64627759072203517</v>
      </c>
      <c r="R254" s="15">
        <f t="shared" si="158"/>
        <v>0.69531092775206282</v>
      </c>
      <c r="S254" s="15">
        <f t="shared" si="159"/>
        <v>0.92947998503554063</v>
      </c>
      <c r="T254" s="26"/>
      <c r="U254" s="26"/>
      <c r="V254" s="16">
        <v>5346</v>
      </c>
      <c r="W254" s="16">
        <f t="shared" si="244"/>
        <v>377</v>
      </c>
      <c r="X254" s="16">
        <v>4969</v>
      </c>
      <c r="Y254" s="16">
        <v>3455</v>
      </c>
      <c r="Z254" s="16">
        <f t="shared" si="245"/>
        <v>1514</v>
      </c>
      <c r="AA254" s="16"/>
      <c r="AB254" s="16"/>
      <c r="AC254" s="78"/>
      <c r="AD254" s="79"/>
      <c r="AE254" s="15"/>
      <c r="AF254" s="15"/>
      <c r="AG254" s="15"/>
      <c r="AH254" s="15"/>
      <c r="AI254" s="15"/>
      <c r="AJ254" s="16"/>
      <c r="AK254" s="16"/>
      <c r="AL254" s="16"/>
      <c r="AM254" s="16"/>
      <c r="AN254" s="16"/>
      <c r="AO254" s="16"/>
      <c r="AP254" s="16"/>
      <c r="AQ254" s="78">
        <v>2013</v>
      </c>
      <c r="AR254" s="79" t="s">
        <v>44</v>
      </c>
      <c r="AS254" s="15">
        <f t="shared" si="162"/>
        <v>0.61865079365079367</v>
      </c>
      <c r="AT254" s="15">
        <f t="shared" si="163"/>
        <v>0.67489177489177488</v>
      </c>
      <c r="AU254" s="15">
        <f t="shared" si="164"/>
        <v>0.91666666666666663</v>
      </c>
      <c r="AV254" s="16"/>
      <c r="AW254" s="16"/>
      <c r="AX254" s="16">
        <v>5040</v>
      </c>
      <c r="AY254" s="16">
        <f t="shared" si="246"/>
        <v>420</v>
      </c>
      <c r="AZ254" s="16">
        <v>4620</v>
      </c>
      <c r="BA254" s="16">
        <v>3118</v>
      </c>
      <c r="BB254" s="16">
        <f t="shared" si="247"/>
        <v>1502</v>
      </c>
      <c r="BC254" s="16"/>
      <c r="BD254" s="16"/>
      <c r="BE254" s="78">
        <v>2013</v>
      </c>
      <c r="BF254" s="79" t="s">
        <v>44</v>
      </c>
      <c r="BG254" s="15">
        <f t="shared" si="167"/>
        <v>0.54761904761904767</v>
      </c>
      <c r="BH254" s="15">
        <f t="shared" si="168"/>
        <v>0.6598360655737705</v>
      </c>
      <c r="BI254" s="15">
        <f t="shared" si="169"/>
        <v>0.82993197278911568</v>
      </c>
      <c r="BJ254" s="16"/>
      <c r="BK254" s="16"/>
      <c r="BL254" s="16">
        <v>588</v>
      </c>
      <c r="BM254" s="16">
        <f t="shared" si="248"/>
        <v>100</v>
      </c>
      <c r="BN254" s="16">
        <v>488</v>
      </c>
      <c r="BO254" s="16">
        <v>322</v>
      </c>
      <c r="BP254" s="16">
        <f t="shared" si="249"/>
        <v>166</v>
      </c>
      <c r="BQ254" s="16"/>
      <c r="BR254" s="16"/>
      <c r="BS254" s="78">
        <v>2013</v>
      </c>
      <c r="BT254" s="79" t="s">
        <v>44</v>
      </c>
      <c r="BU254" s="15">
        <f t="shared" si="172"/>
        <v>0.59872849663425576</v>
      </c>
      <c r="BV254" s="15">
        <f t="shared" si="173"/>
        <v>0.64504431909750204</v>
      </c>
      <c r="BW254" s="15">
        <f t="shared" si="174"/>
        <v>0.9281974569932685</v>
      </c>
      <c r="BX254" s="16"/>
      <c r="BY254" s="16"/>
      <c r="BZ254" s="16">
        <v>2674</v>
      </c>
      <c r="CA254" s="16">
        <f t="shared" si="250"/>
        <v>192</v>
      </c>
      <c r="CB254" s="16">
        <v>2482</v>
      </c>
      <c r="CC254" s="16">
        <v>1601</v>
      </c>
      <c r="CD254" s="16">
        <f t="shared" si="251"/>
        <v>881</v>
      </c>
      <c r="CE254" s="16"/>
      <c r="CF254" s="16"/>
      <c r="CG254" s="78">
        <v>2013</v>
      </c>
      <c r="CH254" s="79" t="s">
        <v>44</v>
      </c>
      <c r="CI254" s="15">
        <f t="shared" si="177"/>
        <v>0.68185157972079358</v>
      </c>
      <c r="CJ254" s="15">
        <f t="shared" si="178"/>
        <v>0.79418057338468118</v>
      </c>
      <c r="CK254" s="15">
        <f t="shared" si="179"/>
        <v>0.85855988243938286</v>
      </c>
      <c r="CL254" s="16"/>
      <c r="CM254" s="16"/>
      <c r="CN254" s="16">
        <v>2722</v>
      </c>
      <c r="CO254" s="16">
        <f t="shared" si="252"/>
        <v>385</v>
      </c>
      <c r="CP254" s="16">
        <v>2337</v>
      </c>
      <c r="CQ254" s="16">
        <v>1856</v>
      </c>
      <c r="CR254" s="16">
        <f t="shared" si="253"/>
        <v>481</v>
      </c>
      <c r="CS254" s="16"/>
      <c r="CT254" s="16"/>
      <c r="CU254" s="78">
        <v>2013</v>
      </c>
      <c r="CV254" s="79" t="s">
        <v>44</v>
      </c>
      <c r="CW254" s="15">
        <f t="shared" si="199"/>
        <v>0.4181438998957247</v>
      </c>
      <c r="CX254" s="15">
        <f t="shared" si="200"/>
        <v>0.57920077034183914</v>
      </c>
      <c r="CY254" s="15">
        <f t="shared" si="201"/>
        <v>0.72193256864789712</v>
      </c>
      <c r="CZ254" s="16"/>
      <c r="DA254" s="16"/>
      <c r="DB254" s="16">
        <v>2877</v>
      </c>
      <c r="DC254" s="16">
        <f t="shared" si="182"/>
        <v>800</v>
      </c>
      <c r="DD254" s="16">
        <v>2077</v>
      </c>
      <c r="DE254" s="16">
        <v>1203</v>
      </c>
      <c r="DF254" s="16">
        <f t="shared" si="183"/>
        <v>874</v>
      </c>
      <c r="DG254" s="16"/>
      <c r="DH254" s="16"/>
      <c r="DI254" s="78">
        <v>2013</v>
      </c>
      <c r="DJ254" s="79" t="s">
        <v>44</v>
      </c>
      <c r="DK254" s="15">
        <f t="shared" si="184"/>
        <v>0.28726554787759129</v>
      </c>
      <c r="DL254" s="15">
        <f t="shared" si="185"/>
        <v>0.61006289308176098</v>
      </c>
      <c r="DM254" s="15">
        <f t="shared" si="186"/>
        <v>0.47087857847976305</v>
      </c>
      <c r="DN254" s="16"/>
      <c r="DO254" s="16"/>
      <c r="DP254" s="16">
        <v>1013</v>
      </c>
      <c r="DQ254" s="16">
        <f t="shared" si="254"/>
        <v>536</v>
      </c>
      <c r="DR254" s="16">
        <v>477</v>
      </c>
      <c r="DS254" s="16">
        <v>291</v>
      </c>
      <c r="DT254" s="16">
        <f t="shared" si="255"/>
        <v>186</v>
      </c>
      <c r="DU254" s="16"/>
      <c r="DV254" s="16"/>
      <c r="DW254" s="78">
        <v>2013</v>
      </c>
      <c r="DX254" s="79" t="s">
        <v>44</v>
      </c>
      <c r="DY254" s="15">
        <f t="shared" si="189"/>
        <v>0.61339846475924631</v>
      </c>
      <c r="DZ254" s="15">
        <f t="shared" si="190"/>
        <v>0.95751633986928109</v>
      </c>
      <c r="EA254" s="15">
        <f t="shared" si="191"/>
        <v>0.64061409630146549</v>
      </c>
      <c r="EB254" s="16"/>
      <c r="EC254" s="16"/>
      <c r="ED254" s="16">
        <v>1433</v>
      </c>
      <c r="EE254" s="16">
        <f t="shared" si="256"/>
        <v>515</v>
      </c>
      <c r="EF254" s="16">
        <v>918</v>
      </c>
      <c r="EG254" s="16">
        <v>879</v>
      </c>
      <c r="EH254" s="16">
        <f t="shared" si="257"/>
        <v>39</v>
      </c>
      <c r="EI254" s="16"/>
      <c r="EJ254" s="16"/>
      <c r="EK254" s="78"/>
      <c r="EL254" s="79"/>
      <c r="EM254" s="15"/>
      <c r="EN254" s="15"/>
      <c r="EO254" s="15"/>
      <c r="EP254" s="16"/>
      <c r="EQ254" s="16"/>
      <c r="ER254" s="16"/>
      <c r="ES254" s="16"/>
      <c r="ET254" s="16"/>
      <c r="EU254" s="16"/>
      <c r="EV254" s="16"/>
      <c r="EW254" s="16"/>
      <c r="EX254" s="16"/>
      <c r="EY254" s="78"/>
      <c r="EZ254" s="79"/>
      <c r="FA254" s="15"/>
      <c r="FB254" s="15"/>
      <c r="FC254" s="15"/>
      <c r="FD254" s="16"/>
      <c r="FE254" s="16"/>
      <c r="FF254" s="16"/>
      <c r="FG254" s="16"/>
      <c r="FH254" s="16"/>
      <c r="FI254" s="16"/>
      <c r="FJ254" s="16"/>
      <c r="FK254" s="16"/>
      <c r="FM254" s="78"/>
      <c r="FN254" s="79"/>
      <c r="FO254" s="15"/>
      <c r="FP254" s="15"/>
      <c r="FQ254" s="15"/>
      <c r="FR254" s="16"/>
      <c r="FS254" s="16"/>
      <c r="FT254" s="16"/>
      <c r="FU254" s="16"/>
      <c r="FV254" s="16"/>
      <c r="FW254" s="16"/>
      <c r="FX254" s="16"/>
      <c r="FY254" s="16"/>
      <c r="GA254" s="78"/>
      <c r="GB254" s="79"/>
      <c r="GC254" s="15"/>
      <c r="GD254" s="15"/>
      <c r="GE254" s="15"/>
      <c r="GF254" s="16"/>
      <c r="GG254" s="16"/>
      <c r="GH254" s="16"/>
      <c r="GI254" s="16"/>
      <c r="GJ254" s="16"/>
      <c r="GK254" s="16"/>
      <c r="GL254" s="16"/>
      <c r="GM254" s="16"/>
    </row>
    <row r="255" spans="1:195" s="18" customFormat="1" ht="15" customHeight="1">
      <c r="A255" s="80">
        <v>2013</v>
      </c>
      <c r="B255" s="81" t="s">
        <v>45</v>
      </c>
      <c r="C255" s="15">
        <f t="shared" si="194"/>
        <v>0.64950882339867533</v>
      </c>
      <c r="D255" s="15">
        <f t="shared" si="195"/>
        <v>0.73144115733093062</v>
      </c>
      <c r="E255" s="15">
        <f t="shared" si="196"/>
        <v>0.88798506467529004</v>
      </c>
      <c r="F255" s="16"/>
      <c r="G255" s="33"/>
      <c r="H25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22497</v>
      </c>
      <c r="I255" s="16">
        <f t="shared" si="197"/>
        <v>2520</v>
      </c>
      <c r="J25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19977</v>
      </c>
      <c r="K25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14612</v>
      </c>
      <c r="L255" s="16">
        <f t="shared" si="198"/>
        <v>5365</v>
      </c>
      <c r="M255" s="16"/>
      <c r="N255" s="16"/>
      <c r="O255" s="80">
        <v>2013</v>
      </c>
      <c r="P255" s="81" t="s">
        <v>45</v>
      </c>
      <c r="Q255" s="15">
        <f t="shared" si="157"/>
        <v>0.70016207455429502</v>
      </c>
      <c r="R255" s="15">
        <f t="shared" si="158"/>
        <v>0.73192771084337349</v>
      </c>
      <c r="S255" s="15">
        <f t="shared" si="159"/>
        <v>0.95660003601656762</v>
      </c>
      <c r="T255" s="26"/>
      <c r="U255" s="26"/>
      <c r="V255" s="16">
        <v>5553</v>
      </c>
      <c r="W255" s="16">
        <f t="shared" si="244"/>
        <v>241</v>
      </c>
      <c r="X255" s="16">
        <v>5312</v>
      </c>
      <c r="Y255" s="16">
        <v>3888</v>
      </c>
      <c r="Z255" s="16">
        <f t="shared" si="245"/>
        <v>1424</v>
      </c>
      <c r="AA255" s="16"/>
      <c r="AB255" s="16"/>
      <c r="AC255" s="80"/>
      <c r="AD255" s="81"/>
      <c r="AE255" s="15"/>
      <c r="AF255" s="15"/>
      <c r="AG255" s="15"/>
      <c r="AH255" s="15"/>
      <c r="AI255" s="15"/>
      <c r="AJ255" s="16"/>
      <c r="AK255" s="16"/>
      <c r="AL255" s="16"/>
      <c r="AM255" s="16"/>
      <c r="AN255" s="16"/>
      <c r="AO255" s="16"/>
      <c r="AP255" s="16"/>
      <c r="AQ255" s="80">
        <v>2013</v>
      </c>
      <c r="AR255" s="81" t="s">
        <v>45</v>
      </c>
      <c r="AS255" s="15">
        <f t="shared" si="162"/>
        <v>0.70775993883792054</v>
      </c>
      <c r="AT255" s="15">
        <f t="shared" si="163"/>
        <v>0.73794340374651257</v>
      </c>
      <c r="AU255" s="15">
        <f t="shared" si="164"/>
        <v>0.95909785932721714</v>
      </c>
      <c r="AV255" s="16"/>
      <c r="AW255" s="16"/>
      <c r="AX255" s="16">
        <v>5232</v>
      </c>
      <c r="AY255" s="16">
        <f t="shared" si="246"/>
        <v>214</v>
      </c>
      <c r="AZ255" s="16">
        <v>5018</v>
      </c>
      <c r="BA255" s="16">
        <v>3703</v>
      </c>
      <c r="BB255" s="16">
        <f t="shared" si="247"/>
        <v>1315</v>
      </c>
      <c r="BC255" s="16"/>
      <c r="BD255" s="16"/>
      <c r="BE255" s="80">
        <v>2013</v>
      </c>
      <c r="BF255" s="81" t="s">
        <v>45</v>
      </c>
      <c r="BG255" s="15">
        <f t="shared" si="167"/>
        <v>0.67532467532467533</v>
      </c>
      <c r="BH255" s="15">
        <f t="shared" si="168"/>
        <v>0.73628318584070795</v>
      </c>
      <c r="BI255" s="15">
        <f t="shared" si="169"/>
        <v>0.91720779220779225</v>
      </c>
      <c r="BJ255" s="16"/>
      <c r="BK255" s="16"/>
      <c r="BL255" s="16">
        <v>616</v>
      </c>
      <c r="BM255" s="16">
        <f t="shared" si="248"/>
        <v>51</v>
      </c>
      <c r="BN255" s="16">
        <v>565</v>
      </c>
      <c r="BO255" s="16">
        <v>416</v>
      </c>
      <c r="BP255" s="16">
        <f t="shared" si="249"/>
        <v>149</v>
      </c>
      <c r="BQ255" s="16"/>
      <c r="BR255" s="16"/>
      <c r="BS255" s="80">
        <v>2013</v>
      </c>
      <c r="BT255" s="81" t="s">
        <v>45</v>
      </c>
      <c r="BU255" s="15">
        <f t="shared" si="172"/>
        <v>0.60368497109826591</v>
      </c>
      <c r="BV255" s="15">
        <f t="shared" si="173"/>
        <v>0.64517374517374515</v>
      </c>
      <c r="BW255" s="15">
        <f t="shared" si="174"/>
        <v>0.93569364161849711</v>
      </c>
      <c r="BX255" s="16"/>
      <c r="BY255" s="16"/>
      <c r="BZ255" s="16">
        <v>2768</v>
      </c>
      <c r="CA255" s="16">
        <f t="shared" si="250"/>
        <v>178</v>
      </c>
      <c r="CB255" s="16">
        <v>2590</v>
      </c>
      <c r="CC255" s="16">
        <v>1671</v>
      </c>
      <c r="CD255" s="16">
        <f t="shared" si="251"/>
        <v>919</v>
      </c>
      <c r="CE255" s="16"/>
      <c r="CF255" s="16"/>
      <c r="CG255" s="80">
        <v>2013</v>
      </c>
      <c r="CH255" s="81" t="s">
        <v>45</v>
      </c>
      <c r="CI255" s="15">
        <f t="shared" si="177"/>
        <v>0.75567375886524824</v>
      </c>
      <c r="CJ255" s="15">
        <f t="shared" si="178"/>
        <v>0.83112324492979717</v>
      </c>
      <c r="CK255" s="15">
        <f t="shared" si="179"/>
        <v>0.90921985815602835</v>
      </c>
      <c r="CL255" s="16"/>
      <c r="CM255" s="16"/>
      <c r="CN255" s="16">
        <v>2820</v>
      </c>
      <c r="CO255" s="16">
        <f t="shared" si="252"/>
        <v>256</v>
      </c>
      <c r="CP255" s="16">
        <v>2564</v>
      </c>
      <c r="CQ255" s="16">
        <v>2131</v>
      </c>
      <c r="CR255" s="16">
        <f t="shared" si="253"/>
        <v>433</v>
      </c>
      <c r="CS255" s="16"/>
      <c r="CT255" s="16"/>
      <c r="CU255" s="80">
        <v>2013</v>
      </c>
      <c r="CV255" s="81" t="s">
        <v>45</v>
      </c>
      <c r="CW255" s="15">
        <f t="shared" si="199"/>
        <v>0.45482028888142423</v>
      </c>
      <c r="CX255" s="15">
        <f t="shared" si="200"/>
        <v>0.61685649202733484</v>
      </c>
      <c r="CY255" s="15">
        <f t="shared" si="201"/>
        <v>0.73731944910984215</v>
      </c>
      <c r="CZ255" s="16"/>
      <c r="DA255" s="16"/>
      <c r="DB255" s="16">
        <v>2977</v>
      </c>
      <c r="DC255" s="16">
        <f t="shared" si="182"/>
        <v>782</v>
      </c>
      <c r="DD255" s="16">
        <v>2195</v>
      </c>
      <c r="DE255" s="16">
        <v>1354</v>
      </c>
      <c r="DF255" s="16">
        <f t="shared" si="183"/>
        <v>841</v>
      </c>
      <c r="DG255" s="16"/>
      <c r="DH255" s="16"/>
      <c r="DI255" s="80">
        <v>2013</v>
      </c>
      <c r="DJ255" s="81" t="s">
        <v>45</v>
      </c>
      <c r="DK255" s="15">
        <f t="shared" si="184"/>
        <v>0.26049618320610685</v>
      </c>
      <c r="DL255" s="15">
        <f t="shared" si="185"/>
        <v>0.55375253549695735</v>
      </c>
      <c r="DM255" s="15">
        <f t="shared" si="186"/>
        <v>0.47041984732824427</v>
      </c>
      <c r="DN255" s="16"/>
      <c r="DO255" s="16"/>
      <c r="DP255" s="16">
        <v>1048</v>
      </c>
      <c r="DQ255" s="16">
        <f t="shared" si="254"/>
        <v>555</v>
      </c>
      <c r="DR255" s="16">
        <v>493</v>
      </c>
      <c r="DS255" s="16">
        <v>273</v>
      </c>
      <c r="DT255" s="16">
        <f t="shared" si="255"/>
        <v>220</v>
      </c>
      <c r="DU255" s="16"/>
      <c r="DV255" s="16"/>
      <c r="DW255" s="80">
        <v>2013</v>
      </c>
      <c r="DX255" s="81" t="s">
        <v>45</v>
      </c>
      <c r="DY255" s="15">
        <f t="shared" si="189"/>
        <v>0.79298718813216451</v>
      </c>
      <c r="DZ255" s="15">
        <f t="shared" si="190"/>
        <v>0.94838709677419353</v>
      </c>
      <c r="EA255" s="15">
        <f t="shared" si="191"/>
        <v>0.83614295347269052</v>
      </c>
      <c r="EB255" s="16"/>
      <c r="EC255" s="16"/>
      <c r="ED255" s="16">
        <v>1483</v>
      </c>
      <c r="EE255" s="16">
        <f t="shared" si="256"/>
        <v>243</v>
      </c>
      <c r="EF255" s="16">
        <v>1240</v>
      </c>
      <c r="EG255" s="16">
        <v>1176</v>
      </c>
      <c r="EH255" s="16">
        <f t="shared" si="257"/>
        <v>64</v>
      </c>
      <c r="EI255" s="16"/>
      <c r="EJ255" s="16"/>
      <c r="EK255" s="80"/>
      <c r="EL255" s="81"/>
      <c r="EM255" s="15"/>
      <c r="EN255" s="15"/>
      <c r="EO255" s="15"/>
      <c r="EP255" s="16"/>
      <c r="EQ255" s="16"/>
      <c r="ER255" s="16"/>
      <c r="ES255" s="16"/>
      <c r="ET255" s="16"/>
      <c r="EU255" s="16"/>
      <c r="EV255" s="16"/>
      <c r="EW255" s="16"/>
      <c r="EX255" s="16"/>
      <c r="EY255" s="80"/>
      <c r="EZ255" s="81"/>
      <c r="FA255" s="15"/>
      <c r="FB255" s="15"/>
      <c r="FC255" s="15"/>
      <c r="FD255" s="16"/>
      <c r="FE255" s="16"/>
      <c r="FF255" s="16"/>
      <c r="FG255" s="16"/>
      <c r="FH255" s="16"/>
      <c r="FI255" s="16"/>
      <c r="FJ255" s="16"/>
      <c r="FK255" s="16"/>
      <c r="FM255" s="80"/>
      <c r="FN255" s="81"/>
      <c r="FO255" s="15"/>
      <c r="FP255" s="15"/>
      <c r="FQ255" s="15"/>
      <c r="FR255" s="16"/>
      <c r="FS255" s="16"/>
      <c r="FT255" s="16"/>
      <c r="FU255" s="16"/>
      <c r="FV255" s="16"/>
      <c r="FW255" s="16"/>
      <c r="FX255" s="16"/>
      <c r="FY255" s="16"/>
      <c r="GA255" s="80"/>
      <c r="GB255" s="81"/>
      <c r="GC255" s="15"/>
      <c r="GD255" s="15"/>
      <c r="GE255" s="15"/>
      <c r="GF255" s="16"/>
      <c r="GG255" s="16"/>
      <c r="GH255" s="16"/>
      <c r="GI255" s="16"/>
      <c r="GJ255" s="16"/>
      <c r="GK255" s="16"/>
      <c r="GL255" s="16"/>
      <c r="GM255" s="16"/>
    </row>
    <row r="256" spans="1:195" s="18" customFormat="1" ht="15" customHeight="1">
      <c r="A256" s="78">
        <v>2013</v>
      </c>
      <c r="B256" s="79" t="s">
        <v>46</v>
      </c>
      <c r="C256" s="15">
        <f t="shared" si="194"/>
        <v>0.64429716828104</v>
      </c>
      <c r="D256" s="15">
        <f t="shared" si="195"/>
        <v>0.70715702731573327</v>
      </c>
      <c r="E256" s="15">
        <f t="shared" si="196"/>
        <v>0.91110905130462994</v>
      </c>
      <c r="F256" s="16"/>
      <c r="G256" s="33"/>
      <c r="H25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21577</v>
      </c>
      <c r="I256" s="16">
        <f t="shared" si="197"/>
        <v>1918</v>
      </c>
      <c r="J25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19659</v>
      </c>
      <c r="K25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13902</v>
      </c>
      <c r="L256" s="16">
        <f t="shared" si="198"/>
        <v>5757</v>
      </c>
      <c r="M256" s="16"/>
      <c r="N256" s="16"/>
      <c r="O256" s="78">
        <v>2013</v>
      </c>
      <c r="P256" s="79" t="s">
        <v>46</v>
      </c>
      <c r="Q256" s="15">
        <f t="shared" si="157"/>
        <v>0.64124293785310738</v>
      </c>
      <c r="R256" s="15">
        <f t="shared" si="158"/>
        <v>0.68773985053524544</v>
      </c>
      <c r="S256" s="15">
        <f t="shared" si="159"/>
        <v>0.93239171374764596</v>
      </c>
      <c r="T256" s="26"/>
      <c r="U256" s="26"/>
      <c r="V256" s="16">
        <v>5310</v>
      </c>
      <c r="W256" s="16">
        <f t="shared" si="244"/>
        <v>359</v>
      </c>
      <c r="X256" s="16">
        <v>4951</v>
      </c>
      <c r="Y256" s="16">
        <v>3405</v>
      </c>
      <c r="Z256" s="16">
        <f t="shared" si="245"/>
        <v>1546</v>
      </c>
      <c r="AA256" s="16"/>
      <c r="AB256" s="16"/>
      <c r="AC256" s="78"/>
      <c r="AD256" s="79"/>
      <c r="AE256" s="15"/>
      <c r="AF256" s="15"/>
      <c r="AG256" s="15"/>
      <c r="AH256" s="15"/>
      <c r="AI256" s="15"/>
      <c r="AJ256" s="16"/>
      <c r="AK256" s="16"/>
      <c r="AL256" s="16"/>
      <c r="AM256" s="16"/>
      <c r="AN256" s="16"/>
      <c r="AO256" s="16"/>
      <c r="AP256" s="16"/>
      <c r="AQ256" s="78">
        <v>2013</v>
      </c>
      <c r="AR256" s="79" t="s">
        <v>46</v>
      </c>
      <c r="AS256" s="15">
        <f t="shared" si="162"/>
        <v>0.71525423728813564</v>
      </c>
      <c r="AT256" s="15">
        <f t="shared" si="163"/>
        <v>0.7633539050861885</v>
      </c>
      <c r="AU256" s="15">
        <f t="shared" si="164"/>
        <v>0.93698903290129609</v>
      </c>
      <c r="AV256" s="16"/>
      <c r="AW256" s="16"/>
      <c r="AX256" s="16">
        <v>5015</v>
      </c>
      <c r="AY256" s="16">
        <f t="shared" si="246"/>
        <v>316</v>
      </c>
      <c r="AZ256" s="16">
        <v>4699</v>
      </c>
      <c r="BA256" s="16">
        <v>3587</v>
      </c>
      <c r="BB256" s="16">
        <f t="shared" si="247"/>
        <v>1112</v>
      </c>
      <c r="BC256" s="16"/>
      <c r="BD256" s="16"/>
      <c r="BE256" s="78">
        <v>2013</v>
      </c>
      <c r="BF256" s="79" t="s">
        <v>46</v>
      </c>
      <c r="BG256" s="15">
        <f t="shared" si="167"/>
        <v>0.53214285714285714</v>
      </c>
      <c r="BH256" s="15">
        <f t="shared" si="168"/>
        <v>0.6711711711711712</v>
      </c>
      <c r="BI256" s="15">
        <f t="shared" si="169"/>
        <v>0.79285714285714282</v>
      </c>
      <c r="BJ256" s="16"/>
      <c r="BK256" s="16"/>
      <c r="BL256" s="16">
        <v>560</v>
      </c>
      <c r="BM256" s="16">
        <f t="shared" si="248"/>
        <v>116</v>
      </c>
      <c r="BN256" s="16">
        <v>444</v>
      </c>
      <c r="BO256" s="16">
        <v>298</v>
      </c>
      <c r="BP256" s="16">
        <f t="shared" si="249"/>
        <v>146</v>
      </c>
      <c r="BQ256" s="16"/>
      <c r="BR256" s="16"/>
      <c r="BS256" s="78">
        <v>2013</v>
      </c>
      <c r="BT256" s="79" t="s">
        <v>46</v>
      </c>
      <c r="BU256" s="15">
        <f t="shared" si="172"/>
        <v>0.56472795497185746</v>
      </c>
      <c r="BV256" s="15">
        <f t="shared" si="173"/>
        <v>0.59298660362490152</v>
      </c>
      <c r="BW256" s="15">
        <f t="shared" si="174"/>
        <v>0.95234521575984987</v>
      </c>
      <c r="BX256" s="16"/>
      <c r="BY256" s="16"/>
      <c r="BZ256" s="16">
        <v>2665</v>
      </c>
      <c r="CA256" s="16">
        <f t="shared" si="250"/>
        <v>127</v>
      </c>
      <c r="CB256" s="16">
        <v>2538</v>
      </c>
      <c r="CC256" s="16">
        <v>1505</v>
      </c>
      <c r="CD256" s="16">
        <f t="shared" si="251"/>
        <v>1033</v>
      </c>
      <c r="CE256" s="16"/>
      <c r="CF256" s="16"/>
      <c r="CG256" s="78">
        <v>2013</v>
      </c>
      <c r="CH256" s="79" t="s">
        <v>46</v>
      </c>
      <c r="CI256" s="15">
        <f t="shared" si="177"/>
        <v>0.71291866028708128</v>
      </c>
      <c r="CJ256" s="15">
        <f t="shared" si="178"/>
        <v>0.7864393016646366</v>
      </c>
      <c r="CK256" s="15">
        <f t="shared" si="179"/>
        <v>0.90651453809348548</v>
      </c>
      <c r="CL256" s="16"/>
      <c r="CM256" s="16"/>
      <c r="CN256" s="16">
        <v>2717</v>
      </c>
      <c r="CO256" s="16">
        <f t="shared" si="252"/>
        <v>254</v>
      </c>
      <c r="CP256" s="16">
        <v>2463</v>
      </c>
      <c r="CQ256" s="16">
        <v>1937</v>
      </c>
      <c r="CR256" s="16">
        <f t="shared" si="253"/>
        <v>526</v>
      </c>
      <c r="CS256" s="16"/>
      <c r="CT256" s="16"/>
      <c r="CU256" s="78">
        <v>2013</v>
      </c>
      <c r="CV256" s="79" t="s">
        <v>46</v>
      </c>
      <c r="CW256" s="15">
        <f t="shared" si="199"/>
        <v>0.54634146341463419</v>
      </c>
      <c r="CX256" s="15">
        <f t="shared" si="200"/>
        <v>0.59102902374670185</v>
      </c>
      <c r="CY256" s="15">
        <f t="shared" si="201"/>
        <v>0.92439024390243907</v>
      </c>
      <c r="CZ256" s="16"/>
      <c r="DA256" s="16"/>
      <c r="DB256" s="16">
        <v>2870</v>
      </c>
      <c r="DC256" s="16">
        <f t="shared" si="182"/>
        <v>217</v>
      </c>
      <c r="DD256" s="16">
        <v>2653</v>
      </c>
      <c r="DE256" s="16">
        <v>1568</v>
      </c>
      <c r="DF256" s="16">
        <f t="shared" si="183"/>
        <v>1085</v>
      </c>
      <c r="DG256" s="16"/>
      <c r="DH256" s="16"/>
      <c r="DI256" s="78">
        <v>2013</v>
      </c>
      <c r="DJ256" s="79" t="s">
        <v>46</v>
      </c>
      <c r="DK256" s="15">
        <f t="shared" si="184"/>
        <v>0.37821782178217822</v>
      </c>
      <c r="DL256" s="15">
        <f t="shared" si="185"/>
        <v>0.63455149501661134</v>
      </c>
      <c r="DM256" s="15">
        <f t="shared" si="186"/>
        <v>0.59603960396039601</v>
      </c>
      <c r="DN256" s="16"/>
      <c r="DO256" s="16"/>
      <c r="DP256" s="16">
        <v>1010</v>
      </c>
      <c r="DQ256" s="16">
        <f t="shared" si="254"/>
        <v>408</v>
      </c>
      <c r="DR256" s="16">
        <v>602</v>
      </c>
      <c r="DS256" s="16">
        <v>382</v>
      </c>
      <c r="DT256" s="16">
        <f t="shared" si="255"/>
        <v>220</v>
      </c>
      <c r="DU256" s="16"/>
      <c r="DV256" s="16"/>
      <c r="DW256" s="78">
        <v>2013</v>
      </c>
      <c r="DX256" s="79" t="s">
        <v>46</v>
      </c>
      <c r="DY256" s="15">
        <f t="shared" si="189"/>
        <v>0.85314685314685312</v>
      </c>
      <c r="DZ256" s="15">
        <f t="shared" si="190"/>
        <v>0.93200916730328498</v>
      </c>
      <c r="EA256" s="15">
        <f t="shared" si="191"/>
        <v>0.91538461538461535</v>
      </c>
      <c r="EB256" s="16"/>
      <c r="EC256" s="16"/>
      <c r="ED256" s="16">
        <v>1430</v>
      </c>
      <c r="EE256" s="16">
        <f t="shared" si="256"/>
        <v>121</v>
      </c>
      <c r="EF256" s="16">
        <v>1309</v>
      </c>
      <c r="EG256" s="16">
        <v>1220</v>
      </c>
      <c r="EH256" s="16">
        <f t="shared" si="257"/>
        <v>89</v>
      </c>
      <c r="EI256" s="16"/>
      <c r="EJ256" s="16"/>
      <c r="EK256" s="78"/>
      <c r="EL256" s="79"/>
      <c r="EM256" s="15"/>
      <c r="EN256" s="15"/>
      <c r="EO256" s="15"/>
      <c r="EP256" s="16"/>
      <c r="EQ256" s="16"/>
      <c r="ER256" s="16"/>
      <c r="ES256" s="16"/>
      <c r="ET256" s="16"/>
      <c r="EU256" s="16"/>
      <c r="EV256" s="16"/>
      <c r="EW256" s="16"/>
      <c r="EX256" s="16"/>
      <c r="EY256" s="78"/>
      <c r="EZ256" s="79"/>
      <c r="FA256" s="15"/>
      <c r="FB256" s="15"/>
      <c r="FC256" s="15"/>
      <c r="FD256" s="16"/>
      <c r="FE256" s="16"/>
      <c r="FF256" s="16"/>
      <c r="FG256" s="16"/>
      <c r="FH256" s="16"/>
      <c r="FI256" s="16"/>
      <c r="FJ256" s="16"/>
      <c r="FK256" s="16"/>
      <c r="FM256" s="78"/>
      <c r="FN256" s="79"/>
      <c r="FO256" s="15"/>
      <c r="FP256" s="15"/>
      <c r="FQ256" s="15"/>
      <c r="FR256" s="16"/>
      <c r="FS256" s="16"/>
      <c r="FT256" s="16"/>
      <c r="FU256" s="16"/>
      <c r="FV256" s="16"/>
      <c r="FW256" s="16"/>
      <c r="FX256" s="16"/>
      <c r="FY256" s="16"/>
      <c r="GA256" s="78"/>
      <c r="GB256" s="79"/>
      <c r="GC256" s="15"/>
      <c r="GD256" s="15"/>
      <c r="GE256" s="15"/>
      <c r="GF256" s="16"/>
      <c r="GG256" s="16"/>
      <c r="GH256" s="16"/>
      <c r="GI256" s="16"/>
      <c r="GJ256" s="16"/>
      <c r="GK256" s="16"/>
      <c r="GL256" s="16"/>
      <c r="GM256" s="16"/>
    </row>
    <row r="257" spans="1:195" s="18" customFormat="1" ht="15" customHeight="1">
      <c r="A257" s="80">
        <v>2013</v>
      </c>
      <c r="B257" s="81" t="s">
        <v>47</v>
      </c>
      <c r="C257" s="15">
        <f t="shared" si="194"/>
        <v>0.67401222739301037</v>
      </c>
      <c r="D257" s="15">
        <f t="shared" si="195"/>
        <v>0.77244444444444449</v>
      </c>
      <c r="E257" s="15">
        <f t="shared" si="196"/>
        <v>0.87257049000821241</v>
      </c>
      <c r="F257" s="16"/>
      <c r="G257" s="33"/>
      <c r="H25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21918</v>
      </c>
      <c r="I257" s="16">
        <f t="shared" si="197"/>
        <v>2793</v>
      </c>
      <c r="J25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19125</v>
      </c>
      <c r="K25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14773</v>
      </c>
      <c r="L257" s="16">
        <f t="shared" si="198"/>
        <v>4352</v>
      </c>
      <c r="M257" s="16"/>
      <c r="N257" s="16"/>
      <c r="O257" s="80">
        <v>2013</v>
      </c>
      <c r="P257" s="81" t="s">
        <v>47</v>
      </c>
      <c r="Q257" s="15">
        <f t="shared" si="157"/>
        <v>0.6646751306945482</v>
      </c>
      <c r="R257" s="15">
        <f t="shared" si="158"/>
        <v>0.74837082194660498</v>
      </c>
      <c r="S257" s="15">
        <f t="shared" si="159"/>
        <v>0.88816280806572068</v>
      </c>
      <c r="T257" s="26"/>
      <c r="U257" s="26"/>
      <c r="V257" s="16">
        <v>5356</v>
      </c>
      <c r="W257" s="16">
        <f t="shared" si="244"/>
        <v>599</v>
      </c>
      <c r="X257" s="16">
        <v>4757</v>
      </c>
      <c r="Y257" s="16">
        <v>3560</v>
      </c>
      <c r="Z257" s="16">
        <f t="shared" si="245"/>
        <v>1197</v>
      </c>
      <c r="AA257" s="16"/>
      <c r="AB257" s="16"/>
      <c r="AC257" s="80"/>
      <c r="AD257" s="81"/>
      <c r="AE257" s="15"/>
      <c r="AF257" s="15"/>
      <c r="AG257" s="15"/>
      <c r="AH257" s="15"/>
      <c r="AI257" s="15"/>
      <c r="AJ257" s="16"/>
      <c r="AK257" s="16"/>
      <c r="AL257" s="16"/>
      <c r="AM257" s="16"/>
      <c r="AN257" s="16"/>
      <c r="AO257" s="16"/>
      <c r="AP257" s="16"/>
      <c r="AQ257" s="80">
        <v>2013</v>
      </c>
      <c r="AR257" s="81" t="s">
        <v>47</v>
      </c>
      <c r="AS257" s="15">
        <f t="shared" si="162"/>
        <v>0.75930667717155798</v>
      </c>
      <c r="AT257" s="15">
        <f t="shared" si="163"/>
        <v>0.82319026265214601</v>
      </c>
      <c r="AU257" s="15">
        <f t="shared" si="164"/>
        <v>0.92239511522552686</v>
      </c>
      <c r="AV257" s="16"/>
      <c r="AW257" s="16"/>
      <c r="AX257" s="16">
        <v>5077</v>
      </c>
      <c r="AY257" s="16">
        <f t="shared" si="246"/>
        <v>394</v>
      </c>
      <c r="AZ257" s="16">
        <v>4683</v>
      </c>
      <c r="BA257" s="16">
        <v>3855</v>
      </c>
      <c r="BB257" s="16">
        <f t="shared" si="247"/>
        <v>828</v>
      </c>
      <c r="BC257" s="16"/>
      <c r="BD257" s="16"/>
      <c r="BE257" s="80">
        <v>2013</v>
      </c>
      <c r="BF257" s="81" t="s">
        <v>47</v>
      </c>
      <c r="BG257" s="15">
        <f t="shared" si="167"/>
        <v>0.44360902255639095</v>
      </c>
      <c r="BH257" s="15">
        <f t="shared" si="168"/>
        <v>0.65555555555555556</v>
      </c>
      <c r="BI257" s="15">
        <f t="shared" si="169"/>
        <v>0.67669172932330823</v>
      </c>
      <c r="BJ257" s="16"/>
      <c r="BK257" s="16"/>
      <c r="BL257" s="16">
        <v>532</v>
      </c>
      <c r="BM257" s="16">
        <f t="shared" si="248"/>
        <v>172</v>
      </c>
      <c r="BN257" s="16">
        <v>360</v>
      </c>
      <c r="BO257" s="16">
        <v>236</v>
      </c>
      <c r="BP257" s="16">
        <f t="shared" si="249"/>
        <v>124</v>
      </c>
      <c r="BQ257" s="16"/>
      <c r="BR257" s="16"/>
      <c r="BS257" s="80">
        <v>2013</v>
      </c>
      <c r="BT257" s="81" t="s">
        <v>47</v>
      </c>
      <c r="BU257" s="15">
        <f t="shared" si="172"/>
        <v>0.62646627565982405</v>
      </c>
      <c r="BV257" s="15">
        <f t="shared" si="173"/>
        <v>0.72231614539306843</v>
      </c>
      <c r="BW257" s="15">
        <f t="shared" si="174"/>
        <v>0.86730205278592376</v>
      </c>
      <c r="BX257" s="16"/>
      <c r="BY257" s="16"/>
      <c r="BZ257" s="16">
        <v>2728</v>
      </c>
      <c r="CA257" s="16">
        <f t="shared" si="250"/>
        <v>362</v>
      </c>
      <c r="CB257" s="16">
        <v>2366</v>
      </c>
      <c r="CC257" s="16">
        <v>1709</v>
      </c>
      <c r="CD257" s="16">
        <f t="shared" si="251"/>
        <v>657</v>
      </c>
      <c r="CE257" s="16"/>
      <c r="CF257" s="16"/>
      <c r="CG257" s="80">
        <v>2013</v>
      </c>
      <c r="CH257" s="81" t="s">
        <v>47</v>
      </c>
      <c r="CI257" s="15">
        <f t="shared" si="177"/>
        <v>0.70590352771778253</v>
      </c>
      <c r="CJ257" s="15">
        <f t="shared" si="178"/>
        <v>0.83875106928999144</v>
      </c>
      <c r="CK257" s="15">
        <f t="shared" si="179"/>
        <v>0.84161267098632109</v>
      </c>
      <c r="CL257" s="16"/>
      <c r="CM257" s="16"/>
      <c r="CN257" s="16">
        <v>2778</v>
      </c>
      <c r="CO257" s="16">
        <f t="shared" si="252"/>
        <v>440</v>
      </c>
      <c r="CP257" s="16">
        <v>2338</v>
      </c>
      <c r="CQ257" s="16">
        <v>1961</v>
      </c>
      <c r="CR257" s="16">
        <f t="shared" si="253"/>
        <v>377</v>
      </c>
      <c r="CS257" s="16"/>
      <c r="CT257" s="16"/>
      <c r="CU257" s="80">
        <v>2013</v>
      </c>
      <c r="CV257" s="81" t="s">
        <v>47</v>
      </c>
      <c r="CW257" s="15">
        <f t="shared" si="199"/>
        <v>0.55842391304347827</v>
      </c>
      <c r="CX257" s="15">
        <f t="shared" si="200"/>
        <v>0.67239263803680982</v>
      </c>
      <c r="CY257" s="15">
        <f t="shared" si="201"/>
        <v>0.83050271739130432</v>
      </c>
      <c r="CZ257" s="16"/>
      <c r="DA257" s="16"/>
      <c r="DB257" s="16">
        <v>2944</v>
      </c>
      <c r="DC257" s="16">
        <f t="shared" si="182"/>
        <v>499</v>
      </c>
      <c r="DD257" s="16">
        <v>2445</v>
      </c>
      <c r="DE257" s="16">
        <v>1644</v>
      </c>
      <c r="DF257" s="16">
        <f t="shared" si="183"/>
        <v>801</v>
      </c>
      <c r="DG257" s="16"/>
      <c r="DH257" s="16"/>
      <c r="DI257" s="80">
        <v>2013</v>
      </c>
      <c r="DJ257" s="81" t="s">
        <v>47</v>
      </c>
      <c r="DK257" s="15">
        <f t="shared" si="184"/>
        <v>0.49951783992285437</v>
      </c>
      <c r="DL257" s="15">
        <f t="shared" si="185"/>
        <v>0.6410891089108911</v>
      </c>
      <c r="DM257" s="15">
        <f t="shared" si="186"/>
        <v>0.77917068466730954</v>
      </c>
      <c r="DN257" s="16"/>
      <c r="DO257" s="16"/>
      <c r="DP257" s="16">
        <v>1037</v>
      </c>
      <c r="DQ257" s="16">
        <f t="shared" si="254"/>
        <v>229</v>
      </c>
      <c r="DR257" s="16">
        <v>808</v>
      </c>
      <c r="DS257" s="16">
        <v>518</v>
      </c>
      <c r="DT257" s="16">
        <f t="shared" si="255"/>
        <v>290</v>
      </c>
      <c r="DU257" s="16"/>
      <c r="DV257" s="16"/>
      <c r="DW257" s="80">
        <v>2013</v>
      </c>
      <c r="DX257" s="81" t="s">
        <v>47</v>
      </c>
      <c r="DY257" s="15">
        <f t="shared" si="189"/>
        <v>0.87994542974079126</v>
      </c>
      <c r="DZ257" s="15">
        <f t="shared" si="190"/>
        <v>0.94298245614035092</v>
      </c>
      <c r="EA257" s="15">
        <f t="shared" si="191"/>
        <v>0.93315143246930421</v>
      </c>
      <c r="EB257" s="16"/>
      <c r="EC257" s="16"/>
      <c r="ED257" s="16">
        <v>1466</v>
      </c>
      <c r="EE257" s="16">
        <f t="shared" si="256"/>
        <v>98</v>
      </c>
      <c r="EF257" s="16">
        <v>1368</v>
      </c>
      <c r="EG257" s="16">
        <v>1290</v>
      </c>
      <c r="EH257" s="16">
        <f t="shared" si="257"/>
        <v>78</v>
      </c>
      <c r="EI257" s="16"/>
      <c r="EJ257" s="16"/>
      <c r="EK257" s="80"/>
      <c r="EL257" s="81"/>
      <c r="EM257" s="15"/>
      <c r="EN257" s="15"/>
      <c r="EO257" s="15"/>
      <c r="EP257" s="16"/>
      <c r="EQ257" s="16"/>
      <c r="ER257" s="16"/>
      <c r="ES257" s="16"/>
      <c r="ET257" s="16"/>
      <c r="EU257" s="16"/>
      <c r="EV257" s="16"/>
      <c r="EW257" s="16"/>
      <c r="EX257" s="16"/>
      <c r="EY257" s="80"/>
      <c r="EZ257" s="81"/>
      <c r="FA257" s="15"/>
      <c r="FB257" s="15"/>
      <c r="FC257" s="15"/>
      <c r="FD257" s="16"/>
      <c r="FE257" s="16"/>
      <c r="FF257" s="16"/>
      <c r="FG257" s="16"/>
      <c r="FH257" s="16"/>
      <c r="FI257" s="16"/>
      <c r="FJ257" s="16"/>
      <c r="FK257" s="16"/>
      <c r="FM257" s="80"/>
      <c r="FN257" s="81"/>
      <c r="FO257" s="15"/>
      <c r="FP257" s="15"/>
      <c r="FQ257" s="15"/>
      <c r="FR257" s="16"/>
      <c r="FS257" s="16"/>
      <c r="FT257" s="16"/>
      <c r="FU257" s="16"/>
      <c r="FV257" s="16"/>
      <c r="FW257" s="16"/>
      <c r="FX257" s="16"/>
      <c r="FY257" s="16"/>
      <c r="GA257" s="80"/>
      <c r="GB257" s="81"/>
      <c r="GC257" s="15"/>
      <c r="GD257" s="15"/>
      <c r="GE257" s="15"/>
      <c r="GF257" s="16"/>
      <c r="GG257" s="16"/>
      <c r="GH257" s="16"/>
      <c r="GI257" s="16"/>
      <c r="GJ257" s="16"/>
      <c r="GK257" s="16"/>
      <c r="GL257" s="16"/>
      <c r="GM257" s="16"/>
    </row>
    <row r="258" spans="1:195" s="18" customFormat="1" ht="15" customHeight="1">
      <c r="A258" s="78">
        <v>2014</v>
      </c>
      <c r="B258" s="79" t="s">
        <v>36</v>
      </c>
      <c r="C258" s="15">
        <f t="shared" si="194"/>
        <v>0.75187903046475424</v>
      </c>
      <c r="D258" s="15">
        <f t="shared" si="195"/>
        <v>0.82496462206607135</v>
      </c>
      <c r="E258" s="15">
        <f t="shared" si="196"/>
        <v>0.9114076050700467</v>
      </c>
      <c r="F258" s="16"/>
      <c r="G258" s="33"/>
      <c r="H25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22485</v>
      </c>
      <c r="I258" s="16">
        <f t="shared" si="197"/>
        <v>1992</v>
      </c>
      <c r="J25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20493</v>
      </c>
      <c r="K25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16906</v>
      </c>
      <c r="L258" s="16">
        <f t="shared" si="198"/>
        <v>3587</v>
      </c>
      <c r="M258" s="16"/>
      <c r="N258" s="16"/>
      <c r="O258" s="78">
        <v>2014</v>
      </c>
      <c r="P258" s="79" t="s">
        <v>36</v>
      </c>
      <c r="Q258" s="15">
        <f t="shared" si="157"/>
        <v>0.79416005767844267</v>
      </c>
      <c r="R258" s="15">
        <f t="shared" si="158"/>
        <v>0.82710718978787312</v>
      </c>
      <c r="S258" s="15">
        <f t="shared" si="159"/>
        <v>0.9601658255227109</v>
      </c>
      <c r="T258" s="26"/>
      <c r="U258" s="26"/>
      <c r="V258" s="16">
        <v>5548</v>
      </c>
      <c r="W258" s="16">
        <f t="shared" ref="W258:W266" si="258">V258-X258</f>
        <v>221</v>
      </c>
      <c r="X258" s="16">
        <v>5327</v>
      </c>
      <c r="Y258" s="16">
        <v>4406</v>
      </c>
      <c r="Z258" s="16">
        <f t="shared" ref="Z258:Z269" si="259">X258-Y258</f>
        <v>921</v>
      </c>
      <c r="AA258" s="16"/>
      <c r="AB258" s="16"/>
      <c r="AC258" s="78"/>
      <c r="AD258" s="79"/>
      <c r="AE258" s="15"/>
      <c r="AF258" s="15"/>
      <c r="AG258" s="15"/>
      <c r="AH258" s="15"/>
      <c r="AI258" s="15"/>
      <c r="AJ258" s="16"/>
      <c r="AK258" s="16"/>
      <c r="AL258" s="16"/>
      <c r="AM258" s="16"/>
      <c r="AN258" s="16"/>
      <c r="AO258" s="16"/>
      <c r="AP258" s="16"/>
      <c r="AQ258" s="78">
        <v>2014</v>
      </c>
      <c r="AR258" s="79" t="s">
        <v>36</v>
      </c>
      <c r="AS258" s="15">
        <f t="shared" si="162"/>
        <v>0.82934761813659841</v>
      </c>
      <c r="AT258" s="15">
        <f t="shared" si="163"/>
        <v>0.88379204892966357</v>
      </c>
      <c r="AU258" s="15">
        <f t="shared" si="164"/>
        <v>0.93839678591926534</v>
      </c>
      <c r="AV258" s="16"/>
      <c r="AW258" s="16"/>
      <c r="AX258" s="16">
        <v>5227</v>
      </c>
      <c r="AY258" s="16">
        <f t="shared" ref="AY258:AY266" si="260">AX258-AZ258</f>
        <v>322</v>
      </c>
      <c r="AZ258" s="16">
        <v>4905</v>
      </c>
      <c r="BA258" s="16">
        <v>4335</v>
      </c>
      <c r="BB258" s="16">
        <f t="shared" ref="BB258:BB269" si="261">AZ258-BA258</f>
        <v>570</v>
      </c>
      <c r="BC258" s="16"/>
      <c r="BD258" s="16"/>
      <c r="BE258" s="78">
        <v>2014</v>
      </c>
      <c r="BF258" s="79" t="s">
        <v>36</v>
      </c>
      <c r="BG258" s="15">
        <f t="shared" si="167"/>
        <v>0.6558441558441559</v>
      </c>
      <c r="BH258" s="15">
        <f t="shared" si="168"/>
        <v>0.74814814814814812</v>
      </c>
      <c r="BI258" s="15">
        <f t="shared" si="169"/>
        <v>0.87662337662337664</v>
      </c>
      <c r="BJ258" s="16"/>
      <c r="BK258" s="16"/>
      <c r="BL258" s="16">
        <v>616</v>
      </c>
      <c r="BM258" s="16">
        <f>BL258-BN258</f>
        <v>76</v>
      </c>
      <c r="BN258" s="16">
        <v>540</v>
      </c>
      <c r="BO258" s="16">
        <v>404</v>
      </c>
      <c r="BP258" s="16">
        <f>BN258-BO258</f>
        <v>136</v>
      </c>
      <c r="BQ258" s="16"/>
      <c r="BR258" s="16"/>
      <c r="BS258" s="78">
        <v>2014</v>
      </c>
      <c r="BT258" s="79" t="s">
        <v>36</v>
      </c>
      <c r="BU258" s="15">
        <f t="shared" si="172"/>
        <v>0.75686416184971095</v>
      </c>
      <c r="BV258" s="15">
        <f t="shared" si="173"/>
        <v>0.78200821201941018</v>
      </c>
      <c r="BW258" s="15">
        <f t="shared" si="174"/>
        <v>0.96784682080924855</v>
      </c>
      <c r="BX258" s="16"/>
      <c r="BY258" s="16"/>
      <c r="BZ258" s="16">
        <v>2768</v>
      </c>
      <c r="CA258" s="16">
        <f t="shared" ref="CA258:CA266" si="262">BZ258-CB258</f>
        <v>89</v>
      </c>
      <c r="CB258" s="16">
        <v>2679</v>
      </c>
      <c r="CC258" s="16">
        <v>2095</v>
      </c>
      <c r="CD258" s="16">
        <f t="shared" ref="CD258:CD269" si="263">CB258-CC258</f>
        <v>584</v>
      </c>
      <c r="CE258" s="16"/>
      <c r="CF258" s="16"/>
      <c r="CG258" s="78">
        <v>2014</v>
      </c>
      <c r="CH258" s="79" t="s">
        <v>36</v>
      </c>
      <c r="CI258" s="15">
        <f t="shared" si="177"/>
        <v>0.8112136266855926</v>
      </c>
      <c r="CJ258" s="15">
        <f t="shared" si="178"/>
        <v>0.8850174216027874</v>
      </c>
      <c r="CK258" s="15">
        <f t="shared" si="179"/>
        <v>0.91660752306600424</v>
      </c>
      <c r="CL258" s="16"/>
      <c r="CM258" s="16"/>
      <c r="CN258" s="16">
        <v>2818</v>
      </c>
      <c r="CO258" s="16">
        <f t="shared" ref="CO258:CO266" si="264">CN258-CP258</f>
        <v>235</v>
      </c>
      <c r="CP258" s="16">
        <v>2583</v>
      </c>
      <c r="CQ258" s="16">
        <v>2286</v>
      </c>
      <c r="CR258" s="16">
        <f t="shared" ref="CR258:CR269" si="265">CP258-CQ258</f>
        <v>297</v>
      </c>
      <c r="CS258" s="16"/>
      <c r="CT258" s="16"/>
      <c r="CU258" s="78">
        <v>2014</v>
      </c>
      <c r="CV258" s="79" t="s">
        <v>36</v>
      </c>
      <c r="CW258" s="15">
        <f t="shared" si="199"/>
        <v>0.58179375209942896</v>
      </c>
      <c r="CX258" s="15">
        <f t="shared" si="200"/>
        <v>0.67868338557993735</v>
      </c>
      <c r="CY258" s="15">
        <f t="shared" si="201"/>
        <v>0.85723883103795773</v>
      </c>
      <c r="CZ258" s="16"/>
      <c r="DA258" s="16"/>
      <c r="DB258" s="16">
        <v>2977</v>
      </c>
      <c r="DC258" s="16">
        <f t="shared" si="182"/>
        <v>425</v>
      </c>
      <c r="DD258" s="16">
        <v>2552</v>
      </c>
      <c r="DE258" s="16">
        <v>1732</v>
      </c>
      <c r="DF258" s="16">
        <f t="shared" si="183"/>
        <v>820</v>
      </c>
      <c r="DG258" s="16"/>
      <c r="DH258" s="16"/>
      <c r="DI258" s="78">
        <v>2014</v>
      </c>
      <c r="DJ258" s="79" t="s">
        <v>36</v>
      </c>
      <c r="DK258" s="15">
        <f t="shared" si="184"/>
        <v>0.38167938931297712</v>
      </c>
      <c r="DL258" s="15">
        <f t="shared" si="185"/>
        <v>0.68493150684931503</v>
      </c>
      <c r="DM258" s="15">
        <f t="shared" si="186"/>
        <v>0.5572519083969466</v>
      </c>
      <c r="DN258" s="16"/>
      <c r="DO258" s="16"/>
      <c r="DP258" s="16">
        <v>1048</v>
      </c>
      <c r="DQ258" s="16">
        <f t="shared" ref="DQ258:DQ266" si="266">DP258-DR258</f>
        <v>464</v>
      </c>
      <c r="DR258" s="16">
        <v>584</v>
      </c>
      <c r="DS258" s="16">
        <v>400</v>
      </c>
      <c r="DT258" s="16">
        <f t="shared" ref="DT258:DT269" si="267">DR258-DS258</f>
        <v>184</v>
      </c>
      <c r="DU258" s="16"/>
      <c r="DV258" s="16"/>
      <c r="DW258" s="78">
        <v>2014</v>
      </c>
      <c r="DX258" s="79" t="s">
        <v>36</v>
      </c>
      <c r="DY258" s="15">
        <f t="shared" si="189"/>
        <v>0.84153742414025623</v>
      </c>
      <c r="DZ258" s="15">
        <f t="shared" si="190"/>
        <v>0.94331065759637189</v>
      </c>
      <c r="EA258" s="15">
        <f t="shared" si="191"/>
        <v>0.89211058664868514</v>
      </c>
      <c r="EB258" s="16"/>
      <c r="EC258" s="16"/>
      <c r="ED258" s="16">
        <v>1483</v>
      </c>
      <c r="EE258" s="16">
        <f t="shared" ref="EE258:EE266" si="268">ED258-EF258</f>
        <v>160</v>
      </c>
      <c r="EF258" s="16">
        <v>1323</v>
      </c>
      <c r="EG258" s="16">
        <v>1248</v>
      </c>
      <c r="EH258" s="16">
        <f t="shared" ref="EH258:EH269" si="269">EF258-EG258</f>
        <v>75</v>
      </c>
      <c r="EI258" s="16"/>
      <c r="EJ258" s="16"/>
      <c r="EK258" s="78"/>
      <c r="EL258" s="79"/>
      <c r="EM258" s="15"/>
      <c r="EN258" s="15"/>
      <c r="EO258" s="15"/>
      <c r="EP258" s="16"/>
      <c r="EQ258" s="16"/>
      <c r="ER258" s="16"/>
      <c r="ES258" s="16"/>
      <c r="ET258" s="16"/>
      <c r="EU258" s="16"/>
      <c r="EV258" s="16"/>
      <c r="EW258" s="16"/>
      <c r="EX258" s="16"/>
      <c r="EY258" s="78"/>
      <c r="EZ258" s="79"/>
      <c r="FA258" s="15"/>
      <c r="FB258" s="15"/>
      <c r="FC258" s="15"/>
      <c r="FD258" s="16"/>
      <c r="FE258" s="16"/>
      <c r="FF258" s="16"/>
      <c r="FG258" s="16"/>
      <c r="FH258" s="16"/>
      <c r="FI258" s="16"/>
      <c r="FJ258" s="16"/>
      <c r="FK258" s="16"/>
      <c r="FM258" s="78"/>
      <c r="FN258" s="79"/>
      <c r="FO258" s="15"/>
      <c r="FP258" s="15"/>
      <c r="FQ258" s="15"/>
      <c r="FR258" s="16"/>
      <c r="FS258" s="16"/>
      <c r="FT258" s="16"/>
      <c r="FU258" s="16"/>
      <c r="FV258" s="16"/>
      <c r="FW258" s="16"/>
      <c r="FX258" s="16"/>
      <c r="FY258" s="16"/>
      <c r="GA258" s="78"/>
      <c r="GB258" s="79"/>
      <c r="GC258" s="15"/>
      <c r="GD258" s="15"/>
      <c r="GE258" s="15"/>
      <c r="GF258" s="16"/>
      <c r="GG258" s="16"/>
      <c r="GH258" s="16"/>
      <c r="GI258" s="16"/>
      <c r="GJ258" s="16"/>
      <c r="GK258" s="16"/>
      <c r="GL258" s="16"/>
      <c r="GM258" s="16"/>
    </row>
    <row r="259" spans="1:195" s="18" customFormat="1" ht="15" customHeight="1">
      <c r="A259" s="80">
        <v>2014</v>
      </c>
      <c r="B259" s="81" t="s">
        <v>37</v>
      </c>
      <c r="C259" s="15">
        <f t="shared" si="194"/>
        <v>0.78887210473313196</v>
      </c>
      <c r="D259" s="15">
        <f t="shared" si="195"/>
        <v>0.85257945145842406</v>
      </c>
      <c r="E259" s="15">
        <f t="shared" si="196"/>
        <v>0.92527693856998994</v>
      </c>
      <c r="F259" s="16"/>
      <c r="G259" s="33"/>
      <c r="H25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19860</v>
      </c>
      <c r="I259" s="16">
        <f t="shared" si="197"/>
        <v>1484</v>
      </c>
      <c r="J25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18376</v>
      </c>
      <c r="K25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15667</v>
      </c>
      <c r="L259" s="16">
        <f t="shared" si="198"/>
        <v>2709</v>
      </c>
      <c r="M259" s="16"/>
      <c r="N259" s="16"/>
      <c r="O259" s="80">
        <v>2014</v>
      </c>
      <c r="P259" s="81" t="s">
        <v>37</v>
      </c>
      <c r="Q259" s="15">
        <f t="shared" si="157"/>
        <v>0.84897070467141722</v>
      </c>
      <c r="R259" s="15">
        <f t="shared" si="158"/>
        <v>0.87086294416243659</v>
      </c>
      <c r="S259" s="15">
        <f t="shared" si="159"/>
        <v>0.97486144101346006</v>
      </c>
      <c r="T259" s="26"/>
      <c r="U259" s="26"/>
      <c r="V259" s="16">
        <v>5052</v>
      </c>
      <c r="W259" s="16">
        <f t="shared" si="258"/>
        <v>127</v>
      </c>
      <c r="X259" s="16">
        <v>4925</v>
      </c>
      <c r="Y259" s="16">
        <v>4289</v>
      </c>
      <c r="Z259" s="16">
        <f t="shared" si="259"/>
        <v>636</v>
      </c>
      <c r="AA259" s="16"/>
      <c r="AB259" s="16"/>
      <c r="AC259" s="80"/>
      <c r="AD259" s="81"/>
      <c r="AE259" s="15"/>
      <c r="AF259" s="15"/>
      <c r="AG259" s="15"/>
      <c r="AH259" s="15"/>
      <c r="AI259" s="15"/>
      <c r="AJ259" s="16"/>
      <c r="AK259" s="16"/>
      <c r="AL259" s="16"/>
      <c r="AM259" s="16"/>
      <c r="AN259" s="16"/>
      <c r="AO259" s="16"/>
      <c r="AP259" s="16"/>
      <c r="AQ259" s="80">
        <v>2014</v>
      </c>
      <c r="AR259" s="81" t="s">
        <v>37</v>
      </c>
      <c r="AS259" s="15">
        <f t="shared" si="162"/>
        <v>0.86816652649285109</v>
      </c>
      <c r="AT259" s="15">
        <f t="shared" si="163"/>
        <v>0.91592724046140195</v>
      </c>
      <c r="AU259" s="15">
        <f t="shared" si="164"/>
        <v>0.94785534062237176</v>
      </c>
      <c r="AV259" s="16"/>
      <c r="AW259" s="16"/>
      <c r="AX259" s="16">
        <v>4756</v>
      </c>
      <c r="AY259" s="16">
        <f t="shared" si="260"/>
        <v>248</v>
      </c>
      <c r="AZ259" s="16">
        <v>4508</v>
      </c>
      <c r="BA259" s="16">
        <v>4129</v>
      </c>
      <c r="BB259" s="16">
        <f t="shared" si="261"/>
        <v>379</v>
      </c>
      <c r="BC259" s="16"/>
      <c r="BD259" s="16"/>
      <c r="BE259" s="80">
        <v>2014</v>
      </c>
      <c r="BF259" s="81" t="s">
        <v>37</v>
      </c>
      <c r="BG259" s="15"/>
      <c r="BH259" s="15"/>
      <c r="BI259" s="15"/>
      <c r="BJ259" s="16"/>
      <c r="BK259" s="16"/>
      <c r="BL259" s="16"/>
      <c r="BM259" s="16"/>
      <c r="BN259" s="16"/>
      <c r="BO259" s="16"/>
      <c r="BP259" s="16"/>
      <c r="BQ259" s="16"/>
      <c r="BR259" s="16"/>
      <c r="BS259" s="80">
        <v>2014</v>
      </c>
      <c r="BT259" s="81" t="s">
        <v>37</v>
      </c>
      <c r="BU259" s="15">
        <f t="shared" si="172"/>
        <v>0.73325358851674638</v>
      </c>
      <c r="BV259" s="15">
        <f t="shared" si="173"/>
        <v>0.76402160365600336</v>
      </c>
      <c r="BW259" s="15">
        <f t="shared" si="174"/>
        <v>0.95972886762360443</v>
      </c>
      <c r="BX259" s="16"/>
      <c r="BY259" s="16"/>
      <c r="BZ259" s="16">
        <v>2508</v>
      </c>
      <c r="CA259" s="16">
        <f t="shared" si="262"/>
        <v>101</v>
      </c>
      <c r="CB259" s="16">
        <v>2407</v>
      </c>
      <c r="CC259" s="16">
        <v>1839</v>
      </c>
      <c r="CD259" s="16">
        <f t="shared" si="263"/>
        <v>568</v>
      </c>
      <c r="CE259" s="16"/>
      <c r="CF259" s="16"/>
      <c r="CG259" s="80">
        <v>2014</v>
      </c>
      <c r="CH259" s="81" t="s">
        <v>37</v>
      </c>
      <c r="CI259" s="15">
        <f t="shared" si="177"/>
        <v>0.83059467918622853</v>
      </c>
      <c r="CJ259" s="15">
        <f t="shared" si="178"/>
        <v>0.89843419382141343</v>
      </c>
      <c r="CK259" s="15">
        <f t="shared" si="179"/>
        <v>0.92449139280125192</v>
      </c>
      <c r="CL259" s="16"/>
      <c r="CM259" s="16"/>
      <c r="CN259" s="16">
        <v>2556</v>
      </c>
      <c r="CO259" s="16">
        <f t="shared" si="264"/>
        <v>193</v>
      </c>
      <c r="CP259" s="16">
        <v>2363</v>
      </c>
      <c r="CQ259" s="16">
        <v>2123</v>
      </c>
      <c r="CR259" s="16">
        <f t="shared" si="265"/>
        <v>240</v>
      </c>
      <c r="CS259" s="16"/>
      <c r="CT259" s="16"/>
      <c r="CU259" s="80">
        <v>2014</v>
      </c>
      <c r="CV259" s="81" t="s">
        <v>37</v>
      </c>
      <c r="CW259" s="15">
        <f t="shared" si="199"/>
        <v>0.66097922848664692</v>
      </c>
      <c r="CX259" s="15">
        <f t="shared" si="200"/>
        <v>0.720873786407767</v>
      </c>
      <c r="CY259" s="15">
        <f t="shared" si="201"/>
        <v>0.91691394658753711</v>
      </c>
      <c r="CZ259" s="16"/>
      <c r="DA259" s="16"/>
      <c r="DB259" s="16">
        <v>2696</v>
      </c>
      <c r="DC259" s="16">
        <f t="shared" si="182"/>
        <v>224</v>
      </c>
      <c r="DD259" s="16">
        <v>2472</v>
      </c>
      <c r="DE259" s="16">
        <v>1782</v>
      </c>
      <c r="DF259" s="16">
        <f t="shared" si="183"/>
        <v>690</v>
      </c>
      <c r="DG259" s="16"/>
      <c r="DH259" s="16"/>
      <c r="DI259" s="80">
        <v>2014</v>
      </c>
      <c r="DJ259" s="81" t="s">
        <v>37</v>
      </c>
      <c r="DK259" s="15">
        <f t="shared" si="184"/>
        <v>0.37552742616033757</v>
      </c>
      <c r="DL259" s="15">
        <f t="shared" si="185"/>
        <v>0.70775347912524855</v>
      </c>
      <c r="DM259" s="15">
        <f t="shared" si="186"/>
        <v>0.53059071729957807</v>
      </c>
      <c r="DN259" s="16"/>
      <c r="DO259" s="16"/>
      <c r="DP259" s="16">
        <v>948</v>
      </c>
      <c r="DQ259" s="16">
        <f t="shared" si="266"/>
        <v>445</v>
      </c>
      <c r="DR259" s="16">
        <v>503</v>
      </c>
      <c r="DS259" s="16">
        <v>356</v>
      </c>
      <c r="DT259" s="16">
        <f t="shared" si="267"/>
        <v>147</v>
      </c>
      <c r="DU259" s="16"/>
      <c r="DV259" s="16"/>
      <c r="DW259" s="80">
        <v>2014</v>
      </c>
      <c r="DX259" s="81" t="s">
        <v>37</v>
      </c>
      <c r="DY259" s="15">
        <f t="shared" si="189"/>
        <v>0.8549107142857143</v>
      </c>
      <c r="DZ259" s="15">
        <f t="shared" si="190"/>
        <v>0.95909849749582643</v>
      </c>
      <c r="EA259" s="15">
        <f t="shared" si="191"/>
        <v>0.89136904761904767</v>
      </c>
      <c r="EB259" s="16"/>
      <c r="EC259" s="16"/>
      <c r="ED259" s="16">
        <v>1344</v>
      </c>
      <c r="EE259" s="16">
        <f t="shared" si="268"/>
        <v>146</v>
      </c>
      <c r="EF259" s="16">
        <v>1198</v>
      </c>
      <c r="EG259" s="16">
        <v>1149</v>
      </c>
      <c r="EH259" s="16">
        <f t="shared" si="269"/>
        <v>49</v>
      </c>
      <c r="EI259" s="16"/>
      <c r="EJ259" s="16"/>
      <c r="EK259" s="80"/>
      <c r="EL259" s="81"/>
      <c r="EM259" s="15"/>
      <c r="EN259" s="15"/>
      <c r="EO259" s="15"/>
      <c r="EP259" s="16"/>
      <c r="EQ259" s="16"/>
      <c r="ER259" s="16"/>
      <c r="ES259" s="16"/>
      <c r="ET259" s="16"/>
      <c r="EU259" s="16"/>
      <c r="EV259" s="16"/>
      <c r="EW259" s="16"/>
      <c r="EX259" s="16"/>
      <c r="EY259" s="80"/>
      <c r="EZ259" s="81"/>
      <c r="FA259" s="15"/>
      <c r="FB259" s="15"/>
      <c r="FC259" s="15"/>
      <c r="FD259" s="16"/>
      <c r="FE259" s="16"/>
      <c r="FF259" s="16"/>
      <c r="FG259" s="16"/>
      <c r="FH259" s="16"/>
      <c r="FI259" s="16"/>
      <c r="FJ259" s="16"/>
      <c r="FK259" s="16"/>
      <c r="FM259" s="80"/>
      <c r="FN259" s="81"/>
      <c r="FO259" s="15"/>
      <c r="FP259" s="15"/>
      <c r="FQ259" s="15"/>
      <c r="FR259" s="16"/>
      <c r="FS259" s="16"/>
      <c r="FT259" s="16"/>
      <c r="FU259" s="16"/>
      <c r="FV259" s="16"/>
      <c r="FW259" s="16"/>
      <c r="FX259" s="16"/>
      <c r="FY259" s="16"/>
      <c r="GA259" s="80"/>
      <c r="GB259" s="81"/>
      <c r="GC259" s="15"/>
      <c r="GD259" s="15"/>
      <c r="GE259" s="15"/>
      <c r="GF259" s="16"/>
      <c r="GG259" s="16"/>
      <c r="GH259" s="16"/>
      <c r="GI259" s="16"/>
      <c r="GJ259" s="16"/>
      <c r="GK259" s="16"/>
      <c r="GL259" s="16"/>
      <c r="GM259" s="16"/>
    </row>
    <row r="260" spans="1:195" s="18" customFormat="1" ht="15" customHeight="1">
      <c r="A260" s="78">
        <v>2014</v>
      </c>
      <c r="B260" s="79" t="s">
        <v>38</v>
      </c>
      <c r="C260" s="15">
        <f t="shared" si="194"/>
        <v>0.76694025577400271</v>
      </c>
      <c r="D260" s="15">
        <f t="shared" si="195"/>
        <v>0.81908062378962387</v>
      </c>
      <c r="E260" s="15">
        <f t="shared" si="196"/>
        <v>0.93634281351402937</v>
      </c>
      <c r="F260" s="16"/>
      <c r="G260" s="33"/>
      <c r="H26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20956</v>
      </c>
      <c r="I260" s="16">
        <f t="shared" si="197"/>
        <v>1334</v>
      </c>
      <c r="J26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19622</v>
      </c>
      <c r="K26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16072</v>
      </c>
      <c r="L260" s="16">
        <f t="shared" si="198"/>
        <v>3550</v>
      </c>
      <c r="M260" s="16"/>
      <c r="N260" s="16"/>
      <c r="O260" s="78">
        <v>2014</v>
      </c>
      <c r="P260" s="79" t="s">
        <v>38</v>
      </c>
      <c r="Q260" s="15">
        <f t="shared" si="157"/>
        <v>0.8087442218798151</v>
      </c>
      <c r="R260" s="15">
        <f t="shared" si="158"/>
        <v>0.82771535580524347</v>
      </c>
      <c r="S260" s="15">
        <f t="shared" si="159"/>
        <v>0.9770801232665639</v>
      </c>
      <c r="T260" s="26"/>
      <c r="U260" s="26"/>
      <c r="V260" s="16">
        <v>5192</v>
      </c>
      <c r="W260" s="16">
        <f t="shared" si="258"/>
        <v>119</v>
      </c>
      <c r="X260" s="16">
        <v>5073</v>
      </c>
      <c r="Y260" s="16">
        <v>4199</v>
      </c>
      <c r="Z260" s="16">
        <f t="shared" si="259"/>
        <v>874</v>
      </c>
      <c r="AA260" s="16"/>
      <c r="AB260" s="16"/>
      <c r="AC260" s="78"/>
      <c r="AD260" s="79"/>
      <c r="AE260" s="15"/>
      <c r="AF260" s="15"/>
      <c r="AG260" s="15"/>
      <c r="AH260" s="15"/>
      <c r="AI260" s="15"/>
      <c r="AJ260" s="16"/>
      <c r="AK260" s="16"/>
      <c r="AL260" s="16"/>
      <c r="AM260" s="16"/>
      <c r="AN260" s="16"/>
      <c r="AO260" s="16"/>
      <c r="AP260" s="16"/>
      <c r="AQ260" s="78">
        <v>2014</v>
      </c>
      <c r="AR260" s="79" t="s">
        <v>38</v>
      </c>
      <c r="AS260" s="15">
        <f t="shared" si="162"/>
        <v>0.82901659247268311</v>
      </c>
      <c r="AT260" s="15">
        <f t="shared" si="163"/>
        <v>0.87133134836239901</v>
      </c>
      <c r="AU260" s="15">
        <f t="shared" si="164"/>
        <v>0.95143666531768512</v>
      </c>
      <c r="AV260" s="16"/>
      <c r="AW260" s="16"/>
      <c r="AX260" s="16">
        <v>4942</v>
      </c>
      <c r="AY260" s="16">
        <f t="shared" si="260"/>
        <v>240</v>
      </c>
      <c r="AZ260" s="16">
        <v>4702</v>
      </c>
      <c r="BA260" s="16">
        <v>4097</v>
      </c>
      <c r="BB260" s="16">
        <f t="shared" si="261"/>
        <v>605</v>
      </c>
      <c r="BC260" s="16"/>
      <c r="BD260" s="16"/>
      <c r="BE260" s="78">
        <v>2014</v>
      </c>
      <c r="BF260" s="79" t="s">
        <v>38</v>
      </c>
      <c r="BG260" s="15"/>
      <c r="BH260" s="15"/>
      <c r="BI260" s="15"/>
      <c r="BJ260" s="16"/>
      <c r="BK260" s="16"/>
      <c r="BL260" s="16"/>
      <c r="BM260" s="16"/>
      <c r="BN260" s="16"/>
      <c r="BO260" s="16"/>
      <c r="BP260" s="16"/>
      <c r="BQ260" s="16"/>
      <c r="BR260" s="16"/>
      <c r="BS260" s="78">
        <v>2014</v>
      </c>
      <c r="BT260" s="79" t="s">
        <v>38</v>
      </c>
      <c r="BU260" s="15">
        <f t="shared" si="172"/>
        <v>0.70107686594875607</v>
      </c>
      <c r="BV260" s="15">
        <f t="shared" si="173"/>
        <v>0.71841704718417043</v>
      </c>
      <c r="BW260" s="15">
        <f t="shared" si="174"/>
        <v>0.97586334942443376</v>
      </c>
      <c r="BX260" s="16"/>
      <c r="BY260" s="16"/>
      <c r="BZ260" s="16">
        <v>2693</v>
      </c>
      <c r="CA260" s="16">
        <f t="shared" si="262"/>
        <v>65</v>
      </c>
      <c r="CB260" s="16">
        <v>2628</v>
      </c>
      <c r="CC260" s="16">
        <v>1888</v>
      </c>
      <c r="CD260" s="16">
        <f t="shared" si="263"/>
        <v>740</v>
      </c>
      <c r="CE260" s="16"/>
      <c r="CF260" s="16"/>
      <c r="CG260" s="78">
        <v>2014</v>
      </c>
      <c r="CH260" s="79" t="s">
        <v>38</v>
      </c>
      <c r="CI260" s="15">
        <f t="shared" si="177"/>
        <v>0.84154801022270898</v>
      </c>
      <c r="CJ260" s="15">
        <f t="shared" si="178"/>
        <v>0.88044308632543922</v>
      </c>
      <c r="CK260" s="15">
        <f t="shared" si="179"/>
        <v>0.95582329317269077</v>
      </c>
      <c r="CL260" s="16"/>
      <c r="CM260" s="16"/>
      <c r="CN260" s="16">
        <v>2739</v>
      </c>
      <c r="CO260" s="16">
        <f t="shared" si="264"/>
        <v>121</v>
      </c>
      <c r="CP260" s="16">
        <v>2618</v>
      </c>
      <c r="CQ260" s="16">
        <v>2305</v>
      </c>
      <c r="CR260" s="16">
        <f t="shared" si="265"/>
        <v>313</v>
      </c>
      <c r="CS260" s="16"/>
      <c r="CT260" s="16"/>
      <c r="CU260" s="78">
        <v>2014</v>
      </c>
      <c r="CV260" s="79" t="s">
        <v>38</v>
      </c>
      <c r="CW260" s="15">
        <f t="shared" si="199"/>
        <v>0.65774116031582563</v>
      </c>
      <c r="CX260" s="15">
        <f t="shared" si="200"/>
        <v>0.70910436713545522</v>
      </c>
      <c r="CY260" s="15">
        <f t="shared" si="201"/>
        <v>0.92756608307586685</v>
      </c>
      <c r="CZ260" s="16"/>
      <c r="DA260" s="16"/>
      <c r="DB260" s="16">
        <v>2913</v>
      </c>
      <c r="DC260" s="16">
        <f t="shared" si="182"/>
        <v>211</v>
      </c>
      <c r="DD260" s="16">
        <v>2702</v>
      </c>
      <c r="DE260" s="16">
        <v>1916</v>
      </c>
      <c r="DF260" s="16">
        <f t="shared" si="183"/>
        <v>786</v>
      </c>
      <c r="DG260" s="16"/>
      <c r="DH260" s="16"/>
      <c r="DI260" s="78">
        <v>2014</v>
      </c>
      <c r="DJ260" s="79" t="s">
        <v>38</v>
      </c>
      <c r="DK260" s="15">
        <f t="shared" si="184"/>
        <v>0.47281553398058251</v>
      </c>
      <c r="DL260" s="15">
        <f t="shared" si="185"/>
        <v>0.71407624633431088</v>
      </c>
      <c r="DM260" s="15">
        <f t="shared" si="186"/>
        <v>0.6621359223300971</v>
      </c>
      <c r="DN260" s="16"/>
      <c r="DO260" s="16"/>
      <c r="DP260" s="16">
        <v>1030</v>
      </c>
      <c r="DQ260" s="16">
        <f t="shared" si="266"/>
        <v>348</v>
      </c>
      <c r="DR260" s="16">
        <v>682</v>
      </c>
      <c r="DS260" s="16">
        <v>487</v>
      </c>
      <c r="DT260" s="16">
        <f t="shared" si="267"/>
        <v>195</v>
      </c>
      <c r="DU260" s="16"/>
      <c r="DV260" s="16"/>
      <c r="DW260" s="78">
        <v>2014</v>
      </c>
      <c r="DX260" s="79" t="s">
        <v>38</v>
      </c>
      <c r="DY260" s="15">
        <f t="shared" si="189"/>
        <v>0.81548030407740157</v>
      </c>
      <c r="DZ260" s="15">
        <f t="shared" si="190"/>
        <v>0.96959737058340179</v>
      </c>
      <c r="EA260" s="15">
        <f t="shared" si="191"/>
        <v>0.84105044920525229</v>
      </c>
      <c r="EB260" s="16"/>
      <c r="EC260" s="16"/>
      <c r="ED260" s="16">
        <v>1447</v>
      </c>
      <c r="EE260" s="16">
        <f t="shared" si="268"/>
        <v>230</v>
      </c>
      <c r="EF260" s="16">
        <v>1217</v>
      </c>
      <c r="EG260" s="16">
        <v>1180</v>
      </c>
      <c r="EH260" s="16">
        <f t="shared" si="269"/>
        <v>37</v>
      </c>
      <c r="EI260" s="16"/>
      <c r="EJ260" s="16"/>
      <c r="EK260" s="78"/>
      <c r="EL260" s="79"/>
      <c r="EM260" s="15"/>
      <c r="EN260" s="15"/>
      <c r="EO260" s="15"/>
      <c r="EP260" s="16"/>
      <c r="EQ260" s="16"/>
      <c r="ER260" s="16"/>
      <c r="ES260" s="16"/>
      <c r="ET260" s="16"/>
      <c r="EU260" s="16"/>
      <c r="EV260" s="16"/>
      <c r="EW260" s="16"/>
      <c r="EX260" s="16"/>
      <c r="EY260" s="78"/>
      <c r="EZ260" s="79"/>
      <c r="FA260" s="15"/>
      <c r="FB260" s="15"/>
      <c r="FC260" s="15"/>
      <c r="FD260" s="16"/>
      <c r="FE260" s="16"/>
      <c r="FF260" s="16"/>
      <c r="FG260" s="16"/>
      <c r="FH260" s="16"/>
      <c r="FI260" s="16"/>
      <c r="FJ260" s="16"/>
      <c r="FK260" s="16"/>
      <c r="FM260" s="78"/>
      <c r="FN260" s="79"/>
      <c r="FO260" s="15"/>
      <c r="FP260" s="15"/>
      <c r="FQ260" s="15"/>
      <c r="FR260" s="16"/>
      <c r="FS260" s="16"/>
      <c r="FT260" s="16"/>
      <c r="FU260" s="16"/>
      <c r="FV260" s="16"/>
      <c r="FW260" s="16"/>
      <c r="FX260" s="16"/>
      <c r="FY260" s="16"/>
      <c r="GA260" s="78"/>
      <c r="GB260" s="79"/>
      <c r="GC260" s="15"/>
      <c r="GD260" s="15"/>
      <c r="GE260" s="15"/>
      <c r="GF260" s="16"/>
      <c r="GG260" s="16"/>
      <c r="GH260" s="16"/>
      <c r="GI260" s="16"/>
      <c r="GJ260" s="16"/>
      <c r="GK260" s="16"/>
      <c r="GL260" s="16"/>
      <c r="GM260" s="16"/>
    </row>
    <row r="261" spans="1:195" s="18" customFormat="1" ht="15" customHeight="1">
      <c r="A261" s="80">
        <v>2014</v>
      </c>
      <c r="B261" s="81" t="s">
        <v>39</v>
      </c>
      <c r="C261" s="15">
        <f t="shared" si="194"/>
        <v>0.7413427220989679</v>
      </c>
      <c r="D261" s="15">
        <f t="shared" si="195"/>
        <v>0.81725861335601868</v>
      </c>
      <c r="E261" s="15">
        <f t="shared" si="196"/>
        <v>0.90710909617054114</v>
      </c>
      <c r="F261" s="16"/>
      <c r="G261" s="33"/>
      <c r="H26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20734</v>
      </c>
      <c r="I261" s="16">
        <f t="shared" si="197"/>
        <v>1926</v>
      </c>
      <c r="J26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18808</v>
      </c>
      <c r="K26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15371</v>
      </c>
      <c r="L261" s="16">
        <f t="shared" si="198"/>
        <v>3437</v>
      </c>
      <c r="M261" s="16"/>
      <c r="N261" s="16"/>
      <c r="O261" s="80">
        <v>2014</v>
      </c>
      <c r="P261" s="81" t="s">
        <v>39</v>
      </c>
      <c r="Q261" s="15">
        <f t="shared" si="157"/>
        <v>0.76519230769230773</v>
      </c>
      <c r="R261" s="15">
        <f t="shared" si="158"/>
        <v>0.82312784443525033</v>
      </c>
      <c r="S261" s="15">
        <f t="shared" si="159"/>
        <v>0.92961538461538462</v>
      </c>
      <c r="T261" s="26"/>
      <c r="U261" s="26"/>
      <c r="V261" s="16">
        <v>5200</v>
      </c>
      <c r="W261" s="16">
        <f t="shared" si="258"/>
        <v>366</v>
      </c>
      <c r="X261" s="16">
        <v>4834</v>
      </c>
      <c r="Y261" s="16">
        <v>3979</v>
      </c>
      <c r="Z261" s="16">
        <f t="shared" si="259"/>
        <v>855</v>
      </c>
      <c r="AA261" s="16"/>
      <c r="AB261" s="16"/>
      <c r="AC261" s="80"/>
      <c r="AD261" s="81"/>
      <c r="AE261" s="15"/>
      <c r="AF261" s="15"/>
      <c r="AG261" s="15"/>
      <c r="AH261" s="15"/>
      <c r="AI261" s="15"/>
      <c r="AJ261" s="16"/>
      <c r="AK261" s="16"/>
      <c r="AL261" s="16"/>
      <c r="AM261" s="16"/>
      <c r="AN261" s="16"/>
      <c r="AO261" s="16"/>
      <c r="AP261" s="16"/>
      <c r="AQ261" s="80">
        <v>2014</v>
      </c>
      <c r="AR261" s="81" t="s">
        <v>39</v>
      </c>
      <c r="AS261" s="15">
        <f t="shared" si="162"/>
        <v>0.80385786802030457</v>
      </c>
      <c r="AT261" s="15">
        <f t="shared" si="163"/>
        <v>0.87453059421250279</v>
      </c>
      <c r="AU261" s="15">
        <f t="shared" si="164"/>
        <v>0.91918781725888321</v>
      </c>
      <c r="AV261" s="16"/>
      <c r="AW261" s="16"/>
      <c r="AX261" s="16">
        <v>4925</v>
      </c>
      <c r="AY261" s="16">
        <f t="shared" si="260"/>
        <v>398</v>
      </c>
      <c r="AZ261" s="16">
        <v>4527</v>
      </c>
      <c r="BA261" s="16">
        <v>3959</v>
      </c>
      <c r="BB261" s="16">
        <f t="shared" si="261"/>
        <v>568</v>
      </c>
      <c r="BC261" s="16"/>
      <c r="BD261" s="16"/>
      <c r="BE261" s="80">
        <v>2014</v>
      </c>
      <c r="BF261" s="81" t="s">
        <v>39</v>
      </c>
      <c r="BG261" s="15"/>
      <c r="BH261" s="15"/>
      <c r="BI261" s="15"/>
      <c r="BJ261" s="16"/>
      <c r="BK261" s="16"/>
      <c r="BL261" s="16"/>
      <c r="BM261" s="16"/>
      <c r="BN261" s="16"/>
      <c r="BO261" s="16"/>
      <c r="BP261" s="16"/>
      <c r="BQ261" s="16"/>
      <c r="BR261" s="16"/>
      <c r="BS261" s="80">
        <v>2014</v>
      </c>
      <c r="BT261" s="81" t="s">
        <v>39</v>
      </c>
      <c r="BU261" s="15">
        <f t="shared" si="172"/>
        <v>0.65304578130911839</v>
      </c>
      <c r="BV261" s="15">
        <f t="shared" si="173"/>
        <v>0.70766707667076667</v>
      </c>
      <c r="BW261" s="15">
        <f t="shared" si="174"/>
        <v>0.92281498297389331</v>
      </c>
      <c r="BX261" s="16"/>
      <c r="BY261" s="16"/>
      <c r="BZ261" s="16">
        <v>2643</v>
      </c>
      <c r="CA261" s="16">
        <f t="shared" si="262"/>
        <v>204</v>
      </c>
      <c r="CB261" s="16">
        <v>2439</v>
      </c>
      <c r="CC261" s="16">
        <v>1726</v>
      </c>
      <c r="CD261" s="16">
        <f t="shared" si="263"/>
        <v>713</v>
      </c>
      <c r="CE261" s="16"/>
      <c r="CF261" s="16"/>
      <c r="CG261" s="80">
        <v>2014</v>
      </c>
      <c r="CH261" s="81" t="s">
        <v>39</v>
      </c>
      <c r="CI261" s="15">
        <f t="shared" si="177"/>
        <v>0.78075065031586766</v>
      </c>
      <c r="CJ261" s="15">
        <f t="shared" si="178"/>
        <v>0.87432376196421135</v>
      </c>
      <c r="CK261" s="15">
        <f t="shared" si="179"/>
        <v>0.8929765886287625</v>
      </c>
      <c r="CL261" s="16"/>
      <c r="CM261" s="16"/>
      <c r="CN261" s="16">
        <v>2691</v>
      </c>
      <c r="CO261" s="16">
        <f t="shared" si="264"/>
        <v>288</v>
      </c>
      <c r="CP261" s="16">
        <v>2403</v>
      </c>
      <c r="CQ261" s="16">
        <v>2101</v>
      </c>
      <c r="CR261" s="16">
        <f t="shared" si="265"/>
        <v>302</v>
      </c>
      <c r="CS261" s="16"/>
      <c r="CT261" s="16"/>
      <c r="CU261" s="80">
        <v>2014</v>
      </c>
      <c r="CV261" s="81" t="s">
        <v>39</v>
      </c>
      <c r="CW261" s="15">
        <f t="shared" si="199"/>
        <v>0.65661171518765349</v>
      </c>
      <c r="CX261" s="15">
        <f t="shared" si="200"/>
        <v>0.70989761092150172</v>
      </c>
      <c r="CY261" s="15">
        <f t="shared" si="201"/>
        <v>0.92493861802876187</v>
      </c>
      <c r="CZ261" s="16"/>
      <c r="DA261" s="16"/>
      <c r="DB261" s="16">
        <v>2851</v>
      </c>
      <c r="DC261" s="16">
        <f t="shared" si="182"/>
        <v>214</v>
      </c>
      <c r="DD261" s="16">
        <v>2637</v>
      </c>
      <c r="DE261" s="16">
        <v>1872</v>
      </c>
      <c r="DF261" s="16">
        <f t="shared" si="183"/>
        <v>765</v>
      </c>
      <c r="DG261" s="16"/>
      <c r="DH261" s="16"/>
      <c r="DI261" s="80">
        <v>2014</v>
      </c>
      <c r="DJ261" s="81" t="s">
        <v>39</v>
      </c>
      <c r="DK261" s="15">
        <f t="shared" si="184"/>
        <v>0.65174129353233834</v>
      </c>
      <c r="DL261" s="15">
        <f t="shared" si="185"/>
        <v>0.76251455180442373</v>
      </c>
      <c r="DM261" s="15">
        <f t="shared" si="186"/>
        <v>0.854726368159204</v>
      </c>
      <c r="DN261" s="16"/>
      <c r="DO261" s="16"/>
      <c r="DP261" s="16">
        <v>1005</v>
      </c>
      <c r="DQ261" s="16">
        <f t="shared" si="266"/>
        <v>146</v>
      </c>
      <c r="DR261" s="16">
        <v>859</v>
      </c>
      <c r="DS261" s="16">
        <v>655</v>
      </c>
      <c r="DT261" s="16">
        <f t="shared" si="267"/>
        <v>204</v>
      </c>
      <c r="DU261" s="16"/>
      <c r="DV261" s="16"/>
      <c r="DW261" s="80">
        <v>2014</v>
      </c>
      <c r="DX261" s="81" t="s">
        <v>39</v>
      </c>
      <c r="DY261" s="15">
        <f t="shared" si="189"/>
        <v>0.76039464411557434</v>
      </c>
      <c r="DZ261" s="15">
        <f t="shared" si="190"/>
        <v>0.97294860234445446</v>
      </c>
      <c r="EA261" s="15">
        <f t="shared" si="191"/>
        <v>0.78153629316420015</v>
      </c>
      <c r="EB261" s="16"/>
      <c r="EC261" s="16"/>
      <c r="ED261" s="16">
        <v>1419</v>
      </c>
      <c r="EE261" s="16">
        <f t="shared" si="268"/>
        <v>310</v>
      </c>
      <c r="EF261" s="16">
        <v>1109</v>
      </c>
      <c r="EG261" s="16">
        <v>1079</v>
      </c>
      <c r="EH261" s="16">
        <f t="shared" si="269"/>
        <v>30</v>
      </c>
      <c r="EI261" s="16"/>
      <c r="EJ261" s="16"/>
      <c r="EK261" s="80"/>
      <c r="EL261" s="81"/>
      <c r="EM261" s="15"/>
      <c r="EN261" s="15"/>
      <c r="EO261" s="15"/>
      <c r="EP261" s="16"/>
      <c r="EQ261" s="16"/>
      <c r="ER261" s="16"/>
      <c r="ES261" s="16"/>
      <c r="ET261" s="16"/>
      <c r="EU261" s="16"/>
      <c r="EV261" s="16"/>
      <c r="EW261" s="16"/>
      <c r="EX261" s="16"/>
      <c r="EY261" s="80"/>
      <c r="EZ261" s="81"/>
      <c r="FA261" s="15"/>
      <c r="FB261" s="15"/>
      <c r="FC261" s="15"/>
      <c r="FD261" s="16"/>
      <c r="FE261" s="16"/>
      <c r="FF261" s="16"/>
      <c r="FG261" s="16"/>
      <c r="FH261" s="16"/>
      <c r="FI261" s="16"/>
      <c r="FJ261" s="16"/>
      <c r="FK261" s="16"/>
      <c r="FM261" s="80"/>
      <c r="FN261" s="81"/>
      <c r="FO261" s="15"/>
      <c r="FP261" s="15"/>
      <c r="FQ261" s="15"/>
      <c r="FR261" s="16"/>
      <c r="FS261" s="16"/>
      <c r="FT261" s="16"/>
      <c r="FU261" s="16"/>
      <c r="FV261" s="16"/>
      <c r="FW261" s="16"/>
      <c r="FX261" s="16"/>
      <c r="FY261" s="16"/>
      <c r="GA261" s="80"/>
      <c r="GB261" s="81"/>
      <c r="GC261" s="15"/>
      <c r="GD261" s="15"/>
      <c r="GE261" s="15"/>
      <c r="GF261" s="16"/>
      <c r="GG261" s="16"/>
      <c r="GH261" s="16"/>
      <c r="GI261" s="16"/>
      <c r="GJ261" s="16"/>
      <c r="GK261" s="16"/>
      <c r="GL261" s="16"/>
      <c r="GM261" s="16"/>
    </row>
    <row r="262" spans="1:195" s="18" customFormat="1" ht="15" customHeight="1">
      <c r="A262" s="78">
        <v>2014</v>
      </c>
      <c r="B262" s="79" t="s">
        <v>40</v>
      </c>
      <c r="C262" s="15">
        <f t="shared" si="194"/>
        <v>0.75443979544397954</v>
      </c>
      <c r="D262" s="15">
        <f t="shared" si="195"/>
        <v>0.78734656251516177</v>
      </c>
      <c r="E262" s="15">
        <f t="shared" si="196"/>
        <v>0.95820548582054854</v>
      </c>
      <c r="F262" s="16"/>
      <c r="G262" s="33"/>
      <c r="H26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21510</v>
      </c>
      <c r="I262" s="16">
        <f t="shared" si="197"/>
        <v>899</v>
      </c>
      <c r="J26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20611</v>
      </c>
      <c r="K26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16228</v>
      </c>
      <c r="L262" s="16">
        <f t="shared" si="198"/>
        <v>4383</v>
      </c>
      <c r="M262" s="16"/>
      <c r="N262" s="16"/>
      <c r="O262" s="78">
        <v>2014</v>
      </c>
      <c r="P262" s="79" t="s">
        <v>40</v>
      </c>
      <c r="Q262" s="15">
        <f t="shared" ref="Q262:Q325" si="270">Y262/V262</f>
        <v>0.78139448862585537</v>
      </c>
      <c r="R262" s="15">
        <f t="shared" ref="R262:R325" si="271">Y262/X262</f>
        <v>0.80292664386164958</v>
      </c>
      <c r="S262" s="15">
        <f t="shared" ref="S262:S325" si="272">X262/V262</f>
        <v>0.97318291104124288</v>
      </c>
      <c r="T262" s="26"/>
      <c r="U262" s="26"/>
      <c r="V262" s="16">
        <v>5407</v>
      </c>
      <c r="W262" s="16">
        <f t="shared" si="258"/>
        <v>145</v>
      </c>
      <c r="X262" s="16">
        <v>5262</v>
      </c>
      <c r="Y262" s="16">
        <v>4225</v>
      </c>
      <c r="Z262" s="16">
        <f t="shared" si="259"/>
        <v>1037</v>
      </c>
      <c r="AA262" s="16"/>
      <c r="AB262" s="16"/>
      <c r="AC262" s="78"/>
      <c r="AD262" s="79"/>
      <c r="AE262" s="15"/>
      <c r="AF262" s="15"/>
      <c r="AG262" s="15"/>
      <c r="AH262" s="15"/>
      <c r="AI262" s="15"/>
      <c r="AJ262" s="16"/>
      <c r="AK262" s="16"/>
      <c r="AL262" s="16"/>
      <c r="AM262" s="16"/>
      <c r="AN262" s="16"/>
      <c r="AO262" s="16"/>
      <c r="AP262" s="16"/>
      <c r="AQ262" s="78">
        <v>2014</v>
      </c>
      <c r="AR262" s="79" t="s">
        <v>40</v>
      </c>
      <c r="AS262" s="15">
        <f t="shared" ref="AS262:AS325" si="273">BA262/AX262</f>
        <v>0.79597420363494231</v>
      </c>
      <c r="AT262" s="15">
        <f t="shared" ref="AT262:AT325" si="274">BA262/AZ262</f>
        <v>0.84783513738551208</v>
      </c>
      <c r="AU262" s="15">
        <f t="shared" ref="AU262:AU325" si="275">AZ262/AX262</f>
        <v>0.93883134649208522</v>
      </c>
      <c r="AV262" s="16"/>
      <c r="AW262" s="16"/>
      <c r="AX262" s="16">
        <v>5117</v>
      </c>
      <c r="AY262" s="16">
        <f t="shared" si="260"/>
        <v>313</v>
      </c>
      <c r="AZ262" s="16">
        <v>4804</v>
      </c>
      <c r="BA262" s="16">
        <v>4073</v>
      </c>
      <c r="BB262" s="16">
        <f t="shared" si="261"/>
        <v>731</v>
      </c>
      <c r="BC262" s="16"/>
      <c r="BD262" s="16"/>
      <c r="BE262" s="78">
        <v>2014</v>
      </c>
      <c r="BF262" s="79" t="s">
        <v>40</v>
      </c>
      <c r="BG262" s="15"/>
      <c r="BH262" s="15"/>
      <c r="BI262" s="15"/>
      <c r="BJ262" s="16"/>
      <c r="BK262" s="16"/>
      <c r="BL262" s="16"/>
      <c r="BM262" s="16"/>
      <c r="BN262" s="16"/>
      <c r="BO262" s="16"/>
      <c r="BP262" s="16"/>
      <c r="BQ262" s="16"/>
      <c r="BR262" s="16"/>
      <c r="BS262" s="78">
        <v>2014</v>
      </c>
      <c r="BT262" s="79" t="s">
        <v>40</v>
      </c>
      <c r="BU262" s="15">
        <f t="shared" ref="BU262:BU325" si="276">CC262/BZ262</f>
        <v>0.65984654731457804</v>
      </c>
      <c r="BV262" s="15">
        <f t="shared" ref="BV262:BV325" si="277">CC262/CB262</f>
        <v>0.68073878627968343</v>
      </c>
      <c r="BW262" s="15">
        <f t="shared" ref="BW262:BW325" si="278">CB262/BZ262</f>
        <v>0.96930946291560105</v>
      </c>
      <c r="BX262" s="16"/>
      <c r="BY262" s="16"/>
      <c r="BZ262" s="16">
        <v>2737</v>
      </c>
      <c r="CA262" s="16">
        <f t="shared" si="262"/>
        <v>84</v>
      </c>
      <c r="CB262" s="16">
        <v>2653</v>
      </c>
      <c r="CC262" s="16">
        <v>1806</v>
      </c>
      <c r="CD262" s="16">
        <f t="shared" si="263"/>
        <v>847</v>
      </c>
      <c r="CE262" s="16"/>
      <c r="CF262" s="16"/>
      <c r="CG262" s="78">
        <v>2014</v>
      </c>
      <c r="CH262" s="79" t="s">
        <v>40</v>
      </c>
      <c r="CI262" s="15">
        <f t="shared" ref="CI262:CI278" si="279">CQ262/CN262</f>
        <v>0.76479024740050194</v>
      </c>
      <c r="CJ262" s="15">
        <f t="shared" ref="CJ262:CJ278" si="280">CQ262/CP262</f>
        <v>0.80097634247089744</v>
      </c>
      <c r="CK262" s="15">
        <f t="shared" ref="CK262:CK278" si="281">CP262/CN262</f>
        <v>0.95482251703119403</v>
      </c>
      <c r="CL262" s="16"/>
      <c r="CM262" s="16"/>
      <c r="CN262" s="16">
        <v>2789</v>
      </c>
      <c r="CO262" s="16">
        <f t="shared" si="264"/>
        <v>126</v>
      </c>
      <c r="CP262" s="16">
        <v>2663</v>
      </c>
      <c r="CQ262" s="16">
        <v>2133</v>
      </c>
      <c r="CR262" s="16">
        <f t="shared" si="265"/>
        <v>530</v>
      </c>
      <c r="CS262" s="16"/>
      <c r="CT262" s="16"/>
      <c r="CU262" s="78">
        <v>2014</v>
      </c>
      <c r="CV262" s="79" t="s">
        <v>40</v>
      </c>
      <c r="CW262" s="15">
        <f t="shared" ref="CW262:CW325" si="282">DE262/DB262</f>
        <v>0.65638766519823788</v>
      </c>
      <c r="CX262" s="15">
        <f t="shared" ref="CX262:CX325" si="283">DE262/DD262</f>
        <v>0.68542108987968864</v>
      </c>
      <c r="CY262" s="15">
        <f t="shared" ref="CY262:CY325" si="284">DD262/DB262</f>
        <v>0.95764147746526607</v>
      </c>
      <c r="CZ262" s="16"/>
      <c r="DA262" s="16"/>
      <c r="DB262" s="16">
        <v>2951</v>
      </c>
      <c r="DC262" s="16">
        <f t="shared" ref="DC262:DC277" si="285">DB262-DD262</f>
        <v>125</v>
      </c>
      <c r="DD262" s="16">
        <v>2826</v>
      </c>
      <c r="DE262" s="16">
        <v>1937</v>
      </c>
      <c r="DF262" s="16">
        <f t="shared" ref="DF262:DF277" si="286">DD262-DE262</f>
        <v>889</v>
      </c>
      <c r="DG262" s="16"/>
      <c r="DH262" s="16"/>
      <c r="DI262" s="78">
        <v>2014</v>
      </c>
      <c r="DJ262" s="79" t="s">
        <v>40</v>
      </c>
      <c r="DK262" s="15">
        <f t="shared" ref="DK262:DK325" si="287">DS262/DP262</f>
        <v>0.70769230769230773</v>
      </c>
      <c r="DL262" s="15">
        <f t="shared" ref="DL262:DL325" si="288">DS262/DR262</f>
        <v>0.73306772908366535</v>
      </c>
      <c r="DM262" s="15">
        <f t="shared" ref="DM262:DM325" si="289">DR262/DP262</f>
        <v>0.9653846153846154</v>
      </c>
      <c r="DN262" s="16"/>
      <c r="DO262" s="16"/>
      <c r="DP262" s="16">
        <v>1040</v>
      </c>
      <c r="DQ262" s="16">
        <f t="shared" si="266"/>
        <v>36</v>
      </c>
      <c r="DR262" s="16">
        <v>1004</v>
      </c>
      <c r="DS262" s="16">
        <v>736</v>
      </c>
      <c r="DT262" s="16">
        <f t="shared" si="267"/>
        <v>268</v>
      </c>
      <c r="DU262" s="16"/>
      <c r="DV262" s="16"/>
      <c r="DW262" s="78">
        <v>2014</v>
      </c>
      <c r="DX262" s="79" t="s">
        <v>40</v>
      </c>
      <c r="DY262" s="15">
        <f t="shared" ref="DY262:DY325" si="290">EG262/ED262</f>
        <v>0.89720898570456098</v>
      </c>
      <c r="DZ262" s="15">
        <f t="shared" ref="DZ262:DZ325" si="291">EG262/EF262</f>
        <v>0.94210150107219437</v>
      </c>
      <c r="EA262" s="15">
        <f t="shared" ref="EA262:EA325" si="292">EF262/ED262</f>
        <v>0.95234853641933293</v>
      </c>
      <c r="EB262" s="16"/>
      <c r="EC262" s="16"/>
      <c r="ED262" s="16">
        <v>1469</v>
      </c>
      <c r="EE262" s="16">
        <f t="shared" si="268"/>
        <v>70</v>
      </c>
      <c r="EF262" s="16">
        <v>1399</v>
      </c>
      <c r="EG262" s="16">
        <v>1318</v>
      </c>
      <c r="EH262" s="16">
        <f t="shared" si="269"/>
        <v>81</v>
      </c>
      <c r="EI262" s="16"/>
      <c r="EJ262" s="16"/>
      <c r="EK262" s="78"/>
      <c r="EL262" s="79"/>
      <c r="EM262" s="15"/>
      <c r="EN262" s="15"/>
      <c r="EO262" s="15"/>
      <c r="EP262" s="16"/>
      <c r="EQ262" s="16"/>
      <c r="ER262" s="16"/>
      <c r="ES262" s="16"/>
      <c r="ET262" s="16"/>
      <c r="EU262" s="16"/>
      <c r="EV262" s="16"/>
      <c r="EW262" s="16"/>
      <c r="EX262" s="16"/>
      <c r="EY262" s="78"/>
      <c r="EZ262" s="79"/>
      <c r="FA262" s="15"/>
      <c r="FB262" s="15"/>
      <c r="FC262" s="15"/>
      <c r="FD262" s="16"/>
      <c r="FE262" s="16"/>
      <c r="FF262" s="16"/>
      <c r="FG262" s="16"/>
      <c r="FH262" s="16"/>
      <c r="FI262" s="16"/>
      <c r="FJ262" s="16"/>
      <c r="FK262" s="16"/>
      <c r="FM262" s="78"/>
      <c r="FN262" s="79"/>
      <c r="FO262" s="15"/>
      <c r="FP262" s="15"/>
      <c r="FQ262" s="15"/>
      <c r="FR262" s="16"/>
      <c r="FS262" s="16"/>
      <c r="FT262" s="16"/>
      <c r="FU262" s="16"/>
      <c r="FV262" s="16"/>
      <c r="FW262" s="16"/>
      <c r="FX262" s="16"/>
      <c r="FY262" s="16"/>
      <c r="GA262" s="78"/>
      <c r="GB262" s="79"/>
      <c r="GC262" s="15"/>
      <c r="GD262" s="15"/>
      <c r="GE262" s="15"/>
      <c r="GF262" s="16"/>
      <c r="GG262" s="16"/>
      <c r="GH262" s="16"/>
      <c r="GI262" s="16"/>
      <c r="GJ262" s="16"/>
      <c r="GK262" s="16"/>
      <c r="GL262" s="16"/>
      <c r="GM262" s="16"/>
    </row>
    <row r="263" spans="1:195" s="18" customFormat="1" ht="15" customHeight="1">
      <c r="A263" s="80">
        <v>2014</v>
      </c>
      <c r="B263" s="81" t="s">
        <v>41</v>
      </c>
      <c r="C263" s="15">
        <f t="shared" ref="C263:C326" si="293">K263/H263</f>
        <v>0.72743925954492861</v>
      </c>
      <c r="D263" s="15">
        <f t="shared" ref="D263:D326" si="294">K263/J263</f>
        <v>0.7629303807068103</v>
      </c>
      <c r="E263" s="15">
        <f t="shared" ref="E263:E326" si="295">J263/H263</f>
        <v>0.95348052448900888</v>
      </c>
      <c r="F263" s="16"/>
      <c r="G263" s="33"/>
      <c r="H26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20744</v>
      </c>
      <c r="I263" s="16">
        <f t="shared" ref="I263:I326" si="296">H263-J263</f>
        <v>965</v>
      </c>
      <c r="J26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19779</v>
      </c>
      <c r="K26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15090</v>
      </c>
      <c r="L263" s="16">
        <f t="shared" ref="L263:L326" si="297">J263-K263</f>
        <v>4689</v>
      </c>
      <c r="M263" s="16"/>
      <c r="N263" s="16"/>
      <c r="O263" s="80">
        <v>2014</v>
      </c>
      <c r="P263" s="81" t="s">
        <v>41</v>
      </c>
      <c r="Q263" s="15">
        <f t="shared" si="270"/>
        <v>0.73630986452966996</v>
      </c>
      <c r="R263" s="15">
        <f t="shared" si="271"/>
        <v>0.75415282392026584</v>
      </c>
      <c r="S263" s="15">
        <f t="shared" si="272"/>
        <v>0.9763403930547605</v>
      </c>
      <c r="T263" s="26"/>
      <c r="U263" s="26"/>
      <c r="V263" s="16">
        <v>5241</v>
      </c>
      <c r="W263" s="16">
        <f t="shared" si="258"/>
        <v>124</v>
      </c>
      <c r="X263" s="16">
        <v>5117</v>
      </c>
      <c r="Y263" s="16">
        <v>3859</v>
      </c>
      <c r="Z263" s="16">
        <f t="shared" si="259"/>
        <v>1258</v>
      </c>
      <c r="AA263" s="16"/>
      <c r="AB263" s="16"/>
      <c r="AC263" s="80"/>
      <c r="AD263" s="81"/>
      <c r="AE263" s="15"/>
      <c r="AF263" s="15"/>
      <c r="AG263" s="15"/>
      <c r="AH263" s="15"/>
      <c r="AI263" s="15"/>
      <c r="AJ263" s="16"/>
      <c r="AK263" s="16"/>
      <c r="AL263" s="16"/>
      <c r="AM263" s="16"/>
      <c r="AN263" s="16"/>
      <c r="AO263" s="16"/>
      <c r="AP263" s="16"/>
      <c r="AQ263" s="80">
        <v>2014</v>
      </c>
      <c r="AR263" s="81" t="s">
        <v>41</v>
      </c>
      <c r="AS263" s="15">
        <f t="shared" si="273"/>
        <v>0.78775510204081634</v>
      </c>
      <c r="AT263" s="15">
        <f t="shared" si="274"/>
        <v>0.81160639192598827</v>
      </c>
      <c r="AU263" s="15">
        <f t="shared" si="275"/>
        <v>0.97061224489795916</v>
      </c>
      <c r="AV263" s="16"/>
      <c r="AW263" s="16"/>
      <c r="AX263" s="16">
        <v>4900</v>
      </c>
      <c r="AY263" s="16">
        <f t="shared" si="260"/>
        <v>144</v>
      </c>
      <c r="AZ263" s="16">
        <v>4756</v>
      </c>
      <c r="BA263" s="16">
        <v>3860</v>
      </c>
      <c r="BB263" s="16">
        <f t="shared" si="261"/>
        <v>896</v>
      </c>
      <c r="BC263" s="16"/>
      <c r="BD263" s="16"/>
      <c r="BE263" s="80">
        <v>2014</v>
      </c>
      <c r="BF263" s="81" t="s">
        <v>41</v>
      </c>
      <c r="BG263" s="15"/>
      <c r="BH263" s="15"/>
      <c r="BI263" s="15"/>
      <c r="BJ263" s="16"/>
      <c r="BK263" s="16"/>
      <c r="BL263" s="16"/>
      <c r="BM263" s="16"/>
      <c r="BN263" s="16"/>
      <c r="BO263" s="16"/>
      <c r="BP263" s="16"/>
      <c r="BQ263" s="16"/>
      <c r="BR263" s="16"/>
      <c r="BS263" s="80">
        <v>2014</v>
      </c>
      <c r="BT263" s="81" t="s">
        <v>41</v>
      </c>
      <c r="BU263" s="15">
        <f t="shared" si="276"/>
        <v>0.66239155035835529</v>
      </c>
      <c r="BV263" s="15">
        <f t="shared" si="277"/>
        <v>0.6954455445544554</v>
      </c>
      <c r="BW263" s="15">
        <f t="shared" si="278"/>
        <v>0.9524707657487741</v>
      </c>
      <c r="BX263" s="16"/>
      <c r="BY263" s="16"/>
      <c r="BZ263" s="16">
        <v>2651</v>
      </c>
      <c r="CA263" s="16">
        <f t="shared" si="262"/>
        <v>126</v>
      </c>
      <c r="CB263" s="16">
        <v>2525</v>
      </c>
      <c r="CC263" s="16">
        <v>1756</v>
      </c>
      <c r="CD263" s="16">
        <f t="shared" si="263"/>
        <v>769</v>
      </c>
      <c r="CE263" s="16"/>
      <c r="CF263" s="16"/>
      <c r="CG263" s="80">
        <v>2014</v>
      </c>
      <c r="CH263" s="81" t="s">
        <v>41</v>
      </c>
      <c r="CI263" s="15">
        <f t="shared" si="279"/>
        <v>0.76477187733732233</v>
      </c>
      <c r="CJ263" s="15">
        <f t="shared" si="280"/>
        <v>0.81931089743589747</v>
      </c>
      <c r="CK263" s="15">
        <f t="shared" si="281"/>
        <v>0.9334330590875094</v>
      </c>
      <c r="CL263" s="16"/>
      <c r="CM263" s="16"/>
      <c r="CN263" s="16">
        <v>2674</v>
      </c>
      <c r="CO263" s="16">
        <f t="shared" si="264"/>
        <v>178</v>
      </c>
      <c r="CP263" s="16">
        <v>2496</v>
      </c>
      <c r="CQ263" s="16">
        <v>2045</v>
      </c>
      <c r="CR263" s="16">
        <f t="shared" si="265"/>
        <v>451</v>
      </c>
      <c r="CS263" s="16"/>
      <c r="CT263" s="16"/>
      <c r="CU263" s="80">
        <v>2014</v>
      </c>
      <c r="CV263" s="81" t="s">
        <v>41</v>
      </c>
      <c r="CW263" s="15">
        <f t="shared" si="282"/>
        <v>0.632373595505618</v>
      </c>
      <c r="CX263" s="15">
        <f t="shared" si="283"/>
        <v>0.68661837590545183</v>
      </c>
      <c r="CY263" s="15">
        <f t="shared" si="284"/>
        <v>0.920997191011236</v>
      </c>
      <c r="CZ263" s="16"/>
      <c r="DA263" s="16"/>
      <c r="DB263" s="16">
        <v>2848</v>
      </c>
      <c r="DC263" s="16">
        <f t="shared" si="285"/>
        <v>225</v>
      </c>
      <c r="DD263" s="16">
        <v>2623</v>
      </c>
      <c r="DE263" s="16">
        <v>1801</v>
      </c>
      <c r="DF263" s="16">
        <f t="shared" si="286"/>
        <v>822</v>
      </c>
      <c r="DG263" s="16"/>
      <c r="DH263" s="16"/>
      <c r="DI263" s="80">
        <v>2014</v>
      </c>
      <c r="DJ263" s="81" t="s">
        <v>41</v>
      </c>
      <c r="DK263" s="15">
        <f t="shared" si="287"/>
        <v>0.46924603174603174</v>
      </c>
      <c r="DL263" s="15">
        <f t="shared" si="288"/>
        <v>0.51750547045951856</v>
      </c>
      <c r="DM263" s="15">
        <f t="shared" si="289"/>
        <v>0.90674603174603174</v>
      </c>
      <c r="DN263" s="16"/>
      <c r="DO263" s="16"/>
      <c r="DP263" s="16">
        <v>1008</v>
      </c>
      <c r="DQ263" s="16">
        <f t="shared" si="266"/>
        <v>94</v>
      </c>
      <c r="DR263" s="16">
        <v>914</v>
      </c>
      <c r="DS263" s="16">
        <v>473</v>
      </c>
      <c r="DT263" s="16">
        <f t="shared" si="267"/>
        <v>441</v>
      </c>
      <c r="DU263" s="16"/>
      <c r="DV263" s="16"/>
      <c r="DW263" s="80">
        <v>2014</v>
      </c>
      <c r="DX263" s="81" t="s">
        <v>41</v>
      </c>
      <c r="DY263" s="15">
        <f t="shared" si="290"/>
        <v>0.91139240506329111</v>
      </c>
      <c r="DZ263" s="15">
        <f t="shared" si="291"/>
        <v>0.96142433234421365</v>
      </c>
      <c r="EA263" s="15">
        <f t="shared" si="292"/>
        <v>0.9479606188466948</v>
      </c>
      <c r="EB263" s="16"/>
      <c r="EC263" s="16"/>
      <c r="ED263" s="16">
        <v>1422</v>
      </c>
      <c r="EE263" s="16">
        <f t="shared" si="268"/>
        <v>74</v>
      </c>
      <c r="EF263" s="16">
        <v>1348</v>
      </c>
      <c r="EG263" s="16">
        <v>1296</v>
      </c>
      <c r="EH263" s="16">
        <f t="shared" si="269"/>
        <v>52</v>
      </c>
      <c r="EI263" s="16"/>
      <c r="EJ263" s="16"/>
      <c r="EK263" s="80"/>
      <c r="EL263" s="81"/>
      <c r="EM263" s="15"/>
      <c r="EN263" s="15"/>
      <c r="EO263" s="15"/>
      <c r="EP263" s="16"/>
      <c r="EQ263" s="16"/>
      <c r="ER263" s="16"/>
      <c r="ES263" s="16"/>
      <c r="ET263" s="16"/>
      <c r="EU263" s="16"/>
      <c r="EV263" s="16"/>
      <c r="EW263" s="16"/>
      <c r="EX263" s="16"/>
      <c r="EY263" s="80"/>
      <c r="EZ263" s="81"/>
      <c r="FA263" s="15"/>
      <c r="FB263" s="15"/>
      <c r="FC263" s="15"/>
      <c r="FD263" s="16"/>
      <c r="FE263" s="16"/>
      <c r="FF263" s="16"/>
      <c r="FG263" s="16"/>
      <c r="FH263" s="16"/>
      <c r="FI263" s="16"/>
      <c r="FJ263" s="16"/>
      <c r="FK263" s="16"/>
      <c r="FM263" s="80"/>
      <c r="FN263" s="81"/>
      <c r="FO263" s="15"/>
      <c r="FP263" s="15"/>
      <c r="FQ263" s="15"/>
      <c r="FR263" s="16"/>
      <c r="FS263" s="16"/>
      <c r="FT263" s="16"/>
      <c r="FU263" s="16"/>
      <c r="FV263" s="16"/>
      <c r="FW263" s="16"/>
      <c r="FX263" s="16"/>
      <c r="FY263" s="16"/>
      <c r="GA263" s="80"/>
      <c r="GB263" s="81"/>
      <c r="GC263" s="15"/>
      <c r="GD263" s="15"/>
      <c r="GE263" s="15"/>
      <c r="GF263" s="16"/>
      <c r="GG263" s="16"/>
      <c r="GH263" s="16"/>
      <c r="GI263" s="16"/>
      <c r="GJ263" s="16"/>
      <c r="GK263" s="16"/>
      <c r="GL263" s="16"/>
      <c r="GM263" s="16"/>
    </row>
    <row r="264" spans="1:195" s="18" customFormat="1" ht="15" customHeight="1">
      <c r="A264" s="78">
        <v>2014</v>
      </c>
      <c r="B264" s="79" t="s">
        <v>42</v>
      </c>
      <c r="C264" s="15">
        <f t="shared" si="293"/>
        <v>0.75027457440966505</v>
      </c>
      <c r="D264" s="15">
        <f t="shared" si="294"/>
        <v>0.78268964529526897</v>
      </c>
      <c r="E264" s="15">
        <f t="shared" si="295"/>
        <v>0.95858502654219291</v>
      </c>
      <c r="F264" s="16"/>
      <c r="G264" s="33"/>
      <c r="H26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21852</v>
      </c>
      <c r="I264" s="16">
        <f t="shared" si="296"/>
        <v>905</v>
      </c>
      <c r="J26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20947</v>
      </c>
      <c r="K26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16395</v>
      </c>
      <c r="L264" s="16">
        <f t="shared" si="297"/>
        <v>4552</v>
      </c>
      <c r="M264" s="16"/>
      <c r="N264" s="16"/>
      <c r="O264" s="78">
        <v>2014</v>
      </c>
      <c r="P264" s="79" t="s">
        <v>42</v>
      </c>
      <c r="Q264" s="15">
        <f t="shared" si="270"/>
        <v>0.7689257390050469</v>
      </c>
      <c r="R264" s="15">
        <f t="shared" si="271"/>
        <v>0.78650442477876104</v>
      </c>
      <c r="S264" s="15">
        <f t="shared" si="272"/>
        <v>0.97764960346070651</v>
      </c>
      <c r="T264" s="26"/>
      <c r="U264" s="26"/>
      <c r="V264" s="16">
        <v>5548</v>
      </c>
      <c r="W264" s="16">
        <f t="shared" si="258"/>
        <v>124</v>
      </c>
      <c r="X264" s="16">
        <v>5424</v>
      </c>
      <c r="Y264" s="16">
        <v>4266</v>
      </c>
      <c r="Z264" s="16">
        <f t="shared" si="259"/>
        <v>1158</v>
      </c>
      <c r="AA264" s="16"/>
      <c r="AB264" s="16"/>
      <c r="AC264" s="78"/>
      <c r="AD264" s="79"/>
      <c r="AE264" s="15"/>
      <c r="AF264" s="15"/>
      <c r="AG264" s="15"/>
      <c r="AH264" s="15"/>
      <c r="AI264" s="15"/>
      <c r="AJ264" s="16"/>
      <c r="AK264" s="16"/>
      <c r="AL264" s="16"/>
      <c r="AM264" s="16"/>
      <c r="AN264" s="16"/>
      <c r="AO264" s="16"/>
      <c r="AP264" s="16"/>
      <c r="AQ264" s="78">
        <v>2014</v>
      </c>
      <c r="AR264" s="79" t="s">
        <v>42</v>
      </c>
      <c r="AS264" s="15">
        <f t="shared" si="273"/>
        <v>0.82268679829655444</v>
      </c>
      <c r="AT264" s="15">
        <f t="shared" si="274"/>
        <v>0.85255767301905716</v>
      </c>
      <c r="AU264" s="15">
        <f t="shared" si="275"/>
        <v>0.96496322106078203</v>
      </c>
      <c r="AV264" s="16"/>
      <c r="AW264" s="16"/>
      <c r="AX264" s="16">
        <v>5166</v>
      </c>
      <c r="AY264" s="16">
        <f t="shared" si="260"/>
        <v>181</v>
      </c>
      <c r="AZ264" s="16">
        <v>4985</v>
      </c>
      <c r="BA264" s="16">
        <v>4250</v>
      </c>
      <c r="BB264" s="16">
        <f t="shared" si="261"/>
        <v>735</v>
      </c>
      <c r="BC264" s="16"/>
      <c r="BD264" s="16"/>
      <c r="BE264" s="78">
        <v>2014</v>
      </c>
      <c r="BF264" s="79" t="s">
        <v>42</v>
      </c>
      <c r="BG264" s="15"/>
      <c r="BH264" s="15"/>
      <c r="BI264" s="15"/>
      <c r="BJ264" s="16"/>
      <c r="BK264" s="16"/>
      <c r="BL264" s="16"/>
      <c r="BM264" s="16"/>
      <c r="BN264" s="16"/>
      <c r="BO264" s="16"/>
      <c r="BP264" s="16"/>
      <c r="BQ264" s="16"/>
      <c r="BR264" s="16"/>
      <c r="BS264" s="78">
        <v>2014</v>
      </c>
      <c r="BT264" s="79" t="s">
        <v>42</v>
      </c>
      <c r="BU264" s="15">
        <f t="shared" si="276"/>
        <v>0.68595927116827438</v>
      </c>
      <c r="BV264" s="15">
        <f t="shared" si="277"/>
        <v>0.71668533034714443</v>
      </c>
      <c r="BW264" s="15">
        <f t="shared" si="278"/>
        <v>0.95712754555198287</v>
      </c>
      <c r="BX264" s="16"/>
      <c r="BY264" s="16"/>
      <c r="BZ264" s="16">
        <v>2799</v>
      </c>
      <c r="CA264" s="16">
        <f t="shared" si="262"/>
        <v>120</v>
      </c>
      <c r="CB264" s="16">
        <v>2679</v>
      </c>
      <c r="CC264" s="16">
        <v>1920</v>
      </c>
      <c r="CD264" s="16">
        <f t="shared" si="263"/>
        <v>759</v>
      </c>
      <c r="CE264" s="16"/>
      <c r="CF264" s="16"/>
      <c r="CG264" s="78">
        <v>2014</v>
      </c>
      <c r="CH264" s="79" t="s">
        <v>42</v>
      </c>
      <c r="CI264" s="15">
        <f t="shared" si="279"/>
        <v>0.77578796561604579</v>
      </c>
      <c r="CJ264" s="15">
        <f t="shared" si="280"/>
        <v>0.81828485077446167</v>
      </c>
      <c r="CK264" s="15">
        <f t="shared" si="281"/>
        <v>0.94806590257879653</v>
      </c>
      <c r="CL264" s="16"/>
      <c r="CM264" s="16"/>
      <c r="CN264" s="16">
        <v>2792</v>
      </c>
      <c r="CO264" s="16">
        <f t="shared" si="264"/>
        <v>145</v>
      </c>
      <c r="CP264" s="16">
        <v>2647</v>
      </c>
      <c r="CQ264" s="16">
        <v>2166</v>
      </c>
      <c r="CR264" s="16">
        <f t="shared" si="265"/>
        <v>481</v>
      </c>
      <c r="CS264" s="16"/>
      <c r="CT264" s="16"/>
      <c r="CU264" s="78">
        <v>2014</v>
      </c>
      <c r="CV264" s="79" t="s">
        <v>42</v>
      </c>
      <c r="CW264" s="15">
        <f t="shared" si="282"/>
        <v>0.63063660477453576</v>
      </c>
      <c r="CX264" s="15">
        <f t="shared" si="283"/>
        <v>0.67710929156283373</v>
      </c>
      <c r="CY264" s="15">
        <f t="shared" si="284"/>
        <v>0.93136604774535814</v>
      </c>
      <c r="CZ264" s="16"/>
      <c r="DA264" s="16"/>
      <c r="DB264" s="16">
        <v>3016</v>
      </c>
      <c r="DC264" s="16">
        <f t="shared" si="285"/>
        <v>207</v>
      </c>
      <c r="DD264" s="16">
        <v>2809</v>
      </c>
      <c r="DE264" s="16">
        <v>1902</v>
      </c>
      <c r="DF264" s="16">
        <f t="shared" si="286"/>
        <v>907</v>
      </c>
      <c r="DG264" s="16"/>
      <c r="DH264" s="16"/>
      <c r="DI264" s="78">
        <v>2014</v>
      </c>
      <c r="DJ264" s="79" t="s">
        <v>42</v>
      </c>
      <c r="DK264" s="15">
        <f t="shared" si="287"/>
        <v>0.47041984732824427</v>
      </c>
      <c r="DL264" s="15">
        <f t="shared" si="288"/>
        <v>0.51354166666666667</v>
      </c>
      <c r="DM264" s="15">
        <f t="shared" si="289"/>
        <v>0.91603053435114501</v>
      </c>
      <c r="DN264" s="16"/>
      <c r="DO264" s="16"/>
      <c r="DP264" s="16">
        <v>1048</v>
      </c>
      <c r="DQ264" s="16">
        <f t="shared" si="266"/>
        <v>88</v>
      </c>
      <c r="DR264" s="16">
        <v>960</v>
      </c>
      <c r="DS264" s="16">
        <v>493</v>
      </c>
      <c r="DT264" s="16">
        <f t="shared" si="267"/>
        <v>467</v>
      </c>
      <c r="DU264" s="16"/>
      <c r="DV264" s="16"/>
      <c r="DW264" s="78">
        <v>2014</v>
      </c>
      <c r="DX264" s="79" t="s">
        <v>42</v>
      </c>
      <c r="DY264" s="15">
        <f t="shared" si="290"/>
        <v>0.94268374915711395</v>
      </c>
      <c r="DZ264" s="15">
        <f t="shared" si="291"/>
        <v>0.96881496881496887</v>
      </c>
      <c r="EA264" s="15">
        <f t="shared" si="292"/>
        <v>0.97302764666217123</v>
      </c>
      <c r="EB264" s="16"/>
      <c r="EC264" s="16"/>
      <c r="ED264" s="16">
        <v>1483</v>
      </c>
      <c r="EE264" s="16">
        <f t="shared" si="268"/>
        <v>40</v>
      </c>
      <c r="EF264" s="16">
        <v>1443</v>
      </c>
      <c r="EG264" s="16">
        <v>1398</v>
      </c>
      <c r="EH264" s="16">
        <f t="shared" si="269"/>
        <v>45</v>
      </c>
      <c r="EI264" s="16"/>
      <c r="EJ264" s="16"/>
      <c r="EK264" s="78"/>
      <c r="EL264" s="79"/>
      <c r="EM264" s="15"/>
      <c r="EN264" s="15"/>
      <c r="EO264" s="15"/>
      <c r="EP264" s="16"/>
      <c r="EQ264" s="16"/>
      <c r="ER264" s="16"/>
      <c r="ES264" s="16"/>
      <c r="ET264" s="16"/>
      <c r="EU264" s="16"/>
      <c r="EV264" s="16"/>
      <c r="EW264" s="16"/>
      <c r="EX264" s="16"/>
      <c r="EY264" s="78"/>
      <c r="EZ264" s="79"/>
      <c r="FA264" s="15"/>
      <c r="FB264" s="15"/>
      <c r="FC264" s="15"/>
      <c r="FD264" s="16"/>
      <c r="FE264" s="16"/>
      <c r="FF264" s="16"/>
      <c r="FG264" s="16"/>
      <c r="FH264" s="16"/>
      <c r="FI264" s="16"/>
      <c r="FJ264" s="16"/>
      <c r="FK264" s="16"/>
      <c r="FM264" s="78"/>
      <c r="FN264" s="79"/>
      <c r="FO264" s="15"/>
      <c r="FP264" s="15"/>
      <c r="FQ264" s="15"/>
      <c r="FR264" s="16"/>
      <c r="FS264" s="16"/>
      <c r="FT264" s="16"/>
      <c r="FU264" s="16"/>
      <c r="FV264" s="16"/>
      <c r="FW264" s="16"/>
      <c r="FX264" s="16"/>
      <c r="FY264" s="16"/>
      <c r="GA264" s="78"/>
      <c r="GB264" s="79"/>
      <c r="GC264" s="15"/>
      <c r="GD264" s="15"/>
      <c r="GE264" s="15"/>
      <c r="GF264" s="16"/>
      <c r="GG264" s="16"/>
      <c r="GH264" s="16"/>
      <c r="GI264" s="16"/>
      <c r="GJ264" s="16"/>
      <c r="GK264" s="16"/>
      <c r="GL264" s="16"/>
      <c r="GM264" s="16"/>
    </row>
    <row r="265" spans="1:195" s="18" customFormat="1" ht="15" customHeight="1">
      <c r="A265" s="80">
        <v>2014</v>
      </c>
      <c r="B265" s="81" t="s">
        <v>43</v>
      </c>
      <c r="C265" s="15">
        <f t="shared" si="293"/>
        <v>0.73961982158703465</v>
      </c>
      <c r="D265" s="15">
        <f t="shared" si="294"/>
        <v>0.7984672011294307</v>
      </c>
      <c r="E265" s="15">
        <f t="shared" si="295"/>
        <v>0.92629956564382798</v>
      </c>
      <c r="F265" s="16"/>
      <c r="G265" s="33"/>
      <c r="H26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21411</v>
      </c>
      <c r="I265" s="16">
        <f t="shared" si="296"/>
        <v>1578</v>
      </c>
      <c r="J26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19833</v>
      </c>
      <c r="K26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15836</v>
      </c>
      <c r="L265" s="16">
        <f t="shared" si="297"/>
        <v>3997</v>
      </c>
      <c r="M265" s="16"/>
      <c r="N265" s="16"/>
      <c r="O265" s="80">
        <v>2014</v>
      </c>
      <c r="P265" s="81" t="s">
        <v>43</v>
      </c>
      <c r="Q265" s="15">
        <f t="shared" si="270"/>
        <v>0.74662474570001847</v>
      </c>
      <c r="R265" s="15">
        <f t="shared" si="271"/>
        <v>0.80019821605550046</v>
      </c>
      <c r="S265" s="15">
        <f t="shared" si="272"/>
        <v>0.93304975032365456</v>
      </c>
      <c r="T265" s="26"/>
      <c r="U265" s="26"/>
      <c r="V265" s="16">
        <v>5407</v>
      </c>
      <c r="W265" s="16">
        <f t="shared" si="258"/>
        <v>362</v>
      </c>
      <c r="X265" s="16">
        <v>5045</v>
      </c>
      <c r="Y265" s="16">
        <v>4037</v>
      </c>
      <c r="Z265" s="16">
        <f t="shared" si="259"/>
        <v>1008</v>
      </c>
      <c r="AA265" s="16"/>
      <c r="AB265" s="16"/>
      <c r="AC265" s="80"/>
      <c r="AD265" s="81"/>
      <c r="AE265" s="15"/>
      <c r="AF265" s="15"/>
      <c r="AG265" s="15"/>
      <c r="AH265" s="15"/>
      <c r="AI265" s="15"/>
      <c r="AJ265" s="16"/>
      <c r="AK265" s="16"/>
      <c r="AL265" s="16"/>
      <c r="AM265" s="16"/>
      <c r="AN265" s="16"/>
      <c r="AO265" s="16"/>
      <c r="AP265" s="16"/>
      <c r="AQ265" s="80">
        <v>2014</v>
      </c>
      <c r="AR265" s="81" t="s">
        <v>43</v>
      </c>
      <c r="AS265" s="15">
        <f t="shared" si="273"/>
        <v>0.8166370282552855</v>
      </c>
      <c r="AT265" s="15">
        <f t="shared" si="274"/>
        <v>0.88086104006820121</v>
      </c>
      <c r="AU265" s="15">
        <f t="shared" si="275"/>
        <v>0.92708950800237111</v>
      </c>
      <c r="AV265" s="16"/>
      <c r="AW265" s="16"/>
      <c r="AX265" s="16">
        <v>5061</v>
      </c>
      <c r="AY265" s="16">
        <f t="shared" si="260"/>
        <v>369</v>
      </c>
      <c r="AZ265" s="16">
        <v>4692</v>
      </c>
      <c r="BA265" s="16">
        <v>4133</v>
      </c>
      <c r="BB265" s="16">
        <f t="shared" si="261"/>
        <v>559</v>
      </c>
      <c r="BC265" s="16"/>
      <c r="BD265" s="16"/>
      <c r="BE265" s="80">
        <v>2014</v>
      </c>
      <c r="BF265" s="81" t="s">
        <v>43</v>
      </c>
      <c r="BG265" s="15"/>
      <c r="BH265" s="15"/>
      <c r="BI265" s="15"/>
      <c r="BJ265" s="16"/>
      <c r="BK265" s="16"/>
      <c r="BL265" s="16"/>
      <c r="BM265" s="16"/>
      <c r="BN265" s="16"/>
      <c r="BO265" s="16"/>
      <c r="BP265" s="16"/>
      <c r="BQ265" s="16"/>
      <c r="BR265" s="16"/>
      <c r="BS265" s="80">
        <v>2014</v>
      </c>
      <c r="BT265" s="81" t="s">
        <v>43</v>
      </c>
      <c r="BU265" s="15">
        <f t="shared" si="276"/>
        <v>0.67069154774972561</v>
      </c>
      <c r="BV265" s="15">
        <f t="shared" si="277"/>
        <v>0.71601562500000004</v>
      </c>
      <c r="BW265" s="15">
        <f t="shared" si="278"/>
        <v>0.93669959751189169</v>
      </c>
      <c r="BX265" s="16"/>
      <c r="BY265" s="16"/>
      <c r="BZ265" s="16">
        <v>2733</v>
      </c>
      <c r="CA265" s="16">
        <f t="shared" si="262"/>
        <v>173</v>
      </c>
      <c r="CB265" s="16">
        <v>2560</v>
      </c>
      <c r="CC265" s="16">
        <v>1833</v>
      </c>
      <c r="CD265" s="16">
        <f t="shared" si="263"/>
        <v>727</v>
      </c>
      <c r="CE265" s="16"/>
      <c r="CF265" s="16"/>
      <c r="CG265" s="80">
        <v>2014</v>
      </c>
      <c r="CH265" s="81" t="s">
        <v>43</v>
      </c>
      <c r="CI265" s="15">
        <f t="shared" si="279"/>
        <v>0.73191027496382055</v>
      </c>
      <c r="CJ265" s="15">
        <f t="shared" si="280"/>
        <v>0.81638418079096042</v>
      </c>
      <c r="CK265" s="15">
        <f t="shared" si="281"/>
        <v>0.89652677279305359</v>
      </c>
      <c r="CL265" s="16"/>
      <c r="CM265" s="16"/>
      <c r="CN265" s="16">
        <v>2764</v>
      </c>
      <c r="CO265" s="16">
        <f t="shared" si="264"/>
        <v>286</v>
      </c>
      <c r="CP265" s="16">
        <v>2478</v>
      </c>
      <c r="CQ265" s="16">
        <v>2023</v>
      </c>
      <c r="CR265" s="16">
        <f t="shared" si="265"/>
        <v>455</v>
      </c>
      <c r="CS265" s="16"/>
      <c r="CT265" s="16"/>
      <c r="CU265" s="80">
        <v>2014</v>
      </c>
      <c r="CV265" s="81" t="s">
        <v>43</v>
      </c>
      <c r="CW265" s="15">
        <f t="shared" si="282"/>
        <v>0.65202587674497792</v>
      </c>
      <c r="CX265" s="15">
        <f t="shared" si="283"/>
        <v>0.70172224257969951</v>
      </c>
      <c r="CY265" s="15">
        <f t="shared" si="284"/>
        <v>0.92917943479741227</v>
      </c>
      <c r="CZ265" s="16"/>
      <c r="DA265" s="16"/>
      <c r="DB265" s="16">
        <v>2937</v>
      </c>
      <c r="DC265" s="16">
        <f t="shared" si="285"/>
        <v>208</v>
      </c>
      <c r="DD265" s="16">
        <v>2729</v>
      </c>
      <c r="DE265" s="16">
        <v>1915</v>
      </c>
      <c r="DF265" s="16">
        <f t="shared" si="286"/>
        <v>814</v>
      </c>
      <c r="DG265" s="16"/>
      <c r="DH265" s="16"/>
      <c r="DI265" s="80">
        <v>2014</v>
      </c>
      <c r="DJ265" s="81" t="s">
        <v>43</v>
      </c>
      <c r="DK265" s="15">
        <f t="shared" si="287"/>
        <v>0.50865384615384612</v>
      </c>
      <c r="DL265" s="15">
        <f t="shared" si="288"/>
        <v>0.56216790648246551</v>
      </c>
      <c r="DM265" s="15">
        <f t="shared" si="289"/>
        <v>0.90480769230769231</v>
      </c>
      <c r="DN265" s="16"/>
      <c r="DO265" s="16"/>
      <c r="DP265" s="16">
        <v>1040</v>
      </c>
      <c r="DQ265" s="16">
        <f t="shared" si="266"/>
        <v>99</v>
      </c>
      <c r="DR265" s="16">
        <v>941</v>
      </c>
      <c r="DS265" s="16">
        <v>529</v>
      </c>
      <c r="DT265" s="16">
        <f t="shared" si="267"/>
        <v>412</v>
      </c>
      <c r="DU265" s="16"/>
      <c r="DV265" s="16"/>
      <c r="DW265" s="80">
        <v>2014</v>
      </c>
      <c r="DX265" s="81" t="s">
        <v>43</v>
      </c>
      <c r="DY265" s="15">
        <f t="shared" si="290"/>
        <v>0.92988427501701842</v>
      </c>
      <c r="DZ265" s="15">
        <f t="shared" si="291"/>
        <v>0.98414985590778103</v>
      </c>
      <c r="EA265" s="15">
        <f t="shared" si="292"/>
        <v>0.94486044928522805</v>
      </c>
      <c r="EB265" s="16"/>
      <c r="EC265" s="16"/>
      <c r="ED265" s="16">
        <v>1469</v>
      </c>
      <c r="EE265" s="16">
        <f t="shared" si="268"/>
        <v>81</v>
      </c>
      <c r="EF265" s="16">
        <v>1388</v>
      </c>
      <c r="EG265" s="16">
        <v>1366</v>
      </c>
      <c r="EH265" s="16">
        <f t="shared" si="269"/>
        <v>22</v>
      </c>
      <c r="EI265" s="16"/>
      <c r="EJ265" s="16"/>
      <c r="EK265" s="80"/>
      <c r="EL265" s="81"/>
      <c r="EM265" s="15"/>
      <c r="EN265" s="15"/>
      <c r="EO265" s="15"/>
      <c r="EP265" s="16"/>
      <c r="EQ265" s="16"/>
      <c r="ER265" s="16"/>
      <c r="ES265" s="16"/>
      <c r="ET265" s="16"/>
      <c r="EU265" s="16"/>
      <c r="EV265" s="16"/>
      <c r="EW265" s="16"/>
      <c r="EX265" s="16"/>
      <c r="EY265" s="80"/>
      <c r="EZ265" s="81"/>
      <c r="FA265" s="15"/>
      <c r="FB265" s="15"/>
      <c r="FC265" s="15"/>
      <c r="FD265" s="16"/>
      <c r="FE265" s="16"/>
      <c r="FF265" s="16"/>
      <c r="FG265" s="16"/>
      <c r="FH265" s="16"/>
      <c r="FI265" s="16"/>
      <c r="FJ265" s="16"/>
      <c r="FK265" s="16"/>
      <c r="FM265" s="80"/>
      <c r="FN265" s="81"/>
      <c r="FO265" s="15"/>
      <c r="FP265" s="15"/>
      <c r="FQ265" s="15"/>
      <c r="FR265" s="16"/>
      <c r="FS265" s="16"/>
      <c r="FT265" s="16"/>
      <c r="FU265" s="16"/>
      <c r="FV265" s="16"/>
      <c r="FW265" s="16"/>
      <c r="FX265" s="16"/>
      <c r="FY265" s="16"/>
      <c r="GA265" s="80"/>
      <c r="GB265" s="81"/>
      <c r="GC265" s="15"/>
      <c r="GD265" s="15"/>
      <c r="GE265" s="15"/>
      <c r="GF265" s="16"/>
      <c r="GG265" s="16"/>
      <c r="GH265" s="16"/>
      <c r="GI265" s="16"/>
      <c r="GJ265" s="16"/>
      <c r="GK265" s="16"/>
      <c r="GL265" s="16"/>
      <c r="GM265" s="16"/>
    </row>
    <row r="266" spans="1:195" s="18" customFormat="1" ht="15" customHeight="1">
      <c r="A266" s="78">
        <v>2014</v>
      </c>
      <c r="B266" s="79" t="s">
        <v>44</v>
      </c>
      <c r="C266" s="15">
        <f t="shared" si="293"/>
        <v>0.76234132581100145</v>
      </c>
      <c r="D266" s="15">
        <f t="shared" si="294"/>
        <v>0.78993520728796218</v>
      </c>
      <c r="E266" s="15">
        <f t="shared" si="295"/>
        <v>0.96506817113305121</v>
      </c>
      <c r="F266" s="16"/>
      <c r="G266" s="33"/>
      <c r="H26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21270</v>
      </c>
      <c r="I266" s="16">
        <f t="shared" si="296"/>
        <v>743</v>
      </c>
      <c r="J26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20527</v>
      </c>
      <c r="K26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16215</v>
      </c>
      <c r="L266" s="16">
        <f t="shared" si="297"/>
        <v>4312</v>
      </c>
      <c r="M266" s="16"/>
      <c r="N266" s="16"/>
      <c r="O266" s="78">
        <v>2014</v>
      </c>
      <c r="P266" s="79" t="s">
        <v>44</v>
      </c>
      <c r="Q266" s="15">
        <f t="shared" si="270"/>
        <v>0.73032471106219043</v>
      </c>
      <c r="R266" s="15">
        <f t="shared" si="271"/>
        <v>0.75655644241733178</v>
      </c>
      <c r="S266" s="15">
        <f t="shared" si="272"/>
        <v>0.96532746285085302</v>
      </c>
      <c r="T266" s="26"/>
      <c r="U266" s="26"/>
      <c r="V266" s="16">
        <v>5451</v>
      </c>
      <c r="W266" s="16">
        <f t="shared" si="258"/>
        <v>189</v>
      </c>
      <c r="X266" s="16">
        <v>5262</v>
      </c>
      <c r="Y266" s="16">
        <v>3981</v>
      </c>
      <c r="Z266" s="16">
        <f t="shared" si="259"/>
        <v>1281</v>
      </c>
      <c r="AA266" s="16"/>
      <c r="AB266" s="16"/>
      <c r="AC266" s="78"/>
      <c r="AD266" s="79"/>
      <c r="AE266" s="15"/>
      <c r="AF266" s="15"/>
      <c r="AG266" s="15"/>
      <c r="AH266" s="15"/>
      <c r="AI266" s="15"/>
      <c r="AJ266" s="16"/>
      <c r="AK266" s="16"/>
      <c r="AL266" s="16"/>
      <c r="AM266" s="16"/>
      <c r="AN266" s="16"/>
      <c r="AO266" s="16"/>
      <c r="AP266" s="16"/>
      <c r="AQ266" s="78">
        <v>2014</v>
      </c>
      <c r="AR266" s="79" t="s">
        <v>44</v>
      </c>
      <c r="AS266" s="15">
        <f t="shared" si="273"/>
        <v>0.80410742496050558</v>
      </c>
      <c r="AT266" s="15">
        <f t="shared" si="274"/>
        <v>0.84201819685690649</v>
      </c>
      <c r="AU266" s="15">
        <f t="shared" si="275"/>
        <v>0.95497630331753558</v>
      </c>
      <c r="AV266" s="16"/>
      <c r="AW266" s="16"/>
      <c r="AX266" s="16">
        <v>5064</v>
      </c>
      <c r="AY266" s="16">
        <f t="shared" si="260"/>
        <v>228</v>
      </c>
      <c r="AZ266" s="16">
        <v>4836</v>
      </c>
      <c r="BA266" s="16">
        <v>4072</v>
      </c>
      <c r="BB266" s="16">
        <f t="shared" si="261"/>
        <v>764</v>
      </c>
      <c r="BC266" s="16"/>
      <c r="BD266" s="16"/>
      <c r="BE266" s="78">
        <v>2014</v>
      </c>
      <c r="BF266" s="79" t="s">
        <v>44</v>
      </c>
      <c r="BG266" s="15"/>
      <c r="BH266" s="15"/>
      <c r="BI266" s="15"/>
      <c r="BJ266" s="16"/>
      <c r="BK266" s="16"/>
      <c r="BL266" s="16"/>
      <c r="BM266" s="16"/>
      <c r="BN266" s="16"/>
      <c r="BO266" s="16"/>
      <c r="BP266" s="16"/>
      <c r="BQ266" s="16"/>
      <c r="BR266" s="16"/>
      <c r="BS266" s="78">
        <v>2014</v>
      </c>
      <c r="BT266" s="79" t="s">
        <v>44</v>
      </c>
      <c r="BU266" s="15">
        <f t="shared" si="276"/>
        <v>0.72017837235228543</v>
      </c>
      <c r="BV266" s="15">
        <f t="shared" si="277"/>
        <v>0.74167623421354767</v>
      </c>
      <c r="BW266" s="15">
        <f t="shared" si="278"/>
        <v>0.97101449275362317</v>
      </c>
      <c r="BX266" s="16"/>
      <c r="BY266" s="16"/>
      <c r="BZ266" s="16">
        <v>2691</v>
      </c>
      <c r="CA266" s="16">
        <f t="shared" si="262"/>
        <v>78</v>
      </c>
      <c r="CB266" s="16">
        <v>2613</v>
      </c>
      <c r="CC266" s="16">
        <v>1938</v>
      </c>
      <c r="CD266" s="16">
        <f t="shared" si="263"/>
        <v>675</v>
      </c>
      <c r="CE266" s="16"/>
      <c r="CF266" s="16"/>
      <c r="CG266" s="78">
        <v>2014</v>
      </c>
      <c r="CH266" s="79" t="s">
        <v>44</v>
      </c>
      <c r="CI266" s="15">
        <f t="shared" si="279"/>
        <v>0.81764705882352939</v>
      </c>
      <c r="CJ266" s="15">
        <f t="shared" si="280"/>
        <v>0.86034816247582202</v>
      </c>
      <c r="CK266" s="15">
        <f t="shared" si="281"/>
        <v>0.95036764705882348</v>
      </c>
      <c r="CL266" s="16"/>
      <c r="CM266" s="16"/>
      <c r="CN266" s="16">
        <v>2720</v>
      </c>
      <c r="CO266" s="16">
        <f t="shared" si="264"/>
        <v>135</v>
      </c>
      <c r="CP266" s="16">
        <v>2585</v>
      </c>
      <c r="CQ266" s="16">
        <v>2224</v>
      </c>
      <c r="CR266" s="16">
        <f t="shared" si="265"/>
        <v>361</v>
      </c>
      <c r="CS266" s="16"/>
      <c r="CT266" s="16"/>
      <c r="CU266" s="78">
        <v>2014</v>
      </c>
      <c r="CV266" s="79" t="s">
        <v>44</v>
      </c>
      <c r="CW266" s="15">
        <f t="shared" si="282"/>
        <v>0.71027064538514917</v>
      </c>
      <c r="CX266" s="15">
        <f t="shared" si="283"/>
        <v>0.7195079086115993</v>
      </c>
      <c r="CY266" s="15">
        <f t="shared" si="284"/>
        <v>0.98716169326856351</v>
      </c>
      <c r="CZ266" s="16"/>
      <c r="DA266" s="16"/>
      <c r="DB266" s="16">
        <v>2882</v>
      </c>
      <c r="DC266" s="16">
        <f t="shared" si="285"/>
        <v>37</v>
      </c>
      <c r="DD266" s="16">
        <v>2845</v>
      </c>
      <c r="DE266" s="16">
        <v>2047</v>
      </c>
      <c r="DF266" s="16">
        <f t="shared" si="286"/>
        <v>798</v>
      </c>
      <c r="DG266" s="16"/>
      <c r="DH266" s="16"/>
      <c r="DI266" s="78">
        <v>2014</v>
      </c>
      <c r="DJ266" s="79" t="s">
        <v>44</v>
      </c>
      <c r="DK266" s="15">
        <f t="shared" si="287"/>
        <v>0.56286836935166995</v>
      </c>
      <c r="DL266" s="15">
        <f t="shared" si="288"/>
        <v>0.59378238341968914</v>
      </c>
      <c r="DM266" s="15">
        <f t="shared" si="289"/>
        <v>0.9479371316306483</v>
      </c>
      <c r="DN266" s="16"/>
      <c r="DO266" s="16"/>
      <c r="DP266" s="16">
        <v>1018</v>
      </c>
      <c r="DQ266" s="16">
        <f t="shared" si="266"/>
        <v>53</v>
      </c>
      <c r="DR266" s="16">
        <v>965</v>
      </c>
      <c r="DS266" s="16">
        <v>573</v>
      </c>
      <c r="DT266" s="16">
        <f t="shared" si="267"/>
        <v>392</v>
      </c>
      <c r="DU266" s="16"/>
      <c r="DV266" s="16"/>
      <c r="DW266" s="78">
        <v>2014</v>
      </c>
      <c r="DX266" s="79" t="s">
        <v>44</v>
      </c>
      <c r="DY266" s="15">
        <f t="shared" si="290"/>
        <v>0.95567867036011078</v>
      </c>
      <c r="DZ266" s="15">
        <f t="shared" si="291"/>
        <v>0.97114707952146373</v>
      </c>
      <c r="EA266" s="15">
        <f t="shared" si="292"/>
        <v>0.98407202216066481</v>
      </c>
      <c r="EB266" s="16"/>
      <c r="EC266" s="16"/>
      <c r="ED266" s="16">
        <v>1444</v>
      </c>
      <c r="EE266" s="16">
        <f t="shared" si="268"/>
        <v>23</v>
      </c>
      <c r="EF266" s="16">
        <v>1421</v>
      </c>
      <c r="EG266" s="16">
        <v>1380</v>
      </c>
      <c r="EH266" s="16">
        <f t="shared" si="269"/>
        <v>41</v>
      </c>
      <c r="EI266" s="16"/>
      <c r="EJ266" s="16"/>
      <c r="EK266" s="78"/>
      <c r="EL266" s="79"/>
      <c r="EM266" s="15"/>
      <c r="EN266" s="15"/>
      <c r="EO266" s="15"/>
      <c r="EP266" s="16"/>
      <c r="EQ266" s="16"/>
      <c r="ER266" s="16"/>
      <c r="ES266" s="16"/>
      <c r="ET266" s="16"/>
      <c r="EU266" s="16"/>
      <c r="EV266" s="16"/>
      <c r="EW266" s="16"/>
      <c r="EX266" s="16"/>
      <c r="EY266" s="78"/>
      <c r="EZ266" s="79"/>
      <c r="FA266" s="15"/>
      <c r="FB266" s="15"/>
      <c r="FC266" s="15"/>
      <c r="FD266" s="16"/>
      <c r="FE266" s="16"/>
      <c r="FF266" s="16"/>
      <c r="FG266" s="16"/>
      <c r="FH266" s="16"/>
      <c r="FI266" s="16"/>
      <c r="FJ266" s="16"/>
      <c r="FK266" s="16"/>
      <c r="FM266" s="78"/>
      <c r="FN266" s="79"/>
      <c r="FO266" s="15"/>
      <c r="FP266" s="15"/>
      <c r="FQ266" s="15"/>
      <c r="FR266" s="16"/>
      <c r="FS266" s="16"/>
      <c r="FT266" s="16"/>
      <c r="FU266" s="16"/>
      <c r="FV266" s="16"/>
      <c r="FW266" s="16"/>
      <c r="FX266" s="16"/>
      <c r="FY266" s="16"/>
      <c r="GA266" s="78"/>
      <c r="GB266" s="79"/>
      <c r="GC266" s="15"/>
      <c r="GD266" s="15"/>
      <c r="GE266" s="15"/>
      <c r="GF266" s="16"/>
      <c r="GG266" s="16"/>
      <c r="GH266" s="16"/>
      <c r="GI266" s="16"/>
      <c r="GJ266" s="16"/>
      <c r="GK266" s="16"/>
      <c r="GL266" s="16"/>
      <c r="GM266" s="16"/>
    </row>
    <row r="267" spans="1:195" s="18" customFormat="1" ht="15" customHeight="1">
      <c r="A267" s="80">
        <v>2014</v>
      </c>
      <c r="B267" s="81" t="s">
        <v>45</v>
      </c>
      <c r="C267" s="15">
        <f t="shared" si="293"/>
        <v>0.7459129316678913</v>
      </c>
      <c r="D267" s="15">
        <f t="shared" si="294"/>
        <v>0.78373944511459592</v>
      </c>
      <c r="E267" s="15">
        <f t="shared" si="295"/>
        <v>0.95173585598824395</v>
      </c>
      <c r="F267" s="16"/>
      <c r="G267" s="33"/>
      <c r="H26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21776</v>
      </c>
      <c r="I267" s="16">
        <f t="shared" si="296"/>
        <v>1051</v>
      </c>
      <c r="J26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20725</v>
      </c>
      <c r="K26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16243</v>
      </c>
      <c r="L267" s="16">
        <f t="shared" si="297"/>
        <v>4482</v>
      </c>
      <c r="M267" s="16"/>
      <c r="N267" s="16"/>
      <c r="O267" s="80">
        <v>2014</v>
      </c>
      <c r="P267" s="81" t="s">
        <v>45</v>
      </c>
      <c r="Q267" s="15">
        <f t="shared" si="270"/>
        <v>0.72825499729875742</v>
      </c>
      <c r="R267" s="15">
        <f t="shared" si="271"/>
        <v>0.74695234577022529</v>
      </c>
      <c r="S267" s="15">
        <f t="shared" si="272"/>
        <v>0.97496848550333148</v>
      </c>
      <c r="T267" s="26"/>
      <c r="U267" s="26"/>
      <c r="V267" s="16">
        <v>5553</v>
      </c>
      <c r="W267" s="16">
        <f>V267-X267</f>
        <v>139</v>
      </c>
      <c r="X267" s="16">
        <v>5414</v>
      </c>
      <c r="Y267" s="16">
        <v>4044</v>
      </c>
      <c r="Z267" s="16">
        <f t="shared" si="259"/>
        <v>1370</v>
      </c>
      <c r="AA267" s="16"/>
      <c r="AB267" s="16"/>
      <c r="AC267" s="80"/>
      <c r="AD267" s="81"/>
      <c r="AE267" s="15"/>
      <c r="AF267" s="15"/>
      <c r="AG267" s="15"/>
      <c r="AH267" s="15"/>
      <c r="AI267" s="15"/>
      <c r="AJ267" s="16"/>
      <c r="AK267" s="16"/>
      <c r="AL267" s="16"/>
      <c r="AM267" s="16"/>
      <c r="AN267" s="16"/>
      <c r="AO267" s="16"/>
      <c r="AP267" s="16"/>
      <c r="AQ267" s="80">
        <v>2014</v>
      </c>
      <c r="AR267" s="81" t="s">
        <v>45</v>
      </c>
      <c r="AS267" s="15">
        <f t="shared" si="273"/>
        <v>0.8174081237911025</v>
      </c>
      <c r="AT267" s="15">
        <f t="shared" si="274"/>
        <v>0.83999204929437488</v>
      </c>
      <c r="AU267" s="15">
        <f t="shared" si="275"/>
        <v>0.97311411992263053</v>
      </c>
      <c r="AV267" s="16"/>
      <c r="AW267" s="16"/>
      <c r="AX267" s="16">
        <v>5170</v>
      </c>
      <c r="AY267" s="16">
        <f>AX267-AZ267</f>
        <v>139</v>
      </c>
      <c r="AZ267" s="16">
        <v>5031</v>
      </c>
      <c r="BA267" s="16">
        <v>4226</v>
      </c>
      <c r="BB267" s="16">
        <f t="shared" si="261"/>
        <v>805</v>
      </c>
      <c r="BC267" s="16"/>
      <c r="BD267" s="16"/>
      <c r="BE267" s="80">
        <v>2014</v>
      </c>
      <c r="BF267" s="81" t="s">
        <v>45</v>
      </c>
      <c r="BG267" s="15"/>
      <c r="BH267" s="15"/>
      <c r="BI267" s="15"/>
      <c r="BJ267" s="16"/>
      <c r="BK267" s="16"/>
      <c r="BL267" s="16"/>
      <c r="BM267" s="16"/>
      <c r="BN267" s="16"/>
      <c r="BO267" s="16"/>
      <c r="BP267" s="16"/>
      <c r="BQ267" s="16"/>
      <c r="BR267" s="16"/>
      <c r="BS267" s="80">
        <v>2014</v>
      </c>
      <c r="BT267" s="81" t="s">
        <v>45</v>
      </c>
      <c r="BU267" s="15">
        <f t="shared" si="276"/>
        <v>0.68017366136034729</v>
      </c>
      <c r="BV267" s="15">
        <f t="shared" si="277"/>
        <v>0.72252113758647196</v>
      </c>
      <c r="BW267" s="15">
        <f t="shared" si="278"/>
        <v>0.94138929088277856</v>
      </c>
      <c r="BX267" s="16"/>
      <c r="BY267" s="16"/>
      <c r="BZ267" s="16">
        <v>2764</v>
      </c>
      <c r="CA267" s="16">
        <f>BZ267-CB267</f>
        <v>162</v>
      </c>
      <c r="CB267" s="16">
        <v>2602</v>
      </c>
      <c r="CC267" s="16">
        <v>1880</v>
      </c>
      <c r="CD267" s="16">
        <f t="shared" si="263"/>
        <v>722</v>
      </c>
      <c r="CE267" s="16"/>
      <c r="CF267" s="16"/>
      <c r="CG267" s="80">
        <v>2014</v>
      </c>
      <c r="CH267" s="81" t="s">
        <v>45</v>
      </c>
      <c r="CI267" s="15">
        <f t="shared" si="279"/>
        <v>0.78632784538296352</v>
      </c>
      <c r="CJ267" s="15">
        <f t="shared" si="280"/>
        <v>0.84826254826254821</v>
      </c>
      <c r="CK267" s="15">
        <f t="shared" si="281"/>
        <v>0.92698639942734429</v>
      </c>
      <c r="CL267" s="16"/>
      <c r="CM267" s="16"/>
      <c r="CN267" s="16">
        <v>2794</v>
      </c>
      <c r="CO267" s="16">
        <f>CN267-CP267</f>
        <v>204</v>
      </c>
      <c r="CP267" s="16">
        <v>2590</v>
      </c>
      <c r="CQ267" s="16">
        <v>2197</v>
      </c>
      <c r="CR267" s="16">
        <f t="shared" si="265"/>
        <v>393</v>
      </c>
      <c r="CS267" s="16"/>
      <c r="CT267" s="16"/>
      <c r="CU267" s="80">
        <v>2014</v>
      </c>
      <c r="CV267" s="81" t="s">
        <v>45</v>
      </c>
      <c r="CW267" s="15">
        <f t="shared" si="282"/>
        <v>0.66093117408906887</v>
      </c>
      <c r="CX267" s="15">
        <f t="shared" si="283"/>
        <v>0.71366120218579232</v>
      </c>
      <c r="CY267" s="15">
        <f t="shared" si="284"/>
        <v>0.92611336032388669</v>
      </c>
      <c r="CZ267" s="16"/>
      <c r="DA267" s="16"/>
      <c r="DB267" s="16">
        <v>2964</v>
      </c>
      <c r="DC267" s="16">
        <f t="shared" si="285"/>
        <v>219</v>
      </c>
      <c r="DD267" s="16">
        <v>2745</v>
      </c>
      <c r="DE267" s="16">
        <v>1959</v>
      </c>
      <c r="DF267" s="16">
        <f t="shared" si="286"/>
        <v>786</v>
      </c>
      <c r="DG267" s="16"/>
      <c r="DH267" s="16"/>
      <c r="DI267" s="80">
        <v>2014</v>
      </c>
      <c r="DJ267" s="81" t="s">
        <v>45</v>
      </c>
      <c r="DK267" s="15">
        <f t="shared" si="287"/>
        <v>0.53244274809160308</v>
      </c>
      <c r="DL267" s="15">
        <f t="shared" si="288"/>
        <v>0.60784313725490191</v>
      </c>
      <c r="DM267" s="15">
        <f t="shared" si="289"/>
        <v>0.87595419847328249</v>
      </c>
      <c r="DN267" s="16"/>
      <c r="DO267" s="16"/>
      <c r="DP267" s="16">
        <v>1048</v>
      </c>
      <c r="DQ267" s="16">
        <f>DP267-DR267</f>
        <v>130</v>
      </c>
      <c r="DR267" s="16">
        <v>918</v>
      </c>
      <c r="DS267" s="16">
        <v>558</v>
      </c>
      <c r="DT267" s="16">
        <f t="shared" si="267"/>
        <v>360</v>
      </c>
      <c r="DU267" s="16"/>
      <c r="DV267" s="16"/>
      <c r="DW267" s="80">
        <v>2014</v>
      </c>
      <c r="DX267" s="81" t="s">
        <v>45</v>
      </c>
      <c r="DY267" s="15">
        <f t="shared" si="290"/>
        <v>0.92987188132164533</v>
      </c>
      <c r="DZ267" s="15">
        <f t="shared" si="291"/>
        <v>0.96771929824561409</v>
      </c>
      <c r="EA267" s="15">
        <f t="shared" si="292"/>
        <v>0.96089008766014838</v>
      </c>
      <c r="EB267" s="16"/>
      <c r="EC267" s="16"/>
      <c r="ED267" s="16">
        <v>1483</v>
      </c>
      <c r="EE267" s="16">
        <f>ED267-EF267</f>
        <v>58</v>
      </c>
      <c r="EF267" s="16">
        <v>1425</v>
      </c>
      <c r="EG267" s="16">
        <v>1379</v>
      </c>
      <c r="EH267" s="16">
        <f t="shared" si="269"/>
        <v>46</v>
      </c>
      <c r="EI267" s="16"/>
      <c r="EJ267" s="16"/>
      <c r="EK267" s="80"/>
      <c r="EL267" s="81"/>
      <c r="EM267" s="15"/>
      <c r="EN267" s="15"/>
      <c r="EO267" s="15"/>
      <c r="EP267" s="16"/>
      <c r="EQ267" s="16"/>
      <c r="ER267" s="16"/>
      <c r="ES267" s="16"/>
      <c r="ET267" s="16"/>
      <c r="EU267" s="16"/>
      <c r="EV267" s="16"/>
      <c r="EW267" s="16"/>
      <c r="EX267" s="16"/>
      <c r="EY267" s="80"/>
      <c r="EZ267" s="81"/>
      <c r="FA267" s="15"/>
      <c r="FB267" s="15"/>
      <c r="FC267" s="15"/>
      <c r="FD267" s="16"/>
      <c r="FE267" s="16"/>
      <c r="FF267" s="16"/>
      <c r="FG267" s="16"/>
      <c r="FH267" s="16"/>
      <c r="FI267" s="16"/>
      <c r="FJ267" s="16"/>
      <c r="FK267" s="16"/>
      <c r="FM267" s="80"/>
      <c r="FN267" s="81"/>
      <c r="FO267" s="15"/>
      <c r="FP267" s="15"/>
      <c r="FQ267" s="15"/>
      <c r="FR267" s="16"/>
      <c r="FS267" s="16"/>
      <c r="FT267" s="16"/>
      <c r="FU267" s="16"/>
      <c r="FV267" s="16"/>
      <c r="FW267" s="16"/>
      <c r="FX267" s="16"/>
      <c r="FY267" s="16"/>
      <c r="GA267" s="80"/>
      <c r="GB267" s="81"/>
      <c r="GC267" s="15"/>
      <c r="GD267" s="15"/>
      <c r="GE267" s="15"/>
      <c r="GF267" s="16"/>
      <c r="GG267" s="16"/>
      <c r="GH267" s="16"/>
      <c r="GI267" s="16"/>
      <c r="GJ267" s="16"/>
      <c r="GK267" s="16"/>
      <c r="GL267" s="16"/>
      <c r="GM267" s="16"/>
    </row>
    <row r="268" spans="1:195" s="18" customFormat="1" ht="15" customHeight="1">
      <c r="A268" s="78">
        <v>2014</v>
      </c>
      <c r="B268" s="79" t="s">
        <v>46</v>
      </c>
      <c r="C268" s="15">
        <f t="shared" si="293"/>
        <v>0.71541329717689217</v>
      </c>
      <c r="D268" s="15">
        <f t="shared" si="294"/>
        <v>0.76517505697120369</v>
      </c>
      <c r="E268" s="15">
        <f t="shared" si="295"/>
        <v>0.93496682969347733</v>
      </c>
      <c r="F268" s="16"/>
      <c r="G268" s="33"/>
      <c r="H26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20651</v>
      </c>
      <c r="I268" s="16">
        <f t="shared" si="296"/>
        <v>1343</v>
      </c>
      <c r="J26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19308</v>
      </c>
      <c r="K26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14774</v>
      </c>
      <c r="L268" s="16">
        <f t="shared" si="297"/>
        <v>4534</v>
      </c>
      <c r="M268" s="16"/>
      <c r="N268" s="16"/>
      <c r="O268" s="78">
        <v>2014</v>
      </c>
      <c r="P268" s="79" t="s">
        <v>46</v>
      </c>
      <c r="Q268" s="15">
        <f t="shared" si="270"/>
        <v>0.69606147934678197</v>
      </c>
      <c r="R268" s="15">
        <f t="shared" si="271"/>
        <v>0.72085157182650217</v>
      </c>
      <c r="S268" s="15">
        <f t="shared" si="272"/>
        <v>0.96560999039385209</v>
      </c>
      <c r="T268" s="26"/>
      <c r="U268" s="26"/>
      <c r="V268" s="16">
        <v>5205</v>
      </c>
      <c r="W268" s="16">
        <f>V268-X268</f>
        <v>179</v>
      </c>
      <c r="X268" s="16">
        <v>5026</v>
      </c>
      <c r="Y268" s="16">
        <v>3623</v>
      </c>
      <c r="Z268" s="16">
        <f t="shared" si="259"/>
        <v>1403</v>
      </c>
      <c r="AA268" s="16"/>
      <c r="AB268" s="16"/>
      <c r="AC268" s="78"/>
      <c r="AD268" s="79"/>
      <c r="AE268" s="15"/>
      <c r="AF268" s="15"/>
      <c r="AG268" s="15"/>
      <c r="AH268" s="15"/>
      <c r="AI268" s="15"/>
      <c r="AJ268" s="16"/>
      <c r="AK268" s="16"/>
      <c r="AL268" s="16"/>
      <c r="AM268" s="16"/>
      <c r="AN268" s="16"/>
      <c r="AO268" s="16"/>
      <c r="AP268" s="16"/>
      <c r="AQ268" s="78">
        <v>2014</v>
      </c>
      <c r="AR268" s="79" t="s">
        <v>46</v>
      </c>
      <c r="AS268" s="15">
        <f t="shared" si="273"/>
        <v>0.77773221242567148</v>
      </c>
      <c r="AT268" s="15">
        <f t="shared" si="274"/>
        <v>0.80139446439890138</v>
      </c>
      <c r="AU268" s="15">
        <f t="shared" si="275"/>
        <v>0.97047365183514456</v>
      </c>
      <c r="AV268" s="16"/>
      <c r="AW268" s="16"/>
      <c r="AX268" s="16">
        <v>4877</v>
      </c>
      <c r="AY268" s="16">
        <f>AX268-AZ268</f>
        <v>144</v>
      </c>
      <c r="AZ268" s="16">
        <v>4733</v>
      </c>
      <c r="BA268" s="16">
        <v>3793</v>
      </c>
      <c r="BB268" s="16">
        <f t="shared" si="261"/>
        <v>940</v>
      </c>
      <c r="BC268" s="16"/>
      <c r="BD268" s="16"/>
      <c r="BE268" s="78">
        <v>2014</v>
      </c>
      <c r="BF268" s="79" t="s">
        <v>46</v>
      </c>
      <c r="BG268" s="15"/>
      <c r="BH268" s="15"/>
      <c r="BI268" s="15"/>
      <c r="BJ268" s="16"/>
      <c r="BK268" s="16"/>
      <c r="BL268" s="16"/>
      <c r="BM268" s="16"/>
      <c r="BN268" s="16"/>
      <c r="BO268" s="16"/>
      <c r="BP268" s="16"/>
      <c r="BQ268" s="16"/>
      <c r="BR268" s="16"/>
      <c r="BS268" s="78">
        <v>2014</v>
      </c>
      <c r="BT268" s="79" t="s">
        <v>46</v>
      </c>
      <c r="BU268" s="15">
        <f t="shared" si="276"/>
        <v>0.67184539598332704</v>
      </c>
      <c r="BV268" s="15">
        <f t="shared" si="277"/>
        <v>0.73325062034739452</v>
      </c>
      <c r="BW268" s="15">
        <f t="shared" si="278"/>
        <v>0.91625615763546797</v>
      </c>
      <c r="BX268" s="16"/>
      <c r="BY268" s="16"/>
      <c r="BZ268" s="16">
        <v>2639</v>
      </c>
      <c r="CA268" s="16">
        <f>BZ268-CB268</f>
        <v>221</v>
      </c>
      <c r="CB268" s="16">
        <v>2418</v>
      </c>
      <c r="CC268" s="16">
        <v>1773</v>
      </c>
      <c r="CD268" s="16">
        <f t="shared" si="263"/>
        <v>645</v>
      </c>
      <c r="CE268" s="16"/>
      <c r="CF268" s="16"/>
      <c r="CG268" s="78">
        <v>2014</v>
      </c>
      <c r="CH268" s="79" t="s">
        <v>46</v>
      </c>
      <c r="CI268" s="15">
        <f t="shared" si="279"/>
        <v>0.76320719370550771</v>
      </c>
      <c r="CJ268" s="15">
        <f t="shared" si="280"/>
        <v>0.84628167843788948</v>
      </c>
      <c r="CK268" s="15">
        <f t="shared" si="281"/>
        <v>0.90183589359310601</v>
      </c>
      <c r="CL268" s="16"/>
      <c r="CM268" s="16"/>
      <c r="CN268" s="16">
        <v>2669</v>
      </c>
      <c r="CO268" s="16">
        <f>CN268-CP268</f>
        <v>262</v>
      </c>
      <c r="CP268" s="16">
        <v>2407</v>
      </c>
      <c r="CQ268" s="16">
        <v>2037</v>
      </c>
      <c r="CR268" s="16">
        <f t="shared" si="265"/>
        <v>370</v>
      </c>
      <c r="CS268" s="16"/>
      <c r="CT268" s="16"/>
      <c r="CU268" s="78">
        <v>2014</v>
      </c>
      <c r="CV268" s="79" t="s">
        <v>46</v>
      </c>
      <c r="CW268" s="15">
        <f t="shared" si="282"/>
        <v>0.6605569263306309</v>
      </c>
      <c r="CX268" s="15">
        <f t="shared" si="283"/>
        <v>0.70239880059970017</v>
      </c>
      <c r="CY268" s="15">
        <f t="shared" si="284"/>
        <v>0.94043003172365169</v>
      </c>
      <c r="CZ268" s="16"/>
      <c r="DA268" s="16"/>
      <c r="DB268" s="16">
        <v>2837</v>
      </c>
      <c r="DC268" s="16">
        <f t="shared" si="285"/>
        <v>169</v>
      </c>
      <c r="DD268" s="16">
        <v>2668</v>
      </c>
      <c r="DE268" s="16">
        <v>1874</v>
      </c>
      <c r="DF268" s="16">
        <f t="shared" si="286"/>
        <v>794</v>
      </c>
      <c r="DG268" s="16"/>
      <c r="DH268" s="16"/>
      <c r="DI268" s="78">
        <v>2014</v>
      </c>
      <c r="DJ268" s="79" t="s">
        <v>46</v>
      </c>
      <c r="DK268" s="15">
        <f t="shared" si="287"/>
        <v>0.3263681592039801</v>
      </c>
      <c r="DL268" s="15">
        <f t="shared" si="288"/>
        <v>0.49472096530920062</v>
      </c>
      <c r="DM268" s="15">
        <f t="shared" si="289"/>
        <v>0.65970149253731347</v>
      </c>
      <c r="DN268" s="16"/>
      <c r="DO268" s="16"/>
      <c r="DP268" s="16">
        <v>1005</v>
      </c>
      <c r="DQ268" s="16">
        <f>DP268-DR268</f>
        <v>342</v>
      </c>
      <c r="DR268" s="16">
        <v>663</v>
      </c>
      <c r="DS268" s="16">
        <v>328</v>
      </c>
      <c r="DT268" s="16">
        <f t="shared" si="267"/>
        <v>335</v>
      </c>
      <c r="DU268" s="16"/>
      <c r="DV268" s="16"/>
      <c r="DW268" s="78">
        <v>2014</v>
      </c>
      <c r="DX268" s="79" t="s">
        <v>46</v>
      </c>
      <c r="DY268" s="15">
        <f t="shared" si="290"/>
        <v>0.94855532064834391</v>
      </c>
      <c r="DZ268" s="15">
        <f t="shared" si="291"/>
        <v>0.96625987078248388</v>
      </c>
      <c r="EA268" s="15">
        <f t="shared" si="292"/>
        <v>0.98167723749119096</v>
      </c>
      <c r="EB268" s="16"/>
      <c r="EC268" s="16"/>
      <c r="ED268" s="16">
        <v>1419</v>
      </c>
      <c r="EE268" s="16">
        <f>ED268-EF268</f>
        <v>26</v>
      </c>
      <c r="EF268" s="16">
        <v>1393</v>
      </c>
      <c r="EG268" s="16">
        <v>1346</v>
      </c>
      <c r="EH268" s="16">
        <f t="shared" si="269"/>
        <v>47</v>
      </c>
      <c r="EI268" s="16"/>
      <c r="EJ268" s="16"/>
      <c r="EK268" s="78"/>
      <c r="EL268" s="79"/>
      <c r="EM268" s="15"/>
      <c r="EN268" s="15"/>
      <c r="EO268" s="15"/>
      <c r="EP268" s="16"/>
      <c r="EQ268" s="16"/>
      <c r="ER268" s="16"/>
      <c r="ES268" s="16"/>
      <c r="ET268" s="16"/>
      <c r="EU268" s="16"/>
      <c r="EV268" s="16"/>
      <c r="EW268" s="16"/>
      <c r="EX268" s="16"/>
      <c r="EY268" s="78"/>
      <c r="EZ268" s="79"/>
      <c r="FA268" s="15"/>
      <c r="FB268" s="15"/>
      <c r="FC268" s="15"/>
      <c r="FD268" s="16"/>
      <c r="FE268" s="16"/>
      <c r="FF268" s="16"/>
      <c r="FG268" s="16"/>
      <c r="FH268" s="16"/>
      <c r="FI268" s="16"/>
      <c r="FJ268" s="16"/>
      <c r="FK268" s="16"/>
      <c r="FM268" s="78"/>
      <c r="FN268" s="79"/>
      <c r="FO268" s="15"/>
      <c r="FP268" s="15"/>
      <c r="FQ268" s="15"/>
      <c r="FR268" s="16"/>
      <c r="FS268" s="16"/>
      <c r="FT268" s="16"/>
      <c r="FU268" s="16"/>
      <c r="FV268" s="16"/>
      <c r="FW268" s="16"/>
      <c r="FX268" s="16"/>
      <c r="FY268" s="16"/>
      <c r="GA268" s="78"/>
      <c r="GB268" s="79"/>
      <c r="GC268" s="15"/>
      <c r="GD268" s="15"/>
      <c r="GE268" s="15"/>
      <c r="GF268" s="16"/>
      <c r="GG268" s="16"/>
      <c r="GH268" s="16"/>
      <c r="GI268" s="16"/>
      <c r="GJ268" s="16"/>
      <c r="GK268" s="16"/>
      <c r="GL268" s="16"/>
      <c r="GM268" s="16"/>
    </row>
    <row r="269" spans="1:195" s="18" customFormat="1" ht="15" customHeight="1">
      <c r="A269" s="80">
        <v>2014</v>
      </c>
      <c r="B269" s="81" t="s">
        <v>47</v>
      </c>
      <c r="C269" s="15">
        <f t="shared" si="293"/>
        <v>0.774129746835443</v>
      </c>
      <c r="D269" s="15">
        <f t="shared" si="294"/>
        <v>0.83869930894091171</v>
      </c>
      <c r="E269" s="15">
        <f t="shared" si="295"/>
        <v>0.92301226265822789</v>
      </c>
      <c r="F269" s="16"/>
      <c r="G269" s="33"/>
      <c r="H26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20224</v>
      </c>
      <c r="I269" s="16">
        <f t="shared" si="296"/>
        <v>1557</v>
      </c>
      <c r="J26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18667</v>
      </c>
      <c r="K26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15656</v>
      </c>
      <c r="L269" s="16">
        <f t="shared" si="297"/>
        <v>3011</v>
      </c>
      <c r="M269" s="16"/>
      <c r="N269" s="16"/>
      <c r="O269" s="80">
        <v>2014</v>
      </c>
      <c r="P269" s="81" t="s">
        <v>47</v>
      </c>
      <c r="Q269" s="15">
        <f t="shared" si="270"/>
        <v>0.7670371146990983</v>
      </c>
      <c r="R269" s="15">
        <f t="shared" si="271"/>
        <v>0.80148992112182293</v>
      </c>
      <c r="S269" s="15">
        <f t="shared" si="272"/>
        <v>0.95701404906689036</v>
      </c>
      <c r="T269" s="26"/>
      <c r="U269" s="26"/>
      <c r="V269" s="16">
        <v>4769</v>
      </c>
      <c r="W269" s="16">
        <f>V269-X269</f>
        <v>205</v>
      </c>
      <c r="X269" s="16">
        <v>4564</v>
      </c>
      <c r="Y269" s="16">
        <v>3658</v>
      </c>
      <c r="Z269" s="16">
        <f t="shared" si="259"/>
        <v>906</v>
      </c>
      <c r="AA269" s="16"/>
      <c r="AB269" s="16"/>
      <c r="AC269" s="80"/>
      <c r="AD269" s="81"/>
      <c r="AE269" s="15"/>
      <c r="AF269" s="15"/>
      <c r="AG269" s="15"/>
      <c r="AH269" s="15"/>
      <c r="AI269" s="15"/>
      <c r="AJ269" s="16"/>
      <c r="AK269" s="16"/>
      <c r="AL269" s="16"/>
      <c r="AM269" s="16"/>
      <c r="AN269" s="16"/>
      <c r="AO269" s="16"/>
      <c r="AP269" s="16"/>
      <c r="AQ269" s="80">
        <v>2014</v>
      </c>
      <c r="AR269" s="81" t="s">
        <v>47</v>
      </c>
      <c r="AS269" s="15">
        <f t="shared" si="273"/>
        <v>0.86094028962507441</v>
      </c>
      <c r="AT269" s="15">
        <f t="shared" si="274"/>
        <v>0.89910917754298736</v>
      </c>
      <c r="AU269" s="15">
        <f t="shared" si="275"/>
        <v>0.95754810553461611</v>
      </c>
      <c r="AV269" s="16"/>
      <c r="AW269" s="16"/>
      <c r="AX269" s="16">
        <v>5041</v>
      </c>
      <c r="AY269" s="16">
        <f>AX269-AZ269</f>
        <v>214</v>
      </c>
      <c r="AZ269" s="16">
        <v>4827</v>
      </c>
      <c r="BA269" s="16">
        <v>4340</v>
      </c>
      <c r="BB269" s="16">
        <f t="shared" si="261"/>
        <v>487</v>
      </c>
      <c r="BC269" s="16"/>
      <c r="BD269" s="16"/>
      <c r="BE269" s="80">
        <v>2014</v>
      </c>
      <c r="BF269" s="81" t="s">
        <v>47</v>
      </c>
      <c r="BG269" s="15"/>
      <c r="BH269" s="15"/>
      <c r="BI269" s="15"/>
      <c r="BJ269" s="16"/>
      <c r="BK269" s="16"/>
      <c r="BL269" s="16"/>
      <c r="BM269" s="16"/>
      <c r="BN269" s="16"/>
      <c r="BO269" s="16"/>
      <c r="BP269" s="16"/>
      <c r="BQ269" s="16"/>
      <c r="BR269" s="16"/>
      <c r="BS269" s="80">
        <v>2014</v>
      </c>
      <c r="BT269" s="81" t="s">
        <v>47</v>
      </c>
      <c r="BU269" s="15">
        <f t="shared" si="276"/>
        <v>0.72143675964845244</v>
      </c>
      <c r="BV269" s="15">
        <f t="shared" si="277"/>
        <v>0.81030042918454936</v>
      </c>
      <c r="BW269" s="15">
        <f t="shared" si="278"/>
        <v>0.89033244172716852</v>
      </c>
      <c r="BX269" s="16"/>
      <c r="BY269" s="16"/>
      <c r="BZ269" s="16">
        <v>2617</v>
      </c>
      <c r="CA269" s="16">
        <f>BZ269-CB269</f>
        <v>287</v>
      </c>
      <c r="CB269" s="16">
        <v>2330</v>
      </c>
      <c r="CC269" s="16">
        <v>1888</v>
      </c>
      <c r="CD269" s="16">
        <f t="shared" si="263"/>
        <v>442</v>
      </c>
      <c r="CE269" s="16"/>
      <c r="CF269" s="16"/>
      <c r="CG269" s="80">
        <v>2014</v>
      </c>
      <c r="CH269" s="81" t="s">
        <v>47</v>
      </c>
      <c r="CI269" s="15">
        <f t="shared" si="279"/>
        <v>0.73548387096774193</v>
      </c>
      <c r="CJ269" s="15">
        <f t="shared" si="280"/>
        <v>0.85638532920901456</v>
      </c>
      <c r="CK269" s="15">
        <f t="shared" si="281"/>
        <v>0.85882352941176465</v>
      </c>
      <c r="CL269" s="16"/>
      <c r="CM269" s="16"/>
      <c r="CN269" s="16">
        <v>2635</v>
      </c>
      <c r="CO269" s="16">
        <f>CN269-CP269</f>
        <v>372</v>
      </c>
      <c r="CP269" s="16">
        <v>2263</v>
      </c>
      <c r="CQ269" s="16">
        <v>1938</v>
      </c>
      <c r="CR269" s="16">
        <f t="shared" si="265"/>
        <v>325</v>
      </c>
      <c r="CS269" s="16"/>
      <c r="CT269" s="16"/>
      <c r="CU269" s="80">
        <v>2014</v>
      </c>
      <c r="CV269" s="81" t="s">
        <v>47</v>
      </c>
      <c r="CW269" s="15">
        <f t="shared" si="282"/>
        <v>0.754324038122132</v>
      </c>
      <c r="CX269" s="15">
        <f t="shared" si="283"/>
        <v>0.78739867354458359</v>
      </c>
      <c r="CY269" s="15">
        <f t="shared" si="284"/>
        <v>0.95799505824214615</v>
      </c>
      <c r="CZ269" s="16"/>
      <c r="DA269" s="16"/>
      <c r="DB269" s="16">
        <v>2833</v>
      </c>
      <c r="DC269" s="16">
        <f t="shared" si="285"/>
        <v>119</v>
      </c>
      <c r="DD269" s="16">
        <v>2714</v>
      </c>
      <c r="DE269" s="16">
        <v>2137</v>
      </c>
      <c r="DF269" s="16">
        <f t="shared" si="286"/>
        <v>577</v>
      </c>
      <c r="DG269" s="16"/>
      <c r="DH269" s="16"/>
      <c r="DI269" s="80">
        <v>2014</v>
      </c>
      <c r="DJ269" s="81" t="s">
        <v>47</v>
      </c>
      <c r="DK269" s="15">
        <f t="shared" si="287"/>
        <v>0.42842215256008359</v>
      </c>
      <c r="DL269" s="15">
        <f t="shared" si="288"/>
        <v>0.62980030721966207</v>
      </c>
      <c r="DM269" s="15">
        <f t="shared" si="289"/>
        <v>0.68025078369905956</v>
      </c>
      <c r="DN269" s="16"/>
      <c r="DO269" s="16"/>
      <c r="DP269" s="16">
        <v>957</v>
      </c>
      <c r="DQ269" s="16">
        <f>DP269-DR269</f>
        <v>306</v>
      </c>
      <c r="DR269" s="16">
        <v>651</v>
      </c>
      <c r="DS269" s="16">
        <v>410</v>
      </c>
      <c r="DT269" s="16">
        <f t="shared" si="267"/>
        <v>241</v>
      </c>
      <c r="DU269" s="16"/>
      <c r="DV269" s="16"/>
      <c r="DW269" s="80">
        <v>2014</v>
      </c>
      <c r="DX269" s="81" t="s">
        <v>47</v>
      </c>
      <c r="DY269" s="15">
        <f t="shared" si="290"/>
        <v>0.9365889212827988</v>
      </c>
      <c r="DZ269" s="15">
        <f t="shared" si="291"/>
        <v>0.97496206373292871</v>
      </c>
      <c r="EA269" s="15">
        <f t="shared" si="292"/>
        <v>0.96064139941690962</v>
      </c>
      <c r="EB269" s="16"/>
      <c r="EC269" s="16"/>
      <c r="ED269" s="16">
        <v>1372</v>
      </c>
      <c r="EE269" s="16">
        <f>ED269-EF269</f>
        <v>54</v>
      </c>
      <c r="EF269" s="16">
        <v>1318</v>
      </c>
      <c r="EG269" s="16">
        <v>1285</v>
      </c>
      <c r="EH269" s="16">
        <f t="shared" si="269"/>
        <v>33</v>
      </c>
      <c r="EI269" s="16"/>
      <c r="EJ269" s="16"/>
      <c r="EK269" s="80"/>
      <c r="EL269" s="81"/>
      <c r="EM269" s="15"/>
      <c r="EN269" s="15"/>
      <c r="EO269" s="15"/>
      <c r="EP269" s="16"/>
      <c r="EQ269" s="16"/>
      <c r="ER269" s="16"/>
      <c r="ES269" s="16"/>
      <c r="ET269" s="16"/>
      <c r="EU269" s="16"/>
      <c r="EV269" s="16"/>
      <c r="EW269" s="16"/>
      <c r="EX269" s="16"/>
      <c r="EY269" s="80"/>
      <c r="EZ269" s="81"/>
      <c r="FA269" s="15"/>
      <c r="FB269" s="15"/>
      <c r="FC269" s="15"/>
      <c r="FD269" s="16"/>
      <c r="FE269" s="16"/>
      <c r="FF269" s="16"/>
      <c r="FG269" s="16"/>
      <c r="FH269" s="16"/>
      <c r="FI269" s="16"/>
      <c r="FJ269" s="16"/>
      <c r="FK269" s="16"/>
      <c r="FM269" s="80"/>
      <c r="FN269" s="81"/>
      <c r="FO269" s="15"/>
      <c r="FP269" s="15"/>
      <c r="FQ269" s="15"/>
      <c r="FR269" s="16"/>
      <c r="FS269" s="16"/>
      <c r="FT269" s="16"/>
      <c r="FU269" s="16"/>
      <c r="FV269" s="16"/>
      <c r="FW269" s="16"/>
      <c r="FX269" s="16"/>
      <c r="FY269" s="16"/>
      <c r="GA269" s="80"/>
      <c r="GB269" s="81"/>
      <c r="GC269" s="15"/>
      <c r="GD269" s="15"/>
      <c r="GE269" s="15"/>
      <c r="GF269" s="16"/>
      <c r="GG269" s="16"/>
      <c r="GH269" s="16"/>
      <c r="GI269" s="16"/>
      <c r="GJ269" s="16"/>
      <c r="GK269" s="16"/>
      <c r="GL269" s="16"/>
      <c r="GM269" s="16"/>
    </row>
    <row r="270" spans="1:195" s="18" customFormat="1" ht="15" customHeight="1">
      <c r="A270" s="78">
        <v>2015</v>
      </c>
      <c r="B270" s="79" t="s">
        <v>36</v>
      </c>
      <c r="C270" s="15">
        <f t="shared" si="293"/>
        <v>0.86125746399719005</v>
      </c>
      <c r="D270" s="15">
        <f t="shared" si="294"/>
        <v>0.92274608891995058</v>
      </c>
      <c r="E270" s="15">
        <f t="shared" si="295"/>
        <v>0.9333634402127553</v>
      </c>
      <c r="F270" s="16"/>
      <c r="G270" s="33"/>
      <c r="H27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19929</v>
      </c>
      <c r="I270" s="16">
        <f t="shared" si="296"/>
        <v>1328</v>
      </c>
      <c r="J27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18601</v>
      </c>
      <c r="K27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17164</v>
      </c>
      <c r="L270" s="16">
        <f t="shared" si="297"/>
        <v>1437</v>
      </c>
      <c r="M270" s="16"/>
      <c r="N270" s="16"/>
      <c r="O270" s="78">
        <v>2015</v>
      </c>
      <c r="P270" s="79" t="s">
        <v>36</v>
      </c>
      <c r="Q270" s="15">
        <f t="shared" si="270"/>
        <v>0.89503133393017009</v>
      </c>
      <c r="R270" s="15">
        <f t="shared" si="271"/>
        <v>0.9400564174894217</v>
      </c>
      <c r="S270" s="15">
        <f t="shared" si="272"/>
        <v>0.95210384959713523</v>
      </c>
      <c r="T270" s="26"/>
      <c r="U270" s="26"/>
      <c r="V270" s="16">
        <v>4468</v>
      </c>
      <c r="W270" s="16">
        <f>+V270-X270</f>
        <v>214</v>
      </c>
      <c r="X270" s="16">
        <v>4254</v>
      </c>
      <c r="Y270" s="16">
        <v>3999</v>
      </c>
      <c r="Z270" s="16">
        <f t="shared" ref="Z270:Z281" si="298">X270-Y270</f>
        <v>255</v>
      </c>
      <c r="AA270" s="16"/>
      <c r="AB270" s="16"/>
      <c r="AC270" s="78"/>
      <c r="AD270" s="79"/>
      <c r="AE270" s="15"/>
      <c r="AF270" s="15"/>
      <c r="AG270" s="15"/>
      <c r="AH270" s="15"/>
      <c r="AI270" s="15"/>
      <c r="AJ270" s="16"/>
      <c r="AK270" s="16"/>
      <c r="AL270" s="16"/>
      <c r="AM270" s="16"/>
      <c r="AN270" s="16"/>
      <c r="AO270" s="16"/>
      <c r="AP270" s="16"/>
      <c r="AQ270" s="78">
        <v>2015</v>
      </c>
      <c r="AR270" s="79" t="s">
        <v>36</v>
      </c>
      <c r="AS270" s="15">
        <f t="shared" si="273"/>
        <v>0.93876383059900803</v>
      </c>
      <c r="AT270" s="15">
        <f t="shared" si="274"/>
        <v>0.9706114398422091</v>
      </c>
      <c r="AU270" s="15">
        <f t="shared" si="275"/>
        <v>0.96718809614650891</v>
      </c>
      <c r="AV270" s="16"/>
      <c r="AW270" s="16"/>
      <c r="AX270" s="16">
        <v>5242</v>
      </c>
      <c r="AY270" s="16">
        <f>+AX270-AZ270</f>
        <v>172</v>
      </c>
      <c r="AZ270" s="16">
        <v>5070</v>
      </c>
      <c r="BA270" s="16">
        <v>4921</v>
      </c>
      <c r="BB270" s="16">
        <f t="shared" ref="BB270:BB281" si="299">AZ270-BA270</f>
        <v>149</v>
      </c>
      <c r="BC270" s="16"/>
      <c r="BD270" s="16"/>
      <c r="BE270" s="78">
        <v>2015</v>
      </c>
      <c r="BF270" s="79" t="s">
        <v>36</v>
      </c>
      <c r="BG270" s="15"/>
      <c r="BH270" s="15"/>
      <c r="BI270" s="15"/>
      <c r="BJ270" s="16"/>
      <c r="BK270" s="16"/>
      <c r="BL270" s="16"/>
      <c r="BM270" s="16"/>
      <c r="BN270" s="16"/>
      <c r="BO270" s="16"/>
      <c r="BP270" s="16"/>
      <c r="BQ270" s="16"/>
      <c r="BR270" s="16"/>
      <c r="BS270" s="78">
        <v>2015</v>
      </c>
      <c r="BT270" s="79" t="s">
        <v>36</v>
      </c>
      <c r="BU270" s="15">
        <f t="shared" si="276"/>
        <v>0.7967542503863988</v>
      </c>
      <c r="BV270" s="15">
        <f t="shared" si="277"/>
        <v>0.89071274298056158</v>
      </c>
      <c r="BW270" s="15">
        <f t="shared" si="278"/>
        <v>0.8945131375579598</v>
      </c>
      <c r="BX270" s="16"/>
      <c r="BY270" s="16"/>
      <c r="BZ270" s="16">
        <v>2588</v>
      </c>
      <c r="CA270" s="16">
        <f t="shared" ref="CA270:CA278" si="300">BZ270-CB270</f>
        <v>273</v>
      </c>
      <c r="CB270" s="16">
        <v>2315</v>
      </c>
      <c r="CC270" s="16">
        <v>2062</v>
      </c>
      <c r="CD270" s="16">
        <f t="shared" ref="CD270:CD278" si="301">CB270-CC270</f>
        <v>253</v>
      </c>
      <c r="CE270" s="16"/>
      <c r="CF270" s="16"/>
      <c r="CG270" s="78">
        <v>2015</v>
      </c>
      <c r="CH270" s="79" t="s">
        <v>36</v>
      </c>
      <c r="CI270" s="15">
        <f t="shared" si="279"/>
        <v>0.79214780600461898</v>
      </c>
      <c r="CJ270" s="15">
        <f t="shared" si="280"/>
        <v>0.91061946902654867</v>
      </c>
      <c r="CK270" s="15">
        <f t="shared" si="281"/>
        <v>0.86989992301770591</v>
      </c>
      <c r="CL270" s="16"/>
      <c r="CM270" s="16"/>
      <c r="CN270" s="16">
        <v>2598</v>
      </c>
      <c r="CO270" s="16">
        <f t="shared" ref="CO270:CO278" si="302">CN270-CP270</f>
        <v>338</v>
      </c>
      <c r="CP270" s="16">
        <v>2260</v>
      </c>
      <c r="CQ270" s="16">
        <v>2058</v>
      </c>
      <c r="CR270" s="16">
        <f t="shared" ref="CR270:CR278" si="303">CP270-CQ270</f>
        <v>202</v>
      </c>
      <c r="CS270" s="16"/>
      <c r="CT270" s="16"/>
      <c r="CU270" s="78">
        <v>2015</v>
      </c>
      <c r="CV270" s="79" t="s">
        <v>36</v>
      </c>
      <c r="CW270" s="15">
        <f t="shared" si="282"/>
        <v>0.80106761565836304</v>
      </c>
      <c r="CX270" s="15">
        <f t="shared" si="283"/>
        <v>0.82909760589318604</v>
      </c>
      <c r="CY270" s="15">
        <f t="shared" si="284"/>
        <v>0.96619217081850539</v>
      </c>
      <c r="CZ270" s="16"/>
      <c r="DA270" s="16"/>
      <c r="DB270" s="16">
        <v>2810</v>
      </c>
      <c r="DC270" s="16">
        <f t="shared" si="285"/>
        <v>95</v>
      </c>
      <c r="DD270" s="16">
        <v>2715</v>
      </c>
      <c r="DE270" s="16">
        <v>2251</v>
      </c>
      <c r="DF270" s="16">
        <f t="shared" si="286"/>
        <v>464</v>
      </c>
      <c r="DG270" s="16"/>
      <c r="DH270" s="16"/>
      <c r="DI270" s="78">
        <v>2015</v>
      </c>
      <c r="DJ270" s="79" t="s">
        <v>36</v>
      </c>
      <c r="DK270" s="15">
        <f t="shared" si="287"/>
        <v>0.74065934065934069</v>
      </c>
      <c r="DL270" s="15">
        <f t="shared" si="288"/>
        <v>0.90591397849462363</v>
      </c>
      <c r="DM270" s="15">
        <f t="shared" si="289"/>
        <v>0.81758241758241756</v>
      </c>
      <c r="DN270" s="16"/>
      <c r="DO270" s="16"/>
      <c r="DP270" s="16">
        <v>910</v>
      </c>
      <c r="DQ270" s="16">
        <f t="shared" ref="DQ270:DQ278" si="304">DP270-DR270</f>
        <v>166</v>
      </c>
      <c r="DR270" s="16">
        <v>744</v>
      </c>
      <c r="DS270" s="16">
        <v>674</v>
      </c>
      <c r="DT270" s="16">
        <f t="shared" ref="DT270:DT281" si="305">DR270-DS270</f>
        <v>70</v>
      </c>
      <c r="DU270" s="16"/>
      <c r="DV270" s="16"/>
      <c r="DW270" s="78">
        <v>2015</v>
      </c>
      <c r="DX270" s="79" t="s">
        <v>36</v>
      </c>
      <c r="DY270" s="15">
        <f t="shared" si="290"/>
        <v>0.91317593297791322</v>
      </c>
      <c r="DZ270" s="15">
        <f t="shared" si="291"/>
        <v>0.96460176991150437</v>
      </c>
      <c r="EA270" s="15">
        <f t="shared" si="292"/>
        <v>0.9466869763899467</v>
      </c>
      <c r="EB270" s="16"/>
      <c r="EC270" s="16"/>
      <c r="ED270" s="16">
        <v>1313</v>
      </c>
      <c r="EE270" s="16">
        <f t="shared" ref="EE270:EE278" si="306">ED270-EF270</f>
        <v>70</v>
      </c>
      <c r="EF270" s="16">
        <v>1243</v>
      </c>
      <c r="EG270" s="16">
        <v>1199</v>
      </c>
      <c r="EH270" s="16">
        <f t="shared" ref="EH270:EH281" si="307">EF270-EG270</f>
        <v>44</v>
      </c>
      <c r="EI270" s="16"/>
      <c r="EJ270" s="16"/>
      <c r="EK270" s="78"/>
      <c r="EL270" s="79"/>
      <c r="EM270" s="15"/>
      <c r="EN270" s="15"/>
      <c r="EO270" s="15"/>
      <c r="EP270" s="16"/>
      <c r="EQ270" s="16"/>
      <c r="ER270" s="16"/>
      <c r="ES270" s="16"/>
      <c r="ET270" s="16"/>
      <c r="EU270" s="16"/>
      <c r="EV270" s="16"/>
      <c r="EW270" s="16"/>
      <c r="EX270" s="16"/>
      <c r="EY270" s="78"/>
      <c r="EZ270" s="79"/>
      <c r="FA270" s="15"/>
      <c r="FB270" s="15"/>
      <c r="FC270" s="15"/>
      <c r="FD270" s="16"/>
      <c r="FE270" s="16"/>
      <c r="FF270" s="16"/>
      <c r="FG270" s="16"/>
      <c r="FH270" s="16"/>
      <c r="FI270" s="16"/>
      <c r="FJ270" s="16"/>
      <c r="FK270" s="16"/>
      <c r="FM270" s="78"/>
      <c r="FN270" s="79"/>
      <c r="FO270" s="15"/>
      <c r="FP270" s="15"/>
      <c r="FQ270" s="15"/>
      <c r="FR270" s="16"/>
      <c r="FS270" s="16"/>
      <c r="FT270" s="16"/>
      <c r="FU270" s="16"/>
      <c r="FV270" s="16"/>
      <c r="FW270" s="16"/>
      <c r="FX270" s="16"/>
      <c r="FY270" s="16"/>
      <c r="GA270" s="78"/>
      <c r="GB270" s="79"/>
      <c r="GC270" s="15"/>
      <c r="GD270" s="15"/>
      <c r="GE270" s="15"/>
      <c r="GF270" s="16"/>
      <c r="GG270" s="16"/>
      <c r="GH270" s="16"/>
      <c r="GI270" s="16"/>
      <c r="GJ270" s="16"/>
      <c r="GK270" s="16"/>
      <c r="GL270" s="16"/>
      <c r="GM270" s="16"/>
    </row>
    <row r="271" spans="1:195" s="18" customFormat="1" ht="15" customHeight="1">
      <c r="A271" s="80">
        <v>2015</v>
      </c>
      <c r="B271" s="81" t="s">
        <v>37</v>
      </c>
      <c r="C271" s="15">
        <f t="shared" si="293"/>
        <v>0.83845886039224793</v>
      </c>
      <c r="D271" s="15">
        <f t="shared" si="294"/>
        <v>0.88835608016722001</v>
      </c>
      <c r="E271" s="15">
        <f t="shared" si="295"/>
        <v>0.94383196007891379</v>
      </c>
      <c r="F271" s="16"/>
      <c r="G271" s="33"/>
      <c r="H27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17234</v>
      </c>
      <c r="I271" s="16">
        <f t="shared" si="296"/>
        <v>968</v>
      </c>
      <c r="J27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16266</v>
      </c>
      <c r="K27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14450</v>
      </c>
      <c r="L271" s="16">
        <f t="shared" si="297"/>
        <v>1816</v>
      </c>
      <c r="M271" s="16"/>
      <c r="N271" s="16"/>
      <c r="O271" s="80">
        <v>2015</v>
      </c>
      <c r="P271" s="81" t="s">
        <v>37</v>
      </c>
      <c r="Q271" s="15">
        <f t="shared" si="270"/>
        <v>0.8566717402333841</v>
      </c>
      <c r="R271" s="15">
        <f t="shared" si="271"/>
        <v>0.90536193029490619</v>
      </c>
      <c r="S271" s="15">
        <f t="shared" si="272"/>
        <v>0.94622019279553526</v>
      </c>
      <c r="T271" s="26"/>
      <c r="U271" s="26"/>
      <c r="V271" s="16">
        <v>3942</v>
      </c>
      <c r="W271" s="16">
        <f t="shared" ref="W271:W281" si="308">V271-X271</f>
        <v>212</v>
      </c>
      <c r="X271" s="16">
        <v>3730</v>
      </c>
      <c r="Y271" s="16">
        <v>3377</v>
      </c>
      <c r="Z271" s="16">
        <f t="shared" si="298"/>
        <v>353</v>
      </c>
      <c r="AA271" s="16"/>
      <c r="AB271" s="16"/>
      <c r="AC271" s="80"/>
      <c r="AD271" s="81"/>
      <c r="AE271" s="15"/>
      <c r="AF271" s="15"/>
      <c r="AG271" s="15"/>
      <c r="AH271" s="15"/>
      <c r="AI271" s="15"/>
      <c r="AJ271" s="16"/>
      <c r="AK271" s="16"/>
      <c r="AL271" s="16"/>
      <c r="AM271" s="16"/>
      <c r="AN271" s="16"/>
      <c r="AO271" s="16"/>
      <c r="AP271" s="16"/>
      <c r="AQ271" s="80">
        <v>2015</v>
      </c>
      <c r="AR271" s="81" t="s">
        <v>37</v>
      </c>
      <c r="AS271" s="15">
        <f t="shared" si="273"/>
        <v>0.91338241663057596</v>
      </c>
      <c r="AT271" s="15">
        <f t="shared" si="274"/>
        <v>0.95776566757493187</v>
      </c>
      <c r="AU271" s="15">
        <f t="shared" si="275"/>
        <v>0.95365959289735813</v>
      </c>
      <c r="AV271" s="16"/>
      <c r="AW271" s="16"/>
      <c r="AX271" s="16">
        <v>4618</v>
      </c>
      <c r="AY271" s="16">
        <f t="shared" ref="AY271:AY281" si="309">AX271-AZ271</f>
        <v>214</v>
      </c>
      <c r="AZ271" s="16">
        <v>4404</v>
      </c>
      <c r="BA271" s="16">
        <v>4218</v>
      </c>
      <c r="BB271" s="16">
        <f t="shared" si="299"/>
        <v>186</v>
      </c>
      <c r="BC271" s="16"/>
      <c r="BD271" s="16"/>
      <c r="BE271" s="80">
        <v>2015</v>
      </c>
      <c r="BF271" s="81" t="s">
        <v>37</v>
      </c>
      <c r="BG271" s="15"/>
      <c r="BH271" s="15"/>
      <c r="BI271" s="15"/>
      <c r="BJ271" s="16"/>
      <c r="BK271" s="16"/>
      <c r="BL271" s="16"/>
      <c r="BM271" s="16"/>
      <c r="BN271" s="16"/>
      <c r="BO271" s="16"/>
      <c r="BP271" s="16"/>
      <c r="BQ271" s="16"/>
      <c r="BR271" s="16"/>
      <c r="BS271" s="80">
        <v>2015</v>
      </c>
      <c r="BT271" s="81" t="s">
        <v>37</v>
      </c>
      <c r="BU271" s="15">
        <f t="shared" si="276"/>
        <v>0.77680221811460259</v>
      </c>
      <c r="BV271" s="15">
        <f t="shared" si="277"/>
        <v>0.79292452830188676</v>
      </c>
      <c r="BW271" s="15">
        <f t="shared" si="278"/>
        <v>0.97966728280961179</v>
      </c>
      <c r="BX271" s="16"/>
      <c r="BY271" s="16"/>
      <c r="BZ271" s="16">
        <v>2164</v>
      </c>
      <c r="CA271" s="16">
        <f t="shared" si="300"/>
        <v>44</v>
      </c>
      <c r="CB271" s="16">
        <v>2120</v>
      </c>
      <c r="CC271" s="16">
        <v>1681</v>
      </c>
      <c r="CD271" s="16">
        <f t="shared" si="301"/>
        <v>439</v>
      </c>
      <c r="CE271" s="16"/>
      <c r="CF271" s="16"/>
      <c r="CG271" s="80">
        <v>2015</v>
      </c>
      <c r="CH271" s="81" t="s">
        <v>37</v>
      </c>
      <c r="CI271" s="15">
        <f t="shared" si="279"/>
        <v>0.79620379620379622</v>
      </c>
      <c r="CJ271" s="15">
        <f t="shared" si="280"/>
        <v>0.836745406824147</v>
      </c>
      <c r="CK271" s="15">
        <f t="shared" si="281"/>
        <v>0.95154845154845158</v>
      </c>
      <c r="CL271" s="16"/>
      <c r="CM271" s="16"/>
      <c r="CN271" s="16">
        <v>2002</v>
      </c>
      <c r="CO271" s="16">
        <f t="shared" si="302"/>
        <v>97</v>
      </c>
      <c r="CP271" s="16">
        <v>1905</v>
      </c>
      <c r="CQ271" s="16">
        <v>1594</v>
      </c>
      <c r="CR271" s="16">
        <f t="shared" si="303"/>
        <v>311</v>
      </c>
      <c r="CS271" s="16"/>
      <c r="CT271" s="16"/>
      <c r="CU271" s="80">
        <v>2015</v>
      </c>
      <c r="CV271" s="81" t="s">
        <v>37</v>
      </c>
      <c r="CW271" s="15">
        <f t="shared" si="282"/>
        <v>0.7420382165605095</v>
      </c>
      <c r="CX271" s="15">
        <f t="shared" si="283"/>
        <v>0.80587980977086038</v>
      </c>
      <c r="CY271" s="15">
        <f t="shared" si="284"/>
        <v>0.92078025477707004</v>
      </c>
      <c r="CZ271" s="16"/>
      <c r="DA271" s="16"/>
      <c r="DB271" s="16">
        <v>2512</v>
      </c>
      <c r="DC271" s="16">
        <f t="shared" si="285"/>
        <v>199</v>
      </c>
      <c r="DD271" s="16">
        <v>2313</v>
      </c>
      <c r="DE271" s="16">
        <v>1864</v>
      </c>
      <c r="DF271" s="16">
        <f t="shared" si="286"/>
        <v>449</v>
      </c>
      <c r="DG271" s="16"/>
      <c r="DH271" s="16"/>
      <c r="DI271" s="80">
        <v>2015</v>
      </c>
      <c r="DJ271" s="81" t="s">
        <v>37</v>
      </c>
      <c r="DK271" s="15">
        <f t="shared" si="287"/>
        <v>0.75612745098039214</v>
      </c>
      <c r="DL271" s="15">
        <f t="shared" si="288"/>
        <v>0.93061840120663653</v>
      </c>
      <c r="DM271" s="15">
        <f t="shared" si="289"/>
        <v>0.8125</v>
      </c>
      <c r="DN271" s="16"/>
      <c r="DO271" s="16"/>
      <c r="DP271" s="16">
        <v>816</v>
      </c>
      <c r="DQ271" s="16">
        <f t="shared" si="304"/>
        <v>153</v>
      </c>
      <c r="DR271" s="16">
        <v>663</v>
      </c>
      <c r="DS271" s="16">
        <v>617</v>
      </c>
      <c r="DT271" s="16">
        <f t="shared" si="305"/>
        <v>46</v>
      </c>
      <c r="DU271" s="16"/>
      <c r="DV271" s="16"/>
      <c r="DW271" s="80">
        <v>2015</v>
      </c>
      <c r="DX271" s="81" t="s">
        <v>37</v>
      </c>
      <c r="DY271" s="15">
        <f t="shared" si="290"/>
        <v>0.93135593220338986</v>
      </c>
      <c r="DZ271" s="15">
        <f t="shared" si="291"/>
        <v>0.9717064544650752</v>
      </c>
      <c r="EA271" s="15">
        <f t="shared" si="292"/>
        <v>0.95847457627118648</v>
      </c>
      <c r="EB271" s="16"/>
      <c r="EC271" s="16"/>
      <c r="ED271" s="16">
        <v>1180</v>
      </c>
      <c r="EE271" s="16">
        <f t="shared" si="306"/>
        <v>49</v>
      </c>
      <c r="EF271" s="16">
        <v>1131</v>
      </c>
      <c r="EG271" s="16">
        <v>1099</v>
      </c>
      <c r="EH271" s="16">
        <f t="shared" si="307"/>
        <v>32</v>
      </c>
      <c r="EI271" s="16"/>
      <c r="EJ271" s="16"/>
      <c r="EK271" s="80"/>
      <c r="EL271" s="81"/>
      <c r="EM271" s="15"/>
      <c r="EN271" s="15"/>
      <c r="EO271" s="15"/>
      <c r="EP271" s="16"/>
      <c r="EQ271" s="16"/>
      <c r="ER271" s="16"/>
      <c r="ES271" s="16"/>
      <c r="ET271" s="16"/>
      <c r="EU271" s="16"/>
      <c r="EV271" s="16"/>
      <c r="EW271" s="16"/>
      <c r="EX271" s="16"/>
      <c r="EY271" s="80"/>
      <c r="EZ271" s="81"/>
      <c r="FA271" s="15"/>
      <c r="FB271" s="15"/>
      <c r="FC271" s="15"/>
      <c r="FD271" s="16"/>
      <c r="FE271" s="16"/>
      <c r="FF271" s="16"/>
      <c r="FG271" s="16"/>
      <c r="FH271" s="16"/>
      <c r="FI271" s="16"/>
      <c r="FJ271" s="16"/>
      <c r="FK271" s="16"/>
      <c r="FM271" s="80"/>
      <c r="FN271" s="81"/>
      <c r="FO271" s="15"/>
      <c r="FP271" s="15"/>
      <c r="FQ271" s="15"/>
      <c r="FR271" s="16"/>
      <c r="FS271" s="16"/>
      <c r="FT271" s="16"/>
      <c r="FU271" s="16"/>
      <c r="FV271" s="16"/>
      <c r="FW271" s="16"/>
      <c r="FX271" s="16"/>
      <c r="FY271" s="16"/>
      <c r="GA271" s="80"/>
      <c r="GB271" s="81"/>
      <c r="GC271" s="15"/>
      <c r="GD271" s="15"/>
      <c r="GE271" s="15"/>
      <c r="GF271" s="16"/>
      <c r="GG271" s="16"/>
      <c r="GH271" s="16"/>
      <c r="GI271" s="16"/>
      <c r="GJ271" s="16"/>
      <c r="GK271" s="16"/>
      <c r="GL271" s="16"/>
      <c r="GM271" s="16"/>
    </row>
    <row r="272" spans="1:195" s="18" customFormat="1" ht="15" customHeight="1">
      <c r="A272" s="78">
        <v>2015</v>
      </c>
      <c r="B272" s="79" t="s">
        <v>38</v>
      </c>
      <c r="C272" s="15">
        <f t="shared" si="293"/>
        <v>0.79505169867060566</v>
      </c>
      <c r="D272" s="15">
        <f t="shared" si="294"/>
        <v>0.86929687950625834</v>
      </c>
      <c r="E272" s="15">
        <f t="shared" si="295"/>
        <v>0.91459168600970664</v>
      </c>
      <c r="F272" s="16"/>
      <c r="G272" s="33"/>
      <c r="H27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18956</v>
      </c>
      <c r="I272" s="16">
        <f t="shared" si="296"/>
        <v>1619</v>
      </c>
      <c r="J27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17337</v>
      </c>
      <c r="K27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15071</v>
      </c>
      <c r="L272" s="16">
        <f t="shared" si="297"/>
        <v>2266</v>
      </c>
      <c r="M272" s="16"/>
      <c r="N272" s="16"/>
      <c r="O272" s="78">
        <v>2015</v>
      </c>
      <c r="P272" s="79" t="s">
        <v>38</v>
      </c>
      <c r="Q272" s="15">
        <f t="shared" si="270"/>
        <v>0.7975615366919715</v>
      </c>
      <c r="R272" s="15">
        <f t="shared" si="271"/>
        <v>0.87066800602712202</v>
      </c>
      <c r="S272" s="15">
        <f t="shared" si="272"/>
        <v>0.91603404646882913</v>
      </c>
      <c r="T272" s="26"/>
      <c r="U272" s="26"/>
      <c r="V272" s="16">
        <v>4347</v>
      </c>
      <c r="W272" s="16">
        <f t="shared" si="308"/>
        <v>365</v>
      </c>
      <c r="X272" s="16">
        <v>3982</v>
      </c>
      <c r="Y272" s="16">
        <v>3467</v>
      </c>
      <c r="Z272" s="16">
        <f t="shared" si="298"/>
        <v>515</v>
      </c>
      <c r="AA272" s="16"/>
      <c r="AB272" s="16"/>
      <c r="AC272" s="78"/>
      <c r="AD272" s="79"/>
      <c r="AE272" s="15"/>
      <c r="AF272" s="15"/>
      <c r="AG272" s="15"/>
      <c r="AH272" s="15"/>
      <c r="AI272" s="15"/>
      <c r="AJ272" s="16"/>
      <c r="AK272" s="16"/>
      <c r="AL272" s="16"/>
      <c r="AM272" s="16"/>
      <c r="AN272" s="16"/>
      <c r="AO272" s="16"/>
      <c r="AP272" s="16"/>
      <c r="AQ272" s="78">
        <v>2015</v>
      </c>
      <c r="AR272" s="79" t="s">
        <v>38</v>
      </c>
      <c r="AS272" s="15">
        <f t="shared" si="273"/>
        <v>0.84957834869582272</v>
      </c>
      <c r="AT272" s="15">
        <f t="shared" si="274"/>
        <v>0.93041237113402064</v>
      </c>
      <c r="AU272" s="15">
        <f t="shared" si="275"/>
        <v>0.91312021965091195</v>
      </c>
      <c r="AV272" s="16"/>
      <c r="AW272" s="16"/>
      <c r="AX272" s="16">
        <v>5099</v>
      </c>
      <c r="AY272" s="16">
        <f t="shared" si="309"/>
        <v>443</v>
      </c>
      <c r="AZ272" s="16">
        <v>4656</v>
      </c>
      <c r="BA272" s="16">
        <v>4332</v>
      </c>
      <c r="BB272" s="16">
        <f t="shared" si="299"/>
        <v>324</v>
      </c>
      <c r="BC272" s="16"/>
      <c r="BD272" s="16"/>
      <c r="BE272" s="78">
        <v>2015</v>
      </c>
      <c r="BF272" s="79" t="s">
        <v>38</v>
      </c>
      <c r="BG272" s="15"/>
      <c r="BH272" s="15"/>
      <c r="BI272" s="15"/>
      <c r="BJ272" s="16"/>
      <c r="BK272" s="16"/>
      <c r="BL272" s="16"/>
      <c r="BM272" s="16"/>
      <c r="BN272" s="16"/>
      <c r="BO272" s="16"/>
      <c r="BP272" s="16"/>
      <c r="BQ272" s="16"/>
      <c r="BR272" s="16"/>
      <c r="BS272" s="78">
        <v>2015</v>
      </c>
      <c r="BT272" s="79" t="s">
        <v>38</v>
      </c>
      <c r="BU272" s="15">
        <f t="shared" si="276"/>
        <v>0.75735294117647056</v>
      </c>
      <c r="BV272" s="15">
        <f t="shared" si="277"/>
        <v>0.79954337899543382</v>
      </c>
      <c r="BW272" s="15">
        <f t="shared" si="278"/>
        <v>0.94723183391003463</v>
      </c>
      <c r="BX272" s="16"/>
      <c r="BY272" s="16"/>
      <c r="BZ272" s="16">
        <v>2312</v>
      </c>
      <c r="CA272" s="16">
        <f t="shared" si="300"/>
        <v>122</v>
      </c>
      <c r="CB272" s="16">
        <v>2190</v>
      </c>
      <c r="CC272" s="16">
        <v>1751</v>
      </c>
      <c r="CD272" s="16">
        <f t="shared" si="301"/>
        <v>439</v>
      </c>
      <c r="CE272" s="16"/>
      <c r="CF272" s="16"/>
      <c r="CG272" s="78">
        <v>2015</v>
      </c>
      <c r="CH272" s="79" t="s">
        <v>38</v>
      </c>
      <c r="CI272" s="15">
        <f t="shared" si="279"/>
        <v>0.76513098464317975</v>
      </c>
      <c r="CJ272" s="15">
        <f t="shared" si="280"/>
        <v>0.82917278511992165</v>
      </c>
      <c r="CK272" s="15">
        <f t="shared" si="281"/>
        <v>0.92276422764227639</v>
      </c>
      <c r="CL272" s="16"/>
      <c r="CM272" s="16"/>
      <c r="CN272" s="16">
        <v>2214</v>
      </c>
      <c r="CO272" s="16">
        <f t="shared" si="302"/>
        <v>171</v>
      </c>
      <c r="CP272" s="16">
        <v>2043</v>
      </c>
      <c r="CQ272" s="16">
        <v>1694</v>
      </c>
      <c r="CR272" s="16">
        <f t="shared" si="303"/>
        <v>349</v>
      </c>
      <c r="CS272" s="16"/>
      <c r="CT272" s="16"/>
      <c r="CU272" s="78">
        <v>2015</v>
      </c>
      <c r="CV272" s="79" t="s">
        <v>38</v>
      </c>
      <c r="CW272" s="15">
        <f t="shared" si="282"/>
        <v>0.68671227943824276</v>
      </c>
      <c r="CX272" s="15">
        <f t="shared" si="283"/>
        <v>0.77646579804560256</v>
      </c>
      <c r="CY272" s="15">
        <f t="shared" si="284"/>
        <v>0.88440763413755852</v>
      </c>
      <c r="CZ272" s="16"/>
      <c r="DA272" s="16"/>
      <c r="DB272" s="16">
        <v>2777</v>
      </c>
      <c r="DC272" s="16">
        <f t="shared" si="285"/>
        <v>321</v>
      </c>
      <c r="DD272" s="16">
        <v>2456</v>
      </c>
      <c r="DE272" s="16">
        <v>1907</v>
      </c>
      <c r="DF272" s="16">
        <f t="shared" si="286"/>
        <v>549</v>
      </c>
      <c r="DG272" s="16"/>
      <c r="DH272" s="16"/>
      <c r="DI272" s="78">
        <v>2015</v>
      </c>
      <c r="DJ272" s="79" t="s">
        <v>38</v>
      </c>
      <c r="DK272" s="15">
        <f t="shared" si="287"/>
        <v>0.83259423503325947</v>
      </c>
      <c r="DL272" s="15">
        <f t="shared" si="288"/>
        <v>0.93757802746566787</v>
      </c>
      <c r="DM272" s="15">
        <f t="shared" si="289"/>
        <v>0.88802660753880269</v>
      </c>
      <c r="DN272" s="16"/>
      <c r="DO272" s="16"/>
      <c r="DP272" s="16">
        <v>902</v>
      </c>
      <c r="DQ272" s="16">
        <f t="shared" si="304"/>
        <v>101</v>
      </c>
      <c r="DR272" s="16">
        <v>801</v>
      </c>
      <c r="DS272" s="16">
        <v>751</v>
      </c>
      <c r="DT272" s="16">
        <f t="shared" si="305"/>
        <v>50</v>
      </c>
      <c r="DU272" s="16"/>
      <c r="DV272" s="16"/>
      <c r="DW272" s="78">
        <v>2015</v>
      </c>
      <c r="DX272" s="79" t="s">
        <v>38</v>
      </c>
      <c r="DY272" s="15">
        <f t="shared" si="290"/>
        <v>0.89578544061302678</v>
      </c>
      <c r="DZ272" s="15">
        <f t="shared" si="291"/>
        <v>0.96691480562448306</v>
      </c>
      <c r="EA272" s="15">
        <f t="shared" si="292"/>
        <v>0.9264367816091954</v>
      </c>
      <c r="EB272" s="16"/>
      <c r="EC272" s="16"/>
      <c r="ED272" s="16">
        <v>1305</v>
      </c>
      <c r="EE272" s="16">
        <f t="shared" si="306"/>
        <v>96</v>
      </c>
      <c r="EF272" s="16">
        <v>1209</v>
      </c>
      <c r="EG272" s="16">
        <v>1169</v>
      </c>
      <c r="EH272" s="16">
        <f t="shared" si="307"/>
        <v>40</v>
      </c>
      <c r="EI272" s="16"/>
      <c r="EJ272" s="16"/>
      <c r="EK272" s="78"/>
      <c r="EL272" s="79"/>
      <c r="EM272" s="15"/>
      <c r="EN272" s="15"/>
      <c r="EO272" s="15"/>
      <c r="EP272" s="16"/>
      <c r="EQ272" s="16"/>
      <c r="ER272" s="16"/>
      <c r="ES272" s="16"/>
      <c r="ET272" s="16"/>
      <c r="EU272" s="16"/>
      <c r="EV272" s="16"/>
      <c r="EW272" s="16"/>
      <c r="EX272" s="16"/>
      <c r="EY272" s="78"/>
      <c r="EZ272" s="79"/>
      <c r="FA272" s="15"/>
      <c r="FB272" s="15"/>
      <c r="FC272" s="15"/>
      <c r="FD272" s="16"/>
      <c r="FE272" s="16"/>
      <c r="FF272" s="16"/>
      <c r="FG272" s="16"/>
      <c r="FH272" s="16"/>
      <c r="FI272" s="16"/>
      <c r="FJ272" s="16"/>
      <c r="FK272" s="16"/>
      <c r="FM272" s="78"/>
      <c r="FN272" s="79"/>
      <c r="FO272" s="15"/>
      <c r="FP272" s="15"/>
      <c r="FQ272" s="15"/>
      <c r="FR272" s="16"/>
      <c r="FS272" s="16"/>
      <c r="FT272" s="16"/>
      <c r="FU272" s="16"/>
      <c r="FV272" s="16"/>
      <c r="FW272" s="16"/>
      <c r="FX272" s="16"/>
      <c r="FY272" s="16"/>
      <c r="GA272" s="78"/>
      <c r="GB272" s="79"/>
      <c r="GC272" s="15"/>
      <c r="GD272" s="15"/>
      <c r="GE272" s="15"/>
      <c r="GF272" s="16"/>
      <c r="GG272" s="16"/>
      <c r="GH272" s="16"/>
      <c r="GI272" s="16"/>
      <c r="GJ272" s="16"/>
      <c r="GK272" s="16"/>
      <c r="GL272" s="16"/>
      <c r="GM272" s="16"/>
    </row>
    <row r="273" spans="1:195" s="18" customFormat="1" ht="15" customHeight="1">
      <c r="A273" s="80">
        <v>2015</v>
      </c>
      <c r="B273" s="81" t="s">
        <v>39</v>
      </c>
      <c r="C273" s="15">
        <f t="shared" si="293"/>
        <v>0.78462874511506731</v>
      </c>
      <c r="D273" s="15">
        <f t="shared" si="294"/>
        <v>0.82908924065152556</v>
      </c>
      <c r="E273" s="15">
        <f t="shared" si="295"/>
        <v>0.94637429439861054</v>
      </c>
      <c r="F273" s="16"/>
      <c r="G273" s="33"/>
      <c r="H27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18424</v>
      </c>
      <c r="I273" s="16">
        <f t="shared" si="296"/>
        <v>988</v>
      </c>
      <c r="J27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17436</v>
      </c>
      <c r="K27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14456</v>
      </c>
      <c r="L273" s="16">
        <f t="shared" si="297"/>
        <v>2980</v>
      </c>
      <c r="M273" s="16"/>
      <c r="N273" s="16"/>
      <c r="O273" s="80">
        <v>2015</v>
      </c>
      <c r="P273" s="81" t="s">
        <v>39</v>
      </c>
      <c r="Q273" s="15">
        <f t="shared" si="270"/>
        <v>0.77876937529356505</v>
      </c>
      <c r="R273" s="15">
        <f t="shared" si="271"/>
        <v>0.82303301067262347</v>
      </c>
      <c r="S273" s="15">
        <f t="shared" si="272"/>
        <v>0.94621888210427429</v>
      </c>
      <c r="T273" s="26"/>
      <c r="U273" s="26"/>
      <c r="V273" s="16">
        <v>4258</v>
      </c>
      <c r="W273" s="16">
        <f t="shared" si="308"/>
        <v>229</v>
      </c>
      <c r="X273" s="16">
        <v>4029</v>
      </c>
      <c r="Y273" s="16">
        <v>3316</v>
      </c>
      <c r="Z273" s="16">
        <f t="shared" si="298"/>
        <v>713</v>
      </c>
      <c r="AA273" s="16"/>
      <c r="AB273" s="16"/>
      <c r="AC273" s="80"/>
      <c r="AD273" s="81"/>
      <c r="AE273" s="15"/>
      <c r="AF273" s="15"/>
      <c r="AG273" s="15"/>
      <c r="AH273" s="15"/>
      <c r="AI273" s="15"/>
      <c r="AJ273" s="16"/>
      <c r="AK273" s="16"/>
      <c r="AL273" s="16"/>
      <c r="AM273" s="16"/>
      <c r="AN273" s="16"/>
      <c r="AO273" s="16"/>
      <c r="AP273" s="16"/>
      <c r="AQ273" s="80">
        <v>2015</v>
      </c>
      <c r="AR273" s="81" t="s">
        <v>39</v>
      </c>
      <c r="AS273" s="15">
        <f t="shared" si="273"/>
        <v>0.81467413034786085</v>
      </c>
      <c r="AT273" s="15">
        <f t="shared" si="274"/>
        <v>0.87540279269602583</v>
      </c>
      <c r="AU273" s="15">
        <f t="shared" si="275"/>
        <v>0.93062774890043987</v>
      </c>
      <c r="AV273" s="16"/>
      <c r="AW273" s="16"/>
      <c r="AX273" s="16">
        <v>5002</v>
      </c>
      <c r="AY273" s="16">
        <f t="shared" si="309"/>
        <v>347</v>
      </c>
      <c r="AZ273" s="16">
        <v>4655</v>
      </c>
      <c r="BA273" s="16">
        <v>4075</v>
      </c>
      <c r="BB273" s="16">
        <f t="shared" si="299"/>
        <v>580</v>
      </c>
      <c r="BC273" s="16"/>
      <c r="BD273" s="16"/>
      <c r="BE273" s="80">
        <v>2015</v>
      </c>
      <c r="BF273" s="81" t="s">
        <v>39</v>
      </c>
      <c r="BG273" s="15"/>
      <c r="BH273" s="15"/>
      <c r="BI273" s="15"/>
      <c r="BJ273" s="16"/>
      <c r="BK273" s="16"/>
      <c r="BL273" s="16"/>
      <c r="BM273" s="16"/>
      <c r="BN273" s="16"/>
      <c r="BO273" s="16"/>
      <c r="BP273" s="16"/>
      <c r="BQ273" s="16"/>
      <c r="BR273" s="16"/>
      <c r="BS273" s="80">
        <v>2015</v>
      </c>
      <c r="BT273" s="81" t="s">
        <v>39</v>
      </c>
      <c r="BU273" s="15">
        <f t="shared" si="276"/>
        <v>0.75138376383763839</v>
      </c>
      <c r="BV273" s="15">
        <f t="shared" si="277"/>
        <v>0.77277039848197349</v>
      </c>
      <c r="BW273" s="15">
        <f t="shared" si="278"/>
        <v>0.97232472324723251</v>
      </c>
      <c r="BX273" s="16"/>
      <c r="BY273" s="16"/>
      <c r="BZ273" s="16">
        <v>2168</v>
      </c>
      <c r="CA273" s="16">
        <f t="shared" si="300"/>
        <v>60</v>
      </c>
      <c r="CB273" s="16">
        <v>2108</v>
      </c>
      <c r="CC273" s="16">
        <v>1629</v>
      </c>
      <c r="CD273" s="16">
        <f t="shared" si="301"/>
        <v>479</v>
      </c>
      <c r="CE273" s="16"/>
      <c r="CF273" s="16"/>
      <c r="CG273" s="80">
        <v>2015</v>
      </c>
      <c r="CH273" s="81" t="s">
        <v>39</v>
      </c>
      <c r="CI273" s="15">
        <f t="shared" si="279"/>
        <v>0.7397769516728625</v>
      </c>
      <c r="CJ273" s="15">
        <f t="shared" si="280"/>
        <v>0.78192534381139489</v>
      </c>
      <c r="CK273" s="15">
        <f t="shared" si="281"/>
        <v>0.94609665427509293</v>
      </c>
      <c r="CL273" s="16"/>
      <c r="CM273" s="16"/>
      <c r="CN273" s="16">
        <v>2152</v>
      </c>
      <c r="CO273" s="16">
        <f t="shared" si="302"/>
        <v>116</v>
      </c>
      <c r="CP273" s="16">
        <v>2036</v>
      </c>
      <c r="CQ273" s="16">
        <v>1592</v>
      </c>
      <c r="CR273" s="16">
        <f t="shared" si="303"/>
        <v>444</v>
      </c>
      <c r="CS273" s="16"/>
      <c r="CT273" s="16"/>
      <c r="CU273" s="80">
        <v>2015</v>
      </c>
      <c r="CV273" s="81" t="s">
        <v>39</v>
      </c>
      <c r="CW273" s="15">
        <f t="shared" si="282"/>
        <v>0.69022945965951144</v>
      </c>
      <c r="CX273" s="15">
        <f t="shared" si="283"/>
        <v>0.72483482316362224</v>
      </c>
      <c r="CY273" s="15">
        <f t="shared" si="284"/>
        <v>0.95225758697261287</v>
      </c>
      <c r="CZ273" s="16"/>
      <c r="DA273" s="16"/>
      <c r="DB273" s="16">
        <v>2702</v>
      </c>
      <c r="DC273" s="16">
        <f t="shared" si="285"/>
        <v>129</v>
      </c>
      <c r="DD273" s="16">
        <v>2573</v>
      </c>
      <c r="DE273" s="16">
        <v>1865</v>
      </c>
      <c r="DF273" s="16">
        <f t="shared" si="286"/>
        <v>708</v>
      </c>
      <c r="DG273" s="16"/>
      <c r="DH273" s="16"/>
      <c r="DI273" s="80">
        <v>2015</v>
      </c>
      <c r="DJ273" s="81" t="s">
        <v>39</v>
      </c>
      <c r="DK273" s="15">
        <f t="shared" si="287"/>
        <v>0.89611872146118721</v>
      </c>
      <c r="DL273" s="15">
        <f t="shared" si="288"/>
        <v>0.95731707317073167</v>
      </c>
      <c r="DM273" s="15">
        <f t="shared" si="289"/>
        <v>0.9360730593607306</v>
      </c>
      <c r="DN273" s="16"/>
      <c r="DO273" s="16"/>
      <c r="DP273" s="16">
        <v>876</v>
      </c>
      <c r="DQ273" s="16">
        <f t="shared" si="304"/>
        <v>56</v>
      </c>
      <c r="DR273" s="16">
        <v>820</v>
      </c>
      <c r="DS273" s="16">
        <v>785</v>
      </c>
      <c r="DT273" s="16">
        <f t="shared" si="305"/>
        <v>35</v>
      </c>
      <c r="DU273" s="16"/>
      <c r="DV273" s="16"/>
      <c r="DW273" s="80">
        <v>2015</v>
      </c>
      <c r="DX273" s="81" t="s">
        <v>39</v>
      </c>
      <c r="DY273" s="15">
        <f t="shared" si="290"/>
        <v>0.94312796208530802</v>
      </c>
      <c r="DZ273" s="15">
        <f t="shared" si="291"/>
        <v>0.98271604938271606</v>
      </c>
      <c r="EA273" s="15">
        <f t="shared" si="292"/>
        <v>0.95971563981042651</v>
      </c>
      <c r="EB273" s="16"/>
      <c r="EC273" s="16"/>
      <c r="ED273" s="16">
        <v>1266</v>
      </c>
      <c r="EE273" s="16">
        <f t="shared" si="306"/>
        <v>51</v>
      </c>
      <c r="EF273" s="16">
        <v>1215</v>
      </c>
      <c r="EG273" s="16">
        <v>1194</v>
      </c>
      <c r="EH273" s="16">
        <f t="shared" si="307"/>
        <v>21</v>
      </c>
      <c r="EI273" s="16"/>
      <c r="EJ273" s="16"/>
      <c r="EK273" s="80"/>
      <c r="EL273" s="81"/>
      <c r="EM273" s="15"/>
      <c r="EN273" s="15"/>
      <c r="EO273" s="15"/>
      <c r="EP273" s="16"/>
      <c r="EQ273" s="16"/>
      <c r="ER273" s="16"/>
      <c r="ES273" s="16"/>
      <c r="ET273" s="16"/>
      <c r="EU273" s="16"/>
      <c r="EV273" s="16"/>
      <c r="EW273" s="16"/>
      <c r="EX273" s="16"/>
      <c r="EY273" s="80"/>
      <c r="EZ273" s="81"/>
      <c r="FA273" s="15"/>
      <c r="FB273" s="15"/>
      <c r="FC273" s="15"/>
      <c r="FD273" s="16"/>
      <c r="FE273" s="16"/>
      <c r="FF273" s="16"/>
      <c r="FG273" s="16"/>
      <c r="FH273" s="16"/>
      <c r="FI273" s="16"/>
      <c r="FJ273" s="16"/>
      <c r="FK273" s="16"/>
      <c r="FM273" s="80"/>
      <c r="FN273" s="81"/>
      <c r="FO273" s="15"/>
      <c r="FP273" s="15"/>
      <c r="FQ273" s="15"/>
      <c r="FR273" s="16"/>
      <c r="FS273" s="16"/>
      <c r="FT273" s="16"/>
      <c r="FU273" s="16"/>
      <c r="FV273" s="16"/>
      <c r="FW273" s="16"/>
      <c r="FX273" s="16"/>
      <c r="FY273" s="16"/>
      <c r="GA273" s="80"/>
      <c r="GB273" s="81"/>
      <c r="GC273" s="15"/>
      <c r="GD273" s="15"/>
      <c r="GE273" s="15"/>
      <c r="GF273" s="16"/>
      <c r="GG273" s="16"/>
      <c r="GH273" s="16"/>
      <c r="GI273" s="16"/>
      <c r="GJ273" s="16"/>
      <c r="GK273" s="16"/>
      <c r="GL273" s="16"/>
      <c r="GM273" s="16"/>
    </row>
    <row r="274" spans="1:195" s="18" customFormat="1" ht="15" customHeight="1">
      <c r="A274" s="78">
        <v>2015</v>
      </c>
      <c r="B274" s="79" t="s">
        <v>40</v>
      </c>
      <c r="C274" s="15">
        <f t="shared" si="293"/>
        <v>0.68599085203701737</v>
      </c>
      <c r="D274" s="15">
        <f t="shared" si="294"/>
        <v>0.76000235696187612</v>
      </c>
      <c r="E274" s="15">
        <f t="shared" si="295"/>
        <v>0.90261674289969152</v>
      </c>
      <c r="F274" s="16"/>
      <c r="G274" s="33"/>
      <c r="H27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18802</v>
      </c>
      <c r="I274" s="16">
        <f t="shared" si="296"/>
        <v>1831</v>
      </c>
      <c r="J27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16971</v>
      </c>
      <c r="K27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12898</v>
      </c>
      <c r="L274" s="16">
        <f t="shared" si="297"/>
        <v>4073</v>
      </c>
      <c r="M274" s="16"/>
      <c r="N274" s="16"/>
      <c r="O274" s="78">
        <v>2015</v>
      </c>
      <c r="P274" s="79" t="s">
        <v>40</v>
      </c>
      <c r="Q274" s="15">
        <f t="shared" si="270"/>
        <v>0.73995381062355658</v>
      </c>
      <c r="R274" s="15">
        <f t="shared" si="271"/>
        <v>0.79072063178677199</v>
      </c>
      <c r="S274" s="15">
        <f t="shared" si="272"/>
        <v>0.93579676674364898</v>
      </c>
      <c r="T274" s="26"/>
      <c r="U274" s="26"/>
      <c r="V274" s="16">
        <v>4330</v>
      </c>
      <c r="W274" s="16">
        <f t="shared" si="308"/>
        <v>278</v>
      </c>
      <c r="X274" s="16">
        <v>4052</v>
      </c>
      <c r="Y274" s="16">
        <v>3204</v>
      </c>
      <c r="Z274" s="16">
        <f t="shared" si="298"/>
        <v>848</v>
      </c>
      <c r="AA274" s="16"/>
      <c r="AB274" s="16"/>
      <c r="AC274" s="78"/>
      <c r="AD274" s="79"/>
      <c r="AE274" s="15"/>
      <c r="AF274" s="15"/>
      <c r="AG274" s="15"/>
      <c r="AH274" s="15"/>
      <c r="AI274" s="15"/>
      <c r="AJ274" s="16"/>
      <c r="AK274" s="16"/>
      <c r="AL274" s="16"/>
      <c r="AM274" s="16"/>
      <c r="AN274" s="16"/>
      <c r="AO274" s="16"/>
      <c r="AP274" s="16"/>
      <c r="AQ274" s="78">
        <v>2015</v>
      </c>
      <c r="AR274" s="79" t="s">
        <v>40</v>
      </c>
      <c r="AS274" s="15">
        <f t="shared" si="273"/>
        <v>0.69279493269992087</v>
      </c>
      <c r="AT274" s="15">
        <f t="shared" si="274"/>
        <v>0.78264758497316633</v>
      </c>
      <c r="AU274" s="15">
        <f t="shared" si="275"/>
        <v>0.885193982581156</v>
      </c>
      <c r="AV274" s="16"/>
      <c r="AW274" s="16"/>
      <c r="AX274" s="16">
        <v>5052</v>
      </c>
      <c r="AY274" s="16">
        <f t="shared" si="309"/>
        <v>580</v>
      </c>
      <c r="AZ274" s="16">
        <v>4472</v>
      </c>
      <c r="BA274" s="16">
        <v>3500</v>
      </c>
      <c r="BB274" s="16">
        <f t="shared" si="299"/>
        <v>972</v>
      </c>
      <c r="BC274" s="16"/>
      <c r="BD274" s="16"/>
      <c r="BE274" s="78">
        <v>2015</v>
      </c>
      <c r="BF274" s="79" t="s">
        <v>40</v>
      </c>
      <c r="BG274" s="15"/>
      <c r="BH274" s="15"/>
      <c r="BI274" s="15"/>
      <c r="BJ274" s="16"/>
      <c r="BK274" s="16"/>
      <c r="BL274" s="16"/>
      <c r="BM274" s="16"/>
      <c r="BN274" s="16"/>
      <c r="BO274" s="16"/>
      <c r="BP274" s="16"/>
      <c r="BQ274" s="16"/>
      <c r="BR274" s="16"/>
      <c r="BS274" s="78">
        <v>2015</v>
      </c>
      <c r="BT274" s="79" t="s">
        <v>40</v>
      </c>
      <c r="BU274" s="15">
        <f t="shared" si="276"/>
        <v>0.60832587287376905</v>
      </c>
      <c r="BV274" s="15">
        <f t="shared" si="277"/>
        <v>0.67210682492581597</v>
      </c>
      <c r="BW274" s="15">
        <f t="shared" si="278"/>
        <v>0.90510295434198751</v>
      </c>
      <c r="BX274" s="16"/>
      <c r="BY274" s="16"/>
      <c r="BZ274" s="16">
        <v>2234</v>
      </c>
      <c r="CA274" s="16">
        <f t="shared" si="300"/>
        <v>212</v>
      </c>
      <c r="CB274" s="16">
        <v>2022</v>
      </c>
      <c r="CC274" s="16">
        <v>1359</v>
      </c>
      <c r="CD274" s="16">
        <f t="shared" si="301"/>
        <v>663</v>
      </c>
      <c r="CE274" s="16"/>
      <c r="CF274" s="16"/>
      <c r="CG274" s="78">
        <v>2015</v>
      </c>
      <c r="CH274" s="79" t="s">
        <v>40</v>
      </c>
      <c r="CI274" s="15">
        <f t="shared" si="279"/>
        <v>0.61928474422815749</v>
      </c>
      <c r="CJ274" s="15">
        <f t="shared" si="280"/>
        <v>0.70442842430484032</v>
      </c>
      <c r="CK274" s="15">
        <f t="shared" si="281"/>
        <v>0.87913082842915347</v>
      </c>
      <c r="CL274" s="16"/>
      <c r="CM274" s="16"/>
      <c r="CN274" s="16">
        <v>2209</v>
      </c>
      <c r="CO274" s="16">
        <f t="shared" si="302"/>
        <v>267</v>
      </c>
      <c r="CP274" s="16">
        <v>1942</v>
      </c>
      <c r="CQ274" s="16">
        <v>1368</v>
      </c>
      <c r="CR274" s="16">
        <f t="shared" si="303"/>
        <v>574</v>
      </c>
      <c r="CS274" s="16"/>
      <c r="CT274" s="16"/>
      <c r="CU274" s="78">
        <v>2015</v>
      </c>
      <c r="CV274" s="79" t="s">
        <v>40</v>
      </c>
      <c r="CW274" s="15">
        <f t="shared" si="282"/>
        <v>0.57581227436823101</v>
      </c>
      <c r="CX274" s="15">
        <f t="shared" si="283"/>
        <v>0.6473214285714286</v>
      </c>
      <c r="CY274" s="15">
        <f t="shared" si="284"/>
        <v>0.8895306859205776</v>
      </c>
      <c r="CZ274" s="16"/>
      <c r="DA274" s="16"/>
      <c r="DB274" s="16">
        <v>2770</v>
      </c>
      <c r="DC274" s="16">
        <f t="shared" si="285"/>
        <v>306</v>
      </c>
      <c r="DD274" s="16">
        <v>2464</v>
      </c>
      <c r="DE274" s="16">
        <v>1595</v>
      </c>
      <c r="DF274" s="16">
        <f t="shared" si="286"/>
        <v>869</v>
      </c>
      <c r="DG274" s="16"/>
      <c r="DH274" s="16"/>
      <c r="DI274" s="78">
        <v>2015</v>
      </c>
      <c r="DJ274" s="79" t="s">
        <v>40</v>
      </c>
      <c r="DK274" s="15">
        <f t="shared" si="287"/>
        <v>0.79933481152993346</v>
      </c>
      <c r="DL274" s="15">
        <f t="shared" si="288"/>
        <v>0.90577889447236182</v>
      </c>
      <c r="DM274" s="15">
        <f t="shared" si="289"/>
        <v>0.8824833702882483</v>
      </c>
      <c r="DN274" s="16"/>
      <c r="DO274" s="16"/>
      <c r="DP274" s="16">
        <v>902</v>
      </c>
      <c r="DQ274" s="16">
        <f t="shared" si="304"/>
        <v>106</v>
      </c>
      <c r="DR274" s="16">
        <v>796</v>
      </c>
      <c r="DS274" s="16">
        <v>721</v>
      </c>
      <c r="DT274" s="16">
        <f t="shared" si="305"/>
        <v>75</v>
      </c>
      <c r="DU274" s="16"/>
      <c r="DV274" s="16"/>
      <c r="DW274" s="78">
        <v>2015</v>
      </c>
      <c r="DX274" s="79" t="s">
        <v>40</v>
      </c>
      <c r="DY274" s="15">
        <f t="shared" si="290"/>
        <v>0.88199233716475101</v>
      </c>
      <c r="DZ274" s="15">
        <f t="shared" si="291"/>
        <v>0.9411283728536386</v>
      </c>
      <c r="EA274" s="15">
        <f t="shared" si="292"/>
        <v>0.93716475095785445</v>
      </c>
      <c r="EB274" s="16"/>
      <c r="EC274" s="16"/>
      <c r="ED274" s="16">
        <v>1305</v>
      </c>
      <c r="EE274" s="16">
        <f t="shared" si="306"/>
        <v>82</v>
      </c>
      <c r="EF274" s="16">
        <v>1223</v>
      </c>
      <c r="EG274" s="16">
        <v>1151</v>
      </c>
      <c r="EH274" s="16">
        <f t="shared" si="307"/>
        <v>72</v>
      </c>
      <c r="EI274" s="16"/>
      <c r="EJ274" s="16"/>
      <c r="EK274" s="78"/>
      <c r="EL274" s="79"/>
      <c r="EM274" s="15"/>
      <c r="EN274" s="15"/>
      <c r="EO274" s="15"/>
      <c r="EP274" s="16"/>
      <c r="EQ274" s="16"/>
      <c r="ER274" s="16"/>
      <c r="ES274" s="16"/>
      <c r="ET274" s="16"/>
      <c r="EU274" s="16"/>
      <c r="EV274" s="16"/>
      <c r="EW274" s="16"/>
      <c r="EX274" s="16"/>
      <c r="EY274" s="78"/>
      <c r="EZ274" s="79"/>
      <c r="FA274" s="15"/>
      <c r="FB274" s="15"/>
      <c r="FC274" s="15"/>
      <c r="FD274" s="16"/>
      <c r="FE274" s="16"/>
      <c r="FF274" s="16"/>
      <c r="FG274" s="16"/>
      <c r="FH274" s="16"/>
      <c r="FI274" s="16"/>
      <c r="FJ274" s="16"/>
      <c r="FK274" s="16"/>
      <c r="FM274" s="78"/>
      <c r="FN274" s="79"/>
      <c r="FO274" s="15"/>
      <c r="FP274" s="15"/>
      <c r="FQ274" s="15"/>
      <c r="FR274" s="16"/>
      <c r="FS274" s="16"/>
      <c r="FT274" s="16"/>
      <c r="FU274" s="16"/>
      <c r="FV274" s="16"/>
      <c r="FW274" s="16"/>
      <c r="FX274" s="16"/>
      <c r="FY274" s="16"/>
      <c r="GA274" s="78"/>
      <c r="GB274" s="79"/>
      <c r="GC274" s="15"/>
      <c r="GD274" s="15"/>
      <c r="GE274" s="15"/>
      <c r="GF274" s="16"/>
      <c r="GG274" s="16"/>
      <c r="GH274" s="16"/>
      <c r="GI274" s="16"/>
      <c r="GJ274" s="16"/>
      <c r="GK274" s="16"/>
      <c r="GL274" s="16"/>
      <c r="GM274" s="16"/>
    </row>
    <row r="275" spans="1:195" s="18" customFormat="1" ht="15" customHeight="1">
      <c r="A275" s="80">
        <v>2015</v>
      </c>
      <c r="B275" s="81" t="s">
        <v>41</v>
      </c>
      <c r="C275" s="15">
        <f t="shared" si="293"/>
        <v>0.5241810506065302</v>
      </c>
      <c r="D275" s="15">
        <f t="shared" si="294"/>
        <v>0.62991266375545851</v>
      </c>
      <c r="E275" s="15">
        <f t="shared" si="295"/>
        <v>0.83214877357986428</v>
      </c>
      <c r="F275" s="16"/>
      <c r="G275" s="33"/>
      <c r="H27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18713</v>
      </c>
      <c r="I275" s="16">
        <f t="shared" si="296"/>
        <v>3141</v>
      </c>
      <c r="J27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15572</v>
      </c>
      <c r="K27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9809</v>
      </c>
      <c r="L275" s="16">
        <f t="shared" si="297"/>
        <v>5763</v>
      </c>
      <c r="M275" s="16"/>
      <c r="N275" s="16"/>
      <c r="O275" s="80">
        <v>2015</v>
      </c>
      <c r="P275" s="81" t="s">
        <v>41</v>
      </c>
      <c r="Q275" s="15">
        <f t="shared" si="270"/>
        <v>0.59507366482504609</v>
      </c>
      <c r="R275" s="15">
        <f t="shared" si="271"/>
        <v>0.67282665278500786</v>
      </c>
      <c r="S275" s="15">
        <f t="shared" si="272"/>
        <v>0.88443830570902393</v>
      </c>
      <c r="T275" s="26"/>
      <c r="U275" s="26"/>
      <c r="V275" s="16">
        <v>4344</v>
      </c>
      <c r="W275" s="16">
        <f t="shared" si="308"/>
        <v>502</v>
      </c>
      <c r="X275" s="16">
        <v>3842</v>
      </c>
      <c r="Y275" s="16">
        <v>2585</v>
      </c>
      <c r="Z275" s="16">
        <f t="shared" si="298"/>
        <v>1257</v>
      </c>
      <c r="AA275" s="16"/>
      <c r="AB275" s="16"/>
      <c r="AC275" s="80"/>
      <c r="AD275" s="81"/>
      <c r="AE275" s="15"/>
      <c r="AF275" s="15"/>
      <c r="AG275" s="15"/>
      <c r="AH275" s="15"/>
      <c r="AI275" s="15"/>
      <c r="AJ275" s="16"/>
      <c r="AK275" s="16"/>
      <c r="AL275" s="16"/>
      <c r="AM275" s="16"/>
      <c r="AN275" s="16"/>
      <c r="AO275" s="16"/>
      <c r="AP275" s="16"/>
      <c r="AQ275" s="80">
        <v>2015</v>
      </c>
      <c r="AR275" s="81" t="s">
        <v>41</v>
      </c>
      <c r="AS275" s="15">
        <f t="shared" si="273"/>
        <v>0.52604976671850701</v>
      </c>
      <c r="AT275" s="15">
        <f t="shared" si="274"/>
        <v>0.65079365079365081</v>
      </c>
      <c r="AU275" s="15">
        <f t="shared" si="275"/>
        <v>0.80832037325038886</v>
      </c>
      <c r="AV275" s="16"/>
      <c r="AW275" s="16"/>
      <c r="AX275" s="16">
        <v>5144</v>
      </c>
      <c r="AY275" s="16">
        <f t="shared" si="309"/>
        <v>986</v>
      </c>
      <c r="AZ275" s="16">
        <v>4158</v>
      </c>
      <c r="BA275" s="16">
        <v>2706</v>
      </c>
      <c r="BB275" s="16">
        <f t="shared" si="299"/>
        <v>1452</v>
      </c>
      <c r="BC275" s="16"/>
      <c r="BD275" s="16"/>
      <c r="BE275" s="80">
        <v>2015</v>
      </c>
      <c r="BF275" s="81" t="s">
        <v>41</v>
      </c>
      <c r="BG275" s="15"/>
      <c r="BH275" s="15"/>
      <c r="BI275" s="15"/>
      <c r="BJ275" s="16"/>
      <c r="BK275" s="16"/>
      <c r="BL275" s="16"/>
      <c r="BM275" s="16"/>
      <c r="BN275" s="16"/>
      <c r="BO275" s="16"/>
      <c r="BP275" s="16"/>
      <c r="BQ275" s="16"/>
      <c r="BR275" s="16"/>
      <c r="BS275" s="80">
        <v>2015</v>
      </c>
      <c r="BT275" s="81" t="s">
        <v>41</v>
      </c>
      <c r="BU275" s="15">
        <f t="shared" si="276"/>
        <v>0.40625</v>
      </c>
      <c r="BV275" s="15">
        <f t="shared" si="277"/>
        <v>0.45993756503642041</v>
      </c>
      <c r="BW275" s="15">
        <f t="shared" si="278"/>
        <v>0.88327205882352944</v>
      </c>
      <c r="BX275" s="16"/>
      <c r="BY275" s="16"/>
      <c r="BZ275" s="16">
        <v>2176</v>
      </c>
      <c r="CA275" s="16">
        <f t="shared" si="300"/>
        <v>254</v>
      </c>
      <c r="CB275" s="16">
        <v>1922</v>
      </c>
      <c r="CC275" s="16">
        <v>884</v>
      </c>
      <c r="CD275" s="16">
        <f t="shared" si="301"/>
        <v>1038</v>
      </c>
      <c r="CE275" s="16"/>
      <c r="CF275" s="16"/>
      <c r="CG275" s="80">
        <v>2015</v>
      </c>
      <c r="CH275" s="81" t="s">
        <v>41</v>
      </c>
      <c r="CI275" s="15">
        <f t="shared" si="279"/>
        <v>0.43364055299539173</v>
      </c>
      <c r="CJ275" s="15">
        <f t="shared" si="280"/>
        <v>0.54361640670132871</v>
      </c>
      <c r="CK275" s="15">
        <f t="shared" si="281"/>
        <v>0.79769585253456221</v>
      </c>
      <c r="CL275" s="16"/>
      <c r="CM275" s="16"/>
      <c r="CN275" s="16">
        <v>2170</v>
      </c>
      <c r="CO275" s="16">
        <f t="shared" si="302"/>
        <v>439</v>
      </c>
      <c r="CP275" s="16">
        <v>1731</v>
      </c>
      <c r="CQ275" s="16">
        <v>941</v>
      </c>
      <c r="CR275" s="16">
        <f t="shared" si="303"/>
        <v>790</v>
      </c>
      <c r="CS275" s="16"/>
      <c r="CT275" s="16"/>
      <c r="CU275" s="80">
        <v>2015</v>
      </c>
      <c r="CV275" s="81" t="s">
        <v>41</v>
      </c>
      <c r="CW275" s="15">
        <f t="shared" si="282"/>
        <v>0.43679003297911323</v>
      </c>
      <c r="CX275" s="15">
        <f t="shared" si="283"/>
        <v>0.52860310421286028</v>
      </c>
      <c r="CY275" s="15">
        <f t="shared" si="284"/>
        <v>0.82631000366434593</v>
      </c>
      <c r="CZ275" s="16"/>
      <c r="DA275" s="16"/>
      <c r="DB275" s="16">
        <v>2729</v>
      </c>
      <c r="DC275" s="16">
        <f t="shared" si="285"/>
        <v>474</v>
      </c>
      <c r="DD275" s="16">
        <v>2255</v>
      </c>
      <c r="DE275" s="16">
        <v>1192</v>
      </c>
      <c r="DF275" s="16">
        <f t="shared" si="286"/>
        <v>1063</v>
      </c>
      <c r="DG275" s="16"/>
      <c r="DH275" s="16"/>
      <c r="DI275" s="80">
        <v>2015</v>
      </c>
      <c r="DJ275" s="81" t="s">
        <v>41</v>
      </c>
      <c r="DK275" s="15">
        <f t="shared" si="287"/>
        <v>0.56931818181818183</v>
      </c>
      <c r="DL275" s="15">
        <f t="shared" si="288"/>
        <v>0.85059422750424452</v>
      </c>
      <c r="DM275" s="15">
        <f t="shared" si="289"/>
        <v>0.66931818181818181</v>
      </c>
      <c r="DN275" s="16"/>
      <c r="DO275" s="16"/>
      <c r="DP275" s="16">
        <v>880</v>
      </c>
      <c r="DQ275" s="16">
        <f t="shared" si="304"/>
        <v>291</v>
      </c>
      <c r="DR275" s="16">
        <v>589</v>
      </c>
      <c r="DS275" s="16">
        <v>501</v>
      </c>
      <c r="DT275" s="16">
        <f t="shared" si="305"/>
        <v>88</v>
      </c>
      <c r="DU275" s="16"/>
      <c r="DV275" s="16"/>
      <c r="DW275" s="80">
        <v>2015</v>
      </c>
      <c r="DX275" s="81" t="s">
        <v>41</v>
      </c>
      <c r="DY275" s="15">
        <f t="shared" si="290"/>
        <v>0.78740157480314965</v>
      </c>
      <c r="DZ275" s="15">
        <f t="shared" si="291"/>
        <v>0.93023255813953487</v>
      </c>
      <c r="EA275" s="15">
        <f t="shared" si="292"/>
        <v>0.84645669291338588</v>
      </c>
      <c r="EB275" s="16"/>
      <c r="EC275" s="16"/>
      <c r="ED275" s="16">
        <v>1270</v>
      </c>
      <c r="EE275" s="16">
        <f t="shared" si="306"/>
        <v>195</v>
      </c>
      <c r="EF275" s="16">
        <v>1075</v>
      </c>
      <c r="EG275" s="16">
        <v>1000</v>
      </c>
      <c r="EH275" s="16">
        <f t="shared" si="307"/>
        <v>75</v>
      </c>
      <c r="EI275" s="16"/>
      <c r="EJ275" s="16"/>
      <c r="EK275" s="80"/>
      <c r="EL275" s="81"/>
      <c r="EM275" s="15"/>
      <c r="EN275" s="15"/>
      <c r="EO275" s="15"/>
      <c r="EP275" s="16"/>
      <c r="EQ275" s="16"/>
      <c r="ER275" s="16"/>
      <c r="ES275" s="16"/>
      <c r="ET275" s="16"/>
      <c r="EU275" s="16"/>
      <c r="EV275" s="16"/>
      <c r="EW275" s="16"/>
      <c r="EX275" s="16"/>
      <c r="EY275" s="80"/>
      <c r="EZ275" s="81"/>
      <c r="FA275" s="15"/>
      <c r="FB275" s="15"/>
      <c r="FC275" s="15"/>
      <c r="FD275" s="16"/>
      <c r="FE275" s="16"/>
      <c r="FF275" s="16"/>
      <c r="FG275" s="16"/>
      <c r="FH275" s="16"/>
      <c r="FI275" s="16"/>
      <c r="FJ275" s="16"/>
      <c r="FK275" s="16"/>
      <c r="FM275" s="80"/>
      <c r="FN275" s="81"/>
      <c r="FO275" s="15"/>
      <c r="FP275" s="15"/>
      <c r="FQ275" s="15"/>
      <c r="FR275" s="16"/>
      <c r="FS275" s="16"/>
      <c r="FT275" s="16"/>
      <c r="FU275" s="16"/>
      <c r="FV275" s="16"/>
      <c r="FW275" s="16"/>
      <c r="FX275" s="16"/>
      <c r="FY275" s="16"/>
      <c r="GA275" s="80"/>
      <c r="GB275" s="81"/>
      <c r="GC275" s="15"/>
      <c r="GD275" s="15"/>
      <c r="GE275" s="15"/>
      <c r="GF275" s="16"/>
      <c r="GG275" s="16"/>
      <c r="GH275" s="16"/>
      <c r="GI275" s="16"/>
      <c r="GJ275" s="16"/>
      <c r="GK275" s="16"/>
      <c r="GL275" s="16"/>
      <c r="GM275" s="16"/>
    </row>
    <row r="276" spans="1:195" s="18" customFormat="1" ht="15" customHeight="1">
      <c r="A276" s="78">
        <v>2015</v>
      </c>
      <c r="B276" s="79" t="s">
        <v>42</v>
      </c>
      <c r="C276" s="15">
        <f t="shared" si="293"/>
        <v>0.6285446565073729</v>
      </c>
      <c r="D276" s="15">
        <f t="shared" si="294"/>
        <v>0.70601595391092398</v>
      </c>
      <c r="E276" s="15">
        <f t="shared" si="295"/>
        <v>0.89026976377176115</v>
      </c>
      <c r="F276" s="16"/>
      <c r="G276" s="33"/>
      <c r="H27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20277</v>
      </c>
      <c r="I276" s="16">
        <f t="shared" si="296"/>
        <v>2225</v>
      </c>
      <c r="J27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18052</v>
      </c>
      <c r="K27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12745</v>
      </c>
      <c r="L276" s="16">
        <f t="shared" si="297"/>
        <v>5307</v>
      </c>
      <c r="M276" s="16"/>
      <c r="N276" s="16"/>
      <c r="O276" s="78">
        <v>2015</v>
      </c>
      <c r="P276" s="79" t="s">
        <v>42</v>
      </c>
      <c r="Q276" s="15">
        <f t="shared" si="270"/>
        <v>0.71014492753623193</v>
      </c>
      <c r="R276" s="15">
        <f t="shared" si="271"/>
        <v>0.75366777094178894</v>
      </c>
      <c r="S276" s="15">
        <f t="shared" si="272"/>
        <v>0.94225195094760317</v>
      </c>
      <c r="T276" s="26"/>
      <c r="U276" s="26"/>
      <c r="V276" s="16">
        <v>4485</v>
      </c>
      <c r="W276" s="16">
        <f t="shared" si="308"/>
        <v>259</v>
      </c>
      <c r="X276" s="16">
        <v>4226</v>
      </c>
      <c r="Y276" s="16">
        <v>3185</v>
      </c>
      <c r="Z276" s="16">
        <f t="shared" si="298"/>
        <v>1041</v>
      </c>
      <c r="AA276" s="16"/>
      <c r="AB276" s="16"/>
      <c r="AC276" s="78"/>
      <c r="AD276" s="79"/>
      <c r="AE276" s="15"/>
      <c r="AF276" s="15"/>
      <c r="AG276" s="15"/>
      <c r="AH276" s="15"/>
      <c r="AI276" s="15"/>
      <c r="AJ276" s="16"/>
      <c r="AK276" s="16"/>
      <c r="AL276" s="16"/>
      <c r="AM276" s="16"/>
      <c r="AN276" s="16"/>
      <c r="AO276" s="16"/>
      <c r="AP276" s="16"/>
      <c r="AQ276" s="78">
        <v>2015</v>
      </c>
      <c r="AR276" s="79" t="s">
        <v>42</v>
      </c>
      <c r="AS276" s="15">
        <f t="shared" si="273"/>
        <v>0.72301002079788235</v>
      </c>
      <c r="AT276" s="15">
        <f t="shared" si="274"/>
        <v>0.80454449821165575</v>
      </c>
      <c r="AU276" s="15">
        <f t="shared" si="275"/>
        <v>0.89865759122707511</v>
      </c>
      <c r="AV276" s="16"/>
      <c r="AW276" s="16"/>
      <c r="AX276" s="16">
        <v>5289</v>
      </c>
      <c r="AY276" s="16">
        <f t="shared" si="309"/>
        <v>536</v>
      </c>
      <c r="AZ276" s="16">
        <v>4753</v>
      </c>
      <c r="BA276" s="16">
        <v>3824</v>
      </c>
      <c r="BB276" s="16">
        <f t="shared" si="299"/>
        <v>929</v>
      </c>
      <c r="BC276" s="16"/>
      <c r="BD276" s="16"/>
      <c r="BE276" s="78">
        <v>2015</v>
      </c>
      <c r="BF276" s="79" t="s">
        <v>42</v>
      </c>
      <c r="BG276" s="15">
        <f t="shared" ref="BG276:BG325" si="310">BO276/BL276</f>
        <v>0.43666323377960864</v>
      </c>
      <c r="BH276" s="15">
        <f t="shared" ref="BH276:BH325" si="311">BO276/BN276</f>
        <v>0.44166666666666665</v>
      </c>
      <c r="BI276" s="15">
        <f t="shared" ref="BI276:BI325" si="312">BN276/BL276</f>
        <v>0.98867147270854794</v>
      </c>
      <c r="BJ276" s="16"/>
      <c r="BK276" s="16"/>
      <c r="BL276" s="16">
        <v>971</v>
      </c>
      <c r="BM276" s="16">
        <f t="shared" ref="BM276:BM281" si="313">BL276-BN276</f>
        <v>11</v>
      </c>
      <c r="BN276" s="16">
        <v>960</v>
      </c>
      <c r="BO276" s="16">
        <v>424</v>
      </c>
      <c r="BP276" s="16">
        <f t="shared" ref="BP276:BP281" si="314">BN276-BO276</f>
        <v>536</v>
      </c>
      <c r="BQ276" s="16"/>
      <c r="BR276" s="16"/>
      <c r="BS276" s="78">
        <v>2015</v>
      </c>
      <c r="BT276" s="79" t="s">
        <v>42</v>
      </c>
      <c r="BU276" s="15">
        <f t="shared" si="276"/>
        <v>0.45603907637655416</v>
      </c>
      <c r="BV276" s="15">
        <f t="shared" si="277"/>
        <v>0.50866765725606733</v>
      </c>
      <c r="BW276" s="15">
        <f t="shared" si="278"/>
        <v>0.89653641207815271</v>
      </c>
      <c r="BX276" s="16"/>
      <c r="BY276" s="16"/>
      <c r="BZ276" s="16">
        <v>2252</v>
      </c>
      <c r="CA276" s="16">
        <f t="shared" si="300"/>
        <v>233</v>
      </c>
      <c r="CB276" s="16">
        <v>2019</v>
      </c>
      <c r="CC276" s="16">
        <v>1027</v>
      </c>
      <c r="CD276" s="16">
        <f t="shared" si="301"/>
        <v>992</v>
      </c>
      <c r="CE276" s="16"/>
      <c r="CF276" s="16"/>
      <c r="CG276" s="78">
        <v>2015</v>
      </c>
      <c r="CH276" s="79" t="s">
        <v>42</v>
      </c>
      <c r="CI276" s="15">
        <f t="shared" si="279"/>
        <v>0.50401785714285718</v>
      </c>
      <c r="CJ276" s="15">
        <f t="shared" si="280"/>
        <v>0.59703860391327335</v>
      </c>
      <c r="CK276" s="15">
        <f t="shared" si="281"/>
        <v>0.84419642857142863</v>
      </c>
      <c r="CL276" s="16"/>
      <c r="CM276" s="16"/>
      <c r="CN276" s="16">
        <v>2240</v>
      </c>
      <c r="CO276" s="16">
        <f t="shared" si="302"/>
        <v>349</v>
      </c>
      <c r="CP276" s="16">
        <v>1891</v>
      </c>
      <c r="CQ276" s="16">
        <v>1129</v>
      </c>
      <c r="CR276" s="16">
        <f t="shared" si="303"/>
        <v>762</v>
      </c>
      <c r="CS276" s="16"/>
      <c r="CT276" s="16"/>
      <c r="CU276" s="78">
        <v>2015</v>
      </c>
      <c r="CV276" s="79" t="s">
        <v>42</v>
      </c>
      <c r="CW276" s="15">
        <f t="shared" si="282"/>
        <v>0.49769258075967343</v>
      </c>
      <c r="CX276" s="15">
        <f t="shared" si="283"/>
        <v>0.60824295010845986</v>
      </c>
      <c r="CY276" s="15">
        <f t="shared" si="284"/>
        <v>0.81824636137735174</v>
      </c>
      <c r="CZ276" s="16"/>
      <c r="DA276" s="16"/>
      <c r="DB276" s="16">
        <v>2817</v>
      </c>
      <c r="DC276" s="16">
        <f t="shared" si="285"/>
        <v>512</v>
      </c>
      <c r="DD276" s="16">
        <v>2305</v>
      </c>
      <c r="DE276" s="16">
        <v>1402</v>
      </c>
      <c r="DF276" s="16">
        <f t="shared" si="286"/>
        <v>903</v>
      </c>
      <c r="DG276" s="16"/>
      <c r="DH276" s="16"/>
      <c r="DI276" s="78">
        <v>2015</v>
      </c>
      <c r="DJ276" s="79" t="s">
        <v>42</v>
      </c>
      <c r="DK276" s="15">
        <f t="shared" si="287"/>
        <v>0.80219780219780223</v>
      </c>
      <c r="DL276" s="15">
        <f t="shared" si="288"/>
        <v>0.91593475533249691</v>
      </c>
      <c r="DM276" s="15">
        <f t="shared" si="289"/>
        <v>0.87582417582417582</v>
      </c>
      <c r="DN276" s="16"/>
      <c r="DO276" s="16"/>
      <c r="DP276" s="16">
        <v>910</v>
      </c>
      <c r="DQ276" s="16">
        <f t="shared" si="304"/>
        <v>113</v>
      </c>
      <c r="DR276" s="16">
        <v>797</v>
      </c>
      <c r="DS276" s="16">
        <v>730</v>
      </c>
      <c r="DT276" s="16">
        <f t="shared" si="305"/>
        <v>67</v>
      </c>
      <c r="DU276" s="16"/>
      <c r="DV276" s="16"/>
      <c r="DW276" s="78">
        <v>2015</v>
      </c>
      <c r="DX276" s="79" t="s">
        <v>42</v>
      </c>
      <c r="DY276" s="15">
        <f t="shared" si="290"/>
        <v>0.77989337395277991</v>
      </c>
      <c r="DZ276" s="15">
        <f t="shared" si="291"/>
        <v>0.93006357856494093</v>
      </c>
      <c r="EA276" s="15">
        <f t="shared" si="292"/>
        <v>0.83853769992383853</v>
      </c>
      <c r="EB276" s="16"/>
      <c r="EC276" s="16"/>
      <c r="ED276" s="16">
        <v>1313</v>
      </c>
      <c r="EE276" s="16">
        <f t="shared" si="306"/>
        <v>212</v>
      </c>
      <c r="EF276" s="16">
        <v>1101</v>
      </c>
      <c r="EG276" s="16">
        <v>1024</v>
      </c>
      <c r="EH276" s="16">
        <f t="shared" si="307"/>
        <v>77</v>
      </c>
      <c r="EI276" s="16"/>
      <c r="EJ276" s="16"/>
      <c r="EK276" s="78"/>
      <c r="EL276" s="79"/>
      <c r="EM276" s="15"/>
      <c r="EN276" s="15"/>
      <c r="EO276" s="15"/>
      <c r="EP276" s="16"/>
      <c r="EQ276" s="16"/>
      <c r="ER276" s="16"/>
      <c r="ES276" s="16"/>
      <c r="ET276" s="16"/>
      <c r="EU276" s="16"/>
      <c r="EV276" s="16"/>
      <c r="EW276" s="16"/>
      <c r="EX276" s="16"/>
      <c r="EY276" s="78"/>
      <c r="EZ276" s="79"/>
      <c r="FA276" s="15"/>
      <c r="FB276" s="15"/>
      <c r="FC276" s="15"/>
      <c r="FD276" s="16"/>
      <c r="FE276" s="16"/>
      <c r="FF276" s="16"/>
      <c r="FG276" s="16"/>
      <c r="FH276" s="16"/>
      <c r="FI276" s="16"/>
      <c r="FJ276" s="16"/>
      <c r="FK276" s="16"/>
      <c r="FM276" s="78"/>
      <c r="FN276" s="79"/>
      <c r="FO276" s="15"/>
      <c r="FP276" s="15"/>
      <c r="FQ276" s="15"/>
      <c r="FR276" s="16"/>
      <c r="FS276" s="16"/>
      <c r="FT276" s="16"/>
      <c r="FU276" s="16"/>
      <c r="FV276" s="16"/>
      <c r="FW276" s="16"/>
      <c r="FX276" s="16"/>
      <c r="FY276" s="16"/>
      <c r="GA276" s="78"/>
      <c r="GB276" s="79"/>
      <c r="GC276" s="15"/>
      <c r="GD276" s="15"/>
      <c r="GE276" s="15"/>
      <c r="GF276" s="16"/>
      <c r="GG276" s="16"/>
      <c r="GH276" s="16"/>
      <c r="GI276" s="16"/>
      <c r="GJ276" s="16"/>
      <c r="GK276" s="16"/>
      <c r="GL276" s="16"/>
      <c r="GM276" s="16"/>
    </row>
    <row r="277" spans="1:195" s="18" customFormat="1" ht="15" customHeight="1">
      <c r="A277" s="80">
        <v>2015</v>
      </c>
      <c r="B277" s="81" t="s">
        <v>43</v>
      </c>
      <c r="C277" s="15">
        <f t="shared" si="293"/>
        <v>0.69003323907327474</v>
      </c>
      <c r="D277" s="15">
        <f t="shared" si="294"/>
        <v>0.75893490478528947</v>
      </c>
      <c r="E277" s="15">
        <f t="shared" si="295"/>
        <v>0.90921268045840153</v>
      </c>
      <c r="F277" s="16"/>
      <c r="G277" s="33"/>
      <c r="H27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20157</v>
      </c>
      <c r="I277" s="16">
        <f t="shared" si="296"/>
        <v>1830</v>
      </c>
      <c r="J27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18327</v>
      </c>
      <c r="K27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13909</v>
      </c>
      <c r="L277" s="16">
        <f t="shared" si="297"/>
        <v>4418</v>
      </c>
      <c r="M277" s="16"/>
      <c r="N277" s="16"/>
      <c r="O277" s="80">
        <v>2015</v>
      </c>
      <c r="P277" s="81" t="s">
        <v>43</v>
      </c>
      <c r="Q277" s="15">
        <f t="shared" si="270"/>
        <v>0.76125511596180084</v>
      </c>
      <c r="R277" s="15">
        <f t="shared" si="271"/>
        <v>0.80038250059765714</v>
      </c>
      <c r="S277" s="15">
        <f t="shared" si="272"/>
        <v>0.95111414279217821</v>
      </c>
      <c r="T277" s="26"/>
      <c r="U277" s="26"/>
      <c r="V277" s="16">
        <v>4398</v>
      </c>
      <c r="W277" s="16">
        <f t="shared" si="308"/>
        <v>215</v>
      </c>
      <c r="X277" s="16">
        <v>4183</v>
      </c>
      <c r="Y277" s="16">
        <v>3348</v>
      </c>
      <c r="Z277" s="16">
        <f t="shared" si="298"/>
        <v>835</v>
      </c>
      <c r="AA277" s="16"/>
      <c r="AB277" s="16"/>
      <c r="AC277" s="80"/>
      <c r="AD277" s="81"/>
      <c r="AE277" s="15"/>
      <c r="AF277" s="15"/>
      <c r="AG277" s="15"/>
      <c r="AH277" s="15"/>
      <c r="AI277" s="15"/>
      <c r="AJ277" s="16"/>
      <c r="AK277" s="16"/>
      <c r="AL277" s="16"/>
      <c r="AM277" s="16"/>
      <c r="AN277" s="16"/>
      <c r="AO277" s="16"/>
      <c r="AP277" s="16"/>
      <c r="AQ277" s="80">
        <v>2015</v>
      </c>
      <c r="AR277" s="81" t="s">
        <v>43</v>
      </c>
      <c r="AS277" s="15">
        <f t="shared" si="273"/>
        <v>0.76515597410241321</v>
      </c>
      <c r="AT277" s="15">
        <f t="shared" si="274"/>
        <v>0.85227272727272729</v>
      </c>
      <c r="AU277" s="15">
        <f t="shared" si="275"/>
        <v>0.89778300961349811</v>
      </c>
      <c r="AV277" s="16"/>
      <c r="AW277" s="16"/>
      <c r="AX277" s="16">
        <v>5097</v>
      </c>
      <c r="AY277" s="16">
        <f t="shared" si="309"/>
        <v>521</v>
      </c>
      <c r="AZ277" s="16">
        <v>4576</v>
      </c>
      <c r="BA277" s="16">
        <v>3900</v>
      </c>
      <c r="BB277" s="16">
        <f t="shared" si="299"/>
        <v>676</v>
      </c>
      <c r="BC277" s="16"/>
      <c r="BD277" s="16"/>
      <c r="BE277" s="80">
        <v>2015</v>
      </c>
      <c r="BF277" s="81" t="s">
        <v>43</v>
      </c>
      <c r="BG277" s="15">
        <f t="shared" si="310"/>
        <v>0.54945968412302582</v>
      </c>
      <c r="BH277" s="15">
        <f t="shared" si="311"/>
        <v>0.55922165820642977</v>
      </c>
      <c r="BI277" s="15">
        <f t="shared" si="312"/>
        <v>0.98254364089775559</v>
      </c>
      <c r="BJ277" s="16"/>
      <c r="BK277" s="16"/>
      <c r="BL277" s="16">
        <v>1203</v>
      </c>
      <c r="BM277" s="16">
        <f t="shared" si="313"/>
        <v>21</v>
      </c>
      <c r="BN277" s="16">
        <v>1182</v>
      </c>
      <c r="BO277" s="16">
        <v>661</v>
      </c>
      <c r="BP277" s="16">
        <f t="shared" si="314"/>
        <v>521</v>
      </c>
      <c r="BQ277" s="16"/>
      <c r="BR277" s="16"/>
      <c r="BS277" s="80">
        <v>2015</v>
      </c>
      <c r="BT277" s="81" t="s">
        <v>43</v>
      </c>
      <c r="BU277" s="15">
        <f t="shared" si="276"/>
        <v>0.59937611408199643</v>
      </c>
      <c r="BV277" s="15">
        <f t="shared" si="277"/>
        <v>0.64261825131390349</v>
      </c>
      <c r="BW277" s="15">
        <f t="shared" si="278"/>
        <v>0.9327094474153298</v>
      </c>
      <c r="BX277" s="16"/>
      <c r="BY277" s="16"/>
      <c r="BZ277" s="16">
        <v>2244</v>
      </c>
      <c r="CA277" s="16">
        <f t="shared" si="300"/>
        <v>151</v>
      </c>
      <c r="CB277" s="16">
        <v>2093</v>
      </c>
      <c r="CC277" s="16">
        <v>1345</v>
      </c>
      <c r="CD277" s="16">
        <f t="shared" si="301"/>
        <v>748</v>
      </c>
      <c r="CE277" s="16"/>
      <c r="CF277" s="16"/>
      <c r="CG277" s="80">
        <v>2015</v>
      </c>
      <c r="CH277" s="81" t="s">
        <v>43</v>
      </c>
      <c r="CI277" s="15">
        <f t="shared" si="279"/>
        <v>0.58029689608636981</v>
      </c>
      <c r="CJ277" s="15">
        <f t="shared" si="280"/>
        <v>0.67257559958289881</v>
      </c>
      <c r="CK277" s="15">
        <f t="shared" si="281"/>
        <v>0.86279802069275757</v>
      </c>
      <c r="CL277" s="16"/>
      <c r="CM277" s="16"/>
      <c r="CN277" s="16">
        <v>2223</v>
      </c>
      <c r="CO277" s="16">
        <f t="shared" si="302"/>
        <v>305</v>
      </c>
      <c r="CP277" s="16">
        <v>1918</v>
      </c>
      <c r="CQ277" s="16">
        <v>1290</v>
      </c>
      <c r="CR277" s="16">
        <f t="shared" si="303"/>
        <v>628</v>
      </c>
      <c r="CS277" s="16"/>
      <c r="CT277" s="16"/>
      <c r="CU277" s="80">
        <v>2015</v>
      </c>
      <c r="CV277" s="81" t="s">
        <v>43</v>
      </c>
      <c r="CW277" s="15">
        <f t="shared" si="282"/>
        <v>0.55599567879006118</v>
      </c>
      <c r="CX277" s="15">
        <f t="shared" si="283"/>
        <v>0.63071895424836599</v>
      </c>
      <c r="CY277" s="15">
        <f t="shared" si="284"/>
        <v>0.8815268275117033</v>
      </c>
      <c r="CZ277" s="16"/>
      <c r="DA277" s="16"/>
      <c r="DB277" s="16">
        <v>2777</v>
      </c>
      <c r="DC277" s="16">
        <f t="shared" si="285"/>
        <v>329</v>
      </c>
      <c r="DD277" s="16">
        <v>2448</v>
      </c>
      <c r="DE277" s="16">
        <v>1544</v>
      </c>
      <c r="DF277" s="16">
        <f t="shared" si="286"/>
        <v>904</v>
      </c>
      <c r="DG277" s="19" t="s">
        <v>90</v>
      </c>
      <c r="DH277" s="16"/>
      <c r="DI277" s="80">
        <v>2015</v>
      </c>
      <c r="DJ277" s="81" t="s">
        <v>43</v>
      </c>
      <c r="DK277" s="15">
        <f t="shared" si="287"/>
        <v>0.80022075055187636</v>
      </c>
      <c r="DL277" s="15">
        <f t="shared" si="288"/>
        <v>0.95269382391590018</v>
      </c>
      <c r="DM277" s="15">
        <f t="shared" si="289"/>
        <v>0.83995584988962468</v>
      </c>
      <c r="DN277" s="16"/>
      <c r="DO277" s="16"/>
      <c r="DP277" s="16">
        <v>906</v>
      </c>
      <c r="DQ277" s="16">
        <f t="shared" si="304"/>
        <v>145</v>
      </c>
      <c r="DR277" s="16">
        <v>761</v>
      </c>
      <c r="DS277" s="16">
        <v>725</v>
      </c>
      <c r="DT277" s="16">
        <f t="shared" si="305"/>
        <v>36</v>
      </c>
      <c r="DU277" s="16"/>
      <c r="DV277" s="16"/>
      <c r="DW277" s="80">
        <v>2015</v>
      </c>
      <c r="DX277" s="81" t="s">
        <v>43</v>
      </c>
      <c r="DY277" s="15">
        <f t="shared" si="290"/>
        <v>0.83728036669213135</v>
      </c>
      <c r="DZ277" s="15">
        <f t="shared" si="291"/>
        <v>0.93996569468267577</v>
      </c>
      <c r="EA277" s="15">
        <f t="shared" si="292"/>
        <v>0.89075630252100846</v>
      </c>
      <c r="EB277" s="16"/>
      <c r="EC277" s="16"/>
      <c r="ED277" s="16">
        <v>1309</v>
      </c>
      <c r="EE277" s="16">
        <f t="shared" si="306"/>
        <v>143</v>
      </c>
      <c r="EF277" s="16">
        <v>1166</v>
      </c>
      <c r="EG277" s="16">
        <v>1096</v>
      </c>
      <c r="EH277" s="16">
        <f t="shared" si="307"/>
        <v>70</v>
      </c>
      <c r="EI277" s="16"/>
      <c r="EJ277" s="16"/>
      <c r="EK277" s="80"/>
      <c r="EL277" s="81"/>
      <c r="EM277" s="15"/>
      <c r="EN277" s="15"/>
      <c r="EO277" s="15"/>
      <c r="EP277" s="16"/>
      <c r="EQ277" s="16"/>
      <c r="ER277" s="16"/>
      <c r="ES277" s="16"/>
      <c r="ET277" s="16"/>
      <c r="EU277" s="16"/>
      <c r="EV277" s="16"/>
      <c r="EW277" s="16"/>
      <c r="EX277" s="16"/>
      <c r="EY277" s="80"/>
      <c r="EZ277" s="81"/>
      <c r="FA277" s="15"/>
      <c r="FB277" s="15"/>
      <c r="FC277" s="15"/>
      <c r="FD277" s="16"/>
      <c r="FE277" s="16"/>
      <c r="FF277" s="16"/>
      <c r="FG277" s="16"/>
      <c r="FH277" s="16"/>
      <c r="FI277" s="16"/>
      <c r="FJ277" s="16"/>
      <c r="FK277" s="16"/>
      <c r="FM277" s="80"/>
      <c r="FN277" s="81"/>
      <c r="FO277" s="15"/>
      <c r="FP277" s="15"/>
      <c r="FQ277" s="15"/>
      <c r="FR277" s="16"/>
      <c r="FS277" s="16"/>
      <c r="FT277" s="16"/>
      <c r="FU277" s="16"/>
      <c r="FV277" s="16"/>
      <c r="FW277" s="16"/>
      <c r="FX277" s="16"/>
      <c r="FY277" s="16"/>
      <c r="GA277" s="80"/>
      <c r="GB277" s="81"/>
      <c r="GC277" s="15"/>
      <c r="GD277" s="15"/>
      <c r="GE277" s="15"/>
      <c r="GF277" s="16"/>
      <c r="GG277" s="16"/>
      <c r="GH277" s="16"/>
      <c r="GI277" s="16"/>
      <c r="GJ277" s="16"/>
      <c r="GK277" s="16"/>
      <c r="GL277" s="16"/>
      <c r="GM277" s="16"/>
    </row>
    <row r="278" spans="1:195" s="18" customFormat="1" ht="15" customHeight="1">
      <c r="A278" s="78">
        <v>2015</v>
      </c>
      <c r="B278" s="79" t="s">
        <v>44</v>
      </c>
      <c r="C278" s="15">
        <f t="shared" si="293"/>
        <v>0.72616750289463528</v>
      </c>
      <c r="D278" s="15">
        <f t="shared" si="294"/>
        <v>0.90849830999517145</v>
      </c>
      <c r="E278" s="15">
        <f t="shared" si="295"/>
        <v>0.79930528753377073</v>
      </c>
      <c r="F278" s="16"/>
      <c r="G278" s="33"/>
      <c r="H27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20728</v>
      </c>
      <c r="I278" s="16">
        <f t="shared" si="296"/>
        <v>4160</v>
      </c>
      <c r="J27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16568</v>
      </c>
      <c r="K27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15052</v>
      </c>
      <c r="L278" s="16">
        <f t="shared" si="297"/>
        <v>1516</v>
      </c>
      <c r="M278" s="16"/>
      <c r="N278" s="16"/>
      <c r="O278" s="78">
        <v>2015</v>
      </c>
      <c r="P278" s="79" t="s">
        <v>44</v>
      </c>
      <c r="Q278" s="15">
        <f t="shared" si="270"/>
        <v>0.863220494053065</v>
      </c>
      <c r="R278" s="15">
        <f t="shared" si="271"/>
        <v>0.8884180790960452</v>
      </c>
      <c r="S278" s="15">
        <f t="shared" si="272"/>
        <v>0.97163769441903014</v>
      </c>
      <c r="T278" s="26"/>
      <c r="U278" s="26"/>
      <c r="V278" s="16">
        <v>4372</v>
      </c>
      <c r="W278" s="16">
        <f t="shared" si="308"/>
        <v>124</v>
      </c>
      <c r="X278" s="16">
        <v>4248</v>
      </c>
      <c r="Y278" s="16">
        <v>3774</v>
      </c>
      <c r="Z278" s="16">
        <f t="shared" si="298"/>
        <v>474</v>
      </c>
      <c r="AA278" s="16"/>
      <c r="AB278" s="16"/>
      <c r="AC278" s="78"/>
      <c r="AD278" s="79"/>
      <c r="AE278" s="15"/>
      <c r="AF278" s="15"/>
      <c r="AG278" s="15"/>
      <c r="AH278" s="15"/>
      <c r="AI278" s="15"/>
      <c r="AJ278" s="16"/>
      <c r="AK278" s="16"/>
      <c r="AL278" s="16"/>
      <c r="AM278" s="16"/>
      <c r="AN278" s="16"/>
      <c r="AO278" s="16"/>
      <c r="AP278" s="16"/>
      <c r="AQ278" s="78">
        <v>2015</v>
      </c>
      <c r="AR278" s="79" t="s">
        <v>44</v>
      </c>
      <c r="AS278" s="15">
        <f t="shared" si="273"/>
        <v>0.90436397400185697</v>
      </c>
      <c r="AT278" s="15">
        <f t="shared" si="274"/>
        <v>0.94174522600918542</v>
      </c>
      <c r="AU278" s="15">
        <f t="shared" si="275"/>
        <v>0.96030640668523681</v>
      </c>
      <c r="AV278" s="16"/>
      <c r="AW278" s="16"/>
      <c r="AX278" s="16">
        <v>4308</v>
      </c>
      <c r="AY278" s="16">
        <f t="shared" si="309"/>
        <v>171</v>
      </c>
      <c r="AZ278" s="16">
        <v>4137</v>
      </c>
      <c r="BA278" s="16">
        <v>3896</v>
      </c>
      <c r="BB278" s="16">
        <f t="shared" si="299"/>
        <v>241</v>
      </c>
      <c r="BC278" s="16"/>
      <c r="BD278" s="16"/>
      <c r="BE278" s="78">
        <v>2015</v>
      </c>
      <c r="BF278" s="79" t="s">
        <v>44</v>
      </c>
      <c r="BG278" s="15">
        <f t="shared" si="310"/>
        <v>0.9275167785234899</v>
      </c>
      <c r="BH278" s="15">
        <f t="shared" si="311"/>
        <v>0.93095318288986195</v>
      </c>
      <c r="BI278" s="15">
        <f t="shared" si="312"/>
        <v>0.99630872483221478</v>
      </c>
      <c r="BJ278" s="16"/>
      <c r="BK278" s="16"/>
      <c r="BL278" s="16">
        <v>2980</v>
      </c>
      <c r="BM278" s="16">
        <f t="shared" si="313"/>
        <v>11</v>
      </c>
      <c r="BN278" s="16">
        <v>2969</v>
      </c>
      <c r="BO278" s="16">
        <v>2764</v>
      </c>
      <c r="BP278" s="16">
        <f t="shared" si="314"/>
        <v>205</v>
      </c>
      <c r="BQ278" s="16"/>
      <c r="BR278" s="16"/>
      <c r="BS278" s="78">
        <v>2015</v>
      </c>
      <c r="BT278" s="79" t="s">
        <v>44</v>
      </c>
      <c r="BU278" s="15">
        <f t="shared" si="276"/>
        <v>0.12842778793418647</v>
      </c>
      <c r="BV278" s="15">
        <f t="shared" si="277"/>
        <v>0.68369829683698302</v>
      </c>
      <c r="BW278" s="15">
        <f t="shared" si="278"/>
        <v>0.18784277879341865</v>
      </c>
      <c r="BX278" s="16"/>
      <c r="BY278" s="16"/>
      <c r="BZ278" s="16">
        <v>2188</v>
      </c>
      <c r="CA278" s="16">
        <f t="shared" si="300"/>
        <v>1777</v>
      </c>
      <c r="CB278" s="16">
        <v>411</v>
      </c>
      <c r="CC278" s="16">
        <v>281</v>
      </c>
      <c r="CD278" s="16">
        <f t="shared" si="301"/>
        <v>130</v>
      </c>
      <c r="CE278" s="19" t="s">
        <v>58</v>
      </c>
      <c r="CF278" s="16"/>
      <c r="CG278" s="78">
        <v>2015</v>
      </c>
      <c r="CH278" s="79" t="s">
        <v>44</v>
      </c>
      <c r="CI278" s="15">
        <f t="shared" si="279"/>
        <v>0.12545454545454546</v>
      </c>
      <c r="CJ278" s="15">
        <f t="shared" si="280"/>
        <v>0.69172932330827064</v>
      </c>
      <c r="CK278" s="15">
        <f t="shared" si="281"/>
        <v>0.18136363636363637</v>
      </c>
      <c r="CL278" s="16"/>
      <c r="CM278" s="16"/>
      <c r="CN278" s="16">
        <v>2200</v>
      </c>
      <c r="CO278" s="16">
        <f t="shared" si="302"/>
        <v>1801</v>
      </c>
      <c r="CP278" s="16">
        <v>399</v>
      </c>
      <c r="CQ278" s="16">
        <v>276</v>
      </c>
      <c r="CR278" s="16">
        <f t="shared" si="303"/>
        <v>123</v>
      </c>
      <c r="CS278" s="19" t="s">
        <v>63</v>
      </c>
      <c r="CT278" s="16"/>
      <c r="CU278" s="78">
        <v>2015</v>
      </c>
      <c r="CV278" s="79" t="s">
        <v>44</v>
      </c>
      <c r="CW278" s="15">
        <f t="shared" si="282"/>
        <v>0.87073750991276766</v>
      </c>
      <c r="CX278" s="15">
        <f t="shared" si="283"/>
        <v>0.90482076637824471</v>
      </c>
      <c r="CY278" s="15">
        <f t="shared" si="284"/>
        <v>0.96233148295003967</v>
      </c>
      <c r="CZ278" s="16"/>
      <c r="DA278" s="16"/>
      <c r="DB278" s="16">
        <v>2522</v>
      </c>
      <c r="DC278" s="16">
        <f>DB278-DD278</f>
        <v>95</v>
      </c>
      <c r="DD278" s="16">
        <v>2427</v>
      </c>
      <c r="DE278" s="16">
        <v>2196</v>
      </c>
      <c r="DF278" s="16">
        <f>DD278-DE278</f>
        <v>231</v>
      </c>
      <c r="DG278" s="16"/>
      <c r="DH278" s="16"/>
      <c r="DI278" s="78">
        <v>2015</v>
      </c>
      <c r="DJ278" s="79" t="s">
        <v>44</v>
      </c>
      <c r="DK278" s="15">
        <f t="shared" si="287"/>
        <v>0.85972850678733037</v>
      </c>
      <c r="DL278" s="15">
        <f t="shared" si="288"/>
        <v>0.92796092796092799</v>
      </c>
      <c r="DM278" s="15">
        <f t="shared" si="289"/>
        <v>0.92647058823529416</v>
      </c>
      <c r="DN278" s="16"/>
      <c r="DO278" s="16"/>
      <c r="DP278" s="16">
        <v>884</v>
      </c>
      <c r="DQ278" s="16">
        <f t="shared" si="304"/>
        <v>65</v>
      </c>
      <c r="DR278" s="16">
        <v>819</v>
      </c>
      <c r="DS278" s="16">
        <v>760</v>
      </c>
      <c r="DT278" s="16">
        <f t="shared" si="305"/>
        <v>59</v>
      </c>
      <c r="DU278" s="16"/>
      <c r="DV278" s="16"/>
      <c r="DW278" s="78">
        <v>2015</v>
      </c>
      <c r="DX278" s="79" t="s">
        <v>44</v>
      </c>
      <c r="DY278" s="15">
        <f t="shared" si="290"/>
        <v>0.86734693877551017</v>
      </c>
      <c r="DZ278" s="15">
        <f t="shared" si="291"/>
        <v>0.95423143350604489</v>
      </c>
      <c r="EA278" s="15">
        <f t="shared" si="292"/>
        <v>0.90894819466248034</v>
      </c>
      <c r="EB278" s="16"/>
      <c r="EC278" s="16"/>
      <c r="ED278" s="16">
        <v>1274</v>
      </c>
      <c r="EE278" s="16">
        <f t="shared" si="306"/>
        <v>116</v>
      </c>
      <c r="EF278" s="16">
        <v>1158</v>
      </c>
      <c r="EG278" s="16">
        <v>1105</v>
      </c>
      <c r="EH278" s="16">
        <f t="shared" si="307"/>
        <v>53</v>
      </c>
      <c r="EI278" s="16"/>
      <c r="EJ278" s="16"/>
      <c r="EK278" s="78"/>
      <c r="EL278" s="79"/>
      <c r="EM278" s="15"/>
      <c r="EN278" s="15"/>
      <c r="EO278" s="15"/>
      <c r="EP278" s="16"/>
      <c r="EQ278" s="16"/>
      <c r="ER278" s="16"/>
      <c r="ES278" s="16"/>
      <c r="ET278" s="16"/>
      <c r="EU278" s="16"/>
      <c r="EV278" s="16"/>
      <c r="EW278" s="16"/>
      <c r="EX278" s="16"/>
      <c r="EY278" s="78"/>
      <c r="EZ278" s="79"/>
      <c r="FA278" s="15"/>
      <c r="FB278" s="15"/>
      <c r="FC278" s="15"/>
      <c r="FD278" s="16"/>
      <c r="FE278" s="16"/>
      <c r="FF278" s="16"/>
      <c r="FG278" s="16"/>
      <c r="FH278" s="16"/>
      <c r="FI278" s="16"/>
      <c r="FJ278" s="16"/>
      <c r="FK278" s="16"/>
      <c r="FM278" s="78"/>
      <c r="FN278" s="79"/>
      <c r="FO278" s="15"/>
      <c r="FP278" s="15"/>
      <c r="FQ278" s="15"/>
      <c r="FR278" s="16"/>
      <c r="FS278" s="16"/>
      <c r="FT278" s="16"/>
      <c r="FU278" s="16"/>
      <c r="FV278" s="16"/>
      <c r="FW278" s="16"/>
      <c r="FX278" s="16"/>
      <c r="FY278" s="16"/>
      <c r="GA278" s="78"/>
      <c r="GB278" s="79"/>
      <c r="GC278" s="15"/>
      <c r="GD278" s="15"/>
      <c r="GE278" s="15"/>
      <c r="GF278" s="16"/>
      <c r="GG278" s="16"/>
      <c r="GH278" s="16"/>
      <c r="GI278" s="16"/>
      <c r="GJ278" s="16"/>
      <c r="GK278" s="16"/>
      <c r="GL278" s="16"/>
      <c r="GM278" s="16"/>
    </row>
    <row r="279" spans="1:195" s="18" customFormat="1" ht="15" customHeight="1">
      <c r="A279" s="80">
        <v>2015</v>
      </c>
      <c r="B279" s="81" t="s">
        <v>45</v>
      </c>
      <c r="C279" s="15">
        <f t="shared" si="293"/>
        <v>0.83368459083518998</v>
      </c>
      <c r="D279" s="15">
        <f t="shared" si="294"/>
        <v>0.93421052631578949</v>
      </c>
      <c r="E279" s="15">
        <f t="shared" si="295"/>
        <v>0.89239477328837236</v>
      </c>
      <c r="F279" s="16"/>
      <c r="G279" s="33"/>
      <c r="H27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16607</v>
      </c>
      <c r="I279" s="16">
        <f t="shared" si="296"/>
        <v>1787</v>
      </c>
      <c r="J27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14820</v>
      </c>
      <c r="K27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13845</v>
      </c>
      <c r="L279" s="16">
        <f t="shared" si="297"/>
        <v>975</v>
      </c>
      <c r="M279" s="16"/>
      <c r="N279" s="16"/>
      <c r="O279" s="80">
        <v>2015</v>
      </c>
      <c r="P279" s="81" t="s">
        <v>45</v>
      </c>
      <c r="Q279" s="15">
        <f t="shared" si="270"/>
        <v>0.78973435389464208</v>
      </c>
      <c r="R279" s="15">
        <f t="shared" si="271"/>
        <v>0.89466972711043102</v>
      </c>
      <c r="S279" s="15">
        <f t="shared" si="272"/>
        <v>0.88271049076992347</v>
      </c>
      <c r="T279" s="26"/>
      <c r="U279" s="26"/>
      <c r="V279" s="16">
        <v>4442</v>
      </c>
      <c r="W279" s="16">
        <f t="shared" si="308"/>
        <v>521</v>
      </c>
      <c r="X279" s="16">
        <v>3921</v>
      </c>
      <c r="Y279" s="16">
        <v>3508</v>
      </c>
      <c r="Z279" s="16">
        <f t="shared" si="298"/>
        <v>413</v>
      </c>
      <c r="AA279" s="16"/>
      <c r="AB279" s="16"/>
      <c r="AC279" s="80"/>
      <c r="AD279" s="81"/>
      <c r="AE279" s="15"/>
      <c r="AF279" s="15"/>
      <c r="AG279" s="15"/>
      <c r="AH279" s="15"/>
      <c r="AI279" s="15"/>
      <c r="AJ279" s="16"/>
      <c r="AK279" s="16"/>
      <c r="AL279" s="16"/>
      <c r="AM279" s="16"/>
      <c r="AN279" s="16"/>
      <c r="AO279" s="16"/>
      <c r="AP279" s="16"/>
      <c r="AQ279" s="80">
        <v>2015</v>
      </c>
      <c r="AR279" s="81" t="s">
        <v>45</v>
      </c>
      <c r="AS279" s="15">
        <f t="shared" si="273"/>
        <v>0.85104927007299269</v>
      </c>
      <c r="AT279" s="15">
        <f t="shared" si="274"/>
        <v>0.95887946543305058</v>
      </c>
      <c r="AU279" s="15">
        <f t="shared" si="275"/>
        <v>0.88754562043795615</v>
      </c>
      <c r="AV279" s="16"/>
      <c r="AW279" s="16"/>
      <c r="AX279" s="16">
        <v>4384</v>
      </c>
      <c r="AY279" s="16">
        <f t="shared" si="309"/>
        <v>493</v>
      </c>
      <c r="AZ279" s="16">
        <v>3891</v>
      </c>
      <c r="BA279" s="16">
        <v>3731</v>
      </c>
      <c r="BB279" s="16">
        <f t="shared" si="299"/>
        <v>160</v>
      </c>
      <c r="BC279" s="16"/>
      <c r="BD279" s="16"/>
      <c r="BE279" s="80">
        <v>2015</v>
      </c>
      <c r="BF279" s="81" t="s">
        <v>45</v>
      </c>
      <c r="BG279" s="15">
        <f t="shared" si="310"/>
        <v>0.90331304935767409</v>
      </c>
      <c r="BH279" s="15">
        <f t="shared" si="311"/>
        <v>0.96115107913669062</v>
      </c>
      <c r="BI279" s="15">
        <f t="shared" si="312"/>
        <v>0.93982420554428669</v>
      </c>
      <c r="BJ279" s="16"/>
      <c r="BK279" s="16"/>
      <c r="BL279" s="16">
        <v>2958</v>
      </c>
      <c r="BM279" s="16">
        <f t="shared" si="313"/>
        <v>178</v>
      </c>
      <c r="BN279" s="16">
        <v>2780</v>
      </c>
      <c r="BO279" s="16">
        <v>2672</v>
      </c>
      <c r="BP279" s="16">
        <f t="shared" si="314"/>
        <v>108</v>
      </c>
      <c r="BQ279" s="16"/>
      <c r="BR279" s="16"/>
      <c r="BS279" s="80">
        <v>2015</v>
      </c>
      <c r="BT279" s="81" t="s">
        <v>45</v>
      </c>
      <c r="BU279" s="15"/>
      <c r="BV279" s="15"/>
      <c r="BW279" s="15"/>
      <c r="BX279" s="35"/>
      <c r="BY279" s="35"/>
      <c r="BZ279" s="35"/>
      <c r="CA279" s="35"/>
      <c r="CB279" s="16"/>
      <c r="CC279" s="16"/>
      <c r="CD279" s="16"/>
      <c r="CE279" s="16"/>
      <c r="CF279" s="16"/>
      <c r="CG279" s="80">
        <v>2015</v>
      </c>
      <c r="CH279" s="81" t="s">
        <v>45</v>
      </c>
      <c r="CI279" s="15"/>
      <c r="CJ279" s="15"/>
      <c r="CK279" s="15"/>
      <c r="CL279" s="35"/>
      <c r="CM279" s="35"/>
      <c r="CN279" s="35"/>
      <c r="CO279" s="35"/>
      <c r="CP279" s="16"/>
      <c r="CQ279" s="16"/>
      <c r="CR279" s="16"/>
      <c r="CS279" s="16"/>
      <c r="CT279" s="16"/>
      <c r="CU279" s="80">
        <v>2015</v>
      </c>
      <c r="CV279" s="81" t="s">
        <v>45</v>
      </c>
      <c r="CW279" s="15">
        <f t="shared" si="282"/>
        <v>0.81153846153846154</v>
      </c>
      <c r="CX279" s="15">
        <f t="shared" si="283"/>
        <v>0.90402742073693232</v>
      </c>
      <c r="CY279" s="15">
        <f t="shared" si="284"/>
        <v>0.89769230769230768</v>
      </c>
      <c r="CZ279" s="16"/>
      <c r="DA279" s="16"/>
      <c r="DB279" s="16">
        <v>2600</v>
      </c>
      <c r="DC279" s="16">
        <f>DB279-DD279</f>
        <v>266</v>
      </c>
      <c r="DD279" s="16">
        <v>2334</v>
      </c>
      <c r="DE279" s="16">
        <v>2110</v>
      </c>
      <c r="DF279" s="16">
        <f>DD279-DE279</f>
        <v>224</v>
      </c>
      <c r="DG279" s="16"/>
      <c r="DH279" s="16"/>
      <c r="DI279" s="80">
        <v>2015</v>
      </c>
      <c r="DJ279" s="81" t="s">
        <v>45</v>
      </c>
      <c r="DK279" s="15">
        <f t="shared" si="287"/>
        <v>0.81428571428571428</v>
      </c>
      <c r="DL279" s="15">
        <f t="shared" si="288"/>
        <v>0.95489690721649489</v>
      </c>
      <c r="DM279" s="15">
        <f t="shared" si="289"/>
        <v>0.85274725274725272</v>
      </c>
      <c r="DN279" s="16"/>
      <c r="DO279" s="16"/>
      <c r="DP279" s="16">
        <v>910</v>
      </c>
      <c r="DQ279" s="16">
        <f>DP279-DR279</f>
        <v>134</v>
      </c>
      <c r="DR279" s="16">
        <v>776</v>
      </c>
      <c r="DS279" s="16">
        <v>741</v>
      </c>
      <c r="DT279" s="16">
        <f t="shared" si="305"/>
        <v>35</v>
      </c>
      <c r="DU279" s="16"/>
      <c r="DV279" s="16"/>
      <c r="DW279" s="80">
        <v>2015</v>
      </c>
      <c r="DX279" s="81" t="s">
        <v>45</v>
      </c>
      <c r="DY279" s="15">
        <f t="shared" si="290"/>
        <v>0.82482863670982487</v>
      </c>
      <c r="DZ279" s="15">
        <f t="shared" si="291"/>
        <v>0.96869409660107331</v>
      </c>
      <c r="EA279" s="15">
        <f t="shared" si="292"/>
        <v>0.85148514851485146</v>
      </c>
      <c r="EB279" s="16"/>
      <c r="EC279" s="16"/>
      <c r="ED279" s="16">
        <v>1313</v>
      </c>
      <c r="EE279" s="16">
        <f>ED279-EF279</f>
        <v>195</v>
      </c>
      <c r="EF279" s="16">
        <v>1118</v>
      </c>
      <c r="EG279" s="16">
        <v>1083</v>
      </c>
      <c r="EH279" s="16">
        <f t="shared" si="307"/>
        <v>35</v>
      </c>
      <c r="EI279" s="16"/>
      <c r="EJ279" s="16"/>
      <c r="EK279" s="80"/>
      <c r="EL279" s="81"/>
      <c r="EM279" s="15"/>
      <c r="EN279" s="15"/>
      <c r="EO279" s="15"/>
      <c r="EP279" s="16"/>
      <c r="EQ279" s="16"/>
      <c r="ER279" s="16"/>
      <c r="ES279" s="16"/>
      <c r="ET279" s="16"/>
      <c r="EU279" s="16"/>
      <c r="EV279" s="16"/>
      <c r="EW279" s="16"/>
      <c r="EX279" s="16"/>
      <c r="EY279" s="80"/>
      <c r="EZ279" s="81"/>
      <c r="FA279" s="15"/>
      <c r="FB279" s="15"/>
      <c r="FC279" s="15"/>
      <c r="FD279" s="16"/>
      <c r="FE279" s="16"/>
      <c r="FF279" s="16"/>
      <c r="FG279" s="16"/>
      <c r="FH279" s="16"/>
      <c r="FI279" s="16"/>
      <c r="FJ279" s="16"/>
      <c r="FK279" s="16"/>
      <c r="FM279" s="80"/>
      <c r="FN279" s="81"/>
      <c r="FO279" s="15"/>
      <c r="FP279" s="15"/>
      <c r="FQ279" s="15"/>
      <c r="FR279" s="16"/>
      <c r="FS279" s="16"/>
      <c r="FT279" s="16"/>
      <c r="FU279" s="16"/>
      <c r="FV279" s="16"/>
      <c r="FW279" s="16"/>
      <c r="FX279" s="16"/>
      <c r="FY279" s="16"/>
      <c r="GA279" s="80"/>
      <c r="GB279" s="81"/>
      <c r="GC279" s="15"/>
      <c r="GD279" s="15"/>
      <c r="GE279" s="15"/>
      <c r="GF279" s="16"/>
      <c r="GG279" s="16"/>
      <c r="GH279" s="16"/>
      <c r="GI279" s="16"/>
      <c r="GJ279" s="16"/>
      <c r="GK279" s="16"/>
      <c r="GL279" s="16"/>
      <c r="GM279" s="16"/>
    </row>
    <row r="280" spans="1:195" s="18" customFormat="1" ht="15" customHeight="1">
      <c r="A280" s="78">
        <v>2015</v>
      </c>
      <c r="B280" s="79" t="s">
        <v>46</v>
      </c>
      <c r="C280" s="15">
        <f t="shared" si="293"/>
        <v>0.85388994307400379</v>
      </c>
      <c r="D280" s="15">
        <f t="shared" si="294"/>
        <v>0.92853703831075041</v>
      </c>
      <c r="E280" s="15">
        <f t="shared" si="295"/>
        <v>0.91960784313725485</v>
      </c>
      <c r="F280" s="16"/>
      <c r="G280" s="33"/>
      <c r="H28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15810</v>
      </c>
      <c r="I280" s="16">
        <f t="shared" si="296"/>
        <v>1271</v>
      </c>
      <c r="J28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14539</v>
      </c>
      <c r="K28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13500</v>
      </c>
      <c r="L280" s="16">
        <f t="shared" si="297"/>
        <v>1039</v>
      </c>
      <c r="M280" s="16"/>
      <c r="N280" s="16"/>
      <c r="O280" s="78">
        <v>2015</v>
      </c>
      <c r="P280" s="79" t="s">
        <v>46</v>
      </c>
      <c r="Q280" s="15">
        <f t="shared" si="270"/>
        <v>0.79357581483230988</v>
      </c>
      <c r="R280" s="15">
        <f t="shared" si="271"/>
        <v>0.87912087912087911</v>
      </c>
      <c r="S280" s="15">
        <f t="shared" si="272"/>
        <v>0.9026924893717525</v>
      </c>
      <c r="T280" s="26"/>
      <c r="U280" s="26"/>
      <c r="V280" s="16">
        <v>4234</v>
      </c>
      <c r="W280" s="16">
        <f t="shared" si="308"/>
        <v>412</v>
      </c>
      <c r="X280" s="16">
        <v>3822</v>
      </c>
      <c r="Y280" s="16">
        <v>3360</v>
      </c>
      <c r="Z280" s="16">
        <f t="shared" si="298"/>
        <v>462</v>
      </c>
      <c r="AA280" s="16"/>
      <c r="AB280" s="16"/>
      <c r="AC280" s="78"/>
      <c r="AD280" s="79"/>
      <c r="AE280" s="15"/>
      <c r="AF280" s="15"/>
      <c r="AG280" s="15"/>
      <c r="AH280" s="15"/>
      <c r="AI280" s="15"/>
      <c r="AJ280" s="16"/>
      <c r="AK280" s="16"/>
      <c r="AL280" s="16"/>
      <c r="AM280" s="16"/>
      <c r="AN280" s="16"/>
      <c r="AO280" s="16"/>
      <c r="AP280" s="16"/>
      <c r="AQ280" s="78">
        <v>2015</v>
      </c>
      <c r="AR280" s="79" t="s">
        <v>46</v>
      </c>
      <c r="AS280" s="15">
        <f t="shared" si="273"/>
        <v>0.86352772466539196</v>
      </c>
      <c r="AT280" s="15">
        <f t="shared" si="274"/>
        <v>0.95028932140978428</v>
      </c>
      <c r="AU280" s="15">
        <f t="shared" si="275"/>
        <v>0.90869980879541112</v>
      </c>
      <c r="AV280" s="16"/>
      <c r="AW280" s="16"/>
      <c r="AX280" s="16">
        <v>4184</v>
      </c>
      <c r="AY280" s="16">
        <f t="shared" si="309"/>
        <v>382</v>
      </c>
      <c r="AZ280" s="16">
        <v>3802</v>
      </c>
      <c r="BA280" s="16">
        <v>3613</v>
      </c>
      <c r="BB280" s="16">
        <f t="shared" si="299"/>
        <v>189</v>
      </c>
      <c r="BC280" s="16"/>
      <c r="BD280" s="16"/>
      <c r="BE280" s="78">
        <v>2015</v>
      </c>
      <c r="BF280" s="79" t="s">
        <v>46</v>
      </c>
      <c r="BG280" s="15">
        <f t="shared" si="310"/>
        <v>0.93497109826589597</v>
      </c>
      <c r="BH280" s="15">
        <f t="shared" si="311"/>
        <v>0.96029684601113174</v>
      </c>
      <c r="BI280" s="15">
        <f t="shared" si="312"/>
        <v>0.97362716763005785</v>
      </c>
      <c r="BJ280" s="16"/>
      <c r="BK280" s="16"/>
      <c r="BL280" s="16">
        <v>2768</v>
      </c>
      <c r="BM280" s="16">
        <f t="shared" si="313"/>
        <v>73</v>
      </c>
      <c r="BN280" s="16">
        <v>2695</v>
      </c>
      <c r="BO280" s="16">
        <v>2588</v>
      </c>
      <c r="BP280" s="16">
        <f t="shared" si="314"/>
        <v>107</v>
      </c>
      <c r="BQ280" s="16"/>
      <c r="BR280" s="16"/>
      <c r="BS280" s="78">
        <v>2015</v>
      </c>
      <c r="BT280" s="79" t="s">
        <v>46</v>
      </c>
      <c r="BU280" s="15"/>
      <c r="BV280" s="15"/>
      <c r="BW280" s="15"/>
      <c r="BX280" s="35"/>
      <c r="BY280" s="35"/>
      <c r="BZ280" s="35"/>
      <c r="CA280" s="35"/>
      <c r="CB280" s="16"/>
      <c r="CC280" s="16"/>
      <c r="CD280" s="16"/>
      <c r="CE280" s="16"/>
      <c r="CF280" s="16"/>
      <c r="CG280" s="78">
        <v>2015</v>
      </c>
      <c r="CH280" s="79" t="s">
        <v>46</v>
      </c>
      <c r="CI280" s="15"/>
      <c r="CJ280" s="15"/>
      <c r="CK280" s="15"/>
      <c r="CL280" s="35"/>
      <c r="CM280" s="35"/>
      <c r="CN280" s="35"/>
      <c r="CO280" s="35"/>
      <c r="CP280" s="16"/>
      <c r="CQ280" s="16"/>
      <c r="CR280" s="16"/>
      <c r="CS280" s="16"/>
      <c r="CT280" s="16"/>
      <c r="CU280" s="78">
        <v>2015</v>
      </c>
      <c r="CV280" s="79" t="s">
        <v>46</v>
      </c>
      <c r="CW280" s="15">
        <f t="shared" si="282"/>
        <v>0.85455278001611601</v>
      </c>
      <c r="CX280" s="15">
        <f t="shared" si="283"/>
        <v>0.91619870410367166</v>
      </c>
      <c r="CY280" s="15">
        <f t="shared" si="284"/>
        <v>0.9327155519742143</v>
      </c>
      <c r="CZ280" s="16"/>
      <c r="DA280" s="16"/>
      <c r="DB280" s="16">
        <v>2482</v>
      </c>
      <c r="DC280" s="16">
        <f>DB280-DD280</f>
        <v>167</v>
      </c>
      <c r="DD280" s="16">
        <v>2315</v>
      </c>
      <c r="DE280" s="16">
        <v>2121</v>
      </c>
      <c r="DF280" s="16">
        <f>DD280-DE280</f>
        <v>194</v>
      </c>
      <c r="DG280" s="16"/>
      <c r="DH280" s="16"/>
      <c r="DI280" s="78">
        <v>2015</v>
      </c>
      <c r="DJ280" s="79" t="s">
        <v>46</v>
      </c>
      <c r="DK280" s="15">
        <f t="shared" si="287"/>
        <v>0.82420091324200917</v>
      </c>
      <c r="DL280" s="15">
        <f t="shared" si="288"/>
        <v>0.93766233766233764</v>
      </c>
      <c r="DM280" s="15">
        <f t="shared" si="289"/>
        <v>0.87899543378995437</v>
      </c>
      <c r="DN280" s="16"/>
      <c r="DO280" s="16"/>
      <c r="DP280" s="16">
        <v>876</v>
      </c>
      <c r="DQ280" s="16">
        <f>DP280-DR280</f>
        <v>106</v>
      </c>
      <c r="DR280" s="16">
        <v>770</v>
      </c>
      <c r="DS280" s="16">
        <v>722</v>
      </c>
      <c r="DT280" s="16">
        <f t="shared" si="305"/>
        <v>48</v>
      </c>
      <c r="DU280" s="16"/>
      <c r="DV280" s="16"/>
      <c r="DW280" s="78">
        <v>2015</v>
      </c>
      <c r="DX280" s="79" t="s">
        <v>46</v>
      </c>
      <c r="DY280" s="15">
        <f t="shared" si="290"/>
        <v>0.86571879936808849</v>
      </c>
      <c r="DZ280" s="15">
        <f t="shared" si="291"/>
        <v>0.96563876651982383</v>
      </c>
      <c r="EA280" s="15">
        <f t="shared" si="292"/>
        <v>0.89652448657187989</v>
      </c>
      <c r="EB280" s="16"/>
      <c r="EC280" s="16"/>
      <c r="ED280" s="16">
        <v>1266</v>
      </c>
      <c r="EE280" s="16">
        <f>ED280-EF280</f>
        <v>131</v>
      </c>
      <c r="EF280" s="16">
        <v>1135</v>
      </c>
      <c r="EG280" s="16">
        <v>1096</v>
      </c>
      <c r="EH280" s="16">
        <f t="shared" si="307"/>
        <v>39</v>
      </c>
      <c r="EI280" s="16"/>
      <c r="EJ280" s="16"/>
      <c r="EK280" s="78"/>
      <c r="EL280" s="79"/>
      <c r="EM280" s="15"/>
      <c r="EN280" s="15"/>
      <c r="EO280" s="15"/>
      <c r="EP280" s="16"/>
      <c r="EQ280" s="16"/>
      <c r="ER280" s="16"/>
      <c r="ES280" s="16"/>
      <c r="ET280" s="16"/>
      <c r="EU280" s="16"/>
      <c r="EV280" s="16"/>
      <c r="EW280" s="16"/>
      <c r="EX280" s="16"/>
      <c r="EY280" s="78"/>
      <c r="EZ280" s="79"/>
      <c r="FA280" s="15"/>
      <c r="FB280" s="15"/>
      <c r="FC280" s="15"/>
      <c r="FD280" s="16"/>
      <c r="FE280" s="16"/>
      <c r="FF280" s="16"/>
      <c r="FG280" s="16"/>
      <c r="FH280" s="16"/>
      <c r="FI280" s="16"/>
      <c r="FJ280" s="16"/>
      <c r="FK280" s="16"/>
      <c r="FM280" s="78"/>
      <c r="FN280" s="79"/>
      <c r="FO280" s="15"/>
      <c r="FP280" s="15"/>
      <c r="FQ280" s="15"/>
      <c r="FR280" s="16"/>
      <c r="FS280" s="16"/>
      <c r="FT280" s="16"/>
      <c r="FU280" s="16"/>
      <c r="FV280" s="16"/>
      <c r="FW280" s="16"/>
      <c r="FX280" s="16"/>
      <c r="FY280" s="16"/>
      <c r="GA280" s="78"/>
      <c r="GB280" s="79"/>
      <c r="GC280" s="15"/>
      <c r="GD280" s="15"/>
      <c r="GE280" s="15"/>
      <c r="GF280" s="16"/>
      <c r="GG280" s="16"/>
      <c r="GH280" s="16"/>
      <c r="GI280" s="16"/>
      <c r="GJ280" s="16"/>
      <c r="GK280" s="16"/>
      <c r="GL280" s="16"/>
      <c r="GM280" s="16"/>
    </row>
    <row r="281" spans="1:195" s="18" customFormat="1" ht="15" customHeight="1">
      <c r="A281" s="80">
        <v>2015</v>
      </c>
      <c r="B281" s="81" t="s">
        <v>47</v>
      </c>
      <c r="C281" s="15">
        <f t="shared" si="293"/>
        <v>0.81303889336889767</v>
      </c>
      <c r="D281" s="15">
        <f t="shared" si="294"/>
        <v>0.86452080997295688</v>
      </c>
      <c r="E281" s="15">
        <f t="shared" si="295"/>
        <v>0.94045034427144714</v>
      </c>
      <c r="F281" s="16"/>
      <c r="G281" s="33"/>
      <c r="H28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16121</v>
      </c>
      <c r="I281" s="16">
        <f t="shared" si="296"/>
        <v>960</v>
      </c>
      <c r="J28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15161</v>
      </c>
      <c r="K28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13107</v>
      </c>
      <c r="L281" s="16">
        <f t="shared" si="297"/>
        <v>2054</v>
      </c>
      <c r="M281" s="16"/>
      <c r="N281" s="16"/>
      <c r="O281" s="80">
        <v>2015</v>
      </c>
      <c r="P281" s="81" t="s">
        <v>47</v>
      </c>
      <c r="Q281" s="15">
        <f t="shared" si="270"/>
        <v>0.73213046495489242</v>
      </c>
      <c r="R281" s="15">
        <f t="shared" si="271"/>
        <v>0.76283441793203177</v>
      </c>
      <c r="S281" s="15">
        <f t="shared" si="272"/>
        <v>0.95975017349063152</v>
      </c>
      <c r="T281" s="26"/>
      <c r="U281" s="26"/>
      <c r="V281" s="16">
        <v>4323</v>
      </c>
      <c r="W281" s="16">
        <f t="shared" si="308"/>
        <v>174</v>
      </c>
      <c r="X281" s="16">
        <v>4149</v>
      </c>
      <c r="Y281" s="16">
        <v>3165</v>
      </c>
      <c r="Z281" s="16">
        <f t="shared" si="298"/>
        <v>984</v>
      </c>
      <c r="AA281" s="16"/>
      <c r="AB281" s="16"/>
      <c r="AC281" s="80"/>
      <c r="AD281" s="81"/>
      <c r="AE281" s="15"/>
      <c r="AF281" s="15"/>
      <c r="AG281" s="15"/>
      <c r="AH281" s="15"/>
      <c r="AI281" s="15"/>
      <c r="AJ281" s="16"/>
      <c r="AK281" s="16"/>
      <c r="AL281" s="16"/>
      <c r="AM281" s="16"/>
      <c r="AN281" s="16"/>
      <c r="AO281" s="16"/>
      <c r="AP281" s="16"/>
      <c r="AQ281" s="80">
        <v>2015</v>
      </c>
      <c r="AR281" s="81" t="s">
        <v>47</v>
      </c>
      <c r="AS281" s="15">
        <f t="shared" si="273"/>
        <v>0.84120673526660428</v>
      </c>
      <c r="AT281" s="15">
        <f t="shared" si="274"/>
        <v>0.89122893954410309</v>
      </c>
      <c r="AU281" s="15">
        <f t="shared" si="275"/>
        <v>0.94387277829747429</v>
      </c>
      <c r="AV281" s="16"/>
      <c r="AW281" s="16"/>
      <c r="AX281" s="16">
        <v>4276</v>
      </c>
      <c r="AY281" s="16">
        <f t="shared" si="309"/>
        <v>240</v>
      </c>
      <c r="AZ281" s="16">
        <v>4036</v>
      </c>
      <c r="BA281" s="16">
        <v>3597</v>
      </c>
      <c r="BB281" s="16">
        <f t="shared" si="299"/>
        <v>439</v>
      </c>
      <c r="BC281" s="16"/>
      <c r="BD281" s="16"/>
      <c r="BE281" s="80">
        <v>2015</v>
      </c>
      <c r="BF281" s="81" t="s">
        <v>47</v>
      </c>
      <c r="BG281" s="15">
        <f t="shared" si="310"/>
        <v>0.88981213872832365</v>
      </c>
      <c r="BH281" s="15">
        <f t="shared" si="311"/>
        <v>0.91493313521545316</v>
      </c>
      <c r="BI281" s="15">
        <f t="shared" si="312"/>
        <v>0.9725433526011561</v>
      </c>
      <c r="BJ281" s="16"/>
      <c r="BK281" s="16"/>
      <c r="BL281" s="16">
        <v>2768</v>
      </c>
      <c r="BM281" s="16">
        <f t="shared" si="313"/>
        <v>76</v>
      </c>
      <c r="BN281" s="16">
        <v>2692</v>
      </c>
      <c r="BO281" s="16">
        <v>2463</v>
      </c>
      <c r="BP281" s="16">
        <f t="shared" si="314"/>
        <v>229</v>
      </c>
      <c r="BQ281" s="16"/>
      <c r="BR281" s="16"/>
      <c r="BS281" s="80">
        <v>2015</v>
      </c>
      <c r="BT281" s="81" t="s">
        <v>47</v>
      </c>
      <c r="BU281" s="15"/>
      <c r="BV281" s="15"/>
      <c r="BW281" s="15"/>
      <c r="BX281" s="35"/>
      <c r="BY281" s="35"/>
      <c r="BZ281" s="35"/>
      <c r="CA281" s="35"/>
      <c r="CB281" s="16"/>
      <c r="CC281" s="16"/>
      <c r="CD281" s="16"/>
      <c r="CE281" s="16"/>
      <c r="CF281" s="16"/>
      <c r="CG281" s="80">
        <v>2015</v>
      </c>
      <c r="CH281" s="81" t="s">
        <v>47</v>
      </c>
      <c r="CI281" s="15"/>
      <c r="CJ281" s="15"/>
      <c r="CK281" s="15"/>
      <c r="CL281" s="35"/>
      <c r="CM281" s="35"/>
      <c r="CN281" s="35"/>
      <c r="CO281" s="35"/>
      <c r="CP281" s="16"/>
      <c r="CQ281" s="16"/>
      <c r="CR281" s="16"/>
      <c r="CS281" s="16"/>
      <c r="CT281" s="16"/>
      <c r="CU281" s="80">
        <v>2015</v>
      </c>
      <c r="CV281" s="81" t="s">
        <v>47</v>
      </c>
      <c r="CW281" s="15">
        <f t="shared" si="282"/>
        <v>0.83902630545740087</v>
      </c>
      <c r="CX281" s="15">
        <f t="shared" si="283"/>
        <v>0.89041666666666663</v>
      </c>
      <c r="CY281" s="15">
        <f t="shared" si="284"/>
        <v>0.94228504122497059</v>
      </c>
      <c r="CZ281" s="16"/>
      <c r="DA281" s="16"/>
      <c r="DB281" s="16">
        <v>2547</v>
      </c>
      <c r="DC281" s="16">
        <f>DB281-DD281</f>
        <v>147</v>
      </c>
      <c r="DD281" s="16">
        <v>2400</v>
      </c>
      <c r="DE281" s="16">
        <v>2137</v>
      </c>
      <c r="DF281" s="16">
        <f>DD281-DE281</f>
        <v>263</v>
      </c>
      <c r="DG281" s="16"/>
      <c r="DH281" s="16"/>
      <c r="DI281" s="80">
        <v>2015</v>
      </c>
      <c r="DJ281" s="81" t="s">
        <v>47</v>
      </c>
      <c r="DK281" s="15">
        <f t="shared" si="287"/>
        <v>0.73281596452328157</v>
      </c>
      <c r="DL281" s="15">
        <f t="shared" si="288"/>
        <v>0.88844086021505375</v>
      </c>
      <c r="DM281" s="15">
        <f t="shared" si="289"/>
        <v>0.82483370288248337</v>
      </c>
      <c r="DN281" s="16"/>
      <c r="DO281" s="16"/>
      <c r="DP281" s="16">
        <v>902</v>
      </c>
      <c r="DQ281" s="16">
        <f>DP281-DR281</f>
        <v>158</v>
      </c>
      <c r="DR281" s="16">
        <v>744</v>
      </c>
      <c r="DS281" s="16">
        <v>661</v>
      </c>
      <c r="DT281" s="16">
        <f t="shared" si="305"/>
        <v>83</v>
      </c>
      <c r="DU281" s="16"/>
      <c r="DV281" s="16"/>
      <c r="DW281" s="80">
        <v>2015</v>
      </c>
      <c r="DX281" s="81" t="s">
        <v>47</v>
      </c>
      <c r="DY281" s="15">
        <f t="shared" si="290"/>
        <v>0.83065134099616855</v>
      </c>
      <c r="DZ281" s="15">
        <f t="shared" si="291"/>
        <v>0.9508771929824561</v>
      </c>
      <c r="EA281" s="15">
        <f t="shared" si="292"/>
        <v>0.87356321839080464</v>
      </c>
      <c r="EB281" s="16"/>
      <c r="EC281" s="16"/>
      <c r="ED281" s="16">
        <v>1305</v>
      </c>
      <c r="EE281" s="16">
        <f>ED281-EF281</f>
        <v>165</v>
      </c>
      <c r="EF281" s="16">
        <v>1140</v>
      </c>
      <c r="EG281" s="16">
        <v>1084</v>
      </c>
      <c r="EH281" s="16">
        <f t="shared" si="307"/>
        <v>56</v>
      </c>
      <c r="EI281" s="16"/>
      <c r="EJ281" s="16"/>
      <c r="EK281" s="80"/>
      <c r="EL281" s="81"/>
      <c r="EM281" s="15"/>
      <c r="EN281" s="15"/>
      <c r="EO281" s="15"/>
      <c r="EP281" s="16"/>
      <c r="EQ281" s="16"/>
      <c r="ER281" s="16"/>
      <c r="ES281" s="16"/>
      <c r="ET281" s="16"/>
      <c r="EU281" s="16"/>
      <c r="EV281" s="16"/>
      <c r="EW281" s="16"/>
      <c r="EX281" s="16"/>
      <c r="EY281" s="80"/>
      <c r="EZ281" s="81"/>
      <c r="FA281" s="15"/>
      <c r="FB281" s="15"/>
      <c r="FC281" s="15"/>
      <c r="FD281" s="16"/>
      <c r="FE281" s="16"/>
      <c r="FF281" s="16"/>
      <c r="FG281" s="16"/>
      <c r="FH281" s="16"/>
      <c r="FI281" s="16"/>
      <c r="FJ281" s="16"/>
      <c r="FK281" s="16"/>
      <c r="FM281" s="80"/>
      <c r="FN281" s="81"/>
      <c r="FO281" s="15"/>
      <c r="FP281" s="15"/>
      <c r="FQ281" s="15"/>
      <c r="FR281" s="16"/>
      <c r="FS281" s="16"/>
      <c r="FT281" s="16"/>
      <c r="FU281" s="16"/>
      <c r="FV281" s="16"/>
      <c r="FW281" s="16"/>
      <c r="FX281" s="16"/>
      <c r="FY281" s="16"/>
      <c r="GA281" s="80"/>
      <c r="GB281" s="81"/>
      <c r="GC281" s="15"/>
      <c r="GD281" s="15"/>
      <c r="GE281" s="15"/>
      <c r="GF281" s="16"/>
      <c r="GG281" s="16"/>
      <c r="GH281" s="16"/>
      <c r="GI281" s="16"/>
      <c r="GJ281" s="16"/>
      <c r="GK281" s="16"/>
      <c r="GL281" s="16"/>
      <c r="GM281" s="16"/>
    </row>
    <row r="282" spans="1:195" s="18" customFormat="1" ht="15" customHeight="1">
      <c r="A282" s="78">
        <v>2016</v>
      </c>
      <c r="B282" s="79" t="s">
        <v>36</v>
      </c>
      <c r="C282" s="15">
        <f t="shared" si="293"/>
        <v>0.91397652237710936</v>
      </c>
      <c r="D282" s="15">
        <f t="shared" si="294"/>
        <v>0.94908259793029015</v>
      </c>
      <c r="E282" s="15">
        <f t="shared" si="295"/>
        <v>0.96301051601858645</v>
      </c>
      <c r="F282" s="16"/>
      <c r="G282" s="33"/>
      <c r="H28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16356</v>
      </c>
      <c r="I282" s="16">
        <f t="shared" si="296"/>
        <v>605</v>
      </c>
      <c r="J28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15751</v>
      </c>
      <c r="K28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14949</v>
      </c>
      <c r="L282" s="16">
        <f t="shared" si="297"/>
        <v>802</v>
      </c>
      <c r="M282" s="16"/>
      <c r="N282" s="16"/>
      <c r="O282" s="78">
        <v>2016</v>
      </c>
      <c r="P282" s="79" t="s">
        <v>36</v>
      </c>
      <c r="Q282" s="15">
        <f t="shared" si="270"/>
        <v>0.92272519433013256</v>
      </c>
      <c r="R282" s="15">
        <f t="shared" si="271"/>
        <v>0.94079254079254082</v>
      </c>
      <c r="S282" s="15">
        <f t="shared" si="272"/>
        <v>0.98079561042524011</v>
      </c>
      <c r="T282" s="26"/>
      <c r="U282" s="26"/>
      <c r="V282" s="16">
        <v>4374</v>
      </c>
      <c r="W282" s="16">
        <f t="shared" ref="W282:W293" si="315">V282-X282</f>
        <v>84</v>
      </c>
      <c r="X282" s="16">
        <v>4290</v>
      </c>
      <c r="Y282" s="16">
        <v>4036</v>
      </c>
      <c r="Z282" s="16">
        <f t="shared" ref="Z282:Z293" si="316">X282-Y282</f>
        <v>254</v>
      </c>
      <c r="AA282" s="16"/>
      <c r="AB282" s="16"/>
      <c r="AC282" s="78"/>
      <c r="AD282" s="79"/>
      <c r="AE282" s="15"/>
      <c r="AF282" s="15"/>
      <c r="AG282" s="15"/>
      <c r="AH282" s="15"/>
      <c r="AI282" s="15"/>
      <c r="AJ282" s="16"/>
      <c r="AK282" s="16"/>
      <c r="AL282" s="16"/>
      <c r="AM282" s="16"/>
      <c r="AN282" s="16"/>
      <c r="AO282" s="16"/>
      <c r="AP282" s="16"/>
      <c r="AQ282" s="78">
        <v>2016</v>
      </c>
      <c r="AR282" s="79" t="s">
        <v>36</v>
      </c>
      <c r="AS282" s="15">
        <f t="shared" si="273"/>
        <v>0.94747801943544652</v>
      </c>
      <c r="AT282" s="15">
        <f t="shared" si="274"/>
        <v>0.97153024911032027</v>
      </c>
      <c r="AU282" s="15">
        <f t="shared" si="275"/>
        <v>0.97524294308190651</v>
      </c>
      <c r="AV282" s="16"/>
      <c r="AW282" s="16"/>
      <c r="AX282" s="16">
        <v>4322</v>
      </c>
      <c r="AY282" s="16">
        <f t="shared" ref="AY282:AY293" si="317">AX282-AZ282</f>
        <v>107</v>
      </c>
      <c r="AZ282" s="16">
        <v>4215</v>
      </c>
      <c r="BA282" s="16">
        <v>4095</v>
      </c>
      <c r="BB282" s="16">
        <f t="shared" ref="BB282:BB293" si="318">AZ282-BA282</f>
        <v>120</v>
      </c>
      <c r="BC282" s="16"/>
      <c r="BD282" s="16"/>
      <c r="BE282" s="78">
        <v>2016</v>
      </c>
      <c r="BF282" s="79" t="s">
        <v>36</v>
      </c>
      <c r="BG282" s="15">
        <f t="shared" si="310"/>
        <v>0.95741710296684124</v>
      </c>
      <c r="BH282" s="15">
        <f t="shared" si="311"/>
        <v>0.96144409393620756</v>
      </c>
      <c r="BI282" s="15">
        <f t="shared" si="312"/>
        <v>0.99581151832460735</v>
      </c>
      <c r="BJ282" s="16"/>
      <c r="BK282" s="16"/>
      <c r="BL282" s="16">
        <v>2865</v>
      </c>
      <c r="BM282" s="16">
        <f t="shared" ref="BM282:BM293" si="319">BL282-BN282</f>
        <v>12</v>
      </c>
      <c r="BN282" s="16">
        <v>2853</v>
      </c>
      <c r="BO282" s="16">
        <v>2743</v>
      </c>
      <c r="BP282" s="16">
        <f t="shared" ref="BP282:BP293" si="320">BN282-BO282</f>
        <v>110</v>
      </c>
      <c r="BQ282" s="16"/>
      <c r="BR282" s="16"/>
      <c r="BS282" s="78">
        <v>2016</v>
      </c>
      <c r="BT282" s="79" t="s">
        <v>36</v>
      </c>
      <c r="BU282" s="15"/>
      <c r="BV282" s="15"/>
      <c r="BW282" s="15"/>
      <c r="BX282" s="35"/>
      <c r="BY282" s="35"/>
      <c r="BZ282" s="35"/>
      <c r="CA282" s="35"/>
      <c r="CB282" s="16"/>
      <c r="CC282" s="16"/>
      <c r="CD282" s="16"/>
      <c r="CE282" s="16"/>
      <c r="CF282" s="16"/>
      <c r="CG282" s="78">
        <v>2016</v>
      </c>
      <c r="CH282" s="79" t="s">
        <v>36</v>
      </c>
      <c r="CI282" s="15"/>
      <c r="CJ282" s="15"/>
      <c r="CK282" s="15"/>
      <c r="CL282" s="35"/>
      <c r="CM282" s="35"/>
      <c r="CN282" s="35"/>
      <c r="CO282" s="35"/>
      <c r="CP282" s="16"/>
      <c r="CQ282" s="16"/>
      <c r="CR282" s="16"/>
      <c r="CS282" s="16"/>
      <c r="CT282" s="16"/>
      <c r="CU282" s="78">
        <v>2016</v>
      </c>
      <c r="CV282" s="79" t="s">
        <v>36</v>
      </c>
      <c r="CW282" s="15">
        <f t="shared" si="282"/>
        <v>0.87596899224806202</v>
      </c>
      <c r="CX282" s="15">
        <f t="shared" si="283"/>
        <v>0.921320831634733</v>
      </c>
      <c r="CY282" s="15">
        <f t="shared" si="284"/>
        <v>0.95077519379844966</v>
      </c>
      <c r="CZ282" s="16"/>
      <c r="DA282" s="16"/>
      <c r="DB282" s="16">
        <v>2580</v>
      </c>
      <c r="DC282" s="16">
        <f t="shared" ref="DC282:DC293" si="321">DB282-DD282</f>
        <v>127</v>
      </c>
      <c r="DD282" s="16">
        <v>2453</v>
      </c>
      <c r="DE282" s="16">
        <v>2260</v>
      </c>
      <c r="DF282" s="16">
        <f t="shared" ref="DF282:DF293" si="322">DD282-DE282</f>
        <v>193</v>
      </c>
      <c r="DG282" s="16"/>
      <c r="DH282" s="16"/>
      <c r="DI282" s="78">
        <v>2016</v>
      </c>
      <c r="DJ282" s="79" t="s">
        <v>36</v>
      </c>
      <c r="DK282" s="15">
        <f t="shared" si="287"/>
        <v>0.73951434878587197</v>
      </c>
      <c r="DL282" s="15">
        <f t="shared" si="288"/>
        <v>0.89812332439678288</v>
      </c>
      <c r="DM282" s="15">
        <f t="shared" si="289"/>
        <v>0.82339955849889623</v>
      </c>
      <c r="DN282" s="16"/>
      <c r="DO282" s="16"/>
      <c r="DP282" s="16">
        <v>906</v>
      </c>
      <c r="DQ282" s="16">
        <f t="shared" ref="DQ282:DQ293" si="323">DP282-DR282</f>
        <v>160</v>
      </c>
      <c r="DR282" s="16">
        <v>746</v>
      </c>
      <c r="DS282" s="16">
        <v>670</v>
      </c>
      <c r="DT282" s="16">
        <f t="shared" ref="DT282:DT293" si="324">DR282-DS282</f>
        <v>76</v>
      </c>
      <c r="DU282" s="16"/>
      <c r="DV282" s="16"/>
      <c r="DW282" s="78">
        <v>2016</v>
      </c>
      <c r="DX282" s="79" t="s">
        <v>36</v>
      </c>
      <c r="DY282" s="15">
        <f t="shared" si="290"/>
        <v>0.87471352177234529</v>
      </c>
      <c r="DZ282" s="15">
        <f t="shared" si="291"/>
        <v>0.95896147403685095</v>
      </c>
      <c r="EA282" s="15">
        <f t="shared" si="292"/>
        <v>0.91214667685255924</v>
      </c>
      <c r="EB282" s="16"/>
      <c r="EC282" s="16"/>
      <c r="ED282" s="16">
        <v>1309</v>
      </c>
      <c r="EE282" s="16">
        <f t="shared" ref="EE282:EE293" si="325">ED282-EF282</f>
        <v>115</v>
      </c>
      <c r="EF282" s="16">
        <v>1194</v>
      </c>
      <c r="EG282" s="16">
        <v>1145</v>
      </c>
      <c r="EH282" s="16">
        <f t="shared" ref="EH282:EH293" si="326">EF282-EG282</f>
        <v>49</v>
      </c>
      <c r="EI282" s="16"/>
      <c r="EJ282" s="16"/>
      <c r="EK282" s="78"/>
      <c r="EL282" s="79"/>
      <c r="EM282" s="15"/>
      <c r="EN282" s="15"/>
      <c r="EO282" s="15"/>
      <c r="EP282" s="16"/>
      <c r="EQ282" s="16"/>
      <c r="ER282" s="16"/>
      <c r="ES282" s="16"/>
      <c r="ET282" s="16"/>
      <c r="EU282" s="16"/>
      <c r="EV282" s="16"/>
      <c r="EW282" s="16"/>
      <c r="EX282" s="16"/>
      <c r="EY282" s="78"/>
      <c r="EZ282" s="79"/>
      <c r="FA282" s="15"/>
      <c r="FB282" s="15"/>
      <c r="FC282" s="15"/>
      <c r="FD282" s="16"/>
      <c r="FE282" s="16"/>
      <c r="FF282" s="16"/>
      <c r="FG282" s="16"/>
      <c r="FH282" s="16"/>
      <c r="FI282" s="16"/>
      <c r="FJ282" s="16"/>
      <c r="FK282" s="16"/>
      <c r="FM282" s="78"/>
      <c r="FN282" s="79"/>
      <c r="FO282" s="15"/>
      <c r="FP282" s="15"/>
      <c r="FQ282" s="15"/>
      <c r="FR282" s="16"/>
      <c r="FS282" s="16"/>
      <c r="FT282" s="16"/>
      <c r="FU282" s="16"/>
      <c r="FV282" s="16"/>
      <c r="FW282" s="16"/>
      <c r="FX282" s="16"/>
      <c r="FY282" s="16"/>
      <c r="GA282" s="78"/>
      <c r="GB282" s="79"/>
      <c r="GC282" s="15"/>
      <c r="GD282" s="15"/>
      <c r="GE282" s="15"/>
      <c r="GF282" s="16"/>
      <c r="GG282" s="16"/>
      <c r="GH282" s="16"/>
      <c r="GI282" s="16"/>
      <c r="GJ282" s="16"/>
      <c r="GK282" s="16"/>
      <c r="GL282" s="16"/>
      <c r="GM282" s="16"/>
    </row>
    <row r="283" spans="1:195" s="18" customFormat="1" ht="15" customHeight="1">
      <c r="A283" s="80">
        <v>2016</v>
      </c>
      <c r="B283" s="81" t="s">
        <v>37</v>
      </c>
      <c r="C283" s="15">
        <f t="shared" si="293"/>
        <v>0.86388122454342398</v>
      </c>
      <c r="D283" s="15">
        <f t="shared" si="294"/>
        <v>0.91714325568419586</v>
      </c>
      <c r="E283" s="15">
        <f t="shared" si="295"/>
        <v>0.94192615950597824</v>
      </c>
      <c r="F283" s="16"/>
      <c r="G283" s="33"/>
      <c r="H28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15222</v>
      </c>
      <c r="I283" s="16">
        <f t="shared" si="296"/>
        <v>884</v>
      </c>
      <c r="J28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14338</v>
      </c>
      <c r="K28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13150</v>
      </c>
      <c r="L283" s="16">
        <f t="shared" si="297"/>
        <v>1188</v>
      </c>
      <c r="M283" s="16"/>
      <c r="N283" s="16"/>
      <c r="O283" s="80">
        <v>2016</v>
      </c>
      <c r="P283" s="81" t="s">
        <v>37</v>
      </c>
      <c r="Q283" s="15">
        <f t="shared" si="270"/>
        <v>0.84792739759627178</v>
      </c>
      <c r="R283" s="15">
        <f t="shared" si="271"/>
        <v>0.88823227132579652</v>
      </c>
      <c r="S283" s="15">
        <f t="shared" si="272"/>
        <v>0.95462349766985533</v>
      </c>
      <c r="T283" s="26"/>
      <c r="U283" s="26"/>
      <c r="V283" s="16">
        <v>4077</v>
      </c>
      <c r="W283" s="16">
        <f t="shared" si="315"/>
        <v>185</v>
      </c>
      <c r="X283" s="16">
        <v>3892</v>
      </c>
      <c r="Y283" s="16">
        <v>3457</v>
      </c>
      <c r="Z283" s="16">
        <f t="shared" si="316"/>
        <v>435</v>
      </c>
      <c r="AA283" s="16"/>
      <c r="AB283" s="16"/>
      <c r="AC283" s="80"/>
      <c r="AD283" s="81"/>
      <c r="AE283" s="15"/>
      <c r="AF283" s="15"/>
      <c r="AG283" s="15"/>
      <c r="AH283" s="15"/>
      <c r="AI283" s="15"/>
      <c r="AJ283" s="16"/>
      <c r="AK283" s="16"/>
      <c r="AL283" s="16"/>
      <c r="AM283" s="16"/>
      <c r="AN283" s="16"/>
      <c r="AO283" s="16"/>
      <c r="AP283" s="16"/>
      <c r="AQ283" s="80">
        <v>2016</v>
      </c>
      <c r="AR283" s="81" t="s">
        <v>37</v>
      </c>
      <c r="AS283" s="15">
        <f t="shared" si="273"/>
        <v>0.90124069478908186</v>
      </c>
      <c r="AT283" s="15">
        <f t="shared" si="274"/>
        <v>0.94756065744847373</v>
      </c>
      <c r="AU283" s="15">
        <f t="shared" si="275"/>
        <v>0.95111662531017371</v>
      </c>
      <c r="AV283" s="16"/>
      <c r="AW283" s="16"/>
      <c r="AX283" s="16">
        <v>4030</v>
      </c>
      <c r="AY283" s="16">
        <f t="shared" si="317"/>
        <v>197</v>
      </c>
      <c r="AZ283" s="16">
        <v>3833</v>
      </c>
      <c r="BA283" s="16">
        <v>3632</v>
      </c>
      <c r="BB283" s="16">
        <f t="shared" si="318"/>
        <v>201</v>
      </c>
      <c r="BC283" s="16"/>
      <c r="BD283" s="16"/>
      <c r="BE283" s="80">
        <v>2016</v>
      </c>
      <c r="BF283" s="81" t="s">
        <v>37</v>
      </c>
      <c r="BG283" s="15">
        <f t="shared" si="310"/>
        <v>0.87164967912419777</v>
      </c>
      <c r="BH283" s="15">
        <f t="shared" si="311"/>
        <v>0.90762578616352196</v>
      </c>
      <c r="BI283" s="15">
        <f t="shared" si="312"/>
        <v>0.96036240090600222</v>
      </c>
      <c r="BJ283" s="16"/>
      <c r="BK283" s="16"/>
      <c r="BL283" s="16">
        <v>2649</v>
      </c>
      <c r="BM283" s="16">
        <f t="shared" si="319"/>
        <v>105</v>
      </c>
      <c r="BN283" s="16">
        <v>2544</v>
      </c>
      <c r="BO283" s="16">
        <v>2309</v>
      </c>
      <c r="BP283" s="16">
        <f t="shared" si="320"/>
        <v>235</v>
      </c>
      <c r="BQ283" s="16"/>
      <c r="BR283" s="16"/>
      <c r="BS283" s="80">
        <v>2016</v>
      </c>
      <c r="BT283" s="81" t="s">
        <v>37</v>
      </c>
      <c r="BU283" s="15"/>
      <c r="BV283" s="15"/>
      <c r="BW283" s="15"/>
      <c r="BX283" s="35"/>
      <c r="BY283" s="35"/>
      <c r="BZ283" s="35"/>
      <c r="CA283" s="35"/>
      <c r="CB283" s="16"/>
      <c r="CC283" s="16"/>
      <c r="CD283" s="16"/>
      <c r="CE283" s="16"/>
      <c r="CF283" s="16"/>
      <c r="CG283" s="80">
        <v>2016</v>
      </c>
      <c r="CH283" s="81" t="s">
        <v>37</v>
      </c>
      <c r="CI283" s="15"/>
      <c r="CJ283" s="15"/>
      <c r="CK283" s="15"/>
      <c r="CL283" s="35"/>
      <c r="CM283" s="35"/>
      <c r="CN283" s="35"/>
      <c r="CO283" s="35"/>
      <c r="CP283" s="16"/>
      <c r="CQ283" s="16"/>
      <c r="CR283" s="16"/>
      <c r="CS283" s="16"/>
      <c r="CT283" s="16"/>
      <c r="CU283" s="80">
        <v>2016</v>
      </c>
      <c r="CV283" s="81" t="s">
        <v>37</v>
      </c>
      <c r="CW283" s="15">
        <f t="shared" si="282"/>
        <v>0.85815602836879434</v>
      </c>
      <c r="CX283" s="15">
        <f t="shared" si="283"/>
        <v>0.91219512195121955</v>
      </c>
      <c r="CY283" s="15">
        <f t="shared" si="284"/>
        <v>0.94075928243637885</v>
      </c>
      <c r="CZ283" s="16"/>
      <c r="DA283" s="16"/>
      <c r="DB283" s="16">
        <v>2397</v>
      </c>
      <c r="DC283" s="16">
        <f t="shared" si="321"/>
        <v>142</v>
      </c>
      <c r="DD283" s="16">
        <v>2255</v>
      </c>
      <c r="DE283" s="16">
        <v>2057</v>
      </c>
      <c r="DF283" s="16">
        <f t="shared" si="322"/>
        <v>198</v>
      </c>
      <c r="DG283" s="16"/>
      <c r="DH283" s="16"/>
      <c r="DI283" s="80">
        <v>2016</v>
      </c>
      <c r="DJ283" s="81" t="s">
        <v>37</v>
      </c>
      <c r="DK283" s="15">
        <f t="shared" si="287"/>
        <v>0.73404255319148937</v>
      </c>
      <c r="DL283" s="15">
        <f t="shared" si="288"/>
        <v>0.89352517985611513</v>
      </c>
      <c r="DM283" s="15">
        <f t="shared" si="289"/>
        <v>0.82151300236406621</v>
      </c>
      <c r="DN283" s="16"/>
      <c r="DO283" s="16"/>
      <c r="DP283" s="16">
        <v>846</v>
      </c>
      <c r="DQ283" s="16">
        <f t="shared" si="323"/>
        <v>151</v>
      </c>
      <c r="DR283" s="16">
        <v>695</v>
      </c>
      <c r="DS283" s="16">
        <v>621</v>
      </c>
      <c r="DT283" s="16">
        <f t="shared" si="324"/>
        <v>74</v>
      </c>
      <c r="DU283" s="16"/>
      <c r="DV283" s="16"/>
      <c r="DW283" s="80">
        <v>2016</v>
      </c>
      <c r="DX283" s="81" t="s">
        <v>37</v>
      </c>
      <c r="DY283" s="15">
        <f t="shared" si="290"/>
        <v>0.87816843826655766</v>
      </c>
      <c r="DZ283" s="15">
        <f t="shared" si="291"/>
        <v>0.95978552278820373</v>
      </c>
      <c r="EA283" s="15">
        <f t="shared" si="292"/>
        <v>0.91496320523303354</v>
      </c>
      <c r="EB283" s="16"/>
      <c r="EC283" s="16"/>
      <c r="ED283" s="16">
        <v>1223</v>
      </c>
      <c r="EE283" s="16">
        <f t="shared" si="325"/>
        <v>104</v>
      </c>
      <c r="EF283" s="16">
        <v>1119</v>
      </c>
      <c r="EG283" s="16">
        <v>1074</v>
      </c>
      <c r="EH283" s="16">
        <f t="shared" si="326"/>
        <v>45</v>
      </c>
      <c r="EI283" s="16"/>
      <c r="EJ283" s="16"/>
      <c r="EK283" s="80"/>
      <c r="EL283" s="81"/>
      <c r="EM283" s="15"/>
      <c r="EN283" s="15"/>
      <c r="EO283" s="15"/>
      <c r="EP283" s="16"/>
      <c r="EQ283" s="16"/>
      <c r="ER283" s="16"/>
      <c r="ES283" s="16"/>
      <c r="ET283" s="16"/>
      <c r="EU283" s="16"/>
      <c r="EV283" s="16"/>
      <c r="EW283" s="16"/>
      <c r="EX283" s="16"/>
      <c r="EY283" s="80"/>
      <c r="EZ283" s="81"/>
      <c r="FA283" s="15"/>
      <c r="FB283" s="15"/>
      <c r="FC283" s="15"/>
      <c r="FD283" s="16"/>
      <c r="FE283" s="16"/>
      <c r="FF283" s="16"/>
      <c r="FG283" s="16"/>
      <c r="FH283" s="16"/>
      <c r="FI283" s="16"/>
      <c r="FJ283" s="16"/>
      <c r="FK283" s="16"/>
      <c r="FM283" s="80"/>
      <c r="FN283" s="81"/>
      <c r="FO283" s="15"/>
      <c r="FP283" s="15"/>
      <c r="FQ283" s="15"/>
      <c r="FR283" s="16"/>
      <c r="FS283" s="16"/>
      <c r="FT283" s="16"/>
      <c r="FU283" s="16"/>
      <c r="FV283" s="16"/>
      <c r="FW283" s="16"/>
      <c r="FX283" s="16"/>
      <c r="FY283" s="16"/>
      <c r="GA283" s="80"/>
      <c r="GB283" s="81"/>
      <c r="GC283" s="15"/>
      <c r="GD283" s="15"/>
      <c r="GE283" s="15"/>
      <c r="GF283" s="16"/>
      <c r="GG283" s="16"/>
      <c r="GH283" s="16"/>
      <c r="GI283" s="16"/>
      <c r="GJ283" s="16"/>
      <c r="GK283" s="16"/>
      <c r="GL283" s="16"/>
      <c r="GM283" s="16"/>
    </row>
    <row r="284" spans="1:195" s="18" customFormat="1" ht="15" customHeight="1">
      <c r="A284" s="78">
        <v>2016</v>
      </c>
      <c r="B284" s="79" t="s">
        <v>38</v>
      </c>
      <c r="C284" s="15">
        <f t="shared" si="293"/>
        <v>0.90155046615322254</v>
      </c>
      <c r="D284" s="15">
        <f t="shared" si="294"/>
        <v>0.93939073966527642</v>
      </c>
      <c r="E284" s="15">
        <f t="shared" si="295"/>
        <v>0.95971828131333603</v>
      </c>
      <c r="F284" s="16"/>
      <c r="G284" s="33"/>
      <c r="H28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19736</v>
      </c>
      <c r="I284" s="16">
        <f t="shared" si="296"/>
        <v>795</v>
      </c>
      <c r="J28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18941</v>
      </c>
      <c r="K28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17793</v>
      </c>
      <c r="L284" s="16">
        <f t="shared" si="297"/>
        <v>1148</v>
      </c>
      <c r="M284" s="32"/>
      <c r="N284" s="32"/>
      <c r="O284" s="78">
        <v>2016</v>
      </c>
      <c r="P284" s="79" t="s">
        <v>38</v>
      </c>
      <c r="Q284" s="15">
        <f t="shared" si="270"/>
        <v>0.86859485310863127</v>
      </c>
      <c r="R284" s="15">
        <f t="shared" si="271"/>
        <v>0.89995280792826804</v>
      </c>
      <c r="S284" s="15">
        <f t="shared" si="272"/>
        <v>0.96515600091095421</v>
      </c>
      <c r="T284" s="26"/>
      <c r="U284" s="26"/>
      <c r="V284" s="16">
        <v>4391</v>
      </c>
      <c r="W284" s="16">
        <f t="shared" si="315"/>
        <v>153</v>
      </c>
      <c r="X284" s="16">
        <v>4238</v>
      </c>
      <c r="Y284" s="16">
        <v>3814</v>
      </c>
      <c r="Z284" s="16">
        <f t="shared" si="316"/>
        <v>424</v>
      </c>
      <c r="AA284" s="16"/>
      <c r="AB284" s="16"/>
      <c r="AC284" s="78"/>
      <c r="AD284" s="79"/>
      <c r="AE284" s="15"/>
      <c r="AF284" s="15"/>
      <c r="AG284" s="15"/>
      <c r="AH284" s="15"/>
      <c r="AI284" s="15"/>
      <c r="AJ284" s="16"/>
      <c r="AK284" s="16"/>
      <c r="AL284" s="16"/>
      <c r="AM284" s="16"/>
      <c r="AN284" s="16"/>
      <c r="AO284" s="16"/>
      <c r="AP284" s="16"/>
      <c r="AQ284" s="78">
        <v>2016</v>
      </c>
      <c r="AR284" s="79" t="s">
        <v>38</v>
      </c>
      <c r="AS284" s="15">
        <f t="shared" si="273"/>
        <v>0.9167819271553711</v>
      </c>
      <c r="AT284" s="15">
        <f t="shared" si="274"/>
        <v>0.96039603960396036</v>
      </c>
      <c r="AU284" s="15">
        <f t="shared" si="275"/>
        <v>0.95458736745043804</v>
      </c>
      <c r="AV284" s="16"/>
      <c r="AW284" s="16"/>
      <c r="AX284" s="16">
        <v>4338</v>
      </c>
      <c r="AY284" s="16">
        <f t="shared" si="317"/>
        <v>197</v>
      </c>
      <c r="AZ284" s="16">
        <v>4141</v>
      </c>
      <c r="BA284" s="16">
        <v>3977</v>
      </c>
      <c r="BB284" s="16">
        <f t="shared" si="318"/>
        <v>164</v>
      </c>
      <c r="BC284" s="16"/>
      <c r="BD284" s="16"/>
      <c r="BE284" s="78">
        <v>2016</v>
      </c>
      <c r="BF284" s="79" t="s">
        <v>38</v>
      </c>
      <c r="BG284" s="15">
        <f t="shared" si="310"/>
        <v>0.92518184967093864</v>
      </c>
      <c r="BH284" s="15">
        <f t="shared" si="311"/>
        <v>0.94148748678181182</v>
      </c>
      <c r="BI284" s="15">
        <f t="shared" si="312"/>
        <v>0.98268098372012469</v>
      </c>
      <c r="BJ284" s="16"/>
      <c r="BK284" s="16"/>
      <c r="BL284" s="16">
        <v>2887</v>
      </c>
      <c r="BM284" s="16">
        <f t="shared" si="319"/>
        <v>50</v>
      </c>
      <c r="BN284" s="16">
        <v>2837</v>
      </c>
      <c r="BO284" s="16">
        <v>2671</v>
      </c>
      <c r="BP284" s="16">
        <f t="shared" si="320"/>
        <v>166</v>
      </c>
      <c r="BQ284" s="16"/>
      <c r="BR284" s="16"/>
      <c r="BS284" s="78">
        <v>2016</v>
      </c>
      <c r="BT284" s="79" t="s">
        <v>38</v>
      </c>
      <c r="BU284" s="15">
        <f t="shared" si="276"/>
        <v>0.9137291280148423</v>
      </c>
      <c r="BV284" s="15">
        <f t="shared" si="277"/>
        <v>0.95384118786313754</v>
      </c>
      <c r="BW284" s="15">
        <f t="shared" si="278"/>
        <v>0.95794681508967228</v>
      </c>
      <c r="BX284" s="16"/>
      <c r="BY284" s="16"/>
      <c r="BZ284" s="16">
        <v>3234</v>
      </c>
      <c r="CA284" s="16">
        <f>+BZ284-CB284</f>
        <v>136</v>
      </c>
      <c r="CB284" s="16">
        <v>3098</v>
      </c>
      <c r="CC284" s="16">
        <v>2955</v>
      </c>
      <c r="CD284" s="16">
        <f t="shared" ref="CD284:CD293" si="327">CB284-CC284</f>
        <v>143</v>
      </c>
      <c r="CE284" s="19" t="s">
        <v>59</v>
      </c>
      <c r="CF284" s="16"/>
      <c r="CG284" s="78">
        <v>2016</v>
      </c>
      <c r="CH284" s="79" t="s">
        <v>38</v>
      </c>
      <c r="CI284" s="15"/>
      <c r="CJ284" s="15"/>
      <c r="CK284" s="15"/>
      <c r="CL284" s="35"/>
      <c r="CM284" s="35"/>
      <c r="CN284" s="35"/>
      <c r="CO284" s="35"/>
      <c r="CP284" s="16"/>
      <c r="CQ284" s="16"/>
      <c r="CR284" s="16"/>
      <c r="CS284" s="16"/>
      <c r="CT284" s="16"/>
      <c r="CU284" s="78">
        <v>2016</v>
      </c>
      <c r="CV284" s="79" t="s">
        <v>38</v>
      </c>
      <c r="CW284" s="15">
        <f t="shared" si="282"/>
        <v>0.89704230625233994</v>
      </c>
      <c r="CX284" s="15">
        <f t="shared" si="283"/>
        <v>0.9330218068535826</v>
      </c>
      <c r="CY284" s="15">
        <f t="shared" si="284"/>
        <v>0.961437663796331</v>
      </c>
      <c r="CZ284" s="16"/>
      <c r="DA284" s="16"/>
      <c r="DB284" s="16">
        <v>2671</v>
      </c>
      <c r="DC284" s="16">
        <f t="shared" si="321"/>
        <v>103</v>
      </c>
      <c r="DD284" s="16">
        <v>2568</v>
      </c>
      <c r="DE284" s="16">
        <v>2396</v>
      </c>
      <c r="DF284" s="16">
        <f t="shared" si="322"/>
        <v>172</v>
      </c>
      <c r="DG284" s="16"/>
      <c r="DH284" s="16"/>
      <c r="DI284" s="78">
        <v>2016</v>
      </c>
      <c r="DJ284" s="79" t="s">
        <v>38</v>
      </c>
      <c r="DK284" s="15">
        <f t="shared" si="287"/>
        <v>0.87748344370860931</v>
      </c>
      <c r="DL284" s="15">
        <f t="shared" si="288"/>
        <v>0.95667870036101088</v>
      </c>
      <c r="DM284" s="15">
        <f t="shared" si="289"/>
        <v>0.91721854304635764</v>
      </c>
      <c r="DN284" s="16"/>
      <c r="DO284" s="16"/>
      <c r="DP284" s="16">
        <v>906</v>
      </c>
      <c r="DQ284" s="16">
        <f t="shared" si="323"/>
        <v>75</v>
      </c>
      <c r="DR284" s="16">
        <v>831</v>
      </c>
      <c r="DS284" s="16">
        <v>795</v>
      </c>
      <c r="DT284" s="16">
        <f t="shared" si="324"/>
        <v>36</v>
      </c>
      <c r="DU284" s="16"/>
      <c r="DV284" s="16"/>
      <c r="DW284" s="78">
        <v>2016</v>
      </c>
      <c r="DX284" s="79" t="s">
        <v>38</v>
      </c>
      <c r="DY284" s="15">
        <f t="shared" si="290"/>
        <v>0.90527119938884648</v>
      </c>
      <c r="DZ284" s="15">
        <f t="shared" si="291"/>
        <v>0.96498371335504884</v>
      </c>
      <c r="EA284" s="15">
        <f t="shared" si="292"/>
        <v>0.93812070282658522</v>
      </c>
      <c r="EB284" s="16"/>
      <c r="EC284" s="16"/>
      <c r="ED284" s="16">
        <v>1309</v>
      </c>
      <c r="EE284" s="16">
        <f t="shared" si="325"/>
        <v>81</v>
      </c>
      <c r="EF284" s="16">
        <v>1228</v>
      </c>
      <c r="EG284" s="16">
        <v>1185</v>
      </c>
      <c r="EH284" s="16">
        <f t="shared" si="326"/>
        <v>43</v>
      </c>
      <c r="EI284" s="16"/>
      <c r="EJ284" s="16"/>
      <c r="EK284" s="78"/>
      <c r="EL284" s="79"/>
      <c r="EM284" s="15"/>
      <c r="EN284" s="15"/>
      <c r="EO284" s="15"/>
      <c r="EP284" s="16"/>
      <c r="EQ284" s="16"/>
      <c r="ER284" s="16"/>
      <c r="ES284" s="16"/>
      <c r="ET284" s="16"/>
      <c r="EU284" s="16"/>
      <c r="EV284" s="16"/>
      <c r="EW284" s="16"/>
      <c r="EX284" s="16"/>
      <c r="EY284" s="78"/>
      <c r="EZ284" s="79"/>
      <c r="FA284" s="15"/>
      <c r="FB284" s="15"/>
      <c r="FC284" s="15"/>
      <c r="FD284" s="16"/>
      <c r="FE284" s="16"/>
      <c r="FF284" s="16"/>
      <c r="FG284" s="16"/>
      <c r="FH284" s="16"/>
      <c r="FI284" s="16"/>
      <c r="FJ284" s="16"/>
      <c r="FK284" s="16"/>
      <c r="FM284" s="78"/>
      <c r="FN284" s="79"/>
      <c r="FO284" s="15"/>
      <c r="FP284" s="15"/>
      <c r="FQ284" s="15"/>
      <c r="FR284" s="16"/>
      <c r="FS284" s="16"/>
      <c r="FT284" s="16"/>
      <c r="FU284" s="16"/>
      <c r="FV284" s="16"/>
      <c r="FW284" s="16"/>
      <c r="FX284" s="16"/>
      <c r="FY284" s="16"/>
      <c r="GA284" s="78"/>
      <c r="GB284" s="79"/>
      <c r="GC284" s="15"/>
      <c r="GD284" s="15"/>
      <c r="GE284" s="15"/>
      <c r="GF284" s="16"/>
      <c r="GG284" s="16"/>
      <c r="GH284" s="16"/>
      <c r="GI284" s="16"/>
      <c r="GJ284" s="16"/>
      <c r="GK284" s="16"/>
      <c r="GL284" s="16"/>
      <c r="GM284" s="16"/>
    </row>
    <row r="285" spans="1:195" s="18" customFormat="1" ht="15" customHeight="1">
      <c r="A285" s="80">
        <v>2016</v>
      </c>
      <c r="B285" s="81" t="s">
        <v>39</v>
      </c>
      <c r="C285" s="15">
        <f t="shared" si="293"/>
        <v>0.84527843811643311</v>
      </c>
      <c r="D285" s="15">
        <f t="shared" si="294"/>
        <v>0.88907804436878224</v>
      </c>
      <c r="E285" s="15">
        <f t="shared" si="295"/>
        <v>0.95073592635678517</v>
      </c>
      <c r="F285" s="16"/>
      <c r="G285" s="33"/>
      <c r="H28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19771</v>
      </c>
      <c r="I285" s="16">
        <f t="shared" si="296"/>
        <v>974</v>
      </c>
      <c r="J28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18797</v>
      </c>
      <c r="K28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16712</v>
      </c>
      <c r="L285" s="16">
        <f t="shared" si="297"/>
        <v>2085</v>
      </c>
      <c r="M285" s="32"/>
      <c r="N285" s="32"/>
      <c r="O285" s="80">
        <v>2016</v>
      </c>
      <c r="P285" s="81" t="s">
        <v>39</v>
      </c>
      <c r="Q285" s="15">
        <f t="shared" si="270"/>
        <v>0.78126452812645286</v>
      </c>
      <c r="R285" s="15">
        <f t="shared" si="271"/>
        <v>0.82478527607361962</v>
      </c>
      <c r="S285" s="15">
        <f t="shared" si="272"/>
        <v>0.94723384472338445</v>
      </c>
      <c r="T285" s="26"/>
      <c r="U285" s="26"/>
      <c r="V285" s="16">
        <v>4302</v>
      </c>
      <c r="W285" s="16">
        <f t="shared" si="315"/>
        <v>227</v>
      </c>
      <c r="X285" s="16">
        <v>4075</v>
      </c>
      <c r="Y285" s="16">
        <v>3361</v>
      </c>
      <c r="Z285" s="16">
        <f t="shared" si="316"/>
        <v>714</v>
      </c>
      <c r="AA285" s="16"/>
      <c r="AB285" s="16"/>
      <c r="AC285" s="80"/>
      <c r="AD285" s="81"/>
      <c r="AE285" s="15"/>
      <c r="AF285" s="15"/>
      <c r="AG285" s="15"/>
      <c r="AH285" s="15"/>
      <c r="AI285" s="15"/>
      <c r="AJ285" s="16"/>
      <c r="AK285" s="16"/>
      <c r="AL285" s="16"/>
      <c r="AM285" s="16"/>
      <c r="AN285" s="16"/>
      <c r="AO285" s="16"/>
      <c r="AP285" s="16"/>
      <c r="AQ285" s="80">
        <v>2016</v>
      </c>
      <c r="AR285" s="81" t="s">
        <v>39</v>
      </c>
      <c r="AS285" s="15">
        <f t="shared" si="273"/>
        <v>0.8502119642016015</v>
      </c>
      <c r="AT285" s="15">
        <f t="shared" si="274"/>
        <v>0.91299949418310566</v>
      </c>
      <c r="AU285" s="15">
        <f t="shared" si="275"/>
        <v>0.9312293923692887</v>
      </c>
      <c r="AV285" s="16"/>
      <c r="AW285" s="16"/>
      <c r="AX285" s="16">
        <v>4246</v>
      </c>
      <c r="AY285" s="16">
        <f t="shared" si="317"/>
        <v>292</v>
      </c>
      <c r="AZ285" s="16">
        <v>3954</v>
      </c>
      <c r="BA285" s="16">
        <v>3610</v>
      </c>
      <c r="BB285" s="16">
        <f t="shared" si="318"/>
        <v>344</v>
      </c>
      <c r="BC285" s="16"/>
      <c r="BD285" s="16"/>
      <c r="BE285" s="80">
        <v>2016</v>
      </c>
      <c r="BF285" s="81" t="s">
        <v>39</v>
      </c>
      <c r="BG285" s="15">
        <f t="shared" si="310"/>
        <v>0.88084516799445789</v>
      </c>
      <c r="BH285" s="15">
        <f t="shared" si="311"/>
        <v>0.89890420643336866</v>
      </c>
      <c r="BI285" s="15">
        <f t="shared" si="312"/>
        <v>0.97990994111534468</v>
      </c>
      <c r="BJ285" s="16"/>
      <c r="BK285" s="16"/>
      <c r="BL285" s="16">
        <v>2887</v>
      </c>
      <c r="BM285" s="16">
        <f t="shared" si="319"/>
        <v>58</v>
      </c>
      <c r="BN285" s="16">
        <v>2829</v>
      </c>
      <c r="BO285" s="16">
        <v>2543</v>
      </c>
      <c r="BP285" s="16">
        <f t="shared" si="320"/>
        <v>286</v>
      </c>
      <c r="BQ285" s="16"/>
      <c r="BR285" s="16"/>
      <c r="BS285" s="80">
        <v>2016</v>
      </c>
      <c r="BT285" s="81" t="s">
        <v>39</v>
      </c>
      <c r="BU285" s="15">
        <f t="shared" si="276"/>
        <v>0.88432122370936905</v>
      </c>
      <c r="BV285" s="15">
        <f t="shared" si="277"/>
        <v>0.93591905564924116</v>
      </c>
      <c r="BW285" s="15">
        <f t="shared" si="278"/>
        <v>0.94486934353091145</v>
      </c>
      <c r="BX285" s="16"/>
      <c r="BY285" s="16"/>
      <c r="BZ285" s="16">
        <v>3138</v>
      </c>
      <c r="CA285" s="16">
        <f>+BZ285-CB285</f>
        <v>173</v>
      </c>
      <c r="CB285" s="16">
        <v>2965</v>
      </c>
      <c r="CC285" s="16">
        <v>2775</v>
      </c>
      <c r="CD285" s="16">
        <f t="shared" si="327"/>
        <v>190</v>
      </c>
      <c r="CE285" s="16"/>
      <c r="CF285" s="16"/>
      <c r="CG285" s="80">
        <v>2016</v>
      </c>
      <c r="CH285" s="81" t="s">
        <v>39</v>
      </c>
      <c r="CI285" s="15"/>
      <c r="CJ285" s="15"/>
      <c r="CK285" s="15"/>
      <c r="CL285" s="35"/>
      <c r="CM285" s="35"/>
      <c r="CN285" s="35"/>
      <c r="CO285" s="35"/>
      <c r="CP285" s="16"/>
      <c r="CQ285" s="16"/>
      <c r="CR285" s="16"/>
      <c r="CS285" s="16"/>
      <c r="CT285" s="16"/>
      <c r="CU285" s="80">
        <v>2016</v>
      </c>
      <c r="CV285" s="81" t="s">
        <v>39</v>
      </c>
      <c r="CW285" s="15">
        <f t="shared" si="282"/>
        <v>0.8110236220472441</v>
      </c>
      <c r="CX285" s="15">
        <f t="shared" si="283"/>
        <v>0.84948453608247421</v>
      </c>
      <c r="CY285" s="15">
        <f t="shared" si="284"/>
        <v>0.95472440944881887</v>
      </c>
      <c r="CZ285" s="16"/>
      <c r="DA285" s="16"/>
      <c r="DB285" s="16">
        <v>3048</v>
      </c>
      <c r="DC285" s="16">
        <f t="shared" si="321"/>
        <v>138</v>
      </c>
      <c r="DD285" s="16">
        <v>2910</v>
      </c>
      <c r="DE285" s="16">
        <v>2472</v>
      </c>
      <c r="DF285" s="16">
        <f t="shared" si="322"/>
        <v>438</v>
      </c>
      <c r="DG285" s="16"/>
      <c r="DH285" s="16"/>
      <c r="DI285" s="80">
        <v>2016</v>
      </c>
      <c r="DJ285" s="81" t="s">
        <v>39</v>
      </c>
      <c r="DK285" s="15">
        <f t="shared" si="287"/>
        <v>0.86477272727272725</v>
      </c>
      <c r="DL285" s="15">
        <f t="shared" si="288"/>
        <v>0.92804878048780493</v>
      </c>
      <c r="DM285" s="15">
        <f t="shared" si="289"/>
        <v>0.93181818181818177</v>
      </c>
      <c r="DN285" s="16"/>
      <c r="DO285" s="16"/>
      <c r="DP285" s="16">
        <v>880</v>
      </c>
      <c r="DQ285" s="16">
        <f t="shared" si="323"/>
        <v>60</v>
      </c>
      <c r="DR285" s="16">
        <v>820</v>
      </c>
      <c r="DS285" s="16">
        <v>761</v>
      </c>
      <c r="DT285" s="16">
        <f t="shared" si="324"/>
        <v>59</v>
      </c>
      <c r="DU285" s="16"/>
      <c r="DV285" s="16"/>
      <c r="DW285" s="80">
        <v>2016</v>
      </c>
      <c r="DX285" s="81" t="s">
        <v>39</v>
      </c>
      <c r="DY285" s="15">
        <f t="shared" si="290"/>
        <v>0.93700787401574803</v>
      </c>
      <c r="DZ285" s="15">
        <f t="shared" si="291"/>
        <v>0.95659163987138263</v>
      </c>
      <c r="EA285" s="15">
        <f t="shared" si="292"/>
        <v>0.97952755905511812</v>
      </c>
      <c r="EB285" s="16"/>
      <c r="EC285" s="16"/>
      <c r="ED285" s="16">
        <v>1270</v>
      </c>
      <c r="EE285" s="16">
        <f t="shared" si="325"/>
        <v>26</v>
      </c>
      <c r="EF285" s="16">
        <v>1244</v>
      </c>
      <c r="EG285" s="16">
        <v>1190</v>
      </c>
      <c r="EH285" s="16">
        <f t="shared" si="326"/>
        <v>54</v>
      </c>
      <c r="EI285" s="16"/>
      <c r="EJ285" s="16"/>
      <c r="EK285" s="80"/>
      <c r="EL285" s="81"/>
      <c r="EM285" s="15"/>
      <c r="EN285" s="15"/>
      <c r="EO285" s="15"/>
      <c r="EP285" s="16"/>
      <c r="EQ285" s="16"/>
      <c r="ER285" s="16"/>
      <c r="ES285" s="16"/>
      <c r="ET285" s="16"/>
      <c r="EU285" s="16"/>
      <c r="EV285" s="16"/>
      <c r="EW285" s="16"/>
      <c r="EX285" s="16"/>
      <c r="EY285" s="80"/>
      <c r="EZ285" s="81"/>
      <c r="FA285" s="15"/>
      <c r="FB285" s="15"/>
      <c r="FC285" s="15"/>
      <c r="FD285" s="16"/>
      <c r="FE285" s="16"/>
      <c r="FF285" s="16"/>
      <c r="FG285" s="16"/>
      <c r="FH285" s="16"/>
      <c r="FI285" s="16"/>
      <c r="FJ285" s="16"/>
      <c r="FK285" s="16"/>
      <c r="FM285" s="80"/>
      <c r="FN285" s="81"/>
      <c r="FO285" s="15"/>
      <c r="FP285" s="15"/>
      <c r="FQ285" s="15"/>
      <c r="FR285" s="16"/>
      <c r="FS285" s="16"/>
      <c r="FT285" s="16"/>
      <c r="FU285" s="16"/>
      <c r="FV285" s="16"/>
      <c r="FW285" s="16"/>
      <c r="FX285" s="16"/>
      <c r="FY285" s="16"/>
      <c r="GA285" s="80"/>
      <c r="GB285" s="81"/>
      <c r="GC285" s="15"/>
      <c r="GD285" s="15"/>
      <c r="GE285" s="15"/>
      <c r="GF285" s="16"/>
      <c r="GG285" s="16"/>
      <c r="GH285" s="16"/>
      <c r="GI285" s="16"/>
      <c r="GJ285" s="16"/>
      <c r="GK285" s="16"/>
      <c r="GL285" s="16"/>
      <c r="GM285" s="16"/>
    </row>
    <row r="286" spans="1:195" s="18" customFormat="1" ht="15" customHeight="1">
      <c r="A286" s="78">
        <v>2016</v>
      </c>
      <c r="B286" s="79" t="s">
        <v>40</v>
      </c>
      <c r="C286" s="15">
        <f t="shared" si="293"/>
        <v>0.8545382481173206</v>
      </c>
      <c r="D286" s="15">
        <f t="shared" si="294"/>
        <v>0.90697796708208445</v>
      </c>
      <c r="E286" s="15">
        <f t="shared" si="295"/>
        <v>0.94218192627824016</v>
      </c>
      <c r="F286" s="16"/>
      <c r="G286" s="33"/>
      <c r="H28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20184</v>
      </c>
      <c r="I286" s="16">
        <f t="shared" si="296"/>
        <v>1167</v>
      </c>
      <c r="J28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19017</v>
      </c>
      <c r="K28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17248</v>
      </c>
      <c r="L286" s="16">
        <f t="shared" si="297"/>
        <v>1769</v>
      </c>
      <c r="M286" s="32"/>
      <c r="N286" s="32"/>
      <c r="O286" s="78">
        <v>2016</v>
      </c>
      <c r="P286" s="79" t="s">
        <v>40</v>
      </c>
      <c r="Q286" s="15">
        <f t="shared" si="270"/>
        <v>0.80687770439535411</v>
      </c>
      <c r="R286" s="15">
        <f t="shared" si="271"/>
        <v>0.85045607297167547</v>
      </c>
      <c r="S286" s="15">
        <f t="shared" si="272"/>
        <v>0.94875882486905028</v>
      </c>
      <c r="T286" s="26"/>
      <c r="U286" s="26"/>
      <c r="V286" s="16">
        <v>4391</v>
      </c>
      <c r="W286" s="16">
        <f t="shared" si="315"/>
        <v>225</v>
      </c>
      <c r="X286" s="16">
        <v>4166</v>
      </c>
      <c r="Y286" s="16">
        <v>3543</v>
      </c>
      <c r="Z286" s="16">
        <f t="shared" si="316"/>
        <v>623</v>
      </c>
      <c r="AA286" s="16"/>
      <c r="AB286" s="16"/>
      <c r="AC286" s="78"/>
      <c r="AD286" s="79"/>
      <c r="AE286" s="15"/>
      <c r="AF286" s="15"/>
      <c r="AG286" s="15"/>
      <c r="AH286" s="15"/>
      <c r="AI286" s="15"/>
      <c r="AJ286" s="16"/>
      <c r="AK286" s="16"/>
      <c r="AL286" s="16"/>
      <c r="AM286" s="16"/>
      <c r="AN286" s="16"/>
      <c r="AO286" s="16"/>
      <c r="AP286" s="16"/>
      <c r="AQ286" s="78">
        <v>2016</v>
      </c>
      <c r="AR286" s="79" t="s">
        <v>40</v>
      </c>
      <c r="AS286" s="15">
        <f t="shared" si="273"/>
        <v>0.88750576302443518</v>
      </c>
      <c r="AT286" s="15">
        <f t="shared" si="274"/>
        <v>0.94432180524895759</v>
      </c>
      <c r="AU286" s="15">
        <f t="shared" si="275"/>
        <v>0.93983402489626555</v>
      </c>
      <c r="AV286" s="16"/>
      <c r="AW286" s="16"/>
      <c r="AX286" s="16">
        <v>4338</v>
      </c>
      <c r="AY286" s="16">
        <f t="shared" si="317"/>
        <v>261</v>
      </c>
      <c r="AZ286" s="16">
        <v>4077</v>
      </c>
      <c r="BA286" s="16">
        <v>3850</v>
      </c>
      <c r="BB286" s="16">
        <f t="shared" si="318"/>
        <v>227</v>
      </c>
      <c r="BC286" s="16"/>
      <c r="BD286" s="16"/>
      <c r="BE286" s="78">
        <v>2016</v>
      </c>
      <c r="BF286" s="79" t="s">
        <v>40</v>
      </c>
      <c r="BG286" s="15">
        <f t="shared" si="310"/>
        <v>0.89643228264634567</v>
      </c>
      <c r="BH286" s="15">
        <f t="shared" si="311"/>
        <v>0.91190979563072583</v>
      </c>
      <c r="BI286" s="15">
        <f t="shared" si="312"/>
        <v>0.98302736404572222</v>
      </c>
      <c r="BJ286" s="16"/>
      <c r="BK286" s="16"/>
      <c r="BL286" s="16">
        <v>2887</v>
      </c>
      <c r="BM286" s="16">
        <f t="shared" si="319"/>
        <v>49</v>
      </c>
      <c r="BN286" s="16">
        <v>2838</v>
      </c>
      <c r="BO286" s="16">
        <v>2588</v>
      </c>
      <c r="BP286" s="16">
        <f t="shared" si="320"/>
        <v>250</v>
      </c>
      <c r="BQ286" s="16"/>
      <c r="BR286" s="16"/>
      <c r="BS286" s="78">
        <v>2016</v>
      </c>
      <c r="BT286" s="79" t="s">
        <v>40</v>
      </c>
      <c r="BU286" s="15">
        <f t="shared" si="276"/>
        <v>0.8667285095856524</v>
      </c>
      <c r="BV286" s="15">
        <f t="shared" si="277"/>
        <v>0.94568151147098511</v>
      </c>
      <c r="BW286" s="15">
        <f t="shared" si="278"/>
        <v>0.91651205936920221</v>
      </c>
      <c r="BX286" s="16"/>
      <c r="BY286" s="16"/>
      <c r="BZ286" s="16">
        <v>3234</v>
      </c>
      <c r="CA286" s="16">
        <f>+BZ286-CB286</f>
        <v>270</v>
      </c>
      <c r="CB286" s="16">
        <v>2964</v>
      </c>
      <c r="CC286" s="16">
        <v>2803</v>
      </c>
      <c r="CD286" s="16">
        <f t="shared" si="327"/>
        <v>161</v>
      </c>
      <c r="CE286" s="16"/>
      <c r="CF286" s="16"/>
      <c r="CG286" s="78">
        <v>2016</v>
      </c>
      <c r="CH286" s="79" t="s">
        <v>40</v>
      </c>
      <c r="CI286" s="15"/>
      <c r="CJ286" s="15"/>
      <c r="CK286" s="15"/>
      <c r="CL286" s="35"/>
      <c r="CM286" s="35"/>
      <c r="CN286" s="35"/>
      <c r="CO286" s="35"/>
      <c r="CP286" s="16"/>
      <c r="CQ286" s="16"/>
      <c r="CR286" s="16"/>
      <c r="CS286" s="16"/>
      <c r="CT286" s="16"/>
      <c r="CU286" s="78">
        <v>2016</v>
      </c>
      <c r="CV286" s="79" t="s">
        <v>40</v>
      </c>
      <c r="CW286" s="15">
        <f t="shared" si="282"/>
        <v>0.8137223469060596</v>
      </c>
      <c r="CX286" s="15">
        <f t="shared" si="283"/>
        <v>0.88033298647242453</v>
      </c>
      <c r="CY286" s="15">
        <f t="shared" si="284"/>
        <v>0.92433472266752159</v>
      </c>
      <c r="CZ286" s="16"/>
      <c r="DA286" s="16"/>
      <c r="DB286" s="16">
        <v>3119</v>
      </c>
      <c r="DC286" s="16">
        <f t="shared" si="321"/>
        <v>236</v>
      </c>
      <c r="DD286" s="16">
        <v>2883</v>
      </c>
      <c r="DE286" s="16">
        <v>2538</v>
      </c>
      <c r="DF286" s="16">
        <f t="shared" si="322"/>
        <v>345</v>
      </c>
      <c r="DG286" s="16"/>
      <c r="DH286" s="16"/>
      <c r="DI286" s="78">
        <v>2016</v>
      </c>
      <c r="DJ286" s="79" t="s">
        <v>40</v>
      </c>
      <c r="DK286" s="15">
        <f t="shared" si="287"/>
        <v>0.80794701986754969</v>
      </c>
      <c r="DL286" s="15">
        <f t="shared" si="288"/>
        <v>0.88192771084337351</v>
      </c>
      <c r="DM286" s="15">
        <f t="shared" si="289"/>
        <v>0.91611479028697573</v>
      </c>
      <c r="DN286" s="16"/>
      <c r="DO286" s="16"/>
      <c r="DP286" s="16">
        <v>906</v>
      </c>
      <c r="DQ286" s="16">
        <f t="shared" si="323"/>
        <v>76</v>
      </c>
      <c r="DR286" s="16">
        <v>830</v>
      </c>
      <c r="DS286" s="16">
        <v>732</v>
      </c>
      <c r="DT286" s="16">
        <f t="shared" si="324"/>
        <v>98</v>
      </c>
      <c r="DU286" s="16"/>
      <c r="DV286" s="16"/>
      <c r="DW286" s="78">
        <v>2016</v>
      </c>
      <c r="DX286" s="79" t="s">
        <v>40</v>
      </c>
      <c r="DY286" s="15">
        <f t="shared" si="290"/>
        <v>0.91214667685255924</v>
      </c>
      <c r="DZ286" s="15">
        <f t="shared" si="291"/>
        <v>0.94837172359015087</v>
      </c>
      <c r="EA286" s="15">
        <f t="shared" si="292"/>
        <v>0.96180290297937354</v>
      </c>
      <c r="EB286" s="16"/>
      <c r="EC286" s="16"/>
      <c r="ED286" s="16">
        <v>1309</v>
      </c>
      <c r="EE286" s="16">
        <f t="shared" si="325"/>
        <v>50</v>
      </c>
      <c r="EF286" s="16">
        <v>1259</v>
      </c>
      <c r="EG286" s="16">
        <v>1194</v>
      </c>
      <c r="EH286" s="16">
        <f t="shared" si="326"/>
        <v>65</v>
      </c>
      <c r="EI286" s="16"/>
      <c r="EJ286" s="16"/>
      <c r="EK286" s="78"/>
      <c r="EL286" s="79"/>
      <c r="EM286" s="15"/>
      <c r="EN286" s="15"/>
      <c r="EO286" s="15"/>
      <c r="EP286" s="16"/>
      <c r="EQ286" s="16"/>
      <c r="ER286" s="16"/>
      <c r="ES286" s="16"/>
      <c r="ET286" s="16"/>
      <c r="EU286" s="16"/>
      <c r="EV286" s="16"/>
      <c r="EW286" s="16"/>
      <c r="EX286" s="16"/>
      <c r="EY286" s="78"/>
      <c r="EZ286" s="79"/>
      <c r="FA286" s="15"/>
      <c r="FB286" s="15"/>
      <c r="FC286" s="15"/>
      <c r="FD286" s="16"/>
      <c r="FE286" s="16"/>
      <c r="FF286" s="16"/>
      <c r="FG286" s="16"/>
      <c r="FH286" s="16"/>
      <c r="FI286" s="16"/>
      <c r="FJ286" s="16"/>
      <c r="FK286" s="16"/>
      <c r="FM286" s="78"/>
      <c r="FN286" s="79"/>
      <c r="FO286" s="15"/>
      <c r="FP286" s="15"/>
      <c r="FQ286" s="15"/>
      <c r="FR286" s="16"/>
      <c r="FS286" s="16"/>
      <c r="FT286" s="16"/>
      <c r="FU286" s="16"/>
      <c r="FV286" s="16"/>
      <c r="FW286" s="16"/>
      <c r="FX286" s="16"/>
      <c r="FY286" s="16"/>
      <c r="GA286" s="78"/>
      <c r="GB286" s="79"/>
      <c r="GC286" s="15"/>
      <c r="GD286" s="15"/>
      <c r="GE286" s="15"/>
      <c r="GF286" s="16"/>
      <c r="GG286" s="16"/>
      <c r="GH286" s="16"/>
      <c r="GI286" s="16"/>
      <c r="GJ286" s="16"/>
      <c r="GK286" s="16"/>
      <c r="GL286" s="16"/>
      <c r="GM286" s="16"/>
    </row>
    <row r="287" spans="1:195" s="18" customFormat="1" ht="15" customHeight="1">
      <c r="A287" s="80">
        <v>2016</v>
      </c>
      <c r="B287" s="81" t="s">
        <v>41</v>
      </c>
      <c r="C287" s="15">
        <f t="shared" si="293"/>
        <v>0.79689587830198372</v>
      </c>
      <c r="D287" s="15">
        <f t="shared" si="294"/>
        <v>0.86394027189659017</v>
      </c>
      <c r="E287" s="15">
        <f t="shared" si="295"/>
        <v>0.92239695754959394</v>
      </c>
      <c r="F287" s="16"/>
      <c r="G287" s="33"/>
      <c r="H28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19458</v>
      </c>
      <c r="I287" s="16">
        <f t="shared" si="296"/>
        <v>1510</v>
      </c>
      <c r="J28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17948</v>
      </c>
      <c r="K28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15506</v>
      </c>
      <c r="L287" s="16">
        <f t="shared" si="297"/>
        <v>2442</v>
      </c>
      <c r="M287" s="16"/>
      <c r="N287" s="16"/>
      <c r="O287" s="80">
        <v>2016</v>
      </c>
      <c r="P287" s="81" t="s">
        <v>41</v>
      </c>
      <c r="Q287" s="15">
        <f t="shared" si="270"/>
        <v>0.77042985356636751</v>
      </c>
      <c r="R287" s="15">
        <f t="shared" si="271"/>
        <v>0.81795386158475425</v>
      </c>
      <c r="S287" s="15">
        <f t="shared" si="272"/>
        <v>0.94189891355692013</v>
      </c>
      <c r="T287" s="26"/>
      <c r="U287" s="26"/>
      <c r="V287" s="16">
        <v>4234</v>
      </c>
      <c r="W287" s="16">
        <f t="shared" si="315"/>
        <v>246</v>
      </c>
      <c r="X287" s="16">
        <v>3988</v>
      </c>
      <c r="Y287" s="16">
        <v>3262</v>
      </c>
      <c r="Z287" s="16">
        <f t="shared" si="316"/>
        <v>726</v>
      </c>
      <c r="AA287" s="16"/>
      <c r="AB287" s="16"/>
      <c r="AC287" s="80"/>
      <c r="AD287" s="81"/>
      <c r="AE287" s="15"/>
      <c r="AF287" s="15"/>
      <c r="AG287" s="15"/>
      <c r="AH287" s="15"/>
      <c r="AI287" s="15"/>
      <c r="AJ287" s="16"/>
      <c r="AK287" s="16"/>
      <c r="AL287" s="16"/>
      <c r="AM287" s="16"/>
      <c r="AN287" s="16"/>
      <c r="AO287" s="16"/>
      <c r="AP287" s="16"/>
      <c r="AQ287" s="80">
        <v>2016</v>
      </c>
      <c r="AR287" s="81" t="s">
        <v>41</v>
      </c>
      <c r="AS287" s="15">
        <f t="shared" si="273"/>
        <v>0.82385277246653921</v>
      </c>
      <c r="AT287" s="15">
        <f t="shared" si="274"/>
        <v>0.88886023723568852</v>
      </c>
      <c r="AU287" s="15">
        <f t="shared" si="275"/>
        <v>0.92686424474187379</v>
      </c>
      <c r="AV287" s="16"/>
      <c r="AW287" s="16"/>
      <c r="AX287" s="16">
        <v>4184</v>
      </c>
      <c r="AY287" s="16">
        <f t="shared" si="317"/>
        <v>306</v>
      </c>
      <c r="AZ287" s="16">
        <v>3878</v>
      </c>
      <c r="BA287" s="16">
        <v>3447</v>
      </c>
      <c r="BB287" s="16">
        <f t="shared" si="318"/>
        <v>431</v>
      </c>
      <c r="BC287" s="16"/>
      <c r="BD287" s="16"/>
      <c r="BE287" s="80">
        <v>2016</v>
      </c>
      <c r="BF287" s="81" t="s">
        <v>41</v>
      </c>
      <c r="BG287" s="15">
        <f t="shared" si="310"/>
        <v>0.8807803468208093</v>
      </c>
      <c r="BH287" s="15">
        <f t="shared" si="311"/>
        <v>0.89830508474576276</v>
      </c>
      <c r="BI287" s="15">
        <f t="shared" si="312"/>
        <v>0.9804913294797688</v>
      </c>
      <c r="BJ287" s="16"/>
      <c r="BK287" s="16"/>
      <c r="BL287" s="16">
        <v>2768</v>
      </c>
      <c r="BM287" s="16">
        <f t="shared" si="319"/>
        <v>54</v>
      </c>
      <c r="BN287" s="16">
        <v>2714</v>
      </c>
      <c r="BO287" s="16">
        <v>2438</v>
      </c>
      <c r="BP287" s="16">
        <f t="shared" si="320"/>
        <v>276</v>
      </c>
      <c r="BQ287" s="16"/>
      <c r="BR287" s="16"/>
      <c r="BS287" s="80">
        <v>2016</v>
      </c>
      <c r="BT287" s="81" t="s">
        <v>41</v>
      </c>
      <c r="BU287" s="15">
        <f t="shared" si="276"/>
        <v>0.76342710997442453</v>
      </c>
      <c r="BV287" s="15">
        <f t="shared" si="277"/>
        <v>0.84232804232804237</v>
      </c>
      <c r="BW287" s="15">
        <f t="shared" si="278"/>
        <v>0.90632992327365725</v>
      </c>
      <c r="BX287" s="16"/>
      <c r="BY287" s="16"/>
      <c r="BZ287" s="16">
        <v>3128</v>
      </c>
      <c r="CA287" s="16">
        <f>+BZ287-CB287</f>
        <v>293</v>
      </c>
      <c r="CB287" s="16">
        <v>2835</v>
      </c>
      <c r="CC287" s="16">
        <v>2388</v>
      </c>
      <c r="CD287" s="16">
        <f t="shared" si="327"/>
        <v>447</v>
      </c>
      <c r="CE287" s="19" t="s">
        <v>60</v>
      </c>
      <c r="CF287" s="16"/>
      <c r="CG287" s="80">
        <v>2016</v>
      </c>
      <c r="CH287" s="81" t="s">
        <v>41</v>
      </c>
      <c r="CI287" s="15"/>
      <c r="CJ287" s="15"/>
      <c r="CK287" s="15"/>
      <c r="CL287" s="35"/>
      <c r="CM287" s="35"/>
      <c r="CN287" s="35"/>
      <c r="CO287" s="35"/>
      <c r="CP287" s="16"/>
      <c r="CQ287" s="16"/>
      <c r="CR287" s="16"/>
      <c r="CS287" s="16"/>
      <c r="CT287" s="16"/>
      <c r="CU287" s="80">
        <v>2016</v>
      </c>
      <c r="CV287" s="81" t="s">
        <v>41</v>
      </c>
      <c r="CW287" s="15">
        <f t="shared" si="282"/>
        <v>0.75316455696202533</v>
      </c>
      <c r="CX287" s="15">
        <f t="shared" si="283"/>
        <v>0.84872372372372373</v>
      </c>
      <c r="CY287" s="15">
        <f t="shared" si="284"/>
        <v>0.88740839440373087</v>
      </c>
      <c r="CZ287" s="16"/>
      <c r="DA287" s="16"/>
      <c r="DB287" s="16">
        <v>3002</v>
      </c>
      <c r="DC287" s="16">
        <f t="shared" si="321"/>
        <v>338</v>
      </c>
      <c r="DD287" s="16">
        <v>2664</v>
      </c>
      <c r="DE287" s="16">
        <v>2261</v>
      </c>
      <c r="DF287" s="16">
        <f t="shared" si="322"/>
        <v>403</v>
      </c>
      <c r="DG287" s="16"/>
      <c r="DH287" s="16"/>
      <c r="DI287" s="80">
        <v>2016</v>
      </c>
      <c r="DJ287" s="81" t="s">
        <v>41</v>
      </c>
      <c r="DK287" s="15">
        <f t="shared" si="287"/>
        <v>0.72146118721461183</v>
      </c>
      <c r="DL287" s="15">
        <f t="shared" si="288"/>
        <v>0.89900426742532002</v>
      </c>
      <c r="DM287" s="15">
        <f t="shared" si="289"/>
        <v>0.80251141552511418</v>
      </c>
      <c r="DN287" s="16"/>
      <c r="DO287" s="16"/>
      <c r="DP287" s="16">
        <v>876</v>
      </c>
      <c r="DQ287" s="16">
        <f t="shared" si="323"/>
        <v>173</v>
      </c>
      <c r="DR287" s="16">
        <v>703</v>
      </c>
      <c r="DS287" s="16">
        <v>632</v>
      </c>
      <c r="DT287" s="16">
        <f t="shared" si="324"/>
        <v>71</v>
      </c>
      <c r="DU287" s="16"/>
      <c r="DV287" s="16"/>
      <c r="DW287" s="80">
        <v>2016</v>
      </c>
      <c r="DX287" s="81" t="s">
        <v>41</v>
      </c>
      <c r="DY287" s="15">
        <f t="shared" si="290"/>
        <v>0.85150078988941547</v>
      </c>
      <c r="DZ287" s="15">
        <f t="shared" si="291"/>
        <v>0.92452830188679247</v>
      </c>
      <c r="EA287" s="15">
        <f t="shared" si="292"/>
        <v>0.92101105845181674</v>
      </c>
      <c r="EB287" s="16"/>
      <c r="EC287" s="16"/>
      <c r="ED287" s="16">
        <v>1266</v>
      </c>
      <c r="EE287" s="16">
        <f t="shared" si="325"/>
        <v>100</v>
      </c>
      <c r="EF287" s="16">
        <v>1166</v>
      </c>
      <c r="EG287" s="16">
        <v>1078</v>
      </c>
      <c r="EH287" s="16">
        <f t="shared" si="326"/>
        <v>88</v>
      </c>
      <c r="EI287" s="16"/>
      <c r="EJ287" s="16"/>
      <c r="EK287" s="80"/>
      <c r="EL287" s="81"/>
      <c r="EM287" s="15"/>
      <c r="EN287" s="15"/>
      <c r="EO287" s="15"/>
      <c r="EP287" s="16"/>
      <c r="EQ287" s="16"/>
      <c r="ER287" s="16"/>
      <c r="ES287" s="16"/>
      <c r="ET287" s="16"/>
      <c r="EU287" s="16"/>
      <c r="EV287" s="16"/>
      <c r="EW287" s="16"/>
      <c r="EX287" s="16"/>
      <c r="EY287" s="80"/>
      <c r="EZ287" s="81"/>
      <c r="FA287" s="15"/>
      <c r="FB287" s="15"/>
      <c r="FC287" s="15"/>
      <c r="FD287" s="16"/>
      <c r="FE287" s="16"/>
      <c r="FF287" s="16"/>
      <c r="FG287" s="16"/>
      <c r="FH287" s="16"/>
      <c r="FI287" s="16"/>
      <c r="FJ287" s="16"/>
      <c r="FK287" s="16"/>
      <c r="FM287" s="80"/>
      <c r="FN287" s="81"/>
      <c r="FO287" s="15"/>
      <c r="FP287" s="15"/>
      <c r="FQ287" s="15"/>
      <c r="FR287" s="16"/>
      <c r="FS287" s="16"/>
      <c r="FT287" s="16"/>
      <c r="FU287" s="16"/>
      <c r="FV287" s="16"/>
      <c r="FW287" s="16"/>
      <c r="FX287" s="16"/>
      <c r="FY287" s="16"/>
      <c r="GA287" s="80"/>
      <c r="GB287" s="81"/>
      <c r="GC287" s="15"/>
      <c r="GD287" s="15"/>
      <c r="GE287" s="15"/>
      <c r="GF287" s="16"/>
      <c r="GG287" s="16"/>
      <c r="GH287" s="16"/>
      <c r="GI287" s="16"/>
      <c r="GJ287" s="16"/>
      <c r="GK287" s="16"/>
      <c r="GL287" s="16"/>
      <c r="GM287" s="16"/>
    </row>
    <row r="288" spans="1:195" s="18" customFormat="1" ht="15" customHeight="1">
      <c r="A288" s="78">
        <v>2016</v>
      </c>
      <c r="B288" s="79" t="s">
        <v>42</v>
      </c>
      <c r="C288" s="15">
        <f t="shared" si="293"/>
        <v>0.81500125849484018</v>
      </c>
      <c r="D288" s="15">
        <f t="shared" si="294"/>
        <v>0.88171223178303015</v>
      </c>
      <c r="E288" s="15">
        <f t="shared" si="295"/>
        <v>0.92433929020891015</v>
      </c>
      <c r="F288" s="16"/>
      <c r="G288" s="33"/>
      <c r="H28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19865</v>
      </c>
      <c r="I288" s="16">
        <f t="shared" si="296"/>
        <v>1503</v>
      </c>
      <c r="J28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18362</v>
      </c>
      <c r="K28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16190</v>
      </c>
      <c r="L288" s="16">
        <f t="shared" si="297"/>
        <v>2172</v>
      </c>
      <c r="M288" s="16"/>
      <c r="N288" s="16"/>
      <c r="O288" s="78">
        <v>2016</v>
      </c>
      <c r="P288" s="79" t="s">
        <v>42</v>
      </c>
      <c r="Q288" s="15">
        <f t="shared" si="270"/>
        <v>0.75410594494563965</v>
      </c>
      <c r="R288" s="15">
        <f t="shared" si="271"/>
        <v>0.81175298804780871</v>
      </c>
      <c r="S288" s="15">
        <f t="shared" si="272"/>
        <v>0.92898450150358547</v>
      </c>
      <c r="T288" s="26"/>
      <c r="U288" s="26"/>
      <c r="V288" s="16">
        <v>4323</v>
      </c>
      <c r="W288" s="16">
        <f t="shared" si="315"/>
        <v>307</v>
      </c>
      <c r="X288" s="16">
        <v>4016</v>
      </c>
      <c r="Y288" s="16">
        <v>3260</v>
      </c>
      <c r="Z288" s="16">
        <f t="shared" si="316"/>
        <v>756</v>
      </c>
      <c r="AA288" s="16"/>
      <c r="AB288" s="16"/>
      <c r="AC288" s="78"/>
      <c r="AD288" s="79"/>
      <c r="AE288" s="15"/>
      <c r="AF288" s="15"/>
      <c r="AG288" s="15"/>
      <c r="AH288" s="15"/>
      <c r="AI288" s="15"/>
      <c r="AJ288" s="16"/>
      <c r="AK288" s="16"/>
      <c r="AL288" s="16"/>
      <c r="AM288" s="16"/>
      <c r="AN288" s="16"/>
      <c r="AO288" s="16"/>
      <c r="AP288" s="16"/>
      <c r="AQ288" s="78">
        <v>2016</v>
      </c>
      <c r="AR288" s="79" t="s">
        <v>42</v>
      </c>
      <c r="AS288" s="15">
        <f t="shared" si="273"/>
        <v>0.8154817586529467</v>
      </c>
      <c r="AT288" s="15">
        <f t="shared" si="274"/>
        <v>0.89963880288957687</v>
      </c>
      <c r="AU288" s="15">
        <f t="shared" si="275"/>
        <v>0.90645463049579045</v>
      </c>
      <c r="AV288" s="16"/>
      <c r="AW288" s="16"/>
      <c r="AX288" s="16">
        <v>4276</v>
      </c>
      <c r="AY288" s="16">
        <f t="shared" si="317"/>
        <v>400</v>
      </c>
      <c r="AZ288" s="16">
        <v>3876</v>
      </c>
      <c r="BA288" s="16">
        <v>3487</v>
      </c>
      <c r="BB288" s="16">
        <f t="shared" si="318"/>
        <v>389</v>
      </c>
      <c r="BC288" s="16"/>
      <c r="BD288" s="16"/>
      <c r="BE288" s="78">
        <v>2016</v>
      </c>
      <c r="BF288" s="79" t="s">
        <v>42</v>
      </c>
      <c r="BG288" s="15">
        <f t="shared" si="310"/>
        <v>0.87030346820809246</v>
      </c>
      <c r="BH288" s="15">
        <f t="shared" si="311"/>
        <v>0.90089753178758414</v>
      </c>
      <c r="BI288" s="15">
        <f t="shared" si="312"/>
        <v>0.96604046242774566</v>
      </c>
      <c r="BJ288" s="16"/>
      <c r="BK288" s="16"/>
      <c r="BL288" s="16">
        <v>2768</v>
      </c>
      <c r="BM288" s="16">
        <f t="shared" si="319"/>
        <v>94</v>
      </c>
      <c r="BN288" s="16">
        <v>2674</v>
      </c>
      <c r="BO288" s="16">
        <v>2409</v>
      </c>
      <c r="BP288" s="16">
        <f t="shared" si="320"/>
        <v>265</v>
      </c>
      <c r="BQ288" s="16"/>
      <c r="BR288" s="16"/>
      <c r="BS288" s="78">
        <v>2016</v>
      </c>
      <c r="BT288" s="79" t="s">
        <v>42</v>
      </c>
      <c r="BU288" s="15">
        <f t="shared" si="276"/>
        <v>0.83188585607940446</v>
      </c>
      <c r="BV288" s="15">
        <f t="shared" si="277"/>
        <v>0.89370209930023325</v>
      </c>
      <c r="BW288" s="15">
        <f t="shared" si="278"/>
        <v>0.93083126550868489</v>
      </c>
      <c r="BX288" s="16"/>
      <c r="BY288" s="16"/>
      <c r="BZ288" s="16">
        <v>3224</v>
      </c>
      <c r="CA288" s="16">
        <f t="shared" ref="CA288:CA293" si="328">BZ288-CB288</f>
        <v>223</v>
      </c>
      <c r="CB288" s="16">
        <v>3001</v>
      </c>
      <c r="CC288" s="16">
        <v>2682</v>
      </c>
      <c r="CD288" s="16">
        <f t="shared" si="327"/>
        <v>319</v>
      </c>
      <c r="CE288" s="16"/>
      <c r="CF288" s="16"/>
      <c r="CG288" s="78">
        <v>2016</v>
      </c>
      <c r="CH288" s="79" t="s">
        <v>42</v>
      </c>
      <c r="CI288" s="15"/>
      <c r="CJ288" s="15"/>
      <c r="CK288" s="15"/>
      <c r="CL288" s="35"/>
      <c r="CM288" s="35"/>
      <c r="CN288" s="35"/>
      <c r="CO288" s="35"/>
      <c r="CP288" s="16"/>
      <c r="CQ288" s="16"/>
      <c r="CR288" s="16"/>
      <c r="CS288" s="16"/>
      <c r="CT288" s="16"/>
      <c r="CU288" s="78">
        <v>2016</v>
      </c>
      <c r="CV288" s="79" t="s">
        <v>42</v>
      </c>
      <c r="CW288" s="15">
        <f t="shared" si="282"/>
        <v>0.80436909031627002</v>
      </c>
      <c r="CX288" s="15">
        <f t="shared" si="283"/>
        <v>0.88044254104211273</v>
      </c>
      <c r="CY288" s="15">
        <f t="shared" si="284"/>
        <v>0.91359634822301927</v>
      </c>
      <c r="CZ288" s="16"/>
      <c r="DA288" s="16"/>
      <c r="DB288" s="16">
        <v>3067</v>
      </c>
      <c r="DC288" s="16">
        <f t="shared" si="321"/>
        <v>265</v>
      </c>
      <c r="DD288" s="16">
        <v>2802</v>
      </c>
      <c r="DE288" s="16">
        <v>2467</v>
      </c>
      <c r="DF288" s="16">
        <f t="shared" si="322"/>
        <v>335</v>
      </c>
      <c r="DG288" s="16"/>
      <c r="DH288" s="16"/>
      <c r="DI288" s="78">
        <v>2016</v>
      </c>
      <c r="DJ288" s="79" t="s">
        <v>42</v>
      </c>
      <c r="DK288" s="15">
        <f t="shared" si="287"/>
        <v>0.7627494456762749</v>
      </c>
      <c r="DL288" s="15">
        <f t="shared" si="288"/>
        <v>0.92348993288590608</v>
      </c>
      <c r="DM288" s="15">
        <f t="shared" si="289"/>
        <v>0.82594235033259422</v>
      </c>
      <c r="DN288" s="16"/>
      <c r="DO288" s="16"/>
      <c r="DP288" s="16">
        <v>902</v>
      </c>
      <c r="DQ288" s="16">
        <f t="shared" si="323"/>
        <v>157</v>
      </c>
      <c r="DR288" s="16">
        <v>745</v>
      </c>
      <c r="DS288" s="16">
        <v>688</v>
      </c>
      <c r="DT288" s="16">
        <f t="shared" si="324"/>
        <v>57</v>
      </c>
      <c r="DU288" s="16"/>
      <c r="DV288" s="16"/>
      <c r="DW288" s="78">
        <v>2016</v>
      </c>
      <c r="DX288" s="79" t="s">
        <v>42</v>
      </c>
      <c r="DY288" s="15">
        <f t="shared" si="290"/>
        <v>0.91724137931034477</v>
      </c>
      <c r="DZ288" s="15">
        <f t="shared" si="291"/>
        <v>0.95913461538461542</v>
      </c>
      <c r="EA288" s="15">
        <f t="shared" si="292"/>
        <v>0.95632183908045976</v>
      </c>
      <c r="EB288" s="16"/>
      <c r="EC288" s="16"/>
      <c r="ED288" s="16">
        <v>1305</v>
      </c>
      <c r="EE288" s="16">
        <f t="shared" si="325"/>
        <v>57</v>
      </c>
      <c r="EF288" s="16">
        <v>1248</v>
      </c>
      <c r="EG288" s="16">
        <v>1197</v>
      </c>
      <c r="EH288" s="16">
        <f t="shared" si="326"/>
        <v>51</v>
      </c>
      <c r="EI288" s="16"/>
      <c r="EJ288" s="16"/>
      <c r="EK288" s="78"/>
      <c r="EL288" s="79"/>
      <c r="EM288" s="15"/>
      <c r="EN288" s="15"/>
      <c r="EO288" s="15"/>
      <c r="EP288" s="16"/>
      <c r="EQ288" s="16"/>
      <c r="ER288" s="16"/>
      <c r="ES288" s="16"/>
      <c r="ET288" s="16"/>
      <c r="EU288" s="16"/>
      <c r="EV288" s="16"/>
      <c r="EW288" s="16"/>
      <c r="EX288" s="16"/>
      <c r="EY288" s="78"/>
      <c r="EZ288" s="79"/>
      <c r="FA288" s="15"/>
      <c r="FB288" s="15"/>
      <c r="FC288" s="15"/>
      <c r="FD288" s="16"/>
      <c r="FE288" s="16"/>
      <c r="FF288" s="16"/>
      <c r="FG288" s="16"/>
      <c r="FH288" s="16"/>
      <c r="FI288" s="16"/>
      <c r="FJ288" s="16"/>
      <c r="FK288" s="16"/>
      <c r="FM288" s="78"/>
      <c r="FN288" s="79"/>
      <c r="FO288" s="15"/>
      <c r="FP288" s="15"/>
      <c r="FQ288" s="15"/>
      <c r="FR288" s="16"/>
      <c r="FS288" s="16"/>
      <c r="FT288" s="16"/>
      <c r="FU288" s="16"/>
      <c r="FV288" s="16"/>
      <c r="FW288" s="16"/>
      <c r="FX288" s="16"/>
      <c r="FY288" s="16"/>
      <c r="GA288" s="78"/>
      <c r="GB288" s="79"/>
      <c r="GC288" s="15"/>
      <c r="GD288" s="15"/>
      <c r="GE288" s="15"/>
      <c r="GF288" s="16"/>
      <c r="GG288" s="16"/>
      <c r="GH288" s="16"/>
      <c r="GI288" s="16"/>
      <c r="GJ288" s="16"/>
      <c r="GK288" s="16"/>
      <c r="GL288" s="16"/>
      <c r="GM288" s="16"/>
    </row>
    <row r="289" spans="1:195" s="18" customFormat="1" ht="15" customHeight="1">
      <c r="A289" s="80">
        <v>2016</v>
      </c>
      <c r="B289" s="81" t="s">
        <v>43</v>
      </c>
      <c r="C289" s="15">
        <f t="shared" si="293"/>
        <v>0.80425552681665124</v>
      </c>
      <c r="D289" s="15">
        <f t="shared" si="294"/>
        <v>0.86522811991389725</v>
      </c>
      <c r="E289" s="15">
        <f t="shared" si="295"/>
        <v>0.92953003757747299</v>
      </c>
      <c r="F289" s="16"/>
      <c r="G289" s="33"/>
      <c r="H28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20491</v>
      </c>
      <c r="I289" s="16">
        <f t="shared" si="296"/>
        <v>1444</v>
      </c>
      <c r="J28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19047</v>
      </c>
      <c r="K28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16480</v>
      </c>
      <c r="L289" s="16">
        <f t="shared" si="297"/>
        <v>2567</v>
      </c>
      <c r="M289" s="16"/>
      <c r="N289" s="16"/>
      <c r="O289" s="80">
        <v>2016</v>
      </c>
      <c r="P289" s="81" t="s">
        <v>43</v>
      </c>
      <c r="Q289" s="15">
        <f t="shared" si="270"/>
        <v>0.73402108095985652</v>
      </c>
      <c r="R289" s="15">
        <f t="shared" si="271"/>
        <v>0.78357672971031844</v>
      </c>
      <c r="S289" s="15">
        <f t="shared" si="272"/>
        <v>0.93675712043058978</v>
      </c>
      <c r="T289" s="26"/>
      <c r="U289" s="26"/>
      <c r="V289" s="16">
        <v>4459</v>
      </c>
      <c r="W289" s="16">
        <f t="shared" si="315"/>
        <v>282</v>
      </c>
      <c r="X289" s="16">
        <v>4177</v>
      </c>
      <c r="Y289" s="16">
        <v>3273</v>
      </c>
      <c r="Z289" s="16">
        <f t="shared" si="316"/>
        <v>904</v>
      </c>
      <c r="AA289" s="16"/>
      <c r="AB289" s="16"/>
      <c r="AC289" s="80"/>
      <c r="AD289" s="81"/>
      <c r="AE289" s="15"/>
      <c r="AF289" s="15"/>
      <c r="AG289" s="15"/>
      <c r="AH289" s="15"/>
      <c r="AI289" s="15"/>
      <c r="AJ289" s="16"/>
      <c r="AK289" s="16"/>
      <c r="AL289" s="16"/>
      <c r="AM289" s="16"/>
      <c r="AN289" s="16"/>
      <c r="AO289" s="16"/>
      <c r="AP289" s="16"/>
      <c r="AQ289" s="80">
        <v>2016</v>
      </c>
      <c r="AR289" s="81" t="s">
        <v>43</v>
      </c>
      <c r="AS289" s="15">
        <f t="shared" si="273"/>
        <v>0.78977272727272729</v>
      </c>
      <c r="AT289" s="15">
        <f t="shared" si="274"/>
        <v>0.86788211788211789</v>
      </c>
      <c r="AU289" s="15">
        <f t="shared" si="275"/>
        <v>0.91</v>
      </c>
      <c r="AV289" s="16"/>
      <c r="AW289" s="16"/>
      <c r="AX289" s="16">
        <v>4400</v>
      </c>
      <c r="AY289" s="16">
        <f t="shared" si="317"/>
        <v>396</v>
      </c>
      <c r="AZ289" s="16">
        <v>4004</v>
      </c>
      <c r="BA289" s="16">
        <v>3475</v>
      </c>
      <c r="BB289" s="16">
        <f t="shared" si="318"/>
        <v>529</v>
      </c>
      <c r="BC289" s="16"/>
      <c r="BD289" s="16"/>
      <c r="BE289" s="80">
        <v>2016</v>
      </c>
      <c r="BF289" s="81" t="s">
        <v>43</v>
      </c>
      <c r="BG289" s="15">
        <f t="shared" si="310"/>
        <v>0.91284098469727215</v>
      </c>
      <c r="BH289" s="15">
        <f t="shared" si="311"/>
        <v>0.927027027027027</v>
      </c>
      <c r="BI289" s="15">
        <f t="shared" si="312"/>
        <v>0.98469727212242186</v>
      </c>
      <c r="BJ289" s="16"/>
      <c r="BK289" s="16"/>
      <c r="BL289" s="16">
        <v>3006</v>
      </c>
      <c r="BM289" s="16">
        <f t="shared" si="319"/>
        <v>46</v>
      </c>
      <c r="BN289" s="16">
        <v>2960</v>
      </c>
      <c r="BO289" s="16">
        <v>2744</v>
      </c>
      <c r="BP289" s="16">
        <f t="shared" si="320"/>
        <v>216</v>
      </c>
      <c r="BQ289" s="16"/>
      <c r="BR289" s="16"/>
      <c r="BS289" s="80">
        <v>2016</v>
      </c>
      <c r="BT289" s="81" t="s">
        <v>43</v>
      </c>
      <c r="BU289" s="15">
        <f t="shared" si="276"/>
        <v>0.85881627620221945</v>
      </c>
      <c r="BV289" s="15">
        <f t="shared" si="277"/>
        <v>0.93395910157559503</v>
      </c>
      <c r="BW289" s="15">
        <f t="shared" si="278"/>
        <v>0.91954377311960545</v>
      </c>
      <c r="BX289" s="16"/>
      <c r="BY289" s="16"/>
      <c r="BZ289" s="16">
        <v>3244</v>
      </c>
      <c r="CA289" s="16">
        <f t="shared" si="328"/>
        <v>261</v>
      </c>
      <c r="CB289" s="16">
        <v>2983</v>
      </c>
      <c r="CC289" s="16">
        <v>2786</v>
      </c>
      <c r="CD289" s="16">
        <f t="shared" si="327"/>
        <v>197</v>
      </c>
      <c r="CE289" s="16"/>
      <c r="CF289" s="16"/>
      <c r="CG289" s="80">
        <v>2016</v>
      </c>
      <c r="CH289" s="81" t="s">
        <v>43</v>
      </c>
      <c r="CI289" s="15"/>
      <c r="CJ289" s="15"/>
      <c r="CK289" s="15"/>
      <c r="CL289" s="35"/>
      <c r="CM289" s="35"/>
      <c r="CN289" s="35"/>
      <c r="CO289" s="35"/>
      <c r="CP289" s="16"/>
      <c r="CQ289" s="16"/>
      <c r="CR289" s="16"/>
      <c r="CS289" s="16"/>
      <c r="CT289" s="16"/>
      <c r="CU289" s="80">
        <v>2016</v>
      </c>
      <c r="CV289" s="81" t="s">
        <v>43</v>
      </c>
      <c r="CW289" s="15">
        <f t="shared" si="282"/>
        <v>0.7666983222538778</v>
      </c>
      <c r="CX289" s="15">
        <f t="shared" si="283"/>
        <v>0.84626135569531791</v>
      </c>
      <c r="CY289" s="15">
        <f t="shared" si="284"/>
        <v>0.90598290598290598</v>
      </c>
      <c r="CZ289" s="16"/>
      <c r="DA289" s="16"/>
      <c r="DB289" s="16">
        <v>3159</v>
      </c>
      <c r="DC289" s="16">
        <f t="shared" si="321"/>
        <v>297</v>
      </c>
      <c r="DD289" s="16">
        <v>2862</v>
      </c>
      <c r="DE289" s="16">
        <v>2422</v>
      </c>
      <c r="DF289" s="16">
        <f t="shared" si="322"/>
        <v>440</v>
      </c>
      <c r="DG289" s="16"/>
      <c r="DH289" s="16"/>
      <c r="DI289" s="80">
        <v>2016</v>
      </c>
      <c r="DJ289" s="81" t="s">
        <v>43</v>
      </c>
      <c r="DK289" s="15">
        <f t="shared" si="287"/>
        <v>0.6428571428571429</v>
      </c>
      <c r="DL289" s="15">
        <f t="shared" si="288"/>
        <v>0.7285180572851806</v>
      </c>
      <c r="DM289" s="15">
        <f t="shared" si="289"/>
        <v>0.88241758241758239</v>
      </c>
      <c r="DN289" s="16"/>
      <c r="DO289" s="16"/>
      <c r="DP289" s="16">
        <v>910</v>
      </c>
      <c r="DQ289" s="16">
        <f t="shared" si="323"/>
        <v>107</v>
      </c>
      <c r="DR289" s="16">
        <v>803</v>
      </c>
      <c r="DS289" s="16">
        <v>585</v>
      </c>
      <c r="DT289" s="16">
        <f t="shared" si="324"/>
        <v>218</v>
      </c>
      <c r="DU289" s="16"/>
      <c r="DV289" s="16"/>
      <c r="DW289" s="80">
        <v>2016</v>
      </c>
      <c r="DX289" s="81" t="s">
        <v>43</v>
      </c>
      <c r="DY289" s="15">
        <f t="shared" si="290"/>
        <v>0.91012947448591008</v>
      </c>
      <c r="DZ289" s="15">
        <f t="shared" si="291"/>
        <v>0.94992050874403811</v>
      </c>
      <c r="EA289" s="15">
        <f t="shared" si="292"/>
        <v>0.95811119573495807</v>
      </c>
      <c r="EB289" s="16"/>
      <c r="EC289" s="16"/>
      <c r="ED289" s="16">
        <v>1313</v>
      </c>
      <c r="EE289" s="16">
        <f t="shared" si="325"/>
        <v>55</v>
      </c>
      <c r="EF289" s="16">
        <v>1258</v>
      </c>
      <c r="EG289" s="16">
        <v>1195</v>
      </c>
      <c r="EH289" s="16">
        <f t="shared" si="326"/>
        <v>63</v>
      </c>
      <c r="EI289" s="16"/>
      <c r="EJ289" s="16"/>
      <c r="EK289" s="80"/>
      <c r="EL289" s="81"/>
      <c r="EM289" s="15"/>
      <c r="EN289" s="15"/>
      <c r="EO289" s="15"/>
      <c r="EP289" s="16"/>
      <c r="EQ289" s="16"/>
      <c r="ER289" s="16"/>
      <c r="ES289" s="16"/>
      <c r="ET289" s="16"/>
      <c r="EU289" s="16"/>
      <c r="EV289" s="16"/>
      <c r="EW289" s="16"/>
      <c r="EX289" s="16"/>
      <c r="EY289" s="80"/>
      <c r="EZ289" s="81"/>
      <c r="FA289" s="15"/>
      <c r="FB289" s="15"/>
      <c r="FC289" s="15"/>
      <c r="FD289" s="16"/>
      <c r="FE289" s="16"/>
      <c r="FF289" s="16"/>
      <c r="FG289" s="16"/>
      <c r="FH289" s="16"/>
      <c r="FI289" s="16"/>
      <c r="FJ289" s="16"/>
      <c r="FK289" s="16"/>
      <c r="FM289" s="80"/>
      <c r="FN289" s="81"/>
      <c r="FO289" s="15"/>
      <c r="FP289" s="15"/>
      <c r="FQ289" s="15"/>
      <c r="FR289" s="16"/>
      <c r="FS289" s="16"/>
      <c r="FT289" s="16"/>
      <c r="FU289" s="16"/>
      <c r="FV289" s="16"/>
      <c r="FW289" s="16"/>
      <c r="FX289" s="16"/>
      <c r="FY289" s="16"/>
      <c r="GA289" s="80"/>
      <c r="GB289" s="81"/>
      <c r="GC289" s="15"/>
      <c r="GD289" s="15"/>
      <c r="GE289" s="15"/>
      <c r="GF289" s="16"/>
      <c r="GG289" s="16"/>
      <c r="GH289" s="16"/>
      <c r="GI289" s="16"/>
      <c r="GJ289" s="16"/>
      <c r="GK289" s="16"/>
      <c r="GL289" s="16"/>
      <c r="GM289" s="16"/>
    </row>
    <row r="290" spans="1:195" s="18" customFormat="1" ht="15" customHeight="1">
      <c r="A290" s="78">
        <v>2016</v>
      </c>
      <c r="B290" s="79" t="s">
        <v>44</v>
      </c>
      <c r="C290" s="15">
        <f t="shared" si="293"/>
        <v>0.72744473212507466</v>
      </c>
      <c r="D290" s="15">
        <f t="shared" si="294"/>
        <v>0.79640228945216684</v>
      </c>
      <c r="E290" s="15">
        <f t="shared" si="295"/>
        <v>0.91341366261700851</v>
      </c>
      <c r="F290" s="16"/>
      <c r="G290" s="33"/>
      <c r="H29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20084</v>
      </c>
      <c r="I290" s="16">
        <f t="shared" si="296"/>
        <v>1739</v>
      </c>
      <c r="J29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18345</v>
      </c>
      <c r="K29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14610</v>
      </c>
      <c r="L290" s="16">
        <f t="shared" si="297"/>
        <v>3735</v>
      </c>
      <c r="M290" s="16"/>
      <c r="N290" s="16"/>
      <c r="O290" s="78">
        <v>2016</v>
      </c>
      <c r="P290" s="79" t="s">
        <v>44</v>
      </c>
      <c r="Q290" s="15">
        <f t="shared" si="270"/>
        <v>0.6297482837528604</v>
      </c>
      <c r="R290" s="15">
        <f t="shared" si="271"/>
        <v>0.68253968253968256</v>
      </c>
      <c r="S290" s="15">
        <f t="shared" si="272"/>
        <v>0.92265446224256298</v>
      </c>
      <c r="T290" s="26"/>
      <c r="U290" s="26"/>
      <c r="V290" s="16">
        <v>4370</v>
      </c>
      <c r="W290" s="16">
        <f t="shared" si="315"/>
        <v>338</v>
      </c>
      <c r="X290" s="16">
        <v>4032</v>
      </c>
      <c r="Y290" s="16">
        <v>2752</v>
      </c>
      <c r="Z290" s="16">
        <f t="shared" si="316"/>
        <v>1280</v>
      </c>
      <c r="AA290" s="16"/>
      <c r="AB290" s="16"/>
      <c r="AC290" s="78"/>
      <c r="AD290" s="79"/>
      <c r="AE290" s="15"/>
      <c r="AF290" s="15"/>
      <c r="AG290" s="15"/>
      <c r="AH290" s="15"/>
      <c r="AI290" s="15"/>
      <c r="AJ290" s="16"/>
      <c r="AK290" s="16"/>
      <c r="AL290" s="16"/>
      <c r="AM290" s="16"/>
      <c r="AN290" s="16"/>
      <c r="AO290" s="16"/>
      <c r="AP290" s="16"/>
      <c r="AQ290" s="78">
        <v>2016</v>
      </c>
      <c r="AR290" s="79" t="s">
        <v>44</v>
      </c>
      <c r="AS290" s="15">
        <f t="shared" si="273"/>
        <v>0.73816155988857934</v>
      </c>
      <c r="AT290" s="15">
        <f t="shared" si="274"/>
        <v>0.83596214511041012</v>
      </c>
      <c r="AU290" s="15">
        <f t="shared" si="275"/>
        <v>0.88300835654596099</v>
      </c>
      <c r="AV290" s="16"/>
      <c r="AW290" s="16"/>
      <c r="AX290" s="16">
        <v>4308</v>
      </c>
      <c r="AY290" s="16">
        <f t="shared" si="317"/>
        <v>504</v>
      </c>
      <c r="AZ290" s="16">
        <v>3804</v>
      </c>
      <c r="BA290" s="16">
        <v>3180</v>
      </c>
      <c r="BB290" s="16">
        <f t="shared" si="318"/>
        <v>624</v>
      </c>
      <c r="BC290" s="16"/>
      <c r="BD290" s="16"/>
      <c r="BE290" s="78">
        <v>2016</v>
      </c>
      <c r="BF290" s="79" t="s">
        <v>44</v>
      </c>
      <c r="BG290" s="15">
        <f t="shared" si="310"/>
        <v>0.81836327345309379</v>
      </c>
      <c r="BH290" s="15">
        <f t="shared" si="311"/>
        <v>0.8680310515172901</v>
      </c>
      <c r="BI290" s="15">
        <f t="shared" si="312"/>
        <v>0.94278110445775121</v>
      </c>
      <c r="BJ290" s="16"/>
      <c r="BK290" s="16"/>
      <c r="BL290" s="16">
        <v>3006</v>
      </c>
      <c r="BM290" s="16">
        <f t="shared" si="319"/>
        <v>172</v>
      </c>
      <c r="BN290" s="16">
        <v>2834</v>
      </c>
      <c r="BO290" s="16">
        <v>2460</v>
      </c>
      <c r="BP290" s="16">
        <f t="shared" si="320"/>
        <v>374</v>
      </c>
      <c r="BQ290" s="16"/>
      <c r="BR290" s="16"/>
      <c r="BS290" s="78">
        <v>2016</v>
      </c>
      <c r="BT290" s="79" t="s">
        <v>44</v>
      </c>
      <c r="BU290" s="15">
        <f t="shared" si="276"/>
        <v>0.79256670902160098</v>
      </c>
      <c r="BV290" s="15">
        <f t="shared" si="277"/>
        <v>0.87605337078651691</v>
      </c>
      <c r="BW290" s="15">
        <f t="shared" si="278"/>
        <v>0.90470139771283353</v>
      </c>
      <c r="BX290" s="16"/>
      <c r="BY290" s="16"/>
      <c r="BZ290" s="16">
        <v>3148</v>
      </c>
      <c r="CA290" s="16">
        <f t="shared" si="328"/>
        <v>300</v>
      </c>
      <c r="CB290" s="16">
        <v>2848</v>
      </c>
      <c r="CC290" s="16">
        <v>2495</v>
      </c>
      <c r="CD290" s="16">
        <f t="shared" si="327"/>
        <v>353</v>
      </c>
      <c r="CE290" s="16"/>
      <c r="CF290" s="16"/>
      <c r="CG290" s="78">
        <v>2016</v>
      </c>
      <c r="CH290" s="79" t="s">
        <v>44</v>
      </c>
      <c r="CI290" s="15"/>
      <c r="CJ290" s="15"/>
      <c r="CK290" s="15"/>
      <c r="CL290" s="35"/>
      <c r="CM290" s="35"/>
      <c r="CN290" s="35"/>
      <c r="CO290" s="35"/>
      <c r="CP290" s="16"/>
      <c r="CQ290" s="16"/>
      <c r="CR290" s="16"/>
      <c r="CS290" s="16"/>
      <c r="CT290" s="16"/>
      <c r="CU290" s="78">
        <v>2016</v>
      </c>
      <c r="CV290" s="79" t="s">
        <v>44</v>
      </c>
      <c r="CW290" s="15">
        <f t="shared" si="282"/>
        <v>0.71687136393018747</v>
      </c>
      <c r="CX290" s="15">
        <f t="shared" si="283"/>
        <v>0.77606717984604623</v>
      </c>
      <c r="CY290" s="15">
        <f t="shared" si="284"/>
        <v>0.92372333548804142</v>
      </c>
      <c r="CZ290" s="16"/>
      <c r="DA290" s="16"/>
      <c r="DB290" s="16">
        <v>3094</v>
      </c>
      <c r="DC290" s="16">
        <f t="shared" si="321"/>
        <v>236</v>
      </c>
      <c r="DD290" s="16">
        <v>2858</v>
      </c>
      <c r="DE290" s="16">
        <v>2218</v>
      </c>
      <c r="DF290" s="16">
        <f t="shared" si="322"/>
        <v>640</v>
      </c>
      <c r="DG290" s="16"/>
      <c r="DH290" s="16"/>
      <c r="DI290" s="78">
        <v>2016</v>
      </c>
      <c r="DJ290" s="79" t="s">
        <v>44</v>
      </c>
      <c r="DK290" s="15">
        <f t="shared" si="287"/>
        <v>0.40045248868778283</v>
      </c>
      <c r="DL290" s="15">
        <f t="shared" si="288"/>
        <v>0.46517739816031539</v>
      </c>
      <c r="DM290" s="15">
        <f t="shared" si="289"/>
        <v>0.86085972850678738</v>
      </c>
      <c r="DN290" s="16"/>
      <c r="DO290" s="16"/>
      <c r="DP290" s="16">
        <v>884</v>
      </c>
      <c r="DQ290" s="16">
        <f t="shared" si="323"/>
        <v>123</v>
      </c>
      <c r="DR290" s="16">
        <v>761</v>
      </c>
      <c r="DS290" s="16">
        <v>354</v>
      </c>
      <c r="DT290" s="16">
        <f t="shared" si="324"/>
        <v>407</v>
      </c>
      <c r="DU290" s="16"/>
      <c r="DV290" s="16"/>
      <c r="DW290" s="78">
        <v>2016</v>
      </c>
      <c r="DX290" s="79" t="s">
        <v>44</v>
      </c>
      <c r="DY290" s="15">
        <f t="shared" si="290"/>
        <v>0.90345368916797486</v>
      </c>
      <c r="DZ290" s="15">
        <f t="shared" si="291"/>
        <v>0.95281456953642385</v>
      </c>
      <c r="EA290" s="15">
        <f t="shared" si="292"/>
        <v>0.94819466248037676</v>
      </c>
      <c r="EB290" s="16"/>
      <c r="EC290" s="16"/>
      <c r="ED290" s="16">
        <v>1274</v>
      </c>
      <c r="EE290" s="16">
        <f t="shared" si="325"/>
        <v>66</v>
      </c>
      <c r="EF290" s="16">
        <v>1208</v>
      </c>
      <c r="EG290" s="16">
        <v>1151</v>
      </c>
      <c r="EH290" s="16">
        <f t="shared" si="326"/>
        <v>57</v>
      </c>
      <c r="EI290" s="16"/>
      <c r="EJ290" s="16"/>
      <c r="EK290" s="78"/>
      <c r="EL290" s="79"/>
      <c r="EM290" s="15"/>
      <c r="EN290" s="15"/>
      <c r="EO290" s="15"/>
      <c r="EP290" s="16"/>
      <c r="EQ290" s="16"/>
      <c r="ER290" s="16"/>
      <c r="ES290" s="16"/>
      <c r="ET290" s="16"/>
      <c r="EU290" s="16"/>
      <c r="EV290" s="16"/>
      <c r="EW290" s="16"/>
      <c r="EX290" s="16"/>
      <c r="EY290" s="78"/>
      <c r="EZ290" s="79"/>
      <c r="FA290" s="15"/>
      <c r="FB290" s="15"/>
      <c r="FC290" s="15"/>
      <c r="FD290" s="16"/>
      <c r="FE290" s="16"/>
      <c r="FF290" s="16"/>
      <c r="FG290" s="16"/>
      <c r="FH290" s="16"/>
      <c r="FI290" s="16"/>
      <c r="FJ290" s="16"/>
      <c r="FK290" s="16"/>
      <c r="FM290" s="78"/>
      <c r="FN290" s="79"/>
      <c r="FO290" s="15"/>
      <c r="FP290" s="15"/>
      <c r="FQ290" s="15"/>
      <c r="FR290" s="16"/>
      <c r="FS290" s="16"/>
      <c r="FT290" s="16"/>
      <c r="FU290" s="16"/>
      <c r="FV290" s="16"/>
      <c r="FW290" s="16"/>
      <c r="FX290" s="16"/>
      <c r="FY290" s="16"/>
      <c r="GA290" s="78"/>
      <c r="GB290" s="79"/>
      <c r="GC290" s="15"/>
      <c r="GD290" s="15"/>
      <c r="GE290" s="15"/>
      <c r="GF290" s="16"/>
      <c r="GG290" s="16"/>
      <c r="GH290" s="16"/>
      <c r="GI290" s="16"/>
      <c r="GJ290" s="16"/>
      <c r="GK290" s="16"/>
      <c r="GL290" s="16"/>
      <c r="GM290" s="16"/>
    </row>
    <row r="291" spans="1:195" s="18" customFormat="1" ht="15" customHeight="1">
      <c r="A291" s="80">
        <v>2016</v>
      </c>
      <c r="B291" s="81" t="s">
        <v>45</v>
      </c>
      <c r="C291" s="15">
        <f t="shared" si="293"/>
        <v>0.79653937947494036</v>
      </c>
      <c r="D291" s="15">
        <f t="shared" si="294"/>
        <v>0.84085660298131426</v>
      </c>
      <c r="E291" s="15">
        <f t="shared" si="295"/>
        <v>0.94729514717581542</v>
      </c>
      <c r="F291" s="16"/>
      <c r="G291" s="33"/>
      <c r="H29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20112</v>
      </c>
      <c r="I291" s="16">
        <f t="shared" si="296"/>
        <v>1060</v>
      </c>
      <c r="J29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19052</v>
      </c>
      <c r="K29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16020</v>
      </c>
      <c r="L291" s="16">
        <f t="shared" si="297"/>
        <v>3032</v>
      </c>
      <c r="M291" s="16"/>
      <c r="N291" s="16"/>
      <c r="O291" s="80">
        <v>2016</v>
      </c>
      <c r="P291" s="81" t="s">
        <v>45</v>
      </c>
      <c r="Q291" s="15">
        <f t="shared" si="270"/>
        <v>0.70553269318701417</v>
      </c>
      <c r="R291" s="15">
        <f t="shared" si="271"/>
        <v>0.73041420118343192</v>
      </c>
      <c r="S291" s="15">
        <f t="shared" si="272"/>
        <v>0.96593507087334252</v>
      </c>
      <c r="T291" s="26"/>
      <c r="U291" s="26"/>
      <c r="V291" s="16">
        <v>4374</v>
      </c>
      <c r="W291" s="16">
        <f t="shared" si="315"/>
        <v>149</v>
      </c>
      <c r="X291" s="16">
        <v>4225</v>
      </c>
      <c r="Y291" s="16">
        <v>3086</v>
      </c>
      <c r="Z291" s="16">
        <f t="shared" si="316"/>
        <v>1139</v>
      </c>
      <c r="AA291" s="16"/>
      <c r="AB291" s="16"/>
      <c r="AC291" s="80"/>
      <c r="AD291" s="81"/>
      <c r="AE291" s="15"/>
      <c r="AF291" s="15"/>
      <c r="AG291" s="15"/>
      <c r="AH291" s="15"/>
      <c r="AI291" s="15"/>
      <c r="AJ291" s="16"/>
      <c r="AK291" s="16"/>
      <c r="AL291" s="16"/>
      <c r="AM291" s="16"/>
      <c r="AN291" s="16"/>
      <c r="AO291" s="16"/>
      <c r="AP291" s="16"/>
      <c r="AQ291" s="80">
        <v>2016</v>
      </c>
      <c r="AR291" s="81" t="s">
        <v>45</v>
      </c>
      <c r="AS291" s="15">
        <f t="shared" si="273"/>
        <v>0.83364183248496071</v>
      </c>
      <c r="AT291" s="15">
        <f t="shared" si="274"/>
        <v>0.87218591140159762</v>
      </c>
      <c r="AU291" s="15">
        <f t="shared" si="275"/>
        <v>0.95580749652938457</v>
      </c>
      <c r="AV291" s="16"/>
      <c r="AW291" s="16"/>
      <c r="AX291" s="16">
        <v>4322</v>
      </c>
      <c r="AY291" s="16">
        <f t="shared" si="317"/>
        <v>191</v>
      </c>
      <c r="AZ291" s="16">
        <v>4131</v>
      </c>
      <c r="BA291" s="16">
        <v>3603</v>
      </c>
      <c r="BB291" s="16">
        <f t="shared" si="318"/>
        <v>528</v>
      </c>
      <c r="BC291" s="16"/>
      <c r="BD291" s="16"/>
      <c r="BE291" s="80">
        <v>2016</v>
      </c>
      <c r="BF291" s="81" t="s">
        <v>45</v>
      </c>
      <c r="BG291" s="15">
        <f t="shared" si="310"/>
        <v>0.90017452006980803</v>
      </c>
      <c r="BH291" s="15">
        <f t="shared" si="311"/>
        <v>0.93374366401158582</v>
      </c>
      <c r="BI291" s="15">
        <f t="shared" si="312"/>
        <v>0.96404886561954628</v>
      </c>
      <c r="BJ291" s="16"/>
      <c r="BK291" s="16"/>
      <c r="BL291" s="16">
        <v>2865</v>
      </c>
      <c r="BM291" s="16">
        <f t="shared" si="319"/>
        <v>103</v>
      </c>
      <c r="BN291" s="16">
        <v>2762</v>
      </c>
      <c r="BO291" s="16">
        <v>2579</v>
      </c>
      <c r="BP291" s="16">
        <f t="shared" si="320"/>
        <v>183</v>
      </c>
      <c r="BQ291" s="16"/>
      <c r="BR291" s="16"/>
      <c r="BS291" s="80">
        <v>2016</v>
      </c>
      <c r="BT291" s="81" t="s">
        <v>45</v>
      </c>
      <c r="BU291" s="15">
        <f t="shared" si="276"/>
        <v>0.84208899876390608</v>
      </c>
      <c r="BV291" s="15">
        <f t="shared" si="277"/>
        <v>0.92279038266169999</v>
      </c>
      <c r="BW291" s="15">
        <f t="shared" si="278"/>
        <v>0.91254635352286773</v>
      </c>
      <c r="BX291" s="16"/>
      <c r="BY291" s="16"/>
      <c r="BZ291" s="16">
        <v>3236</v>
      </c>
      <c r="CA291" s="16">
        <f t="shared" si="328"/>
        <v>283</v>
      </c>
      <c r="CB291" s="16">
        <v>2953</v>
      </c>
      <c r="CC291" s="16">
        <v>2725</v>
      </c>
      <c r="CD291" s="16">
        <f t="shared" si="327"/>
        <v>228</v>
      </c>
      <c r="CE291" s="16"/>
      <c r="CF291" s="16"/>
      <c r="CG291" s="80">
        <v>2016</v>
      </c>
      <c r="CH291" s="81" t="s">
        <v>45</v>
      </c>
      <c r="CI291" s="15"/>
      <c r="CJ291" s="15"/>
      <c r="CK291" s="15"/>
      <c r="CL291" s="35"/>
      <c r="CM291" s="35"/>
      <c r="CN291" s="35"/>
      <c r="CO291" s="35"/>
      <c r="CP291" s="16"/>
      <c r="CQ291" s="16"/>
      <c r="CR291" s="16"/>
      <c r="CS291" s="16"/>
      <c r="CT291" s="16"/>
      <c r="CU291" s="80">
        <v>2016</v>
      </c>
      <c r="CV291" s="81" t="s">
        <v>45</v>
      </c>
      <c r="CW291" s="15">
        <f t="shared" si="282"/>
        <v>0.79741935483870963</v>
      </c>
      <c r="CX291" s="15">
        <f t="shared" si="283"/>
        <v>0.84138869979577946</v>
      </c>
      <c r="CY291" s="15">
        <f t="shared" si="284"/>
        <v>0.94774193548387098</v>
      </c>
      <c r="CZ291" s="16"/>
      <c r="DA291" s="16"/>
      <c r="DB291" s="16">
        <v>3100</v>
      </c>
      <c r="DC291" s="16">
        <f t="shared" si="321"/>
        <v>162</v>
      </c>
      <c r="DD291" s="16">
        <v>2938</v>
      </c>
      <c r="DE291" s="16">
        <v>2472</v>
      </c>
      <c r="DF291" s="16">
        <f t="shared" si="322"/>
        <v>466</v>
      </c>
      <c r="DG291" s="16"/>
      <c r="DH291" s="16"/>
      <c r="DI291" s="80">
        <v>2016</v>
      </c>
      <c r="DJ291" s="81" t="s">
        <v>45</v>
      </c>
      <c r="DK291" s="15">
        <f t="shared" si="287"/>
        <v>0.36423841059602646</v>
      </c>
      <c r="DL291" s="15">
        <f t="shared" si="288"/>
        <v>0.42746113989637308</v>
      </c>
      <c r="DM291" s="15">
        <f t="shared" si="289"/>
        <v>0.85209713024282563</v>
      </c>
      <c r="DN291" s="16"/>
      <c r="DO291" s="16"/>
      <c r="DP291" s="16">
        <v>906</v>
      </c>
      <c r="DQ291" s="16">
        <f t="shared" si="323"/>
        <v>134</v>
      </c>
      <c r="DR291" s="16">
        <v>772</v>
      </c>
      <c r="DS291" s="16">
        <v>330</v>
      </c>
      <c r="DT291" s="16">
        <f t="shared" si="324"/>
        <v>442</v>
      </c>
      <c r="DU291" s="16"/>
      <c r="DV291" s="16"/>
      <c r="DW291" s="80">
        <v>2016</v>
      </c>
      <c r="DX291" s="81" t="s">
        <v>45</v>
      </c>
      <c r="DY291" s="15">
        <f t="shared" si="290"/>
        <v>0.93582887700534756</v>
      </c>
      <c r="DZ291" s="15">
        <f t="shared" si="291"/>
        <v>0.96380802517702602</v>
      </c>
      <c r="EA291" s="15">
        <f t="shared" si="292"/>
        <v>0.97097020626432395</v>
      </c>
      <c r="EB291" s="16"/>
      <c r="EC291" s="16"/>
      <c r="ED291" s="16">
        <v>1309</v>
      </c>
      <c r="EE291" s="16">
        <f t="shared" si="325"/>
        <v>38</v>
      </c>
      <c r="EF291" s="16">
        <v>1271</v>
      </c>
      <c r="EG291" s="16">
        <v>1225</v>
      </c>
      <c r="EH291" s="16">
        <f t="shared" si="326"/>
        <v>46</v>
      </c>
      <c r="EI291" s="16"/>
      <c r="EJ291" s="16"/>
      <c r="EK291" s="80"/>
      <c r="EL291" s="81"/>
      <c r="EM291" s="15"/>
      <c r="EN291" s="15"/>
      <c r="EO291" s="15"/>
      <c r="EP291" s="16"/>
      <c r="EQ291" s="16"/>
      <c r="ER291" s="16"/>
      <c r="ES291" s="16"/>
      <c r="ET291" s="16"/>
      <c r="EU291" s="16"/>
      <c r="EV291" s="16"/>
      <c r="EW291" s="16"/>
      <c r="EX291" s="16"/>
      <c r="EY291" s="80"/>
      <c r="EZ291" s="81"/>
      <c r="FA291" s="15"/>
      <c r="FB291" s="15"/>
      <c r="FC291" s="15"/>
      <c r="FD291" s="16"/>
      <c r="FE291" s="16"/>
      <c r="FF291" s="16"/>
      <c r="FG291" s="16"/>
      <c r="FH291" s="16"/>
      <c r="FI291" s="16"/>
      <c r="FJ291" s="16"/>
      <c r="FK291" s="16"/>
      <c r="FM291" s="80"/>
      <c r="FN291" s="81"/>
      <c r="FO291" s="15"/>
      <c r="FP291" s="15"/>
      <c r="FQ291" s="15"/>
      <c r="FR291" s="16"/>
      <c r="FS291" s="16"/>
      <c r="FT291" s="16"/>
      <c r="FU291" s="16"/>
      <c r="FV291" s="16"/>
      <c r="FW291" s="16"/>
      <c r="FX291" s="16"/>
      <c r="FY291" s="16"/>
      <c r="GA291" s="80"/>
      <c r="GB291" s="81"/>
      <c r="GC291" s="15"/>
      <c r="GD291" s="15"/>
      <c r="GE291" s="15"/>
      <c r="GF291" s="16"/>
      <c r="GG291" s="16"/>
      <c r="GH291" s="16"/>
      <c r="GI291" s="16"/>
      <c r="GJ291" s="16"/>
      <c r="GK291" s="16"/>
      <c r="GL291" s="16"/>
      <c r="GM291" s="16"/>
    </row>
    <row r="292" spans="1:195" s="18" customFormat="1" ht="15" customHeight="1">
      <c r="A292" s="78">
        <v>2016</v>
      </c>
      <c r="B292" s="79" t="s">
        <v>46</v>
      </c>
      <c r="C292" s="15">
        <f t="shared" si="293"/>
        <v>0.83637651105154009</v>
      </c>
      <c r="D292" s="15">
        <f t="shared" si="294"/>
        <v>0.87482806052269602</v>
      </c>
      <c r="E292" s="15">
        <f t="shared" si="295"/>
        <v>0.95604673511709071</v>
      </c>
      <c r="F292" s="16"/>
      <c r="G292" s="33"/>
      <c r="H29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19771</v>
      </c>
      <c r="I292" s="16">
        <f t="shared" si="296"/>
        <v>869</v>
      </c>
      <c r="J29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18902</v>
      </c>
      <c r="K29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16536</v>
      </c>
      <c r="L292" s="16">
        <f t="shared" si="297"/>
        <v>2366</v>
      </c>
      <c r="M292" s="16"/>
      <c r="N292" s="16"/>
      <c r="O292" s="78">
        <v>2016</v>
      </c>
      <c r="P292" s="79" t="s">
        <v>46</v>
      </c>
      <c r="Q292" s="15">
        <f t="shared" si="270"/>
        <v>0.75987912598791263</v>
      </c>
      <c r="R292" s="15">
        <f t="shared" si="271"/>
        <v>0.78412089230031179</v>
      </c>
      <c r="S292" s="15">
        <f t="shared" si="272"/>
        <v>0.96908414690841471</v>
      </c>
      <c r="T292" s="26"/>
      <c r="U292" s="26"/>
      <c r="V292" s="16">
        <v>4302</v>
      </c>
      <c r="W292" s="16">
        <f t="shared" si="315"/>
        <v>133</v>
      </c>
      <c r="X292" s="16">
        <v>4169</v>
      </c>
      <c r="Y292" s="16">
        <v>3269</v>
      </c>
      <c r="Z292" s="16">
        <f t="shared" si="316"/>
        <v>900</v>
      </c>
      <c r="AA292" s="16"/>
      <c r="AB292" s="16"/>
      <c r="AC292" s="78"/>
      <c r="AD292" s="79"/>
      <c r="AE292" s="15"/>
      <c r="AF292" s="15"/>
      <c r="AG292" s="15"/>
      <c r="AH292" s="15"/>
      <c r="AI292" s="15"/>
      <c r="AJ292" s="16"/>
      <c r="AK292" s="16"/>
      <c r="AL292" s="16"/>
      <c r="AM292" s="16"/>
      <c r="AN292" s="16"/>
      <c r="AO292" s="16"/>
      <c r="AP292" s="16"/>
      <c r="AQ292" s="78">
        <v>2016</v>
      </c>
      <c r="AR292" s="79" t="s">
        <v>46</v>
      </c>
      <c r="AS292" s="15">
        <f t="shared" si="273"/>
        <v>0.88813000471031556</v>
      </c>
      <c r="AT292" s="15">
        <f t="shared" si="274"/>
        <v>0.9119709794437727</v>
      </c>
      <c r="AU292" s="15">
        <f t="shared" si="275"/>
        <v>0.97385774846914741</v>
      </c>
      <c r="AV292" s="16"/>
      <c r="AW292" s="16"/>
      <c r="AX292" s="16">
        <v>4246</v>
      </c>
      <c r="AY292" s="16">
        <f t="shared" si="317"/>
        <v>111</v>
      </c>
      <c r="AZ292" s="16">
        <v>4135</v>
      </c>
      <c r="BA292" s="16">
        <v>3771</v>
      </c>
      <c r="BB292" s="16">
        <f t="shared" si="318"/>
        <v>364</v>
      </c>
      <c r="BC292" s="16"/>
      <c r="BD292" s="16"/>
      <c r="BE292" s="78">
        <v>2016</v>
      </c>
      <c r="BF292" s="79" t="s">
        <v>46</v>
      </c>
      <c r="BG292" s="15">
        <f t="shared" si="310"/>
        <v>0.88015240734326294</v>
      </c>
      <c r="BH292" s="15">
        <f t="shared" si="311"/>
        <v>0.94496095202677577</v>
      </c>
      <c r="BI292" s="15">
        <f t="shared" si="312"/>
        <v>0.93141669553169382</v>
      </c>
      <c r="BJ292" s="16"/>
      <c r="BK292" s="16"/>
      <c r="BL292" s="16">
        <v>2887</v>
      </c>
      <c r="BM292" s="16">
        <f t="shared" si="319"/>
        <v>198</v>
      </c>
      <c r="BN292" s="16">
        <v>2689</v>
      </c>
      <c r="BO292" s="16">
        <v>2541</v>
      </c>
      <c r="BP292" s="16">
        <f t="shared" si="320"/>
        <v>148</v>
      </c>
      <c r="BQ292" s="16"/>
      <c r="BR292" s="16"/>
      <c r="BS292" s="78">
        <v>2016</v>
      </c>
      <c r="BT292" s="79" t="s">
        <v>46</v>
      </c>
      <c r="BU292" s="15">
        <f t="shared" si="276"/>
        <v>0.91586998087954108</v>
      </c>
      <c r="BV292" s="15">
        <f t="shared" si="277"/>
        <v>0.95386657816130105</v>
      </c>
      <c r="BW292" s="15">
        <f t="shared" si="278"/>
        <v>0.96016571064372214</v>
      </c>
      <c r="BX292" s="16"/>
      <c r="BY292" s="16"/>
      <c r="BZ292" s="16">
        <v>3138</v>
      </c>
      <c r="CA292" s="16">
        <f t="shared" si="328"/>
        <v>125</v>
      </c>
      <c r="CB292" s="16">
        <v>3013</v>
      </c>
      <c r="CC292" s="16">
        <v>2874</v>
      </c>
      <c r="CD292" s="16">
        <f t="shared" si="327"/>
        <v>139</v>
      </c>
      <c r="CE292" s="16"/>
      <c r="CF292" s="16"/>
      <c r="CG292" s="78">
        <v>2016</v>
      </c>
      <c r="CH292" s="79" t="s">
        <v>46</v>
      </c>
      <c r="CI292" s="15"/>
      <c r="CJ292" s="15"/>
      <c r="CK292" s="15"/>
      <c r="CL292" s="35"/>
      <c r="CM292" s="35"/>
      <c r="CN292" s="35"/>
      <c r="CO292" s="35"/>
      <c r="CP292" s="16"/>
      <c r="CQ292" s="16"/>
      <c r="CR292" s="16"/>
      <c r="CS292" s="16"/>
      <c r="CT292" s="16"/>
      <c r="CU292" s="78">
        <v>2016</v>
      </c>
      <c r="CV292" s="79" t="s">
        <v>46</v>
      </c>
      <c r="CW292" s="15">
        <f t="shared" si="282"/>
        <v>0.83891076115485563</v>
      </c>
      <c r="CX292" s="15">
        <f t="shared" si="283"/>
        <v>0.87990364762560225</v>
      </c>
      <c r="CY292" s="15">
        <f t="shared" si="284"/>
        <v>0.95341207349081369</v>
      </c>
      <c r="CZ292" s="16"/>
      <c r="DA292" s="16"/>
      <c r="DB292" s="16">
        <v>3048</v>
      </c>
      <c r="DC292" s="16">
        <f t="shared" si="321"/>
        <v>142</v>
      </c>
      <c r="DD292" s="16">
        <v>2906</v>
      </c>
      <c r="DE292" s="16">
        <v>2557</v>
      </c>
      <c r="DF292" s="16">
        <f t="shared" si="322"/>
        <v>349</v>
      </c>
      <c r="DG292" s="16"/>
      <c r="DH292" s="16"/>
      <c r="DI292" s="78">
        <v>2016</v>
      </c>
      <c r="DJ292" s="79" t="s">
        <v>46</v>
      </c>
      <c r="DK292" s="15">
        <f t="shared" si="287"/>
        <v>0.39204545454545453</v>
      </c>
      <c r="DL292" s="15">
        <f t="shared" si="288"/>
        <v>0.44863459037711312</v>
      </c>
      <c r="DM292" s="15">
        <f t="shared" si="289"/>
        <v>0.8738636363636364</v>
      </c>
      <c r="DN292" s="16"/>
      <c r="DO292" s="16"/>
      <c r="DP292" s="16">
        <v>880</v>
      </c>
      <c r="DQ292" s="16">
        <f t="shared" si="323"/>
        <v>111</v>
      </c>
      <c r="DR292" s="16">
        <v>769</v>
      </c>
      <c r="DS292" s="16">
        <v>345</v>
      </c>
      <c r="DT292" s="16">
        <f t="shared" si="324"/>
        <v>424</v>
      </c>
      <c r="DU292" s="16"/>
      <c r="DV292" s="16"/>
      <c r="DW292" s="78">
        <v>2016</v>
      </c>
      <c r="DX292" s="79" t="s">
        <v>46</v>
      </c>
      <c r="DY292" s="15">
        <f t="shared" si="290"/>
        <v>0.92834645669291338</v>
      </c>
      <c r="DZ292" s="15">
        <f t="shared" si="291"/>
        <v>0.96560196560196565</v>
      </c>
      <c r="EA292" s="15">
        <f t="shared" si="292"/>
        <v>0.96141732283464565</v>
      </c>
      <c r="EB292" s="16"/>
      <c r="EC292" s="16"/>
      <c r="ED292" s="16">
        <v>1270</v>
      </c>
      <c r="EE292" s="16">
        <f t="shared" si="325"/>
        <v>49</v>
      </c>
      <c r="EF292" s="16">
        <v>1221</v>
      </c>
      <c r="EG292" s="16">
        <v>1179</v>
      </c>
      <c r="EH292" s="16">
        <f t="shared" si="326"/>
        <v>42</v>
      </c>
      <c r="EI292" s="16"/>
      <c r="EJ292" s="16"/>
      <c r="EK292" s="78"/>
      <c r="EL292" s="79"/>
      <c r="EM292" s="15"/>
      <c r="EN292" s="15"/>
      <c r="EO292" s="15"/>
      <c r="EP292" s="16"/>
      <c r="EQ292" s="16"/>
      <c r="ER292" s="16"/>
      <c r="ES292" s="16"/>
      <c r="ET292" s="16"/>
      <c r="EU292" s="16"/>
      <c r="EV292" s="16"/>
      <c r="EW292" s="16"/>
      <c r="EX292" s="16"/>
      <c r="EY292" s="78"/>
      <c r="EZ292" s="79"/>
      <c r="FA292" s="15"/>
      <c r="FB292" s="15"/>
      <c r="FC292" s="15"/>
      <c r="FD292" s="16"/>
      <c r="FE292" s="16"/>
      <c r="FF292" s="16"/>
      <c r="FG292" s="16"/>
      <c r="FH292" s="16"/>
      <c r="FI292" s="16"/>
      <c r="FJ292" s="16"/>
      <c r="FK292" s="16"/>
      <c r="FM292" s="78"/>
      <c r="FN292" s="79"/>
      <c r="FO292" s="15"/>
      <c r="FP292" s="15"/>
      <c r="FQ292" s="15"/>
      <c r="FR292" s="16"/>
      <c r="FS292" s="16"/>
      <c r="FT292" s="16"/>
      <c r="FU292" s="16"/>
      <c r="FV292" s="16"/>
      <c r="FW292" s="16"/>
      <c r="FX292" s="16"/>
      <c r="FY292" s="16"/>
      <c r="GA292" s="78"/>
      <c r="GB292" s="79"/>
      <c r="GC292" s="15"/>
      <c r="GD292" s="15"/>
      <c r="GE292" s="15"/>
      <c r="GF292" s="16"/>
      <c r="GG292" s="16"/>
      <c r="GH292" s="16"/>
      <c r="GI292" s="16"/>
      <c r="GJ292" s="16"/>
      <c r="GK292" s="16"/>
      <c r="GL292" s="16"/>
      <c r="GM292" s="16"/>
    </row>
    <row r="293" spans="1:195" s="18" customFormat="1" ht="15" customHeight="1">
      <c r="A293" s="80">
        <v>2016</v>
      </c>
      <c r="B293" s="81" t="s">
        <v>47</v>
      </c>
      <c r="C293" s="15">
        <f t="shared" si="293"/>
        <v>0.79261137629276057</v>
      </c>
      <c r="D293" s="15">
        <f t="shared" si="294"/>
        <v>0.85104906305055794</v>
      </c>
      <c r="E293" s="15">
        <f t="shared" si="295"/>
        <v>0.93133452665075578</v>
      </c>
      <c r="F293" s="16"/>
      <c r="G293" s="33"/>
      <c r="H29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20112</v>
      </c>
      <c r="I293" s="16">
        <f t="shared" si="296"/>
        <v>1381</v>
      </c>
      <c r="J29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18731</v>
      </c>
      <c r="K29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15941</v>
      </c>
      <c r="L293" s="16">
        <f t="shared" si="297"/>
        <v>2790</v>
      </c>
      <c r="M293" s="16"/>
      <c r="N293" s="16"/>
      <c r="O293" s="80">
        <v>2016</v>
      </c>
      <c r="P293" s="81" t="s">
        <v>47</v>
      </c>
      <c r="Q293" s="15">
        <f t="shared" si="270"/>
        <v>0.68655692729766804</v>
      </c>
      <c r="R293" s="15">
        <f t="shared" si="271"/>
        <v>0.71773422562141487</v>
      </c>
      <c r="S293" s="15">
        <f t="shared" si="272"/>
        <v>0.95656149977137628</v>
      </c>
      <c r="T293" s="26"/>
      <c r="U293" s="26"/>
      <c r="V293" s="16">
        <v>4374</v>
      </c>
      <c r="W293" s="16">
        <f t="shared" si="315"/>
        <v>190</v>
      </c>
      <c r="X293" s="16">
        <v>4184</v>
      </c>
      <c r="Y293" s="16">
        <v>3003</v>
      </c>
      <c r="Z293" s="16">
        <f t="shared" si="316"/>
        <v>1181</v>
      </c>
      <c r="AA293" s="16"/>
      <c r="AB293" s="16"/>
      <c r="AC293" s="80"/>
      <c r="AD293" s="81"/>
      <c r="AE293" s="15"/>
      <c r="AF293" s="15"/>
      <c r="AG293" s="15"/>
      <c r="AH293" s="15"/>
      <c r="AI293" s="15"/>
      <c r="AJ293" s="16"/>
      <c r="AK293" s="16"/>
      <c r="AL293" s="16"/>
      <c r="AM293" s="16"/>
      <c r="AN293" s="16"/>
      <c r="AO293" s="16"/>
      <c r="AP293" s="16"/>
      <c r="AQ293" s="80">
        <v>2016</v>
      </c>
      <c r="AR293" s="81" t="s">
        <v>47</v>
      </c>
      <c r="AS293" s="15">
        <f t="shared" si="273"/>
        <v>0.82970846830171219</v>
      </c>
      <c r="AT293" s="15">
        <f t="shared" si="274"/>
        <v>0.87612997801123871</v>
      </c>
      <c r="AU293" s="15">
        <f t="shared" si="275"/>
        <v>0.94701527070800551</v>
      </c>
      <c r="AV293" s="16"/>
      <c r="AW293" s="16"/>
      <c r="AX293" s="16">
        <v>4322</v>
      </c>
      <c r="AY293" s="16">
        <f t="shared" si="317"/>
        <v>229</v>
      </c>
      <c r="AZ293" s="16">
        <v>4093</v>
      </c>
      <c r="BA293" s="16">
        <v>3586</v>
      </c>
      <c r="BB293" s="16">
        <f t="shared" si="318"/>
        <v>507</v>
      </c>
      <c r="BC293" s="16"/>
      <c r="BD293" s="16"/>
      <c r="BE293" s="80">
        <v>2016</v>
      </c>
      <c r="BF293" s="81" t="s">
        <v>47</v>
      </c>
      <c r="BG293" s="15">
        <f t="shared" si="310"/>
        <v>0.85689354275741714</v>
      </c>
      <c r="BH293" s="15">
        <f t="shared" si="311"/>
        <v>0.92606563560920407</v>
      </c>
      <c r="BI293" s="15">
        <f t="shared" si="312"/>
        <v>0.92530541012216405</v>
      </c>
      <c r="BJ293" s="16"/>
      <c r="BK293" s="16"/>
      <c r="BL293" s="16">
        <v>2865</v>
      </c>
      <c r="BM293" s="16">
        <f t="shared" si="319"/>
        <v>214</v>
      </c>
      <c r="BN293" s="16">
        <v>2651</v>
      </c>
      <c r="BO293" s="16">
        <v>2455</v>
      </c>
      <c r="BP293" s="16">
        <f t="shared" si="320"/>
        <v>196</v>
      </c>
      <c r="BQ293" s="16"/>
      <c r="BR293" s="16"/>
      <c r="BS293" s="80">
        <v>2016</v>
      </c>
      <c r="BT293" s="81" t="s">
        <v>47</v>
      </c>
      <c r="BU293" s="15">
        <f t="shared" si="276"/>
        <v>0.89307787391841775</v>
      </c>
      <c r="BV293" s="15">
        <f t="shared" si="277"/>
        <v>0.94382756368386678</v>
      </c>
      <c r="BW293" s="15">
        <f t="shared" si="278"/>
        <v>0.946229913473424</v>
      </c>
      <c r="BX293" s="16"/>
      <c r="BY293" s="16"/>
      <c r="BZ293" s="16">
        <v>3236</v>
      </c>
      <c r="CA293" s="16">
        <f t="shared" si="328"/>
        <v>174</v>
      </c>
      <c r="CB293" s="16">
        <v>3062</v>
      </c>
      <c r="CC293" s="16">
        <v>2890</v>
      </c>
      <c r="CD293" s="16">
        <f t="shared" si="327"/>
        <v>172</v>
      </c>
      <c r="CE293" s="16"/>
      <c r="CF293" s="16"/>
      <c r="CG293" s="80">
        <v>2016</v>
      </c>
      <c r="CH293" s="81" t="s">
        <v>47</v>
      </c>
      <c r="CI293" s="15"/>
      <c r="CJ293" s="15"/>
      <c r="CK293" s="15"/>
      <c r="CL293" s="35"/>
      <c r="CM293" s="35"/>
      <c r="CN293" s="35"/>
      <c r="CO293" s="35"/>
      <c r="CP293" s="16"/>
      <c r="CQ293" s="16"/>
      <c r="CR293" s="16"/>
      <c r="CS293" s="16"/>
      <c r="CT293" s="16"/>
      <c r="CU293" s="80">
        <v>2016</v>
      </c>
      <c r="CV293" s="81" t="s">
        <v>47</v>
      </c>
      <c r="CW293" s="15">
        <f t="shared" si="282"/>
        <v>0.80032258064516126</v>
      </c>
      <c r="CX293" s="15">
        <f t="shared" si="283"/>
        <v>0.89052404881550606</v>
      </c>
      <c r="CY293" s="15">
        <f t="shared" si="284"/>
        <v>0.89870967741935481</v>
      </c>
      <c r="CZ293" s="16"/>
      <c r="DA293" s="16"/>
      <c r="DB293" s="16">
        <v>3100</v>
      </c>
      <c r="DC293" s="16">
        <f t="shared" si="321"/>
        <v>314</v>
      </c>
      <c r="DD293" s="16">
        <v>2786</v>
      </c>
      <c r="DE293" s="16">
        <v>2481</v>
      </c>
      <c r="DF293" s="16">
        <f t="shared" si="322"/>
        <v>305</v>
      </c>
      <c r="DG293" s="16"/>
      <c r="DH293" s="16"/>
      <c r="DI293" s="80">
        <v>2016</v>
      </c>
      <c r="DJ293" s="81" t="s">
        <v>47</v>
      </c>
      <c r="DK293" s="15">
        <f t="shared" si="287"/>
        <v>0.37748344370860926</v>
      </c>
      <c r="DL293" s="15">
        <f t="shared" si="288"/>
        <v>0.46721311475409838</v>
      </c>
      <c r="DM293" s="15">
        <f t="shared" si="289"/>
        <v>0.80794701986754969</v>
      </c>
      <c r="DN293" s="16"/>
      <c r="DO293" s="16"/>
      <c r="DP293" s="16">
        <v>906</v>
      </c>
      <c r="DQ293" s="16">
        <f t="shared" si="323"/>
        <v>174</v>
      </c>
      <c r="DR293" s="16">
        <v>732</v>
      </c>
      <c r="DS293" s="16">
        <v>342</v>
      </c>
      <c r="DT293" s="16">
        <f t="shared" si="324"/>
        <v>390</v>
      </c>
      <c r="DU293" s="16"/>
      <c r="DV293" s="16"/>
      <c r="DW293" s="80">
        <v>2016</v>
      </c>
      <c r="DX293" s="81" t="s">
        <v>47</v>
      </c>
      <c r="DY293" s="15">
        <f t="shared" si="290"/>
        <v>0.90450725744843397</v>
      </c>
      <c r="DZ293" s="15">
        <f t="shared" si="291"/>
        <v>0.96811120196238754</v>
      </c>
      <c r="EA293" s="15">
        <f t="shared" si="292"/>
        <v>0.93430099312452253</v>
      </c>
      <c r="EB293" s="16"/>
      <c r="EC293" s="16"/>
      <c r="ED293" s="16">
        <v>1309</v>
      </c>
      <c r="EE293" s="16">
        <f t="shared" si="325"/>
        <v>86</v>
      </c>
      <c r="EF293" s="16">
        <v>1223</v>
      </c>
      <c r="EG293" s="16">
        <v>1184</v>
      </c>
      <c r="EH293" s="16">
        <f t="shared" si="326"/>
        <v>39</v>
      </c>
      <c r="EI293" s="16"/>
      <c r="EJ293" s="16"/>
      <c r="EK293" s="80"/>
      <c r="EL293" s="81"/>
      <c r="EM293" s="15"/>
      <c r="EN293" s="15"/>
      <c r="EO293" s="15"/>
      <c r="EP293" s="16"/>
      <c r="EQ293" s="16"/>
      <c r="ER293" s="16"/>
      <c r="ES293" s="16"/>
      <c r="ET293" s="16"/>
      <c r="EU293" s="16"/>
      <c r="EV293" s="16"/>
      <c r="EW293" s="16"/>
      <c r="EX293" s="16"/>
      <c r="EY293" s="80"/>
      <c r="EZ293" s="81"/>
      <c r="FA293" s="15"/>
      <c r="FB293" s="15"/>
      <c r="FC293" s="15"/>
      <c r="FD293" s="16"/>
      <c r="FE293" s="16"/>
      <c r="FF293" s="16"/>
      <c r="FG293" s="16"/>
      <c r="FH293" s="16"/>
      <c r="FI293" s="16"/>
      <c r="FJ293" s="16"/>
      <c r="FK293" s="16"/>
      <c r="FM293" s="80"/>
      <c r="FN293" s="81"/>
      <c r="FO293" s="15"/>
      <c r="FP293" s="15"/>
      <c r="FQ293" s="15"/>
      <c r="FR293" s="16"/>
      <c r="FS293" s="16"/>
      <c r="FT293" s="16"/>
      <c r="FU293" s="16"/>
      <c r="FV293" s="16"/>
      <c r="FW293" s="16"/>
      <c r="FX293" s="16"/>
      <c r="FY293" s="16"/>
      <c r="GA293" s="80"/>
      <c r="GB293" s="81"/>
      <c r="GC293" s="15"/>
      <c r="GD293" s="15"/>
      <c r="GE293" s="15"/>
      <c r="GF293" s="16"/>
      <c r="GG293" s="16"/>
      <c r="GH293" s="16"/>
      <c r="GI293" s="16"/>
      <c r="GJ293" s="16"/>
      <c r="GK293" s="16"/>
      <c r="GL293" s="16"/>
      <c r="GM293" s="16"/>
    </row>
    <row r="294" spans="1:195" s="18" customFormat="1" ht="15" customHeight="1">
      <c r="A294" s="78">
        <v>2017</v>
      </c>
      <c r="B294" s="79" t="s">
        <v>36</v>
      </c>
      <c r="C294" s="15">
        <f t="shared" si="293"/>
        <v>0.86642916402322967</v>
      </c>
      <c r="D294" s="15">
        <f t="shared" si="294"/>
        <v>0.9269082176046779</v>
      </c>
      <c r="E294" s="15">
        <f t="shared" si="295"/>
        <v>0.93475184227221708</v>
      </c>
      <c r="F294" s="16"/>
      <c r="G294" s="33"/>
      <c r="H29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20491</v>
      </c>
      <c r="I294" s="16">
        <f t="shared" si="296"/>
        <v>1337</v>
      </c>
      <c r="J29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19154</v>
      </c>
      <c r="K29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17754</v>
      </c>
      <c r="L294" s="16">
        <f t="shared" si="297"/>
        <v>1400</v>
      </c>
      <c r="M294" s="16"/>
      <c r="N294" s="16"/>
      <c r="O294" s="78">
        <v>2017</v>
      </c>
      <c r="P294" s="79" t="s">
        <v>36</v>
      </c>
      <c r="Q294" s="15">
        <f t="shared" si="270"/>
        <v>0.83471630410405917</v>
      </c>
      <c r="R294" s="15">
        <f t="shared" si="271"/>
        <v>0.86901704412794767</v>
      </c>
      <c r="S294" s="15">
        <f t="shared" si="272"/>
        <v>0.96052926665171567</v>
      </c>
      <c r="T294" s="26"/>
      <c r="U294" s="26"/>
      <c r="V294" s="16">
        <v>4459</v>
      </c>
      <c r="W294" s="16">
        <f t="shared" ref="W294:W305" si="329">V294-X294</f>
        <v>176</v>
      </c>
      <c r="X294" s="16">
        <v>4283</v>
      </c>
      <c r="Y294" s="16">
        <v>3722</v>
      </c>
      <c r="Z294" s="16">
        <f t="shared" ref="Z294:Z305" si="330">X294-Y294</f>
        <v>561</v>
      </c>
      <c r="AA294" s="16"/>
      <c r="AB294" s="16"/>
      <c r="AC294" s="78"/>
      <c r="AD294" s="79"/>
      <c r="AE294" s="15"/>
      <c r="AF294" s="15"/>
      <c r="AG294" s="15"/>
      <c r="AH294" s="15"/>
      <c r="AI294" s="15"/>
      <c r="AJ294" s="16"/>
      <c r="AK294" s="16"/>
      <c r="AL294" s="16"/>
      <c r="AM294" s="16"/>
      <c r="AN294" s="16"/>
      <c r="AO294" s="16"/>
      <c r="AP294" s="16"/>
      <c r="AQ294" s="78">
        <v>2017</v>
      </c>
      <c r="AR294" s="79" t="s">
        <v>36</v>
      </c>
      <c r="AS294" s="15">
        <f t="shared" si="273"/>
        <v>0.91840909090909095</v>
      </c>
      <c r="AT294" s="15">
        <f t="shared" si="274"/>
        <v>0.94992947813822282</v>
      </c>
      <c r="AU294" s="15">
        <f t="shared" si="275"/>
        <v>0.9668181818181818</v>
      </c>
      <c r="AV294" s="16"/>
      <c r="AW294" s="16"/>
      <c r="AX294" s="16">
        <v>4400</v>
      </c>
      <c r="AY294" s="16">
        <f t="shared" ref="AY294:AY305" si="331">AX294-AZ294</f>
        <v>146</v>
      </c>
      <c r="AZ294" s="16">
        <v>4254</v>
      </c>
      <c r="BA294" s="16">
        <v>4041</v>
      </c>
      <c r="BB294" s="16">
        <f t="shared" ref="BB294:BB305" si="332">AZ294-BA294</f>
        <v>213</v>
      </c>
      <c r="BC294" s="16"/>
      <c r="BD294" s="16"/>
      <c r="BE294" s="78">
        <v>2017</v>
      </c>
      <c r="BF294" s="79" t="s">
        <v>36</v>
      </c>
      <c r="BG294" s="15">
        <f t="shared" si="310"/>
        <v>0.9141716566866267</v>
      </c>
      <c r="BH294" s="15">
        <f t="shared" si="311"/>
        <v>0.97343251859723701</v>
      </c>
      <c r="BI294" s="15">
        <f t="shared" si="312"/>
        <v>0.93912175648702589</v>
      </c>
      <c r="BJ294" s="16"/>
      <c r="BK294" s="16"/>
      <c r="BL294" s="16">
        <v>3006</v>
      </c>
      <c r="BM294" s="16">
        <f t="shared" ref="BM294:BM305" si="333">BL294-BN294</f>
        <v>183</v>
      </c>
      <c r="BN294" s="16">
        <v>2823</v>
      </c>
      <c r="BO294" s="16">
        <v>2748</v>
      </c>
      <c r="BP294" s="16">
        <f t="shared" ref="BP294:BP305" si="334">BN294-BO294</f>
        <v>75</v>
      </c>
      <c r="BQ294" s="16"/>
      <c r="BR294" s="16"/>
      <c r="BS294" s="78">
        <v>2017</v>
      </c>
      <c r="BT294" s="79" t="s">
        <v>36</v>
      </c>
      <c r="BU294" s="15">
        <f t="shared" si="276"/>
        <v>0.94821208384710232</v>
      </c>
      <c r="BV294" s="15">
        <f t="shared" si="277"/>
        <v>0.9890675241157556</v>
      </c>
      <c r="BW294" s="15">
        <f t="shared" si="278"/>
        <v>0.95869297163995071</v>
      </c>
      <c r="BX294" s="16"/>
      <c r="BY294" s="16"/>
      <c r="BZ294" s="16">
        <v>3244</v>
      </c>
      <c r="CA294" s="16">
        <f t="shared" ref="CA294:CA305" si="335">BZ294-CB294</f>
        <v>134</v>
      </c>
      <c r="CB294" s="16">
        <v>3110</v>
      </c>
      <c r="CC294" s="16">
        <v>3076</v>
      </c>
      <c r="CD294" s="16">
        <f t="shared" ref="CD294:CD305" si="336">CB294-CC294</f>
        <v>34</v>
      </c>
      <c r="CE294" s="16"/>
      <c r="CF294" s="16"/>
      <c r="CG294" s="78">
        <v>2017</v>
      </c>
      <c r="CH294" s="79" t="s">
        <v>36</v>
      </c>
      <c r="CI294" s="15"/>
      <c r="CJ294" s="15"/>
      <c r="CK294" s="15"/>
      <c r="CL294" s="35"/>
      <c r="CM294" s="35"/>
      <c r="CN294" s="35"/>
      <c r="CO294" s="35"/>
      <c r="CP294" s="16"/>
      <c r="CQ294" s="16"/>
      <c r="CR294" s="16"/>
      <c r="CS294" s="16"/>
      <c r="CT294" s="16"/>
      <c r="CU294" s="78">
        <v>2017</v>
      </c>
      <c r="CV294" s="79" t="s">
        <v>36</v>
      </c>
      <c r="CW294" s="15">
        <f t="shared" si="282"/>
        <v>0.79835390946502061</v>
      </c>
      <c r="CX294" s="15">
        <f t="shared" si="283"/>
        <v>0.92347125595020141</v>
      </c>
      <c r="CY294" s="15">
        <f t="shared" si="284"/>
        <v>0.86451408673630892</v>
      </c>
      <c r="CZ294" s="16"/>
      <c r="DA294" s="16"/>
      <c r="DB294" s="16">
        <v>3159</v>
      </c>
      <c r="DC294" s="16">
        <f t="shared" ref="DC294:DC303" si="337">DB294-DD294</f>
        <v>428</v>
      </c>
      <c r="DD294" s="16">
        <v>2731</v>
      </c>
      <c r="DE294" s="16">
        <v>2522</v>
      </c>
      <c r="DF294" s="16">
        <f t="shared" ref="DF294:DF305" si="338">DD294-DE294</f>
        <v>209</v>
      </c>
      <c r="DG294" s="16"/>
      <c r="DH294" s="16"/>
      <c r="DI294" s="78">
        <v>2017</v>
      </c>
      <c r="DJ294" s="79" t="s">
        <v>36</v>
      </c>
      <c r="DK294" s="15">
        <f t="shared" si="287"/>
        <v>0.49450549450549453</v>
      </c>
      <c r="DL294" s="15">
        <f t="shared" si="288"/>
        <v>0.63469675599435826</v>
      </c>
      <c r="DM294" s="15">
        <f t="shared" si="289"/>
        <v>0.77912087912087913</v>
      </c>
      <c r="DN294" s="16"/>
      <c r="DO294" s="16"/>
      <c r="DP294" s="16">
        <v>910</v>
      </c>
      <c r="DQ294" s="16">
        <f t="shared" ref="DQ294:DQ305" si="339">DP294-DR294</f>
        <v>201</v>
      </c>
      <c r="DR294" s="16">
        <v>709</v>
      </c>
      <c r="DS294" s="16">
        <v>450</v>
      </c>
      <c r="DT294" s="16">
        <f t="shared" ref="DT294:DT305" si="340">DR294-DS294</f>
        <v>259</v>
      </c>
      <c r="DU294" s="16"/>
      <c r="DV294" s="16"/>
      <c r="DW294" s="78">
        <v>2017</v>
      </c>
      <c r="DX294" s="79" t="s">
        <v>36</v>
      </c>
      <c r="DY294" s="15">
        <f t="shared" si="290"/>
        <v>0.91012947448591008</v>
      </c>
      <c r="DZ294" s="15">
        <f t="shared" si="291"/>
        <v>0.96061093247588425</v>
      </c>
      <c r="EA294" s="15">
        <f t="shared" si="292"/>
        <v>0.94744859101294743</v>
      </c>
      <c r="EB294" s="16"/>
      <c r="EC294" s="16"/>
      <c r="ED294" s="16">
        <v>1313</v>
      </c>
      <c r="EE294" s="16">
        <f t="shared" ref="EE294:EE305" si="341">ED294-EF294</f>
        <v>69</v>
      </c>
      <c r="EF294" s="16">
        <v>1244</v>
      </c>
      <c r="EG294" s="16">
        <v>1195</v>
      </c>
      <c r="EH294" s="16">
        <f t="shared" ref="EH294:EH305" si="342">EF294-EG294</f>
        <v>49</v>
      </c>
      <c r="EI294" s="16"/>
      <c r="EJ294" s="16"/>
      <c r="EK294" s="78"/>
      <c r="EL294" s="79"/>
      <c r="EM294" s="15"/>
      <c r="EN294" s="15"/>
      <c r="EO294" s="15"/>
      <c r="EP294" s="16"/>
      <c r="EQ294" s="16"/>
      <c r="ER294" s="16"/>
      <c r="ES294" s="16"/>
      <c r="ET294" s="16"/>
      <c r="EU294" s="16"/>
      <c r="EV294" s="16"/>
      <c r="EW294" s="16"/>
      <c r="EX294" s="16"/>
      <c r="EY294" s="78"/>
      <c r="EZ294" s="79"/>
      <c r="FA294" s="15"/>
      <c r="FB294" s="15"/>
      <c r="FC294" s="15"/>
      <c r="FD294" s="16"/>
      <c r="FE294" s="16"/>
      <c r="FF294" s="16"/>
      <c r="FG294" s="16"/>
      <c r="FH294" s="16"/>
      <c r="FI294" s="16"/>
      <c r="FJ294" s="16"/>
      <c r="FK294" s="16"/>
      <c r="FM294" s="78"/>
      <c r="FN294" s="79"/>
      <c r="FO294" s="15"/>
      <c r="FP294" s="15"/>
      <c r="FQ294" s="15"/>
      <c r="FR294" s="16"/>
      <c r="FS294" s="16"/>
      <c r="FT294" s="16"/>
      <c r="FU294" s="16"/>
      <c r="FV294" s="16"/>
      <c r="FW294" s="16"/>
      <c r="FX294" s="16"/>
      <c r="FY294" s="16"/>
      <c r="GA294" s="78"/>
      <c r="GB294" s="79"/>
      <c r="GC294" s="15"/>
      <c r="GD294" s="15"/>
      <c r="GE294" s="15"/>
      <c r="GF294" s="16"/>
      <c r="GG294" s="16"/>
      <c r="GH294" s="16"/>
      <c r="GI294" s="16"/>
      <c r="GJ294" s="16"/>
      <c r="GK294" s="16"/>
      <c r="GL294" s="16"/>
      <c r="GM294" s="16"/>
    </row>
    <row r="295" spans="1:195" s="18" customFormat="1" ht="15" customHeight="1">
      <c r="A295" s="80">
        <v>2017</v>
      </c>
      <c r="B295" s="81" t="s">
        <v>37</v>
      </c>
      <c r="C295" s="15">
        <f t="shared" si="293"/>
        <v>0.87024087024087027</v>
      </c>
      <c r="D295" s="15">
        <f t="shared" si="294"/>
        <v>0.91867822826341694</v>
      </c>
      <c r="E295" s="15">
        <f t="shared" si="295"/>
        <v>0.94727494727494732</v>
      </c>
      <c r="F295" s="16"/>
      <c r="G295" s="33"/>
      <c r="H29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18018</v>
      </c>
      <c r="I295" s="16">
        <f t="shared" si="296"/>
        <v>950</v>
      </c>
      <c r="J29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17068</v>
      </c>
      <c r="K29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15680</v>
      </c>
      <c r="L295" s="16">
        <f t="shared" si="297"/>
        <v>1388</v>
      </c>
      <c r="M295" s="16"/>
      <c r="N295" s="16"/>
      <c r="O295" s="80">
        <v>2017</v>
      </c>
      <c r="P295" s="81" t="s">
        <v>37</v>
      </c>
      <c r="Q295" s="15">
        <f t="shared" si="270"/>
        <v>0.83673469387755106</v>
      </c>
      <c r="R295" s="15">
        <f t="shared" si="271"/>
        <v>0.85572658492042786</v>
      </c>
      <c r="S295" s="15">
        <f t="shared" si="272"/>
        <v>0.97780612244897958</v>
      </c>
      <c r="T295" s="26"/>
      <c r="U295" s="26"/>
      <c r="V295" s="16">
        <v>3920</v>
      </c>
      <c r="W295" s="16">
        <f t="shared" si="329"/>
        <v>87</v>
      </c>
      <c r="X295" s="16">
        <v>3833</v>
      </c>
      <c r="Y295" s="16">
        <v>3280</v>
      </c>
      <c r="Z295" s="16">
        <f t="shared" si="330"/>
        <v>553</v>
      </c>
      <c r="AA295" s="16"/>
      <c r="AB295" s="16"/>
      <c r="AC295" s="80"/>
      <c r="AD295" s="81"/>
      <c r="AE295" s="15"/>
      <c r="AF295" s="15"/>
      <c r="AG295" s="15"/>
      <c r="AH295" s="15"/>
      <c r="AI295" s="15"/>
      <c r="AJ295" s="16"/>
      <c r="AK295" s="16"/>
      <c r="AL295" s="16"/>
      <c r="AM295" s="16"/>
      <c r="AN295" s="16"/>
      <c r="AO295" s="16"/>
      <c r="AP295" s="16"/>
      <c r="AQ295" s="80">
        <v>2017</v>
      </c>
      <c r="AR295" s="81" t="s">
        <v>37</v>
      </c>
      <c r="AS295" s="15">
        <f t="shared" si="273"/>
        <v>0.92285861713106299</v>
      </c>
      <c r="AT295" s="15">
        <f t="shared" si="274"/>
        <v>0.94181147972617163</v>
      </c>
      <c r="AU295" s="15">
        <f t="shared" si="275"/>
        <v>0.97987616099071206</v>
      </c>
      <c r="AV295" s="16"/>
      <c r="AW295" s="16"/>
      <c r="AX295" s="16">
        <v>3876</v>
      </c>
      <c r="AY295" s="16">
        <f t="shared" si="331"/>
        <v>78</v>
      </c>
      <c r="AZ295" s="16">
        <v>3798</v>
      </c>
      <c r="BA295" s="16">
        <v>3577</v>
      </c>
      <c r="BB295" s="16">
        <f t="shared" si="332"/>
        <v>221</v>
      </c>
      <c r="BC295" s="16"/>
      <c r="BD295" s="16"/>
      <c r="BE295" s="80">
        <v>2017</v>
      </c>
      <c r="BF295" s="81" t="s">
        <v>37</v>
      </c>
      <c r="BG295" s="15">
        <f t="shared" si="310"/>
        <v>0.89090909090909087</v>
      </c>
      <c r="BH295" s="15">
        <f t="shared" si="311"/>
        <v>0.95792605184870383</v>
      </c>
      <c r="BI295" s="15">
        <f t="shared" si="312"/>
        <v>0.93003952569169956</v>
      </c>
      <c r="BJ295" s="16"/>
      <c r="BK295" s="16"/>
      <c r="BL295" s="16">
        <v>2530</v>
      </c>
      <c r="BM295" s="16">
        <f t="shared" si="333"/>
        <v>177</v>
      </c>
      <c r="BN295" s="16">
        <v>2353</v>
      </c>
      <c r="BO295" s="16">
        <v>2254</v>
      </c>
      <c r="BP295" s="16">
        <f t="shared" si="334"/>
        <v>99</v>
      </c>
      <c r="BQ295" s="16"/>
      <c r="BR295" s="16"/>
      <c r="BS295" s="80">
        <v>2017</v>
      </c>
      <c r="BT295" s="81" t="s">
        <v>37</v>
      </c>
      <c r="BU295" s="15">
        <f t="shared" si="276"/>
        <v>0.92866941015089166</v>
      </c>
      <c r="BV295" s="15">
        <f t="shared" si="277"/>
        <v>0.97165410836024402</v>
      </c>
      <c r="BW295" s="15">
        <f t="shared" si="278"/>
        <v>0.95576131687242794</v>
      </c>
      <c r="BX295" s="16"/>
      <c r="BY295" s="16"/>
      <c r="BZ295" s="16">
        <v>2916</v>
      </c>
      <c r="CA295" s="16">
        <f t="shared" si="335"/>
        <v>129</v>
      </c>
      <c r="CB295" s="16">
        <v>2787</v>
      </c>
      <c r="CC295" s="16">
        <v>2708</v>
      </c>
      <c r="CD295" s="16">
        <f t="shared" si="336"/>
        <v>79</v>
      </c>
      <c r="CE295" s="16"/>
      <c r="CF295" s="16"/>
      <c r="CG295" s="80">
        <v>2017</v>
      </c>
      <c r="CH295" s="81" t="s">
        <v>37</v>
      </c>
      <c r="CI295" s="15"/>
      <c r="CJ295" s="15"/>
      <c r="CK295" s="15"/>
      <c r="CL295" s="35"/>
      <c r="CM295" s="35"/>
      <c r="CN295" s="35"/>
      <c r="CO295" s="35"/>
      <c r="CP295" s="16"/>
      <c r="CQ295" s="16"/>
      <c r="CR295" s="16"/>
      <c r="CS295" s="16"/>
      <c r="CT295" s="16"/>
      <c r="CU295" s="80">
        <v>2017</v>
      </c>
      <c r="CV295" s="81" t="s">
        <v>37</v>
      </c>
      <c r="CW295" s="15">
        <f t="shared" si="282"/>
        <v>0.84136690647482015</v>
      </c>
      <c r="CX295" s="15">
        <f t="shared" si="283"/>
        <v>0.9386035313001605</v>
      </c>
      <c r="CY295" s="15">
        <f t="shared" si="284"/>
        <v>0.89640287769784177</v>
      </c>
      <c r="CZ295" s="16"/>
      <c r="DA295" s="16"/>
      <c r="DB295" s="16">
        <v>2780</v>
      </c>
      <c r="DC295" s="16">
        <f t="shared" si="337"/>
        <v>288</v>
      </c>
      <c r="DD295" s="16">
        <v>2492</v>
      </c>
      <c r="DE295" s="16">
        <v>2339</v>
      </c>
      <c r="DF295" s="16">
        <f t="shared" si="338"/>
        <v>153</v>
      </c>
      <c r="DG295" s="16"/>
      <c r="DH295" s="16"/>
      <c r="DI295" s="80">
        <v>2017</v>
      </c>
      <c r="DJ295" s="81" t="s">
        <v>37</v>
      </c>
      <c r="DK295" s="15">
        <f t="shared" si="287"/>
        <v>0.59313725490196079</v>
      </c>
      <c r="DL295" s="15">
        <f t="shared" si="288"/>
        <v>0.66758620689655168</v>
      </c>
      <c r="DM295" s="15">
        <f t="shared" si="289"/>
        <v>0.8884803921568627</v>
      </c>
      <c r="DN295" s="16"/>
      <c r="DO295" s="16"/>
      <c r="DP295" s="16">
        <v>816</v>
      </c>
      <c r="DQ295" s="16">
        <f t="shared" si="339"/>
        <v>91</v>
      </c>
      <c r="DR295" s="16">
        <v>725</v>
      </c>
      <c r="DS295" s="16">
        <v>484</v>
      </c>
      <c r="DT295" s="16">
        <f t="shared" si="340"/>
        <v>241</v>
      </c>
      <c r="DU295" s="16"/>
      <c r="DV295" s="16"/>
      <c r="DW295" s="80">
        <v>2017</v>
      </c>
      <c r="DX295" s="81" t="s">
        <v>37</v>
      </c>
      <c r="DY295" s="15">
        <f t="shared" si="290"/>
        <v>0.87966101694915255</v>
      </c>
      <c r="DZ295" s="15">
        <f t="shared" si="291"/>
        <v>0.96111111111111114</v>
      </c>
      <c r="EA295" s="15">
        <f t="shared" si="292"/>
        <v>0.9152542372881356</v>
      </c>
      <c r="EB295" s="16"/>
      <c r="EC295" s="16"/>
      <c r="ED295" s="16">
        <v>1180</v>
      </c>
      <c r="EE295" s="16">
        <f t="shared" si="341"/>
        <v>100</v>
      </c>
      <c r="EF295" s="16">
        <v>1080</v>
      </c>
      <c r="EG295" s="16">
        <v>1038</v>
      </c>
      <c r="EH295" s="16">
        <f t="shared" si="342"/>
        <v>42</v>
      </c>
      <c r="EI295" s="16"/>
      <c r="EJ295" s="16"/>
      <c r="EK295" s="80"/>
      <c r="EL295" s="81"/>
      <c r="EM295" s="15"/>
      <c r="EN295" s="15"/>
      <c r="EO295" s="15"/>
      <c r="EP295" s="16"/>
      <c r="EQ295" s="16"/>
      <c r="ER295" s="16"/>
      <c r="ES295" s="16"/>
      <c r="ET295" s="16"/>
      <c r="EU295" s="16"/>
      <c r="EV295" s="16"/>
      <c r="EW295" s="16"/>
      <c r="EX295" s="16"/>
      <c r="EY295" s="80"/>
      <c r="EZ295" s="81"/>
      <c r="FA295" s="15"/>
      <c r="FB295" s="15"/>
      <c r="FC295" s="15"/>
      <c r="FD295" s="16"/>
      <c r="FE295" s="16"/>
      <c r="FF295" s="16"/>
      <c r="FG295" s="16"/>
      <c r="FH295" s="16"/>
      <c r="FI295" s="16"/>
      <c r="FJ295" s="16"/>
      <c r="FK295" s="16"/>
      <c r="FM295" s="80"/>
      <c r="FN295" s="81"/>
      <c r="FO295" s="15"/>
      <c r="FP295" s="15"/>
      <c r="FQ295" s="15"/>
      <c r="FR295" s="16"/>
      <c r="FS295" s="16"/>
      <c r="FT295" s="16"/>
      <c r="FU295" s="16"/>
      <c r="FV295" s="16"/>
      <c r="FW295" s="16"/>
      <c r="FX295" s="16"/>
      <c r="FY295" s="16"/>
      <c r="GA295" s="80"/>
      <c r="GB295" s="81"/>
      <c r="GC295" s="15"/>
      <c r="GD295" s="15"/>
      <c r="GE295" s="15"/>
      <c r="GF295" s="16"/>
      <c r="GG295" s="16"/>
      <c r="GH295" s="16"/>
      <c r="GI295" s="16"/>
      <c r="GJ295" s="16"/>
      <c r="GK295" s="16"/>
      <c r="GL295" s="16"/>
      <c r="GM295" s="16"/>
    </row>
    <row r="296" spans="1:195" s="18" customFormat="1" ht="15" customHeight="1">
      <c r="A296" s="78">
        <v>2017</v>
      </c>
      <c r="B296" s="79" t="s">
        <v>38</v>
      </c>
      <c r="C296" s="15">
        <f t="shared" si="293"/>
        <v>0.73892284186401835</v>
      </c>
      <c r="D296" s="15">
        <f t="shared" si="294"/>
        <v>0.8460066692177336</v>
      </c>
      <c r="E296" s="15">
        <f t="shared" si="295"/>
        <v>0.87342436974789917</v>
      </c>
      <c r="F296" s="16"/>
      <c r="G296" s="33"/>
      <c r="H29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20944</v>
      </c>
      <c r="I296" s="16">
        <f t="shared" si="296"/>
        <v>2651</v>
      </c>
      <c r="J29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18293</v>
      </c>
      <c r="K29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15476</v>
      </c>
      <c r="L296" s="16">
        <f t="shared" si="297"/>
        <v>2817</v>
      </c>
      <c r="M296" s="16"/>
      <c r="N296" s="16"/>
      <c r="O296" s="78">
        <v>2017</v>
      </c>
      <c r="P296" s="79" t="s">
        <v>38</v>
      </c>
      <c r="Q296" s="15">
        <f t="shared" si="270"/>
        <v>0.79722781131231835</v>
      </c>
      <c r="R296" s="15">
        <f t="shared" si="271"/>
        <v>0.81322690992018243</v>
      </c>
      <c r="S296" s="15">
        <f t="shared" si="272"/>
        <v>0.9803264028616141</v>
      </c>
      <c r="T296" s="26"/>
      <c r="U296" s="26"/>
      <c r="V296" s="16">
        <v>4473</v>
      </c>
      <c r="W296" s="16">
        <f t="shared" si="329"/>
        <v>88</v>
      </c>
      <c r="X296" s="16">
        <v>4385</v>
      </c>
      <c r="Y296" s="16">
        <v>3566</v>
      </c>
      <c r="Z296" s="16">
        <f t="shared" si="330"/>
        <v>819</v>
      </c>
      <c r="AA296" s="16"/>
      <c r="AB296" s="16"/>
      <c r="AC296" s="78"/>
      <c r="AD296" s="79"/>
      <c r="AE296" s="15"/>
      <c r="AF296" s="15"/>
      <c r="AG296" s="15"/>
      <c r="AH296" s="15"/>
      <c r="AI296" s="15"/>
      <c r="AJ296" s="16"/>
      <c r="AK296" s="16"/>
      <c r="AL296" s="16"/>
      <c r="AM296" s="16"/>
      <c r="AN296" s="16"/>
      <c r="AO296" s="16"/>
      <c r="AP296" s="16"/>
      <c r="AQ296" s="78">
        <v>2017</v>
      </c>
      <c r="AR296" s="79" t="s">
        <v>38</v>
      </c>
      <c r="AS296" s="15">
        <f t="shared" si="273"/>
        <v>0.88646967340590976</v>
      </c>
      <c r="AT296" s="15">
        <f t="shared" si="274"/>
        <v>0.91012773722627738</v>
      </c>
      <c r="AU296" s="15">
        <f t="shared" si="275"/>
        <v>0.97400577649411246</v>
      </c>
      <c r="AV296" s="16"/>
      <c r="AW296" s="16"/>
      <c r="AX296" s="16">
        <v>4501</v>
      </c>
      <c r="AY296" s="16">
        <f t="shared" si="331"/>
        <v>117</v>
      </c>
      <c r="AZ296" s="16">
        <v>4384</v>
      </c>
      <c r="BA296" s="16">
        <v>3990</v>
      </c>
      <c r="BB296" s="16">
        <f t="shared" si="332"/>
        <v>394</v>
      </c>
      <c r="BC296" s="16"/>
      <c r="BD296" s="16"/>
      <c r="BE296" s="78">
        <v>2017</v>
      </c>
      <c r="BF296" s="79" t="s">
        <v>38</v>
      </c>
      <c r="BG296" s="15">
        <f t="shared" si="310"/>
        <v>0.83865401207937873</v>
      </c>
      <c r="BH296" s="15">
        <f t="shared" si="311"/>
        <v>0.88659166920036481</v>
      </c>
      <c r="BI296" s="15">
        <f t="shared" si="312"/>
        <v>0.94593039976991655</v>
      </c>
      <c r="BJ296" s="16"/>
      <c r="BK296" s="16"/>
      <c r="BL296" s="16">
        <v>3477</v>
      </c>
      <c r="BM296" s="16">
        <f t="shared" si="333"/>
        <v>188</v>
      </c>
      <c r="BN296" s="16">
        <v>3289</v>
      </c>
      <c r="BO296" s="16">
        <v>2916</v>
      </c>
      <c r="BP296" s="16">
        <f t="shared" si="334"/>
        <v>373</v>
      </c>
      <c r="BQ296" s="16"/>
      <c r="BR296" s="16"/>
      <c r="BS296" s="78">
        <v>2017</v>
      </c>
      <c r="BT296" s="79" t="s">
        <v>38</v>
      </c>
      <c r="BU296" s="15">
        <f t="shared" si="276"/>
        <v>0.50734494015233955</v>
      </c>
      <c r="BV296" s="15">
        <f t="shared" si="277"/>
        <v>0.87558685446009388</v>
      </c>
      <c r="BW296" s="15">
        <f t="shared" si="278"/>
        <v>0.57943416757344945</v>
      </c>
      <c r="BX296" s="16"/>
      <c r="BY296" s="16"/>
      <c r="BZ296" s="16">
        <v>3676</v>
      </c>
      <c r="CA296" s="16">
        <f t="shared" si="335"/>
        <v>1546</v>
      </c>
      <c r="CB296" s="16">
        <v>2130</v>
      </c>
      <c r="CC296" s="16">
        <v>1865</v>
      </c>
      <c r="CD296" s="16">
        <f t="shared" si="336"/>
        <v>265</v>
      </c>
      <c r="CE296" s="19" t="s">
        <v>61</v>
      </c>
      <c r="CF296" s="16"/>
      <c r="CG296" s="78">
        <v>2017</v>
      </c>
      <c r="CH296" s="79" t="s">
        <v>38</v>
      </c>
      <c r="CI296" s="15"/>
      <c r="CJ296" s="15"/>
      <c r="CK296" s="15"/>
      <c r="CL296" s="35"/>
      <c r="CM296" s="35"/>
      <c r="CN296" s="35"/>
      <c r="CO296" s="35"/>
      <c r="CP296" s="16"/>
      <c r="CQ296" s="16"/>
      <c r="CR296" s="16"/>
      <c r="CS296" s="16"/>
      <c r="CT296" s="16"/>
      <c r="CU296" s="78">
        <v>2017</v>
      </c>
      <c r="CV296" s="79" t="s">
        <v>38</v>
      </c>
      <c r="CW296" s="15">
        <f t="shared" si="282"/>
        <v>0.63993831919814959</v>
      </c>
      <c r="CX296" s="15">
        <f t="shared" si="283"/>
        <v>0.76887447892542848</v>
      </c>
      <c r="CY296" s="15">
        <f t="shared" si="284"/>
        <v>0.83230531996915957</v>
      </c>
      <c r="CZ296" s="16"/>
      <c r="DA296" s="16"/>
      <c r="DB296" s="16">
        <v>2594</v>
      </c>
      <c r="DC296" s="16">
        <f t="shared" si="337"/>
        <v>435</v>
      </c>
      <c r="DD296" s="16">
        <v>2159</v>
      </c>
      <c r="DE296" s="16">
        <v>1660</v>
      </c>
      <c r="DF296" s="16">
        <f t="shared" si="338"/>
        <v>499</v>
      </c>
      <c r="DG296" s="16"/>
      <c r="DH296" s="16"/>
      <c r="DI296" s="78">
        <v>2017</v>
      </c>
      <c r="DJ296" s="79" t="s">
        <v>38</v>
      </c>
      <c r="DK296" s="15">
        <f t="shared" si="287"/>
        <v>0.38571428571428573</v>
      </c>
      <c r="DL296" s="15">
        <f t="shared" si="288"/>
        <v>0.4576271186440678</v>
      </c>
      <c r="DM296" s="15">
        <f t="shared" si="289"/>
        <v>0.84285714285714286</v>
      </c>
      <c r="DN296" s="16"/>
      <c r="DO296" s="16"/>
      <c r="DP296" s="16">
        <v>910</v>
      </c>
      <c r="DQ296" s="16">
        <f t="shared" si="339"/>
        <v>143</v>
      </c>
      <c r="DR296" s="16">
        <v>767</v>
      </c>
      <c r="DS296" s="16">
        <v>351</v>
      </c>
      <c r="DT296" s="16">
        <f t="shared" si="340"/>
        <v>416</v>
      </c>
      <c r="DU296" s="16"/>
      <c r="DV296" s="16"/>
      <c r="DW296" s="78">
        <v>2017</v>
      </c>
      <c r="DX296" s="79" t="s">
        <v>38</v>
      </c>
      <c r="DY296" s="15">
        <f t="shared" si="290"/>
        <v>0.85910129474485908</v>
      </c>
      <c r="DZ296" s="15">
        <f t="shared" si="291"/>
        <v>0.95674300254452926</v>
      </c>
      <c r="EA296" s="15">
        <f t="shared" si="292"/>
        <v>0.89794364051789799</v>
      </c>
      <c r="EB296" s="16"/>
      <c r="EC296" s="16"/>
      <c r="ED296" s="16">
        <v>1313</v>
      </c>
      <c r="EE296" s="16">
        <f t="shared" si="341"/>
        <v>134</v>
      </c>
      <c r="EF296" s="16">
        <v>1179</v>
      </c>
      <c r="EG296" s="16">
        <v>1128</v>
      </c>
      <c r="EH296" s="16">
        <f t="shared" si="342"/>
        <v>51</v>
      </c>
      <c r="EI296" s="16"/>
      <c r="EJ296" s="16"/>
      <c r="EK296" s="78"/>
      <c r="EL296" s="79"/>
      <c r="EM296" s="15"/>
      <c r="EN296" s="15"/>
      <c r="EO296" s="15"/>
      <c r="EP296" s="16"/>
      <c r="EQ296" s="16"/>
      <c r="ER296" s="16"/>
      <c r="ES296" s="16"/>
      <c r="ET296" s="16"/>
      <c r="EU296" s="16"/>
      <c r="EV296" s="16"/>
      <c r="EW296" s="16"/>
      <c r="EX296" s="16"/>
      <c r="EY296" s="78"/>
      <c r="EZ296" s="79"/>
      <c r="FA296" s="15"/>
      <c r="FB296" s="15"/>
      <c r="FC296" s="15"/>
      <c r="FD296" s="16"/>
      <c r="FE296" s="16"/>
      <c r="FF296" s="16"/>
      <c r="FG296" s="16"/>
      <c r="FH296" s="16"/>
      <c r="FI296" s="16"/>
      <c r="FJ296" s="16"/>
      <c r="FK296" s="16"/>
      <c r="FM296" s="78"/>
      <c r="FN296" s="79"/>
      <c r="FO296" s="15"/>
      <c r="FP296" s="15"/>
      <c r="FQ296" s="15"/>
      <c r="FR296" s="16"/>
      <c r="FS296" s="16"/>
      <c r="FT296" s="16"/>
      <c r="FU296" s="16"/>
      <c r="FV296" s="16"/>
      <c r="FW296" s="16"/>
      <c r="FX296" s="16"/>
      <c r="FY296" s="16"/>
      <c r="GA296" s="78"/>
      <c r="GB296" s="79"/>
      <c r="GC296" s="15"/>
      <c r="GD296" s="15"/>
      <c r="GE296" s="15"/>
      <c r="GF296" s="16"/>
      <c r="GG296" s="16"/>
      <c r="GH296" s="16"/>
      <c r="GI296" s="16"/>
      <c r="GJ296" s="16"/>
      <c r="GK296" s="16"/>
      <c r="GL296" s="16"/>
      <c r="GM296" s="16"/>
    </row>
    <row r="297" spans="1:195" s="18" customFormat="1" ht="15" customHeight="1">
      <c r="A297" s="80">
        <v>2017</v>
      </c>
      <c r="B297" s="81" t="s">
        <v>39</v>
      </c>
      <c r="C297" s="15">
        <f t="shared" si="293"/>
        <v>0.69798488664987401</v>
      </c>
      <c r="D297" s="15">
        <f t="shared" si="294"/>
        <v>0.84538409909085366</v>
      </c>
      <c r="E297" s="15">
        <f t="shared" si="295"/>
        <v>0.82564231738035265</v>
      </c>
      <c r="F297" s="16"/>
      <c r="G297" s="33"/>
      <c r="H29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19850</v>
      </c>
      <c r="I297" s="16">
        <f t="shared" si="296"/>
        <v>3461</v>
      </c>
      <c r="J29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16389</v>
      </c>
      <c r="K29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13855</v>
      </c>
      <c r="L297" s="16">
        <f t="shared" si="297"/>
        <v>2534</v>
      </c>
      <c r="M297" s="16"/>
      <c r="N297" s="16"/>
      <c r="O297" s="80">
        <v>2017</v>
      </c>
      <c r="P297" s="81" t="s">
        <v>39</v>
      </c>
      <c r="Q297" s="15">
        <f t="shared" si="270"/>
        <v>0.7567567567567568</v>
      </c>
      <c r="R297" s="15">
        <f t="shared" si="271"/>
        <v>0.8002005515166708</v>
      </c>
      <c r="S297" s="15">
        <f t="shared" si="272"/>
        <v>0.94570886676149835</v>
      </c>
      <c r="T297" s="26"/>
      <c r="U297" s="26"/>
      <c r="V297" s="16">
        <v>4218</v>
      </c>
      <c r="W297" s="16">
        <f t="shared" si="329"/>
        <v>229</v>
      </c>
      <c r="X297" s="16">
        <v>3989</v>
      </c>
      <c r="Y297" s="16">
        <v>3192</v>
      </c>
      <c r="Z297" s="16">
        <f t="shared" si="330"/>
        <v>797</v>
      </c>
      <c r="AA297" s="16"/>
      <c r="AB297" s="16"/>
      <c r="AC297" s="80"/>
      <c r="AD297" s="81"/>
      <c r="AE297" s="15"/>
      <c r="AF297" s="15"/>
      <c r="AG297" s="15"/>
      <c r="AH297" s="15"/>
      <c r="AI297" s="15"/>
      <c r="AJ297" s="16"/>
      <c r="AK297" s="16"/>
      <c r="AL297" s="16"/>
      <c r="AM297" s="16"/>
      <c r="AN297" s="16"/>
      <c r="AO297" s="16"/>
      <c r="AP297" s="16"/>
      <c r="AQ297" s="80">
        <v>2017</v>
      </c>
      <c r="AR297" s="81" t="s">
        <v>39</v>
      </c>
      <c r="AS297" s="15">
        <f t="shared" si="273"/>
        <v>0.8559757236227824</v>
      </c>
      <c r="AT297" s="15">
        <f t="shared" si="274"/>
        <v>0.910377358490566</v>
      </c>
      <c r="AU297" s="15">
        <f t="shared" si="275"/>
        <v>0.94024276377217553</v>
      </c>
      <c r="AV297" s="16"/>
      <c r="AW297" s="16"/>
      <c r="AX297" s="16">
        <v>4284</v>
      </c>
      <c r="AY297" s="16">
        <f t="shared" si="331"/>
        <v>256</v>
      </c>
      <c r="AZ297" s="16">
        <v>4028</v>
      </c>
      <c r="BA297" s="16">
        <v>3667</v>
      </c>
      <c r="BB297" s="16">
        <f t="shared" si="332"/>
        <v>361</v>
      </c>
      <c r="BC297" s="16"/>
      <c r="BD297" s="16"/>
      <c r="BE297" s="80">
        <v>2017</v>
      </c>
      <c r="BF297" s="81" t="s">
        <v>39</v>
      </c>
      <c r="BG297" s="15">
        <f t="shared" si="310"/>
        <v>0.84150612959719795</v>
      </c>
      <c r="BH297" s="15">
        <f t="shared" si="311"/>
        <v>0.92285531370038409</v>
      </c>
      <c r="BI297" s="15">
        <f t="shared" si="312"/>
        <v>0.91185055458260367</v>
      </c>
      <c r="BJ297" s="16"/>
      <c r="BK297" s="16"/>
      <c r="BL297" s="16">
        <v>3426</v>
      </c>
      <c r="BM297" s="16">
        <f t="shared" si="333"/>
        <v>302</v>
      </c>
      <c r="BN297" s="16">
        <v>3124</v>
      </c>
      <c r="BO297" s="16">
        <v>2883</v>
      </c>
      <c r="BP297" s="16">
        <f t="shared" si="334"/>
        <v>241</v>
      </c>
      <c r="BQ297" s="16"/>
      <c r="BR297" s="16"/>
      <c r="BS297" s="80">
        <v>2017</v>
      </c>
      <c r="BT297" s="81" t="s">
        <v>39</v>
      </c>
      <c r="BU297" s="15">
        <f t="shared" si="276"/>
        <v>0.52059925093632964</v>
      </c>
      <c r="BV297" s="15">
        <f t="shared" si="277"/>
        <v>0.86797502230151646</v>
      </c>
      <c r="BW297" s="15">
        <f t="shared" si="278"/>
        <v>0.59978598180845377</v>
      </c>
      <c r="BX297" s="16"/>
      <c r="BY297" s="16"/>
      <c r="BZ297" s="16">
        <v>3738</v>
      </c>
      <c r="CA297" s="16">
        <f t="shared" si="335"/>
        <v>1496</v>
      </c>
      <c r="CB297" s="16">
        <v>2242</v>
      </c>
      <c r="CC297" s="16">
        <v>1946</v>
      </c>
      <c r="CD297" s="16">
        <f t="shared" si="336"/>
        <v>296</v>
      </c>
      <c r="CE297" s="16"/>
      <c r="CF297" s="16"/>
      <c r="CG297" s="80">
        <v>2017</v>
      </c>
      <c r="CH297" s="81" t="s">
        <v>39</v>
      </c>
      <c r="CI297" s="15"/>
      <c r="CJ297" s="15"/>
      <c r="CK297" s="15"/>
      <c r="CL297" s="35"/>
      <c r="CM297" s="35"/>
      <c r="CN297" s="35"/>
      <c r="CO297" s="35"/>
      <c r="CP297" s="16"/>
      <c r="CQ297" s="16"/>
      <c r="CR297" s="16"/>
      <c r="CS297" s="16"/>
      <c r="CT297" s="16"/>
      <c r="CU297" s="80">
        <v>2017</v>
      </c>
      <c r="CV297" s="81" t="s">
        <v>39</v>
      </c>
      <c r="CW297" s="15">
        <f t="shared" si="282"/>
        <v>0.47865576748410538</v>
      </c>
      <c r="CX297" s="15">
        <f t="shared" si="283"/>
        <v>0.65710723192019949</v>
      </c>
      <c r="CY297" s="15">
        <f t="shared" si="284"/>
        <v>0.72842870118074476</v>
      </c>
      <c r="CZ297" s="16"/>
      <c r="DA297" s="16"/>
      <c r="DB297" s="16">
        <v>2202</v>
      </c>
      <c r="DC297" s="16">
        <f t="shared" si="337"/>
        <v>598</v>
      </c>
      <c r="DD297" s="16">
        <v>1604</v>
      </c>
      <c r="DE297" s="16">
        <v>1054</v>
      </c>
      <c r="DF297" s="16">
        <f t="shared" si="338"/>
        <v>550</v>
      </c>
      <c r="DG297" s="16"/>
      <c r="DH297" s="16"/>
      <c r="DI297" s="80">
        <v>2017</v>
      </c>
      <c r="DJ297" s="81" t="s">
        <v>39</v>
      </c>
      <c r="DK297" s="15">
        <f t="shared" si="287"/>
        <v>7.6815642458100561E-2</v>
      </c>
      <c r="DL297" s="15">
        <f t="shared" si="288"/>
        <v>0.18151815181518152</v>
      </c>
      <c r="DM297" s="15">
        <f t="shared" si="289"/>
        <v>0.42318435754189943</v>
      </c>
      <c r="DN297" s="16"/>
      <c r="DO297" s="16"/>
      <c r="DP297" s="16">
        <v>716</v>
      </c>
      <c r="DQ297" s="16">
        <f t="shared" si="339"/>
        <v>413</v>
      </c>
      <c r="DR297" s="16">
        <v>303</v>
      </c>
      <c r="DS297" s="16">
        <v>55</v>
      </c>
      <c r="DT297" s="16">
        <f t="shared" si="340"/>
        <v>248</v>
      </c>
      <c r="DU297" s="16"/>
      <c r="DV297" s="16"/>
      <c r="DW297" s="80">
        <v>2017</v>
      </c>
      <c r="DX297" s="81" t="s">
        <v>39</v>
      </c>
      <c r="DY297" s="15">
        <f t="shared" si="290"/>
        <v>0.83570300157977884</v>
      </c>
      <c r="DZ297" s="15">
        <f t="shared" si="291"/>
        <v>0.96269335759781616</v>
      </c>
      <c r="EA297" s="15">
        <f t="shared" si="292"/>
        <v>0.86808846761453395</v>
      </c>
      <c r="EB297" s="16"/>
      <c r="EC297" s="16"/>
      <c r="ED297" s="16">
        <v>1266</v>
      </c>
      <c r="EE297" s="16">
        <f t="shared" si="341"/>
        <v>167</v>
      </c>
      <c r="EF297" s="16">
        <v>1099</v>
      </c>
      <c r="EG297" s="16">
        <v>1058</v>
      </c>
      <c r="EH297" s="16">
        <f t="shared" si="342"/>
        <v>41</v>
      </c>
      <c r="EI297" s="16"/>
      <c r="EJ297" s="16"/>
      <c r="EK297" s="80"/>
      <c r="EL297" s="81"/>
      <c r="EM297" s="15"/>
      <c r="EN297" s="15"/>
      <c r="EO297" s="15"/>
      <c r="EP297" s="16"/>
      <c r="EQ297" s="16"/>
      <c r="ER297" s="16"/>
      <c r="ES297" s="16"/>
      <c r="ET297" s="16"/>
      <c r="EU297" s="16"/>
      <c r="EV297" s="16"/>
      <c r="EW297" s="16"/>
      <c r="EX297" s="16"/>
      <c r="EY297" s="80"/>
      <c r="EZ297" s="81"/>
      <c r="FA297" s="15"/>
      <c r="FB297" s="15"/>
      <c r="FC297" s="15"/>
      <c r="FD297" s="16"/>
      <c r="FE297" s="16"/>
      <c r="FF297" s="16"/>
      <c r="FG297" s="16"/>
      <c r="FH297" s="16"/>
      <c r="FI297" s="16"/>
      <c r="FJ297" s="16"/>
      <c r="FK297" s="16"/>
      <c r="FM297" s="80"/>
      <c r="FN297" s="81"/>
      <c r="FO297" s="15"/>
      <c r="FP297" s="15"/>
      <c r="FQ297" s="15"/>
      <c r="FR297" s="16"/>
      <c r="FS297" s="16"/>
      <c r="FT297" s="16"/>
      <c r="FU297" s="16"/>
      <c r="FV297" s="16"/>
      <c r="FW297" s="16"/>
      <c r="FX297" s="16"/>
      <c r="FY297" s="16"/>
      <c r="GA297" s="80"/>
      <c r="GB297" s="81"/>
      <c r="GC297" s="15"/>
      <c r="GD297" s="15"/>
      <c r="GE297" s="15"/>
      <c r="GF297" s="16"/>
      <c r="GG297" s="16"/>
      <c r="GH297" s="16"/>
      <c r="GI297" s="16"/>
      <c r="GJ297" s="16"/>
      <c r="GK297" s="16"/>
      <c r="GL297" s="16"/>
      <c r="GM297" s="16"/>
    </row>
    <row r="298" spans="1:195" s="18" customFormat="1" ht="15" customHeight="1">
      <c r="A298" s="78">
        <v>2017</v>
      </c>
      <c r="B298" s="79" t="s">
        <v>40</v>
      </c>
      <c r="C298" s="15">
        <f t="shared" si="293"/>
        <v>0.82539295128380352</v>
      </c>
      <c r="D298" s="15">
        <f t="shared" si="294"/>
        <v>0.87985222187532519</v>
      </c>
      <c r="E298" s="15">
        <f t="shared" si="295"/>
        <v>0.93810407107292781</v>
      </c>
      <c r="F298" s="16"/>
      <c r="G298" s="33"/>
      <c r="H29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20486</v>
      </c>
      <c r="I298" s="16">
        <f t="shared" si="296"/>
        <v>1268</v>
      </c>
      <c r="J29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19218</v>
      </c>
      <c r="K29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16909</v>
      </c>
      <c r="L298" s="16">
        <f t="shared" si="297"/>
        <v>2309</v>
      </c>
      <c r="M298" s="16"/>
      <c r="N298" s="16"/>
      <c r="O298" s="78">
        <v>2017</v>
      </c>
      <c r="P298" s="79" t="s">
        <v>40</v>
      </c>
      <c r="Q298" s="15">
        <f t="shared" si="270"/>
        <v>0.86491387126019947</v>
      </c>
      <c r="R298" s="15">
        <f t="shared" si="271"/>
        <v>0.87583199449162263</v>
      </c>
      <c r="S298" s="15">
        <f t="shared" si="272"/>
        <v>0.98753399818676335</v>
      </c>
      <c r="T298" s="26"/>
      <c r="U298" s="26"/>
      <c r="V298" s="16">
        <v>4412</v>
      </c>
      <c r="W298" s="16">
        <f t="shared" si="329"/>
        <v>55</v>
      </c>
      <c r="X298" s="16">
        <v>4357</v>
      </c>
      <c r="Y298" s="16">
        <v>3816</v>
      </c>
      <c r="Z298" s="16">
        <f t="shared" si="330"/>
        <v>541</v>
      </c>
      <c r="AA298" s="16"/>
      <c r="AB298" s="16"/>
      <c r="AC298" s="78"/>
      <c r="AD298" s="79"/>
      <c r="AE298" s="15"/>
      <c r="AF298" s="15"/>
      <c r="AG298" s="15"/>
      <c r="AH298" s="15"/>
      <c r="AI298" s="15"/>
      <c r="AJ298" s="16"/>
      <c r="AK298" s="16"/>
      <c r="AL298" s="16"/>
      <c r="AM298" s="16"/>
      <c r="AN298" s="16"/>
      <c r="AO298" s="16"/>
      <c r="AP298" s="16"/>
      <c r="AQ298" s="78">
        <v>2017</v>
      </c>
      <c r="AR298" s="79" t="s">
        <v>40</v>
      </c>
      <c r="AS298" s="15">
        <f t="shared" si="273"/>
        <v>0.93762530630429941</v>
      </c>
      <c r="AT298" s="15">
        <f t="shared" si="274"/>
        <v>0.95528824330458462</v>
      </c>
      <c r="AU298" s="15">
        <f t="shared" si="275"/>
        <v>0.98151035865448877</v>
      </c>
      <c r="AV298" s="16"/>
      <c r="AW298" s="16"/>
      <c r="AX298" s="16">
        <v>4489</v>
      </c>
      <c r="AY298" s="16">
        <f t="shared" si="331"/>
        <v>83</v>
      </c>
      <c r="AZ298" s="16">
        <v>4406</v>
      </c>
      <c r="BA298" s="16">
        <v>4209</v>
      </c>
      <c r="BB298" s="16">
        <f t="shared" si="332"/>
        <v>197</v>
      </c>
      <c r="BC298" s="16"/>
      <c r="BD298" s="16"/>
      <c r="BE298" s="78">
        <v>2017</v>
      </c>
      <c r="BF298" s="79" t="s">
        <v>40</v>
      </c>
      <c r="BG298" s="15">
        <f t="shared" si="310"/>
        <v>0.87874544945393451</v>
      </c>
      <c r="BH298" s="15">
        <f t="shared" si="311"/>
        <v>0.92977777777777781</v>
      </c>
      <c r="BI298" s="15">
        <f t="shared" si="312"/>
        <v>0.94511341360963319</v>
      </c>
      <c r="BJ298" s="16"/>
      <c r="BK298" s="16"/>
      <c r="BL298" s="16">
        <v>3571</v>
      </c>
      <c r="BM298" s="16">
        <f t="shared" si="333"/>
        <v>196</v>
      </c>
      <c r="BN298" s="16">
        <v>3375</v>
      </c>
      <c r="BO298" s="16">
        <v>3138</v>
      </c>
      <c r="BP298" s="16">
        <f t="shared" si="334"/>
        <v>237</v>
      </c>
      <c r="BQ298" s="16"/>
      <c r="BR298" s="16"/>
      <c r="BS298" s="78">
        <v>2017</v>
      </c>
      <c r="BT298" s="79" t="s">
        <v>40</v>
      </c>
      <c r="BU298" s="15">
        <f t="shared" si="276"/>
        <v>0.85529715762273906</v>
      </c>
      <c r="BV298" s="15">
        <f t="shared" si="277"/>
        <v>0.88930682428801722</v>
      </c>
      <c r="BW298" s="15">
        <f t="shared" si="278"/>
        <v>0.96175710594315245</v>
      </c>
      <c r="BX298" s="16"/>
      <c r="BY298" s="16"/>
      <c r="BZ298" s="16">
        <v>3870</v>
      </c>
      <c r="CA298" s="16">
        <f t="shared" si="335"/>
        <v>148</v>
      </c>
      <c r="CB298" s="16">
        <v>3722</v>
      </c>
      <c r="CC298" s="16">
        <v>3310</v>
      </c>
      <c r="CD298" s="16">
        <f t="shared" si="336"/>
        <v>412</v>
      </c>
      <c r="CE298" s="16"/>
      <c r="CF298" s="16"/>
      <c r="CG298" s="78">
        <v>2017</v>
      </c>
      <c r="CH298" s="79" t="s">
        <v>40</v>
      </c>
      <c r="CI298" s="15"/>
      <c r="CJ298" s="15"/>
      <c r="CK298" s="15"/>
      <c r="CL298" s="35"/>
      <c r="CM298" s="35"/>
      <c r="CN298" s="35"/>
      <c r="CO298" s="35"/>
      <c r="CP298" s="16"/>
      <c r="CQ298" s="16"/>
      <c r="CR298" s="16"/>
      <c r="CS298" s="16"/>
      <c r="CT298" s="16"/>
      <c r="CU298" s="78">
        <v>2017</v>
      </c>
      <c r="CV298" s="79" t="s">
        <v>40</v>
      </c>
      <c r="CW298" s="15">
        <f t="shared" si="282"/>
        <v>0.5243741765480896</v>
      </c>
      <c r="CX298" s="15">
        <f t="shared" si="283"/>
        <v>0.69988276670574445</v>
      </c>
      <c r="CY298" s="15">
        <f t="shared" si="284"/>
        <v>0.74923144488361881</v>
      </c>
      <c r="CZ298" s="16"/>
      <c r="DA298" s="16"/>
      <c r="DB298" s="16">
        <v>2277</v>
      </c>
      <c r="DC298" s="16">
        <f t="shared" si="337"/>
        <v>571</v>
      </c>
      <c r="DD298" s="16">
        <v>1706</v>
      </c>
      <c r="DE298" s="16">
        <v>1194</v>
      </c>
      <c r="DF298" s="16">
        <f t="shared" si="338"/>
        <v>512</v>
      </c>
      <c r="DG298" s="16"/>
      <c r="DH298" s="16"/>
      <c r="DI298" s="78">
        <v>2017</v>
      </c>
      <c r="DJ298" s="79" t="s">
        <v>40</v>
      </c>
      <c r="DK298" s="15">
        <f t="shared" si="287"/>
        <v>0.16129032258064516</v>
      </c>
      <c r="DL298" s="15">
        <f t="shared" si="288"/>
        <v>0.19189765458422176</v>
      </c>
      <c r="DM298" s="15">
        <f t="shared" si="289"/>
        <v>0.84050179211469533</v>
      </c>
      <c r="DN298" s="16"/>
      <c r="DO298" s="16"/>
      <c r="DP298" s="16">
        <v>558</v>
      </c>
      <c r="DQ298" s="16">
        <f t="shared" si="339"/>
        <v>89</v>
      </c>
      <c r="DR298" s="16">
        <v>469</v>
      </c>
      <c r="DS298" s="16">
        <v>90</v>
      </c>
      <c r="DT298" s="16">
        <f t="shared" si="340"/>
        <v>379</v>
      </c>
      <c r="DU298" s="16"/>
      <c r="DV298" s="16"/>
      <c r="DW298" s="78">
        <v>2017</v>
      </c>
      <c r="DX298" s="79" t="s">
        <v>40</v>
      </c>
      <c r="DY298" s="15">
        <f t="shared" si="290"/>
        <v>0.88006111535523301</v>
      </c>
      <c r="DZ298" s="15">
        <f t="shared" si="291"/>
        <v>0.9737954353338969</v>
      </c>
      <c r="EA298" s="15">
        <f t="shared" si="292"/>
        <v>0.90374331550802134</v>
      </c>
      <c r="EB298" s="16"/>
      <c r="EC298" s="16"/>
      <c r="ED298" s="16">
        <v>1309</v>
      </c>
      <c r="EE298" s="16">
        <f t="shared" si="341"/>
        <v>126</v>
      </c>
      <c r="EF298" s="16">
        <v>1183</v>
      </c>
      <c r="EG298" s="16">
        <v>1152</v>
      </c>
      <c r="EH298" s="16">
        <f t="shared" si="342"/>
        <v>31</v>
      </c>
      <c r="EI298" s="16"/>
      <c r="EJ298" s="16"/>
      <c r="EK298" s="78"/>
      <c r="EL298" s="79"/>
      <c r="EM298" s="15"/>
      <c r="EN298" s="15"/>
      <c r="EO298" s="15"/>
      <c r="EP298" s="16"/>
      <c r="EQ298" s="16"/>
      <c r="ER298" s="16"/>
      <c r="ES298" s="16"/>
      <c r="ET298" s="16"/>
      <c r="EU298" s="16"/>
      <c r="EV298" s="16"/>
      <c r="EW298" s="16"/>
      <c r="EX298" s="16"/>
      <c r="EY298" s="78"/>
      <c r="EZ298" s="79"/>
      <c r="FA298" s="15"/>
      <c r="FB298" s="15"/>
      <c r="FC298" s="15"/>
      <c r="FD298" s="16"/>
      <c r="FE298" s="16"/>
      <c r="FF298" s="16"/>
      <c r="FG298" s="16"/>
      <c r="FH298" s="16"/>
      <c r="FI298" s="16"/>
      <c r="FJ298" s="16"/>
      <c r="FK298" s="16"/>
      <c r="FM298" s="78"/>
      <c r="FN298" s="79"/>
      <c r="FO298" s="15"/>
      <c r="FP298" s="15"/>
      <c r="FQ298" s="15"/>
      <c r="FR298" s="16"/>
      <c r="FS298" s="16"/>
      <c r="FT298" s="16"/>
      <c r="FU298" s="16"/>
      <c r="FV298" s="16"/>
      <c r="FW298" s="16"/>
      <c r="FX298" s="16"/>
      <c r="FY298" s="16"/>
      <c r="GA298" s="78"/>
      <c r="GB298" s="79"/>
      <c r="GC298" s="15"/>
      <c r="GD298" s="15"/>
      <c r="GE298" s="15"/>
      <c r="GF298" s="16"/>
      <c r="GG298" s="16"/>
      <c r="GH298" s="16"/>
      <c r="GI298" s="16"/>
      <c r="GJ298" s="16"/>
      <c r="GK298" s="16"/>
      <c r="GL298" s="16"/>
      <c r="GM298" s="16"/>
    </row>
    <row r="299" spans="1:195" s="18" customFormat="1" ht="15" customHeight="1">
      <c r="A299" s="80">
        <v>2017</v>
      </c>
      <c r="B299" s="81" t="s">
        <v>41</v>
      </c>
      <c r="C299" s="15">
        <f t="shared" si="293"/>
        <v>0.80739505985755422</v>
      </c>
      <c r="D299" s="15">
        <f t="shared" si="294"/>
        <v>0.86582525323655268</v>
      </c>
      <c r="E299" s="15">
        <f t="shared" si="295"/>
        <v>0.93251502752942361</v>
      </c>
      <c r="F299" s="16"/>
      <c r="G299" s="33"/>
      <c r="H29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19797</v>
      </c>
      <c r="I299" s="16">
        <f t="shared" si="296"/>
        <v>1336</v>
      </c>
      <c r="J29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18461</v>
      </c>
      <c r="K29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15984</v>
      </c>
      <c r="L299" s="16">
        <f t="shared" si="297"/>
        <v>2477</v>
      </c>
      <c r="M299" s="16"/>
      <c r="N299" s="16"/>
      <c r="O299" s="80">
        <v>2017</v>
      </c>
      <c r="P299" s="81" t="s">
        <v>41</v>
      </c>
      <c r="Q299" s="15">
        <f t="shared" si="270"/>
        <v>0.8497191011235955</v>
      </c>
      <c r="R299" s="15">
        <f t="shared" si="271"/>
        <v>0.86987778576563624</v>
      </c>
      <c r="S299" s="15">
        <f t="shared" si="272"/>
        <v>0.9768258426966292</v>
      </c>
      <c r="T299" s="26"/>
      <c r="U299" s="26"/>
      <c r="V299" s="16">
        <v>4272</v>
      </c>
      <c r="W299" s="16">
        <f t="shared" si="329"/>
        <v>99</v>
      </c>
      <c r="X299" s="16">
        <v>4173</v>
      </c>
      <c r="Y299" s="16">
        <v>3630</v>
      </c>
      <c r="Z299" s="16">
        <f t="shared" si="330"/>
        <v>543</v>
      </c>
      <c r="AA299" s="16"/>
      <c r="AB299" s="16"/>
      <c r="AC299" s="80"/>
      <c r="AD299" s="81"/>
      <c r="AE299" s="15"/>
      <c r="AF299" s="15"/>
      <c r="AG299" s="15"/>
      <c r="AH299" s="15"/>
      <c r="AI299" s="15"/>
      <c r="AJ299" s="16"/>
      <c r="AK299" s="16"/>
      <c r="AL299" s="16"/>
      <c r="AM299" s="16"/>
      <c r="AN299" s="16"/>
      <c r="AO299" s="16"/>
      <c r="AP299" s="16"/>
      <c r="AQ299" s="80">
        <v>2017</v>
      </c>
      <c r="AR299" s="81" t="s">
        <v>41</v>
      </c>
      <c r="AS299" s="15">
        <f t="shared" si="273"/>
        <v>0.91172413793103446</v>
      </c>
      <c r="AT299" s="15">
        <f t="shared" si="274"/>
        <v>0.94047901351671803</v>
      </c>
      <c r="AU299" s="15">
        <f t="shared" si="275"/>
        <v>0.96942528735632183</v>
      </c>
      <c r="AV299" s="16"/>
      <c r="AW299" s="16"/>
      <c r="AX299" s="16">
        <v>4350</v>
      </c>
      <c r="AY299" s="16">
        <f t="shared" si="331"/>
        <v>133</v>
      </c>
      <c r="AZ299" s="16">
        <v>4217</v>
      </c>
      <c r="BA299" s="16">
        <v>3966</v>
      </c>
      <c r="BB299" s="16">
        <f t="shared" si="332"/>
        <v>251</v>
      </c>
      <c r="BC299" s="16"/>
      <c r="BD299" s="16"/>
      <c r="BE299" s="80">
        <v>2017</v>
      </c>
      <c r="BF299" s="81" t="s">
        <v>41</v>
      </c>
      <c r="BG299" s="15">
        <f t="shared" si="310"/>
        <v>0.86410032079323418</v>
      </c>
      <c r="BH299" s="15">
        <f t="shared" si="311"/>
        <v>0.91620284477427338</v>
      </c>
      <c r="BI299" s="15">
        <f t="shared" si="312"/>
        <v>0.94313210848643925</v>
      </c>
      <c r="BJ299" s="16"/>
      <c r="BK299" s="16"/>
      <c r="BL299" s="16">
        <v>3429</v>
      </c>
      <c r="BM299" s="16">
        <f t="shared" si="333"/>
        <v>195</v>
      </c>
      <c r="BN299" s="16">
        <v>3234</v>
      </c>
      <c r="BO299" s="16">
        <v>2963</v>
      </c>
      <c r="BP299" s="16">
        <f t="shared" si="334"/>
        <v>271</v>
      </c>
      <c r="BQ299" s="16"/>
      <c r="BR299" s="16"/>
      <c r="BS299" s="80">
        <v>2017</v>
      </c>
      <c r="BT299" s="81" t="s">
        <v>41</v>
      </c>
      <c r="BU299" s="15">
        <f t="shared" si="276"/>
        <v>0.8667736757624398</v>
      </c>
      <c r="BV299" s="15">
        <f t="shared" si="277"/>
        <v>0.88937688718089492</v>
      </c>
      <c r="BW299" s="15">
        <f t="shared" si="278"/>
        <v>0.97458533975387907</v>
      </c>
      <c r="BX299" s="16"/>
      <c r="BY299" s="16"/>
      <c r="BZ299" s="16">
        <v>3738</v>
      </c>
      <c r="CA299" s="16">
        <f t="shared" si="335"/>
        <v>95</v>
      </c>
      <c r="CB299" s="16">
        <v>3643</v>
      </c>
      <c r="CC299" s="16">
        <v>3240</v>
      </c>
      <c r="CD299" s="16">
        <f t="shared" si="336"/>
        <v>403</v>
      </c>
      <c r="CE299" s="16"/>
      <c r="CF299" s="16"/>
      <c r="CG299" s="80">
        <v>2017</v>
      </c>
      <c r="CH299" s="81" t="s">
        <v>41</v>
      </c>
      <c r="CI299" s="15"/>
      <c r="CJ299" s="15"/>
      <c r="CK299" s="15"/>
      <c r="CL299" s="35"/>
      <c r="CM299" s="35"/>
      <c r="CN299" s="35"/>
      <c r="CO299" s="35"/>
      <c r="CP299" s="16"/>
      <c r="CQ299" s="16"/>
      <c r="CR299" s="16"/>
      <c r="CS299" s="16"/>
      <c r="CT299" s="16"/>
      <c r="CU299" s="80">
        <v>2017</v>
      </c>
      <c r="CV299" s="81" t="s">
        <v>41</v>
      </c>
      <c r="CW299" s="15">
        <f t="shared" si="282"/>
        <v>0.42915531335149865</v>
      </c>
      <c r="CX299" s="15">
        <f t="shared" si="283"/>
        <v>0.62252964426877466</v>
      </c>
      <c r="CY299" s="15">
        <f t="shared" si="284"/>
        <v>0.68937329700272476</v>
      </c>
      <c r="CZ299" s="16"/>
      <c r="DA299" s="16"/>
      <c r="DB299" s="16">
        <v>2202</v>
      </c>
      <c r="DC299" s="16">
        <f t="shared" si="337"/>
        <v>684</v>
      </c>
      <c r="DD299" s="16">
        <v>1518</v>
      </c>
      <c r="DE299" s="16">
        <v>945</v>
      </c>
      <c r="DF299" s="16">
        <f t="shared" si="338"/>
        <v>573</v>
      </c>
      <c r="DG299" s="16"/>
      <c r="DH299" s="16"/>
      <c r="DI299" s="80">
        <v>2017</v>
      </c>
      <c r="DJ299" s="81" t="s">
        <v>41</v>
      </c>
      <c r="DK299" s="15">
        <f t="shared" si="287"/>
        <v>0.1111111111111111</v>
      </c>
      <c r="DL299" s="15">
        <f t="shared" si="288"/>
        <v>0.13333333333333333</v>
      </c>
      <c r="DM299" s="15">
        <f t="shared" si="289"/>
        <v>0.83333333333333337</v>
      </c>
      <c r="DN299" s="16"/>
      <c r="DO299" s="16"/>
      <c r="DP299" s="16">
        <v>540</v>
      </c>
      <c r="DQ299" s="16">
        <f t="shared" si="339"/>
        <v>90</v>
      </c>
      <c r="DR299" s="16">
        <v>450</v>
      </c>
      <c r="DS299" s="16">
        <v>60</v>
      </c>
      <c r="DT299" s="16">
        <f t="shared" si="340"/>
        <v>390</v>
      </c>
      <c r="DU299" s="16"/>
      <c r="DV299" s="16"/>
      <c r="DW299" s="80">
        <v>2017</v>
      </c>
      <c r="DX299" s="81" t="s">
        <v>41</v>
      </c>
      <c r="DY299" s="15">
        <f t="shared" si="290"/>
        <v>0.93206951026856244</v>
      </c>
      <c r="DZ299" s="15">
        <f t="shared" si="291"/>
        <v>0.96247960848287117</v>
      </c>
      <c r="EA299" s="15">
        <f t="shared" si="292"/>
        <v>0.96840442338072674</v>
      </c>
      <c r="EB299" s="16"/>
      <c r="EC299" s="16"/>
      <c r="ED299" s="16">
        <v>1266</v>
      </c>
      <c r="EE299" s="16">
        <f t="shared" si="341"/>
        <v>40</v>
      </c>
      <c r="EF299" s="16">
        <v>1226</v>
      </c>
      <c r="EG299" s="16">
        <v>1180</v>
      </c>
      <c r="EH299" s="16">
        <f t="shared" si="342"/>
        <v>46</v>
      </c>
      <c r="EI299" s="16"/>
      <c r="EJ299" s="16"/>
      <c r="EK299" s="80"/>
      <c r="EL299" s="81"/>
      <c r="EM299" s="15"/>
      <c r="EN299" s="15"/>
      <c r="EO299" s="15"/>
      <c r="EP299" s="16"/>
      <c r="EQ299" s="16"/>
      <c r="ER299" s="16"/>
      <c r="ES299" s="16"/>
      <c r="ET299" s="16"/>
      <c r="EU299" s="16"/>
      <c r="EV299" s="16"/>
      <c r="EW299" s="16"/>
      <c r="EX299" s="16"/>
      <c r="EY299" s="80"/>
      <c r="EZ299" s="81"/>
      <c r="FA299" s="15"/>
      <c r="FB299" s="15"/>
      <c r="FC299" s="15"/>
      <c r="FD299" s="16"/>
      <c r="FE299" s="16"/>
      <c r="FF299" s="16"/>
      <c r="FG299" s="16"/>
      <c r="FH299" s="16"/>
      <c r="FI299" s="16"/>
      <c r="FJ299" s="16"/>
      <c r="FK299" s="16"/>
      <c r="FM299" s="80"/>
      <c r="FN299" s="81"/>
      <c r="FO299" s="15"/>
      <c r="FP299" s="15"/>
      <c r="FQ299" s="15"/>
      <c r="FR299" s="16"/>
      <c r="FS299" s="16"/>
      <c r="FT299" s="16"/>
      <c r="FU299" s="16"/>
      <c r="FV299" s="16"/>
      <c r="FW299" s="16"/>
      <c r="FX299" s="16"/>
      <c r="FY299" s="16"/>
      <c r="GA299" s="80"/>
      <c r="GB299" s="81"/>
      <c r="GC299" s="15"/>
      <c r="GD299" s="15"/>
      <c r="GE299" s="15"/>
      <c r="GF299" s="16"/>
      <c r="GG299" s="16"/>
      <c r="GH299" s="16"/>
      <c r="GI299" s="16"/>
      <c r="GJ299" s="16"/>
      <c r="GK299" s="16"/>
      <c r="GL299" s="16"/>
      <c r="GM299" s="16"/>
    </row>
    <row r="300" spans="1:195" s="18" customFormat="1" ht="15" customHeight="1">
      <c r="A300" s="78">
        <v>2017</v>
      </c>
      <c r="B300" s="79" t="s">
        <v>42</v>
      </c>
      <c r="C300" s="15">
        <f t="shared" si="293"/>
        <v>0.80293622141997589</v>
      </c>
      <c r="D300" s="15">
        <f t="shared" si="294"/>
        <v>0.86104372064213075</v>
      </c>
      <c r="E300" s="15">
        <f t="shared" si="295"/>
        <v>0.93251504211793024</v>
      </c>
      <c r="F300" s="16"/>
      <c r="G300" s="33"/>
      <c r="H30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20775</v>
      </c>
      <c r="I300" s="16">
        <f t="shared" si="296"/>
        <v>1402</v>
      </c>
      <c r="J30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19373</v>
      </c>
      <c r="K30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16681</v>
      </c>
      <c r="L300" s="16">
        <f t="shared" si="297"/>
        <v>2692</v>
      </c>
      <c r="M300" s="16"/>
      <c r="N300" s="16"/>
      <c r="O300" s="78">
        <v>2017</v>
      </c>
      <c r="P300" s="79" t="s">
        <v>42</v>
      </c>
      <c r="Q300" s="15">
        <f t="shared" si="270"/>
        <v>0.79722159982074836</v>
      </c>
      <c r="R300" s="15">
        <f t="shared" si="271"/>
        <v>0.81195801004107715</v>
      </c>
      <c r="S300" s="15">
        <f t="shared" si="272"/>
        <v>0.98185077302263046</v>
      </c>
      <c r="T300" s="26"/>
      <c r="U300" s="26"/>
      <c r="V300" s="16">
        <v>4463</v>
      </c>
      <c r="W300" s="16">
        <f t="shared" si="329"/>
        <v>81</v>
      </c>
      <c r="X300" s="16">
        <v>4382</v>
      </c>
      <c r="Y300" s="16">
        <v>3558</v>
      </c>
      <c r="Z300" s="16">
        <f t="shared" si="330"/>
        <v>824</v>
      </c>
      <c r="AA300" s="16"/>
      <c r="AB300" s="16"/>
      <c r="AC300" s="78"/>
      <c r="AD300" s="79"/>
      <c r="AE300" s="15"/>
      <c r="AF300" s="15"/>
      <c r="AG300" s="15"/>
      <c r="AH300" s="15"/>
      <c r="AI300" s="15"/>
      <c r="AJ300" s="16"/>
      <c r="AK300" s="16"/>
      <c r="AL300" s="16"/>
      <c r="AM300" s="16"/>
      <c r="AN300" s="16"/>
      <c r="AO300" s="16"/>
      <c r="AP300" s="16"/>
      <c r="AQ300" s="78">
        <v>2017</v>
      </c>
      <c r="AR300" s="79" t="s">
        <v>42</v>
      </c>
      <c r="AS300" s="15">
        <f t="shared" si="273"/>
        <v>0.90630511463844798</v>
      </c>
      <c r="AT300" s="15">
        <f t="shared" si="274"/>
        <v>0.92610948411804461</v>
      </c>
      <c r="AU300" s="15">
        <f t="shared" si="275"/>
        <v>0.9786155202821869</v>
      </c>
      <c r="AV300" s="16"/>
      <c r="AW300" s="16"/>
      <c r="AX300" s="16">
        <v>4536</v>
      </c>
      <c r="AY300" s="16">
        <f t="shared" si="331"/>
        <v>97</v>
      </c>
      <c r="AZ300" s="16">
        <v>4439</v>
      </c>
      <c r="BA300" s="16">
        <v>4111</v>
      </c>
      <c r="BB300" s="16">
        <f t="shared" si="332"/>
        <v>328</v>
      </c>
      <c r="BC300" s="16"/>
      <c r="BD300" s="16"/>
      <c r="BE300" s="78">
        <v>2017</v>
      </c>
      <c r="BF300" s="79" t="s">
        <v>42</v>
      </c>
      <c r="BG300" s="15">
        <f t="shared" si="310"/>
        <v>0.88661459736062487</v>
      </c>
      <c r="BH300" s="15">
        <f t="shared" si="311"/>
        <v>0.93575895395110853</v>
      </c>
      <c r="BI300" s="15">
        <f t="shared" si="312"/>
        <v>0.94748182063021813</v>
      </c>
      <c r="BJ300" s="16"/>
      <c r="BK300" s="16"/>
      <c r="BL300" s="16">
        <v>3713</v>
      </c>
      <c r="BM300" s="16">
        <f t="shared" si="333"/>
        <v>195</v>
      </c>
      <c r="BN300" s="16">
        <v>3518</v>
      </c>
      <c r="BO300" s="16">
        <v>3292</v>
      </c>
      <c r="BP300" s="16">
        <f t="shared" si="334"/>
        <v>226</v>
      </c>
      <c r="BQ300" s="16"/>
      <c r="BR300" s="16"/>
      <c r="BS300" s="78">
        <v>2017</v>
      </c>
      <c r="BT300" s="79" t="s">
        <v>42</v>
      </c>
      <c r="BU300" s="15">
        <f t="shared" si="276"/>
        <v>0.85973893012541591</v>
      </c>
      <c r="BV300" s="15">
        <f t="shared" si="277"/>
        <v>0.89525586353944564</v>
      </c>
      <c r="BW300" s="15">
        <f t="shared" si="278"/>
        <v>0.96032761709751724</v>
      </c>
      <c r="BX300" s="16"/>
      <c r="BY300" s="16"/>
      <c r="BZ300" s="16">
        <v>3907</v>
      </c>
      <c r="CA300" s="16">
        <f t="shared" si="335"/>
        <v>155</v>
      </c>
      <c r="CB300" s="16">
        <v>3752</v>
      </c>
      <c r="CC300" s="16">
        <v>3359</v>
      </c>
      <c r="CD300" s="16">
        <f t="shared" si="336"/>
        <v>393</v>
      </c>
      <c r="CE300" s="16"/>
      <c r="CF300" s="16"/>
      <c r="CG300" s="78">
        <v>2017</v>
      </c>
      <c r="CH300" s="79" t="s">
        <v>42</v>
      </c>
      <c r="CI300" s="15"/>
      <c r="CJ300" s="15"/>
      <c r="CK300" s="15"/>
      <c r="CL300" s="35"/>
      <c r="CM300" s="35"/>
      <c r="CN300" s="35"/>
      <c r="CO300" s="35"/>
      <c r="CP300" s="16"/>
      <c r="CQ300" s="16"/>
      <c r="CR300" s="16"/>
      <c r="CS300" s="16"/>
      <c r="CT300" s="16"/>
      <c r="CU300" s="78">
        <v>2017</v>
      </c>
      <c r="CV300" s="79" t="s">
        <v>42</v>
      </c>
      <c r="CW300" s="15">
        <f t="shared" si="282"/>
        <v>0.45776805251641139</v>
      </c>
      <c r="CX300" s="15">
        <f t="shared" si="283"/>
        <v>0.65252651278852147</v>
      </c>
      <c r="CY300" s="15">
        <f t="shared" si="284"/>
        <v>0.70153172866520785</v>
      </c>
      <c r="CZ300" s="16"/>
      <c r="DA300" s="16"/>
      <c r="DB300" s="16">
        <v>2285</v>
      </c>
      <c r="DC300" s="16">
        <f t="shared" si="337"/>
        <v>682</v>
      </c>
      <c r="DD300" s="16">
        <v>1603</v>
      </c>
      <c r="DE300" s="16">
        <v>1046</v>
      </c>
      <c r="DF300" s="16">
        <f t="shared" si="338"/>
        <v>557</v>
      </c>
      <c r="DG300" s="16"/>
      <c r="DH300" s="16"/>
      <c r="DI300" s="78">
        <v>2017</v>
      </c>
      <c r="DJ300" s="79" t="s">
        <v>42</v>
      </c>
      <c r="DK300" s="15">
        <f t="shared" si="287"/>
        <v>0.16666666666666666</v>
      </c>
      <c r="DL300" s="15">
        <f t="shared" si="288"/>
        <v>0.21933962264150944</v>
      </c>
      <c r="DM300" s="15">
        <f t="shared" si="289"/>
        <v>0.75985663082437271</v>
      </c>
      <c r="DN300" s="16"/>
      <c r="DO300" s="16"/>
      <c r="DP300" s="16">
        <v>558</v>
      </c>
      <c r="DQ300" s="16">
        <f t="shared" si="339"/>
        <v>134</v>
      </c>
      <c r="DR300" s="16">
        <v>424</v>
      </c>
      <c r="DS300" s="16">
        <v>93</v>
      </c>
      <c r="DT300" s="16">
        <f t="shared" si="340"/>
        <v>331</v>
      </c>
      <c r="DU300" s="16"/>
      <c r="DV300" s="16"/>
      <c r="DW300" s="78">
        <v>2017</v>
      </c>
      <c r="DX300" s="79" t="s">
        <v>42</v>
      </c>
      <c r="DY300" s="15">
        <f t="shared" si="290"/>
        <v>0.93069306930693074</v>
      </c>
      <c r="DZ300" s="15">
        <f t="shared" si="291"/>
        <v>0.97370517928286848</v>
      </c>
      <c r="EA300" s="15">
        <f t="shared" si="292"/>
        <v>0.95582635186595588</v>
      </c>
      <c r="EB300" s="16"/>
      <c r="EC300" s="16"/>
      <c r="ED300" s="16">
        <v>1313</v>
      </c>
      <c r="EE300" s="16">
        <f t="shared" si="341"/>
        <v>58</v>
      </c>
      <c r="EF300" s="16">
        <v>1255</v>
      </c>
      <c r="EG300" s="16">
        <v>1222</v>
      </c>
      <c r="EH300" s="16">
        <f t="shared" si="342"/>
        <v>33</v>
      </c>
      <c r="EI300" s="16"/>
      <c r="EJ300" s="16"/>
      <c r="EK300" s="78"/>
      <c r="EL300" s="79"/>
      <c r="EM300" s="15"/>
      <c r="EN300" s="15"/>
      <c r="EO300" s="15"/>
      <c r="EP300" s="16"/>
      <c r="EQ300" s="16"/>
      <c r="ER300" s="16"/>
      <c r="ES300" s="16"/>
      <c r="ET300" s="16"/>
      <c r="EU300" s="16"/>
      <c r="EV300" s="16"/>
      <c r="EW300" s="16"/>
      <c r="EX300" s="16"/>
      <c r="EY300" s="78"/>
      <c r="EZ300" s="79"/>
      <c r="FA300" s="15"/>
      <c r="FB300" s="15"/>
      <c r="FC300" s="15"/>
      <c r="FD300" s="16"/>
      <c r="FE300" s="16"/>
      <c r="FF300" s="16"/>
      <c r="FG300" s="16"/>
      <c r="FH300" s="16"/>
      <c r="FI300" s="16"/>
      <c r="FJ300" s="16"/>
      <c r="FK300" s="16"/>
      <c r="FM300" s="78"/>
      <c r="FN300" s="79"/>
      <c r="FO300" s="15"/>
      <c r="FP300" s="15"/>
      <c r="FQ300" s="15"/>
      <c r="FR300" s="16"/>
      <c r="FS300" s="16"/>
      <c r="FT300" s="16"/>
      <c r="FU300" s="16"/>
      <c r="FV300" s="16"/>
      <c r="FW300" s="16"/>
      <c r="FX300" s="16"/>
      <c r="FY300" s="16"/>
      <c r="GA300" s="78"/>
      <c r="GB300" s="79"/>
      <c r="GC300" s="15"/>
      <c r="GD300" s="15"/>
      <c r="GE300" s="15"/>
      <c r="GF300" s="16"/>
      <c r="GG300" s="16"/>
      <c r="GH300" s="16"/>
      <c r="GI300" s="16"/>
      <c r="GJ300" s="16"/>
      <c r="GK300" s="16"/>
      <c r="GL300" s="16"/>
      <c r="GM300" s="16"/>
    </row>
    <row r="301" spans="1:195" s="18" customFormat="1" ht="15" customHeight="1">
      <c r="A301" s="80">
        <v>2017</v>
      </c>
      <c r="B301" s="81" t="s">
        <v>43</v>
      </c>
      <c r="C301" s="15">
        <f t="shared" si="293"/>
        <v>0.84656033820138354</v>
      </c>
      <c r="D301" s="15">
        <f t="shared" si="294"/>
        <v>0.90327541134860834</v>
      </c>
      <c r="E301" s="15">
        <f t="shared" si="295"/>
        <v>0.9372117601844735</v>
      </c>
      <c r="F301" s="16"/>
      <c r="G301" s="33"/>
      <c r="H30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20816</v>
      </c>
      <c r="I301" s="16">
        <f t="shared" si="296"/>
        <v>1307</v>
      </c>
      <c r="J30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19509</v>
      </c>
      <c r="K30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17622</v>
      </c>
      <c r="L301" s="16">
        <f t="shared" si="297"/>
        <v>1887</v>
      </c>
      <c r="M301" s="16"/>
      <c r="N301" s="16"/>
      <c r="O301" s="80">
        <v>2017</v>
      </c>
      <c r="P301" s="81" t="s">
        <v>43</v>
      </c>
      <c r="Q301" s="15">
        <f t="shared" si="270"/>
        <v>0.90069180986386965</v>
      </c>
      <c r="R301" s="15">
        <f t="shared" si="271"/>
        <v>0.90757814256802338</v>
      </c>
      <c r="S301" s="15">
        <f t="shared" si="272"/>
        <v>0.99241240794465524</v>
      </c>
      <c r="T301" s="26"/>
      <c r="U301" s="26"/>
      <c r="V301" s="16">
        <v>4481</v>
      </c>
      <c r="W301" s="16">
        <f t="shared" si="329"/>
        <v>34</v>
      </c>
      <c r="X301" s="16">
        <v>4447</v>
      </c>
      <c r="Y301" s="16">
        <v>4036</v>
      </c>
      <c r="Z301" s="16">
        <f t="shared" si="330"/>
        <v>411</v>
      </c>
      <c r="AA301" s="16"/>
      <c r="AB301" s="16"/>
      <c r="AC301" s="80"/>
      <c r="AD301" s="81"/>
      <c r="AE301" s="15"/>
      <c r="AF301" s="15"/>
      <c r="AG301" s="15"/>
      <c r="AH301" s="15"/>
      <c r="AI301" s="15"/>
      <c r="AJ301" s="16"/>
      <c r="AK301" s="16"/>
      <c r="AL301" s="16"/>
      <c r="AM301" s="16"/>
      <c r="AN301" s="16"/>
      <c r="AO301" s="16"/>
      <c r="AP301" s="16"/>
      <c r="AQ301" s="80">
        <v>2017</v>
      </c>
      <c r="AR301" s="81" t="s">
        <v>43</v>
      </c>
      <c r="AS301" s="15">
        <f t="shared" si="273"/>
        <v>0.95129442738043002</v>
      </c>
      <c r="AT301" s="15">
        <f t="shared" si="274"/>
        <v>0.96677814938684503</v>
      </c>
      <c r="AU301" s="15">
        <f t="shared" si="275"/>
        <v>0.98398420359806937</v>
      </c>
      <c r="AV301" s="16"/>
      <c r="AW301" s="16"/>
      <c r="AX301" s="16">
        <v>4558</v>
      </c>
      <c r="AY301" s="16">
        <f t="shared" si="331"/>
        <v>73</v>
      </c>
      <c r="AZ301" s="16">
        <v>4485</v>
      </c>
      <c r="BA301" s="16">
        <v>4336</v>
      </c>
      <c r="BB301" s="16">
        <f t="shared" si="332"/>
        <v>149</v>
      </c>
      <c r="BC301" s="16"/>
      <c r="BD301" s="16"/>
      <c r="BE301" s="80">
        <v>2017</v>
      </c>
      <c r="BF301" s="81" t="s">
        <v>43</v>
      </c>
      <c r="BG301" s="15">
        <f t="shared" si="310"/>
        <v>0.89903069466882068</v>
      </c>
      <c r="BH301" s="15">
        <f t="shared" si="311"/>
        <v>0.95372750642673521</v>
      </c>
      <c r="BI301" s="15">
        <f t="shared" si="312"/>
        <v>0.9426494345718901</v>
      </c>
      <c r="BJ301" s="16"/>
      <c r="BK301" s="16"/>
      <c r="BL301" s="16">
        <v>3714</v>
      </c>
      <c r="BM301" s="16">
        <f t="shared" si="333"/>
        <v>213</v>
      </c>
      <c r="BN301" s="16">
        <v>3501</v>
      </c>
      <c r="BO301" s="16">
        <v>3339</v>
      </c>
      <c r="BP301" s="16">
        <f t="shared" si="334"/>
        <v>162</v>
      </c>
      <c r="BQ301" s="16"/>
      <c r="BR301" s="16"/>
      <c r="BS301" s="80">
        <v>2017</v>
      </c>
      <c r="BT301" s="81" t="s">
        <v>43</v>
      </c>
      <c r="BU301" s="15">
        <f t="shared" si="276"/>
        <v>0.89403634502175577</v>
      </c>
      <c r="BV301" s="15">
        <f t="shared" si="277"/>
        <v>0.9287423557564477</v>
      </c>
      <c r="BW301" s="15">
        <f t="shared" si="278"/>
        <v>0.96263117481443561</v>
      </c>
      <c r="BX301" s="16"/>
      <c r="BY301" s="16"/>
      <c r="BZ301" s="16">
        <v>3907</v>
      </c>
      <c r="CA301" s="16">
        <f t="shared" si="335"/>
        <v>146</v>
      </c>
      <c r="CB301" s="16">
        <v>3761</v>
      </c>
      <c r="CC301" s="16">
        <v>3493</v>
      </c>
      <c r="CD301" s="16">
        <f t="shared" si="336"/>
        <v>268</v>
      </c>
      <c r="CE301" s="16"/>
      <c r="CF301" s="16"/>
      <c r="CG301" s="80">
        <v>2017</v>
      </c>
      <c r="CH301" s="81" t="s">
        <v>43</v>
      </c>
      <c r="CI301" s="15"/>
      <c r="CJ301" s="15"/>
      <c r="CK301" s="15"/>
      <c r="CL301" s="35"/>
      <c r="CM301" s="35"/>
      <c r="CN301" s="35"/>
      <c r="CO301" s="35"/>
      <c r="CP301" s="16"/>
      <c r="CQ301" s="16"/>
      <c r="CR301" s="16"/>
      <c r="CS301" s="16"/>
      <c r="CT301" s="16"/>
      <c r="CU301" s="80">
        <v>2017</v>
      </c>
      <c r="CV301" s="81" t="s">
        <v>43</v>
      </c>
      <c r="CW301" s="15">
        <f t="shared" si="282"/>
        <v>0.48227571115973744</v>
      </c>
      <c r="CX301" s="15">
        <f t="shared" si="283"/>
        <v>0.66990881458966567</v>
      </c>
      <c r="CY301" s="15">
        <f t="shared" si="284"/>
        <v>0.71991247264770242</v>
      </c>
      <c r="CZ301" s="16"/>
      <c r="DA301" s="16"/>
      <c r="DB301" s="16">
        <v>2285</v>
      </c>
      <c r="DC301" s="16">
        <f t="shared" si="337"/>
        <v>640</v>
      </c>
      <c r="DD301" s="16">
        <v>1645</v>
      </c>
      <c r="DE301" s="16">
        <v>1102</v>
      </c>
      <c r="DF301" s="16">
        <f t="shared" si="338"/>
        <v>543</v>
      </c>
      <c r="DG301" s="16"/>
      <c r="DH301" s="16"/>
      <c r="DI301" s="80">
        <v>2017</v>
      </c>
      <c r="DJ301" s="81" t="s">
        <v>43</v>
      </c>
      <c r="DK301" s="15">
        <f t="shared" si="287"/>
        <v>0.17204301075268819</v>
      </c>
      <c r="DL301" s="15">
        <f t="shared" si="288"/>
        <v>0.22911694510739858</v>
      </c>
      <c r="DM301" s="15">
        <f t="shared" si="289"/>
        <v>0.75089605734767029</v>
      </c>
      <c r="DN301" s="16"/>
      <c r="DO301" s="16"/>
      <c r="DP301" s="16">
        <v>558</v>
      </c>
      <c r="DQ301" s="16">
        <f t="shared" si="339"/>
        <v>139</v>
      </c>
      <c r="DR301" s="16">
        <v>419</v>
      </c>
      <c r="DS301" s="16">
        <v>96</v>
      </c>
      <c r="DT301" s="16">
        <f t="shared" si="340"/>
        <v>323</v>
      </c>
      <c r="DU301" s="16"/>
      <c r="DV301" s="16"/>
      <c r="DW301" s="80">
        <v>2017</v>
      </c>
      <c r="DX301" s="81" t="s">
        <v>43</v>
      </c>
      <c r="DY301" s="15">
        <f t="shared" si="290"/>
        <v>0.92916984006092918</v>
      </c>
      <c r="DZ301" s="15">
        <f t="shared" si="291"/>
        <v>0.97521982414068742</v>
      </c>
      <c r="EA301" s="15">
        <f t="shared" si="292"/>
        <v>0.95277989337395275</v>
      </c>
      <c r="EB301" s="16"/>
      <c r="EC301" s="16"/>
      <c r="ED301" s="16">
        <v>1313</v>
      </c>
      <c r="EE301" s="16">
        <f t="shared" si="341"/>
        <v>62</v>
      </c>
      <c r="EF301" s="16">
        <v>1251</v>
      </c>
      <c r="EG301" s="16">
        <v>1220</v>
      </c>
      <c r="EH301" s="16">
        <f t="shared" si="342"/>
        <v>31</v>
      </c>
      <c r="EI301" s="16"/>
      <c r="EJ301" s="16"/>
      <c r="EK301" s="80"/>
      <c r="EL301" s="81"/>
      <c r="EM301" s="15"/>
      <c r="EN301" s="15"/>
      <c r="EO301" s="15"/>
      <c r="EP301" s="16"/>
      <c r="EQ301" s="16"/>
      <c r="ER301" s="16"/>
      <c r="ES301" s="16"/>
      <c r="ET301" s="16"/>
      <c r="EU301" s="16"/>
      <c r="EV301" s="16"/>
      <c r="EW301" s="16"/>
      <c r="EX301" s="16"/>
      <c r="EY301" s="80"/>
      <c r="EZ301" s="81"/>
      <c r="FA301" s="15"/>
      <c r="FB301" s="15"/>
      <c r="FC301" s="15"/>
      <c r="FD301" s="16"/>
      <c r="FE301" s="16"/>
      <c r="FF301" s="16"/>
      <c r="FG301" s="16"/>
      <c r="FH301" s="16"/>
      <c r="FI301" s="16"/>
      <c r="FJ301" s="16"/>
      <c r="FK301" s="16"/>
      <c r="FM301" s="80"/>
      <c r="FN301" s="81"/>
      <c r="FO301" s="15"/>
      <c r="FP301" s="15"/>
      <c r="FQ301" s="15"/>
      <c r="FR301" s="16"/>
      <c r="FS301" s="16"/>
      <c r="FT301" s="16"/>
      <c r="FU301" s="16"/>
      <c r="FV301" s="16"/>
      <c r="FW301" s="16"/>
      <c r="FX301" s="16"/>
      <c r="FY301" s="16"/>
      <c r="GA301" s="80"/>
      <c r="GB301" s="81"/>
      <c r="GC301" s="15"/>
      <c r="GD301" s="15"/>
      <c r="GE301" s="15"/>
      <c r="GF301" s="16"/>
      <c r="GG301" s="16"/>
      <c r="GH301" s="16"/>
      <c r="GI301" s="16"/>
      <c r="GJ301" s="16"/>
      <c r="GK301" s="16"/>
      <c r="GL301" s="16"/>
      <c r="GM301" s="16"/>
    </row>
    <row r="302" spans="1:195" s="18" customFormat="1" ht="15" customHeight="1">
      <c r="A302" s="78">
        <v>2017</v>
      </c>
      <c r="B302" s="79" t="s">
        <v>44</v>
      </c>
      <c r="C302" s="15">
        <f t="shared" si="293"/>
        <v>0.83901840490797541</v>
      </c>
      <c r="D302" s="15">
        <f t="shared" si="294"/>
        <v>0.91008304940374785</v>
      </c>
      <c r="E302" s="15">
        <f t="shared" si="295"/>
        <v>0.92191411042944782</v>
      </c>
      <c r="F302" s="16"/>
      <c r="G302" s="33"/>
      <c r="H30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20375</v>
      </c>
      <c r="I302" s="16">
        <f t="shared" si="296"/>
        <v>1591</v>
      </c>
      <c r="J30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18784</v>
      </c>
      <c r="K30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17095</v>
      </c>
      <c r="L302" s="16">
        <f t="shared" si="297"/>
        <v>1689</v>
      </c>
      <c r="M302" s="16"/>
      <c r="N302" s="16"/>
      <c r="O302" s="78">
        <v>2017</v>
      </c>
      <c r="P302" s="79" t="s">
        <v>44</v>
      </c>
      <c r="Q302" s="15">
        <f t="shared" si="270"/>
        <v>0.89346136259716502</v>
      </c>
      <c r="R302" s="15">
        <f t="shared" si="271"/>
        <v>0.90989522700814907</v>
      </c>
      <c r="S302" s="15">
        <f t="shared" si="272"/>
        <v>0.98193872885230915</v>
      </c>
      <c r="T302" s="26"/>
      <c r="U302" s="26"/>
      <c r="V302" s="16">
        <v>4374</v>
      </c>
      <c r="W302" s="16">
        <f t="shared" si="329"/>
        <v>79</v>
      </c>
      <c r="X302" s="16">
        <v>4295</v>
      </c>
      <c r="Y302" s="16">
        <v>3908</v>
      </c>
      <c r="Z302" s="16">
        <f t="shared" si="330"/>
        <v>387</v>
      </c>
      <c r="AA302" s="16"/>
      <c r="AB302" s="16"/>
      <c r="AC302" s="78"/>
      <c r="AD302" s="79"/>
      <c r="AE302" s="15"/>
      <c r="AF302" s="15"/>
      <c r="AG302" s="15"/>
      <c r="AH302" s="15"/>
      <c r="AI302" s="15"/>
      <c r="AJ302" s="16"/>
      <c r="AK302" s="16"/>
      <c r="AL302" s="16"/>
      <c r="AM302" s="16"/>
      <c r="AN302" s="16"/>
      <c r="AO302" s="16"/>
      <c r="AP302" s="16"/>
      <c r="AQ302" s="78">
        <v>2017</v>
      </c>
      <c r="AR302" s="79" t="s">
        <v>44</v>
      </c>
      <c r="AS302" s="15">
        <f t="shared" si="273"/>
        <v>0.95229522952295231</v>
      </c>
      <c r="AT302" s="15">
        <f t="shared" si="274"/>
        <v>0.97041962852556751</v>
      </c>
      <c r="AU302" s="15">
        <f t="shared" si="275"/>
        <v>0.98132313231323132</v>
      </c>
      <c r="AV302" s="16"/>
      <c r="AW302" s="16"/>
      <c r="AX302" s="16">
        <v>4444</v>
      </c>
      <c r="AY302" s="16">
        <f t="shared" si="331"/>
        <v>83</v>
      </c>
      <c r="AZ302" s="16">
        <v>4361</v>
      </c>
      <c r="BA302" s="16">
        <v>4232</v>
      </c>
      <c r="BB302" s="16">
        <f t="shared" si="332"/>
        <v>129</v>
      </c>
      <c r="BC302" s="16"/>
      <c r="BD302" s="16"/>
      <c r="BE302" s="78">
        <v>2017</v>
      </c>
      <c r="BF302" s="79" t="s">
        <v>44</v>
      </c>
      <c r="BG302" s="15">
        <f t="shared" si="310"/>
        <v>0.82897926205224881</v>
      </c>
      <c r="BH302" s="15">
        <f t="shared" si="311"/>
        <v>0.94330370824394727</v>
      </c>
      <c r="BI302" s="15">
        <f t="shared" si="312"/>
        <v>0.87880420145434957</v>
      </c>
      <c r="BJ302" s="16"/>
      <c r="BK302" s="16"/>
      <c r="BL302" s="16">
        <v>3713</v>
      </c>
      <c r="BM302" s="16">
        <f t="shared" si="333"/>
        <v>450</v>
      </c>
      <c r="BN302" s="16">
        <v>3263</v>
      </c>
      <c r="BO302" s="16">
        <v>3078</v>
      </c>
      <c r="BP302" s="16">
        <f t="shared" si="334"/>
        <v>185</v>
      </c>
      <c r="BQ302" s="16"/>
      <c r="BR302" s="16"/>
      <c r="BS302" s="78">
        <v>2017</v>
      </c>
      <c r="BT302" s="79" t="s">
        <v>44</v>
      </c>
      <c r="BU302" s="15">
        <f t="shared" si="276"/>
        <v>0.90608604407135362</v>
      </c>
      <c r="BV302" s="15">
        <f t="shared" si="277"/>
        <v>0.94217130387343151</v>
      </c>
      <c r="BW302" s="15">
        <f t="shared" si="278"/>
        <v>0.96169989506820563</v>
      </c>
      <c r="BX302" s="16"/>
      <c r="BY302" s="16"/>
      <c r="BZ302" s="16">
        <v>3812</v>
      </c>
      <c r="CA302" s="16">
        <f t="shared" si="335"/>
        <v>146</v>
      </c>
      <c r="CB302" s="16">
        <v>3666</v>
      </c>
      <c r="CC302" s="16">
        <v>3454</v>
      </c>
      <c r="CD302" s="16">
        <f t="shared" si="336"/>
        <v>212</v>
      </c>
      <c r="CE302" s="16"/>
      <c r="CF302" s="16"/>
      <c r="CG302" s="78">
        <v>2017</v>
      </c>
      <c r="CH302" s="79" t="s">
        <v>44</v>
      </c>
      <c r="CI302" s="15"/>
      <c r="CJ302" s="15"/>
      <c r="CK302" s="15"/>
      <c r="CL302" s="35"/>
      <c r="CM302" s="35"/>
      <c r="CN302" s="35"/>
      <c r="CO302" s="35"/>
      <c r="CP302" s="16"/>
      <c r="CQ302" s="16"/>
      <c r="CR302" s="16"/>
      <c r="CS302" s="16"/>
      <c r="CT302" s="16"/>
      <c r="CU302" s="78">
        <v>2017</v>
      </c>
      <c r="CV302" s="79" t="s">
        <v>44</v>
      </c>
      <c r="CW302" s="15">
        <f t="shared" si="282"/>
        <v>0.52840396753832286</v>
      </c>
      <c r="CX302" s="15">
        <f t="shared" si="283"/>
        <v>0.7297633872976339</v>
      </c>
      <c r="CY302" s="15">
        <f t="shared" si="284"/>
        <v>0.72407574391343554</v>
      </c>
      <c r="CZ302" s="16"/>
      <c r="DA302" s="16"/>
      <c r="DB302" s="16">
        <v>2218</v>
      </c>
      <c r="DC302" s="16">
        <f t="shared" si="337"/>
        <v>612</v>
      </c>
      <c r="DD302" s="16">
        <v>1606</v>
      </c>
      <c r="DE302" s="16">
        <v>1172</v>
      </c>
      <c r="DF302" s="16">
        <f t="shared" si="338"/>
        <v>434</v>
      </c>
      <c r="DG302" s="16"/>
      <c r="DH302" s="16"/>
      <c r="DI302" s="78">
        <v>2017</v>
      </c>
      <c r="DJ302" s="79" t="s">
        <v>44</v>
      </c>
      <c r="DK302" s="15">
        <f t="shared" si="287"/>
        <v>0.15185185185185185</v>
      </c>
      <c r="DL302" s="15">
        <f t="shared" si="288"/>
        <v>0.21188630490956073</v>
      </c>
      <c r="DM302" s="15">
        <f t="shared" si="289"/>
        <v>0.71666666666666667</v>
      </c>
      <c r="DN302" s="16"/>
      <c r="DO302" s="16"/>
      <c r="DP302" s="16">
        <v>540</v>
      </c>
      <c r="DQ302" s="16">
        <f t="shared" si="339"/>
        <v>153</v>
      </c>
      <c r="DR302" s="16">
        <v>387</v>
      </c>
      <c r="DS302" s="16">
        <v>82</v>
      </c>
      <c r="DT302" s="16">
        <f t="shared" si="340"/>
        <v>305</v>
      </c>
      <c r="DU302" s="16"/>
      <c r="DV302" s="16"/>
      <c r="DW302" s="78">
        <v>2017</v>
      </c>
      <c r="DX302" s="79" t="s">
        <v>44</v>
      </c>
      <c r="DY302" s="15">
        <f t="shared" si="290"/>
        <v>0.91758241758241754</v>
      </c>
      <c r="DZ302" s="15">
        <f t="shared" si="291"/>
        <v>0.96932006633499168</v>
      </c>
      <c r="EA302" s="15">
        <f t="shared" si="292"/>
        <v>0.94662480376766089</v>
      </c>
      <c r="EB302" s="16"/>
      <c r="EC302" s="16"/>
      <c r="ED302" s="16">
        <v>1274</v>
      </c>
      <c r="EE302" s="16">
        <f t="shared" si="341"/>
        <v>68</v>
      </c>
      <c r="EF302" s="16">
        <v>1206</v>
      </c>
      <c r="EG302" s="16">
        <v>1169</v>
      </c>
      <c r="EH302" s="16">
        <f t="shared" si="342"/>
        <v>37</v>
      </c>
      <c r="EI302" s="16"/>
      <c r="EJ302" s="16"/>
      <c r="EK302" s="78"/>
      <c r="EL302" s="79"/>
      <c r="EM302" s="15"/>
      <c r="EN302" s="15"/>
      <c r="EO302" s="15"/>
      <c r="EP302" s="16"/>
      <c r="EQ302" s="16"/>
      <c r="ER302" s="16"/>
      <c r="ES302" s="16"/>
      <c r="ET302" s="16"/>
      <c r="EU302" s="16"/>
      <c r="EV302" s="16"/>
      <c r="EW302" s="16"/>
      <c r="EX302" s="16"/>
      <c r="EY302" s="78"/>
      <c r="EZ302" s="79"/>
      <c r="FA302" s="15"/>
      <c r="FB302" s="15"/>
      <c r="FC302" s="15"/>
      <c r="FD302" s="16"/>
      <c r="FE302" s="16"/>
      <c r="FF302" s="16"/>
      <c r="FG302" s="16"/>
      <c r="FH302" s="16"/>
      <c r="FI302" s="16"/>
      <c r="FJ302" s="16"/>
      <c r="FK302" s="16"/>
      <c r="FM302" s="78"/>
      <c r="FN302" s="79"/>
      <c r="FO302" s="15"/>
      <c r="FP302" s="15"/>
      <c r="FQ302" s="15"/>
      <c r="FR302" s="16"/>
      <c r="FS302" s="16"/>
      <c r="FT302" s="16"/>
      <c r="FU302" s="16"/>
      <c r="FV302" s="16"/>
      <c r="FW302" s="16"/>
      <c r="FX302" s="16"/>
      <c r="FY302" s="16"/>
      <c r="GA302" s="78"/>
      <c r="GB302" s="79"/>
      <c r="GC302" s="15"/>
      <c r="GD302" s="15"/>
      <c r="GE302" s="15"/>
      <c r="GF302" s="16"/>
      <c r="GG302" s="16"/>
      <c r="GH302" s="16"/>
      <c r="GI302" s="16"/>
      <c r="GJ302" s="16"/>
      <c r="GK302" s="16"/>
      <c r="GL302" s="16"/>
      <c r="GM302" s="16"/>
    </row>
    <row r="303" spans="1:195" s="18" customFormat="1" ht="15" customHeight="1">
      <c r="A303" s="80">
        <v>2017</v>
      </c>
      <c r="B303" s="81" t="s">
        <v>45</v>
      </c>
      <c r="C303" s="15">
        <f t="shared" si="293"/>
        <v>0.85884662576687121</v>
      </c>
      <c r="D303" s="15">
        <f t="shared" si="294"/>
        <v>0.91998317648914363</v>
      </c>
      <c r="E303" s="15">
        <f t="shared" si="295"/>
        <v>0.93354601226993861</v>
      </c>
      <c r="F303" s="16"/>
      <c r="G303" s="33"/>
      <c r="H30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20375</v>
      </c>
      <c r="I303" s="16">
        <f t="shared" si="296"/>
        <v>1354</v>
      </c>
      <c r="J30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19021</v>
      </c>
      <c r="K30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17499</v>
      </c>
      <c r="L303" s="16">
        <f t="shared" si="297"/>
        <v>1522</v>
      </c>
      <c r="M303" s="16"/>
      <c r="N303" s="16"/>
      <c r="O303" s="80">
        <v>2017</v>
      </c>
      <c r="P303" s="81" t="s">
        <v>45</v>
      </c>
      <c r="Q303" s="15">
        <f t="shared" si="270"/>
        <v>0.86193252811328613</v>
      </c>
      <c r="R303" s="15">
        <f t="shared" si="271"/>
        <v>0.91047074351077872</v>
      </c>
      <c r="S303" s="15">
        <f t="shared" si="272"/>
        <v>0.94668887963348602</v>
      </c>
      <c r="T303" s="26"/>
      <c r="U303" s="26"/>
      <c r="V303" s="16">
        <v>4802</v>
      </c>
      <c r="W303" s="16">
        <f t="shared" si="329"/>
        <v>256</v>
      </c>
      <c r="X303" s="16">
        <v>4546</v>
      </c>
      <c r="Y303" s="16">
        <v>4139</v>
      </c>
      <c r="Z303" s="16">
        <f t="shared" si="330"/>
        <v>407</v>
      </c>
      <c r="AA303" s="16"/>
      <c r="AB303" s="16"/>
      <c r="AC303" s="80"/>
      <c r="AD303" s="81"/>
      <c r="AE303" s="15"/>
      <c r="AF303" s="15"/>
      <c r="AG303" s="15"/>
      <c r="AH303" s="15"/>
      <c r="AI303" s="15"/>
      <c r="AJ303" s="16"/>
      <c r="AK303" s="16"/>
      <c r="AL303" s="16"/>
      <c r="AM303" s="16"/>
      <c r="AN303" s="16"/>
      <c r="AO303" s="16"/>
      <c r="AP303" s="16"/>
      <c r="AQ303" s="80">
        <v>2017</v>
      </c>
      <c r="AR303" s="81" t="s">
        <v>45</v>
      </c>
      <c r="AS303" s="15">
        <f t="shared" si="273"/>
        <v>0.93398101126076394</v>
      </c>
      <c r="AT303" s="15">
        <f t="shared" si="274"/>
        <v>0.96487226277372262</v>
      </c>
      <c r="AU303" s="15">
        <f t="shared" si="275"/>
        <v>0.96798410245087219</v>
      </c>
      <c r="AV303" s="16"/>
      <c r="AW303" s="16"/>
      <c r="AX303" s="16">
        <v>4529</v>
      </c>
      <c r="AY303" s="16">
        <f t="shared" si="331"/>
        <v>145</v>
      </c>
      <c r="AZ303" s="16">
        <v>4384</v>
      </c>
      <c r="BA303" s="16">
        <v>4230</v>
      </c>
      <c r="BB303" s="16">
        <f t="shared" si="332"/>
        <v>154</v>
      </c>
      <c r="BC303" s="16"/>
      <c r="BD303" s="16"/>
      <c r="BE303" s="80">
        <v>2017</v>
      </c>
      <c r="BF303" s="81" t="s">
        <v>45</v>
      </c>
      <c r="BG303" s="15">
        <f t="shared" si="310"/>
        <v>0.81220423412204235</v>
      </c>
      <c r="BH303" s="15">
        <f t="shared" si="311"/>
        <v>0.86659580122242896</v>
      </c>
      <c r="BI303" s="15">
        <f t="shared" si="312"/>
        <v>0.93723536737235369</v>
      </c>
      <c r="BJ303" s="16"/>
      <c r="BK303" s="16"/>
      <c r="BL303" s="16">
        <v>4015</v>
      </c>
      <c r="BM303" s="16">
        <f t="shared" si="333"/>
        <v>252</v>
      </c>
      <c r="BN303" s="16">
        <v>3763</v>
      </c>
      <c r="BO303" s="16">
        <v>3261</v>
      </c>
      <c r="BP303" s="16">
        <f t="shared" si="334"/>
        <v>502</v>
      </c>
      <c r="BQ303" s="19" t="s">
        <v>57</v>
      </c>
      <c r="BR303" s="16"/>
      <c r="BS303" s="80">
        <v>2017</v>
      </c>
      <c r="BT303" s="81" t="s">
        <v>45</v>
      </c>
      <c r="BU303" s="15">
        <f t="shared" si="276"/>
        <v>0.80741316744427161</v>
      </c>
      <c r="BV303" s="15">
        <f t="shared" si="277"/>
        <v>0.91322192905306365</v>
      </c>
      <c r="BW303" s="15">
        <f t="shared" si="278"/>
        <v>0.88413685847589429</v>
      </c>
      <c r="BX303" s="16"/>
      <c r="BY303" s="16"/>
      <c r="BZ303" s="16">
        <v>3858</v>
      </c>
      <c r="CA303" s="16">
        <f t="shared" si="335"/>
        <v>447</v>
      </c>
      <c r="CB303" s="16">
        <v>3411</v>
      </c>
      <c r="CC303" s="16">
        <v>3115</v>
      </c>
      <c r="CD303" s="16">
        <f t="shared" si="336"/>
        <v>296</v>
      </c>
      <c r="CE303" s="19" t="s">
        <v>62</v>
      </c>
      <c r="CF303" s="16"/>
      <c r="CG303" s="80">
        <v>2017</v>
      </c>
      <c r="CH303" s="81" t="s">
        <v>45</v>
      </c>
      <c r="CI303" s="15"/>
      <c r="CJ303" s="15"/>
      <c r="CK303" s="15"/>
      <c r="CL303" s="35"/>
      <c r="CM303" s="35"/>
      <c r="CN303" s="35"/>
      <c r="CO303" s="35"/>
      <c r="CP303" s="16"/>
      <c r="CQ303" s="16"/>
      <c r="CR303" s="16"/>
      <c r="CS303" s="16"/>
      <c r="CT303" s="16"/>
      <c r="CU303" s="80">
        <v>2017</v>
      </c>
      <c r="CV303" s="81" t="s">
        <v>45</v>
      </c>
      <c r="CW303" s="15">
        <f t="shared" si="282"/>
        <v>0.88782051282051277</v>
      </c>
      <c r="CX303" s="15">
        <f t="shared" si="283"/>
        <v>0.92719665271966523</v>
      </c>
      <c r="CY303" s="15">
        <f t="shared" si="284"/>
        <v>0.95753205128205132</v>
      </c>
      <c r="CZ303" s="16"/>
      <c r="DA303" s="16"/>
      <c r="DB303" s="16">
        <v>1248</v>
      </c>
      <c r="DC303" s="16">
        <f t="shared" si="337"/>
        <v>53</v>
      </c>
      <c r="DD303" s="16">
        <v>1195</v>
      </c>
      <c r="DE303" s="16">
        <v>1108</v>
      </c>
      <c r="DF303" s="16">
        <f t="shared" si="338"/>
        <v>87</v>
      </c>
      <c r="DG303" s="19" t="s">
        <v>91</v>
      </c>
      <c r="DH303" s="16"/>
      <c r="DI303" s="80">
        <v>2017</v>
      </c>
      <c r="DJ303" s="81" t="s">
        <v>45</v>
      </c>
      <c r="DK303" s="15">
        <f t="shared" si="287"/>
        <v>0.76384364820846906</v>
      </c>
      <c r="DL303" s="15">
        <f t="shared" si="288"/>
        <v>0.91423001949317739</v>
      </c>
      <c r="DM303" s="15">
        <f t="shared" si="289"/>
        <v>0.83550488599348538</v>
      </c>
      <c r="DN303" s="16"/>
      <c r="DO303" s="16"/>
      <c r="DP303" s="16">
        <v>614</v>
      </c>
      <c r="DQ303" s="16">
        <f t="shared" si="339"/>
        <v>101</v>
      </c>
      <c r="DR303" s="16">
        <v>513</v>
      </c>
      <c r="DS303" s="16">
        <v>469</v>
      </c>
      <c r="DT303" s="16">
        <f t="shared" si="340"/>
        <v>44</v>
      </c>
      <c r="DU303" s="16"/>
      <c r="DV303" s="16"/>
      <c r="DW303" s="80">
        <v>2017</v>
      </c>
      <c r="DX303" s="81" t="s">
        <v>45</v>
      </c>
      <c r="DY303" s="15">
        <f t="shared" si="290"/>
        <v>0.89915966386554624</v>
      </c>
      <c r="DZ303" s="15">
        <f t="shared" si="291"/>
        <v>0.97353184449958641</v>
      </c>
      <c r="EA303" s="15">
        <f t="shared" si="292"/>
        <v>0.92360580595874708</v>
      </c>
      <c r="EB303" s="16"/>
      <c r="EC303" s="16"/>
      <c r="ED303" s="16">
        <v>1309</v>
      </c>
      <c r="EE303" s="16">
        <f t="shared" si="341"/>
        <v>100</v>
      </c>
      <c r="EF303" s="16">
        <v>1209</v>
      </c>
      <c r="EG303" s="16">
        <v>1177</v>
      </c>
      <c r="EH303" s="16">
        <f t="shared" si="342"/>
        <v>32</v>
      </c>
      <c r="EI303" s="16"/>
      <c r="EJ303" s="16"/>
      <c r="EK303" s="80"/>
      <c r="EL303" s="81"/>
      <c r="EM303" s="15"/>
      <c r="EN303" s="15"/>
      <c r="EO303" s="15"/>
      <c r="EP303" s="16"/>
      <c r="EQ303" s="16"/>
      <c r="ER303" s="16"/>
      <c r="ES303" s="16"/>
      <c r="ET303" s="16"/>
      <c r="EU303" s="16"/>
      <c r="EV303" s="16"/>
      <c r="EW303" s="16"/>
      <c r="EX303" s="16"/>
      <c r="EY303" s="80"/>
      <c r="EZ303" s="81"/>
      <c r="FA303" s="15"/>
      <c r="FB303" s="15"/>
      <c r="FC303" s="15"/>
      <c r="FD303" s="16"/>
      <c r="FE303" s="16"/>
      <c r="FF303" s="16"/>
      <c r="FG303" s="16"/>
      <c r="FH303" s="16"/>
      <c r="FI303" s="16"/>
      <c r="FJ303" s="16"/>
      <c r="FK303" s="16"/>
      <c r="FM303" s="80"/>
      <c r="FN303" s="81"/>
      <c r="FO303" s="15"/>
      <c r="FP303" s="15"/>
      <c r="FQ303" s="15"/>
      <c r="FR303" s="16"/>
      <c r="FS303" s="16"/>
      <c r="FT303" s="16"/>
      <c r="FU303" s="16"/>
      <c r="FV303" s="16"/>
      <c r="FW303" s="16"/>
      <c r="FX303" s="16"/>
      <c r="FY303" s="16"/>
      <c r="GA303" s="80"/>
      <c r="GB303" s="81"/>
      <c r="GC303" s="15"/>
      <c r="GD303" s="15"/>
      <c r="GE303" s="15"/>
      <c r="GF303" s="16"/>
      <c r="GG303" s="16"/>
      <c r="GH303" s="16"/>
      <c r="GI303" s="16"/>
      <c r="GJ303" s="16"/>
      <c r="GK303" s="16"/>
      <c r="GL303" s="16"/>
      <c r="GM303" s="16"/>
    </row>
    <row r="304" spans="1:195" s="18" customFormat="1" ht="15" customHeight="1">
      <c r="A304" s="78">
        <v>2017</v>
      </c>
      <c r="B304" s="79" t="s">
        <v>46</v>
      </c>
      <c r="C304" s="15">
        <f t="shared" si="293"/>
        <v>0.894425550791069</v>
      </c>
      <c r="D304" s="15">
        <f t="shared" si="294"/>
        <v>0.92980478557155299</v>
      </c>
      <c r="E304" s="15">
        <f t="shared" si="295"/>
        <v>0.96194982502834048</v>
      </c>
      <c r="F304" s="16"/>
      <c r="G304" s="33"/>
      <c r="H30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20289</v>
      </c>
      <c r="I304" s="16">
        <f t="shared" si="296"/>
        <v>772</v>
      </c>
      <c r="J30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19517</v>
      </c>
      <c r="K30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18147</v>
      </c>
      <c r="L304" s="16">
        <f t="shared" si="297"/>
        <v>1370</v>
      </c>
      <c r="M304" s="16"/>
      <c r="N304" s="16"/>
      <c r="O304" s="78">
        <v>2017</v>
      </c>
      <c r="P304" s="79" t="s">
        <v>46</v>
      </c>
      <c r="Q304" s="15">
        <f t="shared" si="270"/>
        <v>0.89187086736678334</v>
      </c>
      <c r="R304" s="15">
        <f t="shared" si="271"/>
        <v>0.90829867300455536</v>
      </c>
      <c r="S304" s="15">
        <f t="shared" si="272"/>
        <v>0.98191365227537919</v>
      </c>
      <c r="T304" s="26"/>
      <c r="U304" s="26"/>
      <c r="V304" s="16">
        <v>5142</v>
      </c>
      <c r="W304" s="16">
        <f t="shared" si="329"/>
        <v>93</v>
      </c>
      <c r="X304" s="16">
        <v>5049</v>
      </c>
      <c r="Y304" s="16">
        <v>4586</v>
      </c>
      <c r="Z304" s="16">
        <f t="shared" si="330"/>
        <v>463</v>
      </c>
      <c r="AA304" s="16"/>
      <c r="AB304" s="16"/>
      <c r="AC304" s="78"/>
      <c r="AD304" s="79"/>
      <c r="AE304" s="15"/>
      <c r="AF304" s="15"/>
      <c r="AG304" s="15"/>
      <c r="AH304" s="15"/>
      <c r="AI304" s="15"/>
      <c r="AJ304" s="16"/>
      <c r="AK304" s="16"/>
      <c r="AL304" s="16"/>
      <c r="AM304" s="16"/>
      <c r="AN304" s="16"/>
      <c r="AO304" s="16"/>
      <c r="AP304" s="16"/>
      <c r="AQ304" s="78">
        <v>2017</v>
      </c>
      <c r="AR304" s="79" t="s">
        <v>46</v>
      </c>
      <c r="AS304" s="15">
        <f t="shared" si="273"/>
        <v>0.94175407275161793</v>
      </c>
      <c r="AT304" s="15">
        <f t="shared" si="274"/>
        <v>0.95367231638418082</v>
      </c>
      <c r="AU304" s="15">
        <f t="shared" si="275"/>
        <v>0.98750278955590265</v>
      </c>
      <c r="AV304" s="16"/>
      <c r="AW304" s="16"/>
      <c r="AX304" s="16">
        <v>4481</v>
      </c>
      <c r="AY304" s="16">
        <f t="shared" si="331"/>
        <v>56</v>
      </c>
      <c r="AZ304" s="16">
        <v>4425</v>
      </c>
      <c r="BA304" s="16">
        <v>4220</v>
      </c>
      <c r="BB304" s="16">
        <f t="shared" si="332"/>
        <v>205</v>
      </c>
      <c r="BC304" s="16"/>
      <c r="BD304" s="16"/>
      <c r="BE304" s="78">
        <v>2017</v>
      </c>
      <c r="BF304" s="79" t="s">
        <v>46</v>
      </c>
      <c r="BG304" s="15">
        <f t="shared" si="310"/>
        <v>0.87033747779751336</v>
      </c>
      <c r="BH304" s="15">
        <f t="shared" si="311"/>
        <v>0.91102257636122175</v>
      </c>
      <c r="BI304" s="15">
        <f t="shared" si="312"/>
        <v>0.95534128393808682</v>
      </c>
      <c r="BJ304" s="16"/>
      <c r="BK304" s="16"/>
      <c r="BL304" s="16">
        <v>3941</v>
      </c>
      <c r="BM304" s="16">
        <f t="shared" si="333"/>
        <v>176</v>
      </c>
      <c r="BN304" s="16">
        <v>3765</v>
      </c>
      <c r="BO304" s="16">
        <v>3430</v>
      </c>
      <c r="BP304" s="16">
        <f t="shared" si="334"/>
        <v>335</v>
      </c>
      <c r="BQ304" s="16"/>
      <c r="BR304" s="16"/>
      <c r="BS304" s="78">
        <v>2017</v>
      </c>
      <c r="BT304" s="79" t="s">
        <v>46</v>
      </c>
      <c r="BU304" s="15">
        <f t="shared" si="276"/>
        <v>0.86986666666666668</v>
      </c>
      <c r="BV304" s="15">
        <f t="shared" si="277"/>
        <v>0.92198982475975122</v>
      </c>
      <c r="BW304" s="15">
        <f t="shared" si="278"/>
        <v>0.94346666666666668</v>
      </c>
      <c r="BX304" s="16"/>
      <c r="BY304" s="16"/>
      <c r="BZ304" s="16">
        <v>3750</v>
      </c>
      <c r="CA304" s="16">
        <f t="shared" si="335"/>
        <v>212</v>
      </c>
      <c r="CB304" s="16">
        <v>3538</v>
      </c>
      <c r="CC304" s="16">
        <v>3262</v>
      </c>
      <c r="CD304" s="16">
        <f t="shared" si="336"/>
        <v>276</v>
      </c>
      <c r="CE304" s="16"/>
      <c r="CF304" s="16"/>
      <c r="CG304" s="78">
        <v>2017</v>
      </c>
      <c r="CH304" s="79" t="s">
        <v>46</v>
      </c>
      <c r="CI304" s="15"/>
      <c r="CJ304" s="15"/>
      <c r="CK304" s="15"/>
      <c r="CL304" s="35"/>
      <c r="CM304" s="35"/>
      <c r="CN304" s="35"/>
      <c r="CO304" s="35"/>
      <c r="CP304" s="16"/>
      <c r="CQ304" s="16"/>
      <c r="CR304" s="16"/>
      <c r="CS304" s="16"/>
      <c r="CT304" s="16"/>
      <c r="CU304" s="78">
        <v>2017</v>
      </c>
      <c r="CV304" s="79" t="s">
        <v>46</v>
      </c>
      <c r="CW304" s="15">
        <f t="shared" si="282"/>
        <v>0.92760180995475117</v>
      </c>
      <c r="CX304" s="15">
        <f t="shared" si="283"/>
        <v>0.97248576850094881</v>
      </c>
      <c r="CY304" s="15">
        <f t="shared" si="284"/>
        <v>0.9538461538461539</v>
      </c>
      <c r="CZ304" s="16"/>
      <c r="DA304" s="16"/>
      <c r="DB304" s="16">
        <v>1105</v>
      </c>
      <c r="DC304" s="16">
        <f>DB304-DD304</f>
        <v>51</v>
      </c>
      <c r="DD304" s="16">
        <v>1054</v>
      </c>
      <c r="DE304" s="16">
        <v>1025</v>
      </c>
      <c r="DF304" s="16">
        <f t="shared" si="338"/>
        <v>29</v>
      </c>
      <c r="DG304" s="16"/>
      <c r="DH304" s="16"/>
      <c r="DI304" s="78">
        <v>2017</v>
      </c>
      <c r="DJ304" s="79" t="s">
        <v>46</v>
      </c>
      <c r="DK304" s="15">
        <f t="shared" si="287"/>
        <v>0.68833333333333335</v>
      </c>
      <c r="DL304" s="15">
        <f t="shared" si="288"/>
        <v>0.94724770642201839</v>
      </c>
      <c r="DM304" s="15">
        <f t="shared" si="289"/>
        <v>0.72666666666666668</v>
      </c>
      <c r="DN304" s="16"/>
      <c r="DO304" s="16"/>
      <c r="DP304" s="16">
        <v>600</v>
      </c>
      <c r="DQ304" s="16">
        <f t="shared" si="339"/>
        <v>164</v>
      </c>
      <c r="DR304" s="16">
        <v>436</v>
      </c>
      <c r="DS304" s="16">
        <v>413</v>
      </c>
      <c r="DT304" s="16">
        <f t="shared" si="340"/>
        <v>23</v>
      </c>
      <c r="DU304" s="16"/>
      <c r="DV304" s="16"/>
      <c r="DW304" s="78">
        <v>2017</v>
      </c>
      <c r="DX304" s="79" t="s">
        <v>46</v>
      </c>
      <c r="DY304" s="15">
        <f t="shared" si="290"/>
        <v>0.95354330708661417</v>
      </c>
      <c r="DZ304" s="15">
        <f t="shared" si="291"/>
        <v>0.96879999999999999</v>
      </c>
      <c r="EA304" s="15">
        <f t="shared" si="292"/>
        <v>0.98425196850393704</v>
      </c>
      <c r="EB304" s="16"/>
      <c r="EC304" s="16"/>
      <c r="ED304" s="16">
        <v>1270</v>
      </c>
      <c r="EE304" s="16">
        <f t="shared" si="341"/>
        <v>20</v>
      </c>
      <c r="EF304" s="16">
        <v>1250</v>
      </c>
      <c r="EG304" s="16">
        <v>1211</v>
      </c>
      <c r="EH304" s="16">
        <f t="shared" si="342"/>
        <v>39</v>
      </c>
      <c r="EI304" s="16"/>
      <c r="EJ304" s="16"/>
      <c r="EK304" s="78"/>
      <c r="EL304" s="79"/>
      <c r="EM304" s="15"/>
      <c r="EN304" s="15"/>
      <c r="EO304" s="15"/>
      <c r="EP304" s="16"/>
      <c r="EQ304" s="16"/>
      <c r="ER304" s="16"/>
      <c r="ES304" s="16"/>
      <c r="ET304" s="16"/>
      <c r="EU304" s="16"/>
      <c r="EV304" s="16"/>
      <c r="EW304" s="16"/>
      <c r="EX304" s="16"/>
      <c r="EY304" s="78"/>
      <c r="EZ304" s="79"/>
      <c r="FA304" s="15"/>
      <c r="FB304" s="15"/>
      <c r="FC304" s="15"/>
      <c r="FD304" s="16"/>
      <c r="FE304" s="16"/>
      <c r="FF304" s="16"/>
      <c r="FG304" s="16"/>
      <c r="FH304" s="16"/>
      <c r="FI304" s="16"/>
      <c r="FJ304" s="16"/>
      <c r="FK304" s="16"/>
      <c r="FM304" s="78"/>
      <c r="FN304" s="79"/>
      <c r="FO304" s="15"/>
      <c r="FP304" s="15"/>
      <c r="FQ304" s="15"/>
      <c r="FR304" s="16"/>
      <c r="FS304" s="16"/>
      <c r="FT304" s="16"/>
      <c r="FU304" s="16"/>
      <c r="FV304" s="16"/>
      <c r="FW304" s="16"/>
      <c r="FX304" s="16"/>
      <c r="FY304" s="16"/>
      <c r="GA304" s="78"/>
      <c r="GB304" s="79"/>
      <c r="GC304" s="15"/>
      <c r="GD304" s="15"/>
      <c r="GE304" s="15"/>
      <c r="GF304" s="16"/>
      <c r="GG304" s="16"/>
      <c r="GH304" s="16"/>
      <c r="GI304" s="16"/>
      <c r="GJ304" s="16"/>
      <c r="GK304" s="16"/>
      <c r="GL304" s="16"/>
      <c r="GM304" s="16"/>
    </row>
    <row r="305" spans="1:195" s="18" customFormat="1" ht="15" customHeight="1">
      <c r="A305" s="80">
        <v>2017</v>
      </c>
      <c r="B305" s="81" t="s">
        <v>47</v>
      </c>
      <c r="C305" s="15">
        <f t="shared" si="293"/>
        <v>0.8651990496048102</v>
      </c>
      <c r="D305" s="15">
        <f t="shared" si="294"/>
        <v>0.93531477695654452</v>
      </c>
      <c r="E305" s="15">
        <f t="shared" si="295"/>
        <v>0.92503515492411381</v>
      </c>
      <c r="F305" s="16"/>
      <c r="G305" s="33"/>
      <c r="H30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20623</v>
      </c>
      <c r="I305" s="16">
        <f t="shared" si="296"/>
        <v>1546</v>
      </c>
      <c r="J30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19077</v>
      </c>
      <c r="K30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17843</v>
      </c>
      <c r="L305" s="16">
        <f t="shared" si="297"/>
        <v>1234</v>
      </c>
      <c r="M305" s="16"/>
      <c r="N305" s="16"/>
      <c r="O305" s="80">
        <v>2017</v>
      </c>
      <c r="P305" s="81" t="s">
        <v>47</v>
      </c>
      <c r="Q305" s="15">
        <f t="shared" si="270"/>
        <v>0.82453721937770774</v>
      </c>
      <c r="R305" s="15">
        <f t="shared" si="271"/>
        <v>0.89695801199657244</v>
      </c>
      <c r="S305" s="15">
        <f t="shared" si="272"/>
        <v>0.91925955100433243</v>
      </c>
      <c r="T305" s="26"/>
      <c r="U305" s="26"/>
      <c r="V305" s="16">
        <v>5078</v>
      </c>
      <c r="W305" s="16">
        <f t="shared" si="329"/>
        <v>410</v>
      </c>
      <c r="X305" s="16">
        <v>4668</v>
      </c>
      <c r="Y305" s="16">
        <v>4187</v>
      </c>
      <c r="Z305" s="16">
        <f t="shared" si="330"/>
        <v>481</v>
      </c>
      <c r="AA305" s="16"/>
      <c r="AB305" s="16"/>
      <c r="AC305" s="80"/>
      <c r="AD305" s="81"/>
      <c r="AE305" s="15"/>
      <c r="AF305" s="15"/>
      <c r="AG305" s="15"/>
      <c r="AH305" s="15"/>
      <c r="AI305" s="15"/>
      <c r="AJ305" s="16"/>
      <c r="AK305" s="16"/>
      <c r="AL305" s="16"/>
      <c r="AM305" s="16"/>
      <c r="AN305" s="16"/>
      <c r="AO305" s="16"/>
      <c r="AP305" s="16"/>
      <c r="AQ305" s="80">
        <v>2017</v>
      </c>
      <c r="AR305" s="81" t="s">
        <v>47</v>
      </c>
      <c r="AS305" s="15">
        <f t="shared" si="273"/>
        <v>0.90455967814036653</v>
      </c>
      <c r="AT305" s="15">
        <f t="shared" si="274"/>
        <v>0.95448113207547169</v>
      </c>
      <c r="AU305" s="15">
        <f t="shared" si="275"/>
        <v>0.9476978095663835</v>
      </c>
      <c r="AV305" s="16"/>
      <c r="AW305" s="16"/>
      <c r="AX305" s="16">
        <v>4474</v>
      </c>
      <c r="AY305" s="16">
        <f t="shared" si="331"/>
        <v>234</v>
      </c>
      <c r="AZ305" s="16">
        <v>4240</v>
      </c>
      <c r="BA305" s="16">
        <v>4047</v>
      </c>
      <c r="BB305" s="16">
        <f t="shared" si="332"/>
        <v>193</v>
      </c>
      <c r="BC305" s="16"/>
      <c r="BD305" s="16"/>
      <c r="BE305" s="80">
        <v>2017</v>
      </c>
      <c r="BF305" s="81" t="s">
        <v>47</v>
      </c>
      <c r="BG305" s="15">
        <f t="shared" si="310"/>
        <v>0.82889733840304181</v>
      </c>
      <c r="BH305" s="15">
        <f t="shared" si="311"/>
        <v>0.90808108858650372</v>
      </c>
      <c r="BI305" s="15">
        <f t="shared" si="312"/>
        <v>0.91280101394169832</v>
      </c>
      <c r="BJ305" s="16"/>
      <c r="BK305" s="16"/>
      <c r="BL305" s="16">
        <v>3945</v>
      </c>
      <c r="BM305" s="16">
        <f t="shared" si="333"/>
        <v>344</v>
      </c>
      <c r="BN305" s="16">
        <v>3601</v>
      </c>
      <c r="BO305" s="16">
        <v>3270</v>
      </c>
      <c r="BP305" s="16">
        <f t="shared" si="334"/>
        <v>331</v>
      </c>
      <c r="BQ305" s="16"/>
      <c r="BR305" s="16"/>
      <c r="BS305" s="80">
        <v>2017</v>
      </c>
      <c r="BT305" s="81" t="s">
        <v>47</v>
      </c>
      <c r="BU305" s="15">
        <f t="shared" si="276"/>
        <v>0.87897085849304279</v>
      </c>
      <c r="BV305" s="15">
        <f t="shared" si="277"/>
        <v>0.95986238532110091</v>
      </c>
      <c r="BW305" s="15">
        <f t="shared" si="278"/>
        <v>0.91572591231294298</v>
      </c>
      <c r="BX305" s="16"/>
      <c r="BY305" s="16"/>
      <c r="BZ305" s="16">
        <v>3809</v>
      </c>
      <c r="CA305" s="16">
        <f t="shared" si="335"/>
        <v>321</v>
      </c>
      <c r="CB305" s="16">
        <v>3488</v>
      </c>
      <c r="CC305" s="16">
        <v>3348</v>
      </c>
      <c r="CD305" s="16">
        <f t="shared" si="336"/>
        <v>140</v>
      </c>
      <c r="CE305" s="16"/>
      <c r="CF305" s="16"/>
      <c r="CG305" s="80">
        <v>2017</v>
      </c>
      <c r="CH305" s="81" t="s">
        <v>47</v>
      </c>
      <c r="CI305" s="15"/>
      <c r="CJ305" s="15"/>
      <c r="CK305" s="15"/>
      <c r="CL305" s="35"/>
      <c r="CM305" s="35"/>
      <c r="CN305" s="35"/>
      <c r="CO305" s="35"/>
      <c r="CP305" s="16"/>
      <c r="CQ305" s="16"/>
      <c r="CR305" s="16"/>
      <c r="CS305" s="16"/>
      <c r="CT305" s="16"/>
      <c r="CU305" s="80">
        <v>2017</v>
      </c>
      <c r="CV305" s="81" t="s">
        <v>47</v>
      </c>
      <c r="CW305" s="15">
        <f t="shared" si="282"/>
        <v>0.92982456140350878</v>
      </c>
      <c r="CX305" s="15">
        <f t="shared" si="283"/>
        <v>0.97876269621421974</v>
      </c>
      <c r="CY305" s="15">
        <f t="shared" si="284"/>
        <v>0.95</v>
      </c>
      <c r="CZ305" s="16"/>
      <c r="DA305" s="16"/>
      <c r="DB305" s="16">
        <v>1140</v>
      </c>
      <c r="DC305" s="16">
        <f>DB305-DD305</f>
        <v>57</v>
      </c>
      <c r="DD305" s="16">
        <v>1083</v>
      </c>
      <c r="DE305" s="16">
        <v>1060</v>
      </c>
      <c r="DF305" s="16">
        <f t="shared" si="338"/>
        <v>23</v>
      </c>
      <c r="DG305" s="16"/>
      <c r="DH305" s="16"/>
      <c r="DI305" s="80">
        <v>2017</v>
      </c>
      <c r="DJ305" s="81" t="s">
        <v>47</v>
      </c>
      <c r="DK305" s="15">
        <f t="shared" si="287"/>
        <v>0.86774193548387102</v>
      </c>
      <c r="DL305" s="15">
        <f t="shared" si="288"/>
        <v>0.94885361552028213</v>
      </c>
      <c r="DM305" s="15">
        <f t="shared" si="289"/>
        <v>0.9145161290322581</v>
      </c>
      <c r="DN305" s="16"/>
      <c r="DO305" s="16"/>
      <c r="DP305" s="16">
        <v>620</v>
      </c>
      <c r="DQ305" s="16">
        <f t="shared" si="339"/>
        <v>53</v>
      </c>
      <c r="DR305" s="16">
        <v>567</v>
      </c>
      <c r="DS305" s="16">
        <v>538</v>
      </c>
      <c r="DT305" s="16">
        <f t="shared" si="340"/>
        <v>29</v>
      </c>
      <c r="DU305" s="16"/>
      <c r="DV305" s="16"/>
      <c r="DW305" s="80">
        <v>2017</v>
      </c>
      <c r="DX305" s="81" t="s">
        <v>47</v>
      </c>
      <c r="DY305" s="15">
        <f t="shared" si="290"/>
        <v>0.88812260536398469</v>
      </c>
      <c r="DZ305" s="15">
        <f t="shared" si="291"/>
        <v>0.97394957983193275</v>
      </c>
      <c r="EA305" s="15">
        <f t="shared" si="292"/>
        <v>0.91187739463601536</v>
      </c>
      <c r="EB305" s="16"/>
      <c r="EC305" s="16"/>
      <c r="ED305" s="16">
        <v>1305</v>
      </c>
      <c r="EE305" s="16">
        <f t="shared" si="341"/>
        <v>115</v>
      </c>
      <c r="EF305" s="16">
        <v>1190</v>
      </c>
      <c r="EG305" s="16">
        <v>1159</v>
      </c>
      <c r="EH305" s="16">
        <f t="shared" si="342"/>
        <v>31</v>
      </c>
      <c r="EI305" s="16"/>
      <c r="EJ305" s="16"/>
      <c r="EK305" s="80">
        <v>2017</v>
      </c>
      <c r="EL305" s="81" t="s">
        <v>47</v>
      </c>
      <c r="EM305" s="15">
        <f t="shared" ref="EM305:EM325" si="343">EU305/ER305</f>
        <v>0.9285714285714286</v>
      </c>
      <c r="EN305" s="15">
        <f t="shared" ref="EN305:EN325" si="344">EU305/ET305</f>
        <v>0.97499999999999998</v>
      </c>
      <c r="EO305" s="15">
        <f t="shared" ref="EO305:EO325" si="345">ET305/ER305</f>
        <v>0.95238095238095233</v>
      </c>
      <c r="EP305" s="16"/>
      <c r="EQ305" s="16"/>
      <c r="ER305" s="16">
        <v>252</v>
      </c>
      <c r="ES305" s="16">
        <f>ER305-ET305</f>
        <v>12</v>
      </c>
      <c r="ET305" s="16">
        <v>240</v>
      </c>
      <c r="EU305" s="16">
        <v>234</v>
      </c>
      <c r="EV305" s="16">
        <f>ET305-EU305</f>
        <v>6</v>
      </c>
      <c r="EW305" s="19" t="s">
        <v>70</v>
      </c>
      <c r="EX305" s="16"/>
      <c r="EY305" s="80"/>
      <c r="EZ305" s="81"/>
      <c r="FA305" s="15"/>
      <c r="FB305" s="15"/>
      <c r="FC305" s="15"/>
      <c r="FD305" s="16"/>
      <c r="FE305" s="16"/>
      <c r="FF305" s="16"/>
      <c r="FG305" s="16"/>
      <c r="FH305" s="16"/>
      <c r="FI305" s="16"/>
      <c r="FJ305" s="16"/>
      <c r="FK305" s="19"/>
      <c r="FM305" s="80"/>
      <c r="FN305" s="81"/>
      <c r="FO305" s="15"/>
      <c r="FP305" s="15"/>
      <c r="FQ305" s="15"/>
      <c r="FR305" s="16"/>
      <c r="FS305" s="16"/>
      <c r="FT305" s="16"/>
      <c r="FU305" s="16"/>
      <c r="FV305" s="16"/>
      <c r="FW305" s="16"/>
      <c r="FX305" s="16"/>
      <c r="FY305" s="19"/>
      <c r="GA305" s="80"/>
      <c r="GB305" s="81"/>
      <c r="GC305" s="15"/>
      <c r="GD305" s="15"/>
      <c r="GE305" s="15"/>
      <c r="GF305" s="16"/>
      <c r="GG305" s="16"/>
      <c r="GH305" s="16"/>
      <c r="GI305" s="16"/>
      <c r="GJ305" s="16"/>
      <c r="GK305" s="16"/>
      <c r="GL305" s="16"/>
      <c r="GM305" s="19"/>
    </row>
    <row r="306" spans="1:195" s="18" customFormat="1" ht="15" customHeight="1">
      <c r="A306" s="78">
        <v>2018</v>
      </c>
      <c r="B306" s="79" t="s">
        <v>36</v>
      </c>
      <c r="C306" s="15">
        <f t="shared" si="293"/>
        <v>0.88676856714178542</v>
      </c>
      <c r="D306" s="15">
        <f t="shared" si="294"/>
        <v>0.91659397111563434</v>
      </c>
      <c r="E306" s="15">
        <f t="shared" si="295"/>
        <v>0.96746061515378845</v>
      </c>
      <c r="F306" s="16"/>
      <c r="G306" s="33"/>
      <c r="H30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21328</v>
      </c>
      <c r="I306" s="16">
        <f t="shared" si="296"/>
        <v>694</v>
      </c>
      <c r="J30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20634</v>
      </c>
      <c r="K30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18913</v>
      </c>
      <c r="L306" s="16">
        <f t="shared" si="297"/>
        <v>1721</v>
      </c>
      <c r="M306" s="16"/>
      <c r="N306" s="16"/>
      <c r="O306" s="78">
        <v>2018</v>
      </c>
      <c r="P306" s="79" t="s">
        <v>36</v>
      </c>
      <c r="Q306" s="15">
        <f t="shared" si="270"/>
        <v>0.85436893203883491</v>
      </c>
      <c r="R306" s="15">
        <f t="shared" si="271"/>
        <v>0.89270386266094426</v>
      </c>
      <c r="S306" s="15">
        <f t="shared" si="272"/>
        <v>0.95705750560119496</v>
      </c>
      <c r="T306" s="26"/>
      <c r="U306" s="26"/>
      <c r="V306" s="16">
        <v>5356</v>
      </c>
      <c r="W306" s="16">
        <f t="shared" ref="W306:W317" si="346">V306-X306</f>
        <v>230</v>
      </c>
      <c r="X306" s="16">
        <v>5126</v>
      </c>
      <c r="Y306" s="16">
        <v>4576</v>
      </c>
      <c r="Z306" s="16">
        <f t="shared" ref="Z306:Z317" si="347">X306-Y306</f>
        <v>550</v>
      </c>
      <c r="AA306" s="16"/>
      <c r="AB306" s="16"/>
      <c r="AC306" s="78"/>
      <c r="AD306" s="79"/>
      <c r="AE306" s="15"/>
      <c r="AF306" s="15"/>
      <c r="AG306" s="15"/>
      <c r="AH306" s="15"/>
      <c r="AI306" s="15"/>
      <c r="AJ306" s="16"/>
      <c r="AK306" s="16"/>
      <c r="AL306" s="16"/>
      <c r="AM306" s="16"/>
      <c r="AN306" s="16"/>
      <c r="AO306" s="16"/>
      <c r="AP306" s="16"/>
      <c r="AQ306" s="78">
        <v>2018</v>
      </c>
      <c r="AR306" s="79" t="s">
        <v>36</v>
      </c>
      <c r="AS306" s="15">
        <f t="shared" si="273"/>
        <v>0.94317692638829098</v>
      </c>
      <c r="AT306" s="15">
        <f t="shared" si="274"/>
        <v>0.95739567402228531</v>
      </c>
      <c r="AU306" s="15">
        <f t="shared" si="275"/>
        <v>0.98514851485148514</v>
      </c>
      <c r="AV306" s="16"/>
      <c r="AW306" s="16"/>
      <c r="AX306" s="16">
        <v>4646</v>
      </c>
      <c r="AY306" s="16">
        <f t="shared" ref="AY306:AY317" si="348">AX306-AZ306</f>
        <v>69</v>
      </c>
      <c r="AZ306" s="16">
        <v>4577</v>
      </c>
      <c r="BA306" s="16">
        <v>4382</v>
      </c>
      <c r="BB306" s="16">
        <f t="shared" ref="BB306:BB317" si="349">AZ306-BA306</f>
        <v>195</v>
      </c>
      <c r="BC306" s="16"/>
      <c r="BD306" s="16"/>
      <c r="BE306" s="78">
        <v>2018</v>
      </c>
      <c r="BF306" s="79" t="s">
        <v>36</v>
      </c>
      <c r="BG306" s="15">
        <f t="shared" si="310"/>
        <v>0.87095984329089127</v>
      </c>
      <c r="BH306" s="15">
        <f t="shared" si="311"/>
        <v>0.90005060728744934</v>
      </c>
      <c r="BI306" s="15">
        <f t="shared" si="312"/>
        <v>0.96767874632713025</v>
      </c>
      <c r="BJ306" s="16"/>
      <c r="BK306" s="16"/>
      <c r="BL306" s="16">
        <v>4084</v>
      </c>
      <c r="BM306" s="16">
        <f t="shared" ref="BM306:BM317" si="350">BL306-BN306</f>
        <v>132</v>
      </c>
      <c r="BN306" s="16">
        <v>3952</v>
      </c>
      <c r="BO306" s="16">
        <v>3557</v>
      </c>
      <c r="BP306" s="16">
        <f t="shared" ref="BP306:BP317" si="351">BN306-BO306</f>
        <v>395</v>
      </c>
      <c r="BQ306" s="16"/>
      <c r="BR306" s="16"/>
      <c r="BS306" s="78">
        <v>2018</v>
      </c>
      <c r="BT306" s="79" t="s">
        <v>36</v>
      </c>
      <c r="BU306" s="15">
        <f t="shared" si="276"/>
        <v>0.81860345271837154</v>
      </c>
      <c r="BV306" s="15">
        <f t="shared" si="277"/>
        <v>0.86214382632293085</v>
      </c>
      <c r="BW306" s="15">
        <f t="shared" si="278"/>
        <v>0.94949755217727394</v>
      </c>
      <c r="BX306" s="16"/>
      <c r="BY306" s="16"/>
      <c r="BZ306" s="16">
        <v>3881</v>
      </c>
      <c r="CA306" s="16">
        <f t="shared" ref="CA306:CA317" si="352">BZ306-CB306</f>
        <v>196</v>
      </c>
      <c r="CB306" s="16">
        <v>3685</v>
      </c>
      <c r="CC306" s="16">
        <v>3177</v>
      </c>
      <c r="CD306" s="16">
        <f t="shared" ref="CD306:CD317" si="353">CB306-CC306</f>
        <v>508</v>
      </c>
      <c r="CE306" s="16"/>
      <c r="CF306" s="16"/>
      <c r="CG306" s="78">
        <v>2018</v>
      </c>
      <c r="CH306" s="79" t="s">
        <v>36</v>
      </c>
      <c r="CI306" s="15"/>
      <c r="CJ306" s="15"/>
      <c r="CK306" s="15"/>
      <c r="CL306" s="35"/>
      <c r="CM306" s="35"/>
      <c r="CN306" s="35"/>
      <c r="CO306" s="35"/>
      <c r="CP306" s="16"/>
      <c r="CQ306" s="16"/>
      <c r="CR306" s="16"/>
      <c r="CS306" s="16"/>
      <c r="CT306" s="16"/>
      <c r="CU306" s="78">
        <v>2018</v>
      </c>
      <c r="CV306" s="79" t="s">
        <v>36</v>
      </c>
      <c r="CW306" s="15">
        <f t="shared" si="282"/>
        <v>0.98686514886164622</v>
      </c>
      <c r="CX306" s="15">
        <f t="shared" si="283"/>
        <v>0.99207746478873238</v>
      </c>
      <c r="CY306" s="15">
        <f t="shared" si="284"/>
        <v>0.99474605954465845</v>
      </c>
      <c r="CZ306" s="16"/>
      <c r="DA306" s="16"/>
      <c r="DB306" s="16">
        <v>1142</v>
      </c>
      <c r="DC306" s="16">
        <f t="shared" ref="DC306:DC317" si="354">DB306-DD306</f>
        <v>6</v>
      </c>
      <c r="DD306" s="16">
        <v>1136</v>
      </c>
      <c r="DE306" s="16">
        <v>1127</v>
      </c>
      <c r="DF306" s="16">
        <f t="shared" ref="DF306:DF317" si="355">DD306-DE306</f>
        <v>9</v>
      </c>
      <c r="DG306" s="16"/>
      <c r="DH306" s="16"/>
      <c r="DI306" s="78">
        <v>2018</v>
      </c>
      <c r="DJ306" s="79" t="s">
        <v>36</v>
      </c>
      <c r="DK306" s="15">
        <f t="shared" si="287"/>
        <v>0.89838709677419359</v>
      </c>
      <c r="DL306" s="15">
        <f t="shared" si="288"/>
        <v>0.94889267461669502</v>
      </c>
      <c r="DM306" s="15">
        <f t="shared" si="289"/>
        <v>0.9467741935483871</v>
      </c>
      <c r="DN306" s="16"/>
      <c r="DO306" s="16"/>
      <c r="DP306" s="16">
        <v>620</v>
      </c>
      <c r="DQ306" s="16">
        <f t="shared" ref="DQ306:DQ317" si="356">DP306-DR306</f>
        <v>33</v>
      </c>
      <c r="DR306" s="16">
        <v>587</v>
      </c>
      <c r="DS306" s="16">
        <v>557</v>
      </c>
      <c r="DT306" s="16">
        <f t="shared" ref="DT306:DT317" si="357">DR306-DS306</f>
        <v>30</v>
      </c>
      <c r="DU306" s="16"/>
      <c r="DV306" s="16"/>
      <c r="DW306" s="78">
        <v>2018</v>
      </c>
      <c r="DX306" s="79" t="s">
        <v>36</v>
      </c>
      <c r="DY306" s="15">
        <f t="shared" si="290"/>
        <v>0.96610169491525422</v>
      </c>
      <c r="DZ306" s="15">
        <f t="shared" si="291"/>
        <v>0.98423423423423428</v>
      </c>
      <c r="EA306" s="15">
        <f t="shared" si="292"/>
        <v>0.98157700810611648</v>
      </c>
      <c r="EB306" s="16"/>
      <c r="EC306" s="16"/>
      <c r="ED306" s="16">
        <v>1357</v>
      </c>
      <c r="EE306" s="16">
        <f t="shared" ref="EE306:EE317" si="358">ED306-EF306</f>
        <v>25</v>
      </c>
      <c r="EF306" s="16">
        <v>1332</v>
      </c>
      <c r="EG306" s="16">
        <v>1311</v>
      </c>
      <c r="EH306" s="16">
        <f t="shared" ref="EH306:EH317" si="359">EF306-EG306</f>
        <v>21</v>
      </c>
      <c r="EI306" s="16"/>
      <c r="EJ306" s="16"/>
      <c r="EK306" s="78">
        <v>2018</v>
      </c>
      <c r="EL306" s="79" t="s">
        <v>36</v>
      </c>
      <c r="EM306" s="15">
        <f t="shared" si="343"/>
        <v>0.93388429752066116</v>
      </c>
      <c r="EN306" s="15">
        <f t="shared" si="344"/>
        <v>0.94560669456066948</v>
      </c>
      <c r="EO306" s="15">
        <f t="shared" si="345"/>
        <v>0.98760330578512401</v>
      </c>
      <c r="EP306" s="16"/>
      <c r="EQ306" s="16"/>
      <c r="ER306" s="16">
        <v>242</v>
      </c>
      <c r="ES306" s="16">
        <f t="shared" ref="ES306:ES317" si="360">ER306-ET306</f>
        <v>3</v>
      </c>
      <c r="ET306" s="16">
        <v>239</v>
      </c>
      <c r="EU306" s="16">
        <v>226</v>
      </c>
      <c r="EV306" s="16">
        <f t="shared" ref="EV306:EV317" si="361">ET306-EU306</f>
        <v>13</v>
      </c>
      <c r="EW306" s="16"/>
      <c r="EX306" s="16"/>
      <c r="EY306" s="78"/>
      <c r="EZ306" s="79"/>
      <c r="FA306" s="15"/>
      <c r="FB306" s="15"/>
      <c r="FC306" s="15"/>
      <c r="FD306" s="16"/>
      <c r="FE306" s="16"/>
      <c r="FF306" s="16"/>
      <c r="FG306" s="16"/>
      <c r="FH306" s="16"/>
      <c r="FI306" s="16"/>
      <c r="FJ306" s="16"/>
      <c r="FK306" s="16"/>
      <c r="FM306" s="78"/>
      <c r="FN306" s="79"/>
      <c r="FO306" s="15"/>
      <c r="FP306" s="15"/>
      <c r="FQ306" s="15"/>
      <c r="FR306" s="16"/>
      <c r="FS306" s="16"/>
      <c r="FT306" s="16"/>
      <c r="FU306" s="16"/>
      <c r="FV306" s="16"/>
      <c r="FW306" s="16"/>
      <c r="FX306" s="16"/>
      <c r="FY306" s="16"/>
      <c r="GA306" s="78"/>
      <c r="GB306" s="79"/>
      <c r="GC306" s="15"/>
      <c r="GD306" s="15"/>
      <c r="GE306" s="15"/>
      <c r="GF306" s="16"/>
      <c r="GG306" s="16"/>
      <c r="GH306" s="16"/>
      <c r="GI306" s="16"/>
      <c r="GJ306" s="16"/>
      <c r="GK306" s="16"/>
      <c r="GL306" s="16"/>
      <c r="GM306" s="16"/>
    </row>
    <row r="307" spans="1:195" s="18" customFormat="1" ht="15" customHeight="1">
      <c r="A307" s="80">
        <v>2018</v>
      </c>
      <c r="B307" s="81" t="s">
        <v>37</v>
      </c>
      <c r="C307" s="15">
        <f t="shared" si="293"/>
        <v>0.88400553368096202</v>
      </c>
      <c r="D307" s="15">
        <f t="shared" si="294"/>
        <v>0.91376086239137611</v>
      </c>
      <c r="E307" s="15">
        <f t="shared" si="295"/>
        <v>0.9674364158774077</v>
      </c>
      <c r="F307" s="16"/>
      <c r="G307" s="33"/>
      <c r="H30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18794</v>
      </c>
      <c r="I307" s="16">
        <f t="shared" si="296"/>
        <v>612</v>
      </c>
      <c r="J30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18182</v>
      </c>
      <c r="K30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16614</v>
      </c>
      <c r="L307" s="16">
        <f t="shared" si="297"/>
        <v>1568</v>
      </c>
      <c r="M307" s="16"/>
      <c r="N307" s="16"/>
      <c r="O307" s="80">
        <v>2018</v>
      </c>
      <c r="P307" s="81" t="s">
        <v>37</v>
      </c>
      <c r="Q307" s="15">
        <f t="shared" si="270"/>
        <v>0.85941530524505594</v>
      </c>
      <c r="R307" s="15">
        <f t="shared" si="271"/>
        <v>0.87829525483304038</v>
      </c>
      <c r="S307" s="15">
        <f t="shared" si="272"/>
        <v>0.9785038693035254</v>
      </c>
      <c r="T307" s="26"/>
      <c r="U307" s="26"/>
      <c r="V307" s="16">
        <v>4652</v>
      </c>
      <c r="W307" s="16">
        <f t="shared" si="346"/>
        <v>100</v>
      </c>
      <c r="X307" s="16">
        <v>4552</v>
      </c>
      <c r="Y307" s="16">
        <v>3998</v>
      </c>
      <c r="Z307" s="16">
        <f t="shared" si="347"/>
        <v>554</v>
      </c>
      <c r="AA307" s="16"/>
      <c r="AB307" s="16"/>
      <c r="AC307" s="80"/>
      <c r="AD307" s="81"/>
      <c r="AE307" s="15"/>
      <c r="AF307" s="15"/>
      <c r="AG307" s="15"/>
      <c r="AH307" s="15"/>
      <c r="AI307" s="15"/>
      <c r="AJ307" s="16"/>
      <c r="AK307" s="16"/>
      <c r="AL307" s="16"/>
      <c r="AM307" s="16"/>
      <c r="AN307" s="16"/>
      <c r="AO307" s="16"/>
      <c r="AP307" s="16"/>
      <c r="AQ307" s="80">
        <v>2018</v>
      </c>
      <c r="AR307" s="81" t="s">
        <v>37</v>
      </c>
      <c r="AS307" s="15">
        <f t="shared" si="273"/>
        <v>0.91703485517918504</v>
      </c>
      <c r="AT307" s="15">
        <f t="shared" si="274"/>
        <v>0.93751568381430361</v>
      </c>
      <c r="AU307" s="15">
        <f t="shared" si="275"/>
        <v>0.97815414825724101</v>
      </c>
      <c r="AV307" s="16"/>
      <c r="AW307" s="16"/>
      <c r="AX307" s="16">
        <v>4074</v>
      </c>
      <c r="AY307" s="16">
        <f t="shared" si="348"/>
        <v>89</v>
      </c>
      <c r="AZ307" s="16">
        <v>3985</v>
      </c>
      <c r="BA307" s="16">
        <v>3736</v>
      </c>
      <c r="BB307" s="16">
        <f t="shared" si="349"/>
        <v>249</v>
      </c>
      <c r="BC307" s="16"/>
      <c r="BD307" s="16"/>
      <c r="BE307" s="80">
        <v>2018</v>
      </c>
      <c r="BF307" s="81" t="s">
        <v>37</v>
      </c>
      <c r="BG307" s="15">
        <f t="shared" si="310"/>
        <v>0.86475181260457334</v>
      </c>
      <c r="BH307" s="15">
        <f t="shared" si="311"/>
        <v>0.8954663586485706</v>
      </c>
      <c r="BI307" s="15">
        <f t="shared" si="312"/>
        <v>0.96569994422755157</v>
      </c>
      <c r="BJ307" s="16"/>
      <c r="BK307" s="16"/>
      <c r="BL307" s="16">
        <v>3586</v>
      </c>
      <c r="BM307" s="16">
        <f t="shared" si="350"/>
        <v>123</v>
      </c>
      <c r="BN307" s="16">
        <v>3463</v>
      </c>
      <c r="BO307" s="16">
        <v>3101</v>
      </c>
      <c r="BP307" s="16">
        <f t="shared" si="351"/>
        <v>362</v>
      </c>
      <c r="BQ307" s="16"/>
      <c r="BR307" s="16"/>
      <c r="BS307" s="80">
        <v>2018</v>
      </c>
      <c r="BT307" s="81" t="s">
        <v>37</v>
      </c>
      <c r="BU307" s="15">
        <f t="shared" si="276"/>
        <v>0.83835457705677863</v>
      </c>
      <c r="BV307" s="15">
        <f t="shared" si="277"/>
        <v>0.89959589679825924</v>
      </c>
      <c r="BW307" s="15">
        <f t="shared" si="278"/>
        <v>0.93192352259559674</v>
      </c>
      <c r="BX307" s="16"/>
      <c r="BY307" s="16"/>
      <c r="BZ307" s="16">
        <v>3452</v>
      </c>
      <c r="CA307" s="16">
        <f t="shared" si="352"/>
        <v>235</v>
      </c>
      <c r="CB307" s="16">
        <v>3217</v>
      </c>
      <c r="CC307" s="16">
        <v>2894</v>
      </c>
      <c r="CD307" s="16">
        <f t="shared" si="353"/>
        <v>323</v>
      </c>
      <c r="CE307" s="16"/>
      <c r="CF307" s="16"/>
      <c r="CG307" s="80">
        <v>2018</v>
      </c>
      <c r="CH307" s="81" t="s">
        <v>37</v>
      </c>
      <c r="CI307" s="15"/>
      <c r="CJ307" s="15"/>
      <c r="CK307" s="15"/>
      <c r="CL307" s="35"/>
      <c r="CM307" s="35"/>
      <c r="CN307" s="35"/>
      <c r="CO307" s="35"/>
      <c r="CP307" s="16"/>
      <c r="CQ307" s="16"/>
      <c r="CR307" s="16"/>
      <c r="CS307" s="16"/>
      <c r="CT307" s="16"/>
      <c r="CU307" s="80">
        <v>2018</v>
      </c>
      <c r="CV307" s="81" t="s">
        <v>37</v>
      </c>
      <c r="CW307" s="15">
        <f t="shared" si="282"/>
        <v>0.96310679611650485</v>
      </c>
      <c r="CX307" s="15">
        <f t="shared" si="283"/>
        <v>0.98608349900596426</v>
      </c>
      <c r="CY307" s="15">
        <f t="shared" si="284"/>
        <v>0.97669902912621365</v>
      </c>
      <c r="CZ307" s="16"/>
      <c r="DA307" s="16"/>
      <c r="DB307" s="16">
        <v>1030</v>
      </c>
      <c r="DC307" s="16">
        <f t="shared" si="354"/>
        <v>24</v>
      </c>
      <c r="DD307" s="16">
        <v>1006</v>
      </c>
      <c r="DE307" s="16">
        <v>992</v>
      </c>
      <c r="DF307" s="16">
        <f t="shared" si="355"/>
        <v>14</v>
      </c>
      <c r="DG307" s="16"/>
      <c r="DH307" s="16"/>
      <c r="DI307" s="80">
        <v>2018</v>
      </c>
      <c r="DJ307" s="81" t="s">
        <v>37</v>
      </c>
      <c r="DK307" s="15">
        <f t="shared" si="287"/>
        <v>0.9285714285714286</v>
      </c>
      <c r="DL307" s="15">
        <f t="shared" si="288"/>
        <v>0.95588235294117652</v>
      </c>
      <c r="DM307" s="15">
        <f t="shared" si="289"/>
        <v>0.97142857142857142</v>
      </c>
      <c r="DN307" s="16"/>
      <c r="DO307" s="16"/>
      <c r="DP307" s="16">
        <v>560</v>
      </c>
      <c r="DQ307" s="16">
        <f t="shared" si="356"/>
        <v>16</v>
      </c>
      <c r="DR307" s="16">
        <v>544</v>
      </c>
      <c r="DS307" s="16">
        <v>520</v>
      </c>
      <c r="DT307" s="16">
        <f t="shared" si="357"/>
        <v>24</v>
      </c>
      <c r="DU307" s="16"/>
      <c r="DV307" s="16"/>
      <c r="DW307" s="80">
        <v>2018</v>
      </c>
      <c r="DX307" s="81" t="s">
        <v>37</v>
      </c>
      <c r="DY307" s="15">
        <f t="shared" si="290"/>
        <v>0.94901315789473684</v>
      </c>
      <c r="DZ307" s="15">
        <f t="shared" si="291"/>
        <v>0.96893366918555834</v>
      </c>
      <c r="EA307" s="15">
        <f t="shared" si="292"/>
        <v>0.97944078947368418</v>
      </c>
      <c r="EB307" s="16"/>
      <c r="EC307" s="16"/>
      <c r="ED307" s="16">
        <v>1216</v>
      </c>
      <c r="EE307" s="16">
        <f t="shared" si="358"/>
        <v>25</v>
      </c>
      <c r="EF307" s="16">
        <v>1191</v>
      </c>
      <c r="EG307" s="16">
        <v>1154</v>
      </c>
      <c r="EH307" s="16">
        <f t="shared" si="359"/>
        <v>37</v>
      </c>
      <c r="EI307" s="16"/>
      <c r="EJ307" s="16"/>
      <c r="EK307" s="80">
        <v>2018</v>
      </c>
      <c r="EL307" s="81" t="s">
        <v>37</v>
      </c>
      <c r="EM307" s="15">
        <f t="shared" si="343"/>
        <v>0.9776785714285714</v>
      </c>
      <c r="EN307" s="15">
        <f t="shared" si="344"/>
        <v>0.9776785714285714</v>
      </c>
      <c r="EO307" s="15">
        <f t="shared" si="345"/>
        <v>1</v>
      </c>
      <c r="EP307" s="16"/>
      <c r="EQ307" s="16"/>
      <c r="ER307" s="16">
        <v>224</v>
      </c>
      <c r="ES307" s="16">
        <f t="shared" si="360"/>
        <v>0</v>
      </c>
      <c r="ET307" s="16">
        <v>224</v>
      </c>
      <c r="EU307" s="16">
        <v>219</v>
      </c>
      <c r="EV307" s="16">
        <f t="shared" si="361"/>
        <v>5</v>
      </c>
      <c r="EW307" s="16"/>
      <c r="EX307" s="16"/>
      <c r="EY307" s="80"/>
      <c r="EZ307" s="81"/>
      <c r="FA307" s="15"/>
      <c r="FB307" s="15"/>
      <c r="FC307" s="15"/>
      <c r="FD307" s="16"/>
      <c r="FE307" s="16"/>
      <c r="FF307" s="16"/>
      <c r="FG307" s="16"/>
      <c r="FH307" s="16"/>
      <c r="FI307" s="16"/>
      <c r="FJ307" s="16"/>
      <c r="FK307" s="16"/>
      <c r="FM307" s="80"/>
      <c r="FN307" s="81"/>
      <c r="FO307" s="15"/>
      <c r="FP307" s="15"/>
      <c r="FQ307" s="15"/>
      <c r="FR307" s="16"/>
      <c r="FS307" s="16"/>
      <c r="FT307" s="16"/>
      <c r="FU307" s="16"/>
      <c r="FV307" s="16"/>
      <c r="FW307" s="16"/>
      <c r="FX307" s="16"/>
      <c r="FY307" s="16"/>
      <c r="GA307" s="80"/>
      <c r="GB307" s="81"/>
      <c r="GC307" s="15"/>
      <c r="GD307" s="15"/>
      <c r="GE307" s="15"/>
      <c r="GF307" s="16"/>
      <c r="GG307" s="16"/>
      <c r="GH307" s="16"/>
      <c r="GI307" s="16"/>
      <c r="GJ307" s="16"/>
      <c r="GK307" s="16"/>
      <c r="GL307" s="16"/>
      <c r="GM307" s="16"/>
    </row>
    <row r="308" spans="1:195" s="18" customFormat="1" ht="15" customHeight="1">
      <c r="A308" s="78">
        <v>2018</v>
      </c>
      <c r="B308" s="79" t="s">
        <v>38</v>
      </c>
      <c r="C308" s="15">
        <f t="shared" si="293"/>
        <v>0.90094428706326724</v>
      </c>
      <c r="D308" s="15">
        <f t="shared" si="294"/>
        <v>0.92550198855369092</v>
      </c>
      <c r="E308" s="15">
        <f t="shared" si="295"/>
        <v>0.97346553352219078</v>
      </c>
      <c r="F308" s="16"/>
      <c r="G308" s="33"/>
      <c r="H30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21180</v>
      </c>
      <c r="I308" s="16">
        <f t="shared" si="296"/>
        <v>562</v>
      </c>
      <c r="J30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20618</v>
      </c>
      <c r="K30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19082</v>
      </c>
      <c r="L308" s="16">
        <f t="shared" si="297"/>
        <v>1536</v>
      </c>
      <c r="M308" s="16"/>
      <c r="N308" s="16"/>
      <c r="O308" s="78">
        <v>2018</v>
      </c>
      <c r="P308" s="79" t="s">
        <v>38</v>
      </c>
      <c r="Q308" s="15">
        <f t="shared" si="270"/>
        <v>0.8593511450381679</v>
      </c>
      <c r="R308" s="15">
        <f t="shared" si="271"/>
        <v>0.88502358490566035</v>
      </c>
      <c r="S308" s="15">
        <f t="shared" si="272"/>
        <v>0.97099236641221376</v>
      </c>
      <c r="T308" s="26"/>
      <c r="U308" s="26"/>
      <c r="V308" s="16">
        <v>5240</v>
      </c>
      <c r="W308" s="16">
        <f t="shared" si="346"/>
        <v>152</v>
      </c>
      <c r="X308" s="16">
        <v>5088</v>
      </c>
      <c r="Y308" s="16">
        <v>4503</v>
      </c>
      <c r="Z308" s="16">
        <f t="shared" si="347"/>
        <v>585</v>
      </c>
      <c r="AA308" s="16"/>
      <c r="AB308" s="16"/>
      <c r="AC308" s="78"/>
      <c r="AD308" s="79"/>
      <c r="AE308" s="15"/>
      <c r="AF308" s="15"/>
      <c r="AG308" s="15"/>
      <c r="AH308" s="15"/>
      <c r="AI308" s="15"/>
      <c r="AJ308" s="16"/>
      <c r="AK308" s="16"/>
      <c r="AL308" s="16"/>
      <c r="AM308" s="16"/>
      <c r="AN308" s="16"/>
      <c r="AO308" s="16"/>
      <c r="AP308" s="16"/>
      <c r="AQ308" s="78">
        <v>2018</v>
      </c>
      <c r="AR308" s="79" t="s">
        <v>38</v>
      </c>
      <c r="AS308" s="15">
        <f t="shared" si="273"/>
        <v>0.92445025038101458</v>
      </c>
      <c r="AT308" s="15">
        <f t="shared" si="274"/>
        <v>0.94776785714285716</v>
      </c>
      <c r="AU308" s="15">
        <f t="shared" si="275"/>
        <v>0.97539734378401921</v>
      </c>
      <c r="AV308" s="16"/>
      <c r="AW308" s="16"/>
      <c r="AX308" s="16">
        <v>4593</v>
      </c>
      <c r="AY308" s="16">
        <f t="shared" si="348"/>
        <v>113</v>
      </c>
      <c r="AZ308" s="16">
        <v>4480</v>
      </c>
      <c r="BA308" s="16">
        <v>4246</v>
      </c>
      <c r="BB308" s="16">
        <f t="shared" si="349"/>
        <v>234</v>
      </c>
      <c r="BC308" s="16"/>
      <c r="BD308" s="16"/>
      <c r="BE308" s="78">
        <v>2018</v>
      </c>
      <c r="BF308" s="79" t="s">
        <v>38</v>
      </c>
      <c r="BG308" s="15">
        <f t="shared" si="310"/>
        <v>0.89122978931896124</v>
      </c>
      <c r="BH308" s="15">
        <f t="shared" si="311"/>
        <v>0.92711518858307851</v>
      </c>
      <c r="BI308" s="15">
        <f t="shared" si="312"/>
        <v>0.96129348358647726</v>
      </c>
      <c r="BJ308" s="16"/>
      <c r="BK308" s="16"/>
      <c r="BL308" s="16">
        <v>4082</v>
      </c>
      <c r="BM308" s="16">
        <f t="shared" si="350"/>
        <v>158</v>
      </c>
      <c r="BN308" s="16">
        <v>3924</v>
      </c>
      <c r="BO308" s="16">
        <v>3638</v>
      </c>
      <c r="BP308" s="16">
        <f t="shared" si="351"/>
        <v>286</v>
      </c>
      <c r="BQ308" s="16"/>
      <c r="BR308" s="16"/>
      <c r="BS308" s="78">
        <v>2018</v>
      </c>
      <c r="BT308" s="79" t="s">
        <v>38</v>
      </c>
      <c r="BU308" s="15">
        <f t="shared" si="276"/>
        <v>0.89049214120072151</v>
      </c>
      <c r="BV308" s="15">
        <f t="shared" si="277"/>
        <v>0.91235480464625129</v>
      </c>
      <c r="BW308" s="15">
        <f t="shared" si="278"/>
        <v>0.97603710383921671</v>
      </c>
      <c r="BX308" s="16"/>
      <c r="BY308" s="16"/>
      <c r="BZ308" s="16">
        <v>3881</v>
      </c>
      <c r="CA308" s="16">
        <f t="shared" si="352"/>
        <v>93</v>
      </c>
      <c r="CB308" s="16">
        <v>3788</v>
      </c>
      <c r="CC308" s="16">
        <v>3456</v>
      </c>
      <c r="CD308" s="16">
        <f t="shared" si="353"/>
        <v>332</v>
      </c>
      <c r="CE308" s="16"/>
      <c r="CF308" s="16"/>
      <c r="CG308" s="78">
        <v>2018</v>
      </c>
      <c r="CH308" s="79" t="s">
        <v>38</v>
      </c>
      <c r="CI308" s="15"/>
      <c r="CJ308" s="15"/>
      <c r="CK308" s="15"/>
      <c r="CL308" s="35"/>
      <c r="CM308" s="35"/>
      <c r="CN308" s="35"/>
      <c r="CO308" s="35"/>
      <c r="CP308" s="16"/>
      <c r="CQ308" s="16"/>
      <c r="CR308" s="16"/>
      <c r="CS308" s="16"/>
      <c r="CT308" s="16"/>
      <c r="CU308" s="78">
        <v>2018</v>
      </c>
      <c r="CV308" s="79" t="s">
        <v>38</v>
      </c>
      <c r="CW308" s="15">
        <f t="shared" si="282"/>
        <v>0.96497373029772326</v>
      </c>
      <c r="CX308" s="15">
        <f t="shared" si="283"/>
        <v>0.98834080717488793</v>
      </c>
      <c r="CY308" s="15">
        <f t="shared" si="284"/>
        <v>0.97635726795096323</v>
      </c>
      <c r="CZ308" s="16"/>
      <c r="DA308" s="16"/>
      <c r="DB308" s="16">
        <v>1142</v>
      </c>
      <c r="DC308" s="16">
        <f t="shared" si="354"/>
        <v>27</v>
      </c>
      <c r="DD308" s="16">
        <v>1115</v>
      </c>
      <c r="DE308" s="16">
        <v>1102</v>
      </c>
      <c r="DF308" s="16">
        <f t="shared" si="355"/>
        <v>13</v>
      </c>
      <c r="DG308" s="16"/>
      <c r="DH308" s="16"/>
      <c r="DI308" s="78">
        <v>2018</v>
      </c>
      <c r="DJ308" s="79" t="s">
        <v>38</v>
      </c>
      <c r="DK308" s="15">
        <f t="shared" si="287"/>
        <v>0.94032258064516128</v>
      </c>
      <c r="DL308" s="15">
        <f t="shared" si="288"/>
        <v>0.9464285714285714</v>
      </c>
      <c r="DM308" s="15">
        <f t="shared" si="289"/>
        <v>0.99354838709677418</v>
      </c>
      <c r="DN308" s="16"/>
      <c r="DO308" s="16"/>
      <c r="DP308" s="16">
        <v>620</v>
      </c>
      <c r="DQ308" s="16">
        <f t="shared" si="356"/>
        <v>4</v>
      </c>
      <c r="DR308" s="16">
        <v>616</v>
      </c>
      <c r="DS308" s="16">
        <v>583</v>
      </c>
      <c r="DT308" s="16">
        <f t="shared" si="357"/>
        <v>33</v>
      </c>
      <c r="DU308" s="16"/>
      <c r="DV308" s="16"/>
      <c r="DW308" s="78">
        <v>2018</v>
      </c>
      <c r="DX308" s="79" t="s">
        <v>38</v>
      </c>
      <c r="DY308" s="15">
        <f t="shared" si="290"/>
        <v>0.9570909090909091</v>
      </c>
      <c r="DZ308" s="15">
        <f t="shared" si="291"/>
        <v>0.96764705882352942</v>
      </c>
      <c r="EA308" s="15">
        <f t="shared" si="292"/>
        <v>0.98909090909090913</v>
      </c>
      <c r="EB308" s="16"/>
      <c r="EC308" s="16"/>
      <c r="ED308" s="16">
        <v>1375</v>
      </c>
      <c r="EE308" s="16">
        <f t="shared" si="358"/>
        <v>15</v>
      </c>
      <c r="EF308" s="16">
        <v>1360</v>
      </c>
      <c r="EG308" s="16">
        <v>1316</v>
      </c>
      <c r="EH308" s="16">
        <f t="shared" si="359"/>
        <v>44</v>
      </c>
      <c r="EI308" s="19" t="s">
        <v>68</v>
      </c>
      <c r="EJ308" s="16"/>
      <c r="EK308" s="78">
        <v>2018</v>
      </c>
      <c r="EL308" s="79" t="s">
        <v>38</v>
      </c>
      <c r="EM308" s="15">
        <f t="shared" si="343"/>
        <v>0.96356275303643724</v>
      </c>
      <c r="EN308" s="15">
        <f t="shared" si="344"/>
        <v>0.96356275303643724</v>
      </c>
      <c r="EO308" s="15">
        <f t="shared" si="345"/>
        <v>1</v>
      </c>
      <c r="EP308" s="16"/>
      <c r="EQ308" s="16"/>
      <c r="ER308" s="16">
        <v>247</v>
      </c>
      <c r="ES308" s="16">
        <f t="shared" si="360"/>
        <v>0</v>
      </c>
      <c r="ET308" s="16">
        <v>247</v>
      </c>
      <c r="EU308" s="16">
        <v>238</v>
      </c>
      <c r="EV308" s="16">
        <f t="shared" si="361"/>
        <v>9</v>
      </c>
      <c r="EW308" s="16"/>
      <c r="EX308" s="16"/>
      <c r="EY308" s="78"/>
      <c r="EZ308" s="79"/>
      <c r="FA308" s="15"/>
      <c r="FB308" s="15"/>
      <c r="FC308" s="15"/>
      <c r="FD308" s="16"/>
      <c r="FE308" s="16"/>
      <c r="FF308" s="16"/>
      <c r="FG308" s="16"/>
      <c r="FH308" s="16"/>
      <c r="FI308" s="16"/>
      <c r="FJ308" s="16"/>
      <c r="FK308" s="19" t="s">
        <v>68</v>
      </c>
      <c r="FM308" s="78"/>
      <c r="FN308" s="79"/>
      <c r="FO308" s="15"/>
      <c r="FP308" s="15"/>
      <c r="FQ308" s="15"/>
      <c r="FR308" s="16"/>
      <c r="FS308" s="16"/>
      <c r="FT308" s="16"/>
      <c r="FU308" s="16"/>
      <c r="FV308" s="16"/>
      <c r="FW308" s="16"/>
      <c r="FX308" s="16"/>
      <c r="FY308" s="19" t="s">
        <v>68</v>
      </c>
      <c r="GA308" s="78"/>
      <c r="GB308" s="79"/>
      <c r="GC308" s="15"/>
      <c r="GD308" s="15"/>
      <c r="GE308" s="15"/>
      <c r="GF308" s="16"/>
      <c r="GG308" s="16"/>
      <c r="GH308" s="16"/>
      <c r="GI308" s="16"/>
      <c r="GJ308" s="16"/>
      <c r="GK308" s="16"/>
      <c r="GL308" s="16"/>
      <c r="GM308" s="19"/>
    </row>
    <row r="309" spans="1:195" s="18" customFormat="1" ht="15" customHeight="1">
      <c r="A309" s="80">
        <v>2018</v>
      </c>
      <c r="B309" s="81" t="s">
        <v>39</v>
      </c>
      <c r="C309" s="15">
        <f t="shared" si="293"/>
        <v>0.8706229082371747</v>
      </c>
      <c r="D309" s="15">
        <f t="shared" si="294"/>
        <v>0.90244912753067885</v>
      </c>
      <c r="E309" s="15">
        <f t="shared" si="295"/>
        <v>0.96473350317198658</v>
      </c>
      <c r="F309" s="16"/>
      <c r="G309" s="33"/>
      <c r="H30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20019</v>
      </c>
      <c r="I309" s="16">
        <f t="shared" si="296"/>
        <v>706</v>
      </c>
      <c r="J30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19313</v>
      </c>
      <c r="K30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17429</v>
      </c>
      <c r="L309" s="16">
        <f t="shared" si="297"/>
        <v>1884</v>
      </c>
      <c r="M309" s="16"/>
      <c r="N309" s="16"/>
      <c r="O309" s="80">
        <v>2018</v>
      </c>
      <c r="P309" s="81" t="s">
        <v>39</v>
      </c>
      <c r="Q309" s="15">
        <f t="shared" si="270"/>
        <v>0.82482786553260434</v>
      </c>
      <c r="R309" s="15">
        <f t="shared" si="271"/>
        <v>0.84327122153209111</v>
      </c>
      <c r="S309" s="15">
        <f t="shared" si="272"/>
        <v>0.9781287970838396</v>
      </c>
      <c r="T309" s="26"/>
      <c r="U309" s="26"/>
      <c r="V309" s="16">
        <v>4938</v>
      </c>
      <c r="W309" s="16">
        <f t="shared" si="346"/>
        <v>108</v>
      </c>
      <c r="X309" s="16">
        <v>4830</v>
      </c>
      <c r="Y309" s="16">
        <v>4073</v>
      </c>
      <c r="Z309" s="16">
        <f t="shared" si="347"/>
        <v>757</v>
      </c>
      <c r="AA309" s="16"/>
      <c r="AB309" s="16"/>
      <c r="AC309" s="80"/>
      <c r="AD309" s="81"/>
      <c r="AE309" s="15"/>
      <c r="AF309" s="15"/>
      <c r="AG309" s="15"/>
      <c r="AH309" s="15"/>
      <c r="AI309" s="15"/>
      <c r="AJ309" s="16"/>
      <c r="AK309" s="16"/>
      <c r="AL309" s="16"/>
      <c r="AM309" s="16"/>
      <c r="AN309" s="16"/>
      <c r="AO309" s="16"/>
      <c r="AP309" s="16"/>
      <c r="AQ309" s="80">
        <v>2018</v>
      </c>
      <c r="AR309" s="81" t="s">
        <v>39</v>
      </c>
      <c r="AS309" s="15">
        <f t="shared" si="273"/>
        <v>0.89434832756632066</v>
      </c>
      <c r="AT309" s="15">
        <f t="shared" si="274"/>
        <v>0.92155930591870694</v>
      </c>
      <c r="AU309" s="15">
        <f t="shared" si="275"/>
        <v>0.97047289504036904</v>
      </c>
      <c r="AV309" s="16"/>
      <c r="AW309" s="16"/>
      <c r="AX309" s="16">
        <v>4335</v>
      </c>
      <c r="AY309" s="16">
        <f t="shared" si="348"/>
        <v>128</v>
      </c>
      <c r="AZ309" s="16">
        <v>4207</v>
      </c>
      <c r="BA309" s="16">
        <v>3877</v>
      </c>
      <c r="BB309" s="16">
        <f t="shared" si="349"/>
        <v>330</v>
      </c>
      <c r="BC309" s="16"/>
      <c r="BD309" s="16"/>
      <c r="BE309" s="80">
        <v>2018</v>
      </c>
      <c r="BF309" s="81" t="s">
        <v>39</v>
      </c>
      <c r="BG309" s="15">
        <f t="shared" si="310"/>
        <v>0.86195109124375491</v>
      </c>
      <c r="BH309" s="15">
        <f t="shared" si="311"/>
        <v>0.91411042944785281</v>
      </c>
      <c r="BI309" s="15">
        <f t="shared" si="312"/>
        <v>0.94293978438075199</v>
      </c>
      <c r="BJ309" s="16"/>
      <c r="BK309" s="16"/>
      <c r="BL309" s="16">
        <v>3803</v>
      </c>
      <c r="BM309" s="16">
        <f t="shared" si="350"/>
        <v>217</v>
      </c>
      <c r="BN309" s="16">
        <v>3586</v>
      </c>
      <c r="BO309" s="16">
        <v>3278</v>
      </c>
      <c r="BP309" s="16">
        <f t="shared" si="351"/>
        <v>308</v>
      </c>
      <c r="BQ309" s="16"/>
      <c r="BR309" s="16"/>
      <c r="BS309" s="80">
        <v>2018</v>
      </c>
      <c r="BT309" s="81" t="s">
        <v>39</v>
      </c>
      <c r="BU309" s="15">
        <f t="shared" si="276"/>
        <v>0.8365959760739532</v>
      </c>
      <c r="BV309" s="15">
        <f t="shared" si="277"/>
        <v>0.8821674311926605</v>
      </c>
      <c r="BW309" s="15">
        <f t="shared" si="278"/>
        <v>0.94834148994018486</v>
      </c>
      <c r="BX309" s="16"/>
      <c r="BY309" s="16"/>
      <c r="BZ309" s="16">
        <v>3678</v>
      </c>
      <c r="CA309" s="16">
        <f t="shared" si="352"/>
        <v>190</v>
      </c>
      <c r="CB309" s="16">
        <v>3488</v>
      </c>
      <c r="CC309" s="16">
        <v>3077</v>
      </c>
      <c r="CD309" s="16">
        <f t="shared" si="353"/>
        <v>411</v>
      </c>
      <c r="CE309" s="16"/>
      <c r="CF309" s="16"/>
      <c r="CG309" s="80">
        <v>2018</v>
      </c>
      <c r="CH309" s="81" t="s">
        <v>39</v>
      </c>
      <c r="CI309" s="15"/>
      <c r="CJ309" s="15"/>
      <c r="CK309" s="15"/>
      <c r="CL309" s="35"/>
      <c r="CM309" s="35"/>
      <c r="CN309" s="35"/>
      <c r="CO309" s="35"/>
      <c r="CP309" s="16"/>
      <c r="CQ309" s="16"/>
      <c r="CR309" s="16"/>
      <c r="CS309" s="16"/>
      <c r="CT309" s="16"/>
      <c r="CU309" s="80">
        <v>2018</v>
      </c>
      <c r="CV309" s="81" t="s">
        <v>39</v>
      </c>
      <c r="CW309" s="15">
        <f t="shared" si="282"/>
        <v>0.96554850407978243</v>
      </c>
      <c r="CX309" s="15">
        <f t="shared" si="283"/>
        <v>0.9888579387186629</v>
      </c>
      <c r="CY309" s="15">
        <f t="shared" si="284"/>
        <v>0.97642792384406163</v>
      </c>
      <c r="CZ309" s="16"/>
      <c r="DA309" s="16"/>
      <c r="DB309" s="16">
        <v>1103</v>
      </c>
      <c r="DC309" s="16">
        <f t="shared" si="354"/>
        <v>26</v>
      </c>
      <c r="DD309" s="16">
        <v>1077</v>
      </c>
      <c r="DE309" s="16">
        <v>1065</v>
      </c>
      <c r="DF309" s="16">
        <f t="shared" si="355"/>
        <v>12</v>
      </c>
      <c r="DG309" s="16"/>
      <c r="DH309" s="16"/>
      <c r="DI309" s="80">
        <v>2018</v>
      </c>
      <c r="DJ309" s="81" t="s">
        <v>39</v>
      </c>
      <c r="DK309" s="15">
        <f t="shared" si="287"/>
        <v>0.94166666666666665</v>
      </c>
      <c r="DL309" s="15">
        <f t="shared" si="288"/>
        <v>0.96416382252559729</v>
      </c>
      <c r="DM309" s="15">
        <f t="shared" si="289"/>
        <v>0.97666666666666668</v>
      </c>
      <c r="DN309" s="16"/>
      <c r="DO309" s="16"/>
      <c r="DP309" s="16">
        <v>600</v>
      </c>
      <c r="DQ309" s="16">
        <f t="shared" si="356"/>
        <v>14</v>
      </c>
      <c r="DR309" s="16">
        <v>586</v>
      </c>
      <c r="DS309" s="16">
        <v>565</v>
      </c>
      <c r="DT309" s="16">
        <f t="shared" si="357"/>
        <v>21</v>
      </c>
      <c r="DU309" s="16"/>
      <c r="DV309" s="16"/>
      <c r="DW309" s="80">
        <v>2018</v>
      </c>
      <c r="DX309" s="81" t="s">
        <v>39</v>
      </c>
      <c r="DY309" s="15">
        <f t="shared" si="290"/>
        <v>0.95083207261724656</v>
      </c>
      <c r="DZ309" s="15">
        <f t="shared" si="291"/>
        <v>0.9676674364896074</v>
      </c>
      <c r="EA309" s="15">
        <f t="shared" si="292"/>
        <v>0.98260211800302577</v>
      </c>
      <c r="EB309" s="16"/>
      <c r="EC309" s="16"/>
      <c r="ED309" s="16">
        <v>1322</v>
      </c>
      <c r="EE309" s="16">
        <f t="shared" si="358"/>
        <v>23</v>
      </c>
      <c r="EF309" s="16">
        <v>1299</v>
      </c>
      <c r="EG309" s="16">
        <v>1257</v>
      </c>
      <c r="EH309" s="16">
        <f t="shared" si="359"/>
        <v>42</v>
      </c>
      <c r="EI309" s="16"/>
      <c r="EJ309" s="16"/>
      <c r="EK309" s="80">
        <v>2018</v>
      </c>
      <c r="EL309" s="81" t="s">
        <v>39</v>
      </c>
      <c r="EM309" s="15">
        <f t="shared" si="343"/>
        <v>0.98750000000000004</v>
      </c>
      <c r="EN309" s="15">
        <f t="shared" si="344"/>
        <v>0.98750000000000004</v>
      </c>
      <c r="EO309" s="15">
        <f t="shared" si="345"/>
        <v>1</v>
      </c>
      <c r="EP309" s="16"/>
      <c r="EQ309" s="16"/>
      <c r="ER309" s="16">
        <v>240</v>
      </c>
      <c r="ES309" s="16">
        <f t="shared" si="360"/>
        <v>0</v>
      </c>
      <c r="ET309" s="16">
        <v>240</v>
      </c>
      <c r="EU309" s="16">
        <v>237</v>
      </c>
      <c r="EV309" s="16">
        <f t="shared" si="361"/>
        <v>3</v>
      </c>
      <c r="EW309" s="16"/>
      <c r="EX309" s="16"/>
      <c r="EY309" s="80"/>
      <c r="EZ309" s="81"/>
      <c r="FA309" s="15"/>
      <c r="FB309" s="15"/>
      <c r="FC309" s="15"/>
      <c r="FD309" s="16"/>
      <c r="FE309" s="16"/>
      <c r="FF309" s="16"/>
      <c r="FG309" s="16"/>
      <c r="FH309" s="16"/>
      <c r="FI309" s="16"/>
      <c r="FJ309" s="16"/>
      <c r="FK309" s="16"/>
      <c r="FM309" s="80"/>
      <c r="FN309" s="81"/>
      <c r="FO309" s="15"/>
      <c r="FP309" s="15"/>
      <c r="FQ309" s="15"/>
      <c r="FR309" s="16"/>
      <c r="FS309" s="16"/>
      <c r="FT309" s="16"/>
      <c r="FU309" s="16"/>
      <c r="FV309" s="16"/>
      <c r="FW309" s="16"/>
      <c r="FX309" s="16"/>
      <c r="FY309" s="16"/>
      <c r="GA309" s="80"/>
      <c r="GB309" s="81"/>
      <c r="GC309" s="15"/>
      <c r="GD309" s="15"/>
      <c r="GE309" s="15"/>
      <c r="GF309" s="16"/>
      <c r="GG309" s="16"/>
      <c r="GH309" s="16"/>
      <c r="GI309" s="16"/>
      <c r="GJ309" s="16"/>
      <c r="GK309" s="16"/>
      <c r="GL309" s="16"/>
      <c r="GM309" s="16"/>
    </row>
    <row r="310" spans="1:195" s="18" customFormat="1" ht="15" customHeight="1">
      <c r="A310" s="78">
        <v>2018</v>
      </c>
      <c r="B310" s="79" t="s">
        <v>40</v>
      </c>
      <c r="C310" s="15">
        <f t="shared" si="293"/>
        <v>0.8816345925397957</v>
      </c>
      <c r="D310" s="15">
        <f t="shared" si="294"/>
        <v>0.9175155770942538</v>
      </c>
      <c r="E310" s="15">
        <f t="shared" si="295"/>
        <v>0.96089332382988835</v>
      </c>
      <c r="F310" s="16"/>
      <c r="G310" s="33"/>
      <c r="H31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21045</v>
      </c>
      <c r="I310" s="16">
        <f t="shared" si="296"/>
        <v>823</v>
      </c>
      <c r="J31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20222</v>
      </c>
      <c r="K31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18554</v>
      </c>
      <c r="L310" s="16">
        <f t="shared" si="297"/>
        <v>1668</v>
      </c>
      <c r="M310" s="16"/>
      <c r="N310" s="16"/>
      <c r="O310" s="78">
        <v>2018</v>
      </c>
      <c r="P310" s="79" t="s">
        <v>40</v>
      </c>
      <c r="Q310" s="15">
        <f t="shared" si="270"/>
        <v>0.8339687380861609</v>
      </c>
      <c r="R310" s="15">
        <f t="shared" si="271"/>
        <v>0.85482610394685421</v>
      </c>
      <c r="S310" s="15">
        <f t="shared" si="272"/>
        <v>0.97560045749142199</v>
      </c>
      <c r="T310" s="26"/>
      <c r="U310" s="26"/>
      <c r="V310" s="16">
        <v>5246</v>
      </c>
      <c r="W310" s="16">
        <f t="shared" si="346"/>
        <v>128</v>
      </c>
      <c r="X310" s="16">
        <v>5118</v>
      </c>
      <c r="Y310" s="16">
        <v>4375</v>
      </c>
      <c r="Z310" s="16">
        <f t="shared" si="347"/>
        <v>743</v>
      </c>
      <c r="AA310" s="16"/>
      <c r="AB310" s="16"/>
      <c r="AC310" s="78"/>
      <c r="AD310" s="79"/>
      <c r="AE310" s="15"/>
      <c r="AF310" s="15"/>
      <c r="AG310" s="15"/>
      <c r="AH310" s="15"/>
      <c r="AI310" s="15"/>
      <c r="AJ310" s="16"/>
      <c r="AK310" s="16"/>
      <c r="AL310" s="16"/>
      <c r="AM310" s="16"/>
      <c r="AN310" s="16"/>
      <c r="AO310" s="16"/>
      <c r="AP310" s="16"/>
      <c r="AQ310" s="78">
        <v>2018</v>
      </c>
      <c r="AR310" s="79" t="s">
        <v>40</v>
      </c>
      <c r="AS310" s="15">
        <f t="shared" si="273"/>
        <v>0.91661195009848984</v>
      </c>
      <c r="AT310" s="15">
        <f t="shared" si="274"/>
        <v>0.93859255939040787</v>
      </c>
      <c r="AU310" s="15">
        <f t="shared" si="275"/>
        <v>0.9765813088203108</v>
      </c>
      <c r="AV310" s="16"/>
      <c r="AW310" s="16"/>
      <c r="AX310" s="16">
        <v>4569</v>
      </c>
      <c r="AY310" s="16">
        <f t="shared" si="348"/>
        <v>107</v>
      </c>
      <c r="AZ310" s="16">
        <v>4462</v>
      </c>
      <c r="BA310" s="16">
        <v>4188</v>
      </c>
      <c r="BB310" s="16">
        <f t="shared" si="349"/>
        <v>274</v>
      </c>
      <c r="BC310" s="16"/>
      <c r="BD310" s="16"/>
      <c r="BE310" s="78">
        <v>2018</v>
      </c>
      <c r="BF310" s="79" t="s">
        <v>40</v>
      </c>
      <c r="BG310" s="15">
        <f t="shared" si="310"/>
        <v>0.88418430884184307</v>
      </c>
      <c r="BH310" s="15">
        <f t="shared" si="311"/>
        <v>0.93396474611944225</v>
      </c>
      <c r="BI310" s="15">
        <f t="shared" si="312"/>
        <v>0.94669987546699874</v>
      </c>
      <c r="BJ310" s="16"/>
      <c r="BK310" s="16"/>
      <c r="BL310" s="16">
        <v>4015</v>
      </c>
      <c r="BM310" s="16">
        <f t="shared" si="350"/>
        <v>214</v>
      </c>
      <c r="BN310" s="16">
        <v>3801</v>
      </c>
      <c r="BO310" s="16">
        <v>3550</v>
      </c>
      <c r="BP310" s="16">
        <f t="shared" si="351"/>
        <v>251</v>
      </c>
      <c r="BQ310" s="16"/>
      <c r="BR310" s="16"/>
      <c r="BS310" s="78">
        <v>2018</v>
      </c>
      <c r="BT310" s="79" t="s">
        <v>40</v>
      </c>
      <c r="BU310" s="15">
        <f t="shared" si="276"/>
        <v>0.84811443433029909</v>
      </c>
      <c r="BV310" s="15">
        <f t="shared" si="277"/>
        <v>0.91962774957698812</v>
      </c>
      <c r="BW310" s="15">
        <f t="shared" si="278"/>
        <v>0.92223667100130036</v>
      </c>
      <c r="BX310" s="16"/>
      <c r="BY310" s="16"/>
      <c r="BZ310" s="16">
        <v>3845</v>
      </c>
      <c r="CA310" s="16">
        <f t="shared" si="352"/>
        <v>299</v>
      </c>
      <c r="CB310" s="16">
        <v>3546</v>
      </c>
      <c r="CC310" s="16">
        <v>3261</v>
      </c>
      <c r="CD310" s="16">
        <f t="shared" si="353"/>
        <v>285</v>
      </c>
      <c r="CE310" s="16"/>
      <c r="CF310" s="16"/>
      <c r="CG310" s="78">
        <v>2018</v>
      </c>
      <c r="CH310" s="79" t="s">
        <v>40</v>
      </c>
      <c r="CI310" s="15"/>
      <c r="CJ310" s="15"/>
      <c r="CK310" s="15"/>
      <c r="CL310" s="35"/>
      <c r="CM310" s="35"/>
      <c r="CN310" s="35"/>
      <c r="CO310" s="35"/>
      <c r="CP310" s="16"/>
      <c r="CQ310" s="16"/>
      <c r="CR310" s="16"/>
      <c r="CS310" s="16"/>
      <c r="CT310" s="16"/>
      <c r="CU310" s="78">
        <v>2018</v>
      </c>
      <c r="CV310" s="79" t="s">
        <v>40</v>
      </c>
      <c r="CW310" s="15">
        <f t="shared" si="282"/>
        <v>0.97458369851007887</v>
      </c>
      <c r="CX310" s="15">
        <f t="shared" si="283"/>
        <v>0.99020480854853077</v>
      </c>
      <c r="CY310" s="15">
        <f t="shared" si="284"/>
        <v>0.98422436459246276</v>
      </c>
      <c r="CZ310" s="16"/>
      <c r="DA310" s="16"/>
      <c r="DB310" s="16">
        <v>1141</v>
      </c>
      <c r="DC310" s="16">
        <f t="shared" si="354"/>
        <v>18</v>
      </c>
      <c r="DD310" s="16">
        <v>1123</v>
      </c>
      <c r="DE310" s="16">
        <v>1112</v>
      </c>
      <c r="DF310" s="16">
        <f t="shared" si="355"/>
        <v>11</v>
      </c>
      <c r="DG310" s="16"/>
      <c r="DH310" s="16"/>
      <c r="DI310" s="78">
        <v>2018</v>
      </c>
      <c r="DJ310" s="79" t="s">
        <v>40</v>
      </c>
      <c r="DK310" s="15">
        <f t="shared" si="287"/>
        <v>0.93225806451612903</v>
      </c>
      <c r="DL310" s="15">
        <f t="shared" si="288"/>
        <v>0.96333333333333337</v>
      </c>
      <c r="DM310" s="15">
        <f t="shared" si="289"/>
        <v>0.967741935483871</v>
      </c>
      <c r="DN310" s="16"/>
      <c r="DO310" s="16"/>
      <c r="DP310" s="16">
        <v>620</v>
      </c>
      <c r="DQ310" s="16">
        <f t="shared" si="356"/>
        <v>20</v>
      </c>
      <c r="DR310" s="16">
        <v>600</v>
      </c>
      <c r="DS310" s="16">
        <v>578</v>
      </c>
      <c r="DT310" s="16">
        <f t="shared" si="357"/>
        <v>22</v>
      </c>
      <c r="DU310" s="16"/>
      <c r="DV310" s="16"/>
      <c r="DW310" s="78">
        <v>2018</v>
      </c>
      <c r="DX310" s="79" t="s">
        <v>40</v>
      </c>
      <c r="DY310" s="15">
        <f t="shared" si="290"/>
        <v>0.91830780452224658</v>
      </c>
      <c r="DZ310" s="15">
        <f t="shared" si="291"/>
        <v>0.94236526946107779</v>
      </c>
      <c r="EA310" s="15">
        <f t="shared" si="292"/>
        <v>0.97447118891320206</v>
      </c>
      <c r="EB310" s="16"/>
      <c r="EC310" s="16"/>
      <c r="ED310" s="16">
        <v>1371</v>
      </c>
      <c r="EE310" s="16">
        <f t="shared" si="358"/>
        <v>35</v>
      </c>
      <c r="EF310" s="16">
        <v>1336</v>
      </c>
      <c r="EG310" s="16">
        <v>1259</v>
      </c>
      <c r="EH310" s="16">
        <f t="shared" si="359"/>
        <v>77</v>
      </c>
      <c r="EI310" s="16"/>
      <c r="EJ310" s="16"/>
      <c r="EK310" s="78">
        <v>2018</v>
      </c>
      <c r="EL310" s="79" t="s">
        <v>40</v>
      </c>
      <c r="EM310" s="15">
        <f t="shared" si="343"/>
        <v>0.97058823529411764</v>
      </c>
      <c r="EN310" s="15">
        <f t="shared" si="344"/>
        <v>0.97881355932203384</v>
      </c>
      <c r="EO310" s="15">
        <f t="shared" si="345"/>
        <v>0.99159663865546221</v>
      </c>
      <c r="EP310" s="16"/>
      <c r="EQ310" s="16"/>
      <c r="ER310" s="16">
        <v>238</v>
      </c>
      <c r="ES310" s="16">
        <f t="shared" si="360"/>
        <v>2</v>
      </c>
      <c r="ET310" s="16">
        <v>236</v>
      </c>
      <c r="EU310" s="16">
        <v>231</v>
      </c>
      <c r="EV310" s="16">
        <f t="shared" si="361"/>
        <v>5</v>
      </c>
      <c r="EW310" s="16"/>
      <c r="EX310" s="16"/>
      <c r="EY310" s="78"/>
      <c r="EZ310" s="79"/>
      <c r="FA310" s="15"/>
      <c r="FB310" s="15"/>
      <c r="FC310" s="15"/>
      <c r="FD310" s="16"/>
      <c r="FE310" s="16"/>
      <c r="FF310" s="16"/>
      <c r="FG310" s="16"/>
      <c r="FH310" s="16"/>
      <c r="FI310" s="16"/>
      <c r="FJ310" s="16"/>
      <c r="FK310" s="16"/>
      <c r="FM310" s="78"/>
      <c r="FN310" s="79"/>
      <c r="FO310" s="15"/>
      <c r="FP310" s="15"/>
      <c r="FQ310" s="15"/>
      <c r="FR310" s="16"/>
      <c r="FS310" s="16"/>
      <c r="FT310" s="16"/>
      <c r="FU310" s="16"/>
      <c r="FV310" s="16"/>
      <c r="FW310" s="16"/>
      <c r="FX310" s="16"/>
      <c r="FY310" s="16"/>
      <c r="GA310" s="78"/>
      <c r="GB310" s="79"/>
      <c r="GC310" s="15"/>
      <c r="GD310" s="15"/>
      <c r="GE310" s="15"/>
      <c r="GF310" s="16"/>
      <c r="GG310" s="16"/>
      <c r="GH310" s="16"/>
      <c r="GI310" s="16"/>
      <c r="GJ310" s="16"/>
      <c r="GK310" s="16"/>
      <c r="GL310" s="16"/>
      <c r="GM310" s="16"/>
    </row>
    <row r="311" spans="1:195" s="18" customFormat="1" ht="15" customHeight="1">
      <c r="A311" s="80">
        <v>2018</v>
      </c>
      <c r="B311" s="81" t="s">
        <v>41</v>
      </c>
      <c r="C311" s="15">
        <f t="shared" si="293"/>
        <v>0.81680584551148228</v>
      </c>
      <c r="D311" s="15">
        <f t="shared" si="294"/>
        <v>0.88513548254408969</v>
      </c>
      <c r="E311" s="15">
        <f t="shared" si="295"/>
        <v>0.92280318846080855</v>
      </c>
      <c r="F311" s="16"/>
      <c r="G311" s="33"/>
      <c r="H31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21076</v>
      </c>
      <c r="I311" s="16">
        <f t="shared" si="296"/>
        <v>1627</v>
      </c>
      <c r="J31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19449</v>
      </c>
      <c r="K31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17215</v>
      </c>
      <c r="L311" s="16">
        <f t="shared" si="297"/>
        <v>2234</v>
      </c>
      <c r="M311" s="16"/>
      <c r="N311" s="16"/>
      <c r="O311" s="80">
        <v>2018</v>
      </c>
      <c r="P311" s="81" t="s">
        <v>41</v>
      </c>
      <c r="Q311" s="15">
        <f t="shared" si="270"/>
        <v>0.76685499058380413</v>
      </c>
      <c r="R311" s="15">
        <f t="shared" si="271"/>
        <v>0.81147867676365082</v>
      </c>
      <c r="S311" s="15">
        <f t="shared" si="272"/>
        <v>0.94500941619585688</v>
      </c>
      <c r="T311" s="26"/>
      <c r="U311" s="26"/>
      <c r="V311" s="16">
        <v>5310</v>
      </c>
      <c r="W311" s="16">
        <f t="shared" si="346"/>
        <v>292</v>
      </c>
      <c r="X311" s="16">
        <v>5018</v>
      </c>
      <c r="Y311" s="16">
        <v>4072</v>
      </c>
      <c r="Z311" s="16">
        <f t="shared" si="347"/>
        <v>946</v>
      </c>
      <c r="AA311" s="16"/>
      <c r="AB311" s="16"/>
      <c r="AC311" s="80"/>
      <c r="AD311" s="81"/>
      <c r="AE311" s="15"/>
      <c r="AF311" s="15"/>
      <c r="AG311" s="15"/>
      <c r="AH311" s="15"/>
      <c r="AI311" s="15"/>
      <c r="AJ311" s="16"/>
      <c r="AK311" s="16"/>
      <c r="AL311" s="16"/>
      <c r="AM311" s="16"/>
      <c r="AN311" s="16"/>
      <c r="AO311" s="16"/>
      <c r="AP311" s="16"/>
      <c r="AQ311" s="80">
        <v>2018</v>
      </c>
      <c r="AR311" s="81" t="s">
        <v>41</v>
      </c>
      <c r="AS311" s="15">
        <f t="shared" si="273"/>
        <v>0.83636363636363631</v>
      </c>
      <c r="AT311" s="15">
        <f t="shared" si="274"/>
        <v>0.89025500910746813</v>
      </c>
      <c r="AU311" s="15">
        <f t="shared" si="275"/>
        <v>0.93946524064171122</v>
      </c>
      <c r="AV311" s="16"/>
      <c r="AW311" s="16"/>
      <c r="AX311" s="16">
        <v>4675</v>
      </c>
      <c r="AY311" s="16">
        <f t="shared" si="348"/>
        <v>283</v>
      </c>
      <c r="AZ311" s="16">
        <v>4392</v>
      </c>
      <c r="BA311" s="16">
        <v>3910</v>
      </c>
      <c r="BB311" s="16">
        <f t="shared" si="349"/>
        <v>482</v>
      </c>
      <c r="BC311" s="16"/>
      <c r="BD311" s="16"/>
      <c r="BE311" s="80">
        <v>2018</v>
      </c>
      <c r="BF311" s="81" t="s">
        <v>41</v>
      </c>
      <c r="BG311" s="15">
        <f t="shared" si="310"/>
        <v>0.81548223350253812</v>
      </c>
      <c r="BH311" s="15">
        <f t="shared" si="311"/>
        <v>0.92700519330640507</v>
      </c>
      <c r="BI311" s="15">
        <f t="shared" si="312"/>
        <v>0.87969543147208118</v>
      </c>
      <c r="BJ311" s="16"/>
      <c r="BK311" s="16"/>
      <c r="BL311" s="16">
        <v>3940</v>
      </c>
      <c r="BM311" s="16">
        <f t="shared" si="350"/>
        <v>474</v>
      </c>
      <c r="BN311" s="16">
        <v>3466</v>
      </c>
      <c r="BO311" s="16">
        <v>3213</v>
      </c>
      <c r="BP311" s="16">
        <f t="shared" si="351"/>
        <v>253</v>
      </c>
      <c r="BQ311" s="16"/>
      <c r="BR311" s="16"/>
      <c r="BS311" s="80">
        <v>2018</v>
      </c>
      <c r="BT311" s="81" t="s">
        <v>41</v>
      </c>
      <c r="BU311" s="15">
        <f t="shared" si="276"/>
        <v>0.81759999999999999</v>
      </c>
      <c r="BV311" s="15">
        <f t="shared" si="277"/>
        <v>0.89309641712787646</v>
      </c>
      <c r="BW311" s="15">
        <f t="shared" si="278"/>
        <v>0.91546666666666665</v>
      </c>
      <c r="BX311" s="16"/>
      <c r="BY311" s="16"/>
      <c r="BZ311" s="16">
        <v>3750</v>
      </c>
      <c r="CA311" s="16">
        <f t="shared" si="352"/>
        <v>317</v>
      </c>
      <c r="CB311" s="16">
        <v>3433</v>
      </c>
      <c r="CC311" s="16">
        <v>3066</v>
      </c>
      <c r="CD311" s="16">
        <f t="shared" si="353"/>
        <v>367</v>
      </c>
      <c r="CE311" s="16"/>
      <c r="CF311" s="16"/>
      <c r="CG311" s="80">
        <v>2018</v>
      </c>
      <c r="CH311" s="81" t="s">
        <v>41</v>
      </c>
      <c r="CI311" s="15"/>
      <c r="CJ311" s="15"/>
      <c r="CK311" s="15"/>
      <c r="CL311" s="35"/>
      <c r="CM311" s="35"/>
      <c r="CN311" s="35"/>
      <c r="CO311" s="35"/>
      <c r="CP311" s="16"/>
      <c r="CQ311" s="16"/>
      <c r="CR311" s="16"/>
      <c r="CS311" s="16"/>
      <c r="CT311" s="16"/>
      <c r="CU311" s="80">
        <v>2018</v>
      </c>
      <c r="CV311" s="81" t="s">
        <v>41</v>
      </c>
      <c r="CW311" s="15">
        <f t="shared" si="282"/>
        <v>0.89502262443438918</v>
      </c>
      <c r="CX311" s="15">
        <f t="shared" si="283"/>
        <v>0.98604187437686941</v>
      </c>
      <c r="CY311" s="15">
        <f t="shared" si="284"/>
        <v>0.90769230769230769</v>
      </c>
      <c r="CZ311" s="16"/>
      <c r="DA311" s="16"/>
      <c r="DB311" s="16">
        <v>1105</v>
      </c>
      <c r="DC311" s="16">
        <f t="shared" si="354"/>
        <v>102</v>
      </c>
      <c r="DD311" s="16">
        <v>1003</v>
      </c>
      <c r="DE311" s="16">
        <v>989</v>
      </c>
      <c r="DF311" s="16">
        <f t="shared" si="355"/>
        <v>14</v>
      </c>
      <c r="DG311" s="16"/>
      <c r="DH311" s="16"/>
      <c r="DI311" s="80">
        <v>2018</v>
      </c>
      <c r="DJ311" s="81" t="s">
        <v>41</v>
      </c>
      <c r="DK311" s="15">
        <f t="shared" si="287"/>
        <v>0.88166666666666671</v>
      </c>
      <c r="DL311" s="15">
        <f t="shared" si="288"/>
        <v>0.95833333333333337</v>
      </c>
      <c r="DM311" s="15">
        <f t="shared" si="289"/>
        <v>0.92</v>
      </c>
      <c r="DN311" s="16"/>
      <c r="DO311" s="16"/>
      <c r="DP311" s="16">
        <v>600</v>
      </c>
      <c r="DQ311" s="16">
        <f t="shared" si="356"/>
        <v>48</v>
      </c>
      <c r="DR311" s="16">
        <v>552</v>
      </c>
      <c r="DS311" s="16">
        <v>529</v>
      </c>
      <c r="DT311" s="16">
        <f t="shared" si="357"/>
        <v>23</v>
      </c>
      <c r="DU311" s="16"/>
      <c r="DV311" s="16"/>
      <c r="DW311" s="80">
        <v>2018</v>
      </c>
      <c r="DX311" s="81" t="s">
        <v>41</v>
      </c>
      <c r="DY311" s="15">
        <f t="shared" si="290"/>
        <v>0.83310439560439564</v>
      </c>
      <c r="DZ311" s="15">
        <f t="shared" si="291"/>
        <v>0.895864106351551</v>
      </c>
      <c r="EA311" s="15">
        <f t="shared" si="292"/>
        <v>0.92994505494505497</v>
      </c>
      <c r="EB311" s="16"/>
      <c r="EC311" s="16"/>
      <c r="ED311" s="16">
        <v>1456</v>
      </c>
      <c r="EE311" s="16">
        <f t="shared" si="358"/>
        <v>102</v>
      </c>
      <c r="EF311" s="16">
        <v>1354</v>
      </c>
      <c r="EG311" s="16">
        <v>1213</v>
      </c>
      <c r="EH311" s="16">
        <f t="shared" si="359"/>
        <v>141</v>
      </c>
      <c r="EI311" s="16"/>
      <c r="EJ311" s="16"/>
      <c r="EK311" s="80">
        <v>2018</v>
      </c>
      <c r="EL311" s="81" t="s">
        <v>41</v>
      </c>
      <c r="EM311" s="15">
        <f t="shared" si="343"/>
        <v>0.9291666666666667</v>
      </c>
      <c r="EN311" s="15">
        <f t="shared" si="344"/>
        <v>0.96536796536796532</v>
      </c>
      <c r="EO311" s="15">
        <f t="shared" si="345"/>
        <v>0.96250000000000002</v>
      </c>
      <c r="EP311" s="16"/>
      <c r="EQ311" s="16"/>
      <c r="ER311" s="16">
        <v>240</v>
      </c>
      <c r="ES311" s="16">
        <f t="shared" si="360"/>
        <v>9</v>
      </c>
      <c r="ET311" s="16">
        <v>231</v>
      </c>
      <c r="EU311" s="16">
        <v>223</v>
      </c>
      <c r="EV311" s="16">
        <f t="shared" si="361"/>
        <v>8</v>
      </c>
      <c r="EW311" s="16"/>
      <c r="EX311" s="16"/>
      <c r="EY311" s="80"/>
      <c r="EZ311" s="81"/>
      <c r="FA311" s="15"/>
      <c r="FB311" s="15"/>
      <c r="FC311" s="15"/>
      <c r="FD311" s="16"/>
      <c r="FE311" s="16"/>
      <c r="FF311" s="16"/>
      <c r="FG311" s="16"/>
      <c r="FH311" s="16"/>
      <c r="FI311" s="16"/>
      <c r="FJ311" s="16"/>
      <c r="FK311" s="16"/>
      <c r="FM311" s="80"/>
      <c r="FN311" s="81"/>
      <c r="FO311" s="15"/>
      <c r="FP311" s="15"/>
      <c r="FQ311" s="15"/>
      <c r="FR311" s="16"/>
      <c r="FS311" s="16"/>
      <c r="FT311" s="16"/>
      <c r="FU311" s="16"/>
      <c r="FV311" s="16"/>
      <c r="FW311" s="16"/>
      <c r="FX311" s="16"/>
      <c r="FY311" s="16"/>
      <c r="GA311" s="80"/>
      <c r="GB311" s="81"/>
      <c r="GC311" s="15"/>
      <c r="GD311" s="15"/>
      <c r="GE311" s="15"/>
      <c r="GF311" s="16"/>
      <c r="GG311" s="16"/>
      <c r="GH311" s="16"/>
      <c r="GI311" s="16"/>
      <c r="GJ311" s="16"/>
      <c r="GK311" s="16"/>
      <c r="GL311" s="16"/>
      <c r="GM311" s="16"/>
    </row>
    <row r="312" spans="1:195" s="18" customFormat="1" ht="15" customHeight="1">
      <c r="A312" s="78">
        <v>2018</v>
      </c>
      <c r="B312" s="79" t="s">
        <v>42</v>
      </c>
      <c r="C312" s="15">
        <f t="shared" si="293"/>
        <v>0.88047310868109796</v>
      </c>
      <c r="D312" s="15">
        <f t="shared" si="294"/>
        <v>0.90824125230202579</v>
      </c>
      <c r="E312" s="15">
        <f t="shared" si="295"/>
        <v>0.9694264673064048</v>
      </c>
      <c r="F312" s="16"/>
      <c r="G312" s="33"/>
      <c r="H31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22405</v>
      </c>
      <c r="I312" s="16">
        <f t="shared" si="296"/>
        <v>685</v>
      </c>
      <c r="J31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21720</v>
      </c>
      <c r="K31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19727</v>
      </c>
      <c r="L312" s="16">
        <f t="shared" si="297"/>
        <v>1993</v>
      </c>
      <c r="M312" s="16"/>
      <c r="N312" s="16"/>
      <c r="O312" s="78">
        <v>2018</v>
      </c>
      <c r="P312" s="79" t="s">
        <v>42</v>
      </c>
      <c r="Q312" s="15">
        <f t="shared" si="270"/>
        <v>0.82261987491313415</v>
      </c>
      <c r="R312" s="15">
        <f t="shared" si="271"/>
        <v>0.85008976660682223</v>
      </c>
      <c r="S312" s="15">
        <f t="shared" si="272"/>
        <v>0.96768589298123697</v>
      </c>
      <c r="T312" s="26"/>
      <c r="U312" s="26"/>
      <c r="V312" s="16">
        <v>5756</v>
      </c>
      <c r="W312" s="16">
        <f t="shared" si="346"/>
        <v>186</v>
      </c>
      <c r="X312" s="16">
        <v>5570</v>
      </c>
      <c r="Y312" s="16">
        <v>4735</v>
      </c>
      <c r="Z312" s="16">
        <f t="shared" si="347"/>
        <v>835</v>
      </c>
      <c r="AA312" s="16"/>
      <c r="AB312" s="16"/>
      <c r="AC312" s="78"/>
      <c r="AD312" s="79"/>
      <c r="AE312" s="15"/>
      <c r="AF312" s="15"/>
      <c r="AG312" s="15"/>
      <c r="AH312" s="15"/>
      <c r="AI312" s="15"/>
      <c r="AJ312" s="16"/>
      <c r="AK312" s="16"/>
      <c r="AL312" s="16"/>
      <c r="AM312" s="16"/>
      <c r="AN312" s="16"/>
      <c r="AO312" s="16"/>
      <c r="AP312" s="16"/>
      <c r="AQ312" s="78">
        <v>2018</v>
      </c>
      <c r="AR312" s="79" t="s">
        <v>42</v>
      </c>
      <c r="AS312" s="15">
        <f t="shared" si="273"/>
        <v>0.91036906854130051</v>
      </c>
      <c r="AT312" s="15">
        <f t="shared" si="274"/>
        <v>0.92079794588188824</v>
      </c>
      <c r="AU312" s="15">
        <f t="shared" si="275"/>
        <v>0.98867408709236482</v>
      </c>
      <c r="AV312" s="16"/>
      <c r="AW312" s="16"/>
      <c r="AX312" s="16">
        <v>5121</v>
      </c>
      <c r="AY312" s="16">
        <f t="shared" si="348"/>
        <v>58</v>
      </c>
      <c r="AZ312" s="16">
        <v>5063</v>
      </c>
      <c r="BA312" s="16">
        <v>4662</v>
      </c>
      <c r="BB312" s="16">
        <f t="shared" si="349"/>
        <v>401</v>
      </c>
      <c r="BC312" s="16"/>
      <c r="BD312" s="16"/>
      <c r="BE312" s="78">
        <v>2018</v>
      </c>
      <c r="BF312" s="79" t="s">
        <v>42</v>
      </c>
      <c r="BG312" s="15">
        <f t="shared" si="310"/>
        <v>0.86276463262764636</v>
      </c>
      <c r="BH312" s="15">
        <f t="shared" si="311"/>
        <v>0.91085984748882465</v>
      </c>
      <c r="BI312" s="15">
        <f t="shared" si="312"/>
        <v>0.94719800747198013</v>
      </c>
      <c r="BJ312" s="16"/>
      <c r="BK312" s="16"/>
      <c r="BL312" s="16">
        <v>4015</v>
      </c>
      <c r="BM312" s="16">
        <f t="shared" si="350"/>
        <v>212</v>
      </c>
      <c r="BN312" s="16">
        <v>3803</v>
      </c>
      <c r="BO312" s="16">
        <v>3464</v>
      </c>
      <c r="BP312" s="16">
        <f t="shared" si="351"/>
        <v>339</v>
      </c>
      <c r="BQ312" s="16"/>
      <c r="BR312" s="16"/>
      <c r="BS312" s="78">
        <v>2018</v>
      </c>
      <c r="BT312" s="79" t="s">
        <v>42</v>
      </c>
      <c r="BU312" s="15">
        <f t="shared" si="276"/>
        <v>0.90117035110533161</v>
      </c>
      <c r="BV312" s="15">
        <f t="shared" si="277"/>
        <v>0.93095110155830196</v>
      </c>
      <c r="BW312" s="15">
        <f t="shared" si="278"/>
        <v>0.96801040312093634</v>
      </c>
      <c r="BX312" s="16"/>
      <c r="BY312" s="16"/>
      <c r="BZ312" s="16">
        <v>3845</v>
      </c>
      <c r="CA312" s="16">
        <f t="shared" si="352"/>
        <v>123</v>
      </c>
      <c r="CB312" s="16">
        <v>3722</v>
      </c>
      <c r="CC312" s="16">
        <v>3465</v>
      </c>
      <c r="CD312" s="16">
        <f t="shared" si="353"/>
        <v>257</v>
      </c>
      <c r="CE312" s="16"/>
      <c r="CF312" s="16"/>
      <c r="CG312" s="78">
        <v>2018</v>
      </c>
      <c r="CH312" s="79" t="s">
        <v>42</v>
      </c>
      <c r="CI312" s="15"/>
      <c r="CJ312" s="15"/>
      <c r="CK312" s="15"/>
      <c r="CL312" s="35"/>
      <c r="CM312" s="35"/>
      <c r="CN312" s="35"/>
      <c r="CO312" s="35"/>
      <c r="CP312" s="16"/>
      <c r="CQ312" s="16"/>
      <c r="CR312" s="16"/>
      <c r="CS312" s="16"/>
      <c r="CT312" s="16"/>
      <c r="CU312" s="78">
        <v>2018</v>
      </c>
      <c r="CV312" s="79" t="s">
        <v>42</v>
      </c>
      <c r="CW312" s="15">
        <f t="shared" si="282"/>
        <v>0.94390885188431206</v>
      </c>
      <c r="CX312" s="15">
        <f t="shared" si="283"/>
        <v>0.98446069469835462</v>
      </c>
      <c r="CY312" s="15">
        <f t="shared" si="284"/>
        <v>0.95880806310254163</v>
      </c>
      <c r="CZ312" s="16"/>
      <c r="DA312" s="16"/>
      <c r="DB312" s="16">
        <v>1141</v>
      </c>
      <c r="DC312" s="16">
        <f t="shared" si="354"/>
        <v>47</v>
      </c>
      <c r="DD312" s="16">
        <v>1094</v>
      </c>
      <c r="DE312" s="16">
        <v>1077</v>
      </c>
      <c r="DF312" s="16">
        <f t="shared" si="355"/>
        <v>17</v>
      </c>
      <c r="DG312" s="16"/>
      <c r="DH312" s="16"/>
      <c r="DI312" s="78">
        <v>2018</v>
      </c>
      <c r="DJ312" s="79" t="s">
        <v>42</v>
      </c>
      <c r="DK312" s="15">
        <f t="shared" si="287"/>
        <v>0.89516129032258063</v>
      </c>
      <c r="DL312" s="15">
        <f t="shared" si="288"/>
        <v>0.93591905564924116</v>
      </c>
      <c r="DM312" s="15">
        <f t="shared" si="289"/>
        <v>0.95645161290322578</v>
      </c>
      <c r="DN312" s="16"/>
      <c r="DO312" s="16"/>
      <c r="DP312" s="16">
        <v>620</v>
      </c>
      <c r="DQ312" s="16">
        <f t="shared" si="356"/>
        <v>27</v>
      </c>
      <c r="DR312" s="16">
        <v>593</v>
      </c>
      <c r="DS312" s="16">
        <v>555</v>
      </c>
      <c r="DT312" s="16">
        <f t="shared" si="357"/>
        <v>38</v>
      </c>
      <c r="DU312" s="16"/>
      <c r="DV312" s="16"/>
      <c r="DW312" s="78">
        <v>2018</v>
      </c>
      <c r="DX312" s="79" t="s">
        <v>42</v>
      </c>
      <c r="DY312" s="15">
        <f t="shared" si="290"/>
        <v>0.92432432432432432</v>
      </c>
      <c r="DZ312" s="15">
        <f t="shared" si="291"/>
        <v>0.93956043956043955</v>
      </c>
      <c r="EA312" s="15">
        <f t="shared" si="292"/>
        <v>0.98378378378378384</v>
      </c>
      <c r="EB312" s="16"/>
      <c r="EC312" s="16"/>
      <c r="ED312" s="16">
        <v>1665</v>
      </c>
      <c r="EE312" s="16">
        <f t="shared" si="358"/>
        <v>27</v>
      </c>
      <c r="EF312" s="16">
        <v>1638</v>
      </c>
      <c r="EG312" s="16">
        <v>1539</v>
      </c>
      <c r="EH312" s="16">
        <f t="shared" si="359"/>
        <v>99</v>
      </c>
      <c r="EI312" s="16"/>
      <c r="EJ312" s="16"/>
      <c r="EK312" s="78">
        <v>2018</v>
      </c>
      <c r="EL312" s="79" t="s">
        <v>42</v>
      </c>
      <c r="EM312" s="15">
        <f t="shared" si="343"/>
        <v>0.95041322314049592</v>
      </c>
      <c r="EN312" s="15">
        <f t="shared" si="344"/>
        <v>0.97046413502109707</v>
      </c>
      <c r="EO312" s="15">
        <f t="shared" si="345"/>
        <v>0.97933884297520657</v>
      </c>
      <c r="EP312" s="16"/>
      <c r="EQ312" s="16"/>
      <c r="ER312" s="16">
        <v>242</v>
      </c>
      <c r="ES312" s="16">
        <f t="shared" si="360"/>
        <v>5</v>
      </c>
      <c r="ET312" s="16">
        <v>237</v>
      </c>
      <c r="EU312" s="16">
        <v>230</v>
      </c>
      <c r="EV312" s="16">
        <f t="shared" si="361"/>
        <v>7</v>
      </c>
      <c r="EW312" s="16"/>
      <c r="EX312" s="16"/>
      <c r="EY312" s="78"/>
      <c r="EZ312" s="79"/>
      <c r="FA312" s="15"/>
      <c r="FB312" s="15"/>
      <c r="FC312" s="15"/>
      <c r="FD312" s="16"/>
      <c r="FE312" s="16"/>
      <c r="FF312" s="16"/>
      <c r="FG312" s="16"/>
      <c r="FH312" s="16"/>
      <c r="FI312" s="16"/>
      <c r="FJ312" s="16"/>
      <c r="FK312" s="16"/>
      <c r="FM312" s="78"/>
      <c r="FN312" s="79"/>
      <c r="FO312" s="15"/>
      <c r="FP312" s="15"/>
      <c r="FQ312" s="15"/>
      <c r="FR312" s="16"/>
      <c r="FS312" s="16"/>
      <c r="FT312" s="16"/>
      <c r="FU312" s="16"/>
      <c r="FV312" s="16"/>
      <c r="FW312" s="16"/>
      <c r="FX312" s="16"/>
      <c r="FY312" s="16"/>
      <c r="GA312" s="78"/>
      <c r="GB312" s="79"/>
      <c r="GC312" s="15"/>
      <c r="GD312" s="15"/>
      <c r="GE312" s="15"/>
      <c r="GF312" s="16"/>
      <c r="GG312" s="16"/>
      <c r="GH312" s="16"/>
      <c r="GI312" s="16"/>
      <c r="GJ312" s="16"/>
      <c r="GK312" s="16"/>
      <c r="GL312" s="16"/>
      <c r="GM312" s="16"/>
    </row>
    <row r="313" spans="1:195" s="18" customFormat="1" ht="15" customHeight="1">
      <c r="A313" s="80">
        <v>2018</v>
      </c>
      <c r="B313" s="81" t="s">
        <v>43</v>
      </c>
      <c r="C313" s="15">
        <f t="shared" si="293"/>
        <v>0.89543057996485065</v>
      </c>
      <c r="D313" s="15">
        <f t="shared" si="294"/>
        <v>0.91888723567338471</v>
      </c>
      <c r="E313" s="15">
        <f t="shared" si="295"/>
        <v>0.9744727592267135</v>
      </c>
      <c r="F313" s="16"/>
      <c r="G313" s="33"/>
      <c r="H31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22760</v>
      </c>
      <c r="I313" s="16">
        <f t="shared" si="296"/>
        <v>581</v>
      </c>
      <c r="J31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22179</v>
      </c>
      <c r="K31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20380</v>
      </c>
      <c r="L313" s="16">
        <f t="shared" si="297"/>
        <v>1799</v>
      </c>
      <c r="M313" s="16"/>
      <c r="N313" s="16"/>
      <c r="O313" s="80">
        <v>2018</v>
      </c>
      <c r="P313" s="81" t="s">
        <v>43</v>
      </c>
      <c r="Q313" s="15">
        <f t="shared" si="270"/>
        <v>0.87179487179487181</v>
      </c>
      <c r="R313" s="15">
        <f t="shared" si="271"/>
        <v>0.88792805257696295</v>
      </c>
      <c r="S313" s="15">
        <f t="shared" si="272"/>
        <v>0.98183053149940569</v>
      </c>
      <c r="T313" s="26"/>
      <c r="U313" s="26"/>
      <c r="V313" s="16">
        <v>5889</v>
      </c>
      <c r="W313" s="16">
        <f t="shared" si="346"/>
        <v>107</v>
      </c>
      <c r="X313" s="16">
        <v>5782</v>
      </c>
      <c r="Y313" s="16">
        <v>5134</v>
      </c>
      <c r="Z313" s="16">
        <f t="shared" si="347"/>
        <v>648</v>
      </c>
      <c r="AA313" s="16"/>
      <c r="AB313" s="16"/>
      <c r="AC313" s="80"/>
      <c r="AD313" s="81"/>
      <c r="AE313" s="15"/>
      <c r="AF313" s="15"/>
      <c r="AG313" s="15"/>
      <c r="AH313" s="15"/>
      <c r="AI313" s="15"/>
      <c r="AJ313" s="16"/>
      <c r="AK313" s="16"/>
      <c r="AL313" s="16"/>
      <c r="AM313" s="16"/>
      <c r="AN313" s="16"/>
      <c r="AO313" s="16"/>
      <c r="AP313" s="16"/>
      <c r="AQ313" s="80">
        <v>2018</v>
      </c>
      <c r="AR313" s="81" t="s">
        <v>43</v>
      </c>
      <c r="AS313" s="15">
        <f t="shared" si="273"/>
        <v>0.92565625598773715</v>
      </c>
      <c r="AT313" s="15">
        <f t="shared" si="274"/>
        <v>0.95042297855597091</v>
      </c>
      <c r="AU313" s="15">
        <f t="shared" si="275"/>
        <v>0.97394136807817588</v>
      </c>
      <c r="AV313" s="16"/>
      <c r="AW313" s="16"/>
      <c r="AX313" s="16">
        <v>5219</v>
      </c>
      <c r="AY313" s="16">
        <f t="shared" si="348"/>
        <v>136</v>
      </c>
      <c r="AZ313" s="16">
        <v>5083</v>
      </c>
      <c r="BA313" s="16">
        <v>4831</v>
      </c>
      <c r="BB313" s="16">
        <f t="shared" si="349"/>
        <v>252</v>
      </c>
      <c r="BC313" s="16"/>
      <c r="BD313" s="16"/>
      <c r="BE313" s="80">
        <v>2018</v>
      </c>
      <c r="BF313" s="81" t="s">
        <v>43</v>
      </c>
      <c r="BG313" s="15">
        <f t="shared" si="310"/>
        <v>0.84182174338883453</v>
      </c>
      <c r="BH313" s="15">
        <f t="shared" si="311"/>
        <v>0.87928388746803066</v>
      </c>
      <c r="BI313" s="15">
        <f t="shared" si="312"/>
        <v>0.95739471106758078</v>
      </c>
      <c r="BJ313" s="16"/>
      <c r="BK313" s="16"/>
      <c r="BL313" s="16">
        <v>4084</v>
      </c>
      <c r="BM313" s="16">
        <f t="shared" si="350"/>
        <v>174</v>
      </c>
      <c r="BN313" s="16">
        <v>3910</v>
      </c>
      <c r="BO313" s="16">
        <v>3438</v>
      </c>
      <c r="BP313" s="16">
        <f t="shared" si="351"/>
        <v>472</v>
      </c>
      <c r="BQ313" s="16"/>
      <c r="BR313" s="16"/>
      <c r="BS313" s="80">
        <v>2018</v>
      </c>
      <c r="BT313" s="81" t="s">
        <v>43</v>
      </c>
      <c r="BU313" s="15">
        <f t="shared" si="276"/>
        <v>0.90724040195825817</v>
      </c>
      <c r="BV313" s="15">
        <f t="shared" si="277"/>
        <v>0.92828895333509098</v>
      </c>
      <c r="BW313" s="15">
        <f t="shared" si="278"/>
        <v>0.97732543158979646</v>
      </c>
      <c r="BX313" s="16"/>
      <c r="BY313" s="16"/>
      <c r="BZ313" s="16">
        <v>3881</v>
      </c>
      <c r="CA313" s="16">
        <f t="shared" si="352"/>
        <v>88</v>
      </c>
      <c r="CB313" s="16">
        <v>3793</v>
      </c>
      <c r="CC313" s="16">
        <v>3521</v>
      </c>
      <c r="CD313" s="16">
        <f t="shared" si="353"/>
        <v>272</v>
      </c>
      <c r="CE313" s="16"/>
      <c r="CF313" s="16"/>
      <c r="CG313" s="80">
        <v>2018</v>
      </c>
      <c r="CH313" s="81" t="s">
        <v>43</v>
      </c>
      <c r="CI313" s="15"/>
      <c r="CJ313" s="15"/>
      <c r="CK313" s="15"/>
      <c r="CL313" s="35"/>
      <c r="CM313" s="35"/>
      <c r="CN313" s="35"/>
      <c r="CO313" s="35"/>
      <c r="CP313" s="16"/>
      <c r="CQ313" s="16"/>
      <c r="CR313" s="16"/>
      <c r="CS313" s="16"/>
      <c r="CT313" s="16"/>
      <c r="CU313" s="80">
        <v>2018</v>
      </c>
      <c r="CV313" s="81" t="s">
        <v>43</v>
      </c>
      <c r="CW313" s="15">
        <f t="shared" si="282"/>
        <v>0.92119089316987746</v>
      </c>
      <c r="CX313" s="15">
        <f t="shared" si="283"/>
        <v>0.9572338489535942</v>
      </c>
      <c r="CY313" s="15">
        <f t="shared" si="284"/>
        <v>0.96234676007005249</v>
      </c>
      <c r="CZ313" s="16"/>
      <c r="DA313" s="16"/>
      <c r="DB313" s="16">
        <v>1142</v>
      </c>
      <c r="DC313" s="16">
        <f t="shared" si="354"/>
        <v>43</v>
      </c>
      <c r="DD313" s="16">
        <v>1099</v>
      </c>
      <c r="DE313" s="16">
        <v>1052</v>
      </c>
      <c r="DF313" s="16">
        <f t="shared" si="355"/>
        <v>47</v>
      </c>
      <c r="DG313" s="16"/>
      <c r="DH313" s="16"/>
      <c r="DI313" s="80">
        <v>2018</v>
      </c>
      <c r="DJ313" s="81" t="s">
        <v>43</v>
      </c>
      <c r="DK313" s="15">
        <f t="shared" si="287"/>
        <v>0.92741935483870963</v>
      </c>
      <c r="DL313" s="15">
        <f t="shared" si="288"/>
        <v>0.94572368421052633</v>
      </c>
      <c r="DM313" s="15">
        <f t="shared" si="289"/>
        <v>0.98064516129032253</v>
      </c>
      <c r="DN313" s="16"/>
      <c r="DO313" s="16"/>
      <c r="DP313" s="16">
        <v>620</v>
      </c>
      <c r="DQ313" s="16">
        <f t="shared" si="356"/>
        <v>12</v>
      </c>
      <c r="DR313" s="16">
        <v>608</v>
      </c>
      <c r="DS313" s="16">
        <v>575</v>
      </c>
      <c r="DT313" s="16">
        <f t="shared" si="357"/>
        <v>33</v>
      </c>
      <c r="DU313" s="16"/>
      <c r="DV313" s="16"/>
      <c r="DW313" s="80">
        <v>2018</v>
      </c>
      <c r="DX313" s="81" t="s">
        <v>43</v>
      </c>
      <c r="DY313" s="15">
        <f t="shared" si="290"/>
        <v>0.94890077243018423</v>
      </c>
      <c r="DZ313" s="15">
        <f t="shared" si="291"/>
        <v>0.96089049338146815</v>
      </c>
      <c r="EA313" s="15">
        <f t="shared" si="292"/>
        <v>0.98752228163992872</v>
      </c>
      <c r="EB313" s="16"/>
      <c r="EC313" s="16"/>
      <c r="ED313" s="16">
        <v>1683</v>
      </c>
      <c r="EE313" s="16">
        <f t="shared" si="358"/>
        <v>21</v>
      </c>
      <c r="EF313" s="16">
        <v>1662</v>
      </c>
      <c r="EG313" s="16">
        <v>1597</v>
      </c>
      <c r="EH313" s="16">
        <f t="shared" si="359"/>
        <v>65</v>
      </c>
      <c r="EI313" s="16"/>
      <c r="EJ313" s="16"/>
      <c r="EK313" s="80">
        <v>2018</v>
      </c>
      <c r="EL313" s="81" t="s">
        <v>43</v>
      </c>
      <c r="EM313" s="15">
        <f t="shared" si="343"/>
        <v>0.95867768595041325</v>
      </c>
      <c r="EN313" s="15">
        <f t="shared" si="344"/>
        <v>0.95867768595041325</v>
      </c>
      <c r="EO313" s="15">
        <f t="shared" si="345"/>
        <v>1</v>
      </c>
      <c r="EP313" s="16"/>
      <c r="EQ313" s="16"/>
      <c r="ER313" s="16">
        <v>242</v>
      </c>
      <c r="ES313" s="16">
        <f t="shared" si="360"/>
        <v>0</v>
      </c>
      <c r="ET313" s="16">
        <v>242</v>
      </c>
      <c r="EU313" s="16">
        <v>232</v>
      </c>
      <c r="EV313" s="16">
        <f t="shared" si="361"/>
        <v>10</v>
      </c>
      <c r="EW313" s="16"/>
      <c r="EX313" s="16"/>
      <c r="EY313" s="80"/>
      <c r="EZ313" s="81"/>
      <c r="FA313" s="15"/>
      <c r="FB313" s="15"/>
      <c r="FC313" s="15"/>
      <c r="FD313" s="16"/>
      <c r="FE313" s="16"/>
      <c r="FF313" s="16"/>
      <c r="FG313" s="16"/>
      <c r="FH313" s="16"/>
      <c r="FI313" s="16"/>
      <c r="FJ313" s="16"/>
      <c r="FK313" s="16"/>
      <c r="FM313" s="80"/>
      <c r="FN313" s="81"/>
      <c r="FO313" s="15"/>
      <c r="FP313" s="15"/>
      <c r="FQ313" s="15"/>
      <c r="FR313" s="16"/>
      <c r="FS313" s="16"/>
      <c r="FT313" s="16"/>
      <c r="FU313" s="16"/>
      <c r="FV313" s="16"/>
      <c r="FW313" s="16"/>
      <c r="FX313" s="16"/>
      <c r="FY313" s="16"/>
      <c r="GA313" s="80"/>
      <c r="GB313" s="81"/>
      <c r="GC313" s="15"/>
      <c r="GD313" s="15"/>
      <c r="GE313" s="15"/>
      <c r="GF313" s="16"/>
      <c r="GG313" s="16"/>
      <c r="GH313" s="16"/>
      <c r="GI313" s="16"/>
      <c r="GJ313" s="16"/>
      <c r="GK313" s="16"/>
      <c r="GL313" s="16"/>
      <c r="GM313" s="16"/>
    </row>
    <row r="314" spans="1:195" s="18" customFormat="1" ht="15" customHeight="1">
      <c r="A314" s="78">
        <v>2018</v>
      </c>
      <c r="B314" s="79" t="s">
        <v>44</v>
      </c>
      <c r="C314" s="15">
        <f t="shared" si="293"/>
        <v>0.85867620751341678</v>
      </c>
      <c r="D314" s="15">
        <f t="shared" si="294"/>
        <v>0.91697281410727405</v>
      </c>
      <c r="E314" s="15">
        <f t="shared" si="295"/>
        <v>0.93642493463602583</v>
      </c>
      <c r="F314" s="16"/>
      <c r="G314" s="33"/>
      <c r="H31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21801</v>
      </c>
      <c r="I314" s="16">
        <f t="shared" si="296"/>
        <v>1386</v>
      </c>
      <c r="J31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20415</v>
      </c>
      <c r="K31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18720</v>
      </c>
      <c r="L314" s="16">
        <f t="shared" si="297"/>
        <v>1695</v>
      </c>
      <c r="M314" s="16"/>
      <c r="N314" s="16"/>
      <c r="O314" s="78">
        <v>2018</v>
      </c>
      <c r="P314" s="79" t="s">
        <v>44</v>
      </c>
      <c r="Q314" s="15">
        <f t="shared" si="270"/>
        <v>0.81593554162936432</v>
      </c>
      <c r="R314" s="15">
        <f t="shared" si="271"/>
        <v>0.87685203001731771</v>
      </c>
      <c r="S314" s="15">
        <f t="shared" si="272"/>
        <v>0.93052820053715313</v>
      </c>
      <c r="T314" s="26"/>
      <c r="U314" s="26"/>
      <c r="V314" s="16">
        <v>5585</v>
      </c>
      <c r="W314" s="16">
        <f t="shared" si="346"/>
        <v>388</v>
      </c>
      <c r="X314" s="16">
        <v>5197</v>
      </c>
      <c r="Y314" s="16">
        <v>4557</v>
      </c>
      <c r="Z314" s="16">
        <f t="shared" si="347"/>
        <v>640</v>
      </c>
      <c r="AA314" s="16"/>
      <c r="AB314" s="16"/>
      <c r="AC314" s="78"/>
      <c r="AD314" s="79"/>
      <c r="AE314" s="15"/>
      <c r="AF314" s="15"/>
      <c r="AG314" s="15"/>
      <c r="AH314" s="15"/>
      <c r="AI314" s="15"/>
      <c r="AJ314" s="16"/>
      <c r="AK314" s="16"/>
      <c r="AL314" s="16"/>
      <c r="AM314" s="16"/>
      <c r="AN314" s="16"/>
      <c r="AO314" s="16"/>
      <c r="AP314" s="16"/>
      <c r="AQ314" s="78">
        <v>2018</v>
      </c>
      <c r="AR314" s="79" t="s">
        <v>44</v>
      </c>
      <c r="AS314" s="15">
        <f t="shared" si="273"/>
        <v>0.88060301507537686</v>
      </c>
      <c r="AT314" s="15">
        <f t="shared" si="274"/>
        <v>0.9417454858125538</v>
      </c>
      <c r="AU314" s="15">
        <f t="shared" si="275"/>
        <v>0.9350753768844221</v>
      </c>
      <c r="AV314" s="16"/>
      <c r="AW314" s="16"/>
      <c r="AX314" s="16">
        <v>4975</v>
      </c>
      <c r="AY314" s="16">
        <f t="shared" si="348"/>
        <v>323</v>
      </c>
      <c r="AZ314" s="16">
        <v>4652</v>
      </c>
      <c r="BA314" s="16">
        <v>4381</v>
      </c>
      <c r="BB314" s="16">
        <f t="shared" si="349"/>
        <v>271</v>
      </c>
      <c r="BC314" s="16"/>
      <c r="BD314" s="16"/>
      <c r="BE314" s="78">
        <v>2018</v>
      </c>
      <c r="BF314" s="79" t="s">
        <v>44</v>
      </c>
      <c r="BG314" s="15">
        <f t="shared" si="310"/>
        <v>0.81649746192893402</v>
      </c>
      <c r="BH314" s="15">
        <f t="shared" si="311"/>
        <v>0.88112845795672423</v>
      </c>
      <c r="BI314" s="15">
        <f t="shared" si="312"/>
        <v>0.92664974619289342</v>
      </c>
      <c r="BJ314" s="16"/>
      <c r="BK314" s="16"/>
      <c r="BL314" s="16">
        <v>3940</v>
      </c>
      <c r="BM314" s="16">
        <f t="shared" si="350"/>
        <v>289</v>
      </c>
      <c r="BN314" s="16">
        <v>3651</v>
      </c>
      <c r="BO314" s="16">
        <v>3217</v>
      </c>
      <c r="BP314" s="16">
        <f t="shared" si="351"/>
        <v>434</v>
      </c>
      <c r="BQ314" s="16"/>
      <c r="BR314" s="16"/>
      <c r="BS314" s="78">
        <v>2018</v>
      </c>
      <c r="BT314" s="79" t="s">
        <v>44</v>
      </c>
      <c r="BU314" s="15">
        <f t="shared" si="276"/>
        <v>0.89333333333333331</v>
      </c>
      <c r="BV314" s="15">
        <f t="shared" si="277"/>
        <v>0.93314763231197773</v>
      </c>
      <c r="BW314" s="15">
        <f t="shared" si="278"/>
        <v>0.95733333333333337</v>
      </c>
      <c r="BX314" s="16"/>
      <c r="BY314" s="16"/>
      <c r="BZ314" s="16">
        <v>3750</v>
      </c>
      <c r="CA314" s="16">
        <f t="shared" si="352"/>
        <v>160</v>
      </c>
      <c r="CB314" s="16">
        <v>3590</v>
      </c>
      <c r="CC314" s="16">
        <v>3350</v>
      </c>
      <c r="CD314" s="16">
        <f t="shared" si="353"/>
        <v>240</v>
      </c>
      <c r="CE314" s="16"/>
      <c r="CF314" s="16"/>
      <c r="CG314" s="78">
        <v>2018</v>
      </c>
      <c r="CH314" s="79" t="s">
        <v>44</v>
      </c>
      <c r="CI314" s="15"/>
      <c r="CJ314" s="15"/>
      <c r="CK314" s="15"/>
      <c r="CL314" s="35"/>
      <c r="CM314" s="35"/>
      <c r="CN314" s="35"/>
      <c r="CO314" s="35"/>
      <c r="CP314" s="16"/>
      <c r="CQ314" s="16"/>
      <c r="CR314" s="16"/>
      <c r="CS314" s="16"/>
      <c r="CT314" s="16"/>
      <c r="CU314" s="78">
        <v>2018</v>
      </c>
      <c r="CV314" s="79" t="s">
        <v>44</v>
      </c>
      <c r="CW314" s="15">
        <f t="shared" si="282"/>
        <v>0.92398190045248874</v>
      </c>
      <c r="CX314" s="15">
        <f t="shared" si="283"/>
        <v>0.97984644913627639</v>
      </c>
      <c r="CY314" s="15">
        <f t="shared" si="284"/>
        <v>0.9429864253393665</v>
      </c>
      <c r="CZ314" s="16"/>
      <c r="DA314" s="16"/>
      <c r="DB314" s="16">
        <v>1105</v>
      </c>
      <c r="DC314" s="16">
        <f t="shared" si="354"/>
        <v>63</v>
      </c>
      <c r="DD314" s="16">
        <v>1042</v>
      </c>
      <c r="DE314" s="16">
        <v>1021</v>
      </c>
      <c r="DF314" s="16">
        <f t="shared" si="355"/>
        <v>21</v>
      </c>
      <c r="DG314" s="16"/>
      <c r="DH314" s="16"/>
      <c r="DI314" s="78">
        <v>2018</v>
      </c>
      <c r="DJ314" s="79" t="s">
        <v>44</v>
      </c>
      <c r="DK314" s="15">
        <f t="shared" si="287"/>
        <v>0.85666666666666669</v>
      </c>
      <c r="DL314" s="15">
        <f t="shared" si="288"/>
        <v>0.95361781076066787</v>
      </c>
      <c r="DM314" s="15">
        <f t="shared" si="289"/>
        <v>0.89833333333333332</v>
      </c>
      <c r="DN314" s="16"/>
      <c r="DO314" s="16"/>
      <c r="DP314" s="16">
        <v>600</v>
      </c>
      <c r="DQ314" s="16">
        <f t="shared" si="356"/>
        <v>61</v>
      </c>
      <c r="DR314" s="16">
        <v>539</v>
      </c>
      <c r="DS314" s="16">
        <v>514</v>
      </c>
      <c r="DT314" s="16">
        <f t="shared" si="357"/>
        <v>25</v>
      </c>
      <c r="DU314" s="16"/>
      <c r="DV314" s="16"/>
      <c r="DW314" s="78">
        <v>2018</v>
      </c>
      <c r="DX314" s="79" t="s">
        <v>44</v>
      </c>
      <c r="DY314" s="15">
        <f t="shared" si="290"/>
        <v>0.90496894409937889</v>
      </c>
      <c r="DZ314" s="15">
        <f t="shared" si="291"/>
        <v>0.96171617161716172</v>
      </c>
      <c r="EA314" s="15">
        <f t="shared" si="292"/>
        <v>0.94099378881987583</v>
      </c>
      <c r="EB314" s="16"/>
      <c r="EC314" s="16"/>
      <c r="ED314" s="16">
        <v>1610</v>
      </c>
      <c r="EE314" s="16">
        <f t="shared" si="358"/>
        <v>95</v>
      </c>
      <c r="EF314" s="16">
        <v>1515</v>
      </c>
      <c r="EG314" s="16">
        <v>1457</v>
      </c>
      <c r="EH314" s="16">
        <f t="shared" si="359"/>
        <v>58</v>
      </c>
      <c r="EI314" s="16"/>
      <c r="EJ314" s="16"/>
      <c r="EK314" s="78">
        <v>2018</v>
      </c>
      <c r="EL314" s="79" t="s">
        <v>44</v>
      </c>
      <c r="EM314" s="15">
        <f t="shared" si="343"/>
        <v>0.94491525423728817</v>
      </c>
      <c r="EN314" s="15">
        <f t="shared" si="344"/>
        <v>0.97379912663755464</v>
      </c>
      <c r="EO314" s="15">
        <f t="shared" si="345"/>
        <v>0.97033898305084743</v>
      </c>
      <c r="EP314" s="16"/>
      <c r="EQ314" s="16"/>
      <c r="ER314" s="16">
        <v>236</v>
      </c>
      <c r="ES314" s="16">
        <f t="shared" si="360"/>
        <v>7</v>
      </c>
      <c r="ET314" s="16">
        <v>229</v>
      </c>
      <c r="EU314" s="16">
        <v>223</v>
      </c>
      <c r="EV314" s="16">
        <f t="shared" si="361"/>
        <v>6</v>
      </c>
      <c r="EW314" s="16"/>
      <c r="EX314" s="16"/>
      <c r="EY314" s="78"/>
      <c r="EZ314" s="79"/>
      <c r="FA314" s="15"/>
      <c r="FB314" s="15"/>
      <c r="FC314" s="15"/>
      <c r="FD314" s="16"/>
      <c r="FE314" s="16"/>
      <c r="FF314" s="16"/>
      <c r="FG314" s="16"/>
      <c r="FH314" s="16"/>
      <c r="FI314" s="16"/>
      <c r="FJ314" s="16"/>
      <c r="FK314" s="16"/>
      <c r="FM314" s="78"/>
      <c r="FN314" s="79"/>
      <c r="FO314" s="15"/>
      <c r="FP314" s="15"/>
      <c r="FQ314" s="15"/>
      <c r="FR314" s="16"/>
      <c r="FS314" s="16"/>
      <c r="FT314" s="16"/>
      <c r="FU314" s="16"/>
      <c r="FV314" s="16"/>
      <c r="FW314" s="16"/>
      <c r="FX314" s="16"/>
      <c r="FY314" s="16"/>
      <c r="GA314" s="78"/>
      <c r="GB314" s="79"/>
      <c r="GC314" s="15"/>
      <c r="GD314" s="15"/>
      <c r="GE314" s="15"/>
      <c r="GF314" s="16"/>
      <c r="GG314" s="16"/>
      <c r="GH314" s="16"/>
      <c r="GI314" s="16"/>
      <c r="GJ314" s="16"/>
      <c r="GK314" s="16"/>
      <c r="GL314" s="16"/>
      <c r="GM314" s="16"/>
    </row>
    <row r="315" spans="1:195" s="18" customFormat="1" ht="15" customHeight="1">
      <c r="A315" s="80">
        <v>2018</v>
      </c>
      <c r="B315" s="81" t="s">
        <v>45</v>
      </c>
      <c r="C315" s="15">
        <f t="shared" si="293"/>
        <v>0.85419213973799124</v>
      </c>
      <c r="D315" s="15">
        <f t="shared" si="294"/>
        <v>0.88840948315014989</v>
      </c>
      <c r="E315" s="15">
        <f t="shared" si="295"/>
        <v>0.96148471615720521</v>
      </c>
      <c r="F315" s="16"/>
      <c r="G315" s="33"/>
      <c r="H31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22900</v>
      </c>
      <c r="I315" s="16">
        <f t="shared" si="296"/>
        <v>882</v>
      </c>
      <c r="J31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22018</v>
      </c>
      <c r="K31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19561</v>
      </c>
      <c r="L315" s="16">
        <f t="shared" si="297"/>
        <v>2457</v>
      </c>
      <c r="M315" s="16"/>
      <c r="N315" s="16"/>
      <c r="O315" s="80">
        <v>2018</v>
      </c>
      <c r="P315" s="81" t="s">
        <v>45</v>
      </c>
      <c r="Q315" s="15">
        <f t="shared" si="270"/>
        <v>0.85328578706062153</v>
      </c>
      <c r="R315" s="15">
        <f t="shared" si="271"/>
        <v>0.88359416212414277</v>
      </c>
      <c r="S315" s="15">
        <f t="shared" si="272"/>
        <v>0.9656987604007472</v>
      </c>
      <c r="T315" s="26"/>
      <c r="U315" s="26"/>
      <c r="V315" s="16">
        <v>5889</v>
      </c>
      <c r="W315" s="16">
        <f t="shared" si="346"/>
        <v>202</v>
      </c>
      <c r="X315" s="16">
        <v>5687</v>
      </c>
      <c r="Y315" s="16">
        <v>5025</v>
      </c>
      <c r="Z315" s="16">
        <f t="shared" si="347"/>
        <v>662</v>
      </c>
      <c r="AA315" s="16"/>
      <c r="AB315" s="16"/>
      <c r="AC315" s="80"/>
      <c r="AD315" s="81"/>
      <c r="AE315" s="15"/>
      <c r="AF315" s="15"/>
      <c r="AG315" s="15"/>
      <c r="AH315" s="15"/>
      <c r="AI315" s="15"/>
      <c r="AJ315" s="16"/>
      <c r="AK315" s="16"/>
      <c r="AL315" s="16"/>
      <c r="AM315" s="16"/>
      <c r="AN315" s="16"/>
      <c r="AO315" s="16"/>
      <c r="AP315" s="16"/>
      <c r="AQ315" s="80">
        <v>2018</v>
      </c>
      <c r="AR315" s="81" t="s">
        <v>45</v>
      </c>
      <c r="AS315" s="15">
        <f t="shared" si="273"/>
        <v>0.93408698984479788</v>
      </c>
      <c r="AT315" s="15">
        <f t="shared" si="274"/>
        <v>0.95140515222482436</v>
      </c>
      <c r="AU315" s="15">
        <f t="shared" si="275"/>
        <v>0.98179727917225523</v>
      </c>
      <c r="AV315" s="16"/>
      <c r="AW315" s="16"/>
      <c r="AX315" s="16">
        <v>5219</v>
      </c>
      <c r="AY315" s="16">
        <f t="shared" si="348"/>
        <v>95</v>
      </c>
      <c r="AZ315" s="16">
        <v>5124</v>
      </c>
      <c r="BA315" s="16">
        <v>4875</v>
      </c>
      <c r="BB315" s="16">
        <f t="shared" si="349"/>
        <v>249</v>
      </c>
      <c r="BC315" s="16"/>
      <c r="BD315" s="16"/>
      <c r="BE315" s="80">
        <v>2018</v>
      </c>
      <c r="BF315" s="81" t="s">
        <v>45</v>
      </c>
      <c r="BG315" s="15">
        <f t="shared" si="310"/>
        <v>0.82281783681214427</v>
      </c>
      <c r="BH315" s="15">
        <f t="shared" si="311"/>
        <v>0.84982851543361093</v>
      </c>
      <c r="BI315" s="15">
        <f t="shared" si="312"/>
        <v>0.96821631878557879</v>
      </c>
      <c r="BJ315" s="16"/>
      <c r="BK315" s="16"/>
      <c r="BL315" s="16">
        <v>4216</v>
      </c>
      <c r="BM315" s="16">
        <f t="shared" si="350"/>
        <v>134</v>
      </c>
      <c r="BN315" s="16">
        <v>4082</v>
      </c>
      <c r="BO315" s="16">
        <v>3469</v>
      </c>
      <c r="BP315" s="16">
        <f t="shared" si="351"/>
        <v>613</v>
      </c>
      <c r="BQ315" s="16"/>
      <c r="BR315" s="16"/>
      <c r="BS315" s="80">
        <v>2018</v>
      </c>
      <c r="BT315" s="81" t="s">
        <v>45</v>
      </c>
      <c r="BU315" s="15">
        <f t="shared" si="276"/>
        <v>0.70749023784167553</v>
      </c>
      <c r="BV315" s="15">
        <f t="shared" si="277"/>
        <v>0.78961965134706813</v>
      </c>
      <c r="BW315" s="15">
        <f t="shared" si="278"/>
        <v>0.89598864039758608</v>
      </c>
      <c r="BX315" s="16"/>
      <c r="BY315" s="16"/>
      <c r="BZ315" s="16">
        <v>2817</v>
      </c>
      <c r="CA315" s="16">
        <f t="shared" si="352"/>
        <v>293</v>
      </c>
      <c r="CB315" s="16">
        <v>2524</v>
      </c>
      <c r="CC315" s="16">
        <v>1993</v>
      </c>
      <c r="CD315" s="16">
        <f t="shared" si="353"/>
        <v>531</v>
      </c>
      <c r="CE315" s="16"/>
      <c r="CF315" s="16"/>
      <c r="CG315" s="80">
        <v>2018</v>
      </c>
      <c r="CH315" s="81" t="s">
        <v>45</v>
      </c>
      <c r="CI315" s="15">
        <f t="shared" ref="CI315:CI325" si="362">CQ315/CN315</f>
        <v>0.68680297397769519</v>
      </c>
      <c r="CJ315" s="15">
        <f t="shared" ref="CJ315:CJ325" si="363">CQ315/CP315</f>
        <v>0.733862959285005</v>
      </c>
      <c r="CK315" s="15">
        <f t="shared" ref="CK315:CK325" si="364">CP315/CN315</f>
        <v>0.93587360594795543</v>
      </c>
      <c r="CL315" s="16"/>
      <c r="CM315" s="16"/>
      <c r="CN315" s="16">
        <v>1076</v>
      </c>
      <c r="CO315" s="16">
        <f>CN315-CP315</f>
        <v>69</v>
      </c>
      <c r="CP315" s="16">
        <v>1007</v>
      </c>
      <c r="CQ315" s="16">
        <v>739</v>
      </c>
      <c r="CR315" s="16">
        <f>CP315-CQ315</f>
        <v>268</v>
      </c>
      <c r="CS315" s="19" t="s">
        <v>64</v>
      </c>
      <c r="CT315" s="16"/>
      <c r="CU315" s="80">
        <v>2018</v>
      </c>
      <c r="CV315" s="81" t="s">
        <v>45</v>
      </c>
      <c r="CW315" s="15">
        <f t="shared" si="282"/>
        <v>0.96497373029772326</v>
      </c>
      <c r="CX315" s="15">
        <f t="shared" si="283"/>
        <v>0.97781721384205855</v>
      </c>
      <c r="CY315" s="15">
        <f t="shared" si="284"/>
        <v>0.98686514886164622</v>
      </c>
      <c r="CZ315" s="16"/>
      <c r="DA315" s="16"/>
      <c r="DB315" s="16">
        <v>1142</v>
      </c>
      <c r="DC315" s="16">
        <f t="shared" si="354"/>
        <v>15</v>
      </c>
      <c r="DD315" s="16">
        <v>1127</v>
      </c>
      <c r="DE315" s="16">
        <v>1102</v>
      </c>
      <c r="DF315" s="16">
        <f t="shared" si="355"/>
        <v>25</v>
      </c>
      <c r="DG315" s="16"/>
      <c r="DH315" s="16"/>
      <c r="DI315" s="80">
        <v>2018</v>
      </c>
      <c r="DJ315" s="81" t="s">
        <v>45</v>
      </c>
      <c r="DK315" s="15">
        <f t="shared" si="287"/>
        <v>0.92419354838709677</v>
      </c>
      <c r="DL315" s="15">
        <f t="shared" si="288"/>
        <v>0.96790540540540537</v>
      </c>
      <c r="DM315" s="15">
        <f t="shared" si="289"/>
        <v>0.95483870967741935</v>
      </c>
      <c r="DN315" s="16"/>
      <c r="DO315" s="16"/>
      <c r="DP315" s="16">
        <v>620</v>
      </c>
      <c r="DQ315" s="16">
        <f t="shared" si="356"/>
        <v>28</v>
      </c>
      <c r="DR315" s="16">
        <v>592</v>
      </c>
      <c r="DS315" s="16">
        <v>573</v>
      </c>
      <c r="DT315" s="16">
        <f t="shared" si="357"/>
        <v>19</v>
      </c>
      <c r="DU315" s="16"/>
      <c r="DV315" s="16"/>
      <c r="DW315" s="80">
        <v>2018</v>
      </c>
      <c r="DX315" s="81" t="s">
        <v>45</v>
      </c>
      <c r="DY315" s="15">
        <f t="shared" si="290"/>
        <v>0.92513368983957223</v>
      </c>
      <c r="DZ315" s="15">
        <f t="shared" si="291"/>
        <v>0.9505494505494505</v>
      </c>
      <c r="EA315" s="15">
        <f t="shared" si="292"/>
        <v>0.9732620320855615</v>
      </c>
      <c r="EB315" s="16"/>
      <c r="EC315" s="16"/>
      <c r="ED315" s="16">
        <v>1683</v>
      </c>
      <c r="EE315" s="16">
        <f t="shared" si="358"/>
        <v>45</v>
      </c>
      <c r="EF315" s="16">
        <v>1638</v>
      </c>
      <c r="EG315" s="16">
        <v>1557</v>
      </c>
      <c r="EH315" s="16">
        <f t="shared" si="359"/>
        <v>81</v>
      </c>
      <c r="EI315" s="16"/>
      <c r="EJ315" s="16"/>
      <c r="EK315" s="80">
        <v>2018</v>
      </c>
      <c r="EL315" s="81" t="s">
        <v>45</v>
      </c>
      <c r="EM315" s="15">
        <f t="shared" si="343"/>
        <v>0.95798319327731096</v>
      </c>
      <c r="EN315" s="15">
        <f t="shared" si="344"/>
        <v>0.96202531645569622</v>
      </c>
      <c r="EO315" s="15">
        <f t="shared" si="345"/>
        <v>0.99579831932773111</v>
      </c>
      <c r="EP315" s="16"/>
      <c r="EQ315" s="16"/>
      <c r="ER315" s="16">
        <v>238</v>
      </c>
      <c r="ES315" s="16">
        <f t="shared" si="360"/>
        <v>1</v>
      </c>
      <c r="ET315" s="16">
        <v>237</v>
      </c>
      <c r="EU315" s="16">
        <v>228</v>
      </c>
      <c r="EV315" s="16">
        <f t="shared" si="361"/>
        <v>9</v>
      </c>
      <c r="EW315" s="16"/>
      <c r="EX315" s="16"/>
      <c r="EY315" s="80"/>
      <c r="EZ315" s="81"/>
      <c r="FA315" s="15"/>
      <c r="FB315" s="15"/>
      <c r="FC315" s="15"/>
      <c r="FD315" s="16"/>
      <c r="FE315" s="16"/>
      <c r="FF315" s="16"/>
      <c r="FG315" s="16"/>
      <c r="FH315" s="16"/>
      <c r="FI315" s="16"/>
      <c r="FJ315" s="16"/>
      <c r="FK315" s="16"/>
      <c r="FM315" s="80"/>
      <c r="FN315" s="81"/>
      <c r="FO315" s="15"/>
      <c r="FP315" s="15"/>
      <c r="FQ315" s="15"/>
      <c r="FR315" s="16"/>
      <c r="FS315" s="16"/>
      <c r="FT315" s="16"/>
      <c r="FU315" s="16"/>
      <c r="FV315" s="16"/>
      <c r="FW315" s="16"/>
      <c r="FX315" s="16"/>
      <c r="FY315" s="16"/>
      <c r="GA315" s="80"/>
      <c r="GB315" s="81"/>
      <c r="GC315" s="15"/>
      <c r="GD315" s="15"/>
      <c r="GE315" s="15"/>
      <c r="GF315" s="16"/>
      <c r="GG315" s="16"/>
      <c r="GH315" s="16"/>
      <c r="GI315" s="16"/>
      <c r="GJ315" s="16"/>
      <c r="GK315" s="16"/>
      <c r="GL315" s="16"/>
      <c r="GM315" s="16"/>
    </row>
    <row r="316" spans="1:195" s="18" customFormat="1" ht="15" customHeight="1">
      <c r="A316" s="78">
        <v>2018</v>
      </c>
      <c r="B316" s="79" t="s">
        <v>46</v>
      </c>
      <c r="C316" s="15">
        <f t="shared" si="293"/>
        <v>0.77639779604371784</v>
      </c>
      <c r="D316" s="15">
        <f t="shared" si="294"/>
        <v>0.84718115513502856</v>
      </c>
      <c r="E316" s="15">
        <f t="shared" si="295"/>
        <v>0.91644837864691542</v>
      </c>
      <c r="F316" s="16"/>
      <c r="G316" s="33"/>
      <c r="H31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22142</v>
      </c>
      <c r="I316" s="16">
        <f t="shared" si="296"/>
        <v>1850</v>
      </c>
      <c r="J31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20292</v>
      </c>
      <c r="K31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17191</v>
      </c>
      <c r="L316" s="16">
        <f t="shared" si="297"/>
        <v>3101</v>
      </c>
      <c r="M316" s="16"/>
      <c r="N316" s="16"/>
      <c r="O316" s="78">
        <v>2018</v>
      </c>
      <c r="P316" s="79" t="s">
        <v>46</v>
      </c>
      <c r="Q316" s="15">
        <f t="shared" si="270"/>
        <v>0.72416225749559082</v>
      </c>
      <c r="R316" s="15">
        <f t="shared" si="271"/>
        <v>0.79144178874325366</v>
      </c>
      <c r="S316" s="15">
        <f t="shared" si="272"/>
        <v>0.91499118165784832</v>
      </c>
      <c r="T316" s="26"/>
      <c r="U316" s="26"/>
      <c r="V316" s="16">
        <v>5670</v>
      </c>
      <c r="W316" s="16">
        <f t="shared" si="346"/>
        <v>482</v>
      </c>
      <c r="X316" s="16">
        <v>5188</v>
      </c>
      <c r="Y316" s="16">
        <v>4106</v>
      </c>
      <c r="Z316" s="16">
        <f t="shared" si="347"/>
        <v>1082</v>
      </c>
      <c r="AA316" s="16"/>
      <c r="AB316" s="16"/>
      <c r="AC316" s="78"/>
      <c r="AD316" s="79"/>
      <c r="AE316" s="15"/>
      <c r="AF316" s="15"/>
      <c r="AG316" s="15"/>
      <c r="AH316" s="15"/>
      <c r="AI316" s="15"/>
      <c r="AJ316" s="16"/>
      <c r="AK316" s="16"/>
      <c r="AL316" s="16"/>
      <c r="AM316" s="16"/>
      <c r="AN316" s="16"/>
      <c r="AO316" s="16"/>
      <c r="AP316" s="16"/>
      <c r="AQ316" s="78">
        <v>2018</v>
      </c>
      <c r="AR316" s="79" t="s">
        <v>46</v>
      </c>
      <c r="AS316" s="15">
        <f t="shared" si="273"/>
        <v>0.78208955223880594</v>
      </c>
      <c r="AT316" s="15">
        <f t="shared" si="274"/>
        <v>0.84716533735718902</v>
      </c>
      <c r="AU316" s="15">
        <f t="shared" si="275"/>
        <v>0.92318407960199</v>
      </c>
      <c r="AV316" s="16"/>
      <c r="AW316" s="16"/>
      <c r="AX316" s="16">
        <v>5025</v>
      </c>
      <c r="AY316" s="16">
        <f t="shared" si="348"/>
        <v>386</v>
      </c>
      <c r="AZ316" s="16">
        <v>4639</v>
      </c>
      <c r="BA316" s="16">
        <v>3930</v>
      </c>
      <c r="BB316" s="16">
        <f t="shared" si="349"/>
        <v>709</v>
      </c>
      <c r="BC316" s="16"/>
      <c r="BD316" s="16"/>
      <c r="BE316" s="78">
        <v>2018</v>
      </c>
      <c r="BF316" s="79" t="s">
        <v>46</v>
      </c>
      <c r="BG316" s="15">
        <f t="shared" si="310"/>
        <v>0.78545366090975433</v>
      </c>
      <c r="BH316" s="15">
        <f t="shared" si="311"/>
        <v>0.87554229934924077</v>
      </c>
      <c r="BI316" s="15">
        <f t="shared" si="312"/>
        <v>0.89710532717100466</v>
      </c>
      <c r="BJ316" s="16"/>
      <c r="BK316" s="16"/>
      <c r="BL316" s="16">
        <v>4111</v>
      </c>
      <c r="BM316" s="16">
        <f t="shared" si="350"/>
        <v>423</v>
      </c>
      <c r="BN316" s="16">
        <v>3688</v>
      </c>
      <c r="BO316" s="16">
        <v>3229</v>
      </c>
      <c r="BP316" s="16">
        <f t="shared" si="351"/>
        <v>459</v>
      </c>
      <c r="BQ316" s="16"/>
      <c r="BR316" s="16"/>
      <c r="BS316" s="78">
        <v>2018</v>
      </c>
      <c r="BT316" s="79" t="s">
        <v>46</v>
      </c>
      <c r="BU316" s="15">
        <f t="shared" si="276"/>
        <v>0.71282301316431007</v>
      </c>
      <c r="BV316" s="15">
        <f t="shared" si="277"/>
        <v>0.79629629629629628</v>
      </c>
      <c r="BW316" s="15">
        <f t="shared" si="278"/>
        <v>0.89517308629936621</v>
      </c>
      <c r="BX316" s="16"/>
      <c r="BY316" s="16"/>
      <c r="BZ316" s="16">
        <v>2051</v>
      </c>
      <c r="CA316" s="16">
        <f t="shared" si="352"/>
        <v>215</v>
      </c>
      <c r="CB316" s="16">
        <v>1836</v>
      </c>
      <c r="CC316" s="16">
        <v>1462</v>
      </c>
      <c r="CD316" s="16">
        <f t="shared" si="353"/>
        <v>374</v>
      </c>
      <c r="CE316" s="16"/>
      <c r="CF316" s="16"/>
      <c r="CG316" s="78">
        <v>2018</v>
      </c>
      <c r="CH316" s="79" t="s">
        <v>46</v>
      </c>
      <c r="CI316" s="15">
        <f t="shared" si="362"/>
        <v>0.72790697674418603</v>
      </c>
      <c r="CJ316" s="15">
        <f t="shared" si="363"/>
        <v>0.78593848085373508</v>
      </c>
      <c r="CK316" s="15">
        <f t="shared" si="364"/>
        <v>0.92616279069767438</v>
      </c>
      <c r="CL316" s="16"/>
      <c r="CM316" s="16"/>
      <c r="CN316" s="16">
        <v>1720</v>
      </c>
      <c r="CO316" s="16">
        <f>CN316-CP316</f>
        <v>127</v>
      </c>
      <c r="CP316" s="16">
        <v>1593</v>
      </c>
      <c r="CQ316" s="16">
        <v>1252</v>
      </c>
      <c r="CR316" s="16">
        <f>CP316-CQ316</f>
        <v>341</v>
      </c>
      <c r="CS316" s="16"/>
      <c r="CT316" s="16"/>
      <c r="CU316" s="78">
        <v>2018</v>
      </c>
      <c r="CV316" s="79" t="s">
        <v>46</v>
      </c>
      <c r="CW316" s="15">
        <f t="shared" si="282"/>
        <v>0.92488687782805434</v>
      </c>
      <c r="CX316" s="15">
        <f t="shared" si="283"/>
        <v>0.97986577181208057</v>
      </c>
      <c r="CY316" s="15">
        <f t="shared" si="284"/>
        <v>0.9438914027149321</v>
      </c>
      <c r="CZ316" s="16"/>
      <c r="DA316" s="16"/>
      <c r="DB316" s="16">
        <v>1105</v>
      </c>
      <c r="DC316" s="16">
        <f t="shared" si="354"/>
        <v>62</v>
      </c>
      <c r="DD316" s="16">
        <v>1043</v>
      </c>
      <c r="DE316" s="16">
        <v>1022</v>
      </c>
      <c r="DF316" s="16">
        <f t="shared" si="355"/>
        <v>21</v>
      </c>
      <c r="DG316" s="16"/>
      <c r="DH316" s="16"/>
      <c r="DI316" s="78">
        <v>2018</v>
      </c>
      <c r="DJ316" s="79" t="s">
        <v>46</v>
      </c>
      <c r="DK316" s="15">
        <f t="shared" si="287"/>
        <v>0.88833333333333331</v>
      </c>
      <c r="DL316" s="15">
        <f t="shared" si="288"/>
        <v>0.97977941176470584</v>
      </c>
      <c r="DM316" s="15">
        <f t="shared" si="289"/>
        <v>0.90666666666666662</v>
      </c>
      <c r="DN316" s="16"/>
      <c r="DO316" s="16"/>
      <c r="DP316" s="16">
        <v>600</v>
      </c>
      <c r="DQ316" s="16">
        <f t="shared" si="356"/>
        <v>56</v>
      </c>
      <c r="DR316" s="16">
        <v>544</v>
      </c>
      <c r="DS316" s="16">
        <v>533</v>
      </c>
      <c r="DT316" s="16">
        <f t="shared" si="357"/>
        <v>11</v>
      </c>
      <c r="DU316" s="16"/>
      <c r="DV316" s="16"/>
      <c r="DW316" s="78">
        <v>2018</v>
      </c>
      <c r="DX316" s="79" t="s">
        <v>46</v>
      </c>
      <c r="DY316" s="15">
        <f t="shared" si="290"/>
        <v>0.88669950738916259</v>
      </c>
      <c r="DZ316" s="15">
        <f t="shared" si="291"/>
        <v>0.93689004554326605</v>
      </c>
      <c r="EA316" s="15">
        <f t="shared" si="292"/>
        <v>0.9464285714285714</v>
      </c>
      <c r="EB316" s="16"/>
      <c r="EC316" s="16"/>
      <c r="ED316" s="16">
        <v>1624</v>
      </c>
      <c r="EE316" s="16">
        <f t="shared" si="358"/>
        <v>87</v>
      </c>
      <c r="EF316" s="16">
        <v>1537</v>
      </c>
      <c r="EG316" s="16">
        <v>1440</v>
      </c>
      <c r="EH316" s="16">
        <f t="shared" si="359"/>
        <v>97</v>
      </c>
      <c r="EI316" s="19" t="s">
        <v>69</v>
      </c>
      <c r="EJ316" s="16"/>
      <c r="EK316" s="78">
        <v>2018</v>
      </c>
      <c r="EL316" s="79" t="s">
        <v>46</v>
      </c>
      <c r="EM316" s="15">
        <f t="shared" si="343"/>
        <v>0.91949152542372881</v>
      </c>
      <c r="EN316" s="15">
        <f t="shared" si="344"/>
        <v>0.96875</v>
      </c>
      <c r="EO316" s="15">
        <f t="shared" si="345"/>
        <v>0.94915254237288138</v>
      </c>
      <c r="EP316" s="16"/>
      <c r="EQ316" s="16"/>
      <c r="ER316" s="16">
        <v>236</v>
      </c>
      <c r="ES316" s="16">
        <f t="shared" si="360"/>
        <v>12</v>
      </c>
      <c r="ET316" s="16">
        <v>224</v>
      </c>
      <c r="EU316" s="16">
        <v>217</v>
      </c>
      <c r="EV316" s="16">
        <f t="shared" si="361"/>
        <v>7</v>
      </c>
      <c r="EW316" s="16"/>
      <c r="EX316" s="16"/>
      <c r="EY316" s="78"/>
      <c r="EZ316" s="79"/>
      <c r="FA316" s="15"/>
      <c r="FB316" s="15"/>
      <c r="FC316" s="15"/>
      <c r="FD316" s="16"/>
      <c r="FE316" s="16"/>
      <c r="FF316" s="16"/>
      <c r="FG316" s="16"/>
      <c r="FH316" s="16"/>
      <c r="FI316" s="16"/>
      <c r="FJ316" s="16"/>
      <c r="FK316" s="19" t="s">
        <v>69</v>
      </c>
      <c r="FM316" s="78"/>
      <c r="FN316" s="79"/>
      <c r="FO316" s="15"/>
      <c r="FP316" s="15"/>
      <c r="FQ316" s="15"/>
      <c r="FR316" s="16"/>
      <c r="FS316" s="16"/>
      <c r="FT316" s="16"/>
      <c r="FU316" s="16"/>
      <c r="FV316" s="16"/>
      <c r="FW316" s="16"/>
      <c r="FX316" s="16"/>
      <c r="FY316" s="19" t="s">
        <v>69</v>
      </c>
      <c r="GA316" s="78"/>
      <c r="GB316" s="79"/>
      <c r="GC316" s="15"/>
      <c r="GD316" s="15"/>
      <c r="GE316" s="15"/>
      <c r="GF316" s="16"/>
      <c r="GG316" s="16"/>
      <c r="GH316" s="16"/>
      <c r="GI316" s="16"/>
      <c r="GJ316" s="16"/>
      <c r="GK316" s="16"/>
      <c r="GL316" s="16"/>
      <c r="GM316" s="19"/>
    </row>
    <row r="317" spans="1:195" s="18" customFormat="1" ht="15" customHeight="1">
      <c r="A317" s="80">
        <v>2018</v>
      </c>
      <c r="B317" s="81" t="s">
        <v>47</v>
      </c>
      <c r="C317" s="15">
        <f t="shared" si="293"/>
        <v>0.79651928931703553</v>
      </c>
      <c r="D317" s="15">
        <f t="shared" si="294"/>
        <v>0.85453127285136254</v>
      </c>
      <c r="E317" s="15">
        <f t="shared" si="295"/>
        <v>0.93211250965601855</v>
      </c>
      <c r="F317" s="16"/>
      <c r="G317" s="33"/>
      <c r="H31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22007</v>
      </c>
      <c r="I317" s="16">
        <f t="shared" si="296"/>
        <v>1494</v>
      </c>
      <c r="J31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20513</v>
      </c>
      <c r="K31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17529</v>
      </c>
      <c r="L317" s="16">
        <f t="shared" si="297"/>
        <v>2984</v>
      </c>
      <c r="M317" s="16"/>
      <c r="N317" s="16"/>
      <c r="O317" s="80">
        <v>2018</v>
      </c>
      <c r="P317" s="81" t="s">
        <v>47</v>
      </c>
      <c r="Q317" s="15">
        <f t="shared" si="270"/>
        <v>0.76809543065103114</v>
      </c>
      <c r="R317" s="15">
        <f t="shared" si="271"/>
        <v>0.82372072853425848</v>
      </c>
      <c r="S317" s="15">
        <f t="shared" si="272"/>
        <v>0.93247068338050954</v>
      </c>
      <c r="T317" s="26"/>
      <c r="U317" s="26"/>
      <c r="V317" s="16">
        <v>4946</v>
      </c>
      <c r="W317" s="16">
        <f t="shared" si="346"/>
        <v>334</v>
      </c>
      <c r="X317" s="16">
        <v>4612</v>
      </c>
      <c r="Y317" s="16">
        <v>3799</v>
      </c>
      <c r="Z317" s="16">
        <f t="shared" si="347"/>
        <v>813</v>
      </c>
      <c r="AA317" s="16"/>
      <c r="AB317" s="16"/>
      <c r="AC317" s="80"/>
      <c r="AD317" s="81"/>
      <c r="AE317" s="15"/>
      <c r="AF317" s="15"/>
      <c r="AG317" s="15"/>
      <c r="AH317" s="15"/>
      <c r="AI317" s="15"/>
      <c r="AJ317" s="16"/>
      <c r="AK317" s="16"/>
      <c r="AL317" s="16"/>
      <c r="AM317" s="16"/>
      <c r="AN317" s="16"/>
      <c r="AO317" s="16"/>
      <c r="AP317" s="16"/>
      <c r="AQ317" s="80">
        <v>2018</v>
      </c>
      <c r="AR317" s="81" t="s">
        <v>47</v>
      </c>
      <c r="AS317" s="15">
        <f t="shared" si="273"/>
        <v>0.82831821929101401</v>
      </c>
      <c r="AT317" s="15">
        <f t="shared" si="274"/>
        <v>0.87655398037077425</v>
      </c>
      <c r="AU317" s="15">
        <f t="shared" si="275"/>
        <v>0.94497114591920861</v>
      </c>
      <c r="AV317" s="16"/>
      <c r="AW317" s="16"/>
      <c r="AX317" s="16">
        <v>4852</v>
      </c>
      <c r="AY317" s="16">
        <f t="shared" si="348"/>
        <v>267</v>
      </c>
      <c r="AZ317" s="16">
        <v>4585</v>
      </c>
      <c r="BA317" s="16">
        <v>4019</v>
      </c>
      <c r="BB317" s="16">
        <f t="shared" si="349"/>
        <v>566</v>
      </c>
      <c r="BC317" s="16"/>
      <c r="BD317" s="16"/>
      <c r="BE317" s="80">
        <v>2018</v>
      </c>
      <c r="BF317" s="81" t="s">
        <v>47</v>
      </c>
      <c r="BG317" s="15">
        <f t="shared" si="310"/>
        <v>0.76808988764044939</v>
      </c>
      <c r="BH317" s="15">
        <f t="shared" si="311"/>
        <v>0.83304898854496712</v>
      </c>
      <c r="BI317" s="15">
        <f t="shared" si="312"/>
        <v>0.92202247191011233</v>
      </c>
      <c r="BJ317" s="16"/>
      <c r="BK317" s="16"/>
      <c r="BL317" s="16">
        <v>4450</v>
      </c>
      <c r="BM317" s="16">
        <f t="shared" si="350"/>
        <v>347</v>
      </c>
      <c r="BN317" s="16">
        <v>4103</v>
      </c>
      <c r="BO317" s="16">
        <v>3418</v>
      </c>
      <c r="BP317" s="16">
        <f t="shared" si="351"/>
        <v>685</v>
      </c>
      <c r="BQ317" s="16"/>
      <c r="BR317" s="16"/>
      <c r="BS317" s="80">
        <v>2018</v>
      </c>
      <c r="BT317" s="81" t="s">
        <v>47</v>
      </c>
      <c r="BU317" s="15">
        <f t="shared" si="276"/>
        <v>0.77767776777677766</v>
      </c>
      <c r="BV317" s="15">
        <f t="shared" si="277"/>
        <v>0.83397683397683398</v>
      </c>
      <c r="BW317" s="15">
        <f t="shared" si="278"/>
        <v>0.93249324932493249</v>
      </c>
      <c r="BX317" s="16"/>
      <c r="BY317" s="16"/>
      <c r="BZ317" s="16">
        <v>2222</v>
      </c>
      <c r="CA317" s="16">
        <f t="shared" si="352"/>
        <v>150</v>
      </c>
      <c r="CB317" s="16">
        <v>2072</v>
      </c>
      <c r="CC317" s="16">
        <v>1728</v>
      </c>
      <c r="CD317" s="16">
        <f t="shared" si="353"/>
        <v>344</v>
      </c>
      <c r="CE317" s="16"/>
      <c r="CF317" s="16"/>
      <c r="CG317" s="80">
        <v>2018</v>
      </c>
      <c r="CH317" s="81" t="s">
        <v>47</v>
      </c>
      <c r="CI317" s="15">
        <f t="shared" si="362"/>
        <v>0.72373949579831931</v>
      </c>
      <c r="CJ317" s="15">
        <f t="shared" si="363"/>
        <v>0.77155655095184772</v>
      </c>
      <c r="CK317" s="15">
        <f t="shared" si="364"/>
        <v>0.93802521008403361</v>
      </c>
      <c r="CL317" s="16"/>
      <c r="CM317" s="16"/>
      <c r="CN317" s="16">
        <v>1904</v>
      </c>
      <c r="CO317" s="16">
        <f>CN317-CP317</f>
        <v>118</v>
      </c>
      <c r="CP317" s="16">
        <v>1786</v>
      </c>
      <c r="CQ317" s="16">
        <v>1378</v>
      </c>
      <c r="CR317" s="16">
        <f>CP317-CQ317</f>
        <v>408</v>
      </c>
      <c r="CS317" s="16"/>
      <c r="CT317" s="16"/>
      <c r="CU317" s="80">
        <v>2018</v>
      </c>
      <c r="CV317" s="81" t="s">
        <v>47</v>
      </c>
      <c r="CW317" s="15">
        <f t="shared" si="282"/>
        <v>0.88596491228070173</v>
      </c>
      <c r="CX317" s="15">
        <f t="shared" si="283"/>
        <v>0.96743295019157083</v>
      </c>
      <c r="CY317" s="15">
        <f t="shared" si="284"/>
        <v>0.91578947368421049</v>
      </c>
      <c r="CZ317" s="16"/>
      <c r="DA317" s="16"/>
      <c r="DB317" s="16">
        <v>1140</v>
      </c>
      <c r="DC317" s="16">
        <f t="shared" si="354"/>
        <v>96</v>
      </c>
      <c r="DD317" s="16">
        <v>1044</v>
      </c>
      <c r="DE317" s="16">
        <v>1010</v>
      </c>
      <c r="DF317" s="16">
        <f t="shared" si="355"/>
        <v>34</v>
      </c>
      <c r="DG317" s="16"/>
      <c r="DH317" s="16"/>
      <c r="DI317" s="80">
        <v>2018</v>
      </c>
      <c r="DJ317" s="81" t="s">
        <v>47</v>
      </c>
      <c r="DK317" s="15">
        <f t="shared" si="287"/>
        <v>0.8403225806451613</v>
      </c>
      <c r="DL317" s="15">
        <f t="shared" si="288"/>
        <v>0.96481481481481479</v>
      </c>
      <c r="DM317" s="15">
        <f t="shared" si="289"/>
        <v>0.87096774193548387</v>
      </c>
      <c r="DN317" s="16"/>
      <c r="DO317" s="16"/>
      <c r="DP317" s="16">
        <v>620</v>
      </c>
      <c r="DQ317" s="16">
        <f t="shared" si="356"/>
        <v>80</v>
      </c>
      <c r="DR317" s="16">
        <v>540</v>
      </c>
      <c r="DS317" s="16">
        <v>521</v>
      </c>
      <c r="DT317" s="16">
        <f t="shared" si="357"/>
        <v>19</v>
      </c>
      <c r="DU317" s="16"/>
      <c r="DV317" s="16"/>
      <c r="DW317" s="80">
        <v>2018</v>
      </c>
      <c r="DX317" s="81" t="s">
        <v>47</v>
      </c>
      <c r="DY317" s="15">
        <f t="shared" si="290"/>
        <v>0.87770228536133421</v>
      </c>
      <c r="DZ317" s="15">
        <f t="shared" si="291"/>
        <v>0.92875816993464055</v>
      </c>
      <c r="EA317" s="15">
        <f t="shared" si="292"/>
        <v>0.9450277949351451</v>
      </c>
      <c r="EB317" s="16"/>
      <c r="EC317" s="16"/>
      <c r="ED317" s="16">
        <v>1619</v>
      </c>
      <c r="EE317" s="16">
        <f t="shared" si="358"/>
        <v>89</v>
      </c>
      <c r="EF317" s="16">
        <v>1530</v>
      </c>
      <c r="EG317" s="16">
        <v>1421</v>
      </c>
      <c r="EH317" s="16">
        <f t="shared" si="359"/>
        <v>109</v>
      </c>
      <c r="EI317" s="16"/>
      <c r="EJ317" s="16"/>
      <c r="EK317" s="80">
        <v>2018</v>
      </c>
      <c r="EL317" s="81" t="s">
        <v>47</v>
      </c>
      <c r="EM317" s="15">
        <f t="shared" si="343"/>
        <v>0.92519685039370081</v>
      </c>
      <c r="EN317" s="15">
        <f t="shared" si="344"/>
        <v>0.975103734439834</v>
      </c>
      <c r="EO317" s="15">
        <f t="shared" si="345"/>
        <v>0.94881889763779526</v>
      </c>
      <c r="EP317" s="16"/>
      <c r="EQ317" s="16"/>
      <c r="ER317" s="16">
        <v>254</v>
      </c>
      <c r="ES317" s="16">
        <f t="shared" si="360"/>
        <v>13</v>
      </c>
      <c r="ET317" s="16">
        <v>241</v>
      </c>
      <c r="EU317" s="16">
        <v>235</v>
      </c>
      <c r="EV317" s="16">
        <f t="shared" si="361"/>
        <v>6</v>
      </c>
      <c r="EW317" s="16"/>
      <c r="EX317" s="16"/>
      <c r="EY317" s="80"/>
      <c r="EZ317" s="81"/>
      <c r="FA317" s="15"/>
      <c r="FB317" s="15"/>
      <c r="FC317" s="15"/>
      <c r="FD317" s="16"/>
      <c r="FE317" s="16"/>
      <c r="FF317" s="16"/>
      <c r="FG317" s="16"/>
      <c r="FH317" s="16"/>
      <c r="FI317" s="16"/>
      <c r="FJ317" s="16"/>
      <c r="FK317" s="16"/>
      <c r="FM317" s="80"/>
      <c r="FN317" s="81"/>
      <c r="FO317" s="15"/>
      <c r="FP317" s="15"/>
      <c r="FQ317" s="15"/>
      <c r="FR317" s="16"/>
      <c r="FS317" s="16"/>
      <c r="FT317" s="16"/>
      <c r="FU317" s="16"/>
      <c r="FV317" s="16"/>
      <c r="FW317" s="16"/>
      <c r="FX317" s="16"/>
      <c r="FY317" s="16"/>
      <c r="GA317" s="80"/>
      <c r="GB317" s="81"/>
      <c r="GC317" s="15"/>
      <c r="GD317" s="15"/>
      <c r="GE317" s="15"/>
      <c r="GF317" s="16"/>
      <c r="GG317" s="16"/>
      <c r="GH317" s="16"/>
      <c r="GI317" s="16"/>
      <c r="GJ317" s="16"/>
      <c r="GK317" s="16"/>
      <c r="GL317" s="16"/>
      <c r="GM317" s="16"/>
    </row>
    <row r="318" spans="1:195" s="18" customFormat="1" ht="15" customHeight="1">
      <c r="A318" s="78">
        <v>2019</v>
      </c>
      <c r="B318" s="79" t="s">
        <v>36</v>
      </c>
      <c r="C318" s="15">
        <f t="shared" si="293"/>
        <v>0.87003138075313813</v>
      </c>
      <c r="D318" s="15">
        <f t="shared" si="294"/>
        <v>0.89092207444434524</v>
      </c>
      <c r="E318" s="15">
        <f t="shared" si="295"/>
        <v>0.97655160390516038</v>
      </c>
      <c r="F318" s="16"/>
      <c r="G318" s="33"/>
      <c r="H31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22944</v>
      </c>
      <c r="I318" s="16">
        <f t="shared" si="296"/>
        <v>538</v>
      </c>
      <c r="J31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22406</v>
      </c>
      <c r="K31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19962</v>
      </c>
      <c r="L318" s="16">
        <f t="shared" si="297"/>
        <v>2444</v>
      </c>
      <c r="M318" s="16"/>
      <c r="N318" s="16"/>
      <c r="O318" s="78">
        <v>2019</v>
      </c>
      <c r="P318" s="79" t="s">
        <v>36</v>
      </c>
      <c r="Q318" s="15">
        <f t="shared" si="270"/>
        <v>0.8753490227363383</v>
      </c>
      <c r="R318" s="15">
        <f t="shared" si="271"/>
        <v>0.89754601226993869</v>
      </c>
      <c r="S318" s="15">
        <f t="shared" si="272"/>
        <v>0.9752692461108895</v>
      </c>
      <c r="T318" s="26"/>
      <c r="U318" s="26"/>
      <c r="V318" s="16">
        <v>5014</v>
      </c>
      <c r="W318" s="16">
        <f t="shared" ref="W318:W334" si="365">V318-X318</f>
        <v>124</v>
      </c>
      <c r="X318" s="16">
        <v>4890</v>
      </c>
      <c r="Y318" s="16">
        <v>4389</v>
      </c>
      <c r="Z318" s="16">
        <f t="shared" ref="Z318:Z334" si="366">X318-Y318</f>
        <v>501</v>
      </c>
      <c r="AA318" s="16"/>
      <c r="AB318" s="16"/>
      <c r="AC318" s="78"/>
      <c r="AD318" s="79"/>
      <c r="AE318" s="15"/>
      <c r="AF318" s="15"/>
      <c r="AG318" s="15"/>
      <c r="AH318" s="15"/>
      <c r="AI318" s="15"/>
      <c r="AJ318" s="16"/>
      <c r="AK318" s="16"/>
      <c r="AL318" s="16"/>
      <c r="AM318" s="16"/>
      <c r="AN318" s="16"/>
      <c r="AO318" s="16"/>
      <c r="AP318" s="16"/>
      <c r="AQ318" s="78">
        <v>2019</v>
      </c>
      <c r="AR318" s="79" t="s">
        <v>36</v>
      </c>
      <c r="AS318" s="15">
        <f t="shared" si="273"/>
        <v>0.91533359344518139</v>
      </c>
      <c r="AT318" s="15">
        <f t="shared" si="274"/>
        <v>0.92253244199764062</v>
      </c>
      <c r="AU318" s="15">
        <f t="shared" si="275"/>
        <v>0.99219664455715961</v>
      </c>
      <c r="AV318" s="16"/>
      <c r="AW318" s="16"/>
      <c r="AX318" s="16">
        <v>5126</v>
      </c>
      <c r="AY318" s="16">
        <f t="shared" ref="AY318:AY334" si="367">AX318-AZ318</f>
        <v>40</v>
      </c>
      <c r="AZ318" s="16">
        <v>5086</v>
      </c>
      <c r="BA318" s="16">
        <v>4692</v>
      </c>
      <c r="BB318" s="16">
        <f t="shared" ref="BB318:BB334" si="368">AZ318-BA318</f>
        <v>394</v>
      </c>
      <c r="BC318" s="16"/>
      <c r="BD318" s="16"/>
      <c r="BE318" s="78">
        <v>2019</v>
      </c>
      <c r="BF318" s="79" t="s">
        <v>36</v>
      </c>
      <c r="BG318" s="15">
        <f t="shared" si="310"/>
        <v>0.83566581849024602</v>
      </c>
      <c r="BH318" s="15">
        <f t="shared" si="311"/>
        <v>0.8491704374057315</v>
      </c>
      <c r="BI318" s="15">
        <f t="shared" si="312"/>
        <v>0.98409669211195927</v>
      </c>
      <c r="BJ318" s="16"/>
      <c r="BK318" s="16"/>
      <c r="BL318" s="16">
        <v>4716</v>
      </c>
      <c r="BM318" s="16">
        <f t="shared" ref="BM318:BM334" si="369">BL318-BN318</f>
        <v>75</v>
      </c>
      <c r="BN318" s="16">
        <v>4641</v>
      </c>
      <c r="BO318" s="16">
        <v>3941</v>
      </c>
      <c r="BP318" s="16">
        <f t="shared" ref="BP318:BP334" si="370">BN318-BO318</f>
        <v>700</v>
      </c>
      <c r="BQ318" s="16"/>
      <c r="BR318" s="16"/>
      <c r="BS318" s="78">
        <v>2019</v>
      </c>
      <c r="BT318" s="79" t="s">
        <v>36</v>
      </c>
      <c r="BU318" s="15">
        <f t="shared" si="276"/>
        <v>0.84904862579281182</v>
      </c>
      <c r="BV318" s="15">
        <f t="shared" si="277"/>
        <v>0.87001733102253032</v>
      </c>
      <c r="BW318" s="15">
        <f t="shared" si="278"/>
        <v>0.97589852008456657</v>
      </c>
      <c r="BX318" s="16"/>
      <c r="BY318" s="16"/>
      <c r="BZ318" s="16">
        <v>2365</v>
      </c>
      <c r="CA318" s="16">
        <f t="shared" ref="CA318:CA334" si="371">BZ318-CB318</f>
        <v>57</v>
      </c>
      <c r="CB318" s="16">
        <v>2308</v>
      </c>
      <c r="CC318" s="16">
        <v>2008</v>
      </c>
      <c r="CD318" s="16">
        <f t="shared" ref="CD318:CD334" si="372">CB318-CC318</f>
        <v>300</v>
      </c>
      <c r="CE318" s="16"/>
      <c r="CF318" s="16"/>
      <c r="CG318" s="78">
        <v>2019</v>
      </c>
      <c r="CH318" s="79" t="s">
        <v>36</v>
      </c>
      <c r="CI318" s="15">
        <f t="shared" si="362"/>
        <v>0.75684931506849318</v>
      </c>
      <c r="CJ318" s="15">
        <f t="shared" si="363"/>
        <v>0.79292670425422862</v>
      </c>
      <c r="CK318" s="15">
        <f t="shared" si="364"/>
        <v>0.95450097847358117</v>
      </c>
      <c r="CL318" s="16"/>
      <c r="CM318" s="16"/>
      <c r="CN318" s="16">
        <v>2044</v>
      </c>
      <c r="CO318" s="16">
        <f t="shared" ref="CO318:CO334" si="373">CN318-CP318</f>
        <v>93</v>
      </c>
      <c r="CP318" s="16">
        <v>1951</v>
      </c>
      <c r="CQ318" s="16">
        <v>1547</v>
      </c>
      <c r="CR318" s="16">
        <f t="shared" ref="CR318:CR334" si="374">CP318-CQ318</f>
        <v>404</v>
      </c>
      <c r="CS318" s="16"/>
      <c r="CT318" s="16"/>
      <c r="CU318" s="78">
        <v>2019</v>
      </c>
      <c r="CV318" s="79" t="s">
        <v>36</v>
      </c>
      <c r="CW318" s="15">
        <f t="shared" si="282"/>
        <v>0.93345008756567427</v>
      </c>
      <c r="CX318" s="15">
        <f t="shared" si="283"/>
        <v>0.97262773722627738</v>
      </c>
      <c r="CY318" s="15">
        <f t="shared" si="284"/>
        <v>0.95971978984238182</v>
      </c>
      <c r="CZ318" s="16"/>
      <c r="DA318" s="16"/>
      <c r="DB318" s="16">
        <v>1142</v>
      </c>
      <c r="DC318" s="16">
        <f t="shared" ref="DC318:DC334" si="375">DB318-DD318</f>
        <v>46</v>
      </c>
      <c r="DD318" s="16">
        <v>1096</v>
      </c>
      <c r="DE318" s="16">
        <v>1066</v>
      </c>
      <c r="DF318" s="16">
        <f t="shared" ref="DF318:DF334" si="376">DD318-DE318</f>
        <v>30</v>
      </c>
      <c r="DG318" s="16"/>
      <c r="DH318" s="16"/>
      <c r="DI318" s="78">
        <v>2019</v>
      </c>
      <c r="DJ318" s="79" t="s">
        <v>36</v>
      </c>
      <c r="DK318" s="15">
        <f t="shared" si="287"/>
        <v>0.85483870967741937</v>
      </c>
      <c r="DL318" s="15">
        <f t="shared" si="288"/>
        <v>0.96188747731397461</v>
      </c>
      <c r="DM318" s="15">
        <f t="shared" si="289"/>
        <v>0.8887096774193548</v>
      </c>
      <c r="DN318" s="16"/>
      <c r="DO318" s="16"/>
      <c r="DP318" s="16">
        <v>620</v>
      </c>
      <c r="DQ318" s="16">
        <f t="shared" ref="DQ318:DQ327" si="377">DP318-DR318</f>
        <v>69</v>
      </c>
      <c r="DR318" s="16">
        <v>551</v>
      </c>
      <c r="DS318" s="16">
        <v>530</v>
      </c>
      <c r="DT318" s="16">
        <f t="shared" ref="DT318:DT327" si="378">DR318-DS318</f>
        <v>21</v>
      </c>
      <c r="DU318" s="16"/>
      <c r="DV318" s="16"/>
      <c r="DW318" s="78">
        <v>2019</v>
      </c>
      <c r="DX318" s="79" t="s">
        <v>36</v>
      </c>
      <c r="DY318" s="15">
        <f t="shared" si="290"/>
        <v>0.9297200714711138</v>
      </c>
      <c r="DZ318" s="15">
        <f t="shared" si="291"/>
        <v>0.94893617021276599</v>
      </c>
      <c r="EA318" s="15">
        <f t="shared" si="292"/>
        <v>0.97974985110184631</v>
      </c>
      <c r="EB318" s="16"/>
      <c r="EC318" s="16"/>
      <c r="ED318" s="16">
        <v>1679</v>
      </c>
      <c r="EE318" s="16">
        <f>ED318-EF318</f>
        <v>34</v>
      </c>
      <c r="EF318" s="16">
        <v>1645</v>
      </c>
      <c r="EG318" s="16">
        <v>1561</v>
      </c>
      <c r="EH318" s="16">
        <f t="shared" ref="EH318:EH334" si="379">EF318-EG318</f>
        <v>84</v>
      </c>
      <c r="EI318" s="16"/>
      <c r="EJ318" s="16"/>
      <c r="EK318" s="78">
        <v>2019</v>
      </c>
      <c r="EL318" s="79" t="s">
        <v>36</v>
      </c>
      <c r="EM318" s="15">
        <f t="shared" si="343"/>
        <v>0.95798319327731096</v>
      </c>
      <c r="EN318" s="15">
        <f t="shared" si="344"/>
        <v>0.95798319327731096</v>
      </c>
      <c r="EO318" s="15">
        <f t="shared" si="345"/>
        <v>1</v>
      </c>
      <c r="EP318" s="16"/>
      <c r="EQ318" s="16"/>
      <c r="ER318" s="16">
        <v>238</v>
      </c>
      <c r="ES318" s="16">
        <f t="shared" ref="ES318:ES332" si="380">ER318-ET318</f>
        <v>0</v>
      </c>
      <c r="ET318" s="16">
        <v>238</v>
      </c>
      <c r="EU318" s="16">
        <v>228</v>
      </c>
      <c r="EV318" s="16">
        <f t="shared" ref="EV318:EV332" si="381">ET318-EU318</f>
        <v>10</v>
      </c>
      <c r="EW318" s="16"/>
      <c r="EX318" s="16"/>
      <c r="EY318" s="78"/>
      <c r="EZ318" s="79"/>
      <c r="FA318" s="15"/>
      <c r="FB318" s="15"/>
      <c r="FC318" s="15"/>
      <c r="FD318" s="16"/>
      <c r="FE318" s="16"/>
      <c r="FF318" s="16"/>
      <c r="FG318" s="16"/>
      <c r="FH318" s="16"/>
      <c r="FI318" s="16"/>
      <c r="FJ318" s="16"/>
      <c r="FK318" s="16"/>
      <c r="FM318" s="78"/>
      <c r="FN318" s="79"/>
      <c r="FO318" s="15"/>
      <c r="FP318" s="15"/>
      <c r="FQ318" s="15"/>
      <c r="FR318" s="16"/>
      <c r="FS318" s="16"/>
      <c r="FT318" s="16"/>
      <c r="FU318" s="16"/>
      <c r="FV318" s="16"/>
      <c r="FW318" s="16"/>
      <c r="FX318" s="16"/>
      <c r="FY318" s="16"/>
      <c r="GA318" s="78"/>
      <c r="GB318" s="79"/>
      <c r="GC318" s="15"/>
      <c r="GD318" s="15"/>
      <c r="GE318" s="15"/>
      <c r="GF318" s="16"/>
      <c r="GG318" s="16"/>
      <c r="GH318" s="16"/>
      <c r="GI318" s="16"/>
      <c r="GJ318" s="16"/>
      <c r="GK318" s="16"/>
      <c r="GL318" s="16"/>
      <c r="GM318" s="16"/>
    </row>
    <row r="319" spans="1:195" s="18" customFormat="1" ht="15" customHeight="1">
      <c r="A319" s="80">
        <v>2019</v>
      </c>
      <c r="B319" s="81" t="s">
        <v>37</v>
      </c>
      <c r="C319" s="15">
        <f t="shared" si="293"/>
        <v>0.87233941916564184</v>
      </c>
      <c r="D319" s="15">
        <f t="shared" si="294"/>
        <v>0.91279386290522146</v>
      </c>
      <c r="E319" s="15">
        <f t="shared" si="295"/>
        <v>0.95568063570144735</v>
      </c>
      <c r="F319" s="16"/>
      <c r="G319" s="33"/>
      <c r="H31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21142</v>
      </c>
      <c r="I319" s="16">
        <f t="shared" si="296"/>
        <v>937</v>
      </c>
      <c r="J31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20205</v>
      </c>
      <c r="K31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18443</v>
      </c>
      <c r="L319" s="16">
        <f t="shared" si="297"/>
        <v>1762</v>
      </c>
      <c r="M319" s="16"/>
      <c r="N319" s="16"/>
      <c r="O319" s="80">
        <v>2019</v>
      </c>
      <c r="P319" s="81" t="s">
        <v>37</v>
      </c>
      <c r="Q319" s="15">
        <f t="shared" si="270"/>
        <v>0.91994147157190631</v>
      </c>
      <c r="R319" s="15">
        <f t="shared" si="271"/>
        <v>0.93998291328492101</v>
      </c>
      <c r="S319" s="15">
        <f t="shared" si="272"/>
        <v>0.97867892976588633</v>
      </c>
      <c r="T319" s="26"/>
      <c r="U319" s="26"/>
      <c r="V319" s="16">
        <v>4784</v>
      </c>
      <c r="W319" s="16">
        <f t="shared" si="365"/>
        <v>102</v>
      </c>
      <c r="X319" s="16">
        <v>4682</v>
      </c>
      <c r="Y319" s="16">
        <v>4401</v>
      </c>
      <c r="Z319" s="16">
        <f t="shared" si="366"/>
        <v>281</v>
      </c>
      <c r="AA319" s="16"/>
      <c r="AB319" s="16"/>
      <c r="AC319" s="80"/>
      <c r="AD319" s="81"/>
      <c r="AE319" s="15"/>
      <c r="AF319" s="15"/>
      <c r="AG319" s="15"/>
      <c r="AH319" s="15"/>
      <c r="AI319" s="15"/>
      <c r="AJ319" s="16"/>
      <c r="AK319" s="16"/>
      <c r="AL319" s="16"/>
      <c r="AM319" s="16"/>
      <c r="AN319" s="16"/>
      <c r="AO319" s="16"/>
      <c r="AP319" s="16"/>
      <c r="AQ319" s="80">
        <v>2019</v>
      </c>
      <c r="AR319" s="81" t="s">
        <v>37</v>
      </c>
      <c r="AS319" s="15">
        <f t="shared" si="273"/>
        <v>0.93676222596964587</v>
      </c>
      <c r="AT319" s="15">
        <f t="shared" si="274"/>
        <v>0.95160599571734472</v>
      </c>
      <c r="AU319" s="15">
        <f t="shared" si="275"/>
        <v>0.98440134907251264</v>
      </c>
      <c r="AV319" s="16"/>
      <c r="AW319" s="16"/>
      <c r="AX319" s="16">
        <v>4744</v>
      </c>
      <c r="AY319" s="16">
        <f t="shared" si="367"/>
        <v>74</v>
      </c>
      <c r="AZ319" s="16">
        <v>4670</v>
      </c>
      <c r="BA319" s="16">
        <v>4444</v>
      </c>
      <c r="BB319" s="16">
        <f t="shared" si="368"/>
        <v>226</v>
      </c>
      <c r="BC319" s="16"/>
      <c r="BD319" s="16"/>
      <c r="BE319" s="80">
        <v>2019</v>
      </c>
      <c r="BF319" s="81" t="s">
        <v>37</v>
      </c>
      <c r="BG319" s="15">
        <f t="shared" si="310"/>
        <v>0.84649532710280373</v>
      </c>
      <c r="BH319" s="15">
        <f t="shared" si="311"/>
        <v>0.87469821342346687</v>
      </c>
      <c r="BI319" s="15">
        <f t="shared" si="312"/>
        <v>0.96775700934579434</v>
      </c>
      <c r="BJ319" s="16"/>
      <c r="BK319" s="16"/>
      <c r="BL319" s="16">
        <v>4280</v>
      </c>
      <c r="BM319" s="16">
        <f t="shared" si="369"/>
        <v>138</v>
      </c>
      <c r="BN319" s="16">
        <v>4142</v>
      </c>
      <c r="BO319" s="16">
        <v>3623</v>
      </c>
      <c r="BP319" s="16">
        <f t="shared" si="370"/>
        <v>519</v>
      </c>
      <c r="BQ319" s="16"/>
      <c r="BR319" s="16"/>
      <c r="BS319" s="80">
        <v>2019</v>
      </c>
      <c r="BT319" s="81" t="s">
        <v>37</v>
      </c>
      <c r="BU319" s="15">
        <f t="shared" si="276"/>
        <v>0.83193668528864062</v>
      </c>
      <c r="BV319" s="15">
        <f t="shared" si="277"/>
        <v>0.86411992263056092</v>
      </c>
      <c r="BW319" s="15">
        <f t="shared" si="278"/>
        <v>0.96275605214152704</v>
      </c>
      <c r="BX319" s="16"/>
      <c r="BY319" s="16"/>
      <c r="BZ319" s="16">
        <v>2148</v>
      </c>
      <c r="CA319" s="16">
        <f t="shared" si="371"/>
        <v>80</v>
      </c>
      <c r="CB319" s="16">
        <v>2068</v>
      </c>
      <c r="CC319" s="16">
        <v>1787</v>
      </c>
      <c r="CD319" s="16">
        <f t="shared" si="372"/>
        <v>281</v>
      </c>
      <c r="CE319" s="16"/>
      <c r="CF319" s="16"/>
      <c r="CG319" s="80">
        <v>2019</v>
      </c>
      <c r="CH319" s="81" t="s">
        <v>37</v>
      </c>
      <c r="CI319" s="15">
        <f t="shared" si="362"/>
        <v>0.62823275862068961</v>
      </c>
      <c r="CJ319" s="15">
        <f t="shared" si="363"/>
        <v>0.78412911903160731</v>
      </c>
      <c r="CK319" s="15">
        <f t="shared" si="364"/>
        <v>0.80118534482758619</v>
      </c>
      <c r="CL319" s="16"/>
      <c r="CM319" s="16"/>
      <c r="CN319" s="16">
        <v>1856</v>
      </c>
      <c r="CO319" s="16">
        <f t="shared" si="373"/>
        <v>369</v>
      </c>
      <c r="CP319" s="16">
        <v>1487</v>
      </c>
      <c r="CQ319" s="16">
        <v>1166</v>
      </c>
      <c r="CR319" s="16">
        <f t="shared" si="374"/>
        <v>321</v>
      </c>
      <c r="CS319" s="16"/>
      <c r="CT319" s="16"/>
      <c r="CU319" s="80">
        <v>2019</v>
      </c>
      <c r="CV319" s="81" t="s">
        <v>37</v>
      </c>
      <c r="CW319" s="15">
        <f t="shared" si="282"/>
        <v>0.93313953488372092</v>
      </c>
      <c r="CX319" s="15">
        <f t="shared" si="283"/>
        <v>0.97766497461928936</v>
      </c>
      <c r="CY319" s="15">
        <f t="shared" si="284"/>
        <v>0.9544573643410853</v>
      </c>
      <c r="CZ319" s="16"/>
      <c r="DA319" s="16"/>
      <c r="DB319" s="16">
        <v>1032</v>
      </c>
      <c r="DC319" s="16">
        <f t="shared" si="375"/>
        <v>47</v>
      </c>
      <c r="DD319" s="16">
        <v>985</v>
      </c>
      <c r="DE319" s="16">
        <v>963</v>
      </c>
      <c r="DF319" s="16">
        <f t="shared" si="376"/>
        <v>22</v>
      </c>
      <c r="DG319" s="16"/>
      <c r="DH319" s="16"/>
      <c r="DI319" s="80">
        <v>2019</v>
      </c>
      <c r="DJ319" s="81" t="s">
        <v>37</v>
      </c>
      <c r="DK319" s="15">
        <f t="shared" si="287"/>
        <v>0.90357142857142858</v>
      </c>
      <c r="DL319" s="15">
        <f t="shared" si="288"/>
        <v>0.99021526418786687</v>
      </c>
      <c r="DM319" s="15">
        <f t="shared" si="289"/>
        <v>0.91249999999999998</v>
      </c>
      <c r="DN319" s="16"/>
      <c r="DO319" s="16"/>
      <c r="DP319" s="16">
        <v>560</v>
      </c>
      <c r="DQ319" s="16">
        <f t="shared" si="377"/>
        <v>49</v>
      </c>
      <c r="DR319" s="16">
        <v>511</v>
      </c>
      <c r="DS319" s="16">
        <v>506</v>
      </c>
      <c r="DT319" s="16">
        <f t="shared" si="378"/>
        <v>5</v>
      </c>
      <c r="DU319" s="16"/>
      <c r="DV319" s="16"/>
      <c r="DW319" s="80">
        <v>2019</v>
      </c>
      <c r="DX319" s="81" t="s">
        <v>37</v>
      </c>
      <c r="DY319" s="15">
        <f t="shared" si="290"/>
        <v>0.88173455978975035</v>
      </c>
      <c r="DZ319" s="15">
        <f t="shared" si="291"/>
        <v>0.9293628808864266</v>
      </c>
      <c r="EA319" s="15">
        <f t="shared" si="292"/>
        <v>0.94875164257555844</v>
      </c>
      <c r="EB319" s="16"/>
      <c r="EC319" s="16"/>
      <c r="ED319" s="16">
        <v>1522</v>
      </c>
      <c r="EE319" s="16">
        <f>ED319-EF319</f>
        <v>78</v>
      </c>
      <c r="EF319" s="16">
        <v>1444</v>
      </c>
      <c r="EG319" s="16">
        <v>1342</v>
      </c>
      <c r="EH319" s="16">
        <f t="shared" si="379"/>
        <v>102</v>
      </c>
      <c r="EI319" s="16"/>
      <c r="EJ319" s="16"/>
      <c r="EK319" s="80">
        <v>2019</v>
      </c>
      <c r="EL319" s="81" t="s">
        <v>37</v>
      </c>
      <c r="EM319" s="15">
        <f t="shared" si="343"/>
        <v>0.97685185185185186</v>
      </c>
      <c r="EN319" s="15">
        <f t="shared" si="344"/>
        <v>0.97685185185185186</v>
      </c>
      <c r="EO319" s="15">
        <f t="shared" si="345"/>
        <v>1</v>
      </c>
      <c r="EP319" s="16"/>
      <c r="EQ319" s="16"/>
      <c r="ER319" s="16">
        <v>216</v>
      </c>
      <c r="ES319" s="16">
        <f t="shared" si="380"/>
        <v>0</v>
      </c>
      <c r="ET319" s="16">
        <v>216</v>
      </c>
      <c r="EU319" s="16">
        <v>211</v>
      </c>
      <c r="EV319" s="16">
        <f t="shared" si="381"/>
        <v>5</v>
      </c>
      <c r="EW319" s="16"/>
      <c r="EX319" s="16"/>
      <c r="EY319" s="80"/>
      <c r="EZ319" s="81"/>
      <c r="FA319" s="15"/>
      <c r="FB319" s="15"/>
      <c r="FC319" s="15"/>
      <c r="FD319" s="16"/>
      <c r="FE319" s="16"/>
      <c r="FF319" s="16"/>
      <c r="FG319" s="16"/>
      <c r="FH319" s="16"/>
      <c r="FI319" s="16"/>
      <c r="FJ319" s="16"/>
      <c r="FK319" s="16"/>
      <c r="FM319" s="80"/>
      <c r="FN319" s="81"/>
      <c r="FO319" s="15"/>
      <c r="FP319" s="15"/>
      <c r="FQ319" s="15"/>
      <c r="FR319" s="16"/>
      <c r="FS319" s="16"/>
      <c r="FT319" s="16"/>
      <c r="FU319" s="16"/>
      <c r="FV319" s="16"/>
      <c r="FW319" s="16"/>
      <c r="FX319" s="16"/>
      <c r="FY319" s="16"/>
      <c r="GA319" s="80"/>
      <c r="GB319" s="81"/>
      <c r="GC319" s="15"/>
      <c r="GD319" s="15"/>
      <c r="GE319" s="15"/>
      <c r="GF319" s="16"/>
      <c r="GG319" s="16"/>
      <c r="GH319" s="16"/>
      <c r="GI319" s="16"/>
      <c r="GJ319" s="16"/>
      <c r="GK319" s="16"/>
      <c r="GL319" s="16"/>
      <c r="GM319" s="16"/>
    </row>
    <row r="320" spans="1:195" s="18" customFormat="1" ht="15" customHeight="1">
      <c r="A320" s="78">
        <v>2019</v>
      </c>
      <c r="B320" s="79" t="s">
        <v>38</v>
      </c>
      <c r="C320" s="15">
        <f t="shared" si="293"/>
        <v>0.89366786140979693</v>
      </c>
      <c r="D320" s="15">
        <f t="shared" si="294"/>
        <v>0.92761344846591953</v>
      </c>
      <c r="E320" s="15">
        <f t="shared" si="295"/>
        <v>0.96340546041860264</v>
      </c>
      <c r="F320" s="16"/>
      <c r="G320" s="33"/>
      <c r="H32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22599</v>
      </c>
      <c r="I320" s="16">
        <f t="shared" si="296"/>
        <v>827</v>
      </c>
      <c r="J32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21772</v>
      </c>
      <c r="K32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20196</v>
      </c>
      <c r="L320" s="16">
        <f t="shared" si="297"/>
        <v>1576</v>
      </c>
      <c r="M320" s="16"/>
      <c r="N320" s="16"/>
      <c r="O320" s="78">
        <v>2019</v>
      </c>
      <c r="P320" s="79" t="s">
        <v>38</v>
      </c>
      <c r="Q320" s="15">
        <f t="shared" si="270"/>
        <v>0.89277297721916737</v>
      </c>
      <c r="R320" s="15">
        <f t="shared" si="271"/>
        <v>0.92117527862208715</v>
      </c>
      <c r="S320" s="15">
        <f t="shared" si="272"/>
        <v>0.96916732128829541</v>
      </c>
      <c r="T320" s="26"/>
      <c r="U320" s="26"/>
      <c r="V320" s="16">
        <v>5092</v>
      </c>
      <c r="W320" s="16">
        <f t="shared" si="365"/>
        <v>157</v>
      </c>
      <c r="X320" s="16">
        <v>4935</v>
      </c>
      <c r="Y320" s="16">
        <v>4546</v>
      </c>
      <c r="Z320" s="16">
        <f t="shared" si="366"/>
        <v>389</v>
      </c>
      <c r="AA320" s="16"/>
      <c r="AB320" s="16"/>
      <c r="AC320" s="78"/>
      <c r="AD320" s="79"/>
      <c r="AE320" s="15"/>
      <c r="AF320" s="15"/>
      <c r="AG320" s="15"/>
      <c r="AH320" s="15"/>
      <c r="AI320" s="15"/>
      <c r="AJ320" s="16"/>
      <c r="AK320" s="16"/>
      <c r="AL320" s="16"/>
      <c r="AM320" s="16"/>
      <c r="AN320" s="16"/>
      <c r="AO320" s="16"/>
      <c r="AP320" s="16"/>
      <c r="AQ320" s="78">
        <v>2019</v>
      </c>
      <c r="AR320" s="79" t="s">
        <v>38</v>
      </c>
      <c r="AS320" s="15">
        <f t="shared" si="273"/>
        <v>0.94401119776044795</v>
      </c>
      <c r="AT320" s="15">
        <f t="shared" si="274"/>
        <v>0.95547460028334341</v>
      </c>
      <c r="AU320" s="15">
        <f t="shared" si="275"/>
        <v>0.98800239952009594</v>
      </c>
      <c r="AV320" s="16"/>
      <c r="AW320" s="16"/>
      <c r="AX320" s="16">
        <v>5001</v>
      </c>
      <c r="AY320" s="16">
        <f t="shared" si="367"/>
        <v>60</v>
      </c>
      <c r="AZ320" s="16">
        <v>4941</v>
      </c>
      <c r="BA320" s="16">
        <v>4721</v>
      </c>
      <c r="BB320" s="16">
        <f t="shared" si="368"/>
        <v>220</v>
      </c>
      <c r="BC320" s="16"/>
      <c r="BD320" s="16"/>
      <c r="BE320" s="78">
        <v>2019</v>
      </c>
      <c r="BF320" s="79" t="s">
        <v>38</v>
      </c>
      <c r="BG320" s="15">
        <f t="shared" si="310"/>
        <v>0.89458751636839806</v>
      </c>
      <c r="BH320" s="15">
        <f t="shared" si="311"/>
        <v>0.91475117161347919</v>
      </c>
      <c r="BI320" s="15">
        <f t="shared" si="312"/>
        <v>0.97795722391968576</v>
      </c>
      <c r="BJ320" s="16"/>
      <c r="BK320" s="16"/>
      <c r="BL320" s="16">
        <v>4582</v>
      </c>
      <c r="BM320" s="16">
        <f t="shared" si="369"/>
        <v>101</v>
      </c>
      <c r="BN320" s="16">
        <v>4481</v>
      </c>
      <c r="BO320" s="16">
        <v>4099</v>
      </c>
      <c r="BP320" s="16">
        <f t="shared" si="370"/>
        <v>382</v>
      </c>
      <c r="BQ320" s="16"/>
      <c r="BR320" s="16"/>
      <c r="BS320" s="78">
        <v>2019</v>
      </c>
      <c r="BT320" s="79" t="s">
        <v>38</v>
      </c>
      <c r="BU320" s="15">
        <f t="shared" si="276"/>
        <v>0.85408475316732202</v>
      </c>
      <c r="BV320" s="15">
        <f t="shared" si="277"/>
        <v>0.89147286821705429</v>
      </c>
      <c r="BW320" s="15">
        <f t="shared" si="278"/>
        <v>0.95806028833551771</v>
      </c>
      <c r="BX320" s="16"/>
      <c r="BY320" s="16"/>
      <c r="BZ320" s="16">
        <v>2289</v>
      </c>
      <c r="CA320" s="16">
        <f t="shared" si="371"/>
        <v>96</v>
      </c>
      <c r="CB320" s="16">
        <v>2193</v>
      </c>
      <c r="CC320" s="16">
        <v>1955</v>
      </c>
      <c r="CD320" s="16">
        <f t="shared" si="372"/>
        <v>238</v>
      </c>
      <c r="CE320" s="16"/>
      <c r="CF320" s="16"/>
      <c r="CG320" s="78">
        <v>2019</v>
      </c>
      <c r="CH320" s="79" t="s">
        <v>38</v>
      </c>
      <c r="CI320" s="15">
        <f t="shared" si="362"/>
        <v>0.72823886639676116</v>
      </c>
      <c r="CJ320" s="15">
        <f t="shared" si="363"/>
        <v>0.867913148371532</v>
      </c>
      <c r="CK320" s="15">
        <f t="shared" si="364"/>
        <v>0.83906882591093113</v>
      </c>
      <c r="CL320" s="16"/>
      <c r="CM320" s="16"/>
      <c r="CN320" s="16">
        <v>1976</v>
      </c>
      <c r="CO320" s="16">
        <f t="shared" si="373"/>
        <v>318</v>
      </c>
      <c r="CP320" s="16">
        <v>1658</v>
      </c>
      <c r="CQ320" s="16">
        <v>1439</v>
      </c>
      <c r="CR320" s="16">
        <f t="shared" si="374"/>
        <v>219</v>
      </c>
      <c r="CS320" s="16"/>
      <c r="CT320" s="16"/>
      <c r="CU320" s="78">
        <v>2019</v>
      </c>
      <c r="CV320" s="79" t="s">
        <v>38</v>
      </c>
      <c r="CW320" s="15">
        <f t="shared" si="282"/>
        <v>0.96140350877192982</v>
      </c>
      <c r="CX320" s="15">
        <f t="shared" si="283"/>
        <v>0.98472596585804129</v>
      </c>
      <c r="CY320" s="15">
        <f t="shared" si="284"/>
        <v>0.97631578947368425</v>
      </c>
      <c r="CZ320" s="16"/>
      <c r="DA320" s="16"/>
      <c r="DB320" s="16">
        <v>1140</v>
      </c>
      <c r="DC320" s="16">
        <f t="shared" si="375"/>
        <v>27</v>
      </c>
      <c r="DD320" s="16">
        <v>1113</v>
      </c>
      <c r="DE320" s="16">
        <v>1096</v>
      </c>
      <c r="DF320" s="16">
        <f t="shared" si="376"/>
        <v>17</v>
      </c>
      <c r="DG320" s="16"/>
      <c r="DH320" s="16"/>
      <c r="DI320" s="78">
        <v>2019</v>
      </c>
      <c r="DJ320" s="79" t="s">
        <v>38</v>
      </c>
      <c r="DK320" s="15">
        <f t="shared" si="287"/>
        <v>0.91612903225806452</v>
      </c>
      <c r="DL320" s="15">
        <f t="shared" si="288"/>
        <v>0.96598639455782309</v>
      </c>
      <c r="DM320" s="15">
        <f t="shared" si="289"/>
        <v>0.94838709677419353</v>
      </c>
      <c r="DN320" s="16"/>
      <c r="DO320" s="16"/>
      <c r="DP320" s="16">
        <v>620</v>
      </c>
      <c r="DQ320" s="16">
        <f t="shared" si="377"/>
        <v>32</v>
      </c>
      <c r="DR320" s="16">
        <v>588</v>
      </c>
      <c r="DS320" s="16">
        <v>568</v>
      </c>
      <c r="DT320" s="16">
        <f t="shared" si="378"/>
        <v>20</v>
      </c>
      <c r="DU320" s="16"/>
      <c r="DV320" s="16"/>
      <c r="DW320" s="78">
        <v>2019</v>
      </c>
      <c r="DX320" s="79" t="s">
        <v>38</v>
      </c>
      <c r="DY320" s="15">
        <f t="shared" si="290"/>
        <v>0.92887537993920977</v>
      </c>
      <c r="DZ320" s="15">
        <f t="shared" si="291"/>
        <v>0.94847920546244568</v>
      </c>
      <c r="EA320" s="15">
        <f t="shared" si="292"/>
        <v>0.97933130699088144</v>
      </c>
      <c r="EB320" s="16"/>
      <c r="EC320" s="16"/>
      <c r="ED320" s="16">
        <v>1645</v>
      </c>
      <c r="EE320" s="16">
        <f>ED320-EF320</f>
        <v>34</v>
      </c>
      <c r="EF320" s="16">
        <v>1611</v>
      </c>
      <c r="EG320" s="16">
        <v>1528</v>
      </c>
      <c r="EH320" s="16">
        <f t="shared" si="379"/>
        <v>83</v>
      </c>
      <c r="EI320" s="16"/>
      <c r="EJ320" s="16"/>
      <c r="EK320" s="78">
        <v>2019</v>
      </c>
      <c r="EL320" s="79" t="s">
        <v>38</v>
      </c>
      <c r="EM320" s="15">
        <f t="shared" si="343"/>
        <v>0.96062992125984248</v>
      </c>
      <c r="EN320" s="15">
        <f t="shared" si="344"/>
        <v>0.96825396825396826</v>
      </c>
      <c r="EO320" s="15">
        <f t="shared" si="345"/>
        <v>0.99212598425196852</v>
      </c>
      <c r="EP320" s="16"/>
      <c r="EQ320" s="16"/>
      <c r="ER320" s="16">
        <v>254</v>
      </c>
      <c r="ES320" s="16">
        <f t="shared" si="380"/>
        <v>2</v>
      </c>
      <c r="ET320" s="16">
        <v>252</v>
      </c>
      <c r="EU320" s="16">
        <v>244</v>
      </c>
      <c r="EV320" s="16">
        <f t="shared" si="381"/>
        <v>8</v>
      </c>
      <c r="EW320" s="16"/>
      <c r="EX320" s="16"/>
      <c r="EY320" s="78"/>
      <c r="EZ320" s="79"/>
      <c r="FA320" s="15"/>
      <c r="FB320" s="15"/>
      <c r="FC320" s="15"/>
      <c r="FD320" s="16"/>
      <c r="FE320" s="16"/>
      <c r="FF320" s="16"/>
      <c r="FG320" s="16"/>
      <c r="FH320" s="16"/>
      <c r="FI320" s="16"/>
      <c r="FJ320" s="16"/>
      <c r="FK320" s="16"/>
      <c r="FM320" s="78"/>
      <c r="FN320" s="79"/>
      <c r="FO320" s="15"/>
      <c r="FP320" s="15"/>
      <c r="FQ320" s="15"/>
      <c r="FR320" s="16"/>
      <c r="FS320" s="16"/>
      <c r="FT320" s="16"/>
      <c r="FU320" s="16"/>
      <c r="FV320" s="16"/>
      <c r="FW320" s="16"/>
      <c r="FX320" s="16"/>
      <c r="FY320" s="16"/>
      <c r="GA320" s="78"/>
      <c r="GB320" s="79"/>
      <c r="GC320" s="15"/>
      <c r="GD320" s="15"/>
      <c r="GE320" s="15"/>
      <c r="GF320" s="16"/>
      <c r="GG320" s="16"/>
      <c r="GH320" s="16"/>
      <c r="GI320" s="16"/>
      <c r="GJ320" s="16"/>
      <c r="GK320" s="16"/>
      <c r="GL320" s="16"/>
      <c r="GM320" s="16"/>
    </row>
    <row r="321" spans="1:195" s="18" customFormat="1" ht="15" customHeight="1">
      <c r="A321" s="80">
        <v>2019</v>
      </c>
      <c r="B321" s="81" t="s">
        <v>39</v>
      </c>
      <c r="C321" s="15">
        <f t="shared" si="293"/>
        <v>0.8684067427949973</v>
      </c>
      <c r="D321" s="15">
        <f t="shared" si="294"/>
        <v>0.9154048244566515</v>
      </c>
      <c r="E321" s="15">
        <f t="shared" si="295"/>
        <v>0.94865869131774516</v>
      </c>
      <c r="F321" s="16"/>
      <c r="G321" s="33"/>
      <c r="H32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22068</v>
      </c>
      <c r="I321" s="16">
        <f t="shared" si="296"/>
        <v>1133</v>
      </c>
      <c r="J32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20935</v>
      </c>
      <c r="K32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19164</v>
      </c>
      <c r="L321" s="16">
        <f t="shared" si="297"/>
        <v>1771</v>
      </c>
      <c r="M321" s="16"/>
      <c r="N321" s="16"/>
      <c r="O321" s="80">
        <v>2019</v>
      </c>
      <c r="P321" s="81" t="s">
        <v>39</v>
      </c>
      <c r="Q321" s="15">
        <f t="shared" si="270"/>
        <v>0.821671331467413</v>
      </c>
      <c r="R321" s="15">
        <f t="shared" si="271"/>
        <v>0.90329670329670331</v>
      </c>
      <c r="S321" s="15">
        <f t="shared" si="272"/>
        <v>0.90963614554178329</v>
      </c>
      <c r="T321" s="26"/>
      <c r="U321" s="26"/>
      <c r="V321" s="16">
        <v>5002</v>
      </c>
      <c r="W321" s="16">
        <f t="shared" si="365"/>
        <v>452</v>
      </c>
      <c r="X321" s="16">
        <v>4550</v>
      </c>
      <c r="Y321" s="16">
        <v>4110</v>
      </c>
      <c r="Z321" s="16">
        <f t="shared" si="366"/>
        <v>440</v>
      </c>
      <c r="AA321" s="16"/>
      <c r="AB321" s="16"/>
      <c r="AC321" s="80"/>
      <c r="AD321" s="81"/>
      <c r="AE321" s="15"/>
      <c r="AF321" s="15"/>
      <c r="AG321" s="15"/>
      <c r="AH321" s="15"/>
      <c r="AI321" s="15"/>
      <c r="AJ321" s="16"/>
      <c r="AK321" s="16"/>
      <c r="AL321" s="16"/>
      <c r="AM321" s="16"/>
      <c r="AN321" s="16"/>
      <c r="AO321" s="16"/>
      <c r="AP321" s="16"/>
      <c r="AQ321" s="80">
        <v>2019</v>
      </c>
      <c r="AR321" s="81" t="s">
        <v>39</v>
      </c>
      <c r="AS321" s="15">
        <f t="shared" si="273"/>
        <v>0.91953554695457318</v>
      </c>
      <c r="AT321" s="15">
        <f t="shared" si="274"/>
        <v>0.94851859634376967</v>
      </c>
      <c r="AU321" s="15">
        <f t="shared" si="275"/>
        <v>0.96944387859034431</v>
      </c>
      <c r="AV321" s="16"/>
      <c r="AW321" s="16"/>
      <c r="AX321" s="16">
        <v>4909</v>
      </c>
      <c r="AY321" s="16">
        <f t="shared" si="367"/>
        <v>150</v>
      </c>
      <c r="AZ321" s="16">
        <v>4759</v>
      </c>
      <c r="BA321" s="16">
        <v>4514</v>
      </c>
      <c r="BB321" s="16">
        <f t="shared" si="368"/>
        <v>245</v>
      </c>
      <c r="BC321" s="16"/>
      <c r="BD321" s="16"/>
      <c r="BE321" s="80">
        <v>2019</v>
      </c>
      <c r="BF321" s="81" t="s">
        <v>39</v>
      </c>
      <c r="BG321" s="15">
        <f t="shared" si="310"/>
        <v>0.88533750558784086</v>
      </c>
      <c r="BH321" s="15">
        <f t="shared" si="311"/>
        <v>0.91162255466052933</v>
      </c>
      <c r="BI321" s="15">
        <f t="shared" si="312"/>
        <v>0.97116674117121149</v>
      </c>
      <c r="BJ321" s="16"/>
      <c r="BK321" s="16"/>
      <c r="BL321" s="16">
        <v>4474</v>
      </c>
      <c r="BM321" s="16">
        <f t="shared" si="369"/>
        <v>129</v>
      </c>
      <c r="BN321" s="16">
        <v>4345</v>
      </c>
      <c r="BO321" s="16">
        <v>3961</v>
      </c>
      <c r="BP321" s="16">
        <f t="shared" si="370"/>
        <v>384</v>
      </c>
      <c r="BQ321" s="16"/>
      <c r="BR321" s="16"/>
      <c r="BS321" s="80">
        <v>2019</v>
      </c>
      <c r="BT321" s="81" t="s">
        <v>39</v>
      </c>
      <c r="BU321" s="15">
        <f t="shared" si="276"/>
        <v>0.84137622877569263</v>
      </c>
      <c r="BV321" s="15">
        <f t="shared" si="277"/>
        <v>0.87337662337662336</v>
      </c>
      <c r="BW321" s="15">
        <f t="shared" si="278"/>
        <v>0.96336014298480788</v>
      </c>
      <c r="BX321" s="16"/>
      <c r="BY321" s="16"/>
      <c r="BZ321" s="16">
        <v>2238</v>
      </c>
      <c r="CA321" s="16">
        <f t="shared" si="371"/>
        <v>82</v>
      </c>
      <c r="CB321" s="16">
        <v>2156</v>
      </c>
      <c r="CC321" s="16">
        <v>1883</v>
      </c>
      <c r="CD321" s="16">
        <f t="shared" si="372"/>
        <v>273</v>
      </c>
      <c r="CE321" s="16"/>
      <c r="CF321" s="16"/>
      <c r="CG321" s="80">
        <v>2019</v>
      </c>
      <c r="CH321" s="81" t="s">
        <v>39</v>
      </c>
      <c r="CI321" s="15">
        <f t="shared" si="362"/>
        <v>0.7857142857142857</v>
      </c>
      <c r="CJ321" s="15">
        <f t="shared" si="363"/>
        <v>0.83452446399120395</v>
      </c>
      <c r="CK321" s="15">
        <f t="shared" si="364"/>
        <v>0.94151138716356109</v>
      </c>
      <c r="CL321" s="16"/>
      <c r="CM321" s="16"/>
      <c r="CN321" s="16">
        <v>1932</v>
      </c>
      <c r="CO321" s="16">
        <f t="shared" si="373"/>
        <v>113</v>
      </c>
      <c r="CP321" s="16">
        <v>1819</v>
      </c>
      <c r="CQ321" s="16">
        <v>1518</v>
      </c>
      <c r="CR321" s="16">
        <f t="shared" si="374"/>
        <v>301</v>
      </c>
      <c r="CS321" s="16"/>
      <c r="CT321" s="16"/>
      <c r="CU321" s="80">
        <v>2019</v>
      </c>
      <c r="CV321" s="81" t="s">
        <v>39</v>
      </c>
      <c r="CW321" s="15">
        <f t="shared" si="282"/>
        <v>0.96739130434782605</v>
      </c>
      <c r="CX321" s="15">
        <f t="shared" si="283"/>
        <v>0.98888888888888893</v>
      </c>
      <c r="CY321" s="15">
        <f t="shared" si="284"/>
        <v>0.97826086956521741</v>
      </c>
      <c r="CZ321" s="16"/>
      <c r="DA321" s="16"/>
      <c r="DB321" s="16">
        <v>1104</v>
      </c>
      <c r="DC321" s="16">
        <f t="shared" si="375"/>
        <v>24</v>
      </c>
      <c r="DD321" s="16">
        <v>1080</v>
      </c>
      <c r="DE321" s="16">
        <v>1068</v>
      </c>
      <c r="DF321" s="16">
        <f t="shared" si="376"/>
        <v>12</v>
      </c>
      <c r="DG321" s="16"/>
      <c r="DH321" s="16"/>
      <c r="DI321" s="80">
        <v>2019</v>
      </c>
      <c r="DJ321" s="81" t="s">
        <v>39</v>
      </c>
      <c r="DK321" s="15">
        <f t="shared" si="287"/>
        <v>0.80333333333333334</v>
      </c>
      <c r="DL321" s="15">
        <f t="shared" si="288"/>
        <v>0.98167006109979638</v>
      </c>
      <c r="DM321" s="15">
        <f t="shared" si="289"/>
        <v>0.81833333333333336</v>
      </c>
      <c r="DN321" s="16"/>
      <c r="DO321" s="16"/>
      <c r="DP321" s="16">
        <v>600</v>
      </c>
      <c r="DQ321" s="16">
        <f t="shared" si="377"/>
        <v>109</v>
      </c>
      <c r="DR321" s="16">
        <v>491</v>
      </c>
      <c r="DS321" s="16">
        <v>482</v>
      </c>
      <c r="DT321" s="16">
        <f t="shared" si="378"/>
        <v>9</v>
      </c>
      <c r="DU321" s="16"/>
      <c r="DV321" s="16"/>
      <c r="DW321" s="80">
        <v>2019</v>
      </c>
      <c r="DX321" s="81" t="s">
        <v>39</v>
      </c>
      <c r="DY321" s="15">
        <f t="shared" si="290"/>
        <v>0.91926255562619197</v>
      </c>
      <c r="DZ321" s="15">
        <f t="shared" si="291"/>
        <v>0.9311010946555055</v>
      </c>
      <c r="EA321" s="15">
        <f t="shared" si="292"/>
        <v>0.98728544183089639</v>
      </c>
      <c r="EB321" s="16"/>
      <c r="EC321" s="16"/>
      <c r="ED321" s="16">
        <v>1573</v>
      </c>
      <c r="EE321" s="16">
        <f>ED321-EF321</f>
        <v>20</v>
      </c>
      <c r="EF321" s="16">
        <v>1553</v>
      </c>
      <c r="EG321" s="16">
        <v>1446</v>
      </c>
      <c r="EH321" s="16">
        <f t="shared" si="379"/>
        <v>107</v>
      </c>
      <c r="EI321" s="16"/>
      <c r="EJ321" s="16"/>
      <c r="EK321" s="80">
        <v>2019</v>
      </c>
      <c r="EL321" s="81" t="s">
        <v>39</v>
      </c>
      <c r="EM321" s="15">
        <f t="shared" si="343"/>
        <v>0.77118644067796616</v>
      </c>
      <c r="EN321" s="15">
        <f t="shared" si="344"/>
        <v>1</v>
      </c>
      <c r="EO321" s="15">
        <f t="shared" si="345"/>
        <v>0.77118644067796616</v>
      </c>
      <c r="EP321" s="16"/>
      <c r="EQ321" s="16"/>
      <c r="ER321" s="16">
        <v>236</v>
      </c>
      <c r="ES321" s="16">
        <f t="shared" si="380"/>
        <v>54</v>
      </c>
      <c r="ET321" s="16">
        <v>182</v>
      </c>
      <c r="EU321" s="16">
        <v>182</v>
      </c>
      <c r="EV321" s="16">
        <f t="shared" si="381"/>
        <v>0</v>
      </c>
      <c r="EW321" s="16"/>
      <c r="EX321" s="16"/>
      <c r="EY321" s="80"/>
      <c r="EZ321" s="81"/>
      <c r="FA321" s="15"/>
      <c r="FB321" s="15"/>
      <c r="FC321" s="15"/>
      <c r="FD321" s="16"/>
      <c r="FE321" s="16"/>
      <c r="FF321" s="16"/>
      <c r="FG321" s="16"/>
      <c r="FH321" s="16"/>
      <c r="FI321" s="16"/>
      <c r="FJ321" s="16"/>
      <c r="FK321" s="16"/>
      <c r="FM321" s="80"/>
      <c r="FN321" s="81"/>
      <c r="FO321" s="15"/>
      <c r="FP321" s="15"/>
      <c r="FQ321" s="15"/>
      <c r="FR321" s="16"/>
      <c r="FS321" s="16"/>
      <c r="FT321" s="16"/>
      <c r="FU321" s="16"/>
      <c r="FV321" s="16"/>
      <c r="FW321" s="16"/>
      <c r="FX321" s="16"/>
      <c r="FY321" s="16"/>
      <c r="GA321" s="80"/>
      <c r="GB321" s="81"/>
      <c r="GC321" s="15"/>
      <c r="GD321" s="15"/>
      <c r="GE321" s="15"/>
      <c r="GF321" s="16"/>
      <c r="GG321" s="16"/>
      <c r="GH321" s="16"/>
      <c r="GI321" s="16"/>
      <c r="GJ321" s="16"/>
      <c r="GK321" s="16"/>
      <c r="GL321" s="16"/>
      <c r="GM321" s="16"/>
    </row>
    <row r="322" spans="1:195" s="18" customFormat="1" ht="15" customHeight="1">
      <c r="A322" s="78">
        <v>2019</v>
      </c>
      <c r="B322" s="79" t="s">
        <v>40</v>
      </c>
      <c r="C322" s="15">
        <f t="shared" si="293"/>
        <v>0.79125692446429341</v>
      </c>
      <c r="D322" s="15">
        <f t="shared" si="294"/>
        <v>0.88911407064273307</v>
      </c>
      <c r="E322" s="15">
        <f t="shared" si="295"/>
        <v>0.88993859234766182</v>
      </c>
      <c r="F322" s="16"/>
      <c r="G322" s="33"/>
      <c r="H32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23287</v>
      </c>
      <c r="I322" s="16">
        <f t="shared" si="296"/>
        <v>2563</v>
      </c>
      <c r="J32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20724</v>
      </c>
      <c r="K32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18426</v>
      </c>
      <c r="L322" s="16">
        <f t="shared" si="297"/>
        <v>2298</v>
      </c>
      <c r="M322" s="16"/>
      <c r="N322" s="16"/>
      <c r="O322" s="78">
        <v>2019</v>
      </c>
      <c r="P322" s="79" t="s">
        <v>40</v>
      </c>
      <c r="Q322" s="15">
        <f t="shared" si="270"/>
        <v>0.74868322046651614</v>
      </c>
      <c r="R322" s="15">
        <f t="shared" si="271"/>
        <v>0.89197669206633801</v>
      </c>
      <c r="S322" s="15">
        <f t="shared" si="272"/>
        <v>0.83935289691497361</v>
      </c>
      <c r="T322" s="26"/>
      <c r="U322" s="26"/>
      <c r="V322" s="16">
        <v>5316</v>
      </c>
      <c r="W322" s="16">
        <f t="shared" si="365"/>
        <v>854</v>
      </c>
      <c r="X322" s="16">
        <v>4462</v>
      </c>
      <c r="Y322" s="16">
        <v>3980</v>
      </c>
      <c r="Z322" s="16">
        <f t="shared" si="366"/>
        <v>482</v>
      </c>
      <c r="AA322" s="16"/>
      <c r="AB322" s="16"/>
      <c r="AC322" s="78"/>
      <c r="AD322" s="79"/>
      <c r="AE322" s="15"/>
      <c r="AF322" s="15"/>
      <c r="AG322" s="15"/>
      <c r="AH322" s="15"/>
      <c r="AI322" s="15"/>
      <c r="AJ322" s="16"/>
      <c r="AK322" s="16"/>
      <c r="AL322" s="16"/>
      <c r="AM322" s="16"/>
      <c r="AN322" s="16"/>
      <c r="AO322" s="16"/>
      <c r="AP322" s="16"/>
      <c r="AQ322" s="78">
        <v>2019</v>
      </c>
      <c r="AR322" s="79" t="s">
        <v>40</v>
      </c>
      <c r="AS322" s="15">
        <f t="shared" si="273"/>
        <v>0.85859554873369148</v>
      </c>
      <c r="AT322" s="15">
        <f t="shared" si="274"/>
        <v>0.93093405450384858</v>
      </c>
      <c r="AU322" s="15">
        <f t="shared" si="275"/>
        <v>0.92229470452801232</v>
      </c>
      <c r="AV322" s="16"/>
      <c r="AW322" s="16"/>
      <c r="AX322" s="16">
        <v>5212</v>
      </c>
      <c r="AY322" s="16">
        <f t="shared" si="367"/>
        <v>405</v>
      </c>
      <c r="AZ322" s="16">
        <v>4807</v>
      </c>
      <c r="BA322" s="16">
        <v>4475</v>
      </c>
      <c r="BB322" s="16">
        <f t="shared" si="368"/>
        <v>332</v>
      </c>
      <c r="BC322" s="16"/>
      <c r="BD322" s="16"/>
      <c r="BE322" s="78">
        <v>2019</v>
      </c>
      <c r="BF322" s="79" t="s">
        <v>40</v>
      </c>
      <c r="BG322" s="15">
        <f t="shared" si="310"/>
        <v>0.81482272533105515</v>
      </c>
      <c r="BH322" s="15">
        <f t="shared" si="311"/>
        <v>0.88556174558960077</v>
      </c>
      <c r="BI322" s="15">
        <f t="shared" si="312"/>
        <v>0.92011960700555318</v>
      </c>
      <c r="BJ322" s="16"/>
      <c r="BK322" s="16"/>
      <c r="BL322" s="16">
        <v>4682</v>
      </c>
      <c r="BM322" s="16">
        <f t="shared" si="369"/>
        <v>374</v>
      </c>
      <c r="BN322" s="16">
        <v>4308</v>
      </c>
      <c r="BO322" s="16">
        <v>3815</v>
      </c>
      <c r="BP322" s="16">
        <f t="shared" si="370"/>
        <v>493</v>
      </c>
      <c r="BQ322" s="16"/>
      <c r="BR322" s="16"/>
      <c r="BS322" s="78">
        <v>2019</v>
      </c>
      <c r="BT322" s="79" t="s">
        <v>40</v>
      </c>
      <c r="BU322" s="15">
        <f t="shared" si="276"/>
        <v>0.75522388059701495</v>
      </c>
      <c r="BV322" s="15">
        <f t="shared" si="277"/>
        <v>0.83145539906103283</v>
      </c>
      <c r="BW322" s="15">
        <f t="shared" si="278"/>
        <v>0.90831556503198296</v>
      </c>
      <c r="BX322" s="16"/>
      <c r="BY322" s="16"/>
      <c r="BZ322" s="16">
        <v>2345</v>
      </c>
      <c r="CA322" s="16">
        <f t="shared" si="371"/>
        <v>215</v>
      </c>
      <c r="CB322" s="16">
        <v>2130</v>
      </c>
      <c r="CC322" s="16">
        <v>1771</v>
      </c>
      <c r="CD322" s="16">
        <f t="shared" si="372"/>
        <v>359</v>
      </c>
      <c r="CE322" s="16"/>
      <c r="CF322" s="16"/>
      <c r="CG322" s="78">
        <v>2019</v>
      </c>
      <c r="CH322" s="79" t="s">
        <v>40</v>
      </c>
      <c r="CI322" s="15">
        <f t="shared" si="362"/>
        <v>0.60650887573964496</v>
      </c>
      <c r="CJ322" s="15">
        <f t="shared" si="363"/>
        <v>0.73918269230769229</v>
      </c>
      <c r="CK322" s="15">
        <f t="shared" si="364"/>
        <v>0.82051282051282048</v>
      </c>
      <c r="CL322" s="16"/>
      <c r="CM322" s="16"/>
      <c r="CN322" s="16">
        <v>2028</v>
      </c>
      <c r="CO322" s="16">
        <f t="shared" si="373"/>
        <v>364</v>
      </c>
      <c r="CP322" s="16">
        <v>1664</v>
      </c>
      <c r="CQ322" s="16">
        <v>1230</v>
      </c>
      <c r="CR322" s="16">
        <f t="shared" si="374"/>
        <v>434</v>
      </c>
      <c r="CS322" s="16"/>
      <c r="CT322" s="16"/>
      <c r="CU322" s="78">
        <v>2019</v>
      </c>
      <c r="CV322" s="79" t="s">
        <v>40</v>
      </c>
      <c r="CW322" s="15">
        <f t="shared" si="282"/>
        <v>0.89745836985100791</v>
      </c>
      <c r="CX322" s="15">
        <f t="shared" si="283"/>
        <v>0.97523809523809524</v>
      </c>
      <c r="CY322" s="15">
        <f t="shared" si="284"/>
        <v>0.92024539877300615</v>
      </c>
      <c r="CZ322" s="16"/>
      <c r="DA322" s="16"/>
      <c r="DB322" s="16">
        <v>1141</v>
      </c>
      <c r="DC322" s="16">
        <f t="shared" si="375"/>
        <v>91</v>
      </c>
      <c r="DD322" s="16">
        <v>1050</v>
      </c>
      <c r="DE322" s="16">
        <v>1024</v>
      </c>
      <c r="DF322" s="16">
        <f t="shared" si="376"/>
        <v>26</v>
      </c>
      <c r="DG322" s="16"/>
      <c r="DH322" s="16"/>
      <c r="DI322" s="78">
        <v>2019</v>
      </c>
      <c r="DJ322" s="79" t="s">
        <v>40</v>
      </c>
      <c r="DK322" s="15">
        <f t="shared" si="287"/>
        <v>0.89838709677419359</v>
      </c>
      <c r="DL322" s="15">
        <f t="shared" si="288"/>
        <v>0.97891036906854134</v>
      </c>
      <c r="DM322" s="15">
        <f t="shared" si="289"/>
        <v>0.91774193548387095</v>
      </c>
      <c r="DN322" s="16"/>
      <c r="DO322" s="16"/>
      <c r="DP322" s="16">
        <v>620</v>
      </c>
      <c r="DQ322" s="16">
        <f t="shared" si="377"/>
        <v>51</v>
      </c>
      <c r="DR322" s="16">
        <v>569</v>
      </c>
      <c r="DS322" s="16">
        <v>557</v>
      </c>
      <c r="DT322" s="16">
        <f t="shared" si="378"/>
        <v>12</v>
      </c>
      <c r="DU322" s="16"/>
      <c r="DV322" s="16"/>
      <c r="DW322" s="78">
        <v>2019</v>
      </c>
      <c r="DX322" s="79" t="s">
        <v>40</v>
      </c>
      <c r="DY322" s="15">
        <f t="shared" si="290"/>
        <v>0.83715461493239274</v>
      </c>
      <c r="DZ322" s="15">
        <f t="shared" si="291"/>
        <v>0.90126582278481016</v>
      </c>
      <c r="EA322" s="15">
        <f t="shared" si="292"/>
        <v>0.92886537330981778</v>
      </c>
      <c r="EB322" s="16"/>
      <c r="EC322" s="16"/>
      <c r="ED322" s="16">
        <f>1657+44</f>
        <v>1701</v>
      </c>
      <c r="EE322" s="16">
        <f t="shared" ref="EE322:EE334" si="382">ED322-EF322</f>
        <v>121</v>
      </c>
      <c r="EF322" s="16">
        <f>1538+42</f>
        <v>1580</v>
      </c>
      <c r="EG322" s="16">
        <f>1390+34</f>
        <v>1424</v>
      </c>
      <c r="EH322" s="16">
        <f t="shared" si="379"/>
        <v>156</v>
      </c>
      <c r="EI322" s="16"/>
      <c r="EJ322" s="16"/>
      <c r="EK322" s="78">
        <v>2019</v>
      </c>
      <c r="EL322" s="79" t="s">
        <v>40</v>
      </c>
      <c r="EM322" s="15">
        <f t="shared" si="343"/>
        <v>0.6198347107438017</v>
      </c>
      <c r="EN322" s="15">
        <f t="shared" si="344"/>
        <v>0.97402597402597402</v>
      </c>
      <c r="EO322" s="15">
        <f t="shared" si="345"/>
        <v>0.63636363636363635</v>
      </c>
      <c r="EP322" s="16"/>
      <c r="EQ322" s="16"/>
      <c r="ER322" s="16">
        <v>242</v>
      </c>
      <c r="ES322" s="16">
        <f t="shared" si="380"/>
        <v>88</v>
      </c>
      <c r="ET322" s="16">
        <v>154</v>
      </c>
      <c r="EU322" s="16">
        <v>150</v>
      </c>
      <c r="EV322" s="16">
        <f t="shared" si="381"/>
        <v>4</v>
      </c>
      <c r="EW322" s="16"/>
      <c r="EX322" s="16"/>
      <c r="EY322" s="78"/>
      <c r="EZ322" s="79"/>
      <c r="FA322" s="15"/>
      <c r="FB322" s="15"/>
      <c r="FC322" s="15"/>
      <c r="FD322" s="16"/>
      <c r="FE322" s="16"/>
      <c r="FF322" s="16"/>
      <c r="FG322" s="16"/>
      <c r="FH322" s="16"/>
      <c r="FI322" s="16"/>
      <c r="FJ322" s="16"/>
      <c r="FK322" s="16"/>
      <c r="FM322" s="78"/>
      <c r="FN322" s="79"/>
      <c r="FO322" s="15"/>
      <c r="FP322" s="15"/>
      <c r="FQ322" s="15"/>
      <c r="FR322" s="16"/>
      <c r="FS322" s="16"/>
      <c r="FT322" s="16"/>
      <c r="FU322" s="16"/>
      <c r="FV322" s="16"/>
      <c r="FW322" s="16"/>
      <c r="FX322" s="16"/>
      <c r="FY322" s="16"/>
      <c r="GA322" s="78"/>
      <c r="GB322" s="79"/>
      <c r="GC322" s="15"/>
      <c r="GD322" s="15"/>
      <c r="GE322" s="15"/>
      <c r="GF322" s="16"/>
      <c r="GG322" s="16"/>
      <c r="GH322" s="16"/>
      <c r="GI322" s="16"/>
      <c r="GJ322" s="16"/>
      <c r="GK322" s="16"/>
      <c r="GL322" s="16"/>
      <c r="GM322" s="16"/>
    </row>
    <row r="323" spans="1:195" s="18" customFormat="1" ht="15" customHeight="1">
      <c r="A323" s="80">
        <v>2019</v>
      </c>
      <c r="B323" s="81" t="s">
        <v>41</v>
      </c>
      <c r="C323" s="15">
        <f t="shared" si="293"/>
        <v>0.80198474685288978</v>
      </c>
      <c r="D323" s="15">
        <f t="shared" si="294"/>
        <v>0.90132699953529194</v>
      </c>
      <c r="E323" s="15">
        <f t="shared" si="295"/>
        <v>0.88978222916475236</v>
      </c>
      <c r="F323" s="16"/>
      <c r="G323" s="33"/>
      <c r="H32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21766</v>
      </c>
      <c r="I323" s="16">
        <f t="shared" si="296"/>
        <v>2399</v>
      </c>
      <c r="J32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19367</v>
      </c>
      <c r="K32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17456</v>
      </c>
      <c r="L323" s="16">
        <f t="shared" si="297"/>
        <v>1911</v>
      </c>
      <c r="M323" s="16"/>
      <c r="N323" s="16"/>
      <c r="O323" s="80">
        <v>2019</v>
      </c>
      <c r="P323" s="81" t="s">
        <v>41</v>
      </c>
      <c r="Q323" s="15">
        <f t="shared" si="270"/>
        <v>0.74295055169595425</v>
      </c>
      <c r="R323" s="15">
        <f t="shared" si="271"/>
        <v>0.88726207906295751</v>
      </c>
      <c r="S323" s="15">
        <f t="shared" si="272"/>
        <v>0.83735185941969759</v>
      </c>
      <c r="T323" s="26"/>
      <c r="U323" s="26"/>
      <c r="V323" s="16">
        <v>4894</v>
      </c>
      <c r="W323" s="16">
        <f t="shared" si="365"/>
        <v>796</v>
      </c>
      <c r="X323" s="16">
        <v>4098</v>
      </c>
      <c r="Y323" s="16">
        <v>3636</v>
      </c>
      <c r="Z323" s="16">
        <f t="shared" si="366"/>
        <v>462</v>
      </c>
      <c r="AA323" s="16"/>
      <c r="AB323" s="16"/>
      <c r="AC323" s="80"/>
      <c r="AD323" s="81"/>
      <c r="AE323" s="15"/>
      <c r="AF323" s="15"/>
      <c r="AG323" s="15"/>
      <c r="AH323" s="15"/>
      <c r="AI323" s="15"/>
      <c r="AJ323" s="16"/>
      <c r="AK323" s="16"/>
      <c r="AL323" s="16"/>
      <c r="AM323" s="16"/>
      <c r="AN323" s="16"/>
      <c r="AO323" s="16"/>
      <c r="AP323" s="16"/>
      <c r="AQ323" s="80">
        <v>2019</v>
      </c>
      <c r="AR323" s="81" t="s">
        <v>41</v>
      </c>
      <c r="AS323" s="15">
        <f t="shared" si="273"/>
        <v>0.91306156405990013</v>
      </c>
      <c r="AT323" s="15">
        <f t="shared" si="274"/>
        <v>0.94530577088716627</v>
      </c>
      <c r="AU323" s="15">
        <f t="shared" si="275"/>
        <v>0.96589018302828622</v>
      </c>
      <c r="AV323" s="16"/>
      <c r="AW323" s="16"/>
      <c r="AX323" s="16">
        <v>4808</v>
      </c>
      <c r="AY323" s="16">
        <f t="shared" si="367"/>
        <v>164</v>
      </c>
      <c r="AZ323" s="16">
        <v>4644</v>
      </c>
      <c r="BA323" s="16">
        <v>4390</v>
      </c>
      <c r="BB323" s="16">
        <f t="shared" si="368"/>
        <v>254</v>
      </c>
      <c r="BC323" s="16"/>
      <c r="BD323" s="16"/>
      <c r="BE323" s="80">
        <v>2019</v>
      </c>
      <c r="BF323" s="81" t="s">
        <v>41</v>
      </c>
      <c r="BG323" s="15">
        <f t="shared" si="310"/>
        <v>0.84834766862833866</v>
      </c>
      <c r="BH323" s="15">
        <f t="shared" si="311"/>
        <v>0.92497532082922018</v>
      </c>
      <c r="BI323" s="15">
        <f t="shared" si="312"/>
        <v>0.9171570846536895</v>
      </c>
      <c r="BJ323" s="16"/>
      <c r="BK323" s="16"/>
      <c r="BL323" s="16">
        <v>4418</v>
      </c>
      <c r="BM323" s="16">
        <f t="shared" si="369"/>
        <v>366</v>
      </c>
      <c r="BN323" s="16">
        <v>4052</v>
      </c>
      <c r="BO323" s="16">
        <v>3748</v>
      </c>
      <c r="BP323" s="16">
        <f t="shared" si="370"/>
        <v>304</v>
      </c>
      <c r="BQ323" s="16"/>
      <c r="BR323" s="16"/>
      <c r="BS323" s="80">
        <v>2019</v>
      </c>
      <c r="BT323" s="81" t="s">
        <v>41</v>
      </c>
      <c r="BU323" s="15">
        <f t="shared" si="276"/>
        <v>0.57706255666364459</v>
      </c>
      <c r="BV323" s="15">
        <f t="shared" si="277"/>
        <v>0.76410564225690281</v>
      </c>
      <c r="BW323" s="15">
        <f t="shared" si="278"/>
        <v>0.75521305530371718</v>
      </c>
      <c r="BX323" s="16"/>
      <c r="BY323" s="16"/>
      <c r="BZ323" s="16">
        <v>2206</v>
      </c>
      <c r="CA323" s="16">
        <f t="shared" si="371"/>
        <v>540</v>
      </c>
      <c r="CB323" s="16">
        <v>1666</v>
      </c>
      <c r="CC323" s="16">
        <v>1273</v>
      </c>
      <c r="CD323" s="16">
        <f t="shared" si="372"/>
        <v>393</v>
      </c>
      <c r="CE323" s="16"/>
      <c r="CF323" s="16"/>
      <c r="CG323" s="80">
        <v>2019</v>
      </c>
      <c r="CH323" s="81" t="s">
        <v>41</v>
      </c>
      <c r="CI323" s="15">
        <f t="shared" si="362"/>
        <v>0.65861344537815125</v>
      </c>
      <c r="CJ323" s="15">
        <f t="shared" si="363"/>
        <v>0.7857142857142857</v>
      </c>
      <c r="CK323" s="15">
        <f t="shared" si="364"/>
        <v>0.83823529411764708</v>
      </c>
      <c r="CL323" s="16"/>
      <c r="CM323" s="16"/>
      <c r="CN323" s="16">
        <v>1904</v>
      </c>
      <c r="CO323" s="16">
        <f t="shared" si="373"/>
        <v>308</v>
      </c>
      <c r="CP323" s="16">
        <v>1596</v>
      </c>
      <c r="CQ323" s="16">
        <v>1254</v>
      </c>
      <c r="CR323" s="16">
        <f t="shared" si="374"/>
        <v>342</v>
      </c>
      <c r="CS323" s="16"/>
      <c r="CT323" s="16"/>
      <c r="CU323" s="80">
        <v>2019</v>
      </c>
      <c r="CV323" s="81" t="s">
        <v>41</v>
      </c>
      <c r="CW323" s="15">
        <f t="shared" si="282"/>
        <v>0.93019038984587488</v>
      </c>
      <c r="CX323" s="15">
        <f t="shared" si="283"/>
        <v>0.98275862068965514</v>
      </c>
      <c r="CY323" s="15">
        <f t="shared" si="284"/>
        <v>0.94650951949229378</v>
      </c>
      <c r="CZ323" s="16"/>
      <c r="DA323" s="16"/>
      <c r="DB323" s="16">
        <v>1103</v>
      </c>
      <c r="DC323" s="16">
        <f t="shared" si="375"/>
        <v>59</v>
      </c>
      <c r="DD323" s="16">
        <v>1044</v>
      </c>
      <c r="DE323" s="16">
        <v>1026</v>
      </c>
      <c r="DF323" s="16">
        <f t="shared" si="376"/>
        <v>18</v>
      </c>
      <c r="DG323" s="16"/>
      <c r="DH323" s="16"/>
      <c r="DI323" s="80">
        <v>2019</v>
      </c>
      <c r="DJ323" s="81" t="s">
        <v>41</v>
      </c>
      <c r="DK323" s="15">
        <f t="shared" si="287"/>
        <v>0.93</v>
      </c>
      <c r="DL323" s="15">
        <f t="shared" si="288"/>
        <v>0.97212543554006969</v>
      </c>
      <c r="DM323" s="15">
        <f t="shared" si="289"/>
        <v>0.95666666666666667</v>
      </c>
      <c r="DN323" s="16"/>
      <c r="DO323" s="16"/>
      <c r="DP323" s="16">
        <v>600</v>
      </c>
      <c r="DQ323" s="16">
        <f t="shared" si="377"/>
        <v>26</v>
      </c>
      <c r="DR323" s="16">
        <v>574</v>
      </c>
      <c r="DS323" s="16">
        <v>558</v>
      </c>
      <c r="DT323" s="16">
        <f t="shared" si="378"/>
        <v>16</v>
      </c>
      <c r="DU323" s="16"/>
      <c r="DV323" s="16"/>
      <c r="DW323" s="80">
        <v>2019</v>
      </c>
      <c r="DX323" s="81" t="s">
        <v>41</v>
      </c>
      <c r="DY323" s="15">
        <f t="shared" si="290"/>
        <v>0.88860918816865953</v>
      </c>
      <c r="DZ323" s="15">
        <f t="shared" si="291"/>
        <v>0.9210697977821265</v>
      </c>
      <c r="EA323" s="15">
        <f t="shared" si="292"/>
        <v>0.96475770925110127</v>
      </c>
      <c r="EB323" s="16"/>
      <c r="EC323" s="16"/>
      <c r="ED323" s="16">
        <f>1553+36</f>
        <v>1589</v>
      </c>
      <c r="EE323" s="16">
        <f t="shared" si="382"/>
        <v>56</v>
      </c>
      <c r="EF323" s="16">
        <f>1497+36</f>
        <v>1533</v>
      </c>
      <c r="EG323" s="16">
        <f>1381+31</f>
        <v>1412</v>
      </c>
      <c r="EH323" s="16">
        <f t="shared" si="379"/>
        <v>121</v>
      </c>
      <c r="EI323" s="16"/>
      <c r="EJ323" s="16"/>
      <c r="EK323" s="80">
        <v>2019</v>
      </c>
      <c r="EL323" s="81" t="s">
        <v>41</v>
      </c>
      <c r="EM323" s="15">
        <f t="shared" si="343"/>
        <v>0.65163934426229508</v>
      </c>
      <c r="EN323" s="15">
        <f t="shared" si="344"/>
        <v>0.99375000000000002</v>
      </c>
      <c r="EO323" s="15">
        <f t="shared" si="345"/>
        <v>0.65573770491803274</v>
      </c>
      <c r="EP323" s="16"/>
      <c r="EQ323" s="16"/>
      <c r="ER323" s="16">
        <v>244</v>
      </c>
      <c r="ES323" s="16">
        <f t="shared" si="380"/>
        <v>84</v>
      </c>
      <c r="ET323" s="16">
        <v>160</v>
      </c>
      <c r="EU323" s="16">
        <v>159</v>
      </c>
      <c r="EV323" s="16">
        <f t="shared" si="381"/>
        <v>1</v>
      </c>
      <c r="EW323" s="16"/>
      <c r="EX323" s="16"/>
      <c r="EY323" s="80"/>
      <c r="EZ323" s="81"/>
      <c r="FA323" s="15"/>
      <c r="FB323" s="15"/>
      <c r="FC323" s="15"/>
      <c r="FD323" s="16"/>
      <c r="FE323" s="16"/>
      <c r="FF323" s="16"/>
      <c r="FG323" s="16"/>
      <c r="FH323" s="16"/>
      <c r="FI323" s="16"/>
      <c r="FJ323" s="16"/>
      <c r="FK323" s="16"/>
      <c r="FM323" s="80"/>
      <c r="FN323" s="81"/>
      <c r="FO323" s="15"/>
      <c r="FP323" s="15"/>
      <c r="FQ323" s="15"/>
      <c r="FR323" s="16"/>
      <c r="FS323" s="16"/>
      <c r="FT323" s="16"/>
      <c r="FU323" s="16"/>
      <c r="FV323" s="16"/>
      <c r="FW323" s="16"/>
      <c r="FX323" s="16"/>
      <c r="FY323" s="16"/>
      <c r="GA323" s="80"/>
      <c r="GB323" s="81"/>
      <c r="GC323" s="15"/>
      <c r="GD323" s="15"/>
      <c r="GE323" s="15"/>
      <c r="GF323" s="16"/>
      <c r="GG323" s="16"/>
      <c r="GH323" s="16"/>
      <c r="GI323" s="16"/>
      <c r="GJ323" s="16"/>
      <c r="GK323" s="16"/>
      <c r="GL323" s="16"/>
      <c r="GM323" s="16"/>
    </row>
    <row r="324" spans="1:195" s="18" customFormat="1" ht="15" customHeight="1">
      <c r="A324" s="78">
        <v>2019</v>
      </c>
      <c r="B324" s="79" t="s">
        <v>42</v>
      </c>
      <c r="C324" s="15">
        <f t="shared" si="293"/>
        <v>0.86795857861040693</v>
      </c>
      <c r="D324" s="15">
        <f t="shared" si="294"/>
        <v>0.93687676823894994</v>
      </c>
      <c r="E324" s="15">
        <f t="shared" si="295"/>
        <v>0.92643836205044472</v>
      </c>
      <c r="F32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830</v>
      </c>
      <c r="G324"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6.3484532257316451</v>
      </c>
      <c r="H32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23273</v>
      </c>
      <c r="I324" s="16">
        <f t="shared" si="296"/>
        <v>1712</v>
      </c>
      <c r="J32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21561</v>
      </c>
      <c r="K32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20200</v>
      </c>
      <c r="L324" s="16">
        <f t="shared" si="297"/>
        <v>1361</v>
      </c>
      <c r="M324" s="16"/>
      <c r="N324" s="16"/>
      <c r="O324" s="78">
        <v>2019</v>
      </c>
      <c r="P324" s="79" t="s">
        <v>42</v>
      </c>
      <c r="Q324" s="15">
        <f t="shared" si="270"/>
        <v>0.82818387339864352</v>
      </c>
      <c r="R324" s="15">
        <f t="shared" si="271"/>
        <v>0.94193271909149345</v>
      </c>
      <c r="S324" s="15">
        <f t="shared" si="272"/>
        <v>0.87923888470233613</v>
      </c>
      <c r="T324" s="26">
        <v>198</v>
      </c>
      <c r="U324" s="26">
        <v>7</v>
      </c>
      <c r="V324" s="16">
        <v>5308</v>
      </c>
      <c r="W324" s="16">
        <f t="shared" si="365"/>
        <v>641</v>
      </c>
      <c r="X324" s="16">
        <v>4667</v>
      </c>
      <c r="Y324" s="16">
        <v>4396</v>
      </c>
      <c r="Z324" s="16">
        <f t="shared" si="366"/>
        <v>271</v>
      </c>
      <c r="AA324" s="16"/>
      <c r="AB324" s="16"/>
      <c r="AC324" s="78"/>
      <c r="AD324" s="79"/>
      <c r="AE324" s="15"/>
      <c r="AF324" s="15"/>
      <c r="AG324" s="15"/>
      <c r="AH324" s="15"/>
      <c r="AI324" s="15"/>
      <c r="AJ324" s="16"/>
      <c r="AK324" s="16"/>
      <c r="AL324" s="16"/>
      <c r="AM324" s="16"/>
      <c r="AN324" s="16"/>
      <c r="AO324" s="16"/>
      <c r="AP324" s="16"/>
      <c r="AQ324" s="78">
        <v>2019</v>
      </c>
      <c r="AR324" s="79" t="s">
        <v>42</v>
      </c>
      <c r="AS324" s="15">
        <f t="shared" si="273"/>
        <v>0.96021526042667693</v>
      </c>
      <c r="AT324" s="15">
        <f t="shared" si="274"/>
        <v>0.96915615906886521</v>
      </c>
      <c r="AU324" s="15">
        <f t="shared" si="275"/>
        <v>0.9907745531424178</v>
      </c>
      <c r="AV324" s="16">
        <v>193</v>
      </c>
      <c r="AW324" s="16">
        <v>7</v>
      </c>
      <c r="AX324" s="16">
        <v>5203</v>
      </c>
      <c r="AY324" s="16">
        <f t="shared" si="367"/>
        <v>48</v>
      </c>
      <c r="AZ324" s="16">
        <v>5155</v>
      </c>
      <c r="BA324" s="16">
        <v>4996</v>
      </c>
      <c r="BB324" s="16">
        <f t="shared" si="368"/>
        <v>159</v>
      </c>
      <c r="BC324" s="16"/>
      <c r="BD324" s="16"/>
      <c r="BE324" s="78">
        <v>2019</v>
      </c>
      <c r="BF324" s="79" t="s">
        <v>42</v>
      </c>
      <c r="BG324" s="15">
        <f t="shared" si="310"/>
        <v>0.89071154665530461</v>
      </c>
      <c r="BH324" s="15">
        <f t="shared" si="311"/>
        <v>0.9461416610092781</v>
      </c>
      <c r="BI324" s="15">
        <f t="shared" si="312"/>
        <v>0.9414145717937793</v>
      </c>
      <c r="BJ324" s="16">
        <v>164</v>
      </c>
      <c r="BK324" s="16">
        <v>7</v>
      </c>
      <c r="BL324" s="16">
        <v>4694</v>
      </c>
      <c r="BM324" s="16">
        <f t="shared" si="369"/>
        <v>275</v>
      </c>
      <c r="BN324" s="16">
        <v>4419</v>
      </c>
      <c r="BO324" s="16">
        <v>4181</v>
      </c>
      <c r="BP324" s="16">
        <f t="shared" si="370"/>
        <v>238</v>
      </c>
      <c r="BQ324" s="16"/>
      <c r="BR324" s="16"/>
      <c r="BS324" s="78">
        <v>2019</v>
      </c>
      <c r="BT324" s="79" t="s">
        <v>42</v>
      </c>
      <c r="BU324" s="15">
        <f t="shared" si="276"/>
        <v>0.80577985550361242</v>
      </c>
      <c r="BV324" s="15">
        <f t="shared" si="277"/>
        <v>0.85366951823502923</v>
      </c>
      <c r="BW324" s="15">
        <f t="shared" si="278"/>
        <v>0.94390140246493837</v>
      </c>
      <c r="BX324" s="16">
        <v>83</v>
      </c>
      <c r="BY324" s="16">
        <v>7</v>
      </c>
      <c r="BZ324" s="16">
        <v>2353</v>
      </c>
      <c r="CA324" s="16">
        <f t="shared" si="371"/>
        <v>132</v>
      </c>
      <c r="CB324" s="16">
        <v>2221</v>
      </c>
      <c r="CC324" s="16">
        <v>1896</v>
      </c>
      <c r="CD324" s="16">
        <f t="shared" si="372"/>
        <v>325</v>
      </c>
      <c r="CE324" s="16"/>
      <c r="CF324" s="16"/>
      <c r="CG324" s="78">
        <v>2019</v>
      </c>
      <c r="CH324" s="79" t="s">
        <v>42</v>
      </c>
      <c r="CI324" s="15">
        <f t="shared" si="362"/>
        <v>0.6707677165354331</v>
      </c>
      <c r="CJ324" s="15">
        <f t="shared" si="363"/>
        <v>0.85885318210459982</v>
      </c>
      <c r="CK324" s="15">
        <f t="shared" si="364"/>
        <v>0.78100393700787396</v>
      </c>
      <c r="CL324" s="16">
        <v>72</v>
      </c>
      <c r="CM324" s="16">
        <v>7</v>
      </c>
      <c r="CN324" s="16">
        <v>2032</v>
      </c>
      <c r="CO324" s="16">
        <f t="shared" si="373"/>
        <v>445</v>
      </c>
      <c r="CP324" s="16">
        <v>1587</v>
      </c>
      <c r="CQ324" s="16">
        <v>1363</v>
      </c>
      <c r="CR324" s="16">
        <f t="shared" si="374"/>
        <v>224</v>
      </c>
      <c r="CS324" s="16"/>
      <c r="CT324" s="16"/>
      <c r="CU324" s="78">
        <v>2019</v>
      </c>
      <c r="CV324" s="79" t="s">
        <v>42</v>
      </c>
      <c r="CW324" s="15">
        <f t="shared" si="282"/>
        <v>0.96497373029772326</v>
      </c>
      <c r="CX324" s="15">
        <f t="shared" si="283"/>
        <v>0.9856887298747764</v>
      </c>
      <c r="CY324" s="15">
        <f t="shared" si="284"/>
        <v>0.978984238178634</v>
      </c>
      <c r="CZ324" s="16">
        <v>37</v>
      </c>
      <c r="DA324" s="16">
        <v>3</v>
      </c>
      <c r="DB324" s="16">
        <v>1142</v>
      </c>
      <c r="DC324" s="16">
        <f t="shared" si="375"/>
        <v>24</v>
      </c>
      <c r="DD324" s="16">
        <v>1118</v>
      </c>
      <c r="DE324" s="16">
        <v>1102</v>
      </c>
      <c r="DF324" s="16">
        <f t="shared" si="376"/>
        <v>16</v>
      </c>
      <c r="DG324" s="16"/>
      <c r="DH324" s="16"/>
      <c r="DI324" s="78">
        <v>2019</v>
      </c>
      <c r="DJ324" s="79" t="s">
        <v>42</v>
      </c>
      <c r="DK324" s="15">
        <f t="shared" si="287"/>
        <v>0.9306451612903226</v>
      </c>
      <c r="DL324" s="15">
        <f t="shared" si="288"/>
        <v>0.96006655574043265</v>
      </c>
      <c r="DM324" s="15">
        <f t="shared" si="289"/>
        <v>0.96935483870967742</v>
      </c>
      <c r="DN324" s="16">
        <v>20</v>
      </c>
      <c r="DO324" s="16">
        <v>3</v>
      </c>
      <c r="DP324" s="16">
        <v>620</v>
      </c>
      <c r="DQ324" s="16">
        <f t="shared" si="377"/>
        <v>19</v>
      </c>
      <c r="DR324" s="16">
        <v>601</v>
      </c>
      <c r="DS324" s="16">
        <v>577</v>
      </c>
      <c r="DT324" s="16">
        <f t="shared" si="378"/>
        <v>24</v>
      </c>
      <c r="DU324" s="16"/>
      <c r="DV324" s="16"/>
      <c r="DW324" s="78">
        <v>2019</v>
      </c>
      <c r="DX324" s="79" t="s">
        <v>42</v>
      </c>
      <c r="DY324" s="15">
        <f t="shared" si="290"/>
        <v>0.91840381179273378</v>
      </c>
      <c r="DZ324" s="15">
        <f t="shared" si="291"/>
        <v>0.94024390243902434</v>
      </c>
      <c r="EA324" s="15">
        <f t="shared" si="292"/>
        <v>0.9767718880285885</v>
      </c>
      <c r="EB324" s="16">
        <v>57</v>
      </c>
      <c r="EC324" s="16">
        <v>3</v>
      </c>
      <c r="ED324" s="16">
        <f>1637+42</f>
        <v>1679</v>
      </c>
      <c r="EE324" s="16">
        <f t="shared" si="382"/>
        <v>39</v>
      </c>
      <c r="EF324" s="16">
        <f>1598+42</f>
        <v>1640</v>
      </c>
      <c r="EG324" s="16">
        <f>1503+39</f>
        <v>1542</v>
      </c>
      <c r="EH324" s="16">
        <f t="shared" si="379"/>
        <v>98</v>
      </c>
      <c r="EI324" s="16"/>
      <c r="EJ324" s="16"/>
      <c r="EK324" s="78">
        <v>2019</v>
      </c>
      <c r="EL324" s="79" t="s">
        <v>42</v>
      </c>
      <c r="EM324" s="15">
        <f t="shared" si="343"/>
        <v>0.6074380165289256</v>
      </c>
      <c r="EN324" s="15">
        <f t="shared" si="344"/>
        <v>0.96078431372549022</v>
      </c>
      <c r="EO324" s="15">
        <f t="shared" si="345"/>
        <v>0.63223140495867769</v>
      </c>
      <c r="EP324" s="16">
        <v>6</v>
      </c>
      <c r="EQ324" s="16">
        <v>3</v>
      </c>
      <c r="ER324" s="16">
        <v>242</v>
      </c>
      <c r="ES324" s="16">
        <f t="shared" si="380"/>
        <v>89</v>
      </c>
      <c r="ET324" s="16">
        <v>153</v>
      </c>
      <c r="EU324" s="16">
        <v>147</v>
      </c>
      <c r="EV324" s="16">
        <f t="shared" si="381"/>
        <v>6</v>
      </c>
      <c r="EW324" s="16"/>
      <c r="EX324" s="16"/>
      <c r="EY324" s="78"/>
      <c r="EZ324" s="79"/>
      <c r="FA324" s="15"/>
      <c r="FB324" s="15"/>
      <c r="FC324" s="15"/>
      <c r="FD324" s="16"/>
      <c r="FE324" s="16"/>
      <c r="FF324" s="16"/>
      <c r="FG324" s="16"/>
      <c r="FH324" s="16"/>
      <c r="FI324" s="16"/>
      <c r="FJ324" s="16"/>
      <c r="FK324" s="16"/>
      <c r="FM324" s="78"/>
      <c r="FN324" s="79"/>
      <c r="FO324" s="15"/>
      <c r="FP324" s="15"/>
      <c r="FQ324" s="15"/>
      <c r="FR324" s="16"/>
      <c r="FS324" s="16"/>
      <c r="FT324" s="16"/>
      <c r="FU324" s="16"/>
      <c r="FV324" s="16"/>
      <c r="FW324" s="16"/>
      <c r="FX324" s="16"/>
      <c r="FY324" s="16"/>
      <c r="GA324" s="78"/>
      <c r="GB324" s="79"/>
      <c r="GC324" s="15"/>
      <c r="GD324" s="15"/>
      <c r="GE324" s="15"/>
      <c r="GF324" s="16"/>
      <c r="GG324" s="16"/>
      <c r="GH324" s="16"/>
      <c r="GI324" s="16"/>
      <c r="GJ324" s="16"/>
      <c r="GK324" s="16"/>
      <c r="GL324" s="16"/>
      <c r="GM324" s="16"/>
    </row>
    <row r="325" spans="1:195" s="18" customFormat="1" ht="15" customHeight="1">
      <c r="A325" s="80">
        <v>2019</v>
      </c>
      <c r="B325" s="81" t="s">
        <v>43</v>
      </c>
      <c r="C325" s="15">
        <f t="shared" si="293"/>
        <v>0.88886502276827906</v>
      </c>
      <c r="D325" s="15">
        <f t="shared" si="294"/>
        <v>0.93870792124126667</v>
      </c>
      <c r="E325" s="15">
        <f t="shared" si="295"/>
        <v>0.94690265486725667</v>
      </c>
      <c r="F32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830</v>
      </c>
      <c r="G325"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6.3468832229380272</v>
      </c>
      <c r="H32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23278</v>
      </c>
      <c r="I325" s="16">
        <f t="shared" si="296"/>
        <v>1236</v>
      </c>
      <c r="J32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22042</v>
      </c>
      <c r="K32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20691</v>
      </c>
      <c r="L325" s="16">
        <f t="shared" si="297"/>
        <v>1351</v>
      </c>
      <c r="M325" s="16"/>
      <c r="N325" s="16"/>
      <c r="O325" s="80">
        <v>2019</v>
      </c>
      <c r="P325" s="81" t="s">
        <v>43</v>
      </c>
      <c r="Q325" s="15">
        <f t="shared" si="270"/>
        <v>0.84740015071590058</v>
      </c>
      <c r="R325" s="15">
        <f t="shared" si="271"/>
        <v>0.93145578794781525</v>
      </c>
      <c r="S325" s="15">
        <f t="shared" si="272"/>
        <v>0.90975885455915595</v>
      </c>
      <c r="T325" s="26">
        <v>198</v>
      </c>
      <c r="U325" s="26">
        <v>7</v>
      </c>
      <c r="V325" s="16">
        <v>5308</v>
      </c>
      <c r="W325" s="16">
        <f t="shared" si="365"/>
        <v>479</v>
      </c>
      <c r="X325" s="16">
        <v>4829</v>
      </c>
      <c r="Y325" s="16">
        <v>4498</v>
      </c>
      <c r="Z325" s="16">
        <f t="shared" si="366"/>
        <v>331</v>
      </c>
      <c r="AA325" s="16"/>
      <c r="AB325" s="16"/>
      <c r="AC325" s="80"/>
      <c r="AD325" s="81"/>
      <c r="AE325" s="15"/>
      <c r="AF325" s="15"/>
      <c r="AG325" s="15"/>
      <c r="AH325" s="15"/>
      <c r="AI325" s="15"/>
      <c r="AJ325" s="16"/>
      <c r="AK325" s="16"/>
      <c r="AL325" s="16"/>
      <c r="AM325" s="16"/>
      <c r="AN325" s="16"/>
      <c r="AO325" s="16"/>
      <c r="AP325" s="16"/>
      <c r="AQ325" s="80">
        <v>2019</v>
      </c>
      <c r="AR325" s="81" t="s">
        <v>43</v>
      </c>
      <c r="AS325" s="15">
        <f t="shared" si="273"/>
        <v>0.94485011529592622</v>
      </c>
      <c r="AT325" s="15">
        <f t="shared" si="274"/>
        <v>0.9614782948768088</v>
      </c>
      <c r="AU325" s="15">
        <f t="shared" si="275"/>
        <v>0.98270561106840892</v>
      </c>
      <c r="AV325" s="16">
        <v>193</v>
      </c>
      <c r="AW325" s="16">
        <v>7</v>
      </c>
      <c r="AX325" s="16">
        <v>5204</v>
      </c>
      <c r="AY325" s="16">
        <f t="shared" si="367"/>
        <v>90</v>
      </c>
      <c r="AZ325" s="16">
        <v>5114</v>
      </c>
      <c r="BA325" s="16">
        <v>4917</v>
      </c>
      <c r="BB325" s="16">
        <f t="shared" si="368"/>
        <v>197</v>
      </c>
      <c r="BC325" s="16"/>
      <c r="BD325" s="16"/>
      <c r="BE325" s="80">
        <v>2019</v>
      </c>
      <c r="BF325" s="81" t="s">
        <v>43</v>
      </c>
      <c r="BG325" s="15">
        <f t="shared" si="310"/>
        <v>0.91435875585854287</v>
      </c>
      <c r="BH325" s="15">
        <f t="shared" si="311"/>
        <v>0.93732255951081023</v>
      </c>
      <c r="BI325" s="15">
        <f t="shared" si="312"/>
        <v>0.97550063911376228</v>
      </c>
      <c r="BJ325" s="16">
        <v>164</v>
      </c>
      <c r="BK325" s="16">
        <v>7</v>
      </c>
      <c r="BL325" s="16">
        <v>4694</v>
      </c>
      <c r="BM325" s="16">
        <f t="shared" si="369"/>
        <v>115</v>
      </c>
      <c r="BN325" s="16">
        <v>4579</v>
      </c>
      <c r="BO325" s="16">
        <v>4292</v>
      </c>
      <c r="BP325" s="16">
        <f t="shared" si="370"/>
        <v>287</v>
      </c>
      <c r="BQ325" s="16"/>
      <c r="BR325" s="16"/>
      <c r="BS325" s="80">
        <v>2019</v>
      </c>
      <c r="BT325" s="81" t="s">
        <v>43</v>
      </c>
      <c r="BU325" s="15">
        <f t="shared" si="276"/>
        <v>0.82575435614109649</v>
      </c>
      <c r="BV325" s="15">
        <f t="shared" si="277"/>
        <v>0.88398544131028212</v>
      </c>
      <c r="BW325" s="15">
        <f t="shared" si="278"/>
        <v>0.93412664683382918</v>
      </c>
      <c r="BX325" s="16">
        <v>83</v>
      </c>
      <c r="BY325" s="16">
        <v>7</v>
      </c>
      <c r="BZ325" s="16">
        <v>2353</v>
      </c>
      <c r="CA325" s="16">
        <f t="shared" si="371"/>
        <v>155</v>
      </c>
      <c r="CB325" s="16">
        <v>2198</v>
      </c>
      <c r="CC325" s="16">
        <v>1943</v>
      </c>
      <c r="CD325" s="16">
        <f t="shared" si="372"/>
        <v>255</v>
      </c>
      <c r="CE325" s="16"/>
      <c r="CF325" s="16"/>
      <c r="CG325" s="80">
        <v>2019</v>
      </c>
      <c r="CH325" s="81" t="s">
        <v>43</v>
      </c>
      <c r="CI325" s="15">
        <f t="shared" si="362"/>
        <v>0.75688976377952755</v>
      </c>
      <c r="CJ325" s="15">
        <f t="shared" si="363"/>
        <v>0.89262913522925136</v>
      </c>
      <c r="CK325" s="15">
        <f t="shared" si="364"/>
        <v>0.84793307086614178</v>
      </c>
      <c r="CL325" s="16">
        <v>72</v>
      </c>
      <c r="CM325" s="16">
        <v>7</v>
      </c>
      <c r="CN325" s="16">
        <v>2032</v>
      </c>
      <c r="CO325" s="16">
        <f t="shared" si="373"/>
        <v>309</v>
      </c>
      <c r="CP325" s="16">
        <v>1723</v>
      </c>
      <c r="CQ325" s="16">
        <v>1538</v>
      </c>
      <c r="CR325" s="16">
        <f t="shared" si="374"/>
        <v>185</v>
      </c>
      <c r="CS325" s="16"/>
      <c r="CT325" s="16"/>
      <c r="CU325" s="80">
        <v>2019</v>
      </c>
      <c r="CV325" s="81" t="s">
        <v>43</v>
      </c>
      <c r="CW325" s="15">
        <f t="shared" si="282"/>
        <v>0.978984238178634</v>
      </c>
      <c r="CX325" s="15">
        <f t="shared" si="283"/>
        <v>0.9885057471264368</v>
      </c>
      <c r="CY325" s="15">
        <f t="shared" si="284"/>
        <v>0.99036777583187385</v>
      </c>
      <c r="CZ325" s="16">
        <v>37</v>
      </c>
      <c r="DA325" s="16">
        <v>3</v>
      </c>
      <c r="DB325" s="16">
        <v>1142</v>
      </c>
      <c r="DC325" s="16">
        <f t="shared" si="375"/>
        <v>11</v>
      </c>
      <c r="DD325" s="16">
        <v>1131</v>
      </c>
      <c r="DE325" s="16">
        <v>1118</v>
      </c>
      <c r="DF325" s="16">
        <f t="shared" si="376"/>
        <v>13</v>
      </c>
      <c r="DG325" s="16"/>
      <c r="DH325" s="16"/>
      <c r="DI325" s="80">
        <v>2019</v>
      </c>
      <c r="DJ325" s="81" t="s">
        <v>43</v>
      </c>
      <c r="DK325" s="15">
        <f t="shared" si="287"/>
        <v>0.96129032258064517</v>
      </c>
      <c r="DL325" s="15">
        <f t="shared" si="288"/>
        <v>0.97385620915032678</v>
      </c>
      <c r="DM325" s="15">
        <f t="shared" si="289"/>
        <v>0.98709677419354835</v>
      </c>
      <c r="DN325" s="16">
        <v>20</v>
      </c>
      <c r="DO325" s="16">
        <v>3</v>
      </c>
      <c r="DP325" s="16">
        <v>620</v>
      </c>
      <c r="DQ325" s="16">
        <f t="shared" si="377"/>
        <v>8</v>
      </c>
      <c r="DR325" s="16">
        <v>612</v>
      </c>
      <c r="DS325" s="16">
        <v>596</v>
      </c>
      <c r="DT325" s="16">
        <f t="shared" si="378"/>
        <v>16</v>
      </c>
      <c r="DU325" s="16"/>
      <c r="DV325" s="16"/>
      <c r="DW325" s="80">
        <v>2019</v>
      </c>
      <c r="DX325" s="81" t="s">
        <v>43</v>
      </c>
      <c r="DY325" s="15">
        <f t="shared" si="290"/>
        <v>0.95652173913043481</v>
      </c>
      <c r="DZ325" s="15">
        <f t="shared" si="291"/>
        <v>0.96052631578947367</v>
      </c>
      <c r="EA325" s="15">
        <f t="shared" si="292"/>
        <v>0.9958308516974389</v>
      </c>
      <c r="EB325" s="16">
        <v>57</v>
      </c>
      <c r="EC325" s="16">
        <v>3</v>
      </c>
      <c r="ED325" s="16">
        <f>1637+42</f>
        <v>1679</v>
      </c>
      <c r="EE325" s="16">
        <f t="shared" si="382"/>
        <v>7</v>
      </c>
      <c r="EF325" s="16">
        <f>1630+42</f>
        <v>1672</v>
      </c>
      <c r="EG325" s="16">
        <f>1567+39</f>
        <v>1606</v>
      </c>
      <c r="EH325" s="16">
        <f t="shared" si="379"/>
        <v>66</v>
      </c>
      <c r="EI325" s="16"/>
      <c r="EJ325" s="16"/>
      <c r="EK325" s="80">
        <v>2019</v>
      </c>
      <c r="EL325" s="81" t="s">
        <v>43</v>
      </c>
      <c r="EM325" s="15">
        <f t="shared" si="343"/>
        <v>0.74390243902439024</v>
      </c>
      <c r="EN325" s="15">
        <f t="shared" si="344"/>
        <v>0.99456521739130432</v>
      </c>
      <c r="EO325" s="15">
        <f t="shared" si="345"/>
        <v>0.74796747967479671</v>
      </c>
      <c r="EP325" s="16">
        <v>6</v>
      </c>
      <c r="EQ325" s="16">
        <v>3</v>
      </c>
      <c r="ER325" s="16">
        <v>246</v>
      </c>
      <c r="ES325" s="16">
        <f t="shared" si="380"/>
        <v>62</v>
      </c>
      <c r="ET325" s="16">
        <v>184</v>
      </c>
      <c r="EU325" s="16">
        <v>183</v>
      </c>
      <c r="EV325" s="16">
        <f t="shared" si="381"/>
        <v>1</v>
      </c>
      <c r="EW325" s="16"/>
      <c r="EX325" s="16"/>
      <c r="EY325" s="80"/>
      <c r="EZ325" s="81"/>
      <c r="FA325" s="15"/>
      <c r="FB325" s="15"/>
      <c r="FC325" s="15"/>
      <c r="FD325" s="16"/>
      <c r="FE325" s="16"/>
      <c r="FF325" s="16"/>
      <c r="FG325" s="16"/>
      <c r="FH325" s="16"/>
      <c r="FI325" s="16"/>
      <c r="FJ325" s="16"/>
      <c r="FK325" s="16"/>
      <c r="FM325" s="80"/>
      <c r="FN325" s="81"/>
      <c r="FO325" s="15"/>
      <c r="FP325" s="15"/>
      <c r="FQ325" s="15"/>
      <c r="FR325" s="16"/>
      <c r="FS325" s="16"/>
      <c r="FT325" s="16"/>
      <c r="FU325" s="16"/>
      <c r="FV325" s="16"/>
      <c r="FW325" s="16"/>
      <c r="FX325" s="16"/>
      <c r="FY325" s="16"/>
      <c r="GA325" s="80"/>
      <c r="GB325" s="81"/>
      <c r="GC325" s="15"/>
      <c r="GD325" s="15"/>
      <c r="GE325" s="15"/>
      <c r="GF325" s="16"/>
      <c r="GG325" s="16"/>
      <c r="GH325" s="16"/>
      <c r="GI325" s="16"/>
      <c r="GJ325" s="16"/>
      <c r="GK325" s="16"/>
      <c r="GL325" s="16"/>
      <c r="GM325" s="16"/>
    </row>
    <row r="326" spans="1:195" s="18" customFormat="1" ht="15" customHeight="1">
      <c r="A326" s="78">
        <v>2019</v>
      </c>
      <c r="B326" s="79" t="s">
        <v>44</v>
      </c>
      <c r="C326" s="15">
        <f t="shared" si="293"/>
        <v>0.89380335264717592</v>
      </c>
      <c r="D326" s="15">
        <f t="shared" si="294"/>
        <v>0.94664355647163534</v>
      </c>
      <c r="E326" s="15">
        <f t="shared" si="295"/>
        <v>0.94418152063337613</v>
      </c>
      <c r="F326"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830</v>
      </c>
      <c r="G326"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6.3522274792710922</v>
      </c>
      <c r="H32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22609</v>
      </c>
      <c r="I326" s="16">
        <f t="shared" si="296"/>
        <v>1262</v>
      </c>
      <c r="J32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21347</v>
      </c>
      <c r="K32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20208</v>
      </c>
      <c r="L326" s="16">
        <f t="shared" si="297"/>
        <v>1139</v>
      </c>
      <c r="M326" s="16"/>
      <c r="N326" s="16"/>
      <c r="O326" s="78">
        <v>2019</v>
      </c>
      <c r="P326" s="79" t="s">
        <v>44</v>
      </c>
      <c r="Q326" s="15">
        <f t="shared" ref="Q326:Q334" si="383">Y326/V326</f>
        <v>0.79876160990712075</v>
      </c>
      <c r="R326" s="15">
        <f t="shared" ref="R326:R334" si="384">Y326/X326</f>
        <v>0.9146908929758476</v>
      </c>
      <c r="S326" s="15">
        <f t="shared" ref="S326:S334" si="385">X326/V326</f>
        <v>0.87325851393188858</v>
      </c>
      <c r="T326" s="26">
        <v>198</v>
      </c>
      <c r="U326" s="26">
        <v>7</v>
      </c>
      <c r="V326" s="16">
        <v>5168</v>
      </c>
      <c r="W326" s="16">
        <f t="shared" si="365"/>
        <v>655</v>
      </c>
      <c r="X326" s="16">
        <v>4513</v>
      </c>
      <c r="Y326" s="16">
        <v>4128</v>
      </c>
      <c r="Z326" s="16">
        <f t="shared" si="366"/>
        <v>385</v>
      </c>
      <c r="AA326" s="16"/>
      <c r="AB326" s="16"/>
      <c r="AC326" s="78"/>
      <c r="AD326" s="79"/>
      <c r="AE326" s="15"/>
      <c r="AF326" s="15"/>
      <c r="AG326" s="15"/>
      <c r="AH326" s="15"/>
      <c r="AI326" s="15"/>
      <c r="AJ326" s="16"/>
      <c r="AK326" s="16"/>
      <c r="AL326" s="16"/>
      <c r="AM326" s="16"/>
      <c r="AN326" s="16"/>
      <c r="AO326" s="16"/>
      <c r="AP326" s="16"/>
      <c r="AQ326" s="78">
        <v>2019</v>
      </c>
      <c r="AR326" s="79" t="s">
        <v>44</v>
      </c>
      <c r="AS326" s="15">
        <f t="shared" ref="AS326:AS334" si="386">BA326/AX326</f>
        <v>0.94866732477788751</v>
      </c>
      <c r="AT326" s="15">
        <f t="shared" ref="AT326:AT334" si="387">BA326/AZ326</f>
        <v>0.96466572977313791</v>
      </c>
      <c r="AU326" s="15">
        <f t="shared" ref="AU326:AU334" si="388">AZ326/AX326</f>
        <v>0.98341559723593286</v>
      </c>
      <c r="AV326" s="16">
        <v>193</v>
      </c>
      <c r="AW326" s="16">
        <v>7</v>
      </c>
      <c r="AX326" s="16">
        <v>5065</v>
      </c>
      <c r="AY326" s="16">
        <f t="shared" si="367"/>
        <v>84</v>
      </c>
      <c r="AZ326" s="16">
        <v>4981</v>
      </c>
      <c r="BA326" s="16">
        <v>4805</v>
      </c>
      <c r="BB326" s="16">
        <f t="shared" si="368"/>
        <v>176</v>
      </c>
      <c r="BC326" s="16"/>
      <c r="BD326" s="16"/>
      <c r="BE326" s="78">
        <v>2019</v>
      </c>
      <c r="BF326" s="79" t="s">
        <v>44</v>
      </c>
      <c r="BG326" s="15">
        <f t="shared" ref="BG326:BG334" si="389">BO326/BL326</f>
        <v>0.95121951219512191</v>
      </c>
      <c r="BH326" s="15">
        <f t="shared" ref="BH326:BH334" si="390">BO326/BN326</f>
        <v>0.96050587974262258</v>
      </c>
      <c r="BI326" s="15">
        <f t="shared" ref="BI326:BI334" si="391">BN326/BL326</f>
        <v>0.99033179520984405</v>
      </c>
      <c r="BJ326" s="16">
        <v>164</v>
      </c>
      <c r="BK326" s="16">
        <v>7</v>
      </c>
      <c r="BL326" s="16">
        <v>4551</v>
      </c>
      <c r="BM326" s="16">
        <f t="shared" si="369"/>
        <v>44</v>
      </c>
      <c r="BN326" s="16">
        <v>4507</v>
      </c>
      <c r="BO326" s="16">
        <v>4329</v>
      </c>
      <c r="BP326" s="16">
        <f t="shared" si="370"/>
        <v>178</v>
      </c>
      <c r="BQ326" s="16"/>
      <c r="BR326" s="16"/>
      <c r="BS326" s="78">
        <v>2019</v>
      </c>
      <c r="BT326" s="79" t="s">
        <v>44</v>
      </c>
      <c r="BU326" s="15">
        <f t="shared" ref="BU326:BU334" si="392">CC326/BZ326</f>
        <v>0.85626643295354954</v>
      </c>
      <c r="BV326" s="15">
        <f t="shared" ref="BV326:BV334" si="393">CC326/CB326</f>
        <v>0.9173708920187793</v>
      </c>
      <c r="BW326" s="15">
        <f t="shared" ref="BW326:BW334" si="394">CB326/BZ326</f>
        <v>0.9333917616126205</v>
      </c>
      <c r="BX326" s="16">
        <v>83</v>
      </c>
      <c r="BY326" s="16">
        <v>7</v>
      </c>
      <c r="BZ326" s="16">
        <v>2282</v>
      </c>
      <c r="CA326" s="16">
        <f t="shared" si="371"/>
        <v>152</v>
      </c>
      <c r="CB326" s="16">
        <v>2130</v>
      </c>
      <c r="CC326" s="16">
        <v>1954</v>
      </c>
      <c r="CD326" s="16">
        <f t="shared" si="372"/>
        <v>176</v>
      </c>
      <c r="CE326" s="16"/>
      <c r="CF326" s="16"/>
      <c r="CG326" s="78">
        <v>2019</v>
      </c>
      <c r="CH326" s="79" t="s">
        <v>44</v>
      </c>
      <c r="CI326" s="15">
        <f t="shared" ref="CI326:CI334" si="395">CQ326/CN326</f>
        <v>0.83468559837728196</v>
      </c>
      <c r="CJ326" s="15">
        <f t="shared" ref="CJ326:CJ334" si="396">CQ326/CP326</f>
        <v>0.93575895395110853</v>
      </c>
      <c r="CK326" s="15">
        <f t="shared" ref="CK326:CK334" si="397">CP326/CN326</f>
        <v>0.89198782961460443</v>
      </c>
      <c r="CL326" s="16">
        <v>72</v>
      </c>
      <c r="CM326" s="16">
        <v>7</v>
      </c>
      <c r="CN326" s="16">
        <v>1972</v>
      </c>
      <c r="CO326" s="16">
        <f t="shared" si="373"/>
        <v>213</v>
      </c>
      <c r="CP326" s="16">
        <v>1759</v>
      </c>
      <c r="CQ326" s="16">
        <v>1646</v>
      </c>
      <c r="CR326" s="16">
        <f t="shared" si="374"/>
        <v>113</v>
      </c>
      <c r="CS326" s="16"/>
      <c r="CT326" s="16"/>
      <c r="CU326" s="78">
        <v>2019</v>
      </c>
      <c r="CV326" s="79" t="s">
        <v>44</v>
      </c>
      <c r="CW326" s="15">
        <f t="shared" ref="CW326:CW334" si="398">DE326/DB326</f>
        <v>0.96835443037974689</v>
      </c>
      <c r="CX326" s="15">
        <f t="shared" ref="CX326:CX334" si="399">DE326/DD326</f>
        <v>0.98076923076923073</v>
      </c>
      <c r="CY326" s="15">
        <f t="shared" ref="CY326:CY334" si="400">DD326/DB326</f>
        <v>0.98734177215189878</v>
      </c>
      <c r="CZ326" s="16">
        <v>37</v>
      </c>
      <c r="DA326" s="16">
        <v>3</v>
      </c>
      <c r="DB326" s="16">
        <v>1106</v>
      </c>
      <c r="DC326" s="16">
        <f t="shared" si="375"/>
        <v>14</v>
      </c>
      <c r="DD326" s="16">
        <v>1092</v>
      </c>
      <c r="DE326" s="16">
        <v>1071</v>
      </c>
      <c r="DF326" s="16">
        <f t="shared" si="376"/>
        <v>21</v>
      </c>
      <c r="DG326" s="16"/>
      <c r="DH326" s="16"/>
      <c r="DI326" s="78">
        <v>2019</v>
      </c>
      <c r="DJ326" s="79" t="s">
        <v>44</v>
      </c>
      <c r="DK326" s="15">
        <f>DS326/DP326</f>
        <v>0.96666666666666667</v>
      </c>
      <c r="DL326" s="15">
        <f>DS326/DR326</f>
        <v>0.97972972972972971</v>
      </c>
      <c r="DM326" s="15">
        <f>DR326/DP326</f>
        <v>0.98666666666666669</v>
      </c>
      <c r="DN326" s="16">
        <v>20</v>
      </c>
      <c r="DO326" s="16">
        <v>3</v>
      </c>
      <c r="DP326" s="16">
        <v>600</v>
      </c>
      <c r="DQ326" s="16">
        <f t="shared" si="377"/>
        <v>8</v>
      </c>
      <c r="DR326" s="16">
        <v>592</v>
      </c>
      <c r="DS326" s="16">
        <v>580</v>
      </c>
      <c r="DT326" s="16">
        <f t="shared" si="378"/>
        <v>12</v>
      </c>
      <c r="DU326" s="16"/>
      <c r="DV326" s="16"/>
      <c r="DW326" s="78">
        <v>2019</v>
      </c>
      <c r="DX326" s="79" t="s">
        <v>44</v>
      </c>
      <c r="DY326" s="15">
        <f t="shared" ref="DY326:DY334" si="401">EG326/ED326</f>
        <v>0.94856093080220449</v>
      </c>
      <c r="DZ326" s="15">
        <f t="shared" ref="DZ326:DZ334" si="402">EG326/EF326</f>
        <v>0.95205900430239709</v>
      </c>
      <c r="EA326" s="15">
        <f t="shared" ref="EA326:EA334" si="403">EF326/ED326</f>
        <v>0.99632578077158607</v>
      </c>
      <c r="EB326" s="16">
        <v>57</v>
      </c>
      <c r="EC326" s="16">
        <v>3</v>
      </c>
      <c r="ED326" s="16">
        <f>1591+42</f>
        <v>1633</v>
      </c>
      <c r="EE326" s="16">
        <f t="shared" si="382"/>
        <v>6</v>
      </c>
      <c r="EF326" s="16">
        <f>1585+42</f>
        <v>1627</v>
      </c>
      <c r="EG326" s="16">
        <f>1510+39</f>
        <v>1549</v>
      </c>
      <c r="EH326" s="16">
        <f t="shared" si="379"/>
        <v>78</v>
      </c>
      <c r="EI326" s="16"/>
      <c r="EJ326" s="16"/>
      <c r="EK326" s="78">
        <v>2019</v>
      </c>
      <c r="EL326" s="79" t="s">
        <v>44</v>
      </c>
      <c r="EM326" s="15">
        <f t="shared" ref="EM326:EM332" si="404">EU326/ER326</f>
        <v>0.62931034482758619</v>
      </c>
      <c r="EN326" s="15">
        <f t="shared" ref="EN326:EN332" si="405">EU326/ET326</f>
        <v>1</v>
      </c>
      <c r="EO326" s="15">
        <f t="shared" ref="EO326:EO332" si="406">ET326/ER326</f>
        <v>0.62931034482758619</v>
      </c>
      <c r="EP326" s="16">
        <v>6</v>
      </c>
      <c r="EQ326" s="16">
        <v>3</v>
      </c>
      <c r="ER326" s="16">
        <v>232</v>
      </c>
      <c r="ES326" s="16">
        <f t="shared" si="380"/>
        <v>86</v>
      </c>
      <c r="ET326" s="16">
        <v>146</v>
      </c>
      <c r="EU326" s="16">
        <v>146</v>
      </c>
      <c r="EV326" s="16">
        <f t="shared" si="381"/>
        <v>0</v>
      </c>
      <c r="EW326" s="16"/>
      <c r="EX326" s="16"/>
      <c r="EY326" s="78"/>
      <c r="EZ326" s="79"/>
      <c r="FA326" s="15"/>
      <c r="FB326" s="15"/>
      <c r="FC326" s="15"/>
      <c r="FD326" s="16"/>
      <c r="FE326" s="16"/>
      <c r="FF326" s="16"/>
      <c r="FG326" s="16"/>
      <c r="FH326" s="16"/>
      <c r="FI326" s="16"/>
      <c r="FJ326" s="16"/>
      <c r="FK326" s="16"/>
      <c r="FM326" s="78"/>
      <c r="FN326" s="79"/>
      <c r="FO326" s="15"/>
      <c r="FP326" s="15"/>
      <c r="FQ326" s="15"/>
      <c r="FR326" s="16"/>
      <c r="FS326" s="16"/>
      <c r="FT326" s="16"/>
      <c r="FU326" s="16"/>
      <c r="FV326" s="16"/>
      <c r="FW326" s="16"/>
      <c r="FX326" s="16"/>
      <c r="FY326" s="16"/>
      <c r="GA326" s="78"/>
      <c r="GB326" s="79"/>
      <c r="GC326" s="15"/>
      <c r="GD326" s="15"/>
      <c r="GE326" s="15"/>
      <c r="GF326" s="16"/>
      <c r="GG326" s="16"/>
      <c r="GH326" s="16"/>
      <c r="GI326" s="16"/>
      <c r="GJ326" s="16"/>
      <c r="GK326" s="16"/>
      <c r="GL326" s="16"/>
      <c r="GM326" s="16"/>
    </row>
    <row r="327" spans="1:195" s="18" customFormat="1" ht="15" customHeight="1">
      <c r="A327" s="84">
        <v>2019</v>
      </c>
      <c r="B327" s="85" t="s">
        <v>45</v>
      </c>
      <c r="C327" s="15">
        <f t="shared" ref="C327:C341" si="407">K327/H327</f>
        <v>0.89791391152254596</v>
      </c>
      <c r="D327" s="15">
        <f t="shared" ref="D327:D341" si="408">K327/J327</f>
        <v>0.95650988411724613</v>
      </c>
      <c r="E327" s="15">
        <f t="shared" ref="E327:E341" si="409">J327/H327</f>
        <v>0.93873981485431512</v>
      </c>
      <c r="F327"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830</v>
      </c>
      <c r="G327"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6.375414678482163</v>
      </c>
      <c r="H32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23441</v>
      </c>
      <c r="I327" s="16">
        <f t="shared" ref="I327:I341" si="410">H327-J327</f>
        <v>1436</v>
      </c>
      <c r="J32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22005</v>
      </c>
      <c r="K32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21048</v>
      </c>
      <c r="L327" s="16">
        <f t="shared" ref="L327:L341" si="411">J327-K327</f>
        <v>957</v>
      </c>
      <c r="M327" s="16"/>
      <c r="N327" s="16"/>
      <c r="O327" s="84">
        <v>2019</v>
      </c>
      <c r="P327" s="85" t="s">
        <v>45</v>
      </c>
      <c r="Q327" s="15">
        <f t="shared" si="383"/>
        <v>0.88073052553112186</v>
      </c>
      <c r="R327" s="15">
        <f t="shared" si="384"/>
        <v>0.95494039199838354</v>
      </c>
      <c r="S327" s="15">
        <f t="shared" si="385"/>
        <v>0.92228848304137157</v>
      </c>
      <c r="T327" s="26">
        <v>198</v>
      </c>
      <c r="U327" s="26">
        <v>7</v>
      </c>
      <c r="V327" s="16">
        <v>5366</v>
      </c>
      <c r="W327" s="16">
        <f t="shared" si="365"/>
        <v>417</v>
      </c>
      <c r="X327" s="16">
        <v>4949</v>
      </c>
      <c r="Y327" s="16">
        <v>4726</v>
      </c>
      <c r="Z327" s="16">
        <f t="shared" si="366"/>
        <v>223</v>
      </c>
      <c r="AA327" s="16"/>
      <c r="AB327" s="16"/>
      <c r="AC327" s="84"/>
      <c r="AD327" s="85"/>
      <c r="AE327" s="15"/>
      <c r="AF327" s="15"/>
      <c r="AG327" s="15"/>
      <c r="AH327" s="15"/>
      <c r="AI327" s="15"/>
      <c r="AJ327" s="16"/>
      <c r="AK327" s="16"/>
      <c r="AL327" s="16"/>
      <c r="AM327" s="16"/>
      <c r="AN327" s="16"/>
      <c r="AO327" s="16"/>
      <c r="AP327" s="16"/>
      <c r="AQ327" s="84">
        <v>2019</v>
      </c>
      <c r="AR327" s="85" t="s">
        <v>45</v>
      </c>
      <c r="AS327" s="15">
        <f t="shared" si="386"/>
        <v>0.95625713198934958</v>
      </c>
      <c r="AT327" s="15">
        <f t="shared" si="387"/>
        <v>0.97196984341774595</v>
      </c>
      <c r="AU327" s="15">
        <f t="shared" si="388"/>
        <v>0.98383415747432479</v>
      </c>
      <c r="AV327" s="16">
        <v>193</v>
      </c>
      <c r="AW327" s="16">
        <v>7</v>
      </c>
      <c r="AX327" s="16">
        <v>5258</v>
      </c>
      <c r="AY327" s="16">
        <f t="shared" si="367"/>
        <v>85</v>
      </c>
      <c r="AZ327" s="16">
        <v>5173</v>
      </c>
      <c r="BA327" s="16">
        <v>5028</v>
      </c>
      <c r="BB327" s="16">
        <f t="shared" si="368"/>
        <v>145</v>
      </c>
      <c r="BC327" s="16"/>
      <c r="BD327" s="16"/>
      <c r="BE327" s="84">
        <v>2019</v>
      </c>
      <c r="BF327" s="85" t="s">
        <v>45</v>
      </c>
      <c r="BG327" s="15">
        <f t="shared" si="389"/>
        <v>0.92239185750636132</v>
      </c>
      <c r="BH327" s="15">
        <f t="shared" si="390"/>
        <v>0.96260234565169289</v>
      </c>
      <c r="BI327" s="15">
        <f t="shared" si="391"/>
        <v>0.95822731128074634</v>
      </c>
      <c r="BJ327" s="16">
        <v>164</v>
      </c>
      <c r="BK327" s="16">
        <v>7</v>
      </c>
      <c r="BL327" s="16">
        <v>4716</v>
      </c>
      <c r="BM327" s="16">
        <f t="shared" si="369"/>
        <v>197</v>
      </c>
      <c r="BN327" s="16">
        <v>4519</v>
      </c>
      <c r="BO327" s="16">
        <v>4350</v>
      </c>
      <c r="BP327" s="16">
        <f t="shared" si="370"/>
        <v>169</v>
      </c>
      <c r="BQ327" s="16"/>
      <c r="BR327" s="16"/>
      <c r="BS327" s="84">
        <v>2019</v>
      </c>
      <c r="BT327" s="85" t="s">
        <v>45</v>
      </c>
      <c r="BU327" s="15">
        <f t="shared" si="392"/>
        <v>0.82156448202959831</v>
      </c>
      <c r="BV327" s="15">
        <f t="shared" si="393"/>
        <v>0.91998106060606055</v>
      </c>
      <c r="BW327" s="15">
        <f t="shared" si="394"/>
        <v>0.89302325581395348</v>
      </c>
      <c r="BX327" s="16">
        <v>83</v>
      </c>
      <c r="BY327" s="16">
        <v>7</v>
      </c>
      <c r="BZ327" s="16">
        <v>2365</v>
      </c>
      <c r="CA327" s="16">
        <f t="shared" si="371"/>
        <v>253</v>
      </c>
      <c r="CB327" s="16">
        <v>2112</v>
      </c>
      <c r="CC327" s="16">
        <v>1943</v>
      </c>
      <c r="CD327" s="16">
        <f t="shared" si="372"/>
        <v>169</v>
      </c>
      <c r="CE327" s="16"/>
      <c r="CF327" s="16"/>
      <c r="CG327" s="84">
        <v>2019</v>
      </c>
      <c r="CH327" s="85" t="s">
        <v>45</v>
      </c>
      <c r="CI327" s="15">
        <f t="shared" si="395"/>
        <v>0.82827788649706457</v>
      </c>
      <c r="CJ327" s="15">
        <f t="shared" si="396"/>
        <v>0.93226872246696035</v>
      </c>
      <c r="CK327" s="15">
        <f t="shared" si="397"/>
        <v>0.88845401174168293</v>
      </c>
      <c r="CL327" s="16">
        <v>72</v>
      </c>
      <c r="CM327" s="16">
        <v>7</v>
      </c>
      <c r="CN327" s="16">
        <v>2044</v>
      </c>
      <c r="CO327" s="16">
        <f t="shared" si="373"/>
        <v>228</v>
      </c>
      <c r="CP327" s="16">
        <v>1816</v>
      </c>
      <c r="CQ327" s="16">
        <v>1693</v>
      </c>
      <c r="CR327" s="16">
        <f t="shared" si="374"/>
        <v>123</v>
      </c>
      <c r="CS327" s="16"/>
      <c r="CT327" s="16"/>
      <c r="CU327" s="84">
        <v>2019</v>
      </c>
      <c r="CV327" s="85" t="s">
        <v>45</v>
      </c>
      <c r="CW327" s="15">
        <f t="shared" si="398"/>
        <v>0.97022767075306482</v>
      </c>
      <c r="CX327" s="15">
        <f t="shared" si="399"/>
        <v>0.98752228163992872</v>
      </c>
      <c r="CY327" s="15">
        <f t="shared" si="400"/>
        <v>0.98248686514886163</v>
      </c>
      <c r="CZ327" s="16">
        <v>37</v>
      </c>
      <c r="DA327" s="16">
        <v>3</v>
      </c>
      <c r="DB327" s="16">
        <v>1142</v>
      </c>
      <c r="DC327" s="16">
        <f t="shared" si="375"/>
        <v>20</v>
      </c>
      <c r="DD327" s="16">
        <v>1122</v>
      </c>
      <c r="DE327" s="16">
        <v>1108</v>
      </c>
      <c r="DF327" s="16">
        <f t="shared" si="376"/>
        <v>14</v>
      </c>
      <c r="DG327" s="16"/>
      <c r="DH327" s="16"/>
      <c r="DI327" s="84">
        <v>2019</v>
      </c>
      <c r="DJ327" s="85" t="s">
        <v>45</v>
      </c>
      <c r="DK327" s="15">
        <f>DS327/DP327</f>
        <v>0.69838709677419353</v>
      </c>
      <c r="DL327" s="15">
        <f>DS327/DR327</f>
        <v>0.9622222222222222</v>
      </c>
      <c r="DM327" s="15">
        <f>DR327/DP327</f>
        <v>0.72580645161290325</v>
      </c>
      <c r="DN327" s="16">
        <v>20</v>
      </c>
      <c r="DO327" s="16">
        <v>3</v>
      </c>
      <c r="DP327" s="16">
        <v>620</v>
      </c>
      <c r="DQ327" s="16">
        <f t="shared" si="377"/>
        <v>170</v>
      </c>
      <c r="DR327" s="16">
        <v>450</v>
      </c>
      <c r="DS327" s="16">
        <v>433</v>
      </c>
      <c r="DT327" s="16">
        <f t="shared" si="378"/>
        <v>17</v>
      </c>
      <c r="DU327" s="19" t="s">
        <v>67</v>
      </c>
      <c r="DV327" s="16"/>
      <c r="DW327" s="84">
        <v>2019</v>
      </c>
      <c r="DX327" s="85" t="s">
        <v>45</v>
      </c>
      <c r="DY327" s="15">
        <f t="shared" si="401"/>
        <v>0.93676122931442085</v>
      </c>
      <c r="DZ327" s="15">
        <f t="shared" si="402"/>
        <v>0.94345238095238093</v>
      </c>
      <c r="EA327" s="15">
        <f t="shared" si="403"/>
        <v>0.99290780141843971</v>
      </c>
      <c r="EB327" s="16">
        <v>57</v>
      </c>
      <c r="EC327" s="16">
        <v>3</v>
      </c>
      <c r="ED327" s="16">
        <f>1648+44</f>
        <v>1692</v>
      </c>
      <c r="EE327" s="16">
        <f t="shared" si="382"/>
        <v>12</v>
      </c>
      <c r="EF327" s="16">
        <f>1636+44</f>
        <v>1680</v>
      </c>
      <c r="EG327" s="16">
        <f>1543+42</f>
        <v>1585</v>
      </c>
      <c r="EH327" s="16">
        <f t="shared" si="379"/>
        <v>95</v>
      </c>
      <c r="EI327" s="16"/>
      <c r="EJ327" s="16"/>
      <c r="EK327" s="84">
        <v>2019</v>
      </c>
      <c r="EL327" s="85" t="s">
        <v>45</v>
      </c>
      <c r="EM327" s="15">
        <f t="shared" si="404"/>
        <v>0.76470588235294112</v>
      </c>
      <c r="EN327" s="15">
        <f t="shared" si="405"/>
        <v>0.98913043478260865</v>
      </c>
      <c r="EO327" s="15">
        <f t="shared" si="406"/>
        <v>0.77310924369747902</v>
      </c>
      <c r="EP327" s="16">
        <v>6</v>
      </c>
      <c r="EQ327" s="16">
        <v>3</v>
      </c>
      <c r="ER327" s="16">
        <v>238</v>
      </c>
      <c r="ES327" s="16">
        <f t="shared" si="380"/>
        <v>54</v>
      </c>
      <c r="ET327" s="16">
        <v>184</v>
      </c>
      <c r="EU327" s="16">
        <v>182</v>
      </c>
      <c r="EV327" s="16">
        <f t="shared" si="381"/>
        <v>2</v>
      </c>
      <c r="EW327" s="16"/>
      <c r="EX327" s="16"/>
      <c r="EY327" s="84"/>
      <c r="EZ327" s="85"/>
      <c r="FA327" s="15"/>
      <c r="FB327" s="15"/>
      <c r="FC327" s="15"/>
      <c r="FD327" s="16"/>
      <c r="FE327" s="16"/>
      <c r="FF327" s="16"/>
      <c r="FG327" s="16"/>
      <c r="FH327" s="16"/>
      <c r="FI327" s="16"/>
      <c r="FJ327" s="16"/>
      <c r="FK327" s="16"/>
      <c r="FM327" s="84"/>
      <c r="FN327" s="85"/>
      <c r="FO327" s="15"/>
      <c r="FP327" s="15"/>
      <c r="FQ327" s="15"/>
      <c r="FR327" s="16"/>
      <c r="FS327" s="16"/>
      <c r="FT327" s="16"/>
      <c r="FU327" s="16"/>
      <c r="FV327" s="16"/>
      <c r="FW327" s="16"/>
      <c r="FX327" s="16"/>
      <c r="FY327" s="16"/>
      <c r="GA327" s="84"/>
      <c r="GB327" s="85"/>
      <c r="GC327" s="15"/>
      <c r="GD327" s="15"/>
      <c r="GE327" s="15"/>
      <c r="GF327" s="16"/>
      <c r="GG327" s="16"/>
      <c r="GH327" s="16"/>
      <c r="GI327" s="16"/>
      <c r="GJ327" s="16"/>
      <c r="GK327" s="16"/>
      <c r="GL327" s="16"/>
      <c r="GM327" s="16"/>
    </row>
    <row r="328" spans="1:195" s="18" customFormat="1" ht="15" customHeight="1">
      <c r="A328" s="84">
        <v>2019</v>
      </c>
      <c r="B328" s="85" t="s">
        <v>46</v>
      </c>
      <c r="C328" s="15">
        <f t="shared" si="407"/>
        <v>0.8645184913950934</v>
      </c>
      <c r="D328" s="15">
        <f t="shared" si="408"/>
        <v>0.92838535266650279</v>
      </c>
      <c r="E328" s="15">
        <f t="shared" si="409"/>
        <v>0.9312065177590626</v>
      </c>
      <c r="F328"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28"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6.4485131481936593</v>
      </c>
      <c r="H32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21848</v>
      </c>
      <c r="I328" s="16">
        <f t="shared" si="410"/>
        <v>1503</v>
      </c>
      <c r="J32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20345</v>
      </c>
      <c r="K32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18888</v>
      </c>
      <c r="L328" s="16">
        <f t="shared" si="411"/>
        <v>1457</v>
      </c>
      <c r="M328" s="16"/>
      <c r="N328" s="16"/>
      <c r="O328" s="84">
        <v>2019</v>
      </c>
      <c r="P328" s="85" t="s">
        <v>46</v>
      </c>
      <c r="Q328" s="15">
        <f t="shared" si="383"/>
        <v>0.84442270058708413</v>
      </c>
      <c r="R328" s="15">
        <f t="shared" si="384"/>
        <v>0.90746582544689802</v>
      </c>
      <c r="S328" s="15">
        <f t="shared" si="385"/>
        <v>0.93052837573385516</v>
      </c>
      <c r="T328" s="26">
        <v>198</v>
      </c>
      <c r="U328" s="26">
        <v>7</v>
      </c>
      <c r="V328" s="16">
        <v>5110</v>
      </c>
      <c r="W328" s="16">
        <f t="shared" si="365"/>
        <v>355</v>
      </c>
      <c r="X328" s="16">
        <v>4755</v>
      </c>
      <c r="Y328" s="16">
        <v>4315</v>
      </c>
      <c r="Z328" s="16">
        <f t="shared" si="366"/>
        <v>440</v>
      </c>
      <c r="AA328" s="16"/>
      <c r="AB328" s="16"/>
      <c r="AC328" s="84"/>
      <c r="AD328" s="85"/>
      <c r="AE328" s="15"/>
      <c r="AF328" s="15"/>
      <c r="AG328" s="15"/>
      <c r="AH328" s="15"/>
      <c r="AI328" s="15"/>
      <c r="AJ328" s="16"/>
      <c r="AK328" s="16"/>
      <c r="AL328" s="16"/>
      <c r="AM328" s="16"/>
      <c r="AN328" s="16"/>
      <c r="AO328" s="16"/>
      <c r="AP328" s="16"/>
      <c r="AQ328" s="84">
        <v>2019</v>
      </c>
      <c r="AR328" s="85" t="s">
        <v>46</v>
      </c>
      <c r="AS328" s="15">
        <f t="shared" si="386"/>
        <v>0.89321357285429137</v>
      </c>
      <c r="AT328" s="15">
        <f t="shared" si="387"/>
        <v>0.94508975712777188</v>
      </c>
      <c r="AU328" s="15">
        <f t="shared" si="388"/>
        <v>0.94510978043912175</v>
      </c>
      <c r="AV328" s="16">
        <v>193</v>
      </c>
      <c r="AW328" s="16">
        <v>7</v>
      </c>
      <c r="AX328" s="16">
        <v>5010</v>
      </c>
      <c r="AY328" s="16">
        <f t="shared" si="367"/>
        <v>275</v>
      </c>
      <c r="AZ328" s="16">
        <v>4735</v>
      </c>
      <c r="BA328" s="16">
        <v>4475</v>
      </c>
      <c r="BB328" s="16">
        <f t="shared" si="368"/>
        <v>260</v>
      </c>
      <c r="BC328" s="16"/>
      <c r="BD328" s="16"/>
      <c r="BE328" s="84">
        <v>2019</v>
      </c>
      <c r="BF328" s="85" t="s">
        <v>46</v>
      </c>
      <c r="BG328" s="15">
        <f t="shared" si="389"/>
        <v>0.87373068432671086</v>
      </c>
      <c r="BH328" s="15">
        <f t="shared" si="390"/>
        <v>0.94961612284069097</v>
      </c>
      <c r="BI328" s="15">
        <f t="shared" si="391"/>
        <v>0.9200883002207505</v>
      </c>
      <c r="BJ328" s="16">
        <v>164</v>
      </c>
      <c r="BK328" s="16">
        <v>7</v>
      </c>
      <c r="BL328" s="16">
        <v>4530</v>
      </c>
      <c r="BM328" s="16">
        <f t="shared" si="369"/>
        <v>362</v>
      </c>
      <c r="BN328" s="16">
        <v>4168</v>
      </c>
      <c r="BO328" s="16">
        <v>3958</v>
      </c>
      <c r="BP328" s="16">
        <f t="shared" si="370"/>
        <v>210</v>
      </c>
      <c r="BQ328" s="16"/>
      <c r="BR328" s="16"/>
      <c r="BS328" s="84">
        <v>2019</v>
      </c>
      <c r="BT328" s="85" t="s">
        <v>46</v>
      </c>
      <c r="BU328" s="15">
        <f t="shared" si="392"/>
        <v>0.83941926968763747</v>
      </c>
      <c r="BV328" s="15">
        <f t="shared" si="393"/>
        <v>0.90469416785206258</v>
      </c>
      <c r="BW328" s="15">
        <f t="shared" si="394"/>
        <v>0.92784865816102069</v>
      </c>
      <c r="BX328" s="16">
        <v>83</v>
      </c>
      <c r="BY328" s="16">
        <v>7</v>
      </c>
      <c r="BZ328" s="16">
        <v>2273</v>
      </c>
      <c r="CA328" s="16">
        <f t="shared" si="371"/>
        <v>164</v>
      </c>
      <c r="CB328" s="16">
        <v>2109</v>
      </c>
      <c r="CC328" s="16">
        <v>1908</v>
      </c>
      <c r="CD328" s="16">
        <f t="shared" si="372"/>
        <v>201</v>
      </c>
      <c r="CE328" s="16"/>
      <c r="CF328" s="16"/>
      <c r="CG328" s="84">
        <v>2019</v>
      </c>
      <c r="CH328" s="85" t="s">
        <v>46</v>
      </c>
      <c r="CI328" s="15">
        <f t="shared" si="395"/>
        <v>0.82499999999999996</v>
      </c>
      <c r="CJ328" s="15">
        <f t="shared" si="396"/>
        <v>0.91201353637901861</v>
      </c>
      <c r="CK328" s="15">
        <f t="shared" si="397"/>
        <v>0.9045918367346939</v>
      </c>
      <c r="CL328" s="16">
        <v>72</v>
      </c>
      <c r="CM328" s="16">
        <v>7</v>
      </c>
      <c r="CN328" s="16">
        <v>1960</v>
      </c>
      <c r="CO328" s="16">
        <f t="shared" si="373"/>
        <v>187</v>
      </c>
      <c r="CP328" s="16">
        <v>1773</v>
      </c>
      <c r="CQ328" s="16">
        <v>1617</v>
      </c>
      <c r="CR328" s="16">
        <f t="shared" si="374"/>
        <v>156</v>
      </c>
      <c r="CS328" s="16"/>
      <c r="CT328" s="16"/>
      <c r="CU328" s="84">
        <v>2019</v>
      </c>
      <c r="CV328" s="85" t="s">
        <v>46</v>
      </c>
      <c r="CW328" s="15">
        <f t="shared" si="398"/>
        <v>0.93484162895927603</v>
      </c>
      <c r="CX328" s="15">
        <f t="shared" si="399"/>
        <v>0.97821969696969702</v>
      </c>
      <c r="CY328" s="15">
        <f t="shared" si="400"/>
        <v>0.95565610859728511</v>
      </c>
      <c r="CZ328" s="16">
        <v>37</v>
      </c>
      <c r="DA328" s="16">
        <v>3</v>
      </c>
      <c r="DB328" s="16">
        <v>1105</v>
      </c>
      <c r="DC328" s="16">
        <f t="shared" si="375"/>
        <v>49</v>
      </c>
      <c r="DD328" s="16">
        <v>1056</v>
      </c>
      <c r="DE328" s="16">
        <v>1033</v>
      </c>
      <c r="DF328" s="16">
        <f t="shared" si="376"/>
        <v>23</v>
      </c>
      <c r="DG328" s="16"/>
      <c r="DH328" s="16"/>
      <c r="DI328" s="84">
        <v>2019</v>
      </c>
      <c r="DJ328" s="85" t="s">
        <v>46</v>
      </c>
      <c r="DK328" s="15"/>
      <c r="DL328" s="15"/>
      <c r="DM328" s="15"/>
      <c r="DN328" s="16"/>
      <c r="DO328" s="16"/>
      <c r="DP328" s="16"/>
      <c r="DQ328" s="16"/>
      <c r="DR328" s="16"/>
      <c r="DS328" s="16"/>
      <c r="DT328" s="16"/>
      <c r="DU328" s="19" t="s">
        <v>67</v>
      </c>
      <c r="DV328" s="16"/>
      <c r="DW328" s="84">
        <v>2019</v>
      </c>
      <c r="DX328" s="85" t="s">
        <v>46</v>
      </c>
      <c r="DY328" s="15">
        <f t="shared" si="401"/>
        <v>0.84506172839506177</v>
      </c>
      <c r="DZ328" s="15">
        <f t="shared" si="402"/>
        <v>0.89418680600914435</v>
      </c>
      <c r="EA328" s="15">
        <f t="shared" si="403"/>
        <v>0.94506172839506175</v>
      </c>
      <c r="EB328" s="16">
        <v>57</v>
      </c>
      <c r="EC328" s="16">
        <v>3</v>
      </c>
      <c r="ED328" s="16">
        <f>1580+40</f>
        <v>1620</v>
      </c>
      <c r="EE328" s="16">
        <f t="shared" si="382"/>
        <v>89</v>
      </c>
      <c r="EF328" s="16">
        <f>1494+37</f>
        <v>1531</v>
      </c>
      <c r="EG328" s="16">
        <f>1334+35</f>
        <v>1369</v>
      </c>
      <c r="EH328" s="16">
        <f t="shared" si="379"/>
        <v>162</v>
      </c>
      <c r="EI328" s="16"/>
      <c r="EJ328" s="16"/>
      <c r="EK328" s="84">
        <v>2019</v>
      </c>
      <c r="EL328" s="85" t="s">
        <v>46</v>
      </c>
      <c r="EM328" s="15">
        <f t="shared" si="404"/>
        <v>0.88749999999999996</v>
      </c>
      <c r="EN328" s="15">
        <f t="shared" si="405"/>
        <v>0.97706422018348627</v>
      </c>
      <c r="EO328" s="15">
        <f t="shared" si="406"/>
        <v>0.90833333333333333</v>
      </c>
      <c r="EP328" s="16">
        <v>6</v>
      </c>
      <c r="EQ328" s="16">
        <v>3</v>
      </c>
      <c r="ER328" s="16">
        <v>240</v>
      </c>
      <c r="ES328" s="16">
        <f t="shared" si="380"/>
        <v>22</v>
      </c>
      <c r="ET328" s="16">
        <v>218</v>
      </c>
      <c r="EU328" s="16">
        <v>213</v>
      </c>
      <c r="EV328" s="16">
        <f t="shared" si="381"/>
        <v>5</v>
      </c>
      <c r="EW328" s="16"/>
      <c r="EX328" s="16"/>
      <c r="EY328" s="84"/>
      <c r="EZ328" s="85"/>
      <c r="FA328" s="15"/>
      <c r="FB328" s="15"/>
      <c r="FC328" s="15"/>
      <c r="FD328" s="16"/>
      <c r="FE328" s="16"/>
      <c r="FF328" s="16"/>
      <c r="FG328" s="16"/>
      <c r="FH328" s="16"/>
      <c r="FI328" s="16"/>
      <c r="FJ328" s="16"/>
      <c r="FK328" s="16"/>
      <c r="FM328" s="84"/>
      <c r="FN328" s="85"/>
      <c r="FO328" s="15"/>
      <c r="FP328" s="15"/>
      <c r="FQ328" s="15"/>
      <c r="FR328" s="16"/>
      <c r="FS328" s="16"/>
      <c r="FT328" s="16"/>
      <c r="FU328" s="16"/>
      <c r="FV328" s="16"/>
      <c r="FW328" s="16"/>
      <c r="FX328" s="16"/>
      <c r="FY328" s="16"/>
      <c r="GA328" s="84"/>
      <c r="GB328" s="85"/>
      <c r="GC328" s="15"/>
      <c r="GD328" s="15"/>
      <c r="GE328" s="15"/>
      <c r="GF328" s="16"/>
      <c r="GG328" s="16"/>
      <c r="GH328" s="16"/>
      <c r="GI328" s="16"/>
      <c r="GJ328" s="16"/>
      <c r="GK328" s="16"/>
      <c r="GL328" s="16"/>
      <c r="GM328" s="16"/>
    </row>
    <row r="329" spans="1:195" s="18" customFormat="1" ht="15" customHeight="1">
      <c r="A329" s="84">
        <v>2019</v>
      </c>
      <c r="B329" s="85" t="s">
        <v>47</v>
      </c>
      <c r="C329" s="15">
        <f t="shared" si="407"/>
        <v>0.87255560030429136</v>
      </c>
      <c r="D329" s="15">
        <f t="shared" si="408"/>
        <v>0.9341733339721171</v>
      </c>
      <c r="E329" s="15">
        <f t="shared" si="409"/>
        <v>0.93404036335973506</v>
      </c>
      <c r="F329"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29"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6.4268193359842858</v>
      </c>
      <c r="H32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22347</v>
      </c>
      <c r="I329" s="16">
        <f t="shared" si="410"/>
        <v>1474</v>
      </c>
      <c r="J32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20873</v>
      </c>
      <c r="K32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19499</v>
      </c>
      <c r="L329" s="16">
        <f t="shared" si="411"/>
        <v>1374</v>
      </c>
      <c r="M329" s="16"/>
      <c r="N329" s="16"/>
      <c r="O329" s="84">
        <v>2019</v>
      </c>
      <c r="P329" s="85" t="s">
        <v>47</v>
      </c>
      <c r="Q329" s="15">
        <f t="shared" si="383"/>
        <v>0.83469467133411124</v>
      </c>
      <c r="R329" s="15">
        <f t="shared" si="384"/>
        <v>0.90932203389830513</v>
      </c>
      <c r="S329" s="15">
        <f t="shared" si="385"/>
        <v>0.91793076623881753</v>
      </c>
      <c r="T329" s="26">
        <v>198</v>
      </c>
      <c r="U329" s="26">
        <v>7</v>
      </c>
      <c r="V329" s="16">
        <v>5142</v>
      </c>
      <c r="W329" s="16">
        <f t="shared" si="365"/>
        <v>422</v>
      </c>
      <c r="X329" s="16">
        <v>4720</v>
      </c>
      <c r="Y329" s="16">
        <v>4292</v>
      </c>
      <c r="Z329" s="16">
        <f t="shared" si="366"/>
        <v>428</v>
      </c>
      <c r="AA329" s="16"/>
      <c r="AB329" s="16"/>
      <c r="AC329" s="84"/>
      <c r="AD329" s="85"/>
      <c r="AE329" s="15"/>
      <c r="AF329" s="15"/>
      <c r="AG329" s="15"/>
      <c r="AH329" s="15"/>
      <c r="AI329" s="15"/>
      <c r="AJ329" s="16"/>
      <c r="AK329" s="16"/>
      <c r="AL329" s="16"/>
      <c r="AM329" s="16"/>
      <c r="AN329" s="16"/>
      <c r="AO329" s="16"/>
      <c r="AP329" s="16"/>
      <c r="AQ329" s="84">
        <v>2019</v>
      </c>
      <c r="AR329" s="85" t="s">
        <v>47</v>
      </c>
      <c r="AS329" s="15">
        <f t="shared" si="386"/>
        <v>0.8967780429594272</v>
      </c>
      <c r="AT329" s="15">
        <f t="shared" si="387"/>
        <v>0.95006321112515801</v>
      </c>
      <c r="AU329" s="15">
        <f t="shared" si="388"/>
        <v>0.94391408114558473</v>
      </c>
      <c r="AV329" s="16">
        <v>193</v>
      </c>
      <c r="AW329" s="16">
        <v>7</v>
      </c>
      <c r="AX329" s="16">
        <v>5028</v>
      </c>
      <c r="AY329" s="16">
        <f t="shared" si="367"/>
        <v>282</v>
      </c>
      <c r="AZ329" s="16">
        <v>4746</v>
      </c>
      <c r="BA329" s="16">
        <v>4509</v>
      </c>
      <c r="BB329" s="16">
        <f t="shared" si="368"/>
        <v>237</v>
      </c>
      <c r="BC329" s="16"/>
      <c r="BD329" s="16"/>
      <c r="BE329" s="84">
        <v>2019</v>
      </c>
      <c r="BF329" s="85" t="s">
        <v>47</v>
      </c>
      <c r="BG329" s="15">
        <f t="shared" si="389"/>
        <v>0.88994800693240905</v>
      </c>
      <c r="BH329" s="15">
        <f t="shared" si="390"/>
        <v>0.93854238062599959</v>
      </c>
      <c r="BI329" s="15">
        <f t="shared" si="391"/>
        <v>0.9482235701906413</v>
      </c>
      <c r="BJ329" s="16">
        <v>164</v>
      </c>
      <c r="BK329" s="16">
        <v>7</v>
      </c>
      <c r="BL329" s="16">
        <v>4616</v>
      </c>
      <c r="BM329" s="16">
        <f t="shared" si="369"/>
        <v>239</v>
      </c>
      <c r="BN329" s="16">
        <v>4377</v>
      </c>
      <c r="BO329" s="16">
        <v>4108</v>
      </c>
      <c r="BP329" s="16">
        <f t="shared" si="370"/>
        <v>269</v>
      </c>
      <c r="BQ329" s="16"/>
      <c r="BR329" s="16"/>
      <c r="BS329" s="84">
        <v>2019</v>
      </c>
      <c r="BT329" s="85" t="s">
        <v>47</v>
      </c>
      <c r="BU329" s="15">
        <f t="shared" si="392"/>
        <v>0.83897268650631884</v>
      </c>
      <c r="BV329" s="15">
        <f t="shared" si="393"/>
        <v>0.9183400267737617</v>
      </c>
      <c r="BW329" s="15">
        <f t="shared" si="394"/>
        <v>0.9135752140236445</v>
      </c>
      <c r="BX329" s="16">
        <v>83</v>
      </c>
      <c r="BY329" s="16">
        <v>7</v>
      </c>
      <c r="BZ329" s="16">
        <v>2453</v>
      </c>
      <c r="CA329" s="16">
        <f t="shared" si="371"/>
        <v>212</v>
      </c>
      <c r="CB329" s="16">
        <v>2241</v>
      </c>
      <c r="CC329" s="16">
        <v>2058</v>
      </c>
      <c r="CD329" s="16">
        <f t="shared" si="372"/>
        <v>183</v>
      </c>
      <c r="CE329" s="16"/>
      <c r="CF329" s="16"/>
      <c r="CG329" s="84">
        <v>2019</v>
      </c>
      <c r="CH329" s="85" t="s">
        <v>47</v>
      </c>
      <c r="CI329" s="15">
        <f t="shared" si="395"/>
        <v>0.80125725338491294</v>
      </c>
      <c r="CJ329" s="15">
        <f t="shared" si="396"/>
        <v>0.92157953281423799</v>
      </c>
      <c r="CK329" s="15">
        <f t="shared" si="397"/>
        <v>0.86943907156673117</v>
      </c>
      <c r="CL329" s="16">
        <v>72</v>
      </c>
      <c r="CM329" s="16">
        <v>7</v>
      </c>
      <c r="CN329" s="16">
        <v>2068</v>
      </c>
      <c r="CO329" s="16">
        <f t="shared" si="373"/>
        <v>270</v>
      </c>
      <c r="CP329" s="16">
        <v>1798</v>
      </c>
      <c r="CQ329" s="16">
        <v>1657</v>
      </c>
      <c r="CR329" s="16">
        <f t="shared" si="374"/>
        <v>141</v>
      </c>
      <c r="CS329" s="16"/>
      <c r="CT329" s="16"/>
      <c r="CU329" s="84">
        <v>2019</v>
      </c>
      <c r="CV329" s="85" t="s">
        <v>47</v>
      </c>
      <c r="CW329" s="15">
        <f t="shared" si="398"/>
        <v>0.98510078878177043</v>
      </c>
      <c r="CX329" s="15">
        <f t="shared" si="399"/>
        <v>0.99293286219081267</v>
      </c>
      <c r="CY329" s="15">
        <f t="shared" si="400"/>
        <v>0.99211218229623133</v>
      </c>
      <c r="CZ329" s="16">
        <v>37</v>
      </c>
      <c r="DA329" s="16">
        <v>3</v>
      </c>
      <c r="DB329" s="16">
        <v>1141</v>
      </c>
      <c r="DC329" s="16">
        <f t="shared" si="375"/>
        <v>9</v>
      </c>
      <c r="DD329" s="16">
        <v>1132</v>
      </c>
      <c r="DE329" s="16">
        <v>1124</v>
      </c>
      <c r="DF329" s="16">
        <f t="shared" si="376"/>
        <v>8</v>
      </c>
      <c r="DG329" s="16"/>
      <c r="DH329" s="16"/>
      <c r="DI329" s="84">
        <v>2019</v>
      </c>
      <c r="DJ329" s="85" t="s">
        <v>47</v>
      </c>
      <c r="DK329" s="15"/>
      <c r="DL329" s="15"/>
      <c r="DM329" s="15"/>
      <c r="DN329" s="16"/>
      <c r="DO329" s="16"/>
      <c r="DP329" s="16"/>
      <c r="DQ329" s="16"/>
      <c r="DR329" s="16"/>
      <c r="DS329" s="16"/>
      <c r="DT329" s="16"/>
      <c r="DU329" s="19" t="s">
        <v>67</v>
      </c>
      <c r="DV329" s="16"/>
      <c r="DW329" s="84">
        <v>2019</v>
      </c>
      <c r="DX329" s="85" t="s">
        <v>47</v>
      </c>
      <c r="DY329" s="15">
        <f t="shared" si="401"/>
        <v>0.91873862947240748</v>
      </c>
      <c r="DZ329" s="15">
        <f t="shared" si="402"/>
        <v>0.93924364538127714</v>
      </c>
      <c r="EA329" s="15">
        <f t="shared" si="403"/>
        <v>0.97816858702243781</v>
      </c>
      <c r="EB329" s="16">
        <v>57</v>
      </c>
      <c r="EC329" s="16">
        <v>3</v>
      </c>
      <c r="ED329" s="16">
        <f>1611+38</f>
        <v>1649</v>
      </c>
      <c r="EE329" s="16">
        <f t="shared" si="382"/>
        <v>36</v>
      </c>
      <c r="EF329" s="16">
        <f>1575+38</f>
        <v>1613</v>
      </c>
      <c r="EG329" s="16">
        <f>1481+34</f>
        <v>1515</v>
      </c>
      <c r="EH329" s="16">
        <f t="shared" si="379"/>
        <v>98</v>
      </c>
      <c r="EI329" s="16"/>
      <c r="EJ329" s="16"/>
      <c r="EK329" s="84">
        <v>2019</v>
      </c>
      <c r="EL329" s="85" t="s">
        <v>47</v>
      </c>
      <c r="EM329" s="15">
        <f t="shared" si="404"/>
        <v>0.94399999999999995</v>
      </c>
      <c r="EN329" s="15">
        <f t="shared" si="405"/>
        <v>0.95934959349593496</v>
      </c>
      <c r="EO329" s="15">
        <f t="shared" si="406"/>
        <v>0.98399999999999999</v>
      </c>
      <c r="EP329" s="16">
        <v>6</v>
      </c>
      <c r="EQ329" s="16">
        <v>3</v>
      </c>
      <c r="ER329" s="16">
        <v>250</v>
      </c>
      <c r="ES329" s="16">
        <f t="shared" si="380"/>
        <v>4</v>
      </c>
      <c r="ET329" s="16">
        <v>246</v>
      </c>
      <c r="EU329" s="16">
        <v>236</v>
      </c>
      <c r="EV329" s="16">
        <f t="shared" si="381"/>
        <v>10</v>
      </c>
      <c r="EW329" s="16"/>
      <c r="EX329" s="16"/>
      <c r="EY329" s="84"/>
      <c r="EZ329" s="85"/>
      <c r="FA329" s="15"/>
      <c r="FB329" s="15"/>
      <c r="FC329" s="15"/>
      <c r="FD329" s="16"/>
      <c r="FE329" s="16"/>
      <c r="FF329" s="16"/>
      <c r="FG329" s="16"/>
      <c r="FH329" s="16"/>
      <c r="FI329" s="16"/>
      <c r="FJ329" s="16"/>
      <c r="FK329" s="16"/>
      <c r="FM329" s="84"/>
      <c r="FN329" s="85"/>
      <c r="FO329" s="15"/>
      <c r="FP329" s="15"/>
      <c r="FQ329" s="15"/>
      <c r="FR329" s="16"/>
      <c r="FS329" s="16"/>
      <c r="FT329" s="16"/>
      <c r="FU329" s="16"/>
      <c r="FV329" s="16"/>
      <c r="FW329" s="16"/>
      <c r="FX329" s="16"/>
      <c r="FY329" s="16"/>
      <c r="GA329" s="84"/>
      <c r="GB329" s="85"/>
      <c r="GC329" s="15"/>
      <c r="GD329" s="15"/>
      <c r="GE329" s="15"/>
      <c r="GF329" s="16"/>
      <c r="GG329" s="16"/>
      <c r="GH329" s="16"/>
      <c r="GI329" s="16"/>
      <c r="GJ329" s="16"/>
      <c r="GK329" s="16"/>
      <c r="GL329" s="16"/>
      <c r="GM329" s="16"/>
    </row>
    <row r="330" spans="1:195" s="18" customFormat="1" ht="15" customHeight="1">
      <c r="A330" s="84">
        <v>2020</v>
      </c>
      <c r="B330" s="85" t="s">
        <v>36</v>
      </c>
      <c r="C330" s="15">
        <f t="shared" si="407"/>
        <v>0.933044044261228</v>
      </c>
      <c r="D330" s="15">
        <f t="shared" si="408"/>
        <v>0.96746906636670416</v>
      </c>
      <c r="E330" s="15">
        <f t="shared" si="409"/>
        <v>0.96441744413104791</v>
      </c>
      <c r="F330"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30"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6.449448818897638</v>
      </c>
      <c r="H33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23045</v>
      </c>
      <c r="I330" s="16">
        <f t="shared" si="410"/>
        <v>820</v>
      </c>
      <c r="J33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22225</v>
      </c>
      <c r="K33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21502</v>
      </c>
      <c r="L330" s="16">
        <f t="shared" si="411"/>
        <v>723</v>
      </c>
      <c r="M330" s="16"/>
      <c r="N330" s="16"/>
      <c r="O330" s="84">
        <v>2020</v>
      </c>
      <c r="P330" s="85" t="s">
        <v>36</v>
      </c>
      <c r="Q330" s="15">
        <f t="shared" si="383"/>
        <v>0.91967946328736494</v>
      </c>
      <c r="R330" s="15">
        <f t="shared" si="384"/>
        <v>0.9588109578395182</v>
      </c>
      <c r="S330" s="15">
        <f t="shared" si="385"/>
        <v>0.95918747670518079</v>
      </c>
      <c r="T330" s="26">
        <v>198</v>
      </c>
      <c r="U330" s="26">
        <v>7</v>
      </c>
      <c r="V330" s="16">
        <v>5366</v>
      </c>
      <c r="W330" s="16">
        <f t="shared" si="365"/>
        <v>219</v>
      </c>
      <c r="X330" s="16">
        <v>5147</v>
      </c>
      <c r="Y330" s="16">
        <v>4935</v>
      </c>
      <c r="Z330" s="16">
        <f t="shared" si="366"/>
        <v>212</v>
      </c>
      <c r="AA330" s="16"/>
      <c r="AB330" s="16"/>
      <c r="AC330" s="84"/>
      <c r="AD330" s="85"/>
      <c r="AE330" s="15"/>
      <c r="AF330" s="15"/>
      <c r="AG330" s="15"/>
      <c r="AH330" s="15"/>
      <c r="AI330" s="15"/>
      <c r="AJ330" s="16"/>
      <c r="AK330" s="16"/>
      <c r="AL330" s="16"/>
      <c r="AM330" s="16"/>
      <c r="AN330" s="16"/>
      <c r="AO330" s="16"/>
      <c r="AP330" s="16"/>
      <c r="AQ330" s="84">
        <v>2020</v>
      </c>
      <c r="AR330" s="85" t="s">
        <v>36</v>
      </c>
      <c r="AS330" s="15">
        <f t="shared" si="386"/>
        <v>0.95339954163483576</v>
      </c>
      <c r="AT330" s="15">
        <f t="shared" si="387"/>
        <v>0.97652582159624413</v>
      </c>
      <c r="AU330" s="15">
        <f t="shared" si="388"/>
        <v>0.97631779984721156</v>
      </c>
      <c r="AV330" s="16">
        <v>193</v>
      </c>
      <c r="AW330" s="16">
        <v>7</v>
      </c>
      <c r="AX330" s="16">
        <v>5236</v>
      </c>
      <c r="AY330" s="16">
        <f t="shared" si="367"/>
        <v>124</v>
      </c>
      <c r="AZ330" s="16">
        <v>5112</v>
      </c>
      <c r="BA330" s="16">
        <v>4992</v>
      </c>
      <c r="BB330" s="16">
        <f t="shared" si="368"/>
        <v>120</v>
      </c>
      <c r="BC330" s="16"/>
      <c r="BD330" s="16"/>
      <c r="BE330" s="84">
        <v>2020</v>
      </c>
      <c r="BF330" s="85" t="s">
        <v>36</v>
      </c>
      <c r="BG330" s="15">
        <f t="shared" si="389"/>
        <v>0.92832909245122985</v>
      </c>
      <c r="BH330" s="15">
        <f t="shared" si="390"/>
        <v>0.96772767462422637</v>
      </c>
      <c r="BI330" s="15">
        <f t="shared" si="391"/>
        <v>0.95928753180661575</v>
      </c>
      <c r="BJ330" s="16">
        <v>164</v>
      </c>
      <c r="BK330" s="16">
        <v>7</v>
      </c>
      <c r="BL330" s="16">
        <v>4716</v>
      </c>
      <c r="BM330" s="16">
        <f t="shared" si="369"/>
        <v>192</v>
      </c>
      <c r="BN330" s="16">
        <v>4524</v>
      </c>
      <c r="BO330" s="16">
        <v>4378</v>
      </c>
      <c r="BP330" s="16">
        <f t="shared" si="370"/>
        <v>146</v>
      </c>
      <c r="BQ330" s="16"/>
      <c r="BR330" s="16"/>
      <c r="BS330" s="84">
        <v>2020</v>
      </c>
      <c r="BT330" s="85" t="s">
        <v>36</v>
      </c>
      <c r="BU330" s="15">
        <f t="shared" si="392"/>
        <v>0.91385470424771731</v>
      </c>
      <c r="BV330" s="15">
        <f t="shared" si="393"/>
        <v>0.96519916142557649</v>
      </c>
      <c r="BW330" s="15">
        <f t="shared" si="394"/>
        <v>0.94680428741564115</v>
      </c>
      <c r="BX330" s="16">
        <v>83</v>
      </c>
      <c r="BY330" s="16">
        <v>7</v>
      </c>
      <c r="BZ330" s="16">
        <v>2519</v>
      </c>
      <c r="CA330" s="16">
        <f t="shared" si="371"/>
        <v>134</v>
      </c>
      <c r="CB330" s="16">
        <v>2385</v>
      </c>
      <c r="CC330" s="16">
        <v>2302</v>
      </c>
      <c r="CD330" s="16">
        <f t="shared" si="372"/>
        <v>83</v>
      </c>
      <c r="CE330" s="16"/>
      <c r="CF330" s="16"/>
      <c r="CG330" s="84">
        <v>2020</v>
      </c>
      <c r="CH330" s="85" t="s">
        <v>36</v>
      </c>
      <c r="CI330" s="15">
        <f t="shared" si="395"/>
        <v>0.90150093808630394</v>
      </c>
      <c r="CJ330" s="15">
        <f t="shared" si="396"/>
        <v>0.96196196196196193</v>
      </c>
      <c r="CK330" s="15">
        <f t="shared" si="397"/>
        <v>0.93714821763602252</v>
      </c>
      <c r="CL330" s="16">
        <v>72</v>
      </c>
      <c r="CM330" s="16">
        <v>7</v>
      </c>
      <c r="CN330" s="16">
        <v>2132</v>
      </c>
      <c r="CO330" s="16">
        <f t="shared" si="373"/>
        <v>134</v>
      </c>
      <c r="CP330" s="16">
        <v>1998</v>
      </c>
      <c r="CQ330" s="16">
        <v>1922</v>
      </c>
      <c r="CR330" s="16">
        <f t="shared" si="374"/>
        <v>76</v>
      </c>
      <c r="CS330" s="16"/>
      <c r="CT330" s="16"/>
      <c r="CU330" s="84">
        <v>2020</v>
      </c>
      <c r="CV330" s="85" t="s">
        <v>36</v>
      </c>
      <c r="CW330" s="15">
        <f t="shared" si="398"/>
        <v>0.98774080560420319</v>
      </c>
      <c r="CX330" s="15">
        <f t="shared" si="399"/>
        <v>0.99470899470899465</v>
      </c>
      <c r="CY330" s="15">
        <f t="shared" si="400"/>
        <v>0.99299474605954463</v>
      </c>
      <c r="CZ330" s="16">
        <v>37</v>
      </c>
      <c r="DA330" s="16">
        <v>3</v>
      </c>
      <c r="DB330" s="16">
        <v>1142</v>
      </c>
      <c r="DC330" s="16">
        <f t="shared" si="375"/>
        <v>8</v>
      </c>
      <c r="DD330" s="16">
        <v>1134</v>
      </c>
      <c r="DE330" s="16">
        <v>1128</v>
      </c>
      <c r="DF330" s="16">
        <f t="shared" si="376"/>
        <v>6</v>
      </c>
      <c r="DG330" s="16"/>
      <c r="DH330" s="16"/>
      <c r="DI330" s="84">
        <v>2020</v>
      </c>
      <c r="DJ330" s="85" t="s">
        <v>36</v>
      </c>
      <c r="DK330" s="15"/>
      <c r="DL330" s="15"/>
      <c r="DM330" s="15"/>
      <c r="DN330" s="16"/>
      <c r="DO330" s="16"/>
      <c r="DP330" s="16"/>
      <c r="DQ330" s="16"/>
      <c r="DR330" s="16"/>
      <c r="DS330" s="16"/>
      <c r="DT330" s="16"/>
      <c r="DU330" s="19" t="s">
        <v>67</v>
      </c>
      <c r="DV330" s="16"/>
      <c r="DW330" s="84">
        <v>2020</v>
      </c>
      <c r="DX330" s="85" t="s">
        <v>36</v>
      </c>
      <c r="DY330" s="15">
        <f t="shared" si="401"/>
        <v>0.95567375886524819</v>
      </c>
      <c r="DZ330" s="15">
        <f t="shared" si="402"/>
        <v>0.96078431372549022</v>
      </c>
      <c r="EA330" s="15">
        <f t="shared" si="403"/>
        <v>0.99468085106382975</v>
      </c>
      <c r="EB330" s="16">
        <v>57</v>
      </c>
      <c r="EC330" s="16">
        <v>3</v>
      </c>
      <c r="ED330" s="16">
        <f>1648+44</f>
        <v>1692</v>
      </c>
      <c r="EE330" s="16">
        <f t="shared" si="382"/>
        <v>9</v>
      </c>
      <c r="EF330" s="16">
        <f>1640+43</f>
        <v>1683</v>
      </c>
      <c r="EG330" s="16">
        <f>1575+42</f>
        <v>1617</v>
      </c>
      <c r="EH330" s="16">
        <f t="shared" si="379"/>
        <v>66</v>
      </c>
      <c r="EI330" s="16"/>
      <c r="EJ330" s="16"/>
      <c r="EK330" s="84">
        <v>2020</v>
      </c>
      <c r="EL330" s="85" t="s">
        <v>36</v>
      </c>
      <c r="EM330" s="15">
        <f t="shared" si="404"/>
        <v>0.94214876033057848</v>
      </c>
      <c r="EN330" s="15">
        <f t="shared" si="405"/>
        <v>0.94214876033057848</v>
      </c>
      <c r="EO330" s="15">
        <f t="shared" si="406"/>
        <v>1</v>
      </c>
      <c r="EP330" s="16">
        <v>6</v>
      </c>
      <c r="EQ330" s="16">
        <v>3</v>
      </c>
      <c r="ER330" s="16">
        <v>242</v>
      </c>
      <c r="ES330" s="16">
        <f t="shared" si="380"/>
        <v>0</v>
      </c>
      <c r="ET330" s="16">
        <v>242</v>
      </c>
      <c r="EU330" s="16">
        <v>228</v>
      </c>
      <c r="EV330" s="16">
        <f t="shared" si="381"/>
        <v>14</v>
      </c>
      <c r="EW330" s="16"/>
      <c r="EX330" s="16"/>
      <c r="EY330" s="84"/>
      <c r="EZ330" s="85"/>
      <c r="FA330" s="15"/>
      <c r="FB330" s="15"/>
      <c r="FC330" s="15"/>
      <c r="FD330" s="16"/>
      <c r="FE330" s="16"/>
      <c r="FF330" s="16"/>
      <c r="FG330" s="16"/>
      <c r="FH330" s="16"/>
      <c r="FI330" s="16"/>
      <c r="FJ330" s="16"/>
      <c r="FK330" s="16"/>
      <c r="FM330" s="84"/>
      <c r="FN330" s="85"/>
      <c r="FO330" s="15"/>
      <c r="FP330" s="15"/>
      <c r="FQ330" s="15"/>
      <c r="FR330" s="16"/>
      <c r="FS330" s="16"/>
      <c r="FT330" s="16"/>
      <c r="FU330" s="16"/>
      <c r="FV330" s="16"/>
      <c r="FW330" s="16"/>
      <c r="FX330" s="16"/>
      <c r="FY330" s="16"/>
      <c r="GA330" s="84"/>
      <c r="GB330" s="85"/>
      <c r="GC330" s="15"/>
      <c r="GD330" s="15"/>
      <c r="GE330" s="15"/>
      <c r="GF330" s="16"/>
      <c r="GG330" s="16"/>
      <c r="GH330" s="16"/>
      <c r="GI330" s="16"/>
      <c r="GJ330" s="16"/>
      <c r="GK330" s="16"/>
      <c r="GL330" s="16"/>
      <c r="GM330" s="16"/>
    </row>
    <row r="331" spans="1:195" s="18" customFormat="1" ht="15" customHeight="1">
      <c r="A331" s="84">
        <v>2020</v>
      </c>
      <c r="B331" s="85" t="s">
        <v>37</v>
      </c>
      <c r="C331" s="15">
        <f t="shared" si="407"/>
        <v>0.90090996168582371</v>
      </c>
      <c r="D331" s="15">
        <f t="shared" si="408"/>
        <v>0.9372228588510787</v>
      </c>
      <c r="E331" s="15">
        <f t="shared" si="409"/>
        <v>0.96125478927203067</v>
      </c>
      <c r="F331"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31"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6.4489562054705791</v>
      </c>
      <c r="H33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20880</v>
      </c>
      <c r="I331" s="16">
        <f t="shared" si="410"/>
        <v>809</v>
      </c>
      <c r="J33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20071</v>
      </c>
      <c r="K33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18811</v>
      </c>
      <c r="L331" s="16">
        <f t="shared" si="411"/>
        <v>1260</v>
      </c>
      <c r="M331" s="16"/>
      <c r="N331" s="16"/>
      <c r="O331" s="84">
        <v>2020</v>
      </c>
      <c r="P331" s="85" t="s">
        <v>37</v>
      </c>
      <c r="Q331" s="15">
        <f t="shared" si="383"/>
        <v>0.89302809573361086</v>
      </c>
      <c r="R331" s="15">
        <f t="shared" si="384"/>
        <v>0.92418694809390478</v>
      </c>
      <c r="S331" s="15">
        <f t="shared" si="385"/>
        <v>0.96628511966701358</v>
      </c>
      <c r="T331" s="26">
        <v>198</v>
      </c>
      <c r="U331" s="26">
        <v>7</v>
      </c>
      <c r="V331" s="16">
        <v>4805</v>
      </c>
      <c r="W331" s="16">
        <f t="shared" si="365"/>
        <v>162</v>
      </c>
      <c r="X331" s="16">
        <v>4643</v>
      </c>
      <c r="Y331" s="16">
        <v>4291</v>
      </c>
      <c r="Z331" s="16">
        <f t="shared" si="366"/>
        <v>352</v>
      </c>
      <c r="AA331" s="16"/>
      <c r="AB331" s="16"/>
      <c r="AC331" s="84"/>
      <c r="AD331" s="85"/>
      <c r="AE331" s="15"/>
      <c r="AF331" s="15"/>
      <c r="AG331" s="15"/>
      <c r="AH331" s="15"/>
      <c r="AI331" s="15"/>
      <c r="AJ331" s="16"/>
      <c r="AK331" s="16"/>
      <c r="AL331" s="16"/>
      <c r="AM331" s="16"/>
      <c r="AN331" s="16"/>
      <c r="AO331" s="16"/>
      <c r="AP331" s="16"/>
      <c r="AQ331" s="84">
        <v>2020</v>
      </c>
      <c r="AR331" s="85" t="s">
        <v>37</v>
      </c>
      <c r="AS331" s="15">
        <f t="shared" si="386"/>
        <v>0.92571306939123033</v>
      </c>
      <c r="AT331" s="15">
        <f t="shared" si="387"/>
        <v>0.94297484822202948</v>
      </c>
      <c r="AU331" s="15">
        <f t="shared" si="388"/>
        <v>0.98169433801617711</v>
      </c>
      <c r="AV331" s="16">
        <v>193</v>
      </c>
      <c r="AW331" s="16">
        <v>7</v>
      </c>
      <c r="AX331" s="16">
        <v>4698</v>
      </c>
      <c r="AY331" s="16">
        <f t="shared" si="367"/>
        <v>86</v>
      </c>
      <c r="AZ331" s="16">
        <v>4612</v>
      </c>
      <c r="BA331" s="16">
        <v>4349</v>
      </c>
      <c r="BB331" s="16">
        <f t="shared" si="368"/>
        <v>263</v>
      </c>
      <c r="BC331" s="16"/>
      <c r="BD331" s="16"/>
      <c r="BE331" s="84">
        <v>2020</v>
      </c>
      <c r="BF331" s="85" t="s">
        <v>37</v>
      </c>
      <c r="BG331" s="15">
        <f t="shared" si="389"/>
        <v>0.91831051288001853</v>
      </c>
      <c r="BH331" s="15">
        <f t="shared" si="390"/>
        <v>0.93879003558718865</v>
      </c>
      <c r="BI331" s="15">
        <f t="shared" si="391"/>
        <v>0.97818519378045954</v>
      </c>
      <c r="BJ331" s="16">
        <v>164</v>
      </c>
      <c r="BK331" s="16">
        <v>7</v>
      </c>
      <c r="BL331" s="16">
        <v>4309</v>
      </c>
      <c r="BM331" s="16">
        <f t="shared" si="369"/>
        <v>94</v>
      </c>
      <c r="BN331" s="16">
        <v>4215</v>
      </c>
      <c r="BO331" s="16">
        <v>3957</v>
      </c>
      <c r="BP331" s="16">
        <f t="shared" si="370"/>
        <v>258</v>
      </c>
      <c r="BQ331" s="16"/>
      <c r="BR331" s="16"/>
      <c r="BS331" s="84">
        <v>2020</v>
      </c>
      <c r="BT331" s="85" t="s">
        <v>37</v>
      </c>
      <c r="BU331" s="15">
        <f t="shared" si="392"/>
        <v>0.88432998690528153</v>
      </c>
      <c r="BV331" s="15">
        <f t="shared" si="393"/>
        <v>0.92935779816513764</v>
      </c>
      <c r="BW331" s="15">
        <f t="shared" si="394"/>
        <v>0.95154954168485373</v>
      </c>
      <c r="BX331" s="16">
        <v>83</v>
      </c>
      <c r="BY331" s="16">
        <v>7</v>
      </c>
      <c r="BZ331" s="16">
        <v>2291</v>
      </c>
      <c r="CA331" s="16">
        <f t="shared" si="371"/>
        <v>111</v>
      </c>
      <c r="CB331" s="16">
        <v>2180</v>
      </c>
      <c r="CC331" s="16">
        <v>2026</v>
      </c>
      <c r="CD331" s="16">
        <f t="shared" si="372"/>
        <v>154</v>
      </c>
      <c r="CE331" s="16"/>
      <c r="CF331" s="16"/>
      <c r="CG331" s="84">
        <v>2020</v>
      </c>
      <c r="CH331" s="85" t="s">
        <v>37</v>
      </c>
      <c r="CI331" s="15">
        <f t="shared" si="395"/>
        <v>0.79347826086956519</v>
      </c>
      <c r="CJ331" s="15">
        <f t="shared" si="396"/>
        <v>0.92572463768115942</v>
      </c>
      <c r="CK331" s="15">
        <f t="shared" si="397"/>
        <v>0.8571428571428571</v>
      </c>
      <c r="CL331" s="16">
        <v>72</v>
      </c>
      <c r="CM331" s="16">
        <v>7</v>
      </c>
      <c r="CN331" s="16">
        <v>1932</v>
      </c>
      <c r="CO331" s="16">
        <f t="shared" si="373"/>
        <v>276</v>
      </c>
      <c r="CP331" s="16">
        <v>1656</v>
      </c>
      <c r="CQ331" s="16">
        <v>1533</v>
      </c>
      <c r="CR331" s="16">
        <f t="shared" si="374"/>
        <v>123</v>
      </c>
      <c r="CS331" s="16"/>
      <c r="CT331" s="16"/>
      <c r="CU331" s="84">
        <v>2020</v>
      </c>
      <c r="CV331" s="85" t="s">
        <v>37</v>
      </c>
      <c r="CW331" s="15">
        <f t="shared" si="398"/>
        <v>0.94376757263355204</v>
      </c>
      <c r="CX331" s="15">
        <f t="shared" si="399"/>
        <v>0.98435972629521018</v>
      </c>
      <c r="CY331" s="15">
        <f t="shared" si="400"/>
        <v>0.95876288659793818</v>
      </c>
      <c r="CZ331" s="16">
        <v>37</v>
      </c>
      <c r="DA331" s="16">
        <v>3</v>
      </c>
      <c r="DB331" s="16">
        <v>1067</v>
      </c>
      <c r="DC331" s="16">
        <f t="shared" si="375"/>
        <v>44</v>
      </c>
      <c r="DD331" s="16">
        <v>1023</v>
      </c>
      <c r="DE331" s="16">
        <v>1007</v>
      </c>
      <c r="DF331" s="16">
        <f t="shared" si="376"/>
        <v>16</v>
      </c>
      <c r="DG331" s="16"/>
      <c r="DH331" s="16"/>
      <c r="DI331" s="84">
        <v>2020</v>
      </c>
      <c r="DJ331" s="85" t="s">
        <v>37</v>
      </c>
      <c r="DK331" s="15"/>
      <c r="DL331" s="15"/>
      <c r="DM331" s="15"/>
      <c r="DN331" s="16"/>
      <c r="DO331" s="16"/>
      <c r="DP331" s="16"/>
      <c r="DQ331" s="16"/>
      <c r="DR331" s="16"/>
      <c r="DS331" s="16"/>
      <c r="DT331" s="16"/>
      <c r="DU331" s="19" t="s">
        <v>67</v>
      </c>
      <c r="DV331" s="16"/>
      <c r="DW331" s="84">
        <v>2020</v>
      </c>
      <c r="DX331" s="85" t="s">
        <v>37</v>
      </c>
      <c r="DY331" s="15">
        <f t="shared" si="401"/>
        <v>0.9196891191709845</v>
      </c>
      <c r="DZ331" s="15">
        <f t="shared" si="402"/>
        <v>0.94164456233421756</v>
      </c>
      <c r="EA331" s="15">
        <f t="shared" si="403"/>
        <v>0.97668393782383423</v>
      </c>
      <c r="EB331" s="16">
        <v>57</v>
      </c>
      <c r="EC331" s="16">
        <v>3</v>
      </c>
      <c r="ED331" s="16">
        <f>1508+36</f>
        <v>1544</v>
      </c>
      <c r="EE331" s="16">
        <f t="shared" si="382"/>
        <v>36</v>
      </c>
      <c r="EF331" s="16">
        <f>1473+35</f>
        <v>1508</v>
      </c>
      <c r="EG331" s="16">
        <f>1389+31</f>
        <v>1420</v>
      </c>
      <c r="EH331" s="16">
        <f t="shared" si="379"/>
        <v>88</v>
      </c>
      <c r="EI331" s="16"/>
      <c r="EJ331" s="16"/>
      <c r="EK331" s="84">
        <v>2020</v>
      </c>
      <c r="EL331" s="85" t="s">
        <v>37</v>
      </c>
      <c r="EM331" s="15">
        <f t="shared" si="404"/>
        <v>0.97435897435897434</v>
      </c>
      <c r="EN331" s="15">
        <f t="shared" si="405"/>
        <v>0.97435897435897434</v>
      </c>
      <c r="EO331" s="15">
        <f t="shared" si="406"/>
        <v>1</v>
      </c>
      <c r="EP331" s="16">
        <v>6</v>
      </c>
      <c r="EQ331" s="16">
        <v>3</v>
      </c>
      <c r="ER331" s="16">
        <v>234</v>
      </c>
      <c r="ES331" s="16">
        <f t="shared" si="380"/>
        <v>0</v>
      </c>
      <c r="ET331" s="16">
        <v>234</v>
      </c>
      <c r="EU331" s="16">
        <v>228</v>
      </c>
      <c r="EV331" s="16">
        <f t="shared" si="381"/>
        <v>6</v>
      </c>
      <c r="EW331" s="16"/>
      <c r="EX331" s="16"/>
      <c r="EY331" s="84"/>
      <c r="EZ331" s="85"/>
      <c r="FA331" s="15"/>
      <c r="FB331" s="15"/>
      <c r="FC331" s="15"/>
      <c r="FD331" s="16"/>
      <c r="FE331" s="16"/>
      <c r="FF331" s="16"/>
      <c r="FG331" s="16"/>
      <c r="FH331" s="16"/>
      <c r="FI331" s="16"/>
      <c r="FJ331" s="16"/>
      <c r="FK331" s="16"/>
      <c r="FM331" s="84"/>
      <c r="FN331" s="85"/>
      <c r="FO331" s="15"/>
      <c r="FP331" s="15"/>
      <c r="FQ331" s="15"/>
      <c r="FR331" s="16"/>
      <c r="FS331" s="16"/>
      <c r="FT331" s="16"/>
      <c r="FU331" s="16"/>
      <c r="FV331" s="16"/>
      <c r="FW331" s="16"/>
      <c r="FX331" s="16"/>
      <c r="FY331" s="16"/>
      <c r="GA331" s="84"/>
      <c r="GB331" s="85"/>
      <c r="GC331" s="15"/>
      <c r="GD331" s="15"/>
      <c r="GE331" s="15"/>
      <c r="GF331" s="16"/>
      <c r="GG331" s="16"/>
      <c r="GH331" s="16"/>
      <c r="GI331" s="16"/>
      <c r="GJ331" s="16"/>
      <c r="GK331" s="16"/>
      <c r="GL331" s="16"/>
      <c r="GM331" s="16"/>
    </row>
    <row r="332" spans="1:195" s="18" customFormat="1" ht="15" customHeight="1">
      <c r="A332" s="84">
        <v>2020</v>
      </c>
      <c r="B332" s="85" t="s">
        <v>38</v>
      </c>
      <c r="C332" s="15">
        <f t="shared" si="407"/>
        <v>0.81419453663517993</v>
      </c>
      <c r="D332" s="15">
        <f t="shared" si="408"/>
        <v>0.94210090984284534</v>
      </c>
      <c r="E332" s="15">
        <f t="shared" si="409"/>
        <v>0.86423283124840444</v>
      </c>
      <c r="F332"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32"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6.4318799480089801</v>
      </c>
      <c r="H33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19585</v>
      </c>
      <c r="I332" s="16">
        <f t="shared" si="410"/>
        <v>2659</v>
      </c>
      <c r="J33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16926</v>
      </c>
      <c r="K33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15946</v>
      </c>
      <c r="L332" s="16">
        <f t="shared" si="411"/>
        <v>980</v>
      </c>
      <c r="M332" s="16"/>
      <c r="N332" s="16"/>
      <c r="O332" s="84">
        <v>2020</v>
      </c>
      <c r="P332" s="85" t="s">
        <v>38</v>
      </c>
      <c r="Q332" s="15">
        <f t="shared" si="383"/>
        <v>0.8143921751280857</v>
      </c>
      <c r="R332" s="15">
        <f t="shared" si="384"/>
        <v>0.93178790301092462</v>
      </c>
      <c r="S332" s="15">
        <f t="shared" si="385"/>
        <v>0.8740102468560782</v>
      </c>
      <c r="T332" s="26">
        <v>198</v>
      </c>
      <c r="U332" s="26">
        <v>7</v>
      </c>
      <c r="V332" s="16">
        <v>4294</v>
      </c>
      <c r="W332" s="16">
        <f t="shared" si="365"/>
        <v>541</v>
      </c>
      <c r="X332" s="16">
        <v>3753</v>
      </c>
      <c r="Y332" s="16">
        <v>3497</v>
      </c>
      <c r="Z332" s="16">
        <f t="shared" si="366"/>
        <v>256</v>
      </c>
      <c r="AA332" s="16"/>
      <c r="AB332" s="16"/>
      <c r="AC332" s="84"/>
      <c r="AD332" s="85"/>
      <c r="AE332" s="15"/>
      <c r="AF332" s="15"/>
      <c r="AG332" s="15"/>
      <c r="AH332" s="15"/>
      <c r="AI332" s="15"/>
      <c r="AJ332" s="16"/>
      <c r="AK332" s="16"/>
      <c r="AL332" s="16"/>
      <c r="AM332" s="16"/>
      <c r="AN332" s="16"/>
      <c r="AO332" s="16"/>
      <c r="AP332" s="16"/>
      <c r="AQ332" s="84">
        <v>2020</v>
      </c>
      <c r="AR332" s="85" t="s">
        <v>38</v>
      </c>
      <c r="AS332" s="15">
        <f t="shared" si="386"/>
        <v>0.84236569274269557</v>
      </c>
      <c r="AT332" s="15">
        <f t="shared" si="387"/>
        <v>0.94476744186046513</v>
      </c>
      <c r="AU332" s="15">
        <f t="shared" si="388"/>
        <v>0.89161168708765315</v>
      </c>
      <c r="AV332" s="16">
        <v>193</v>
      </c>
      <c r="AW332" s="16">
        <v>7</v>
      </c>
      <c r="AX332" s="16">
        <v>4244</v>
      </c>
      <c r="AY332" s="16">
        <f t="shared" si="367"/>
        <v>460</v>
      </c>
      <c r="AZ332" s="16">
        <v>3784</v>
      </c>
      <c r="BA332" s="16">
        <v>3575</v>
      </c>
      <c r="BB332" s="16">
        <f t="shared" si="368"/>
        <v>209</v>
      </c>
      <c r="BC332" s="16"/>
      <c r="BD332" s="16"/>
      <c r="BE332" s="84">
        <v>2020</v>
      </c>
      <c r="BF332" s="85" t="s">
        <v>38</v>
      </c>
      <c r="BG332" s="15">
        <f t="shared" si="389"/>
        <v>0.81853281853281856</v>
      </c>
      <c r="BH332" s="15">
        <f t="shared" si="390"/>
        <v>0.93186813186813189</v>
      </c>
      <c r="BI332" s="15">
        <f t="shared" si="391"/>
        <v>0.8783783783783784</v>
      </c>
      <c r="BJ332" s="16">
        <v>164</v>
      </c>
      <c r="BK332" s="16">
        <v>7</v>
      </c>
      <c r="BL332" s="16">
        <v>4144</v>
      </c>
      <c r="BM332" s="16">
        <f t="shared" si="369"/>
        <v>504</v>
      </c>
      <c r="BN332" s="16">
        <v>3640</v>
      </c>
      <c r="BO332" s="16">
        <v>3392</v>
      </c>
      <c r="BP332" s="16">
        <f t="shared" si="370"/>
        <v>248</v>
      </c>
      <c r="BQ332" s="16"/>
      <c r="BR332" s="16"/>
      <c r="BS332" s="84">
        <v>2020</v>
      </c>
      <c r="BT332" s="85" t="s">
        <v>38</v>
      </c>
      <c r="BU332" s="15">
        <f t="shared" si="392"/>
        <v>0.81699953553181603</v>
      </c>
      <c r="BV332" s="15">
        <f t="shared" si="393"/>
        <v>0.94671689989235741</v>
      </c>
      <c r="BW332" s="15">
        <f t="shared" si="394"/>
        <v>0.86298188574082679</v>
      </c>
      <c r="BX332" s="16">
        <v>83</v>
      </c>
      <c r="BY332" s="16">
        <v>7</v>
      </c>
      <c r="BZ332" s="16">
        <v>2153</v>
      </c>
      <c r="CA332" s="16">
        <f t="shared" si="371"/>
        <v>295</v>
      </c>
      <c r="CB332" s="16">
        <v>1858</v>
      </c>
      <c r="CC332" s="16">
        <v>1759</v>
      </c>
      <c r="CD332" s="16">
        <f t="shared" si="372"/>
        <v>99</v>
      </c>
      <c r="CE332" s="16"/>
      <c r="CF332" s="16"/>
      <c r="CG332" s="84">
        <v>2020</v>
      </c>
      <c r="CH332" s="85" t="s">
        <v>38</v>
      </c>
      <c r="CI332" s="15">
        <f t="shared" si="395"/>
        <v>0.76379690949227375</v>
      </c>
      <c r="CJ332" s="15">
        <f t="shared" si="396"/>
        <v>0.93073301950235376</v>
      </c>
      <c r="CK332" s="15">
        <f t="shared" si="397"/>
        <v>0.82064017660044153</v>
      </c>
      <c r="CL332" s="16">
        <v>72</v>
      </c>
      <c r="CM332" s="16">
        <v>7</v>
      </c>
      <c r="CN332" s="16">
        <v>1812</v>
      </c>
      <c r="CO332" s="16">
        <f t="shared" si="373"/>
        <v>325</v>
      </c>
      <c r="CP332" s="16">
        <v>1487</v>
      </c>
      <c r="CQ332" s="16">
        <v>1384</v>
      </c>
      <c r="CR332" s="16">
        <f t="shared" si="374"/>
        <v>103</v>
      </c>
      <c r="CS332" s="16"/>
      <c r="CT332" s="16"/>
      <c r="CU332" s="84">
        <v>2020</v>
      </c>
      <c r="CV332" s="85" t="s">
        <v>38</v>
      </c>
      <c r="CW332" s="15">
        <f t="shared" si="398"/>
        <v>0.84540636042402828</v>
      </c>
      <c r="CX332" s="15">
        <f t="shared" si="399"/>
        <v>0.98355601233299073</v>
      </c>
      <c r="CY332" s="15">
        <f t="shared" si="400"/>
        <v>0.85954063604240283</v>
      </c>
      <c r="CZ332" s="16">
        <v>37</v>
      </c>
      <c r="DA332" s="16">
        <v>3</v>
      </c>
      <c r="DB332" s="16">
        <v>1132</v>
      </c>
      <c r="DC332" s="16">
        <f t="shared" si="375"/>
        <v>159</v>
      </c>
      <c r="DD332" s="16">
        <v>973</v>
      </c>
      <c r="DE332" s="16">
        <v>957</v>
      </c>
      <c r="DF332" s="16">
        <f t="shared" si="376"/>
        <v>16</v>
      </c>
      <c r="DG332" s="16"/>
      <c r="DH332" s="16"/>
      <c r="DI332" s="84">
        <v>2020</v>
      </c>
      <c r="DJ332" s="85" t="s">
        <v>38</v>
      </c>
      <c r="DK332" s="15"/>
      <c r="DL332" s="15"/>
      <c r="DM332" s="15"/>
      <c r="DN332" s="16"/>
      <c r="DO332" s="16"/>
      <c r="DP332" s="16"/>
      <c r="DQ332" s="16"/>
      <c r="DR332" s="16"/>
      <c r="DS332" s="16"/>
      <c r="DT332" s="16"/>
      <c r="DU332" s="19" t="s">
        <v>67</v>
      </c>
      <c r="DV332" s="16"/>
      <c r="DW332" s="84">
        <v>2020</v>
      </c>
      <c r="DX332" s="85" t="s">
        <v>38</v>
      </c>
      <c r="DY332" s="15">
        <f t="shared" si="401"/>
        <v>0.80813953488372092</v>
      </c>
      <c r="DZ332" s="15">
        <f t="shared" si="402"/>
        <v>0.96453353893600613</v>
      </c>
      <c r="EA332" s="15">
        <f t="shared" si="403"/>
        <v>0.83785529715762275</v>
      </c>
      <c r="EB332" s="16">
        <v>57</v>
      </c>
      <c r="EC332" s="16">
        <v>3</v>
      </c>
      <c r="ED332" s="16">
        <f>1520+28</f>
        <v>1548</v>
      </c>
      <c r="EE332" s="16">
        <f t="shared" si="382"/>
        <v>251</v>
      </c>
      <c r="EF332" s="16">
        <f>1269+28</f>
        <v>1297</v>
      </c>
      <c r="EG332" s="16">
        <f>1226+25</f>
        <v>1251</v>
      </c>
      <c r="EH332" s="16">
        <f t="shared" si="379"/>
        <v>46</v>
      </c>
      <c r="EI332" s="19" t="s">
        <v>84</v>
      </c>
      <c r="EJ332" s="16"/>
      <c r="EK332" s="84">
        <v>2020</v>
      </c>
      <c r="EL332" s="85" t="s">
        <v>38</v>
      </c>
      <c r="EM332" s="15">
        <f t="shared" si="404"/>
        <v>0.50775193798449614</v>
      </c>
      <c r="EN332" s="15">
        <f t="shared" si="405"/>
        <v>0.97761194029850751</v>
      </c>
      <c r="EO332" s="15">
        <f t="shared" si="406"/>
        <v>0.51937984496124034</v>
      </c>
      <c r="EP332" s="16">
        <v>6</v>
      </c>
      <c r="EQ332" s="16">
        <v>3</v>
      </c>
      <c r="ER332" s="16">
        <v>258</v>
      </c>
      <c r="ES332" s="16">
        <f t="shared" si="380"/>
        <v>124</v>
      </c>
      <c r="ET332" s="16">
        <v>134</v>
      </c>
      <c r="EU332" s="16">
        <v>131</v>
      </c>
      <c r="EV332" s="16">
        <f t="shared" si="381"/>
        <v>3</v>
      </c>
      <c r="EW332" s="19" t="s">
        <v>71</v>
      </c>
      <c r="EX332" s="16"/>
      <c r="EY332" s="84"/>
      <c r="EZ332" s="85"/>
      <c r="FA332" s="15"/>
      <c r="FB332" s="15"/>
      <c r="FC332" s="15"/>
      <c r="FD332" s="16"/>
      <c r="FE332" s="16"/>
      <c r="FF332" s="16"/>
      <c r="FG332" s="16"/>
      <c r="FH332" s="16"/>
      <c r="FI332" s="16"/>
      <c r="FJ332" s="16"/>
      <c r="FK332" s="19" t="s">
        <v>84</v>
      </c>
      <c r="FM332" s="84"/>
      <c r="FN332" s="85"/>
      <c r="FO332" s="15"/>
      <c r="FP332" s="15"/>
      <c r="FQ332" s="15"/>
      <c r="FR332" s="16"/>
      <c r="FS332" s="16"/>
      <c r="FT332" s="16"/>
      <c r="FU332" s="16"/>
      <c r="FV332" s="16"/>
      <c r="FW332" s="16"/>
      <c r="FX332" s="16"/>
      <c r="FY332" s="19" t="s">
        <v>84</v>
      </c>
      <c r="GA332" s="84"/>
      <c r="GB332" s="85"/>
      <c r="GC332" s="15"/>
      <c r="GD332" s="15"/>
      <c r="GE332" s="15"/>
      <c r="GF332" s="16"/>
      <c r="GG332" s="16"/>
      <c r="GH332" s="16"/>
      <c r="GI332" s="16"/>
      <c r="GJ332" s="16"/>
      <c r="GK332" s="16"/>
      <c r="GL332" s="16"/>
      <c r="GM332" s="19"/>
    </row>
    <row r="333" spans="1:195" s="18" customFormat="1" ht="15" customHeight="1">
      <c r="A333" s="84">
        <v>2020</v>
      </c>
      <c r="B333" s="85" t="s">
        <v>39</v>
      </c>
      <c r="C333" s="15">
        <f t="shared" si="407"/>
        <v>0.80574926803300506</v>
      </c>
      <c r="D333" s="15">
        <f t="shared" si="408"/>
        <v>0.98266571447120687</v>
      </c>
      <c r="E333" s="15">
        <f t="shared" si="409"/>
        <v>0.81996273622571203</v>
      </c>
      <c r="F333"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3"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6.7738102966954488</v>
      </c>
      <c r="H33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18785</v>
      </c>
      <c r="I333" s="16">
        <f t="shared" si="410"/>
        <v>3382</v>
      </c>
      <c r="J33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15403</v>
      </c>
      <c r="K33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15136</v>
      </c>
      <c r="L333" s="16">
        <f t="shared" si="411"/>
        <v>267</v>
      </c>
      <c r="M333" s="16"/>
      <c r="N333" s="16"/>
      <c r="O333" s="84">
        <v>2020</v>
      </c>
      <c r="P333" s="85" t="s">
        <v>39</v>
      </c>
      <c r="Q333" s="15">
        <f t="shared" si="383"/>
        <v>0.86485218207414361</v>
      </c>
      <c r="R333" s="15">
        <f t="shared" si="384"/>
        <v>0.98556149732620324</v>
      </c>
      <c r="S333" s="15">
        <f t="shared" si="385"/>
        <v>0.87752229000469262</v>
      </c>
      <c r="T333" s="26">
        <v>198</v>
      </c>
      <c r="U333" s="26">
        <v>7</v>
      </c>
      <c r="V333" s="16">
        <v>4262</v>
      </c>
      <c r="W333" s="16">
        <f t="shared" si="365"/>
        <v>522</v>
      </c>
      <c r="X333" s="16">
        <v>3740</v>
      </c>
      <c r="Y333" s="16">
        <v>3686</v>
      </c>
      <c r="Z333" s="16">
        <f t="shared" si="366"/>
        <v>54</v>
      </c>
      <c r="AA333" s="16"/>
      <c r="AB333" s="16"/>
      <c r="AC333" s="84"/>
      <c r="AD333" s="85"/>
      <c r="AE333" s="15"/>
      <c r="AF333" s="15"/>
      <c r="AG333" s="15"/>
      <c r="AH333" s="15"/>
      <c r="AI333" s="15"/>
      <c r="AJ333" s="16"/>
      <c r="AK333" s="16"/>
      <c r="AL333" s="16"/>
      <c r="AM333" s="16"/>
      <c r="AN333" s="16"/>
      <c r="AO333" s="16"/>
      <c r="AP333" s="16"/>
      <c r="AQ333" s="84">
        <v>2020</v>
      </c>
      <c r="AR333" s="85" t="s">
        <v>39</v>
      </c>
      <c r="AS333" s="15">
        <f t="shared" si="386"/>
        <v>0.86810836501901145</v>
      </c>
      <c r="AT333" s="15">
        <f t="shared" si="387"/>
        <v>0.98014488865038907</v>
      </c>
      <c r="AU333" s="15">
        <f t="shared" si="388"/>
        <v>0.88569391634980987</v>
      </c>
      <c r="AV333" s="16">
        <v>193</v>
      </c>
      <c r="AW333" s="16">
        <v>7</v>
      </c>
      <c r="AX333" s="16">
        <v>4208</v>
      </c>
      <c r="AY333" s="16">
        <f t="shared" si="367"/>
        <v>481</v>
      </c>
      <c r="AZ333" s="16">
        <v>3727</v>
      </c>
      <c r="BA333" s="16">
        <v>3653</v>
      </c>
      <c r="BB333" s="16">
        <f t="shared" si="368"/>
        <v>74</v>
      </c>
      <c r="BC333" s="16"/>
      <c r="BD333" s="16"/>
      <c r="BE333" s="84">
        <v>2020</v>
      </c>
      <c r="BF333" s="85" t="s">
        <v>39</v>
      </c>
      <c r="BG333" s="15">
        <f t="shared" si="389"/>
        <v>0.87358304583538693</v>
      </c>
      <c r="BH333" s="15">
        <f t="shared" si="390"/>
        <v>0.97712238147739805</v>
      </c>
      <c r="BI333" s="15">
        <f t="shared" si="391"/>
        <v>0.89403647116806306</v>
      </c>
      <c r="BJ333" s="16">
        <v>164</v>
      </c>
      <c r="BK333" s="16">
        <v>7</v>
      </c>
      <c r="BL333" s="16">
        <v>4058</v>
      </c>
      <c r="BM333" s="16">
        <f t="shared" si="369"/>
        <v>430</v>
      </c>
      <c r="BN333" s="16">
        <v>3628</v>
      </c>
      <c r="BO333" s="16">
        <v>3545</v>
      </c>
      <c r="BP333" s="16">
        <f t="shared" si="370"/>
        <v>83</v>
      </c>
      <c r="BQ333" s="16"/>
      <c r="BR333" s="16"/>
      <c r="BS333" s="84">
        <v>2020</v>
      </c>
      <c r="BT333" s="85" t="s">
        <v>39</v>
      </c>
      <c r="BU333" s="15">
        <f t="shared" si="392"/>
        <v>0.88085106382978728</v>
      </c>
      <c r="BV333" s="15">
        <f t="shared" si="393"/>
        <v>0.98623610375860249</v>
      </c>
      <c r="BW333" s="15">
        <f t="shared" si="394"/>
        <v>0.89314420803782502</v>
      </c>
      <c r="BX333" s="16">
        <v>83</v>
      </c>
      <c r="BY333" s="16">
        <v>7</v>
      </c>
      <c r="BZ333" s="16">
        <v>2115</v>
      </c>
      <c r="CA333" s="16">
        <f t="shared" si="371"/>
        <v>226</v>
      </c>
      <c r="CB333" s="16">
        <v>1889</v>
      </c>
      <c r="CC333" s="16">
        <v>1863</v>
      </c>
      <c r="CD333" s="16">
        <f t="shared" si="372"/>
        <v>26</v>
      </c>
      <c r="CE333" s="16"/>
      <c r="CF333" s="16"/>
      <c r="CG333" s="84">
        <v>2020</v>
      </c>
      <c r="CH333" s="85" t="s">
        <v>39</v>
      </c>
      <c r="CI333" s="15">
        <f t="shared" si="395"/>
        <v>0.85874439461883412</v>
      </c>
      <c r="CJ333" s="15">
        <f t="shared" si="396"/>
        <v>0.98966408268733852</v>
      </c>
      <c r="CK333" s="15">
        <f t="shared" si="397"/>
        <v>0.86771300448430488</v>
      </c>
      <c r="CL333" s="16">
        <v>72</v>
      </c>
      <c r="CM333" s="16">
        <v>7</v>
      </c>
      <c r="CN333" s="16">
        <v>1784</v>
      </c>
      <c r="CO333" s="16">
        <f t="shared" si="373"/>
        <v>236</v>
      </c>
      <c r="CP333" s="16">
        <v>1548</v>
      </c>
      <c r="CQ333" s="16">
        <v>1532</v>
      </c>
      <c r="CR333" s="16">
        <f t="shared" si="374"/>
        <v>16</v>
      </c>
      <c r="CS333" s="16"/>
      <c r="CT333" s="16"/>
      <c r="CU333" s="84">
        <v>2020</v>
      </c>
      <c r="CV333" s="85" t="s">
        <v>39</v>
      </c>
      <c r="CW333" s="15">
        <f t="shared" si="398"/>
        <v>0.46253469010175763</v>
      </c>
      <c r="CX333" s="15">
        <f t="shared" si="399"/>
        <v>0.98814229249011853</v>
      </c>
      <c r="CY333" s="15">
        <f t="shared" si="400"/>
        <v>0.46808510638297873</v>
      </c>
      <c r="CZ333" s="16">
        <v>37</v>
      </c>
      <c r="DA333" s="16">
        <v>3</v>
      </c>
      <c r="DB333" s="16">
        <v>1081</v>
      </c>
      <c r="DC333" s="16">
        <f t="shared" si="375"/>
        <v>575</v>
      </c>
      <c r="DD333" s="16">
        <v>506</v>
      </c>
      <c r="DE333" s="16">
        <v>500</v>
      </c>
      <c r="DF333" s="16">
        <f t="shared" si="376"/>
        <v>6</v>
      </c>
      <c r="DG333" s="16"/>
      <c r="DH333" s="16"/>
      <c r="DI333" s="84">
        <v>2020</v>
      </c>
      <c r="DJ333" s="85" t="s">
        <v>39</v>
      </c>
      <c r="DK333" s="15"/>
      <c r="DL333" s="15"/>
      <c r="DM333" s="15"/>
      <c r="DN333" s="16"/>
      <c r="DO333" s="16"/>
      <c r="DP333" s="16"/>
      <c r="DQ333" s="16"/>
      <c r="DR333" s="16"/>
      <c r="DS333" s="16"/>
      <c r="DT333" s="16"/>
      <c r="DU333" s="19" t="s">
        <v>67</v>
      </c>
      <c r="DV333" s="16"/>
      <c r="DW333" s="84">
        <v>2020</v>
      </c>
      <c r="DX333" s="85" t="s">
        <v>39</v>
      </c>
      <c r="DY333" s="15">
        <f t="shared" si="401"/>
        <v>0.27956147220046984</v>
      </c>
      <c r="DZ333" s="15">
        <f t="shared" si="402"/>
        <v>0.9780821917808219</v>
      </c>
      <c r="EA333" s="15">
        <f t="shared" si="403"/>
        <v>0.28582615505090053</v>
      </c>
      <c r="EB333" s="16">
        <v>57</v>
      </c>
      <c r="EC333" s="16">
        <v>3</v>
      </c>
      <c r="ED333" s="16">
        <f>1275+2</f>
        <v>1277</v>
      </c>
      <c r="EE333" s="16">
        <f t="shared" si="382"/>
        <v>912</v>
      </c>
      <c r="EF333" s="16">
        <v>365</v>
      </c>
      <c r="EG333" s="16">
        <v>357</v>
      </c>
      <c r="EH333" s="16">
        <f t="shared" si="379"/>
        <v>8</v>
      </c>
      <c r="EI333" s="19" t="s">
        <v>84</v>
      </c>
      <c r="EJ333" s="16"/>
      <c r="EK333" s="84">
        <v>2020</v>
      </c>
      <c r="EL333" s="85" t="s">
        <v>39</v>
      </c>
      <c r="EM333" s="15"/>
      <c r="EN333" s="15"/>
      <c r="EO333" s="15"/>
      <c r="EP333" s="16"/>
      <c r="EQ333" s="16"/>
      <c r="ER333" s="16"/>
      <c r="ES333" s="16"/>
      <c r="ET333" s="16"/>
      <c r="EU333" s="16"/>
      <c r="EV333" s="16"/>
      <c r="EW333" s="19" t="s">
        <v>71</v>
      </c>
      <c r="EX333" s="16"/>
      <c r="EY333" s="84"/>
      <c r="EZ333" s="85"/>
      <c r="FA333" s="15"/>
      <c r="FB333" s="15"/>
      <c r="FC333" s="15"/>
      <c r="FD333" s="16"/>
      <c r="FE333" s="16"/>
      <c r="FF333" s="16"/>
      <c r="FG333" s="16"/>
      <c r="FH333" s="16"/>
      <c r="FI333" s="16"/>
      <c r="FJ333" s="16"/>
      <c r="FK333" s="19" t="s">
        <v>84</v>
      </c>
      <c r="FM333" s="84"/>
      <c r="FN333" s="85"/>
      <c r="FO333" s="15"/>
      <c r="FP333" s="15"/>
      <c r="FQ333" s="15"/>
      <c r="FR333" s="16"/>
      <c r="FS333" s="16"/>
      <c r="FT333" s="16"/>
      <c r="FU333" s="16"/>
      <c r="FV333" s="16"/>
      <c r="FW333" s="16"/>
      <c r="FX333" s="16"/>
      <c r="FY333" s="19" t="s">
        <v>84</v>
      </c>
      <c r="GA333" s="84"/>
      <c r="GB333" s="85"/>
      <c r="GC333" s="15"/>
      <c r="GD333" s="15"/>
      <c r="GE333" s="15"/>
      <c r="GF333" s="16"/>
      <c r="GG333" s="16"/>
      <c r="GH333" s="16"/>
      <c r="GI333" s="16"/>
      <c r="GJ333" s="16"/>
      <c r="GK333" s="16"/>
      <c r="GL333" s="16"/>
      <c r="GM333" s="19"/>
    </row>
    <row r="334" spans="1:195" s="18" customFormat="1" ht="15" customHeight="1">
      <c r="A334" s="86">
        <v>2020</v>
      </c>
      <c r="B334" s="87" t="s">
        <v>40</v>
      </c>
      <c r="C334" s="15">
        <f t="shared" si="407"/>
        <v>0.85879951758048056</v>
      </c>
      <c r="D334" s="15">
        <f t="shared" si="408"/>
        <v>0.98552113275843711</v>
      </c>
      <c r="E334" s="15">
        <f t="shared" si="409"/>
        <v>0.87141664347342052</v>
      </c>
      <c r="F33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4"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6.8015543489832853</v>
      </c>
      <c r="H33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21558</v>
      </c>
      <c r="I334" s="16">
        <f t="shared" si="410"/>
        <v>2772</v>
      </c>
      <c r="J33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18786</v>
      </c>
      <c r="K33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18514</v>
      </c>
      <c r="L334" s="16">
        <f t="shared" si="411"/>
        <v>272</v>
      </c>
      <c r="M334" s="16"/>
      <c r="N334" s="16"/>
      <c r="O334" s="86">
        <v>2020</v>
      </c>
      <c r="P334" s="87" t="s">
        <v>40</v>
      </c>
      <c r="Q334" s="15">
        <f t="shared" si="383"/>
        <v>0.91869599371563238</v>
      </c>
      <c r="R334" s="15">
        <f t="shared" si="384"/>
        <v>0.98712808609411273</v>
      </c>
      <c r="S334" s="15">
        <f t="shared" si="385"/>
        <v>0.93067556952081698</v>
      </c>
      <c r="T334" s="26">
        <v>198</v>
      </c>
      <c r="U334" s="26">
        <v>7</v>
      </c>
      <c r="V334" s="16">
        <v>5092</v>
      </c>
      <c r="W334" s="16">
        <f t="shared" si="365"/>
        <v>353</v>
      </c>
      <c r="X334" s="16">
        <v>4739</v>
      </c>
      <c r="Y334" s="16">
        <v>4678</v>
      </c>
      <c r="Z334" s="16">
        <f t="shared" si="366"/>
        <v>61</v>
      </c>
      <c r="AA334" s="16"/>
      <c r="AB334" s="16"/>
      <c r="AC334" s="86"/>
      <c r="AD334" s="87"/>
      <c r="AE334" s="15"/>
      <c r="AF334" s="15"/>
      <c r="AG334" s="15"/>
      <c r="AH334" s="15"/>
      <c r="AI334" s="15"/>
      <c r="AJ334" s="16"/>
      <c r="AK334" s="16"/>
      <c r="AL334" s="16"/>
      <c r="AM334" s="16"/>
      <c r="AN334" s="16"/>
      <c r="AO334" s="16"/>
      <c r="AP334" s="16"/>
      <c r="AQ334" s="86">
        <v>2020</v>
      </c>
      <c r="AR334" s="87" t="s">
        <v>40</v>
      </c>
      <c r="AS334" s="15">
        <f t="shared" si="386"/>
        <v>0.91208350060216781</v>
      </c>
      <c r="AT334" s="15">
        <f t="shared" si="387"/>
        <v>0.98142548596112311</v>
      </c>
      <c r="AU334" s="15">
        <f t="shared" si="388"/>
        <v>0.92934564431955036</v>
      </c>
      <c r="AV334" s="16">
        <v>193</v>
      </c>
      <c r="AW334" s="16">
        <v>7</v>
      </c>
      <c r="AX334" s="16">
        <v>4982</v>
      </c>
      <c r="AY334" s="16">
        <f t="shared" si="367"/>
        <v>352</v>
      </c>
      <c r="AZ334" s="16">
        <v>4630</v>
      </c>
      <c r="BA334" s="16">
        <v>4544</v>
      </c>
      <c r="BB334" s="16">
        <f t="shared" si="368"/>
        <v>86</v>
      </c>
      <c r="BC334" s="16"/>
      <c r="BD334" s="16"/>
      <c r="BE334" s="86">
        <v>2020</v>
      </c>
      <c r="BF334" s="87" t="s">
        <v>40</v>
      </c>
      <c r="BG334" s="15">
        <f t="shared" si="389"/>
        <v>0.92907027498908779</v>
      </c>
      <c r="BH334" s="15">
        <f t="shared" si="390"/>
        <v>0.98862052949372969</v>
      </c>
      <c r="BI334" s="15">
        <f t="shared" si="391"/>
        <v>0.93976429506765602</v>
      </c>
      <c r="BJ334" s="16">
        <v>164</v>
      </c>
      <c r="BK334" s="16">
        <v>7</v>
      </c>
      <c r="BL334" s="16">
        <v>4582</v>
      </c>
      <c r="BM334" s="16">
        <f t="shared" si="369"/>
        <v>276</v>
      </c>
      <c r="BN334" s="16">
        <v>4306</v>
      </c>
      <c r="BO334" s="16">
        <v>4257</v>
      </c>
      <c r="BP334" s="16">
        <f t="shared" si="370"/>
        <v>49</v>
      </c>
      <c r="BQ334" s="16"/>
      <c r="BR334" s="16"/>
      <c r="BS334" s="86">
        <v>2020</v>
      </c>
      <c r="BT334" s="87" t="s">
        <v>40</v>
      </c>
      <c r="BU334" s="15">
        <f t="shared" si="392"/>
        <v>0.91529605263157898</v>
      </c>
      <c r="BV334" s="15">
        <f t="shared" si="393"/>
        <v>0.98582816651904337</v>
      </c>
      <c r="BW334" s="15">
        <f t="shared" si="394"/>
        <v>0.92845394736842102</v>
      </c>
      <c r="BX334" s="16">
        <v>83</v>
      </c>
      <c r="BY334" s="16">
        <v>7</v>
      </c>
      <c r="BZ334" s="16">
        <v>2432</v>
      </c>
      <c r="CA334" s="16">
        <f t="shared" si="371"/>
        <v>174</v>
      </c>
      <c r="CB334" s="16">
        <v>2258</v>
      </c>
      <c r="CC334" s="16">
        <v>2226</v>
      </c>
      <c r="CD334" s="16">
        <f t="shared" si="372"/>
        <v>32</v>
      </c>
      <c r="CE334" s="16"/>
      <c r="CF334" s="16"/>
      <c r="CG334" s="86">
        <v>2020</v>
      </c>
      <c r="CH334" s="87" t="s">
        <v>40</v>
      </c>
      <c r="CI334" s="15">
        <f t="shared" si="395"/>
        <v>0.92397660818713445</v>
      </c>
      <c r="CJ334" s="15">
        <f t="shared" si="396"/>
        <v>0.98698594482040602</v>
      </c>
      <c r="CK334" s="15">
        <f t="shared" si="397"/>
        <v>0.93615984405458086</v>
      </c>
      <c r="CL334" s="16">
        <v>72</v>
      </c>
      <c r="CM334" s="16">
        <v>7</v>
      </c>
      <c r="CN334" s="16">
        <v>2052</v>
      </c>
      <c r="CO334" s="16">
        <f t="shared" si="373"/>
        <v>131</v>
      </c>
      <c r="CP334" s="16">
        <v>1921</v>
      </c>
      <c r="CQ334" s="16">
        <v>1896</v>
      </c>
      <c r="CR334" s="16">
        <f t="shared" si="374"/>
        <v>25</v>
      </c>
      <c r="CS334" s="16"/>
      <c r="CT334" s="16"/>
      <c r="CU334" s="86">
        <v>2020</v>
      </c>
      <c r="CV334" s="87" t="s">
        <v>40</v>
      </c>
      <c r="CW334" s="15">
        <f t="shared" si="398"/>
        <v>0.49641577060931902</v>
      </c>
      <c r="CX334" s="15">
        <f t="shared" si="399"/>
        <v>0.99461400359066432</v>
      </c>
      <c r="CY334" s="15">
        <f t="shared" si="400"/>
        <v>0.49910394265232977</v>
      </c>
      <c r="CZ334" s="16">
        <v>37</v>
      </c>
      <c r="DA334" s="16">
        <v>3</v>
      </c>
      <c r="DB334" s="16">
        <v>1116</v>
      </c>
      <c r="DC334" s="16">
        <f t="shared" si="375"/>
        <v>559</v>
      </c>
      <c r="DD334" s="16">
        <v>557</v>
      </c>
      <c r="DE334" s="16">
        <v>554</v>
      </c>
      <c r="DF334" s="16">
        <f t="shared" si="376"/>
        <v>3</v>
      </c>
      <c r="DG334" s="16"/>
      <c r="DH334" s="16"/>
      <c r="DI334" s="86">
        <v>2020</v>
      </c>
      <c r="DJ334" s="87" t="s">
        <v>40</v>
      </c>
      <c r="DK334" s="15"/>
      <c r="DL334" s="15"/>
      <c r="DM334" s="15"/>
      <c r="DN334" s="16"/>
      <c r="DO334" s="16"/>
      <c r="DP334" s="16"/>
      <c r="DQ334" s="16"/>
      <c r="DR334" s="16"/>
      <c r="DS334" s="16"/>
      <c r="DT334" s="16"/>
      <c r="DU334" s="19" t="s">
        <v>67</v>
      </c>
      <c r="DV334" s="16"/>
      <c r="DW334" s="86">
        <v>2020</v>
      </c>
      <c r="DX334" s="87" t="s">
        <v>40</v>
      </c>
      <c r="DY334" s="15">
        <f t="shared" si="401"/>
        <v>0.27572964669738864</v>
      </c>
      <c r="DZ334" s="15">
        <f t="shared" si="402"/>
        <v>0.95733333333333337</v>
      </c>
      <c r="EA334" s="15">
        <f t="shared" si="403"/>
        <v>0.28801843317972348</v>
      </c>
      <c r="EB334" s="16">
        <v>57</v>
      </c>
      <c r="EC334" s="16">
        <v>3</v>
      </c>
      <c r="ED334" s="16">
        <v>1302</v>
      </c>
      <c r="EE334" s="16">
        <f t="shared" si="382"/>
        <v>927</v>
      </c>
      <c r="EF334" s="16">
        <v>375</v>
      </c>
      <c r="EG334" s="16">
        <v>359</v>
      </c>
      <c r="EH334" s="16">
        <f t="shared" si="379"/>
        <v>16</v>
      </c>
      <c r="EI334" s="19" t="s">
        <v>84</v>
      </c>
      <c r="EJ334" s="16"/>
      <c r="EK334" s="86">
        <v>2020</v>
      </c>
      <c r="EL334" s="87" t="s">
        <v>40</v>
      </c>
      <c r="EM334" s="15"/>
      <c r="EN334" s="15"/>
      <c r="EO334" s="15"/>
      <c r="EP334" s="16"/>
      <c r="EQ334" s="16"/>
      <c r="ER334" s="16"/>
      <c r="ES334" s="16"/>
      <c r="ET334" s="16"/>
      <c r="EU334" s="16"/>
      <c r="EV334" s="16"/>
      <c r="EW334" s="19" t="s">
        <v>71</v>
      </c>
      <c r="EX334" s="16"/>
      <c r="EY334" s="86"/>
      <c r="EZ334" s="87"/>
      <c r="FA334" s="15"/>
      <c r="FB334" s="15"/>
      <c r="FC334" s="15"/>
      <c r="FD334" s="16"/>
      <c r="FE334" s="16"/>
      <c r="FF334" s="16"/>
      <c r="FG334" s="16"/>
      <c r="FH334" s="16"/>
      <c r="FI334" s="16"/>
      <c r="FJ334" s="16"/>
      <c r="FK334" s="19" t="s">
        <v>84</v>
      </c>
      <c r="FM334" s="86"/>
      <c r="FN334" s="87"/>
      <c r="FO334" s="15"/>
      <c r="FP334" s="15"/>
      <c r="FQ334" s="15"/>
      <c r="FR334" s="16"/>
      <c r="FS334" s="16"/>
      <c r="FT334" s="16"/>
      <c r="FU334" s="16"/>
      <c r="FV334" s="16"/>
      <c r="FW334" s="16"/>
      <c r="FX334" s="16"/>
      <c r="FY334" s="19" t="s">
        <v>84</v>
      </c>
      <c r="GA334" s="86"/>
      <c r="GB334" s="87"/>
      <c r="GC334" s="15"/>
      <c r="GD334" s="15"/>
      <c r="GE334" s="15"/>
      <c r="GF334" s="16"/>
      <c r="GG334" s="16"/>
      <c r="GH334" s="16"/>
      <c r="GI334" s="16"/>
      <c r="GJ334" s="16"/>
      <c r="GK334" s="16"/>
      <c r="GL334" s="16"/>
      <c r="GM334" s="19"/>
    </row>
    <row r="335" spans="1:195" s="18" customFormat="1" ht="15" customHeight="1">
      <c r="A335" s="84">
        <v>2020</v>
      </c>
      <c r="B335" s="85" t="s">
        <v>41</v>
      </c>
      <c r="C335" s="15">
        <f t="shared" si="407"/>
        <v>0.87770153573262377</v>
      </c>
      <c r="D335" s="15">
        <f t="shared" si="408"/>
        <v>0.98506915339480305</v>
      </c>
      <c r="E335" s="15">
        <f t="shared" si="409"/>
        <v>0.89100499463193761</v>
      </c>
      <c r="F33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5"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6.8088851634534784</v>
      </c>
      <c r="H33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21423</v>
      </c>
      <c r="I335" s="16">
        <f t="shared" si="410"/>
        <v>2335</v>
      </c>
      <c r="J33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19088</v>
      </c>
      <c r="K33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18803</v>
      </c>
      <c r="L335" s="16">
        <f t="shared" si="411"/>
        <v>285</v>
      </c>
      <c r="M335" s="16"/>
      <c r="O335" s="84">
        <v>2020</v>
      </c>
      <c r="P335" s="85" t="s">
        <v>41</v>
      </c>
      <c r="Q335" s="44">
        <f t="shared" ref="Q335:Q341" si="412">Y335/V335</f>
        <v>0.9392340758108636</v>
      </c>
      <c r="R335" s="44">
        <f t="shared" ref="R335:R341" si="413">Y335/X335</f>
        <v>0.98625359048009853</v>
      </c>
      <c r="S335" s="44">
        <f t="shared" ref="S335:S341" si="414">X335/V335</f>
        <v>0.95232512700273542</v>
      </c>
      <c r="T335" s="26">
        <v>198</v>
      </c>
      <c r="U335" s="26">
        <v>7</v>
      </c>
      <c r="V335" s="16">
        <v>5118</v>
      </c>
      <c r="W335" s="16">
        <f t="shared" ref="W335:W341" si="415">V335-X335</f>
        <v>244</v>
      </c>
      <c r="X335" s="16">
        <v>4874</v>
      </c>
      <c r="Y335" s="16">
        <v>4807</v>
      </c>
      <c r="Z335" s="16">
        <f t="shared" ref="Z335:Z341" si="416">X335-Y335</f>
        <v>67</v>
      </c>
      <c r="AA335" s="16"/>
      <c r="AB335" s="16"/>
      <c r="AC335" s="84"/>
      <c r="AD335" s="85"/>
      <c r="AE335" s="44"/>
      <c r="AF335" s="44"/>
      <c r="AG335" s="44"/>
      <c r="AH335" s="44"/>
      <c r="AI335" s="44"/>
      <c r="AJ335" s="16"/>
      <c r="AK335" s="16"/>
      <c r="AL335" s="16"/>
      <c r="AM335" s="16"/>
      <c r="AN335" s="16"/>
      <c r="AO335" s="16"/>
      <c r="AQ335" s="84">
        <v>2020</v>
      </c>
      <c r="AR335" s="85" t="s">
        <v>41</v>
      </c>
      <c r="AS335" s="44">
        <f t="shared" ref="AS335:AS341" si="417">BA335/AX335</f>
        <v>0.95078031212484992</v>
      </c>
      <c r="AT335" s="44">
        <f t="shared" ref="AT335:AT341" si="418">BA335/AZ335</f>
        <v>0.98773643733111616</v>
      </c>
      <c r="AU335" s="44">
        <f t="shared" ref="AU335:AU341" si="419">AZ335/AX335</f>
        <v>0.9625850340136054</v>
      </c>
      <c r="AV335" s="16">
        <v>193</v>
      </c>
      <c r="AW335" s="16">
        <v>7</v>
      </c>
      <c r="AX335" s="16">
        <v>4998</v>
      </c>
      <c r="AY335" s="16">
        <f t="shared" ref="AY335:AY341" si="420">AX335-AZ335</f>
        <v>187</v>
      </c>
      <c r="AZ335" s="16">
        <v>4811</v>
      </c>
      <c r="BA335" s="16">
        <v>4752</v>
      </c>
      <c r="BB335" s="16">
        <f t="shared" ref="BB335:BB341" si="421">AZ335-BA335</f>
        <v>59</v>
      </c>
      <c r="BC335" s="16"/>
      <c r="BE335" s="84">
        <v>2020</v>
      </c>
      <c r="BF335" s="85" t="s">
        <v>41</v>
      </c>
      <c r="BG335" s="44">
        <f t="shared" ref="BG335:BG341" si="422">BO335/BL335</f>
        <v>0.95064187693669766</v>
      </c>
      <c r="BH335" s="44">
        <f t="shared" ref="BH335:BH341" si="423">BO335/BN335</f>
        <v>0.98464007336084369</v>
      </c>
      <c r="BI335" s="44">
        <f t="shared" ref="BI335:BI341" si="424">BN335/BL335</f>
        <v>0.96547144754316072</v>
      </c>
      <c r="BJ335" s="16">
        <v>164</v>
      </c>
      <c r="BK335" s="16">
        <v>7</v>
      </c>
      <c r="BL335" s="16">
        <v>4518</v>
      </c>
      <c r="BM335" s="16">
        <f t="shared" ref="BM335:BM341" si="425">BL335-BN335</f>
        <v>156</v>
      </c>
      <c r="BN335" s="16">
        <v>4362</v>
      </c>
      <c r="BO335" s="16">
        <v>4295</v>
      </c>
      <c r="BP335" s="16">
        <f t="shared" ref="BP335:BP341" si="426">BN335-BO335</f>
        <v>67</v>
      </c>
      <c r="BQ335" s="16"/>
      <c r="BS335" s="84">
        <v>2020</v>
      </c>
      <c r="BT335" s="85" t="s">
        <v>41</v>
      </c>
      <c r="BU335" s="44">
        <f t="shared" ref="BU335:BU341" si="427">CC335/BZ335</f>
        <v>0.91656288916562889</v>
      </c>
      <c r="BV335" s="44">
        <f t="shared" ref="BV335:BV341" si="428">CC335/CB335</f>
        <v>0.98659517426273458</v>
      </c>
      <c r="BW335" s="44">
        <f t="shared" ref="BW335:BW341" si="429">CB335/BZ335</f>
        <v>0.92901618929016194</v>
      </c>
      <c r="BX335" s="16">
        <v>83</v>
      </c>
      <c r="BY335" s="16">
        <v>7</v>
      </c>
      <c r="BZ335" s="16">
        <v>2409</v>
      </c>
      <c r="CA335" s="16">
        <f t="shared" ref="CA335:CA341" si="430">BZ335-CB335</f>
        <v>171</v>
      </c>
      <c r="CB335" s="16">
        <v>2238</v>
      </c>
      <c r="CC335" s="16">
        <v>2208</v>
      </c>
      <c r="CD335" s="16">
        <f t="shared" ref="CD335:CD341" si="431">CB335-CC335</f>
        <v>30</v>
      </c>
      <c r="CE335" s="16"/>
      <c r="CG335" s="84">
        <v>2020</v>
      </c>
      <c r="CH335" s="85" t="s">
        <v>41</v>
      </c>
      <c r="CI335" s="44">
        <f t="shared" ref="CI335:CI341" si="432">CQ335/CN335</f>
        <v>0.91323529411764703</v>
      </c>
      <c r="CJ335" s="44">
        <f t="shared" ref="CJ335:CJ341" si="433">CQ335/CP335</f>
        <v>0.98519301956636696</v>
      </c>
      <c r="CK335" s="44">
        <f t="shared" ref="CK335:CK341" si="434">CP335/CN335</f>
        <v>0.92696078431372553</v>
      </c>
      <c r="CL335" s="16">
        <v>72</v>
      </c>
      <c r="CM335" s="16">
        <v>7</v>
      </c>
      <c r="CN335" s="16">
        <v>2040</v>
      </c>
      <c r="CO335" s="16">
        <f t="shared" ref="CO335:CO341" si="435">CN335-CP335</f>
        <v>149</v>
      </c>
      <c r="CP335" s="16">
        <v>1891</v>
      </c>
      <c r="CQ335" s="16">
        <v>1863</v>
      </c>
      <c r="CR335" s="16">
        <f t="shared" ref="CR335:CR341" si="436">CP335-CQ335</f>
        <v>28</v>
      </c>
      <c r="CS335" s="16"/>
      <c r="CU335" s="84">
        <v>2020</v>
      </c>
      <c r="CV335" s="85" t="s">
        <v>41</v>
      </c>
      <c r="CW335" s="44">
        <f t="shared" ref="CW335:CW341" si="437">DE335/DB335</f>
        <v>0.49074074074074076</v>
      </c>
      <c r="CX335" s="44">
        <f t="shared" ref="CX335:CX341" si="438">DE335/DD335</f>
        <v>0.98513011152416352</v>
      </c>
      <c r="CY335" s="44">
        <f t="shared" ref="CY335:CY341" si="439">DD335/DB335</f>
        <v>0.49814814814814817</v>
      </c>
      <c r="CZ335" s="16">
        <v>37</v>
      </c>
      <c r="DA335" s="16">
        <v>3</v>
      </c>
      <c r="DB335" s="16">
        <v>1080</v>
      </c>
      <c r="DC335" s="16">
        <f t="shared" ref="DC335:DC341" si="440">DB335-DD335</f>
        <v>542</v>
      </c>
      <c r="DD335" s="16">
        <v>538</v>
      </c>
      <c r="DE335" s="16">
        <v>530</v>
      </c>
      <c r="DF335" s="16">
        <f t="shared" ref="DF335:DF341" si="441">DD335-DE335</f>
        <v>8</v>
      </c>
      <c r="DG335" s="16"/>
      <c r="DI335" s="84">
        <v>2020</v>
      </c>
      <c r="DJ335" s="85" t="s">
        <v>41</v>
      </c>
      <c r="DK335" s="44"/>
      <c r="DL335" s="44"/>
      <c r="DM335" s="44"/>
      <c r="DN335" s="16"/>
      <c r="DO335" s="16"/>
      <c r="DP335" s="16"/>
      <c r="DQ335" s="16"/>
      <c r="DR335" s="16"/>
      <c r="DS335" s="16"/>
      <c r="DT335" s="16"/>
      <c r="DU335" s="19" t="s">
        <v>67</v>
      </c>
      <c r="DW335" s="84">
        <v>2020</v>
      </c>
      <c r="DX335" s="85" t="s">
        <v>41</v>
      </c>
      <c r="DY335" s="44">
        <f t="shared" ref="DY335:DY340" si="442">EG335/ED335</f>
        <v>0.27619047619047621</v>
      </c>
      <c r="DZ335" s="44">
        <f t="shared" ref="DZ335:DZ340" si="443">EG335/EF335</f>
        <v>0.93048128342245995</v>
      </c>
      <c r="EA335" s="44">
        <f t="shared" ref="EA335:EA340" si="444">EF335/ED335</f>
        <v>0.29682539682539683</v>
      </c>
      <c r="EB335" s="16">
        <v>57</v>
      </c>
      <c r="EC335" s="16">
        <v>3</v>
      </c>
      <c r="ED335" s="16">
        <v>1260</v>
      </c>
      <c r="EE335" s="16">
        <f t="shared" ref="EE335:EE340" si="445">ED335-EF335</f>
        <v>886</v>
      </c>
      <c r="EF335" s="16">
        <v>374</v>
      </c>
      <c r="EG335" s="16">
        <v>348</v>
      </c>
      <c r="EH335" s="16">
        <f t="shared" ref="EH335:EH340" si="446">EF335-EG335</f>
        <v>26</v>
      </c>
      <c r="EI335" s="19" t="s">
        <v>84</v>
      </c>
      <c r="EK335" s="84">
        <v>2020</v>
      </c>
      <c r="EL335" s="85" t="s">
        <v>41</v>
      </c>
      <c r="EM335" s="44"/>
      <c r="EN335" s="44"/>
      <c r="EO335" s="44"/>
      <c r="EP335" s="16"/>
      <c r="EQ335" s="16"/>
      <c r="ER335" s="16"/>
      <c r="ES335" s="16"/>
      <c r="ET335" s="16"/>
      <c r="EU335" s="16"/>
      <c r="EV335" s="16"/>
      <c r="EW335" s="19" t="s">
        <v>71</v>
      </c>
      <c r="EY335" s="84"/>
      <c r="EZ335" s="85"/>
      <c r="FA335" s="44"/>
      <c r="FB335" s="44"/>
      <c r="FC335" s="44"/>
      <c r="FD335" s="16"/>
      <c r="FE335" s="16"/>
      <c r="FF335" s="16"/>
      <c r="FG335" s="16"/>
      <c r="FH335" s="16"/>
      <c r="FI335" s="16"/>
      <c r="FJ335" s="16"/>
      <c r="FK335" s="19" t="s">
        <v>84</v>
      </c>
      <c r="FM335" s="84"/>
      <c r="FN335" s="85"/>
      <c r="FO335" s="44"/>
      <c r="FP335" s="44"/>
      <c r="FQ335" s="44"/>
      <c r="FR335" s="16"/>
      <c r="FS335" s="16"/>
      <c r="FT335" s="16"/>
      <c r="FU335" s="16"/>
      <c r="FV335" s="16"/>
      <c r="FW335" s="16"/>
      <c r="FX335" s="16"/>
      <c r="FY335" s="19" t="s">
        <v>84</v>
      </c>
      <c r="GA335" s="84"/>
      <c r="GB335" s="85"/>
      <c r="GC335" s="44"/>
      <c r="GD335" s="44"/>
      <c r="GE335" s="44"/>
      <c r="GF335" s="16"/>
      <c r="GG335" s="16"/>
      <c r="GH335" s="16"/>
      <c r="GI335" s="16"/>
      <c r="GJ335" s="16"/>
      <c r="GK335" s="16"/>
      <c r="GL335" s="16"/>
      <c r="GM335" s="19"/>
    </row>
    <row r="336" spans="1:195" s="18" customFormat="1" ht="15" customHeight="1">
      <c r="A336" s="86">
        <v>2020</v>
      </c>
      <c r="B336" s="87" t="s">
        <v>42</v>
      </c>
      <c r="C336" s="15">
        <f t="shared" si="407"/>
        <v>0.80426207209249601</v>
      </c>
      <c r="D336" s="15">
        <f t="shared" si="408"/>
        <v>0.98418687232980084</v>
      </c>
      <c r="E336" s="15">
        <f t="shared" si="409"/>
        <v>0.81718431194740426</v>
      </c>
      <c r="F336"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6"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6.7942628863119348</v>
      </c>
      <c r="H33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22055</v>
      </c>
      <c r="I336" s="16">
        <f t="shared" si="410"/>
        <v>4032</v>
      </c>
      <c r="J33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18023</v>
      </c>
      <c r="K33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17738</v>
      </c>
      <c r="L336" s="16">
        <f t="shared" si="411"/>
        <v>285</v>
      </c>
      <c r="M336" s="16"/>
      <c r="O336" s="86">
        <v>2020</v>
      </c>
      <c r="P336" s="87" t="s">
        <v>42</v>
      </c>
      <c r="Q336" s="44">
        <f t="shared" si="412"/>
        <v>0.83682008368200833</v>
      </c>
      <c r="R336" s="44">
        <f t="shared" si="413"/>
        <v>0.9821428571428571</v>
      </c>
      <c r="S336" s="44">
        <f t="shared" si="414"/>
        <v>0.85203499429440854</v>
      </c>
      <c r="T336" s="26">
        <v>198</v>
      </c>
      <c r="U336" s="26">
        <v>7</v>
      </c>
      <c r="V336" s="16">
        <v>5258</v>
      </c>
      <c r="W336" s="16">
        <f t="shared" si="415"/>
        <v>778</v>
      </c>
      <c r="X336" s="16">
        <v>4480</v>
      </c>
      <c r="Y336" s="16">
        <v>4400</v>
      </c>
      <c r="Z336" s="16">
        <f t="shared" si="416"/>
        <v>80</v>
      </c>
      <c r="AA336" s="16"/>
      <c r="AB336" s="16"/>
      <c r="AC336" s="86"/>
      <c r="AD336" s="87"/>
      <c r="AE336" s="44"/>
      <c r="AF336" s="44"/>
      <c r="AG336" s="44"/>
      <c r="AH336" s="44"/>
      <c r="AI336" s="44"/>
      <c r="AJ336" s="16"/>
      <c r="AK336" s="16"/>
      <c r="AL336" s="16"/>
      <c r="AM336" s="16"/>
      <c r="AN336" s="16"/>
      <c r="AO336" s="16"/>
      <c r="AQ336" s="86">
        <v>2020</v>
      </c>
      <c r="AR336" s="87" t="s">
        <v>42</v>
      </c>
      <c r="AS336" s="44">
        <f t="shared" si="417"/>
        <v>0.93380062305295952</v>
      </c>
      <c r="AT336" s="44">
        <f t="shared" si="418"/>
        <v>0.98845836768342954</v>
      </c>
      <c r="AU336" s="44">
        <f t="shared" si="419"/>
        <v>0.94470404984423673</v>
      </c>
      <c r="AV336" s="16">
        <v>193</v>
      </c>
      <c r="AW336" s="16">
        <v>7</v>
      </c>
      <c r="AX336" s="16">
        <v>5136</v>
      </c>
      <c r="AY336" s="16">
        <f t="shared" si="420"/>
        <v>284</v>
      </c>
      <c r="AZ336" s="16">
        <v>4852</v>
      </c>
      <c r="BA336" s="16">
        <v>4796</v>
      </c>
      <c r="BB336" s="16">
        <f t="shared" si="421"/>
        <v>56</v>
      </c>
      <c r="BC336" s="16"/>
      <c r="BE336" s="86">
        <v>2020</v>
      </c>
      <c r="BF336" s="87" t="s">
        <v>42</v>
      </c>
      <c r="BG336" s="44">
        <f t="shared" si="422"/>
        <v>0.8813304721030043</v>
      </c>
      <c r="BH336" s="44">
        <f t="shared" si="423"/>
        <v>0.98183122161128378</v>
      </c>
      <c r="BI336" s="44">
        <f t="shared" si="424"/>
        <v>0.89763948497854074</v>
      </c>
      <c r="BJ336" s="16">
        <v>164</v>
      </c>
      <c r="BK336" s="16">
        <v>7</v>
      </c>
      <c r="BL336" s="16">
        <v>4660</v>
      </c>
      <c r="BM336" s="16">
        <f t="shared" si="425"/>
        <v>477</v>
      </c>
      <c r="BN336" s="16">
        <v>4183</v>
      </c>
      <c r="BO336" s="16">
        <v>4107</v>
      </c>
      <c r="BP336" s="16">
        <f t="shared" si="426"/>
        <v>76</v>
      </c>
      <c r="BQ336" s="16"/>
      <c r="BS336" s="86">
        <v>2020</v>
      </c>
      <c r="BT336" s="87" t="s">
        <v>42</v>
      </c>
      <c r="BU336" s="44">
        <f t="shared" si="427"/>
        <v>0.90737011679420054</v>
      </c>
      <c r="BV336" s="44">
        <f t="shared" si="428"/>
        <v>0.98513336248360295</v>
      </c>
      <c r="BW336" s="44">
        <f t="shared" si="429"/>
        <v>0.92106322996375356</v>
      </c>
      <c r="BX336" s="16">
        <v>83</v>
      </c>
      <c r="BY336" s="16">
        <v>7</v>
      </c>
      <c r="BZ336" s="16">
        <v>2483</v>
      </c>
      <c r="CA336" s="16">
        <f t="shared" si="430"/>
        <v>196</v>
      </c>
      <c r="CB336" s="16">
        <v>2287</v>
      </c>
      <c r="CC336" s="16">
        <v>2253</v>
      </c>
      <c r="CD336" s="16">
        <f t="shared" si="431"/>
        <v>34</v>
      </c>
      <c r="CE336" s="16"/>
      <c r="CG336" s="86">
        <v>2020</v>
      </c>
      <c r="CH336" s="87" t="s">
        <v>42</v>
      </c>
      <c r="CI336" s="44">
        <f t="shared" si="432"/>
        <v>0.60238095238095235</v>
      </c>
      <c r="CJ336" s="44">
        <f t="shared" si="433"/>
        <v>0.97758887171561049</v>
      </c>
      <c r="CK336" s="44">
        <f t="shared" si="434"/>
        <v>0.61619047619047618</v>
      </c>
      <c r="CL336" s="16">
        <v>72</v>
      </c>
      <c r="CM336" s="16">
        <v>7</v>
      </c>
      <c r="CN336" s="16">
        <v>2100</v>
      </c>
      <c r="CO336" s="16">
        <f t="shared" si="435"/>
        <v>806</v>
      </c>
      <c r="CP336" s="16">
        <v>1294</v>
      </c>
      <c r="CQ336" s="16">
        <v>1265</v>
      </c>
      <c r="CR336" s="16">
        <f t="shared" si="436"/>
        <v>29</v>
      </c>
      <c r="CS336" s="16"/>
      <c r="CU336" s="86">
        <v>2020</v>
      </c>
      <c r="CV336" s="87" t="s">
        <v>41</v>
      </c>
      <c r="CW336" s="44">
        <f t="shared" si="437"/>
        <v>0.478494623655914</v>
      </c>
      <c r="CX336" s="44">
        <f t="shared" si="438"/>
        <v>0.99072356215213353</v>
      </c>
      <c r="CY336" s="44">
        <f t="shared" si="439"/>
        <v>0.48297491039426521</v>
      </c>
      <c r="CZ336" s="16">
        <v>37</v>
      </c>
      <c r="DA336" s="16">
        <v>3</v>
      </c>
      <c r="DB336" s="16">
        <v>1116</v>
      </c>
      <c r="DC336" s="16">
        <f t="shared" si="440"/>
        <v>577</v>
      </c>
      <c r="DD336" s="16">
        <v>539</v>
      </c>
      <c r="DE336" s="16">
        <v>534</v>
      </c>
      <c r="DF336" s="16">
        <f t="shared" si="441"/>
        <v>5</v>
      </c>
      <c r="DG336" s="16"/>
      <c r="DI336" s="86">
        <v>2020</v>
      </c>
      <c r="DJ336" s="87" t="s">
        <v>42</v>
      </c>
      <c r="DK336" s="44"/>
      <c r="DL336" s="44"/>
      <c r="DM336" s="44"/>
      <c r="DN336" s="16"/>
      <c r="DO336" s="16"/>
      <c r="DP336" s="16"/>
      <c r="DQ336" s="16"/>
      <c r="DR336" s="16"/>
      <c r="DS336" s="16"/>
      <c r="DT336" s="16"/>
      <c r="DU336" s="19" t="s">
        <v>67</v>
      </c>
      <c r="DW336" s="86">
        <v>2020</v>
      </c>
      <c r="DX336" s="87" t="s">
        <v>42</v>
      </c>
      <c r="DY336" s="44">
        <f t="shared" si="442"/>
        <v>0.29416282642089092</v>
      </c>
      <c r="DZ336" s="44">
        <f t="shared" si="443"/>
        <v>0.98711340206185572</v>
      </c>
      <c r="EA336" s="44">
        <f t="shared" si="444"/>
        <v>0.29800307219662059</v>
      </c>
      <c r="EB336" s="16">
        <v>57</v>
      </c>
      <c r="EC336" s="16">
        <v>3</v>
      </c>
      <c r="ED336" s="16">
        <v>1302</v>
      </c>
      <c r="EE336" s="16">
        <f t="shared" si="445"/>
        <v>914</v>
      </c>
      <c r="EF336" s="16">
        <v>388</v>
      </c>
      <c r="EG336" s="16">
        <v>383</v>
      </c>
      <c r="EH336" s="16">
        <f t="shared" si="446"/>
        <v>5</v>
      </c>
      <c r="EI336" s="19" t="s">
        <v>84</v>
      </c>
      <c r="EK336" s="86">
        <v>2020</v>
      </c>
      <c r="EL336" s="87" t="s">
        <v>42</v>
      </c>
      <c r="EM336" s="44"/>
      <c r="EN336" s="44"/>
      <c r="EO336" s="44"/>
      <c r="EP336" s="16"/>
      <c r="EQ336" s="16"/>
      <c r="ER336" s="16"/>
      <c r="ES336" s="16"/>
      <c r="ET336" s="16"/>
      <c r="EU336" s="16"/>
      <c r="EV336" s="16"/>
      <c r="EW336" s="19" t="s">
        <v>71</v>
      </c>
      <c r="EY336" s="86"/>
      <c r="EZ336" s="87"/>
      <c r="FA336" s="44"/>
      <c r="FB336" s="44"/>
      <c r="FC336" s="44"/>
      <c r="FD336" s="16"/>
      <c r="FE336" s="16"/>
      <c r="FF336" s="16"/>
      <c r="FG336" s="16"/>
      <c r="FH336" s="16"/>
      <c r="FI336" s="16"/>
      <c r="FJ336" s="16"/>
      <c r="FK336" s="19" t="s">
        <v>84</v>
      </c>
      <c r="FM336" s="86"/>
      <c r="FN336" s="87"/>
      <c r="FO336" s="44"/>
      <c r="FP336" s="44"/>
      <c r="FQ336" s="44"/>
      <c r="FR336" s="16"/>
      <c r="FS336" s="16"/>
      <c r="FT336" s="16"/>
      <c r="FU336" s="16"/>
      <c r="FV336" s="16"/>
      <c r="FW336" s="16"/>
      <c r="FX336" s="16"/>
      <c r="FY336" s="19" t="s">
        <v>84</v>
      </c>
      <c r="GA336" s="86"/>
      <c r="GB336" s="87"/>
      <c r="GC336" s="44"/>
      <c r="GD336" s="44"/>
      <c r="GE336" s="44"/>
      <c r="GF336" s="16"/>
      <c r="GG336" s="16"/>
      <c r="GH336" s="16"/>
      <c r="GI336" s="16"/>
      <c r="GJ336" s="16"/>
      <c r="GK336" s="16"/>
      <c r="GL336" s="16"/>
      <c r="GM336" s="19"/>
    </row>
    <row r="337" spans="1:195" s="18" customFormat="1" ht="15" customHeight="1">
      <c r="A337" s="86">
        <v>2020</v>
      </c>
      <c r="B337" s="87" t="s">
        <v>43</v>
      </c>
      <c r="C337" s="15">
        <f t="shared" si="407"/>
        <v>0.85180447693010508</v>
      </c>
      <c r="D337" s="15">
        <f t="shared" si="408"/>
        <v>0.98614343135180871</v>
      </c>
      <c r="E337" s="15">
        <f t="shared" si="409"/>
        <v>0.86377341251713113</v>
      </c>
      <c r="F337"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7"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6.8045271842606301</v>
      </c>
      <c r="H33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21890</v>
      </c>
      <c r="I337" s="16">
        <f t="shared" si="410"/>
        <v>2982</v>
      </c>
      <c r="J33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18908</v>
      </c>
      <c r="K33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18646</v>
      </c>
      <c r="L337" s="16">
        <f t="shared" si="411"/>
        <v>262</v>
      </c>
      <c r="M337" s="16"/>
      <c r="O337" s="86">
        <v>2020</v>
      </c>
      <c r="P337" s="87" t="s">
        <v>43</v>
      </c>
      <c r="Q337" s="44">
        <f t="shared" si="412"/>
        <v>0.85538461538461541</v>
      </c>
      <c r="R337" s="44">
        <f t="shared" si="413"/>
        <v>0.9758666081614743</v>
      </c>
      <c r="S337" s="44">
        <f t="shared" si="414"/>
        <v>0.87653846153846149</v>
      </c>
      <c r="T337" s="26">
        <v>198</v>
      </c>
      <c r="U337" s="26">
        <v>7</v>
      </c>
      <c r="V337" s="16">
        <v>5200</v>
      </c>
      <c r="W337" s="16">
        <f t="shared" si="415"/>
        <v>642</v>
      </c>
      <c r="X337" s="16">
        <v>4558</v>
      </c>
      <c r="Y337" s="16">
        <v>4448</v>
      </c>
      <c r="Z337" s="16">
        <f t="shared" si="416"/>
        <v>110</v>
      </c>
      <c r="AA337" s="16"/>
      <c r="AB337" s="16"/>
      <c r="AC337" s="86"/>
      <c r="AD337" s="87"/>
      <c r="AE337" s="44"/>
      <c r="AF337" s="44"/>
      <c r="AG337" s="44"/>
      <c r="AH337" s="44"/>
      <c r="AI337" s="44"/>
      <c r="AJ337" s="16"/>
      <c r="AK337" s="16"/>
      <c r="AL337" s="16"/>
      <c r="AM337" s="16"/>
      <c r="AN337" s="16"/>
      <c r="AO337" s="16"/>
      <c r="AQ337" s="86">
        <v>2020</v>
      </c>
      <c r="AR337" s="87" t="s">
        <v>43</v>
      </c>
      <c r="AS337" s="44">
        <f t="shared" si="417"/>
        <v>0.93467138921684378</v>
      </c>
      <c r="AT337" s="44">
        <f t="shared" si="418"/>
        <v>0.98650051921079962</v>
      </c>
      <c r="AU337" s="44">
        <f t="shared" si="419"/>
        <v>0.94746162927981115</v>
      </c>
      <c r="AV337" s="16">
        <v>193</v>
      </c>
      <c r="AW337" s="16">
        <v>7</v>
      </c>
      <c r="AX337" s="16">
        <v>5082</v>
      </c>
      <c r="AY337" s="16">
        <f t="shared" si="420"/>
        <v>267</v>
      </c>
      <c r="AZ337" s="16">
        <v>4815</v>
      </c>
      <c r="BA337" s="16">
        <v>4750</v>
      </c>
      <c r="BB337" s="16">
        <f t="shared" si="421"/>
        <v>65</v>
      </c>
      <c r="BC337" s="16"/>
      <c r="BE337" s="86">
        <v>2020</v>
      </c>
      <c r="BF337" s="87" t="s">
        <v>43</v>
      </c>
      <c r="BG337" s="44">
        <f t="shared" si="422"/>
        <v>0.93984476067270373</v>
      </c>
      <c r="BH337" s="44">
        <f t="shared" si="423"/>
        <v>0.98978201634877383</v>
      </c>
      <c r="BI337" s="44">
        <f t="shared" si="424"/>
        <v>0.94954721862871927</v>
      </c>
      <c r="BJ337" s="16">
        <v>164</v>
      </c>
      <c r="BK337" s="16">
        <v>7</v>
      </c>
      <c r="BL337" s="16">
        <v>4638</v>
      </c>
      <c r="BM337" s="16">
        <f t="shared" si="425"/>
        <v>234</v>
      </c>
      <c r="BN337" s="16">
        <v>4404</v>
      </c>
      <c r="BO337" s="16">
        <v>4359</v>
      </c>
      <c r="BP337" s="16">
        <f t="shared" si="426"/>
        <v>45</v>
      </c>
      <c r="BQ337" s="16"/>
      <c r="BS337" s="86">
        <v>2020</v>
      </c>
      <c r="BT337" s="87" t="s">
        <v>43</v>
      </c>
      <c r="BU337" s="44">
        <f t="shared" si="427"/>
        <v>0.91936790923824963</v>
      </c>
      <c r="BV337" s="44">
        <f t="shared" si="428"/>
        <v>0.99604916593503068</v>
      </c>
      <c r="BW337" s="44">
        <f t="shared" si="429"/>
        <v>0.92301458670988656</v>
      </c>
      <c r="BX337" s="16">
        <v>83</v>
      </c>
      <c r="BY337" s="16">
        <v>7</v>
      </c>
      <c r="BZ337" s="16">
        <v>2468</v>
      </c>
      <c r="CA337" s="16">
        <f t="shared" si="430"/>
        <v>190</v>
      </c>
      <c r="CB337" s="16">
        <v>2278</v>
      </c>
      <c r="CC337" s="16">
        <v>2269</v>
      </c>
      <c r="CD337" s="16">
        <f t="shared" si="431"/>
        <v>9</v>
      </c>
      <c r="CE337" s="16"/>
      <c r="CG337" s="86">
        <v>2020</v>
      </c>
      <c r="CH337" s="87" t="s">
        <v>43</v>
      </c>
      <c r="CI337" s="44">
        <f t="shared" si="432"/>
        <v>0.91506717850287911</v>
      </c>
      <c r="CJ337" s="44">
        <f t="shared" si="433"/>
        <v>0.9885951270088128</v>
      </c>
      <c r="CK337" s="44">
        <f t="shared" si="434"/>
        <v>0.92562380038387715</v>
      </c>
      <c r="CL337" s="16">
        <v>72</v>
      </c>
      <c r="CM337" s="16">
        <v>7</v>
      </c>
      <c r="CN337" s="16">
        <v>2084</v>
      </c>
      <c r="CO337" s="16">
        <f t="shared" si="435"/>
        <v>155</v>
      </c>
      <c r="CP337" s="16">
        <v>1929</v>
      </c>
      <c r="CQ337" s="16">
        <v>1907</v>
      </c>
      <c r="CR337" s="16">
        <f t="shared" si="436"/>
        <v>22</v>
      </c>
      <c r="CS337" s="16"/>
      <c r="CU337" s="86">
        <v>2020</v>
      </c>
      <c r="CV337" s="87" t="s">
        <v>43</v>
      </c>
      <c r="CW337" s="44">
        <f t="shared" si="437"/>
        <v>0.48207885304659498</v>
      </c>
      <c r="CX337" s="44">
        <f t="shared" si="438"/>
        <v>0.99445471349353054</v>
      </c>
      <c r="CY337" s="44">
        <f t="shared" si="439"/>
        <v>0.48476702508960573</v>
      </c>
      <c r="CZ337" s="16">
        <v>37</v>
      </c>
      <c r="DA337" s="16">
        <v>3</v>
      </c>
      <c r="DB337" s="16">
        <v>1116</v>
      </c>
      <c r="DC337" s="16">
        <f t="shared" si="440"/>
        <v>575</v>
      </c>
      <c r="DD337" s="16">
        <v>541</v>
      </c>
      <c r="DE337" s="16">
        <v>538</v>
      </c>
      <c r="DF337" s="16">
        <f t="shared" si="441"/>
        <v>3</v>
      </c>
      <c r="DG337" s="16"/>
      <c r="DI337" s="86">
        <v>2020</v>
      </c>
      <c r="DJ337" s="87" t="s">
        <v>43</v>
      </c>
      <c r="DK337" s="44"/>
      <c r="DL337" s="44"/>
      <c r="DM337" s="44"/>
      <c r="DN337" s="16"/>
      <c r="DO337" s="16"/>
      <c r="DP337" s="16"/>
      <c r="DQ337" s="16"/>
      <c r="DR337" s="16"/>
      <c r="DS337" s="16"/>
      <c r="DT337" s="16"/>
      <c r="DU337" s="19" t="s">
        <v>67</v>
      </c>
      <c r="DW337" s="86">
        <v>2020</v>
      </c>
      <c r="DX337" s="87" t="s">
        <v>43</v>
      </c>
      <c r="DY337" s="44">
        <f t="shared" si="442"/>
        <v>0.28801843317972348</v>
      </c>
      <c r="DZ337" s="44">
        <f t="shared" si="443"/>
        <v>0.97911227154046998</v>
      </c>
      <c r="EA337" s="44">
        <f t="shared" si="444"/>
        <v>0.29416282642089092</v>
      </c>
      <c r="EB337" s="16">
        <v>57</v>
      </c>
      <c r="EC337" s="16">
        <v>3</v>
      </c>
      <c r="ED337" s="16">
        <v>1302</v>
      </c>
      <c r="EE337" s="16">
        <f t="shared" si="445"/>
        <v>919</v>
      </c>
      <c r="EF337" s="16">
        <v>383</v>
      </c>
      <c r="EG337" s="16">
        <v>375</v>
      </c>
      <c r="EH337" s="16">
        <f t="shared" si="446"/>
        <v>8</v>
      </c>
      <c r="EI337" s="19" t="s">
        <v>84</v>
      </c>
      <c r="EK337" s="86">
        <v>2020</v>
      </c>
      <c r="EL337" s="87" t="s">
        <v>43</v>
      </c>
      <c r="EM337" s="44"/>
      <c r="EN337" s="44"/>
      <c r="EO337" s="44"/>
      <c r="EP337" s="16"/>
      <c r="EQ337" s="16"/>
      <c r="ER337" s="16"/>
      <c r="ES337" s="16"/>
      <c r="ET337" s="16"/>
      <c r="EU337" s="16"/>
      <c r="EV337" s="16"/>
      <c r="EW337" s="19" t="s">
        <v>71</v>
      </c>
      <c r="EY337" s="86"/>
      <c r="EZ337" s="87"/>
      <c r="FA337" s="44"/>
      <c r="FB337" s="44"/>
      <c r="FC337" s="44"/>
      <c r="FD337" s="16"/>
      <c r="FE337" s="16"/>
      <c r="FF337" s="16"/>
      <c r="FG337" s="16"/>
      <c r="FH337" s="16"/>
      <c r="FI337" s="16"/>
      <c r="FJ337" s="16"/>
      <c r="FK337" s="19" t="s">
        <v>84</v>
      </c>
      <c r="FM337" s="86"/>
      <c r="FN337" s="87"/>
      <c r="FO337" s="44"/>
      <c r="FP337" s="44"/>
      <c r="FQ337" s="44"/>
      <c r="FR337" s="16"/>
      <c r="FS337" s="16"/>
      <c r="FT337" s="16"/>
      <c r="FU337" s="16"/>
      <c r="FV337" s="16"/>
      <c r="FW337" s="16"/>
      <c r="FX337" s="16"/>
      <c r="FY337" s="19" t="s">
        <v>84</v>
      </c>
      <c r="GA337" s="86"/>
      <c r="GB337" s="87"/>
      <c r="GC337" s="44"/>
      <c r="GD337" s="44"/>
      <c r="GE337" s="44"/>
      <c r="GF337" s="16"/>
      <c r="GG337" s="16"/>
      <c r="GH337" s="16"/>
      <c r="GI337" s="16"/>
      <c r="GJ337" s="16"/>
      <c r="GK337" s="16"/>
      <c r="GL337" s="16"/>
      <c r="GM337" s="19"/>
    </row>
    <row r="338" spans="1:195" s="18" customFormat="1" ht="15" customHeight="1">
      <c r="A338" s="86">
        <v>2020</v>
      </c>
      <c r="B338" s="87" t="s">
        <v>44</v>
      </c>
      <c r="C338" s="15">
        <f t="shared" si="407"/>
        <v>0.85124532433172151</v>
      </c>
      <c r="D338" s="15">
        <f t="shared" si="408"/>
        <v>0.98485328266835548</v>
      </c>
      <c r="E338" s="15">
        <f t="shared" si="409"/>
        <v>0.86433719551135846</v>
      </c>
      <c r="F338"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8"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6.8195060164661179</v>
      </c>
      <c r="H33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21922</v>
      </c>
      <c r="I338" s="16">
        <f t="shared" si="410"/>
        <v>2974</v>
      </c>
      <c r="J33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18948</v>
      </c>
      <c r="K33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18661</v>
      </c>
      <c r="L338" s="16">
        <f t="shared" si="411"/>
        <v>287</v>
      </c>
      <c r="M338" s="16"/>
      <c r="O338" s="86">
        <v>2020</v>
      </c>
      <c r="P338" s="87" t="s">
        <v>44</v>
      </c>
      <c r="Q338" s="44">
        <f t="shared" si="412"/>
        <v>0.88532979529946931</v>
      </c>
      <c r="R338" s="44">
        <f t="shared" si="413"/>
        <v>0.97760569275847631</v>
      </c>
      <c r="S338" s="44">
        <f t="shared" si="414"/>
        <v>0.90561031084154664</v>
      </c>
      <c r="T338" s="26">
        <v>198</v>
      </c>
      <c r="U338" s="26">
        <v>7</v>
      </c>
      <c r="V338" s="16">
        <v>5276</v>
      </c>
      <c r="W338" s="16">
        <f t="shared" si="415"/>
        <v>498</v>
      </c>
      <c r="X338" s="16">
        <v>4778</v>
      </c>
      <c r="Y338" s="16">
        <v>4671</v>
      </c>
      <c r="Z338" s="16">
        <f t="shared" si="416"/>
        <v>107</v>
      </c>
      <c r="AA338" s="16"/>
      <c r="AB338" s="16"/>
      <c r="AC338" s="86"/>
      <c r="AD338" s="87"/>
      <c r="AE338" s="44"/>
      <c r="AF338" s="44"/>
      <c r="AG338" s="44"/>
      <c r="AH338" s="44"/>
      <c r="AI338" s="44"/>
      <c r="AJ338" s="16"/>
      <c r="AK338" s="16"/>
      <c r="AL338" s="16"/>
      <c r="AM338" s="16"/>
      <c r="AN338" s="16"/>
      <c r="AO338" s="16"/>
      <c r="AQ338" s="86">
        <v>2020</v>
      </c>
      <c r="AR338" s="87" t="s">
        <v>44</v>
      </c>
      <c r="AS338" s="44">
        <f t="shared" si="417"/>
        <v>0.95101088646967336</v>
      </c>
      <c r="AT338" s="44">
        <f t="shared" si="418"/>
        <v>0.98848252172155993</v>
      </c>
      <c r="AU338" s="44">
        <f t="shared" si="419"/>
        <v>0.96209175738724728</v>
      </c>
      <c r="AV338" s="16">
        <v>193</v>
      </c>
      <c r="AW338" s="16">
        <v>7</v>
      </c>
      <c r="AX338" s="16">
        <v>5144</v>
      </c>
      <c r="AY338" s="16">
        <f t="shared" si="420"/>
        <v>195</v>
      </c>
      <c r="AZ338" s="16">
        <v>4949</v>
      </c>
      <c r="BA338" s="16">
        <v>4892</v>
      </c>
      <c r="BB338" s="16">
        <f t="shared" si="421"/>
        <v>57</v>
      </c>
      <c r="BC338" s="16"/>
      <c r="BE338" s="86">
        <v>2020</v>
      </c>
      <c r="BF338" s="87" t="s">
        <v>44</v>
      </c>
      <c r="BG338" s="44">
        <f t="shared" si="422"/>
        <v>0.89865451388888884</v>
      </c>
      <c r="BH338" s="44">
        <f t="shared" si="423"/>
        <v>0.98035037878787878</v>
      </c>
      <c r="BI338" s="44">
        <f t="shared" si="424"/>
        <v>0.91666666666666663</v>
      </c>
      <c r="BJ338" s="16">
        <v>164</v>
      </c>
      <c r="BK338" s="16">
        <v>7</v>
      </c>
      <c r="BL338" s="16">
        <v>4608</v>
      </c>
      <c r="BM338" s="16">
        <f t="shared" si="425"/>
        <v>384</v>
      </c>
      <c r="BN338" s="16">
        <v>4224</v>
      </c>
      <c r="BO338" s="16">
        <v>4141</v>
      </c>
      <c r="BP338" s="16">
        <f t="shared" si="426"/>
        <v>83</v>
      </c>
      <c r="BQ338" s="16"/>
      <c r="BS338" s="86">
        <v>2020</v>
      </c>
      <c r="BT338" s="87" t="s">
        <v>44</v>
      </c>
      <c r="BU338" s="44">
        <f t="shared" si="427"/>
        <v>0.92579075425790758</v>
      </c>
      <c r="BV338" s="44">
        <f t="shared" si="428"/>
        <v>0.99304045237059591</v>
      </c>
      <c r="BW338" s="44">
        <f t="shared" si="429"/>
        <v>0.93227899432278993</v>
      </c>
      <c r="BX338" s="16">
        <v>83</v>
      </c>
      <c r="BY338" s="16">
        <v>7</v>
      </c>
      <c r="BZ338" s="16">
        <v>2466</v>
      </c>
      <c r="CA338" s="16">
        <f t="shared" si="430"/>
        <v>167</v>
      </c>
      <c r="CB338" s="16">
        <v>2299</v>
      </c>
      <c r="CC338" s="16">
        <v>2283</v>
      </c>
      <c r="CD338" s="16">
        <f t="shared" si="431"/>
        <v>16</v>
      </c>
      <c r="CE338" s="16"/>
      <c r="CG338" s="86">
        <v>2020</v>
      </c>
      <c r="CH338" s="87" t="s">
        <v>44</v>
      </c>
      <c r="CI338" s="44">
        <f t="shared" si="432"/>
        <v>0.87356321839080464</v>
      </c>
      <c r="CJ338" s="44">
        <f t="shared" si="433"/>
        <v>0.98969072164948457</v>
      </c>
      <c r="CK338" s="44">
        <f t="shared" si="434"/>
        <v>0.8826628352490421</v>
      </c>
      <c r="CL338" s="16">
        <v>72</v>
      </c>
      <c r="CM338" s="16">
        <v>7</v>
      </c>
      <c r="CN338" s="16">
        <v>2088</v>
      </c>
      <c r="CO338" s="16">
        <f t="shared" si="435"/>
        <v>245</v>
      </c>
      <c r="CP338" s="16">
        <v>1843</v>
      </c>
      <c r="CQ338" s="16">
        <v>1824</v>
      </c>
      <c r="CR338" s="16">
        <f t="shared" si="436"/>
        <v>19</v>
      </c>
      <c r="CS338" s="16"/>
      <c r="CU338" s="86">
        <v>2020</v>
      </c>
      <c r="CV338" s="87" t="s">
        <v>44</v>
      </c>
      <c r="CW338" s="44">
        <f t="shared" si="437"/>
        <v>0.45555555555555555</v>
      </c>
      <c r="CX338" s="44">
        <f t="shared" si="438"/>
        <v>0.99797160243407712</v>
      </c>
      <c r="CY338" s="44">
        <f t="shared" si="439"/>
        <v>0.45648148148148149</v>
      </c>
      <c r="CZ338" s="16">
        <v>37</v>
      </c>
      <c r="DA338" s="16">
        <v>3</v>
      </c>
      <c r="DB338" s="16">
        <v>1080</v>
      </c>
      <c r="DC338" s="16">
        <f t="shared" si="440"/>
        <v>587</v>
      </c>
      <c r="DD338" s="16">
        <v>493</v>
      </c>
      <c r="DE338" s="16">
        <v>492</v>
      </c>
      <c r="DF338" s="16">
        <f t="shared" si="441"/>
        <v>1</v>
      </c>
      <c r="DG338" s="16"/>
      <c r="DI338" s="86">
        <v>2020</v>
      </c>
      <c r="DJ338" s="87" t="s">
        <v>44</v>
      </c>
      <c r="DK338" s="44"/>
      <c r="DL338" s="44"/>
      <c r="DM338" s="44"/>
      <c r="DN338" s="16"/>
      <c r="DO338" s="16"/>
      <c r="DP338" s="16"/>
      <c r="DQ338" s="16"/>
      <c r="DR338" s="16"/>
      <c r="DS338" s="16"/>
      <c r="DT338" s="16"/>
      <c r="DU338" s="19" t="s">
        <v>67</v>
      </c>
      <c r="DW338" s="86">
        <v>2020</v>
      </c>
      <c r="DX338" s="87" t="s">
        <v>44</v>
      </c>
      <c r="DY338" s="44">
        <f t="shared" si="442"/>
        <v>0.28412698412698412</v>
      </c>
      <c r="DZ338" s="44">
        <f t="shared" si="443"/>
        <v>0.98895027624309395</v>
      </c>
      <c r="EA338" s="44">
        <f t="shared" si="444"/>
        <v>0.28730158730158728</v>
      </c>
      <c r="EB338" s="16">
        <v>57</v>
      </c>
      <c r="EC338" s="16">
        <v>3</v>
      </c>
      <c r="ED338" s="16">
        <v>1260</v>
      </c>
      <c r="EE338" s="16">
        <f t="shared" si="445"/>
        <v>898</v>
      </c>
      <c r="EF338" s="16">
        <v>362</v>
      </c>
      <c r="EG338" s="16">
        <v>358</v>
      </c>
      <c r="EH338" s="16">
        <f t="shared" si="446"/>
        <v>4</v>
      </c>
      <c r="EI338" s="19" t="s">
        <v>84</v>
      </c>
      <c r="EK338" s="86">
        <v>2020</v>
      </c>
      <c r="EL338" s="87" t="s">
        <v>44</v>
      </c>
      <c r="EM338" s="44"/>
      <c r="EN338" s="44"/>
      <c r="EO338" s="44"/>
      <c r="EP338" s="16"/>
      <c r="EQ338" s="16"/>
      <c r="ER338" s="16"/>
      <c r="ES338" s="16"/>
      <c r="ET338" s="16"/>
      <c r="EU338" s="16"/>
      <c r="EV338" s="16"/>
      <c r="EW338" s="19" t="s">
        <v>71</v>
      </c>
      <c r="EY338" s="86"/>
      <c r="EZ338" s="87"/>
      <c r="FA338" s="44"/>
      <c r="FB338" s="44"/>
      <c r="FC338" s="44"/>
      <c r="FD338" s="16"/>
      <c r="FE338" s="16"/>
      <c r="FF338" s="16"/>
      <c r="FG338" s="16"/>
      <c r="FH338" s="16"/>
      <c r="FI338" s="16"/>
      <c r="FJ338" s="16"/>
      <c r="FK338" s="19" t="s">
        <v>84</v>
      </c>
      <c r="FM338" s="86"/>
      <c r="FN338" s="87"/>
      <c r="FO338" s="44"/>
      <c r="FP338" s="44"/>
      <c r="FQ338" s="44"/>
      <c r="FR338" s="16"/>
      <c r="FS338" s="16"/>
      <c r="FT338" s="16"/>
      <c r="FU338" s="16"/>
      <c r="FV338" s="16"/>
      <c r="FW338" s="16"/>
      <c r="FX338" s="16"/>
      <c r="FY338" s="19" t="s">
        <v>84</v>
      </c>
      <c r="GA338" s="86"/>
      <c r="GB338" s="87"/>
      <c r="GC338" s="44"/>
      <c r="GD338" s="44"/>
      <c r="GE338" s="44"/>
      <c r="GF338" s="16"/>
      <c r="GG338" s="16"/>
      <c r="GH338" s="16"/>
      <c r="GI338" s="16"/>
      <c r="GJ338" s="16"/>
      <c r="GK338" s="16"/>
      <c r="GL338" s="16"/>
      <c r="GM338" s="19"/>
    </row>
    <row r="339" spans="1:195" s="18" customFormat="1" ht="15" customHeight="1">
      <c r="A339" s="86">
        <v>2020</v>
      </c>
      <c r="B339" s="87" t="s">
        <v>45</v>
      </c>
      <c r="C339" s="15">
        <f t="shared" si="407"/>
        <v>0.80924309243092429</v>
      </c>
      <c r="D339" s="15">
        <f t="shared" si="408"/>
        <v>0.97669997827503807</v>
      </c>
      <c r="E339" s="15">
        <f t="shared" si="409"/>
        <v>0.82854828548285486</v>
      </c>
      <c r="F339"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9"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6.8175103193569413</v>
      </c>
      <c r="H33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22222</v>
      </c>
      <c r="I339" s="16">
        <f t="shared" si="410"/>
        <v>3810</v>
      </c>
      <c r="J33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18412</v>
      </c>
      <c r="K33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17983</v>
      </c>
      <c r="L339" s="16">
        <f t="shared" si="411"/>
        <v>429</v>
      </c>
      <c r="M339" s="16"/>
      <c r="O339" s="86">
        <v>2020</v>
      </c>
      <c r="P339" s="87" t="s">
        <v>45</v>
      </c>
      <c r="Q339" s="44">
        <f t="shared" si="412"/>
        <v>0.8720798794272796</v>
      </c>
      <c r="R339" s="44">
        <f t="shared" si="413"/>
        <v>0.96841004184100421</v>
      </c>
      <c r="S339" s="44">
        <f t="shared" si="414"/>
        <v>0.90052750565184625</v>
      </c>
      <c r="T339" s="26">
        <v>198</v>
      </c>
      <c r="U339" s="26">
        <v>7</v>
      </c>
      <c r="V339" s="16">
        <v>5308</v>
      </c>
      <c r="W339" s="16">
        <f t="shared" si="415"/>
        <v>528</v>
      </c>
      <c r="X339" s="16">
        <v>4780</v>
      </c>
      <c r="Y339" s="16">
        <v>4629</v>
      </c>
      <c r="Z339" s="16">
        <f t="shared" si="416"/>
        <v>151</v>
      </c>
      <c r="AA339" s="16"/>
      <c r="AB339" s="16"/>
      <c r="AC339" s="86"/>
      <c r="AD339" s="87"/>
      <c r="AE339" s="44"/>
      <c r="AF339" s="44"/>
      <c r="AG339" s="44"/>
      <c r="AH339" s="44"/>
      <c r="AI339" s="44"/>
      <c r="AJ339" s="16"/>
      <c r="AK339" s="16"/>
      <c r="AL339" s="16"/>
      <c r="AM339" s="16"/>
      <c r="AN339" s="16"/>
      <c r="AO339" s="16"/>
      <c r="AQ339" s="86">
        <v>2020</v>
      </c>
      <c r="AR339" s="87" t="s">
        <v>45</v>
      </c>
      <c r="AS339" s="44">
        <f t="shared" si="417"/>
        <v>0.94094944037051331</v>
      </c>
      <c r="AT339" s="44">
        <f t="shared" si="418"/>
        <v>0.98207452165156095</v>
      </c>
      <c r="AU339" s="44">
        <f t="shared" si="419"/>
        <v>0.95812427634118102</v>
      </c>
      <c r="AV339" s="16">
        <v>193</v>
      </c>
      <c r="AW339" s="16">
        <v>7</v>
      </c>
      <c r="AX339" s="16">
        <v>5182</v>
      </c>
      <c r="AY339" s="16">
        <f t="shared" si="420"/>
        <v>217</v>
      </c>
      <c r="AZ339" s="16">
        <v>4965</v>
      </c>
      <c r="BA339" s="16">
        <v>4876</v>
      </c>
      <c r="BB339" s="16">
        <f t="shared" si="421"/>
        <v>89</v>
      </c>
      <c r="BC339" s="16"/>
      <c r="BE339" s="86">
        <v>2020</v>
      </c>
      <c r="BF339" s="87" t="s">
        <v>45</v>
      </c>
      <c r="BG339" s="44">
        <f t="shared" si="422"/>
        <v>0.7735406902428632</v>
      </c>
      <c r="BH339" s="44">
        <f t="shared" si="423"/>
        <v>0.96800853105838447</v>
      </c>
      <c r="BI339" s="44">
        <f t="shared" si="424"/>
        <v>0.7991052407328505</v>
      </c>
      <c r="BJ339" s="16">
        <v>164</v>
      </c>
      <c r="BK339" s="16">
        <v>7</v>
      </c>
      <c r="BL339" s="16">
        <v>4694</v>
      </c>
      <c r="BM339" s="16">
        <f t="shared" si="425"/>
        <v>943</v>
      </c>
      <c r="BN339" s="16">
        <v>3751</v>
      </c>
      <c r="BO339" s="16">
        <v>3631</v>
      </c>
      <c r="BP339" s="16">
        <f t="shared" si="426"/>
        <v>120</v>
      </c>
      <c r="BQ339" s="16"/>
      <c r="BS339" s="86">
        <v>2020</v>
      </c>
      <c r="BT339" s="87" t="s">
        <v>45</v>
      </c>
      <c r="BU339" s="44">
        <f t="shared" si="427"/>
        <v>0.93170926517571884</v>
      </c>
      <c r="BV339" s="44">
        <f t="shared" si="428"/>
        <v>0.98688663282571909</v>
      </c>
      <c r="BW339" s="44">
        <f t="shared" si="429"/>
        <v>0.94408945686900958</v>
      </c>
      <c r="BX339" s="16">
        <v>83</v>
      </c>
      <c r="BY339" s="16">
        <v>7</v>
      </c>
      <c r="BZ339" s="16">
        <v>2504</v>
      </c>
      <c r="CA339" s="16">
        <f t="shared" si="430"/>
        <v>140</v>
      </c>
      <c r="CB339" s="16">
        <v>2364</v>
      </c>
      <c r="CC339" s="16">
        <v>2333</v>
      </c>
      <c r="CD339" s="16">
        <f t="shared" si="431"/>
        <v>31</v>
      </c>
      <c r="CE339" s="16"/>
      <c r="CG339" s="86">
        <v>2020</v>
      </c>
      <c r="CH339" s="87" t="s">
        <v>45</v>
      </c>
      <c r="CI339" s="44">
        <f t="shared" si="432"/>
        <v>0.79584120982986772</v>
      </c>
      <c r="CJ339" s="44">
        <f t="shared" si="433"/>
        <v>0.98364485981308414</v>
      </c>
      <c r="CK339" s="44">
        <f t="shared" si="434"/>
        <v>0.80907372400756139</v>
      </c>
      <c r="CL339" s="16">
        <v>72</v>
      </c>
      <c r="CM339" s="16">
        <v>7</v>
      </c>
      <c r="CN339" s="16">
        <v>2116</v>
      </c>
      <c r="CO339" s="16">
        <f t="shared" si="435"/>
        <v>404</v>
      </c>
      <c r="CP339" s="16">
        <v>1712</v>
      </c>
      <c r="CQ339" s="16">
        <v>1684</v>
      </c>
      <c r="CR339" s="16">
        <f t="shared" si="436"/>
        <v>28</v>
      </c>
      <c r="CS339" s="16"/>
      <c r="CU339" s="86">
        <v>2020</v>
      </c>
      <c r="CV339" s="87" t="s">
        <v>45</v>
      </c>
      <c r="CW339" s="44">
        <f t="shared" si="437"/>
        <v>0.39784946236559138</v>
      </c>
      <c r="CX339" s="44">
        <f t="shared" si="438"/>
        <v>0.9910714285714286</v>
      </c>
      <c r="CY339" s="44">
        <f t="shared" si="439"/>
        <v>0.40143369175627241</v>
      </c>
      <c r="CZ339" s="16">
        <v>37</v>
      </c>
      <c r="DA339" s="16">
        <v>3</v>
      </c>
      <c r="DB339" s="16">
        <v>1116</v>
      </c>
      <c r="DC339" s="16">
        <f t="shared" si="440"/>
        <v>668</v>
      </c>
      <c r="DD339" s="16">
        <v>448</v>
      </c>
      <c r="DE339" s="16">
        <v>444</v>
      </c>
      <c r="DF339" s="16">
        <f t="shared" si="441"/>
        <v>4</v>
      </c>
      <c r="DG339" s="16"/>
      <c r="DI339" s="86">
        <v>2020</v>
      </c>
      <c r="DJ339" s="87" t="s">
        <v>45</v>
      </c>
      <c r="DK339" s="44"/>
      <c r="DL339" s="44"/>
      <c r="DM339" s="44"/>
      <c r="DN339" s="16"/>
      <c r="DO339" s="16"/>
      <c r="DP339" s="16"/>
      <c r="DQ339" s="16"/>
      <c r="DR339" s="16"/>
      <c r="DS339" s="16"/>
      <c r="DT339" s="16"/>
      <c r="DU339" s="19" t="s">
        <v>67</v>
      </c>
      <c r="DW339" s="86">
        <v>2020</v>
      </c>
      <c r="DX339" s="87" t="s">
        <v>45</v>
      </c>
      <c r="DY339" s="44">
        <f t="shared" si="442"/>
        <v>0.2964669738863287</v>
      </c>
      <c r="DZ339" s="44">
        <f t="shared" si="443"/>
        <v>0.98469387755102045</v>
      </c>
      <c r="EA339" s="44">
        <f t="shared" si="444"/>
        <v>0.30107526881720431</v>
      </c>
      <c r="EB339" s="16">
        <v>57</v>
      </c>
      <c r="EC339" s="16">
        <v>3</v>
      </c>
      <c r="ED339" s="16">
        <v>1302</v>
      </c>
      <c r="EE339" s="16">
        <f t="shared" si="445"/>
        <v>910</v>
      </c>
      <c r="EF339" s="16">
        <v>392</v>
      </c>
      <c r="EG339" s="16">
        <v>386</v>
      </c>
      <c r="EH339" s="16">
        <f t="shared" si="446"/>
        <v>6</v>
      </c>
      <c r="EI339" s="19" t="s">
        <v>84</v>
      </c>
      <c r="EK339" s="86">
        <v>2020</v>
      </c>
      <c r="EL339" s="87" t="s">
        <v>45</v>
      </c>
      <c r="EM339" s="44"/>
      <c r="EN339" s="44"/>
      <c r="EO339" s="44"/>
      <c r="EP339" s="16"/>
      <c r="EQ339" s="16"/>
      <c r="ER339" s="16"/>
      <c r="ES339" s="16"/>
      <c r="ET339" s="16"/>
      <c r="EU339" s="16"/>
      <c r="EV339" s="16"/>
      <c r="EW339" s="19" t="s">
        <v>71</v>
      </c>
      <c r="EY339" s="86"/>
      <c r="EZ339" s="87"/>
      <c r="FA339" s="44"/>
      <c r="FB339" s="44"/>
      <c r="FC339" s="44"/>
      <c r="FD339" s="16"/>
      <c r="FE339" s="16"/>
      <c r="FF339" s="16"/>
      <c r="FG339" s="16"/>
      <c r="FH339" s="16"/>
      <c r="FI339" s="16"/>
      <c r="FJ339" s="16"/>
      <c r="FK339" s="19" t="s">
        <v>84</v>
      </c>
      <c r="FM339" s="86"/>
      <c r="FN339" s="87"/>
      <c r="FO339" s="44"/>
      <c r="FP339" s="44"/>
      <c r="FQ339" s="44"/>
      <c r="FR339" s="16"/>
      <c r="FS339" s="16"/>
      <c r="FT339" s="16"/>
      <c r="FU339" s="16"/>
      <c r="FV339" s="16"/>
      <c r="FW339" s="16"/>
      <c r="FX339" s="16"/>
      <c r="FY339" s="19" t="s">
        <v>84</v>
      </c>
      <c r="GA339" s="86"/>
      <c r="GB339" s="87"/>
      <c r="GC339" s="44"/>
      <c r="GD339" s="44"/>
      <c r="GE339" s="44"/>
      <c r="GF339" s="16"/>
      <c r="GG339" s="16"/>
      <c r="GH339" s="16"/>
      <c r="GI339" s="16"/>
      <c r="GJ339" s="16"/>
      <c r="GK339" s="16"/>
      <c r="GL339" s="16"/>
      <c r="GM339" s="19"/>
    </row>
    <row r="340" spans="1:195" s="18" customFormat="1" ht="15" customHeight="1">
      <c r="A340" s="86">
        <v>2020</v>
      </c>
      <c r="B340" s="87" t="s">
        <v>46</v>
      </c>
      <c r="C340" s="15">
        <f t="shared" si="407"/>
        <v>0.78012983347445664</v>
      </c>
      <c r="D340" s="15">
        <f t="shared" si="408"/>
        <v>0.96784359498103301</v>
      </c>
      <c r="E340" s="15">
        <f t="shared" si="409"/>
        <v>0.8060494872518581</v>
      </c>
      <c r="F340"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40"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6.7889699445579224</v>
      </c>
      <c r="H34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21258</v>
      </c>
      <c r="I340" s="16">
        <f t="shared" si="410"/>
        <v>4123</v>
      </c>
      <c r="J34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17135</v>
      </c>
      <c r="K34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16584</v>
      </c>
      <c r="L340" s="16">
        <f t="shared" si="411"/>
        <v>551</v>
      </c>
      <c r="M340" s="16"/>
      <c r="O340" s="86">
        <v>2020</v>
      </c>
      <c r="P340" s="87" t="s">
        <v>46</v>
      </c>
      <c r="Q340" s="44">
        <f t="shared" si="412"/>
        <v>0.74169960474308305</v>
      </c>
      <c r="R340" s="44">
        <f t="shared" si="413"/>
        <v>0.9491654021244309</v>
      </c>
      <c r="S340" s="44">
        <f t="shared" si="414"/>
        <v>0.78142292490118581</v>
      </c>
      <c r="T340" s="26">
        <v>198</v>
      </c>
      <c r="U340" s="26">
        <v>7</v>
      </c>
      <c r="V340" s="16">
        <v>5060</v>
      </c>
      <c r="W340" s="16">
        <f t="shared" si="415"/>
        <v>1106</v>
      </c>
      <c r="X340" s="16">
        <v>3954</v>
      </c>
      <c r="Y340" s="16">
        <v>3753</v>
      </c>
      <c r="Z340" s="16">
        <f t="shared" si="416"/>
        <v>201</v>
      </c>
      <c r="AA340" s="16"/>
      <c r="AB340" s="16"/>
      <c r="AC340" s="86"/>
      <c r="AD340" s="87"/>
      <c r="AE340" s="44"/>
      <c r="AF340" s="44"/>
      <c r="AG340" s="44"/>
      <c r="AH340" s="44"/>
      <c r="AI340" s="44"/>
      <c r="AJ340" s="16"/>
      <c r="AK340" s="16"/>
      <c r="AL340" s="16"/>
      <c r="AM340" s="16"/>
      <c r="AN340" s="16"/>
      <c r="AO340" s="16"/>
      <c r="AQ340" s="86">
        <v>2020</v>
      </c>
      <c r="AR340" s="87" t="s">
        <v>46</v>
      </c>
      <c r="AS340" s="44">
        <f t="shared" si="417"/>
        <v>0.94073624595469252</v>
      </c>
      <c r="AT340" s="44">
        <f t="shared" si="418"/>
        <v>0.98496399830580261</v>
      </c>
      <c r="AU340" s="44">
        <f t="shared" si="419"/>
        <v>0.95509708737864074</v>
      </c>
      <c r="AV340" s="16">
        <v>193</v>
      </c>
      <c r="AW340" s="16">
        <v>7</v>
      </c>
      <c r="AX340" s="16">
        <v>4944</v>
      </c>
      <c r="AY340" s="16">
        <f t="shared" si="420"/>
        <v>222</v>
      </c>
      <c r="AZ340" s="16">
        <v>4722</v>
      </c>
      <c r="BA340" s="16">
        <v>4651</v>
      </c>
      <c r="BB340" s="16">
        <f t="shared" si="421"/>
        <v>71</v>
      </c>
      <c r="BC340" s="16"/>
      <c r="BE340" s="86">
        <v>2020</v>
      </c>
      <c r="BF340" s="87" t="s">
        <v>46</v>
      </c>
      <c r="BG340" s="44">
        <f t="shared" si="422"/>
        <v>0.77402135231316727</v>
      </c>
      <c r="BH340" s="44">
        <f t="shared" si="423"/>
        <v>0.95342465753424654</v>
      </c>
      <c r="BI340" s="44">
        <f t="shared" si="424"/>
        <v>0.81183274021352314</v>
      </c>
      <c r="BJ340" s="16">
        <v>164</v>
      </c>
      <c r="BK340" s="16">
        <v>7</v>
      </c>
      <c r="BL340" s="16">
        <v>4496</v>
      </c>
      <c r="BM340" s="16">
        <f t="shared" si="425"/>
        <v>846</v>
      </c>
      <c r="BN340" s="16">
        <v>3650</v>
      </c>
      <c r="BO340" s="16">
        <v>3480</v>
      </c>
      <c r="BP340" s="16">
        <f t="shared" si="426"/>
        <v>170</v>
      </c>
      <c r="BQ340" s="16"/>
      <c r="BS340" s="86">
        <v>2020</v>
      </c>
      <c r="BT340" s="87" t="s">
        <v>46</v>
      </c>
      <c r="BU340" s="44">
        <f t="shared" si="427"/>
        <v>0.91311612364243944</v>
      </c>
      <c r="BV340" s="44">
        <f t="shared" si="428"/>
        <v>0.98070883804396591</v>
      </c>
      <c r="BW340" s="44">
        <f t="shared" si="429"/>
        <v>0.93107769423558895</v>
      </c>
      <c r="BX340" s="16">
        <v>83</v>
      </c>
      <c r="BY340" s="16">
        <v>7</v>
      </c>
      <c r="BZ340" s="16">
        <v>2394</v>
      </c>
      <c r="CA340" s="16">
        <f t="shared" si="430"/>
        <v>165</v>
      </c>
      <c r="CB340" s="16">
        <v>2229</v>
      </c>
      <c r="CC340" s="16">
        <v>2186</v>
      </c>
      <c r="CD340" s="16">
        <f t="shared" si="431"/>
        <v>43</v>
      </c>
      <c r="CE340" s="16"/>
      <c r="CG340" s="86">
        <v>2020</v>
      </c>
      <c r="CH340" s="87" t="s">
        <v>46</v>
      </c>
      <c r="CI340" s="44">
        <f t="shared" si="432"/>
        <v>0.80780632411067199</v>
      </c>
      <c r="CJ340" s="44">
        <f t="shared" si="433"/>
        <v>0.97553699284009543</v>
      </c>
      <c r="CK340" s="44">
        <f t="shared" si="434"/>
        <v>0.82806324110671936</v>
      </c>
      <c r="CL340" s="16">
        <v>72</v>
      </c>
      <c r="CM340" s="16">
        <v>7</v>
      </c>
      <c r="CN340" s="16">
        <v>2024</v>
      </c>
      <c r="CO340" s="16">
        <f t="shared" si="435"/>
        <v>348</v>
      </c>
      <c r="CP340" s="16">
        <v>1676</v>
      </c>
      <c r="CQ340" s="16">
        <v>1635</v>
      </c>
      <c r="CR340" s="16">
        <f t="shared" si="436"/>
        <v>41</v>
      </c>
      <c r="CS340" s="16"/>
      <c r="CU340" s="86">
        <v>2020</v>
      </c>
      <c r="CV340" s="87" t="s">
        <v>46</v>
      </c>
      <c r="CW340" s="44">
        <f t="shared" si="437"/>
        <v>0.38611111111111113</v>
      </c>
      <c r="CX340" s="44">
        <f t="shared" si="438"/>
        <v>0.97658079625292737</v>
      </c>
      <c r="CY340" s="44">
        <f t="shared" si="439"/>
        <v>0.39537037037037037</v>
      </c>
      <c r="CZ340" s="16">
        <v>37</v>
      </c>
      <c r="DA340" s="16">
        <v>3</v>
      </c>
      <c r="DB340" s="16">
        <v>1080</v>
      </c>
      <c r="DC340" s="16">
        <f t="shared" si="440"/>
        <v>653</v>
      </c>
      <c r="DD340" s="16">
        <v>427</v>
      </c>
      <c r="DE340" s="16">
        <v>417</v>
      </c>
      <c r="DF340" s="16">
        <f t="shared" si="441"/>
        <v>10</v>
      </c>
      <c r="DG340" s="16"/>
      <c r="DI340" s="86">
        <v>2020</v>
      </c>
      <c r="DJ340" s="87" t="s">
        <v>46</v>
      </c>
      <c r="DK340" s="44"/>
      <c r="DL340" s="44"/>
      <c r="DM340" s="44"/>
      <c r="DN340" s="16"/>
      <c r="DO340" s="16"/>
      <c r="DP340" s="16"/>
      <c r="DQ340" s="16"/>
      <c r="DR340" s="16"/>
      <c r="DS340" s="16"/>
      <c r="DT340" s="16"/>
      <c r="DU340" s="19" t="s">
        <v>67</v>
      </c>
      <c r="DW340" s="86">
        <v>2020</v>
      </c>
      <c r="DX340" s="87" t="s">
        <v>46</v>
      </c>
      <c r="DY340" s="44">
        <f t="shared" si="442"/>
        <v>0.36666666666666664</v>
      </c>
      <c r="DZ340" s="44">
        <f t="shared" si="443"/>
        <v>0.96855345911949686</v>
      </c>
      <c r="EA340" s="44">
        <f t="shared" si="444"/>
        <v>0.37857142857142856</v>
      </c>
      <c r="EB340" s="16">
        <v>57</v>
      </c>
      <c r="EC340" s="16">
        <v>3</v>
      </c>
      <c r="ED340" s="16">
        <v>1260</v>
      </c>
      <c r="EE340" s="16">
        <f t="shared" si="445"/>
        <v>783</v>
      </c>
      <c r="EF340" s="16">
        <v>477</v>
      </c>
      <c r="EG340" s="16">
        <v>462</v>
      </c>
      <c r="EH340" s="16">
        <f t="shared" si="446"/>
        <v>15</v>
      </c>
      <c r="EI340" s="19" t="s">
        <v>85</v>
      </c>
      <c r="EK340" s="86">
        <v>2020</v>
      </c>
      <c r="EL340" s="87" t="s">
        <v>46</v>
      </c>
      <c r="EM340" s="44"/>
      <c r="EN340" s="44"/>
      <c r="EO340" s="44"/>
      <c r="EP340" s="16"/>
      <c r="EQ340" s="16"/>
      <c r="ER340" s="16"/>
      <c r="ES340" s="16"/>
      <c r="ET340" s="16"/>
      <c r="EU340" s="16"/>
      <c r="EV340" s="16"/>
      <c r="EW340" s="19" t="s">
        <v>101</v>
      </c>
      <c r="EY340" s="86"/>
      <c r="EZ340" s="87"/>
      <c r="FA340" s="44"/>
      <c r="FB340" s="44"/>
      <c r="FC340" s="44"/>
      <c r="FD340" s="16"/>
      <c r="FE340" s="16"/>
      <c r="FF340" s="16"/>
      <c r="FG340" s="16"/>
      <c r="FH340" s="16"/>
      <c r="FI340" s="16"/>
      <c r="FJ340" s="16"/>
      <c r="FK340" s="19" t="s">
        <v>85</v>
      </c>
      <c r="FM340" s="86"/>
      <c r="FN340" s="87"/>
      <c r="FO340" s="44"/>
      <c r="FP340" s="44"/>
      <c r="FQ340" s="44"/>
      <c r="FR340" s="16"/>
      <c r="FS340" s="16"/>
      <c r="FT340" s="16"/>
      <c r="FU340" s="16"/>
      <c r="FV340" s="16"/>
      <c r="FW340" s="16"/>
      <c r="FX340" s="16"/>
      <c r="FY340" s="19" t="s">
        <v>85</v>
      </c>
      <c r="GA340" s="86"/>
      <c r="GB340" s="87"/>
      <c r="GC340" s="44"/>
      <c r="GD340" s="44"/>
      <c r="GE340" s="44"/>
      <c r="GF340" s="16"/>
      <c r="GG340" s="16"/>
      <c r="GH340" s="16"/>
      <c r="GI340" s="16"/>
      <c r="GJ340" s="16"/>
      <c r="GK340" s="16"/>
      <c r="GL340" s="16"/>
      <c r="GM340" s="19"/>
    </row>
    <row r="341" spans="1:195" s="18" customFormat="1" ht="15" customHeight="1">
      <c r="A341" s="86">
        <v>2020</v>
      </c>
      <c r="B341" s="87" t="s">
        <v>47</v>
      </c>
      <c r="C341" s="15">
        <f t="shared" si="407"/>
        <v>0.76866393404872657</v>
      </c>
      <c r="D341" s="15">
        <f t="shared" si="408"/>
        <v>0.95213645958126536</v>
      </c>
      <c r="E341" s="15">
        <f t="shared" si="409"/>
        <v>0.80730437986459724</v>
      </c>
      <c r="F341"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41"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6.7323292829026187</v>
      </c>
      <c r="H34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21713</v>
      </c>
      <c r="I341" s="16">
        <f t="shared" si="410"/>
        <v>4184</v>
      </c>
      <c r="J34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17529</v>
      </c>
      <c r="K34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16690</v>
      </c>
      <c r="L341" s="16">
        <f t="shared" si="411"/>
        <v>839</v>
      </c>
      <c r="M341" s="16"/>
      <c r="O341" s="86">
        <v>2020</v>
      </c>
      <c r="P341" s="87" t="s">
        <v>47</v>
      </c>
      <c r="Q341" s="44">
        <f t="shared" si="412"/>
        <v>0.72268573698847838</v>
      </c>
      <c r="R341" s="44">
        <f t="shared" si="413"/>
        <v>0.92593535250699921</v>
      </c>
      <c r="S341" s="44">
        <f t="shared" si="414"/>
        <v>0.78049264998013512</v>
      </c>
      <c r="T341" s="26">
        <v>198</v>
      </c>
      <c r="U341" s="26">
        <v>7</v>
      </c>
      <c r="V341" s="16">
        <v>5034</v>
      </c>
      <c r="W341" s="16">
        <f t="shared" si="415"/>
        <v>1105</v>
      </c>
      <c r="X341" s="16">
        <v>3929</v>
      </c>
      <c r="Y341" s="16">
        <v>3638</v>
      </c>
      <c r="Z341" s="16">
        <f t="shared" si="416"/>
        <v>291</v>
      </c>
      <c r="AA341" s="16"/>
      <c r="AB341" s="16"/>
      <c r="AC341" s="86"/>
      <c r="AD341" s="87"/>
      <c r="AE341" s="44"/>
      <c r="AF341" s="44"/>
      <c r="AG341" s="44"/>
      <c r="AH341" s="44"/>
      <c r="AI341" s="44"/>
      <c r="AJ341" s="16"/>
      <c r="AK341" s="16"/>
      <c r="AL341" s="16"/>
      <c r="AM341" s="16"/>
      <c r="AN341" s="16"/>
      <c r="AO341" s="16"/>
      <c r="AQ341" s="86">
        <v>2020</v>
      </c>
      <c r="AR341" s="87" t="s">
        <v>47</v>
      </c>
      <c r="AS341" s="44">
        <f t="shared" si="417"/>
        <v>0.90158279220779225</v>
      </c>
      <c r="AT341" s="44">
        <f t="shared" si="418"/>
        <v>0.9705111402359109</v>
      </c>
      <c r="AU341" s="44">
        <f t="shared" si="419"/>
        <v>0.92897727272727271</v>
      </c>
      <c r="AV341" s="16">
        <v>193</v>
      </c>
      <c r="AW341" s="16">
        <v>7</v>
      </c>
      <c r="AX341" s="16">
        <v>4928</v>
      </c>
      <c r="AY341" s="16">
        <f t="shared" si="420"/>
        <v>350</v>
      </c>
      <c r="AZ341" s="16">
        <v>4578</v>
      </c>
      <c r="BA341" s="16">
        <v>4443</v>
      </c>
      <c r="BB341" s="16">
        <f t="shared" si="421"/>
        <v>135</v>
      </c>
      <c r="BC341" s="16"/>
      <c r="BE341" s="86">
        <v>2020</v>
      </c>
      <c r="BF341" s="87" t="s">
        <v>47</v>
      </c>
      <c r="BG341" s="44">
        <f t="shared" si="422"/>
        <v>0.81798245614035092</v>
      </c>
      <c r="BH341" s="44">
        <f t="shared" si="423"/>
        <v>0.9426333080616629</v>
      </c>
      <c r="BI341" s="44">
        <f t="shared" si="424"/>
        <v>0.86776315789473679</v>
      </c>
      <c r="BJ341" s="16">
        <v>164</v>
      </c>
      <c r="BK341" s="16">
        <v>7</v>
      </c>
      <c r="BL341" s="16">
        <v>4560</v>
      </c>
      <c r="BM341" s="16">
        <f t="shared" si="425"/>
        <v>603</v>
      </c>
      <c r="BN341" s="16">
        <v>3957</v>
      </c>
      <c r="BO341" s="16">
        <v>3730</v>
      </c>
      <c r="BP341" s="16">
        <f t="shared" si="426"/>
        <v>227</v>
      </c>
      <c r="BQ341" s="16"/>
      <c r="BS341" s="86">
        <v>2020</v>
      </c>
      <c r="BT341" s="87" t="s">
        <v>47</v>
      </c>
      <c r="BU341" s="44">
        <f t="shared" si="427"/>
        <v>0.85578903996703748</v>
      </c>
      <c r="BV341" s="44">
        <f t="shared" si="428"/>
        <v>0.95670198065407641</v>
      </c>
      <c r="BW341" s="44">
        <f t="shared" si="429"/>
        <v>0.8945199835187474</v>
      </c>
      <c r="BX341" s="16">
        <v>83</v>
      </c>
      <c r="BY341" s="16">
        <v>7</v>
      </c>
      <c r="BZ341" s="16">
        <v>2427</v>
      </c>
      <c r="CA341" s="16">
        <f t="shared" si="430"/>
        <v>256</v>
      </c>
      <c r="CB341" s="16">
        <v>2171</v>
      </c>
      <c r="CC341" s="16">
        <v>2077</v>
      </c>
      <c r="CD341" s="16">
        <f t="shared" si="431"/>
        <v>94</v>
      </c>
      <c r="CE341" s="16"/>
      <c r="CG341" s="86">
        <v>2020</v>
      </c>
      <c r="CH341" s="87" t="s">
        <v>47</v>
      </c>
      <c r="CI341" s="44">
        <f t="shared" si="432"/>
        <v>0.80746561886051083</v>
      </c>
      <c r="CJ341" s="44">
        <f t="shared" si="433"/>
        <v>0.95525857059848929</v>
      </c>
      <c r="CK341" s="44">
        <f t="shared" si="434"/>
        <v>0.8452848722986247</v>
      </c>
      <c r="CL341" s="16">
        <v>72</v>
      </c>
      <c r="CM341" s="16">
        <v>7</v>
      </c>
      <c r="CN341" s="16">
        <v>2036</v>
      </c>
      <c r="CO341" s="16">
        <f t="shared" si="435"/>
        <v>315</v>
      </c>
      <c r="CP341" s="16">
        <v>1721</v>
      </c>
      <c r="CQ341" s="16">
        <v>1644</v>
      </c>
      <c r="CR341" s="16">
        <f t="shared" si="436"/>
        <v>77</v>
      </c>
      <c r="CS341" s="16"/>
      <c r="CU341" s="86">
        <v>2020</v>
      </c>
      <c r="CV341" s="87" t="s">
        <v>47</v>
      </c>
      <c r="CW341" s="44">
        <f t="shared" si="437"/>
        <v>0.47043010752688175</v>
      </c>
      <c r="CX341" s="44">
        <f t="shared" si="438"/>
        <v>0.99243856332703217</v>
      </c>
      <c r="CY341" s="44">
        <f t="shared" si="439"/>
        <v>0.47401433691756273</v>
      </c>
      <c r="CZ341" s="16">
        <v>37</v>
      </c>
      <c r="DA341" s="16">
        <v>3</v>
      </c>
      <c r="DB341" s="16">
        <v>1116</v>
      </c>
      <c r="DC341" s="16">
        <f t="shared" si="440"/>
        <v>587</v>
      </c>
      <c r="DD341" s="16">
        <v>529</v>
      </c>
      <c r="DE341" s="16">
        <v>525</v>
      </c>
      <c r="DF341" s="16">
        <f t="shared" si="441"/>
        <v>4</v>
      </c>
      <c r="DG341" s="16"/>
      <c r="DI341" s="86">
        <v>2020</v>
      </c>
      <c r="DJ341" s="87" t="s">
        <v>47</v>
      </c>
      <c r="DK341" s="15"/>
      <c r="DL341" s="15"/>
      <c r="DM341" s="15"/>
      <c r="DN341" s="16"/>
      <c r="DO341" s="16"/>
      <c r="DP341" s="16"/>
      <c r="DQ341" s="16"/>
      <c r="DR341" s="16"/>
      <c r="DS341" s="16"/>
      <c r="DT341" s="16"/>
      <c r="DU341" s="45" t="s">
        <v>67</v>
      </c>
      <c r="DW341" s="86">
        <v>2020</v>
      </c>
      <c r="DX341" s="87" t="s">
        <v>47</v>
      </c>
      <c r="DY341" s="44">
        <f t="shared" ref="DY341:DY347" si="447">EG341/ED341</f>
        <v>0.43471582181259599</v>
      </c>
      <c r="DZ341" s="44">
        <f t="shared" ref="DZ341:DZ347" si="448">EG341/EF341</f>
        <v>0.98263888888888884</v>
      </c>
      <c r="EA341" s="44">
        <f t="shared" ref="EA341:EA347" si="449">EF341/ED341</f>
        <v>0.44239631336405533</v>
      </c>
      <c r="EB341" s="16">
        <v>57</v>
      </c>
      <c r="EC341" s="16">
        <v>3</v>
      </c>
      <c r="ED341" s="16">
        <v>1302</v>
      </c>
      <c r="EE341" s="16">
        <f t="shared" ref="EE341:EE349" si="450">ED341-EF341</f>
        <v>726</v>
      </c>
      <c r="EF341" s="16">
        <v>576</v>
      </c>
      <c r="EG341" s="16">
        <v>566</v>
      </c>
      <c r="EH341" s="16">
        <f t="shared" ref="EH341:EH347" si="451">EF341-EG341</f>
        <v>10</v>
      </c>
      <c r="EI341" s="19" t="s">
        <v>85</v>
      </c>
      <c r="EK341" s="86">
        <v>2020</v>
      </c>
      <c r="EL341" s="87" t="s">
        <v>47</v>
      </c>
      <c r="EM341" s="44">
        <f t="shared" ref="EM341:EM347" si="452">EU341/ER341</f>
        <v>0.21612903225806451</v>
      </c>
      <c r="EN341" s="44">
        <f t="shared" ref="EN341:EN347" si="453">EU341/ET341</f>
        <v>0.98529411764705888</v>
      </c>
      <c r="EO341" s="44">
        <f t="shared" ref="EO341:EO347" si="454">ET341/ER341</f>
        <v>0.21935483870967742</v>
      </c>
      <c r="EP341" s="16">
        <v>6</v>
      </c>
      <c r="EQ341" s="16">
        <v>3</v>
      </c>
      <c r="ER341" s="16">
        <v>310</v>
      </c>
      <c r="ES341" s="16">
        <f t="shared" ref="ES341:ES349" si="455">ER341-ET341</f>
        <v>242</v>
      </c>
      <c r="ET341" s="16">
        <v>68</v>
      </c>
      <c r="EU341" s="16">
        <v>67</v>
      </c>
      <c r="EV341" s="16">
        <f t="shared" ref="EV341:EV347" si="456">ET341-EU341</f>
        <v>1</v>
      </c>
      <c r="EW341" s="19" t="s">
        <v>101</v>
      </c>
      <c r="EY341" s="86"/>
      <c r="EZ341" s="87"/>
      <c r="FA341" s="44"/>
      <c r="FB341" s="44"/>
      <c r="FC341" s="44"/>
      <c r="FD341" s="16"/>
      <c r="FE341" s="16"/>
      <c r="FF341" s="16"/>
      <c r="FG341" s="16"/>
      <c r="FH341" s="16"/>
      <c r="FI341" s="16"/>
      <c r="FJ341" s="16"/>
      <c r="FK341" s="19" t="s">
        <v>85</v>
      </c>
      <c r="FM341" s="86"/>
      <c r="FN341" s="87"/>
      <c r="FO341" s="44"/>
      <c r="FP341" s="44"/>
      <c r="FQ341" s="44"/>
      <c r="FR341" s="16"/>
      <c r="FS341" s="16"/>
      <c r="FT341" s="16"/>
      <c r="FU341" s="16"/>
      <c r="FV341" s="16"/>
      <c r="FW341" s="16"/>
      <c r="FX341" s="16"/>
      <c r="FY341" s="19" t="s">
        <v>85</v>
      </c>
      <c r="GA341" s="86"/>
      <c r="GB341" s="87"/>
      <c r="GC341" s="44"/>
      <c r="GD341" s="44"/>
      <c r="GE341" s="44"/>
      <c r="GF341" s="16"/>
      <c r="GG341" s="16"/>
      <c r="GH341" s="16"/>
      <c r="GI341" s="16"/>
      <c r="GJ341" s="16"/>
      <c r="GK341" s="16"/>
      <c r="GL341" s="16"/>
      <c r="GM341" s="19"/>
    </row>
    <row r="342" spans="1:195" s="18" customFormat="1" ht="15" customHeight="1">
      <c r="A342" s="86">
        <v>2021</v>
      </c>
      <c r="B342" s="87" t="s">
        <v>36</v>
      </c>
      <c r="C342" s="15">
        <f t="shared" ref="C342:C365" si="457">K342/H342</f>
        <v>0.82796522365872338</v>
      </c>
      <c r="D342" s="15">
        <f t="shared" ref="D342:D365" si="458">K342/J342</f>
        <v>0.96614802354920104</v>
      </c>
      <c r="E342" s="15">
        <f t="shared" ref="E342:E365" si="459">J342/H342</f>
        <v>0.85697553943871341</v>
      </c>
      <c r="F342"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803</v>
      </c>
      <c r="G342"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6.7457947855340619</v>
      </c>
      <c r="H342" s="16">
        <f t="shared" ref="H342:H365" si="460">+V342+AX342+BL342+CN342+DB342+DP342+ED342+BZ342+ER342</f>
        <v>22199</v>
      </c>
      <c r="I342" s="16">
        <f t="shared" ref="I342:I365" si="461">H342-J342</f>
        <v>3175</v>
      </c>
      <c r="J342" s="16">
        <f t="shared" ref="J342:J352" si="462">+X342+AZ342+BN342+CP342+DD342+DR342+EF342+CB342+ET342</f>
        <v>19024</v>
      </c>
      <c r="K342" s="16">
        <f t="shared" ref="K342:K352" si="463">+Y342+BA342+BO342+CQ342+DE342+DS342+EG342+CC342+EU342</f>
        <v>18380</v>
      </c>
      <c r="L342" s="16">
        <f t="shared" ref="L342:L365" si="464">J342-K342</f>
        <v>644</v>
      </c>
      <c r="M342" s="16"/>
      <c r="O342" s="86">
        <v>2021</v>
      </c>
      <c r="P342" s="87" t="s">
        <v>36</v>
      </c>
      <c r="Q342" s="44">
        <f t="shared" ref="Q342:Q347" si="465">Y342/V342</f>
        <v>0.86846153846153851</v>
      </c>
      <c r="R342" s="44">
        <f t="shared" ref="R342:R347" si="466">Y342/X342</f>
        <v>0.96187433439829606</v>
      </c>
      <c r="S342" s="44">
        <f t="shared" ref="S342:S347" si="467">X342/V342</f>
        <v>0.9028846153846154</v>
      </c>
      <c r="T342" s="16">
        <v>198</v>
      </c>
      <c r="U342" s="16">
        <v>7</v>
      </c>
      <c r="V342" s="16">
        <v>5200</v>
      </c>
      <c r="W342" s="16">
        <f t="shared" ref="W342:W349" si="468">V342-X342</f>
        <v>505</v>
      </c>
      <c r="X342" s="16">
        <v>4695</v>
      </c>
      <c r="Y342" s="16">
        <v>4516</v>
      </c>
      <c r="Z342" s="16">
        <f t="shared" ref="Z342:Z347" si="469">X342-Y342</f>
        <v>179</v>
      </c>
      <c r="AA342" s="16"/>
      <c r="AC342" s="84"/>
      <c r="AD342" s="85"/>
      <c r="AE342" s="44"/>
      <c r="AF342" s="44"/>
      <c r="AG342" s="44"/>
      <c r="AH342" s="44"/>
      <c r="AI342" s="44"/>
      <c r="AJ342" s="16"/>
      <c r="AK342" s="16"/>
      <c r="AL342" s="16"/>
      <c r="AM342" s="16"/>
      <c r="AN342" s="16"/>
      <c r="AO342" s="16"/>
      <c r="AQ342" s="86">
        <v>2021</v>
      </c>
      <c r="AR342" s="87" t="s">
        <v>36</v>
      </c>
      <c r="AS342" s="44">
        <f t="shared" ref="AS342:AS347" si="470">BA342/AX342</f>
        <v>0.92012590989573084</v>
      </c>
      <c r="AT342" s="44">
        <f t="shared" ref="AT342:AT347" si="471">BA342/AZ342</f>
        <v>0.97234927234927238</v>
      </c>
      <c r="AU342" s="44">
        <f t="shared" ref="AU342:AU347" si="472">AZ342/AX342</f>
        <v>0.94629156010230175</v>
      </c>
      <c r="AV342" s="16">
        <v>192</v>
      </c>
      <c r="AW342" s="16">
        <v>7</v>
      </c>
      <c r="AX342" s="16">
        <v>5083</v>
      </c>
      <c r="AY342" s="16">
        <f t="shared" ref="AY342:AY349" si="473">AX342-AZ342</f>
        <v>273</v>
      </c>
      <c r="AZ342" s="16">
        <v>4810</v>
      </c>
      <c r="BA342" s="16">
        <v>4677</v>
      </c>
      <c r="BB342" s="16">
        <f t="shared" ref="BB342:BB347" si="474">AZ342-BA342</f>
        <v>133</v>
      </c>
      <c r="BC342" s="16"/>
      <c r="BE342" s="86">
        <v>2021</v>
      </c>
      <c r="BF342" s="87" t="s">
        <v>36</v>
      </c>
      <c r="BG342" s="44">
        <f t="shared" ref="BG342:BG347" si="475">BO342/BL342</f>
        <v>0.86130284728213979</v>
      </c>
      <c r="BH342" s="44">
        <f t="shared" ref="BH342:BH347" si="476">BO342/BN342</f>
        <v>0.955491744436468</v>
      </c>
      <c r="BI342" s="44">
        <f t="shared" ref="BI342:BI347" si="477">BN342/BL342</f>
        <v>0.90142364106988782</v>
      </c>
      <c r="BJ342" s="16">
        <v>164</v>
      </c>
      <c r="BK342" s="16">
        <v>7</v>
      </c>
      <c r="BL342" s="16">
        <v>4636</v>
      </c>
      <c r="BM342" s="16">
        <f t="shared" ref="BM342:BM349" si="478">BL342-BN342</f>
        <v>457</v>
      </c>
      <c r="BN342" s="16">
        <v>4179</v>
      </c>
      <c r="BO342" s="16">
        <v>3993</v>
      </c>
      <c r="BP342" s="16">
        <f t="shared" ref="BP342:BP347" si="479">BN342-BO342</f>
        <v>186</v>
      </c>
      <c r="BQ342" s="16"/>
      <c r="BS342" s="86">
        <v>2021</v>
      </c>
      <c r="BT342" s="87" t="s">
        <v>36</v>
      </c>
      <c r="BU342" s="44">
        <f t="shared" ref="BU342:BU347" si="480">CC342/BZ342</f>
        <v>0.88492706645056729</v>
      </c>
      <c r="BV342" s="44">
        <f t="shared" ref="BV342:BV347" si="481">CC342/CB342</f>
        <v>0.97369594293357109</v>
      </c>
      <c r="BW342" s="44">
        <f t="shared" ref="BW342:BW347" si="482">CB342/BZ342</f>
        <v>0.9088330632090762</v>
      </c>
      <c r="BX342" s="16">
        <v>89</v>
      </c>
      <c r="BY342" s="16">
        <v>7</v>
      </c>
      <c r="BZ342" s="16">
        <v>2468</v>
      </c>
      <c r="CA342" s="16">
        <f t="shared" ref="CA342:CA349" si="483">BZ342-CB342</f>
        <v>225</v>
      </c>
      <c r="CB342" s="16">
        <v>2243</v>
      </c>
      <c r="CC342" s="16">
        <v>2184</v>
      </c>
      <c r="CD342" s="16">
        <f t="shared" ref="CD342:CD347" si="484">CB342-CC342</f>
        <v>59</v>
      </c>
      <c r="CE342" s="16"/>
      <c r="CG342" s="86">
        <v>2021</v>
      </c>
      <c r="CH342" s="87" t="s">
        <v>36</v>
      </c>
      <c r="CI342" s="44">
        <f t="shared" ref="CI342:CI347" si="485">CQ342/CN342</f>
        <v>0.87284069097888672</v>
      </c>
      <c r="CJ342" s="44">
        <f t="shared" ref="CJ342:CJ347" si="486">CQ342/CP342</f>
        <v>0.96345338983050843</v>
      </c>
      <c r="CK342" s="44">
        <f t="shared" ref="CK342:CK347" si="487">CP342/CN342</f>
        <v>0.90595009596928988</v>
      </c>
      <c r="CL342" s="16">
        <v>76</v>
      </c>
      <c r="CM342" s="16">
        <v>7</v>
      </c>
      <c r="CN342" s="16">
        <v>2084</v>
      </c>
      <c r="CO342" s="16">
        <f t="shared" ref="CO342:CO349" si="488">CN342-CP342</f>
        <v>196</v>
      </c>
      <c r="CP342" s="16">
        <v>1888</v>
      </c>
      <c r="CQ342" s="16">
        <v>1819</v>
      </c>
      <c r="CR342" s="16">
        <f t="shared" ref="CR342:CR347" si="489">CP342-CQ342</f>
        <v>69</v>
      </c>
      <c r="CS342" s="16"/>
      <c r="CU342" s="86">
        <v>2021</v>
      </c>
      <c r="CV342" s="87" t="s">
        <v>36</v>
      </c>
      <c r="CW342" s="44">
        <f t="shared" ref="CW342:CW347" si="490">DE342/DB342</f>
        <v>0.48028673835125446</v>
      </c>
      <c r="CX342" s="44">
        <f t="shared" ref="CX342:CX347" si="491">DE342/DD342</f>
        <v>0.98710865561694294</v>
      </c>
      <c r="CY342" s="44">
        <f t="shared" ref="CY342:CY347" si="492">DD342/DB342</f>
        <v>0.48655913978494625</v>
      </c>
      <c r="CZ342" s="16">
        <v>36</v>
      </c>
      <c r="DA342" s="16">
        <v>3</v>
      </c>
      <c r="DB342" s="16">
        <v>1116</v>
      </c>
      <c r="DC342" s="16">
        <f t="shared" ref="DC342:DC349" si="493">DB342-DD342</f>
        <v>573</v>
      </c>
      <c r="DD342" s="16">
        <v>543</v>
      </c>
      <c r="DE342" s="16">
        <v>536</v>
      </c>
      <c r="DF342" s="16">
        <f t="shared" ref="DF342:DF347" si="494">DD342-DE342</f>
        <v>7</v>
      </c>
      <c r="DG342" s="16"/>
      <c r="DI342" s="86">
        <v>2021</v>
      </c>
      <c r="DJ342" s="87" t="s">
        <v>36</v>
      </c>
      <c r="DK342" s="44"/>
      <c r="DL342" s="44"/>
      <c r="DM342" s="44"/>
      <c r="DN342" s="16"/>
      <c r="DO342" s="16"/>
      <c r="DP342" s="16"/>
      <c r="DQ342" s="16"/>
      <c r="DR342" s="16"/>
      <c r="DS342" s="16"/>
      <c r="DT342" s="16"/>
      <c r="DU342" s="45" t="s">
        <v>67</v>
      </c>
      <c r="DW342" s="86">
        <v>2021</v>
      </c>
      <c r="DX342" s="87" t="s">
        <v>36</v>
      </c>
      <c r="DY342" s="44">
        <f t="shared" si="447"/>
        <v>0.44393241167434716</v>
      </c>
      <c r="DZ342" s="44">
        <f t="shared" si="448"/>
        <v>0.98299319727891155</v>
      </c>
      <c r="EA342" s="44">
        <f t="shared" si="449"/>
        <v>0.45161290322580644</v>
      </c>
      <c r="EB342" s="16">
        <v>42</v>
      </c>
      <c r="EC342" s="16">
        <v>3</v>
      </c>
      <c r="ED342" s="16">
        <v>1302</v>
      </c>
      <c r="EE342" s="16">
        <f t="shared" si="450"/>
        <v>714</v>
      </c>
      <c r="EF342" s="16">
        <v>588</v>
      </c>
      <c r="EG342" s="16">
        <v>578</v>
      </c>
      <c r="EH342" s="16">
        <f t="shared" si="451"/>
        <v>10</v>
      </c>
      <c r="EI342" s="16"/>
      <c r="EK342" s="86">
        <v>2021</v>
      </c>
      <c r="EL342" s="87" t="s">
        <v>36</v>
      </c>
      <c r="EM342" s="44">
        <f t="shared" si="452"/>
        <v>0.24838709677419354</v>
      </c>
      <c r="EN342" s="44">
        <f t="shared" si="453"/>
        <v>0.98717948717948723</v>
      </c>
      <c r="EO342" s="44">
        <f t="shared" si="454"/>
        <v>0.25161290322580643</v>
      </c>
      <c r="EP342" s="16">
        <v>6</v>
      </c>
      <c r="EQ342" s="16">
        <v>3</v>
      </c>
      <c r="ER342" s="16">
        <v>310</v>
      </c>
      <c r="ES342" s="16">
        <f t="shared" si="455"/>
        <v>232</v>
      </c>
      <c r="ET342" s="16">
        <v>78</v>
      </c>
      <c r="EU342" s="16">
        <v>77</v>
      </c>
      <c r="EV342" s="16">
        <f t="shared" si="456"/>
        <v>1</v>
      </c>
      <c r="EW342" s="19" t="s">
        <v>101</v>
      </c>
      <c r="EY342" s="86"/>
      <c r="EZ342" s="87"/>
      <c r="FA342" s="44"/>
      <c r="FB342" s="44"/>
      <c r="FC342" s="44"/>
      <c r="FD342" s="16"/>
      <c r="FE342" s="16"/>
      <c r="FF342" s="16"/>
      <c r="FG342" s="16"/>
      <c r="FH342" s="16"/>
      <c r="FI342" s="16"/>
      <c r="FJ342" s="16"/>
      <c r="FK342" s="19"/>
      <c r="FM342" s="86"/>
      <c r="FN342" s="87"/>
      <c r="FO342" s="44"/>
      <c r="FP342" s="44"/>
      <c r="FQ342" s="44"/>
      <c r="FR342" s="16"/>
      <c r="FS342" s="16"/>
      <c r="FT342" s="16"/>
      <c r="FU342" s="16"/>
      <c r="FV342" s="16"/>
      <c r="FW342" s="16"/>
      <c r="FX342" s="16"/>
      <c r="FY342" s="19"/>
      <c r="GA342" s="86"/>
      <c r="GB342" s="87"/>
      <c r="GC342" s="44"/>
      <c r="GD342" s="44"/>
      <c r="GE342" s="44"/>
      <c r="GF342" s="16"/>
      <c r="GG342" s="16"/>
      <c r="GH342" s="16"/>
      <c r="GI342" s="16"/>
      <c r="GJ342" s="16"/>
      <c r="GK342" s="16"/>
      <c r="GL342" s="16"/>
      <c r="GM342" s="19"/>
    </row>
    <row r="343" spans="1:195" s="18" customFormat="1" ht="15" customHeight="1">
      <c r="A343" s="86">
        <v>2021</v>
      </c>
      <c r="B343" s="87" t="s">
        <v>37</v>
      </c>
      <c r="C343" s="15">
        <f t="shared" si="457"/>
        <v>0.83447826304969164</v>
      </c>
      <c r="D343" s="15">
        <f t="shared" si="458"/>
        <v>0.96620993961913604</v>
      </c>
      <c r="E343" s="15">
        <f t="shared" si="459"/>
        <v>0.86366143509000648</v>
      </c>
      <c r="F343"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803</v>
      </c>
      <c r="G343"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6.7508128193218768</v>
      </c>
      <c r="H343" s="16">
        <f t="shared" si="460"/>
        <v>19943</v>
      </c>
      <c r="I343" s="16">
        <f t="shared" si="461"/>
        <v>2719</v>
      </c>
      <c r="J343" s="16">
        <f t="shared" si="462"/>
        <v>17224</v>
      </c>
      <c r="K343" s="16">
        <f t="shared" si="463"/>
        <v>16642</v>
      </c>
      <c r="L343" s="16">
        <f t="shared" si="464"/>
        <v>582</v>
      </c>
      <c r="M343" s="16"/>
      <c r="O343" s="86">
        <v>2021</v>
      </c>
      <c r="P343" s="87" t="s">
        <v>37</v>
      </c>
      <c r="Q343" s="44">
        <f t="shared" si="465"/>
        <v>0.88636363636363635</v>
      </c>
      <c r="R343" s="44">
        <f t="shared" si="466"/>
        <v>0.97224835371589835</v>
      </c>
      <c r="S343" s="44">
        <f t="shared" si="467"/>
        <v>0.91166380789022294</v>
      </c>
      <c r="T343" s="16">
        <v>198</v>
      </c>
      <c r="U343" s="16">
        <v>7</v>
      </c>
      <c r="V343" s="16">
        <v>4664</v>
      </c>
      <c r="W343" s="16">
        <f t="shared" si="468"/>
        <v>412</v>
      </c>
      <c r="X343" s="16">
        <v>4252</v>
      </c>
      <c r="Y343" s="16">
        <v>4134</v>
      </c>
      <c r="Z343" s="16">
        <f t="shared" si="469"/>
        <v>118</v>
      </c>
      <c r="AA343" s="16"/>
      <c r="AC343" s="86"/>
      <c r="AD343" s="87"/>
      <c r="AE343" s="44"/>
      <c r="AF343" s="44"/>
      <c r="AG343" s="44"/>
      <c r="AH343" s="44"/>
      <c r="AI343" s="44"/>
      <c r="AJ343" s="16"/>
      <c r="AK343" s="16"/>
      <c r="AL343" s="16"/>
      <c r="AM343" s="16"/>
      <c r="AN343" s="16"/>
      <c r="AO343" s="16"/>
      <c r="AQ343" s="86">
        <v>2021</v>
      </c>
      <c r="AR343" s="87" t="s">
        <v>37</v>
      </c>
      <c r="AS343" s="44">
        <f t="shared" si="470"/>
        <v>0.91864035087719298</v>
      </c>
      <c r="AT343" s="44">
        <f t="shared" si="471"/>
        <v>0.97192575406032478</v>
      </c>
      <c r="AU343" s="44">
        <f t="shared" si="472"/>
        <v>0.94517543859649122</v>
      </c>
      <c r="AV343" s="16">
        <v>192</v>
      </c>
      <c r="AW343" s="16">
        <v>7</v>
      </c>
      <c r="AX343" s="16">
        <v>4560</v>
      </c>
      <c r="AY343" s="16">
        <f t="shared" si="473"/>
        <v>250</v>
      </c>
      <c r="AZ343" s="16">
        <v>4310</v>
      </c>
      <c r="BA343" s="16">
        <v>4189</v>
      </c>
      <c r="BB343" s="16">
        <f t="shared" si="474"/>
        <v>121</v>
      </c>
      <c r="BC343" s="16"/>
      <c r="BE343" s="86">
        <v>2021</v>
      </c>
      <c r="BF343" s="87" t="s">
        <v>37</v>
      </c>
      <c r="BG343" s="44">
        <f t="shared" si="475"/>
        <v>0.88144948404127665</v>
      </c>
      <c r="BH343" s="44">
        <f t="shared" si="476"/>
        <v>0.96076379806434742</v>
      </c>
      <c r="BI343" s="44">
        <f t="shared" si="477"/>
        <v>0.91744660427165825</v>
      </c>
      <c r="BJ343" s="16">
        <v>164</v>
      </c>
      <c r="BK343" s="16">
        <v>7</v>
      </c>
      <c r="BL343" s="16">
        <v>4167</v>
      </c>
      <c r="BM343" s="16">
        <f t="shared" si="478"/>
        <v>344</v>
      </c>
      <c r="BN343" s="16">
        <v>3823</v>
      </c>
      <c r="BO343" s="16">
        <v>3673</v>
      </c>
      <c r="BP343" s="16">
        <f t="shared" si="479"/>
        <v>150</v>
      </c>
      <c r="BQ343" s="16"/>
      <c r="BS343" s="86">
        <v>2021</v>
      </c>
      <c r="BT343" s="87" t="s">
        <v>37</v>
      </c>
      <c r="BU343" s="44">
        <f t="shared" si="480"/>
        <v>0.87725631768953072</v>
      </c>
      <c r="BV343" s="44">
        <f t="shared" si="481"/>
        <v>0.94690696541646369</v>
      </c>
      <c r="BW343" s="44">
        <f t="shared" si="482"/>
        <v>0.92644404332129959</v>
      </c>
      <c r="BX343" s="16">
        <v>89</v>
      </c>
      <c r="BY343" s="16">
        <v>7</v>
      </c>
      <c r="BZ343" s="16">
        <v>2216</v>
      </c>
      <c r="CA343" s="16">
        <f t="shared" si="483"/>
        <v>163</v>
      </c>
      <c r="CB343" s="16">
        <v>2053</v>
      </c>
      <c r="CC343" s="16">
        <v>1944</v>
      </c>
      <c r="CD343" s="16">
        <f t="shared" si="484"/>
        <v>109</v>
      </c>
      <c r="CE343" s="16"/>
      <c r="CG343" s="86">
        <v>2021</v>
      </c>
      <c r="CH343" s="87" t="s">
        <v>37</v>
      </c>
      <c r="CI343" s="44">
        <f t="shared" si="485"/>
        <v>0.88621794871794868</v>
      </c>
      <c r="CJ343" s="44">
        <f t="shared" si="486"/>
        <v>0.968476357267951</v>
      </c>
      <c r="CK343" s="44">
        <f t="shared" si="487"/>
        <v>0.91506410256410253</v>
      </c>
      <c r="CL343" s="16">
        <v>76</v>
      </c>
      <c r="CM343" s="16">
        <v>7</v>
      </c>
      <c r="CN343" s="16">
        <v>1872</v>
      </c>
      <c r="CO343" s="16">
        <f t="shared" si="488"/>
        <v>159</v>
      </c>
      <c r="CP343" s="16">
        <v>1713</v>
      </c>
      <c r="CQ343" s="16">
        <v>1659</v>
      </c>
      <c r="CR343" s="16">
        <f t="shared" si="489"/>
        <v>54</v>
      </c>
      <c r="CS343" s="16"/>
      <c r="CU343" s="86">
        <v>2021</v>
      </c>
      <c r="CV343" s="87" t="s">
        <v>37</v>
      </c>
      <c r="CW343" s="44">
        <f t="shared" si="490"/>
        <v>0.46825396825396826</v>
      </c>
      <c r="CX343" s="44">
        <f t="shared" si="491"/>
        <v>0.98951781970649899</v>
      </c>
      <c r="CY343" s="44">
        <f t="shared" si="492"/>
        <v>0.4732142857142857</v>
      </c>
      <c r="CZ343" s="16">
        <v>36</v>
      </c>
      <c r="DA343" s="16">
        <v>3</v>
      </c>
      <c r="DB343" s="16">
        <v>1008</v>
      </c>
      <c r="DC343" s="16">
        <f t="shared" si="493"/>
        <v>531</v>
      </c>
      <c r="DD343" s="16">
        <v>477</v>
      </c>
      <c r="DE343" s="16">
        <v>472</v>
      </c>
      <c r="DF343" s="16">
        <f t="shared" si="494"/>
        <v>5</v>
      </c>
      <c r="DG343" s="16"/>
      <c r="DI343" s="86">
        <v>2021</v>
      </c>
      <c r="DJ343" s="87" t="s">
        <v>37</v>
      </c>
      <c r="DK343" s="44"/>
      <c r="DL343" s="44"/>
      <c r="DM343" s="44"/>
      <c r="DN343" s="16"/>
      <c r="DO343" s="16"/>
      <c r="DP343" s="16"/>
      <c r="DQ343" s="16"/>
      <c r="DR343" s="16"/>
      <c r="DS343" s="16"/>
      <c r="DT343" s="16"/>
      <c r="DU343" s="45" t="s">
        <v>67</v>
      </c>
      <c r="DW343" s="86">
        <v>2021</v>
      </c>
      <c r="DX343" s="87" t="s">
        <v>37</v>
      </c>
      <c r="DY343" s="44">
        <f t="shared" si="447"/>
        <v>0.42261904761904762</v>
      </c>
      <c r="DZ343" s="44">
        <f t="shared" si="448"/>
        <v>0.95210727969348663</v>
      </c>
      <c r="EA343" s="44">
        <f t="shared" si="449"/>
        <v>0.44387755102040816</v>
      </c>
      <c r="EB343" s="16">
        <v>42</v>
      </c>
      <c r="EC343" s="16">
        <v>3</v>
      </c>
      <c r="ED343" s="16">
        <v>1176</v>
      </c>
      <c r="EE343" s="16">
        <f t="shared" si="450"/>
        <v>654</v>
      </c>
      <c r="EF343" s="16">
        <v>522</v>
      </c>
      <c r="EG343" s="16">
        <v>497</v>
      </c>
      <c r="EH343" s="16">
        <f t="shared" si="451"/>
        <v>25</v>
      </c>
      <c r="EI343" s="16"/>
      <c r="EK343" s="86">
        <v>2021</v>
      </c>
      <c r="EL343" s="87" t="s">
        <v>37</v>
      </c>
      <c r="EM343" s="44">
        <f t="shared" si="452"/>
        <v>0.26428571428571429</v>
      </c>
      <c r="EN343" s="44">
        <f t="shared" si="453"/>
        <v>1</v>
      </c>
      <c r="EO343" s="44">
        <f t="shared" si="454"/>
        <v>0.26428571428571429</v>
      </c>
      <c r="EP343" s="16">
        <v>6</v>
      </c>
      <c r="EQ343" s="16">
        <v>3</v>
      </c>
      <c r="ER343" s="16">
        <v>280</v>
      </c>
      <c r="ES343" s="16">
        <f t="shared" si="455"/>
        <v>206</v>
      </c>
      <c r="ET343" s="16">
        <v>74</v>
      </c>
      <c r="EU343" s="16">
        <v>74</v>
      </c>
      <c r="EV343" s="16">
        <f t="shared" si="456"/>
        <v>0</v>
      </c>
      <c r="EW343" s="19" t="s">
        <v>101</v>
      </c>
      <c r="EY343" s="86"/>
      <c r="EZ343" s="87"/>
      <c r="FA343" s="44"/>
      <c r="FB343" s="44"/>
      <c r="FC343" s="44"/>
      <c r="FD343" s="16"/>
      <c r="FE343" s="16"/>
      <c r="FF343" s="16"/>
      <c r="FG343" s="16"/>
      <c r="FH343" s="16"/>
      <c r="FI343" s="16"/>
      <c r="FJ343" s="16"/>
      <c r="FK343" s="19"/>
      <c r="FM343" s="86"/>
      <c r="FN343" s="87"/>
      <c r="FO343" s="44"/>
      <c r="FP343" s="44"/>
      <c r="FQ343" s="44"/>
      <c r="FR343" s="16"/>
      <c r="FS343" s="16"/>
      <c r="FT343" s="16"/>
      <c r="FU343" s="16"/>
      <c r="FV343" s="16"/>
      <c r="FW343" s="16"/>
      <c r="FX343" s="16"/>
      <c r="FY343" s="19"/>
      <c r="GA343" s="86"/>
      <c r="GB343" s="87"/>
      <c r="GC343" s="44"/>
      <c r="GD343" s="44"/>
      <c r="GE343" s="44"/>
      <c r="GF343" s="16"/>
      <c r="GG343" s="16"/>
      <c r="GH343" s="16"/>
      <c r="GI343" s="16"/>
      <c r="GJ343" s="16"/>
      <c r="GK343" s="16"/>
      <c r="GL343" s="16"/>
      <c r="GM343" s="19"/>
    </row>
    <row r="344" spans="1:195" s="18" customFormat="1" ht="15" customHeight="1">
      <c r="A344" s="86">
        <v>2021</v>
      </c>
      <c r="B344" s="87" t="s">
        <v>38</v>
      </c>
      <c r="C344" s="15">
        <f t="shared" si="457"/>
        <v>0.85389596088622643</v>
      </c>
      <c r="D344" s="15">
        <f t="shared" si="458"/>
        <v>0.96524596693885678</v>
      </c>
      <c r="E344" s="15">
        <f t="shared" si="459"/>
        <v>0.88464079637052373</v>
      </c>
      <c r="F34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803</v>
      </c>
      <c r="G344"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6.7564230233021307</v>
      </c>
      <c r="H344" s="16">
        <f t="shared" si="460"/>
        <v>22703</v>
      </c>
      <c r="I344" s="16">
        <f t="shared" si="461"/>
        <v>2619</v>
      </c>
      <c r="J344" s="16">
        <f t="shared" si="462"/>
        <v>20084</v>
      </c>
      <c r="K344" s="16">
        <f t="shared" si="463"/>
        <v>19386</v>
      </c>
      <c r="L344" s="16">
        <f t="shared" si="464"/>
        <v>698</v>
      </c>
      <c r="M344" s="16"/>
      <c r="O344" s="86">
        <v>2021</v>
      </c>
      <c r="P344" s="87" t="s">
        <v>38</v>
      </c>
      <c r="Q344" s="44">
        <f t="shared" si="465"/>
        <v>0.92304825787218181</v>
      </c>
      <c r="R344" s="44">
        <f t="shared" si="466"/>
        <v>0.96493961823139851</v>
      </c>
      <c r="S344" s="44">
        <f t="shared" si="467"/>
        <v>0.95658654741941496</v>
      </c>
      <c r="T344" s="16">
        <v>198</v>
      </c>
      <c r="U344" s="16">
        <v>7</v>
      </c>
      <c r="V344" s="16">
        <v>5367</v>
      </c>
      <c r="W344" s="16">
        <f t="shared" si="468"/>
        <v>233</v>
      </c>
      <c r="X344" s="16">
        <v>5134</v>
      </c>
      <c r="Y344" s="16">
        <v>4954</v>
      </c>
      <c r="Z344" s="16">
        <f t="shared" si="469"/>
        <v>180</v>
      </c>
      <c r="AA344" s="16"/>
      <c r="AC344" s="84"/>
      <c r="AD344" s="85"/>
      <c r="AE344" s="44"/>
      <c r="AF344" s="44"/>
      <c r="AG344" s="44"/>
      <c r="AH344" s="44"/>
      <c r="AI344" s="44"/>
      <c r="AJ344" s="16"/>
      <c r="AK344" s="16"/>
      <c r="AL344" s="16"/>
      <c r="AM344" s="16"/>
      <c r="AN344" s="16"/>
      <c r="AO344" s="16"/>
      <c r="AQ344" s="86">
        <v>2021</v>
      </c>
      <c r="AR344" s="87" t="s">
        <v>38</v>
      </c>
      <c r="AS344" s="44">
        <f t="shared" si="470"/>
        <v>0.9349112426035503</v>
      </c>
      <c r="AT344" s="44">
        <f t="shared" si="471"/>
        <v>0.97086223984142717</v>
      </c>
      <c r="AU344" s="44">
        <f t="shared" si="472"/>
        <v>0.96297003244894064</v>
      </c>
      <c r="AV344" s="16">
        <v>192</v>
      </c>
      <c r="AW344" s="16">
        <v>7</v>
      </c>
      <c r="AX344" s="16">
        <v>5239</v>
      </c>
      <c r="AY344" s="16">
        <f t="shared" si="473"/>
        <v>194</v>
      </c>
      <c r="AZ344" s="16">
        <v>5045</v>
      </c>
      <c r="BA344" s="16">
        <v>4898</v>
      </c>
      <c r="BB344" s="16">
        <f t="shared" si="474"/>
        <v>147</v>
      </c>
      <c r="BC344" s="16"/>
      <c r="BE344" s="86">
        <v>2021</v>
      </c>
      <c r="BF344" s="87" t="s">
        <v>38</v>
      </c>
      <c r="BG344" s="44">
        <f t="shared" si="475"/>
        <v>0.88507209499575912</v>
      </c>
      <c r="BH344" s="44">
        <f t="shared" si="476"/>
        <v>0.95931969662146632</v>
      </c>
      <c r="BI344" s="44">
        <f t="shared" si="477"/>
        <v>0.92260390161153516</v>
      </c>
      <c r="BJ344" s="16">
        <v>164</v>
      </c>
      <c r="BK344" s="16">
        <v>7</v>
      </c>
      <c r="BL344" s="16">
        <v>4716</v>
      </c>
      <c r="BM344" s="16">
        <f t="shared" si="478"/>
        <v>365</v>
      </c>
      <c r="BN344" s="16">
        <v>4351</v>
      </c>
      <c r="BO344" s="16">
        <v>4174</v>
      </c>
      <c r="BP344" s="16">
        <f t="shared" si="479"/>
        <v>177</v>
      </c>
      <c r="BQ344" s="16"/>
      <c r="BS344" s="86">
        <v>2021</v>
      </c>
      <c r="BT344" s="87" t="s">
        <v>38</v>
      </c>
      <c r="BU344" s="44">
        <f t="shared" si="480"/>
        <v>0.88765383088527194</v>
      </c>
      <c r="BV344" s="44">
        <f t="shared" si="481"/>
        <v>0.95351812366737743</v>
      </c>
      <c r="BW344" s="44">
        <f t="shared" si="482"/>
        <v>0.93092497022628029</v>
      </c>
      <c r="BX344" s="16">
        <v>89</v>
      </c>
      <c r="BY344" s="16">
        <v>7</v>
      </c>
      <c r="BZ344" s="16">
        <v>2519</v>
      </c>
      <c r="CA344" s="16">
        <f t="shared" si="483"/>
        <v>174</v>
      </c>
      <c r="CB344" s="16">
        <v>2345</v>
      </c>
      <c r="CC344" s="16">
        <v>2236</v>
      </c>
      <c r="CD344" s="16">
        <f t="shared" si="484"/>
        <v>109</v>
      </c>
      <c r="CE344" s="16"/>
      <c r="CG344" s="86">
        <v>2021</v>
      </c>
      <c r="CH344" s="87" t="s">
        <v>38</v>
      </c>
      <c r="CI344" s="44">
        <f t="shared" si="485"/>
        <v>0.90712945590994376</v>
      </c>
      <c r="CJ344" s="44">
        <f t="shared" si="486"/>
        <v>0.97381671701913397</v>
      </c>
      <c r="CK344" s="44">
        <f t="shared" si="487"/>
        <v>0.9315196998123827</v>
      </c>
      <c r="CL344" s="16">
        <v>76</v>
      </c>
      <c r="CM344" s="16">
        <v>7</v>
      </c>
      <c r="CN344" s="16">
        <v>2132</v>
      </c>
      <c r="CO344" s="16">
        <f t="shared" si="488"/>
        <v>146</v>
      </c>
      <c r="CP344" s="16">
        <v>1986</v>
      </c>
      <c r="CQ344" s="16">
        <v>1934</v>
      </c>
      <c r="CR344" s="16">
        <f t="shared" si="489"/>
        <v>52</v>
      </c>
      <c r="CS344" s="16"/>
      <c r="CU344" s="86">
        <v>2021</v>
      </c>
      <c r="CV344" s="87" t="s">
        <v>38</v>
      </c>
      <c r="CW344" s="44">
        <f t="shared" si="490"/>
        <v>0.46064400715563508</v>
      </c>
      <c r="CX344" s="44">
        <f t="shared" si="491"/>
        <v>0.97722960151802651</v>
      </c>
      <c r="CY344" s="44">
        <f t="shared" si="492"/>
        <v>0.47137745974955275</v>
      </c>
      <c r="CZ344" s="16">
        <v>36</v>
      </c>
      <c r="DA344" s="16">
        <v>3</v>
      </c>
      <c r="DB344" s="16">
        <v>1118</v>
      </c>
      <c r="DC344" s="16">
        <f t="shared" si="493"/>
        <v>591</v>
      </c>
      <c r="DD344" s="16">
        <v>527</v>
      </c>
      <c r="DE344" s="16">
        <v>515</v>
      </c>
      <c r="DF344" s="16">
        <f t="shared" si="494"/>
        <v>12</v>
      </c>
      <c r="DG344" s="16"/>
      <c r="DI344" s="86">
        <v>2021</v>
      </c>
      <c r="DJ344" s="87" t="s">
        <v>38</v>
      </c>
      <c r="DK344" s="44"/>
      <c r="DL344" s="44"/>
      <c r="DM344" s="44"/>
      <c r="DN344" s="16"/>
      <c r="DO344" s="16"/>
      <c r="DP344" s="16"/>
      <c r="DQ344" s="16"/>
      <c r="DR344" s="16"/>
      <c r="DS344" s="16"/>
      <c r="DT344" s="16"/>
      <c r="DU344" s="45" t="s">
        <v>67</v>
      </c>
      <c r="DW344" s="86">
        <v>2021</v>
      </c>
      <c r="DX344" s="87" t="s">
        <v>38</v>
      </c>
      <c r="DY344" s="44">
        <f t="shared" si="447"/>
        <v>0.45238095238095238</v>
      </c>
      <c r="DZ344" s="44">
        <f t="shared" si="448"/>
        <v>0.96875</v>
      </c>
      <c r="EA344" s="44">
        <f t="shared" si="449"/>
        <v>0.46697388632872505</v>
      </c>
      <c r="EB344" s="16">
        <v>42</v>
      </c>
      <c r="EC344" s="16">
        <v>3</v>
      </c>
      <c r="ED344" s="16">
        <v>1302</v>
      </c>
      <c r="EE344" s="16">
        <f t="shared" si="450"/>
        <v>694</v>
      </c>
      <c r="EF344" s="16">
        <v>608</v>
      </c>
      <c r="EG344" s="16">
        <v>589</v>
      </c>
      <c r="EH344" s="16">
        <f t="shared" si="451"/>
        <v>19</v>
      </c>
      <c r="EI344" s="16"/>
      <c r="EK344" s="86">
        <v>2021</v>
      </c>
      <c r="EL344" s="87" t="s">
        <v>38</v>
      </c>
      <c r="EM344" s="44">
        <f t="shared" si="452"/>
        <v>0.27741935483870966</v>
      </c>
      <c r="EN344" s="44">
        <f t="shared" si="453"/>
        <v>0.97727272727272729</v>
      </c>
      <c r="EO344" s="44">
        <f t="shared" si="454"/>
        <v>0.28387096774193549</v>
      </c>
      <c r="EP344" s="16">
        <v>6</v>
      </c>
      <c r="EQ344" s="16">
        <v>3</v>
      </c>
      <c r="ER344" s="16">
        <v>310</v>
      </c>
      <c r="ES344" s="16">
        <f t="shared" si="455"/>
        <v>222</v>
      </c>
      <c r="ET344" s="16">
        <v>88</v>
      </c>
      <c r="EU344" s="16">
        <v>86</v>
      </c>
      <c r="EV344" s="16">
        <f t="shared" si="456"/>
        <v>2</v>
      </c>
      <c r="EW344" s="19" t="s">
        <v>101</v>
      </c>
      <c r="EY344" s="86"/>
      <c r="EZ344" s="87"/>
      <c r="FA344" s="44"/>
      <c r="FB344" s="44"/>
      <c r="FC344" s="44"/>
      <c r="FD344" s="16"/>
      <c r="FE344" s="16"/>
      <c r="FF344" s="16"/>
      <c r="FG344" s="16"/>
      <c r="FH344" s="16"/>
      <c r="FI344" s="16"/>
      <c r="FJ344" s="16"/>
      <c r="FK344" s="19"/>
      <c r="FM344" s="86"/>
      <c r="FN344" s="87"/>
      <c r="FO344" s="44"/>
      <c r="FP344" s="44"/>
      <c r="FQ344" s="44"/>
      <c r="FR344" s="16"/>
      <c r="FS344" s="16"/>
      <c r="FT344" s="16"/>
      <c r="FU344" s="16"/>
      <c r="FV344" s="16"/>
      <c r="FW344" s="16"/>
      <c r="FX344" s="16"/>
      <c r="FY344" s="19"/>
      <c r="GA344" s="86"/>
      <c r="GB344" s="87"/>
      <c r="GC344" s="44"/>
      <c r="GD344" s="44"/>
      <c r="GE344" s="44"/>
      <c r="GF344" s="16"/>
      <c r="GG344" s="16"/>
      <c r="GH344" s="16"/>
      <c r="GI344" s="16"/>
      <c r="GJ344" s="16"/>
      <c r="GK344" s="16"/>
      <c r="GL344" s="16"/>
      <c r="GM344" s="19"/>
    </row>
    <row r="345" spans="1:195" s="18" customFormat="1" ht="15" customHeight="1">
      <c r="A345" s="86">
        <v>2021</v>
      </c>
      <c r="B345" s="87" t="s">
        <v>39</v>
      </c>
      <c r="C345" s="15">
        <f t="shared" si="457"/>
        <v>0.84621841314719914</v>
      </c>
      <c r="D345" s="15">
        <f t="shared" si="458"/>
        <v>0.96796199909040381</v>
      </c>
      <c r="E345" s="15">
        <f t="shared" si="459"/>
        <v>0.87422689521116803</v>
      </c>
      <c r="F34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5"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6.5449997473343773</v>
      </c>
      <c r="H345" s="16">
        <f t="shared" si="460"/>
        <v>22636</v>
      </c>
      <c r="I345" s="16">
        <f t="shared" si="461"/>
        <v>2847</v>
      </c>
      <c r="J345" s="16">
        <f t="shared" si="462"/>
        <v>19789</v>
      </c>
      <c r="K345" s="16">
        <f t="shared" si="463"/>
        <v>19155</v>
      </c>
      <c r="L345" s="16">
        <f t="shared" si="464"/>
        <v>634</v>
      </c>
      <c r="M345" s="16"/>
      <c r="O345" s="86">
        <v>2021</v>
      </c>
      <c r="P345" s="87" t="s">
        <v>39</v>
      </c>
      <c r="Q345" s="44">
        <f t="shared" si="465"/>
        <v>0.88747553816046965</v>
      </c>
      <c r="R345" s="44">
        <f t="shared" si="466"/>
        <v>0.95695294365899974</v>
      </c>
      <c r="S345" s="44">
        <f t="shared" si="467"/>
        <v>0.92739726027397262</v>
      </c>
      <c r="T345" s="16">
        <v>198</v>
      </c>
      <c r="U345" s="16">
        <v>7</v>
      </c>
      <c r="V345" s="16">
        <v>5110</v>
      </c>
      <c r="W345" s="16">
        <f t="shared" si="468"/>
        <v>371</v>
      </c>
      <c r="X345" s="16">
        <v>4739</v>
      </c>
      <c r="Y345" s="16">
        <v>4535</v>
      </c>
      <c r="Z345" s="16">
        <f t="shared" si="469"/>
        <v>204</v>
      </c>
      <c r="AA345" s="16"/>
      <c r="AC345" s="86"/>
      <c r="AD345" s="87"/>
      <c r="AE345" s="44"/>
      <c r="AF345" s="44"/>
      <c r="AG345" s="44"/>
      <c r="AH345" s="44"/>
      <c r="AI345" s="44"/>
      <c r="AJ345" s="16"/>
      <c r="AK345" s="16"/>
      <c r="AL345" s="16"/>
      <c r="AM345" s="16"/>
      <c r="AN345" s="16"/>
      <c r="AO345" s="16"/>
      <c r="AQ345" s="86">
        <v>2021</v>
      </c>
      <c r="AR345" s="87" t="s">
        <v>39</v>
      </c>
      <c r="AS345" s="44">
        <f t="shared" si="470"/>
        <v>0.93171806167400884</v>
      </c>
      <c r="AT345" s="44">
        <f t="shared" si="471"/>
        <v>0.97978521794061912</v>
      </c>
      <c r="AU345" s="44">
        <f t="shared" si="472"/>
        <v>0.95094112935522623</v>
      </c>
      <c r="AV345" s="16">
        <v>192</v>
      </c>
      <c r="AW345" s="16">
        <v>7</v>
      </c>
      <c r="AX345" s="16">
        <v>4994</v>
      </c>
      <c r="AY345" s="16">
        <f t="shared" si="473"/>
        <v>245</v>
      </c>
      <c r="AZ345" s="16">
        <v>4749</v>
      </c>
      <c r="BA345" s="16">
        <v>4653</v>
      </c>
      <c r="BB345" s="16">
        <f t="shared" si="474"/>
        <v>96</v>
      </c>
      <c r="BC345" s="16"/>
      <c r="BE345" s="86">
        <v>2021</v>
      </c>
      <c r="BF345" s="87" t="s">
        <v>39</v>
      </c>
      <c r="BG345" s="44">
        <f t="shared" si="475"/>
        <v>0.86111724442481785</v>
      </c>
      <c r="BH345" s="44">
        <f t="shared" si="476"/>
        <v>0.96439169139465875</v>
      </c>
      <c r="BI345" s="44">
        <f t="shared" si="477"/>
        <v>0.89291234268050346</v>
      </c>
      <c r="BJ345" s="16">
        <v>164</v>
      </c>
      <c r="BK345" s="16">
        <v>7</v>
      </c>
      <c r="BL345" s="16">
        <v>4529</v>
      </c>
      <c r="BM345" s="16">
        <f t="shared" si="478"/>
        <v>485</v>
      </c>
      <c r="BN345" s="16">
        <v>4044</v>
      </c>
      <c r="BO345" s="16">
        <v>3900</v>
      </c>
      <c r="BP345" s="16">
        <f t="shared" si="479"/>
        <v>144</v>
      </c>
      <c r="BQ345" s="16"/>
      <c r="BS345" s="86">
        <v>2021</v>
      </c>
      <c r="BT345" s="87" t="s">
        <v>39</v>
      </c>
      <c r="BU345" s="44">
        <f t="shared" si="480"/>
        <v>0.88571428571428568</v>
      </c>
      <c r="BV345" s="44">
        <f t="shared" si="481"/>
        <v>0.96875</v>
      </c>
      <c r="BW345" s="44">
        <f t="shared" si="482"/>
        <v>0.91428571428571426</v>
      </c>
      <c r="BX345" s="16">
        <v>89</v>
      </c>
      <c r="BY345" s="16">
        <v>7</v>
      </c>
      <c r="BZ345" s="16">
        <v>2415</v>
      </c>
      <c r="CA345" s="16">
        <f t="shared" si="483"/>
        <v>207</v>
      </c>
      <c r="CB345" s="16">
        <v>2208</v>
      </c>
      <c r="CC345" s="16">
        <v>2139</v>
      </c>
      <c r="CD345" s="16">
        <f t="shared" si="484"/>
        <v>69</v>
      </c>
      <c r="CE345" s="16"/>
      <c r="CG345" s="86">
        <v>2021</v>
      </c>
      <c r="CH345" s="87" t="s">
        <v>39</v>
      </c>
      <c r="CI345" s="44">
        <f t="shared" si="485"/>
        <v>0.85686274509803917</v>
      </c>
      <c r="CJ345" s="44">
        <f t="shared" si="486"/>
        <v>0.97219132369299222</v>
      </c>
      <c r="CK345" s="44">
        <f t="shared" si="487"/>
        <v>0.88137254901960782</v>
      </c>
      <c r="CL345" s="16">
        <v>76</v>
      </c>
      <c r="CM345" s="16">
        <v>7</v>
      </c>
      <c r="CN345" s="16">
        <v>2040</v>
      </c>
      <c r="CO345" s="16">
        <f t="shared" si="488"/>
        <v>242</v>
      </c>
      <c r="CP345" s="16">
        <v>1798</v>
      </c>
      <c r="CQ345" s="16">
        <v>1748</v>
      </c>
      <c r="CR345" s="16">
        <f t="shared" si="489"/>
        <v>50</v>
      </c>
      <c r="CS345" s="16"/>
      <c r="CU345" s="86">
        <v>2021</v>
      </c>
      <c r="CV345" s="87" t="s">
        <v>39</v>
      </c>
      <c r="CW345" s="44">
        <f t="shared" si="490"/>
        <v>0.45370370370370372</v>
      </c>
      <c r="CX345" s="44">
        <f t="shared" si="491"/>
        <v>0.98393574297188757</v>
      </c>
      <c r="CY345" s="44">
        <f t="shared" si="492"/>
        <v>0.46111111111111114</v>
      </c>
      <c r="CZ345" s="16">
        <v>36</v>
      </c>
      <c r="DA345" s="16">
        <v>3</v>
      </c>
      <c r="DB345" s="16">
        <v>1080</v>
      </c>
      <c r="DC345" s="16">
        <f t="shared" si="493"/>
        <v>582</v>
      </c>
      <c r="DD345" s="16">
        <v>498</v>
      </c>
      <c r="DE345" s="16">
        <v>490</v>
      </c>
      <c r="DF345" s="16">
        <f t="shared" si="494"/>
        <v>8</v>
      </c>
      <c r="DG345" s="16"/>
      <c r="DI345" s="86">
        <v>2021</v>
      </c>
      <c r="DJ345" s="87" t="s">
        <v>39</v>
      </c>
      <c r="DK345" s="44">
        <f t="shared" ref="DK345:DK352" si="495">DS345/DP345</f>
        <v>0.37333333333333335</v>
      </c>
      <c r="DL345" s="44">
        <f t="shared" ref="DL345:DL352" si="496">DS345/DR345</f>
        <v>0.98245614035087714</v>
      </c>
      <c r="DM345" s="44">
        <f t="shared" ref="DM345:DM352" si="497">DR345/DP345</f>
        <v>0.38</v>
      </c>
      <c r="DN345" s="16">
        <v>20</v>
      </c>
      <c r="DO345" s="16">
        <v>3</v>
      </c>
      <c r="DP345" s="16">
        <v>600</v>
      </c>
      <c r="DQ345" s="16">
        <f t="shared" ref="DQ345:DQ352" si="498">DP345-DR345</f>
        <v>372</v>
      </c>
      <c r="DR345" s="16">
        <v>228</v>
      </c>
      <c r="DS345" s="16">
        <v>224</v>
      </c>
      <c r="DT345" s="16">
        <f t="shared" ref="DT345:DT352" si="499">DR345-DS345</f>
        <v>4</v>
      </c>
      <c r="DU345" s="45" t="s">
        <v>96</v>
      </c>
      <c r="DW345" s="86">
        <v>2021</v>
      </c>
      <c r="DX345" s="87" t="s">
        <v>39</v>
      </c>
      <c r="DY345" s="44">
        <f t="shared" si="447"/>
        <v>0.88584183673469385</v>
      </c>
      <c r="DZ345" s="44">
        <f t="shared" si="448"/>
        <v>0.96124567474048439</v>
      </c>
      <c r="EA345" s="44">
        <f t="shared" si="449"/>
        <v>0.92155612244897955</v>
      </c>
      <c r="EB345" s="16">
        <v>42</v>
      </c>
      <c r="EC345" s="16">
        <v>3</v>
      </c>
      <c r="ED345" s="16">
        <v>1568</v>
      </c>
      <c r="EE345" s="16">
        <f t="shared" si="450"/>
        <v>123</v>
      </c>
      <c r="EF345" s="16">
        <v>1445</v>
      </c>
      <c r="EG345" s="16">
        <v>1389</v>
      </c>
      <c r="EH345" s="16">
        <f t="shared" si="451"/>
        <v>56</v>
      </c>
      <c r="EI345" s="16"/>
      <c r="EK345" s="86">
        <v>2021</v>
      </c>
      <c r="EL345" s="87" t="s">
        <v>39</v>
      </c>
      <c r="EM345" s="44">
        <f t="shared" si="452"/>
        <v>0.25666666666666665</v>
      </c>
      <c r="EN345" s="44">
        <f t="shared" si="453"/>
        <v>0.96250000000000002</v>
      </c>
      <c r="EO345" s="44">
        <f t="shared" si="454"/>
        <v>0.26666666666666666</v>
      </c>
      <c r="EP345" s="16">
        <v>6</v>
      </c>
      <c r="EQ345" s="16">
        <v>3</v>
      </c>
      <c r="ER345" s="16">
        <v>300</v>
      </c>
      <c r="ES345" s="16">
        <f t="shared" si="455"/>
        <v>220</v>
      </c>
      <c r="ET345" s="16">
        <v>80</v>
      </c>
      <c r="EU345" s="16">
        <v>77</v>
      </c>
      <c r="EV345" s="16">
        <f t="shared" si="456"/>
        <v>3</v>
      </c>
      <c r="EW345" s="19" t="s">
        <v>101</v>
      </c>
      <c r="EY345" s="86"/>
      <c r="EZ345" s="87"/>
      <c r="FA345" s="44"/>
      <c r="FB345" s="44"/>
      <c r="FC345" s="44"/>
      <c r="FD345" s="16"/>
      <c r="FE345" s="16"/>
      <c r="FF345" s="16"/>
      <c r="FG345" s="16"/>
      <c r="FH345" s="16"/>
      <c r="FI345" s="16"/>
      <c r="FJ345" s="16"/>
      <c r="FK345" s="19"/>
      <c r="FM345" s="86"/>
      <c r="FN345" s="87"/>
      <c r="FO345" s="44"/>
      <c r="FP345" s="44"/>
      <c r="FQ345" s="44"/>
      <c r="FR345" s="16"/>
      <c r="FS345" s="16"/>
      <c r="FT345" s="16"/>
      <c r="FU345" s="16"/>
      <c r="FV345" s="16"/>
      <c r="FW345" s="16"/>
      <c r="FX345" s="16"/>
      <c r="FY345" s="19"/>
      <c r="GA345" s="86"/>
      <c r="GB345" s="87"/>
      <c r="GC345" s="44"/>
      <c r="GD345" s="44"/>
      <c r="GE345" s="44"/>
      <c r="GF345" s="16"/>
      <c r="GG345" s="16"/>
      <c r="GH345" s="16"/>
      <c r="GI345" s="16"/>
      <c r="GJ345" s="16"/>
      <c r="GK345" s="16"/>
      <c r="GL345" s="16"/>
      <c r="GM345" s="19"/>
    </row>
    <row r="346" spans="1:195" s="18" customFormat="1" ht="15" customHeight="1">
      <c r="A346" s="86">
        <v>2021</v>
      </c>
      <c r="B346" s="87" t="s">
        <v>40</v>
      </c>
      <c r="C346" s="15">
        <f t="shared" si="457"/>
        <v>0.86068514034615728</v>
      </c>
      <c r="D346" s="15">
        <f t="shared" si="458"/>
        <v>0.9631209232313096</v>
      </c>
      <c r="E346" s="15">
        <f t="shared" si="459"/>
        <v>0.89364182584521568</v>
      </c>
      <c r="F346"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6"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6.4807827395885598</v>
      </c>
      <c r="H346" s="16">
        <f t="shared" si="460"/>
        <v>22302</v>
      </c>
      <c r="I346" s="16">
        <f t="shared" si="461"/>
        <v>2372</v>
      </c>
      <c r="J346" s="16">
        <f t="shared" si="462"/>
        <v>19930</v>
      </c>
      <c r="K346" s="16">
        <f t="shared" si="463"/>
        <v>19195</v>
      </c>
      <c r="L346" s="16">
        <f t="shared" si="464"/>
        <v>735</v>
      </c>
      <c r="M346" s="16"/>
      <c r="O346" s="86">
        <v>2021</v>
      </c>
      <c r="P346" s="87" t="s">
        <v>40</v>
      </c>
      <c r="Q346" s="44">
        <f t="shared" si="465"/>
        <v>0.89467360832999598</v>
      </c>
      <c r="R346" s="44">
        <f t="shared" si="466"/>
        <v>0.95572192513368981</v>
      </c>
      <c r="S346" s="44">
        <f t="shared" si="467"/>
        <v>0.93612334801762109</v>
      </c>
      <c r="T346" s="16">
        <v>198</v>
      </c>
      <c r="U346" s="16">
        <v>7</v>
      </c>
      <c r="V346" s="16">
        <v>4994</v>
      </c>
      <c r="W346" s="16">
        <f t="shared" si="468"/>
        <v>319</v>
      </c>
      <c r="X346" s="16">
        <v>4675</v>
      </c>
      <c r="Y346" s="16">
        <v>4468</v>
      </c>
      <c r="Z346" s="16">
        <f t="shared" si="469"/>
        <v>207</v>
      </c>
      <c r="AA346" s="16"/>
      <c r="AC346" s="86"/>
      <c r="AD346" s="87"/>
      <c r="AE346" s="44"/>
      <c r="AF346" s="44"/>
      <c r="AG346" s="44"/>
      <c r="AH346" s="44"/>
      <c r="AI346" s="44"/>
      <c r="AJ346" s="16"/>
      <c r="AK346" s="16"/>
      <c r="AL346" s="16"/>
      <c r="AM346" s="16"/>
      <c r="AN346" s="16"/>
      <c r="AO346" s="16"/>
      <c r="AQ346" s="86">
        <v>2021</v>
      </c>
      <c r="AR346" s="87" t="s">
        <v>40</v>
      </c>
      <c r="AS346" s="44">
        <f t="shared" si="470"/>
        <v>0.91829997936868168</v>
      </c>
      <c r="AT346" s="44">
        <f t="shared" si="471"/>
        <v>0.96845082680591821</v>
      </c>
      <c r="AU346" s="44">
        <f t="shared" si="472"/>
        <v>0.94821539096348262</v>
      </c>
      <c r="AV346" s="16">
        <v>192</v>
      </c>
      <c r="AW346" s="16">
        <v>7</v>
      </c>
      <c r="AX346" s="16">
        <v>4847</v>
      </c>
      <c r="AY346" s="16">
        <f t="shared" si="473"/>
        <v>251</v>
      </c>
      <c r="AZ346" s="16">
        <v>4596</v>
      </c>
      <c r="BA346" s="16">
        <v>4451</v>
      </c>
      <c r="BB346" s="16">
        <f t="shared" si="474"/>
        <v>145</v>
      </c>
      <c r="BC346" s="16"/>
      <c r="BE346" s="86">
        <v>2021</v>
      </c>
      <c r="BF346" s="87" t="s">
        <v>40</v>
      </c>
      <c r="BG346" s="44">
        <f t="shared" si="475"/>
        <v>0.87354521038495969</v>
      </c>
      <c r="BH346" s="44">
        <f t="shared" si="476"/>
        <v>0.95661764705882357</v>
      </c>
      <c r="BI346" s="44">
        <f t="shared" si="477"/>
        <v>0.91316025067144135</v>
      </c>
      <c r="BJ346" s="16">
        <v>164</v>
      </c>
      <c r="BK346" s="16">
        <v>7</v>
      </c>
      <c r="BL346" s="16">
        <v>4468</v>
      </c>
      <c r="BM346" s="16">
        <f t="shared" si="478"/>
        <v>388</v>
      </c>
      <c r="BN346" s="16">
        <v>4080</v>
      </c>
      <c r="BO346" s="16">
        <v>3903</v>
      </c>
      <c r="BP346" s="16">
        <f t="shared" si="479"/>
        <v>177</v>
      </c>
      <c r="BQ346" s="16"/>
      <c r="BS346" s="86">
        <v>2021</v>
      </c>
      <c r="BT346" s="87" t="s">
        <v>40</v>
      </c>
      <c r="BU346" s="44">
        <f t="shared" si="480"/>
        <v>0.88865457612821597</v>
      </c>
      <c r="BV346" s="44">
        <f t="shared" si="481"/>
        <v>0.96695731987150069</v>
      </c>
      <c r="BW346" s="44">
        <f t="shared" si="482"/>
        <v>0.91902150991142972</v>
      </c>
      <c r="BX346" s="16">
        <v>89</v>
      </c>
      <c r="BY346" s="16">
        <v>7</v>
      </c>
      <c r="BZ346" s="16">
        <v>2371</v>
      </c>
      <c r="CA346" s="16">
        <f t="shared" si="483"/>
        <v>192</v>
      </c>
      <c r="CB346" s="16">
        <v>2179</v>
      </c>
      <c r="CC346" s="16">
        <v>2107</v>
      </c>
      <c r="CD346" s="16">
        <f t="shared" si="484"/>
        <v>72</v>
      </c>
      <c r="CE346" s="16"/>
      <c r="CG346" s="86">
        <v>2021</v>
      </c>
      <c r="CH346" s="87" t="s">
        <v>40</v>
      </c>
      <c r="CI346" s="44">
        <f t="shared" si="485"/>
        <v>0.87825651302605212</v>
      </c>
      <c r="CJ346" s="44">
        <f t="shared" si="486"/>
        <v>0.96690568119139553</v>
      </c>
      <c r="CK346" s="44">
        <f t="shared" si="487"/>
        <v>0.90831663326653311</v>
      </c>
      <c r="CL346" s="16">
        <v>76</v>
      </c>
      <c r="CM346" s="16">
        <v>7</v>
      </c>
      <c r="CN346" s="16">
        <v>1996</v>
      </c>
      <c r="CO346" s="16">
        <f t="shared" si="488"/>
        <v>183</v>
      </c>
      <c r="CP346" s="16">
        <v>1813</v>
      </c>
      <c r="CQ346" s="16">
        <v>1753</v>
      </c>
      <c r="CR346" s="16">
        <f t="shared" si="489"/>
        <v>60</v>
      </c>
      <c r="CS346" s="16"/>
      <c r="CU346" s="86">
        <v>2021</v>
      </c>
      <c r="CV346" s="87" t="s">
        <v>40</v>
      </c>
      <c r="CW346" s="44">
        <f t="shared" si="490"/>
        <v>0.4766107678729038</v>
      </c>
      <c r="CX346" s="44">
        <f t="shared" si="491"/>
        <v>0.98181818181818181</v>
      </c>
      <c r="CY346" s="44">
        <f t="shared" si="492"/>
        <v>0.4854368932038835</v>
      </c>
      <c r="CZ346" s="16">
        <v>36</v>
      </c>
      <c r="DA346" s="16">
        <v>3</v>
      </c>
      <c r="DB346" s="16">
        <v>1133</v>
      </c>
      <c r="DC346" s="16">
        <f t="shared" si="493"/>
        <v>583</v>
      </c>
      <c r="DD346" s="16">
        <v>550</v>
      </c>
      <c r="DE346" s="16">
        <v>540</v>
      </c>
      <c r="DF346" s="16">
        <f t="shared" si="494"/>
        <v>10</v>
      </c>
      <c r="DG346" s="16"/>
      <c r="DI346" s="86">
        <v>2021</v>
      </c>
      <c r="DJ346" s="87" t="s">
        <v>40</v>
      </c>
      <c r="DK346" s="44">
        <f t="shared" si="495"/>
        <v>0.62580645161290327</v>
      </c>
      <c r="DL346" s="44">
        <f t="shared" si="496"/>
        <v>0.97243107769423553</v>
      </c>
      <c r="DM346" s="44">
        <f t="shared" si="497"/>
        <v>0.6435483870967742</v>
      </c>
      <c r="DN346" s="16">
        <v>20</v>
      </c>
      <c r="DO346" s="16">
        <v>3</v>
      </c>
      <c r="DP346" s="16">
        <v>620</v>
      </c>
      <c r="DQ346" s="16">
        <f t="shared" si="498"/>
        <v>221</v>
      </c>
      <c r="DR346" s="16">
        <v>399</v>
      </c>
      <c r="DS346" s="16">
        <v>388</v>
      </c>
      <c r="DT346" s="16">
        <f t="shared" si="499"/>
        <v>11</v>
      </c>
      <c r="DU346" s="16"/>
      <c r="DW346" s="86">
        <v>2021</v>
      </c>
      <c r="DX346" s="87" t="s">
        <v>40</v>
      </c>
      <c r="DY346" s="44">
        <f t="shared" si="447"/>
        <v>0.94371482176360222</v>
      </c>
      <c r="DZ346" s="44">
        <f t="shared" si="448"/>
        <v>0.96606914212548012</v>
      </c>
      <c r="EA346" s="44">
        <f t="shared" si="449"/>
        <v>0.97686053783614757</v>
      </c>
      <c r="EB346" s="16">
        <v>42</v>
      </c>
      <c r="EC346" s="16">
        <v>3</v>
      </c>
      <c r="ED346" s="16">
        <v>1599</v>
      </c>
      <c r="EE346" s="16">
        <f t="shared" si="450"/>
        <v>37</v>
      </c>
      <c r="EF346" s="16">
        <v>1562</v>
      </c>
      <c r="EG346" s="16">
        <v>1509</v>
      </c>
      <c r="EH346" s="16">
        <f t="shared" si="451"/>
        <v>53</v>
      </c>
      <c r="EI346" s="16"/>
      <c r="EK346" s="86">
        <v>2021</v>
      </c>
      <c r="EL346" s="87" t="s">
        <v>40</v>
      </c>
      <c r="EM346" s="44">
        <f t="shared" si="452"/>
        <v>0.27737226277372262</v>
      </c>
      <c r="EN346" s="44">
        <f t="shared" si="453"/>
        <v>1</v>
      </c>
      <c r="EO346" s="44">
        <f t="shared" si="454"/>
        <v>0.27737226277372262</v>
      </c>
      <c r="EP346" s="16">
        <v>6</v>
      </c>
      <c r="EQ346" s="16">
        <v>3</v>
      </c>
      <c r="ER346" s="16">
        <v>274</v>
      </c>
      <c r="ES346" s="16">
        <f t="shared" si="455"/>
        <v>198</v>
      </c>
      <c r="ET346" s="16">
        <v>76</v>
      </c>
      <c r="EU346" s="16">
        <v>76</v>
      </c>
      <c r="EV346" s="16">
        <f t="shared" si="456"/>
        <v>0</v>
      </c>
      <c r="EW346" s="19" t="s">
        <v>101</v>
      </c>
      <c r="EY346" s="86"/>
      <c r="EZ346" s="87"/>
      <c r="FA346" s="44"/>
      <c r="FB346" s="44"/>
      <c r="FC346" s="44"/>
      <c r="FD346" s="16"/>
      <c r="FE346" s="16"/>
      <c r="FF346" s="16"/>
      <c r="FG346" s="16"/>
      <c r="FH346" s="16"/>
      <c r="FI346" s="16"/>
      <c r="FJ346" s="16"/>
      <c r="FK346" s="19"/>
      <c r="FM346" s="86"/>
      <c r="FN346" s="87"/>
      <c r="FO346" s="44"/>
      <c r="FP346" s="44"/>
      <c r="FQ346" s="44"/>
      <c r="FR346" s="16"/>
      <c r="FS346" s="16"/>
      <c r="FT346" s="16"/>
      <c r="FU346" s="16"/>
      <c r="FV346" s="16"/>
      <c r="FW346" s="16"/>
      <c r="FX346" s="16"/>
      <c r="FY346" s="19"/>
      <c r="GA346" s="86"/>
      <c r="GB346" s="87"/>
      <c r="GC346" s="44"/>
      <c r="GD346" s="44"/>
      <c r="GE346" s="44"/>
      <c r="GF346" s="16"/>
      <c r="GG346" s="16"/>
      <c r="GH346" s="16"/>
      <c r="GI346" s="16"/>
      <c r="GJ346" s="16"/>
      <c r="GK346" s="16"/>
      <c r="GL346" s="16"/>
      <c r="GM346" s="19"/>
    </row>
    <row r="347" spans="1:195" s="18" customFormat="1" ht="15" customHeight="1">
      <c r="A347" s="86">
        <v>2021</v>
      </c>
      <c r="B347" s="87" t="s">
        <v>41</v>
      </c>
      <c r="C347" s="15">
        <f t="shared" si="457"/>
        <v>0.84120957655887085</v>
      </c>
      <c r="D347" s="15">
        <f t="shared" si="458"/>
        <v>0.95686413982318874</v>
      </c>
      <c r="E347" s="15">
        <f t="shared" si="459"/>
        <v>0.87913167768447387</v>
      </c>
      <c r="F347"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7"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6.5057412864546285</v>
      </c>
      <c r="H347" s="16">
        <f t="shared" si="460"/>
        <v>22388</v>
      </c>
      <c r="I347" s="16">
        <f t="shared" si="461"/>
        <v>2706</v>
      </c>
      <c r="J347" s="16">
        <f t="shared" si="462"/>
        <v>19682</v>
      </c>
      <c r="K347" s="16">
        <f t="shared" si="463"/>
        <v>18833</v>
      </c>
      <c r="L347" s="16">
        <f t="shared" si="464"/>
        <v>849</v>
      </c>
      <c r="M347" s="16"/>
      <c r="O347" s="86">
        <v>2021</v>
      </c>
      <c r="P347" s="87" t="s">
        <v>41</v>
      </c>
      <c r="Q347" s="44">
        <f t="shared" si="465"/>
        <v>0.92345340642129992</v>
      </c>
      <c r="R347" s="44">
        <f t="shared" si="466"/>
        <v>0.96186786296900484</v>
      </c>
      <c r="S347" s="44">
        <f t="shared" si="467"/>
        <v>0.96006264682850428</v>
      </c>
      <c r="T347" s="16">
        <v>198</v>
      </c>
      <c r="U347" s="16">
        <v>7</v>
      </c>
      <c r="V347" s="16">
        <v>5108</v>
      </c>
      <c r="W347" s="16">
        <f t="shared" si="468"/>
        <v>204</v>
      </c>
      <c r="X347" s="16">
        <v>4904</v>
      </c>
      <c r="Y347" s="16">
        <v>4717</v>
      </c>
      <c r="Z347" s="16">
        <f t="shared" si="469"/>
        <v>187</v>
      </c>
      <c r="AA347" s="16"/>
      <c r="AC347" s="84"/>
      <c r="AD347" s="85"/>
      <c r="AE347" s="44"/>
      <c r="AF347" s="44"/>
      <c r="AG347" s="44"/>
      <c r="AH347" s="44"/>
      <c r="AI347" s="44"/>
      <c r="AJ347" s="16"/>
      <c r="AK347" s="16"/>
      <c r="AL347" s="16"/>
      <c r="AM347" s="16"/>
      <c r="AN347" s="16"/>
      <c r="AO347" s="16"/>
      <c r="AQ347" s="86">
        <v>2021</v>
      </c>
      <c r="AR347" s="87" t="s">
        <v>41</v>
      </c>
      <c r="AS347" s="44">
        <f t="shared" si="470"/>
        <v>0.94548034049452778</v>
      </c>
      <c r="AT347" s="44">
        <f t="shared" si="471"/>
        <v>0.9702579034941764</v>
      </c>
      <c r="AU347" s="44">
        <f t="shared" si="472"/>
        <v>0.9744629104175111</v>
      </c>
      <c r="AV347" s="16">
        <v>192</v>
      </c>
      <c r="AW347" s="16">
        <v>7</v>
      </c>
      <c r="AX347" s="16">
        <v>4934</v>
      </c>
      <c r="AY347" s="16">
        <f t="shared" si="473"/>
        <v>126</v>
      </c>
      <c r="AZ347" s="16">
        <v>4808</v>
      </c>
      <c r="BA347" s="16">
        <v>4665</v>
      </c>
      <c r="BB347" s="16">
        <f t="shared" si="474"/>
        <v>143</v>
      </c>
      <c r="BC347" s="16"/>
      <c r="BE347" s="86">
        <v>2021</v>
      </c>
      <c r="BF347" s="87" t="s">
        <v>41</v>
      </c>
      <c r="BG347" s="44">
        <f t="shared" si="475"/>
        <v>0.75904697684873002</v>
      </c>
      <c r="BH347" s="44">
        <f t="shared" si="476"/>
        <v>0.92091628033815109</v>
      </c>
      <c r="BI347" s="44">
        <f t="shared" si="477"/>
        <v>0.82423016408181615</v>
      </c>
      <c r="BJ347" s="16">
        <v>164</v>
      </c>
      <c r="BK347" s="16">
        <v>7</v>
      </c>
      <c r="BL347" s="16">
        <v>4449</v>
      </c>
      <c r="BM347" s="16">
        <f t="shared" si="478"/>
        <v>782</v>
      </c>
      <c r="BN347" s="16">
        <v>3667</v>
      </c>
      <c r="BO347" s="16">
        <v>3377</v>
      </c>
      <c r="BP347" s="16">
        <f t="shared" si="479"/>
        <v>290</v>
      </c>
      <c r="BQ347" s="16"/>
      <c r="BS347" s="86">
        <v>2021</v>
      </c>
      <c r="BT347" s="87" t="s">
        <v>41</v>
      </c>
      <c r="BU347" s="44">
        <f t="shared" si="480"/>
        <v>0.90201850294365016</v>
      </c>
      <c r="BV347" s="44">
        <f t="shared" si="481"/>
        <v>0.96578117964880683</v>
      </c>
      <c r="BW347" s="44">
        <f t="shared" si="482"/>
        <v>0.93397813288477716</v>
      </c>
      <c r="BX347" s="16">
        <v>89</v>
      </c>
      <c r="BY347" s="16">
        <v>7</v>
      </c>
      <c r="BZ347" s="16">
        <v>2378</v>
      </c>
      <c r="CA347" s="16">
        <f t="shared" si="483"/>
        <v>157</v>
      </c>
      <c r="CB347" s="16">
        <v>2221</v>
      </c>
      <c r="CC347" s="16">
        <v>2145</v>
      </c>
      <c r="CD347" s="16">
        <f t="shared" si="484"/>
        <v>76</v>
      </c>
      <c r="CE347" s="16"/>
      <c r="CG347" s="86">
        <v>2021</v>
      </c>
      <c r="CH347" s="87" t="s">
        <v>41</v>
      </c>
      <c r="CI347" s="44">
        <f t="shared" si="485"/>
        <v>0.79012961116650049</v>
      </c>
      <c r="CJ347" s="44">
        <f t="shared" si="486"/>
        <v>0.96060606060606057</v>
      </c>
      <c r="CK347" s="44">
        <f t="shared" si="487"/>
        <v>0.82253240279162509</v>
      </c>
      <c r="CL347" s="16">
        <v>76</v>
      </c>
      <c r="CM347" s="16">
        <v>7</v>
      </c>
      <c r="CN347" s="16">
        <v>2006</v>
      </c>
      <c r="CO347" s="16">
        <f t="shared" si="488"/>
        <v>356</v>
      </c>
      <c r="CP347" s="16">
        <v>1650</v>
      </c>
      <c r="CQ347" s="16">
        <v>1585</v>
      </c>
      <c r="CR347" s="16">
        <f t="shared" si="489"/>
        <v>65</v>
      </c>
      <c r="CS347" s="16"/>
      <c r="CU347" s="86">
        <v>2021</v>
      </c>
      <c r="CV347" s="87" t="s">
        <v>41</v>
      </c>
      <c r="CW347" s="44">
        <f t="shared" si="490"/>
        <v>0.40687160940325495</v>
      </c>
      <c r="CX347" s="44">
        <f t="shared" si="491"/>
        <v>0.98253275109170302</v>
      </c>
      <c r="CY347" s="44">
        <f t="shared" si="492"/>
        <v>0.41410488245931282</v>
      </c>
      <c r="CZ347" s="16">
        <v>36</v>
      </c>
      <c r="DA347" s="16">
        <v>3</v>
      </c>
      <c r="DB347" s="16">
        <v>1106</v>
      </c>
      <c r="DC347" s="16">
        <f t="shared" si="493"/>
        <v>648</v>
      </c>
      <c r="DD347" s="16">
        <v>458</v>
      </c>
      <c r="DE347" s="16">
        <v>450</v>
      </c>
      <c r="DF347" s="16">
        <f t="shared" si="494"/>
        <v>8</v>
      </c>
      <c r="DG347" s="16"/>
      <c r="DI347" s="86">
        <v>2021</v>
      </c>
      <c r="DJ347" s="87" t="s">
        <v>41</v>
      </c>
      <c r="DK347" s="44">
        <f t="shared" si="495"/>
        <v>0.56499999999999995</v>
      </c>
      <c r="DL347" s="44">
        <f t="shared" si="496"/>
        <v>0.96857142857142853</v>
      </c>
      <c r="DM347" s="44">
        <f t="shared" si="497"/>
        <v>0.58333333333333337</v>
      </c>
      <c r="DN347" s="16">
        <v>20</v>
      </c>
      <c r="DO347" s="16">
        <v>3</v>
      </c>
      <c r="DP347" s="16">
        <v>600</v>
      </c>
      <c r="DQ347" s="16">
        <f t="shared" si="498"/>
        <v>250</v>
      </c>
      <c r="DR347" s="16">
        <v>350</v>
      </c>
      <c r="DS347" s="16">
        <v>339</v>
      </c>
      <c r="DT347" s="16">
        <f t="shared" si="499"/>
        <v>11</v>
      </c>
      <c r="DU347" s="16"/>
      <c r="DW347" s="86">
        <v>2021</v>
      </c>
      <c r="DX347" s="87" t="s">
        <v>41</v>
      </c>
      <c r="DY347" s="44">
        <f t="shared" si="447"/>
        <v>0.92583280955373981</v>
      </c>
      <c r="DZ347" s="44">
        <f t="shared" si="448"/>
        <v>0.95649350649350651</v>
      </c>
      <c r="EA347" s="44">
        <f t="shared" si="449"/>
        <v>0.96794468887492147</v>
      </c>
      <c r="EB347" s="16">
        <v>42</v>
      </c>
      <c r="EC347" s="16">
        <v>3</v>
      </c>
      <c r="ED347" s="16">
        <v>1591</v>
      </c>
      <c r="EE347" s="16">
        <f t="shared" si="450"/>
        <v>51</v>
      </c>
      <c r="EF347" s="16">
        <v>1540</v>
      </c>
      <c r="EG347" s="16">
        <v>1473</v>
      </c>
      <c r="EH347" s="16">
        <f t="shared" si="451"/>
        <v>67</v>
      </c>
      <c r="EI347" s="16"/>
      <c r="EK347" s="86">
        <v>2021</v>
      </c>
      <c r="EL347" s="87" t="s">
        <v>41</v>
      </c>
      <c r="EM347" s="44">
        <f t="shared" si="452"/>
        <v>0.37962962962962965</v>
      </c>
      <c r="EN347" s="44">
        <f t="shared" si="453"/>
        <v>0.97619047619047616</v>
      </c>
      <c r="EO347" s="44">
        <f t="shared" si="454"/>
        <v>0.3888888888888889</v>
      </c>
      <c r="EP347" s="16">
        <v>6</v>
      </c>
      <c r="EQ347" s="16">
        <v>3</v>
      </c>
      <c r="ER347" s="16">
        <v>216</v>
      </c>
      <c r="ES347" s="16">
        <f t="shared" si="455"/>
        <v>132</v>
      </c>
      <c r="ET347" s="16">
        <v>84</v>
      </c>
      <c r="EU347" s="16">
        <v>82</v>
      </c>
      <c r="EV347" s="16">
        <f t="shared" si="456"/>
        <v>2</v>
      </c>
      <c r="EW347" s="19" t="s">
        <v>101</v>
      </c>
      <c r="EY347" s="86"/>
      <c r="EZ347" s="87"/>
      <c r="FA347" s="44"/>
      <c r="FB347" s="44"/>
      <c r="FC347" s="44"/>
      <c r="FD347" s="16"/>
      <c r="FE347" s="16"/>
      <c r="FF347" s="16"/>
      <c r="FG347" s="16"/>
      <c r="FH347" s="16"/>
      <c r="FI347" s="16"/>
      <c r="FJ347" s="16"/>
      <c r="FK347" s="19"/>
      <c r="FM347" s="86"/>
      <c r="FN347" s="87"/>
      <c r="FO347" s="44"/>
      <c r="FP347" s="44"/>
      <c r="FQ347" s="44"/>
      <c r="FR347" s="16"/>
      <c r="FS347" s="16"/>
      <c r="FT347" s="16"/>
      <c r="FU347" s="16"/>
      <c r="FV347" s="16"/>
      <c r="FW347" s="16"/>
      <c r="FX347" s="16"/>
      <c r="FY347" s="19"/>
      <c r="GA347" s="86"/>
      <c r="GB347" s="87"/>
      <c r="GC347" s="44"/>
      <c r="GD347" s="44"/>
      <c r="GE347" s="44"/>
      <c r="GF347" s="16"/>
      <c r="GG347" s="16"/>
      <c r="GH347" s="16"/>
      <c r="GI347" s="16"/>
      <c r="GJ347" s="16"/>
      <c r="GK347" s="16"/>
      <c r="GL347" s="16"/>
      <c r="GM347" s="19"/>
    </row>
    <row r="348" spans="1:195" s="18" customFormat="1" ht="15" customHeight="1">
      <c r="A348" s="86">
        <v>2021</v>
      </c>
      <c r="B348" s="87" t="s">
        <v>42</v>
      </c>
      <c r="C348" s="15">
        <f t="shared" si="457"/>
        <v>0.81838671925794282</v>
      </c>
      <c r="D348" s="15">
        <f t="shared" si="458"/>
        <v>0.94089799172771216</v>
      </c>
      <c r="E348" s="15">
        <f t="shared" si="459"/>
        <v>0.86979324693337956</v>
      </c>
      <c r="F348"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8"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6.4769522100961776</v>
      </c>
      <c r="H348" s="16">
        <f t="shared" si="460"/>
        <v>23071</v>
      </c>
      <c r="I348" s="16">
        <f t="shared" si="461"/>
        <v>3004</v>
      </c>
      <c r="J348" s="16">
        <f t="shared" si="462"/>
        <v>20067</v>
      </c>
      <c r="K348" s="16">
        <f t="shared" si="463"/>
        <v>18881</v>
      </c>
      <c r="L348" s="16">
        <f t="shared" si="464"/>
        <v>1186</v>
      </c>
      <c r="M348" s="16"/>
      <c r="O348" s="86">
        <v>2021</v>
      </c>
      <c r="P348" s="87" t="s">
        <v>42</v>
      </c>
      <c r="Q348" s="44">
        <f t="shared" ref="Q348:Q353" si="500">Y348/V348</f>
        <v>0.828125</v>
      </c>
      <c r="R348" s="44">
        <f t="shared" ref="R348:R353" si="501">Y348/X348</f>
        <v>0.95015303891560998</v>
      </c>
      <c r="S348" s="44">
        <f t="shared" ref="S348:S353" si="502">X348/V348</f>
        <v>0.87157012195121952</v>
      </c>
      <c r="T348" s="16">
        <v>198</v>
      </c>
      <c r="U348" s="16">
        <v>7</v>
      </c>
      <c r="V348" s="16">
        <v>5248</v>
      </c>
      <c r="W348" s="16">
        <f t="shared" si="468"/>
        <v>674</v>
      </c>
      <c r="X348" s="16">
        <v>4574</v>
      </c>
      <c r="Y348" s="16">
        <v>4346</v>
      </c>
      <c r="Z348" s="16">
        <f t="shared" ref="Z348:Z353" si="503">X348-Y348</f>
        <v>228</v>
      </c>
      <c r="AA348" s="16"/>
      <c r="AC348" s="86"/>
      <c r="AD348" s="87"/>
      <c r="AE348" s="44"/>
      <c r="AF348" s="44"/>
      <c r="AG348" s="44"/>
      <c r="AH348" s="44"/>
      <c r="AI348" s="44"/>
      <c r="AJ348" s="16"/>
      <c r="AK348" s="16"/>
      <c r="AL348" s="16"/>
      <c r="AM348" s="16"/>
      <c r="AN348" s="16"/>
      <c r="AO348" s="16"/>
      <c r="AQ348" s="86">
        <v>2021</v>
      </c>
      <c r="AR348" s="87" t="s">
        <v>42</v>
      </c>
      <c r="AS348" s="44">
        <f t="shared" ref="AS348:AS353" si="504">BA348/AX348</f>
        <v>0.9106332609982245</v>
      </c>
      <c r="AT348" s="44">
        <f t="shared" ref="AT348:AT353" si="505">BA348/AZ348</f>
        <v>0.96609460025115113</v>
      </c>
      <c r="AU348" s="44">
        <f t="shared" ref="AU348:AU353" si="506">AZ348/AX348</f>
        <v>0.94259222726376013</v>
      </c>
      <c r="AV348" s="16">
        <v>192</v>
      </c>
      <c r="AW348" s="16">
        <v>7</v>
      </c>
      <c r="AX348" s="16">
        <v>5069</v>
      </c>
      <c r="AY348" s="16">
        <f t="shared" si="473"/>
        <v>291</v>
      </c>
      <c r="AZ348" s="16">
        <v>4778</v>
      </c>
      <c r="BA348" s="16">
        <v>4616</v>
      </c>
      <c r="BB348" s="16">
        <f t="shared" ref="BB348:BB353" si="507">AZ348-BA348</f>
        <v>162</v>
      </c>
      <c r="BC348" s="16"/>
      <c r="BE348" s="86">
        <v>2021</v>
      </c>
      <c r="BF348" s="87" t="s">
        <v>42</v>
      </c>
      <c r="BG348" s="44">
        <f t="shared" ref="BG348:BG353" si="508">BO348/BL348</f>
        <v>0.7713912475506205</v>
      </c>
      <c r="BH348" s="44">
        <f t="shared" ref="BH348:BH353" si="509">BO348/BN348</f>
        <v>0.87503087182020256</v>
      </c>
      <c r="BI348" s="44">
        <f t="shared" ref="BI348:BI353" si="510">BN348/BL348</f>
        <v>0.88155889396908338</v>
      </c>
      <c r="BJ348" s="16">
        <v>164</v>
      </c>
      <c r="BK348" s="16">
        <v>7</v>
      </c>
      <c r="BL348" s="16">
        <v>4593</v>
      </c>
      <c r="BM348" s="16">
        <f t="shared" si="478"/>
        <v>544</v>
      </c>
      <c r="BN348" s="16">
        <v>4049</v>
      </c>
      <c r="BO348" s="16">
        <v>3543</v>
      </c>
      <c r="BP348" s="16">
        <f t="shared" ref="BP348:BP353" si="511">BN348-BO348</f>
        <v>506</v>
      </c>
      <c r="BQ348" s="16"/>
      <c r="BS348" s="86">
        <v>2021</v>
      </c>
      <c r="BT348" s="87" t="s">
        <v>42</v>
      </c>
      <c r="BU348" s="44">
        <f t="shared" ref="BU348:BU353" si="512">CC348/BZ348</f>
        <v>0.88304808475957619</v>
      </c>
      <c r="BV348" s="44">
        <f t="shared" ref="BV348:BV353" si="513">CC348/CB348</f>
        <v>0.97174887892376682</v>
      </c>
      <c r="BW348" s="44">
        <f t="shared" ref="BW348:BW353" si="514">CB348/BZ348</f>
        <v>0.90872045639771803</v>
      </c>
      <c r="BX348" s="16">
        <v>89</v>
      </c>
      <c r="BY348" s="16">
        <v>7</v>
      </c>
      <c r="BZ348" s="16">
        <v>2454</v>
      </c>
      <c r="CA348" s="16">
        <f t="shared" si="483"/>
        <v>224</v>
      </c>
      <c r="CB348" s="16">
        <v>2230</v>
      </c>
      <c r="CC348" s="16">
        <v>2167</v>
      </c>
      <c r="CD348" s="16">
        <f t="shared" ref="CD348:CD353" si="515">CB348-CC348</f>
        <v>63</v>
      </c>
      <c r="CE348" s="16"/>
      <c r="CG348" s="86">
        <v>2021</v>
      </c>
      <c r="CH348" s="87" t="s">
        <v>42</v>
      </c>
      <c r="CI348" s="44">
        <f t="shared" ref="CI348:CI353" si="516">CQ348/CN348</f>
        <v>0.82429816069699902</v>
      </c>
      <c r="CJ348" s="44">
        <f t="shared" ref="CJ348:CJ353" si="517">CQ348/CP348</f>
        <v>0.9398454746136865</v>
      </c>
      <c r="CK348" s="44">
        <f t="shared" ref="CK348:CK353" si="518">CP348/CN348</f>
        <v>0.87705711519845109</v>
      </c>
      <c r="CL348" s="16">
        <v>76</v>
      </c>
      <c r="CM348" s="16">
        <v>7</v>
      </c>
      <c r="CN348" s="16">
        <v>2066</v>
      </c>
      <c r="CO348" s="16">
        <f t="shared" si="488"/>
        <v>254</v>
      </c>
      <c r="CP348" s="16">
        <v>1812</v>
      </c>
      <c r="CQ348" s="16">
        <v>1703</v>
      </c>
      <c r="CR348" s="16">
        <f t="shared" ref="CR348:CR353" si="519">CP348-CQ348</f>
        <v>109</v>
      </c>
      <c r="CS348" s="16"/>
      <c r="CU348" s="86">
        <v>2021</v>
      </c>
      <c r="CV348" s="87" t="s">
        <v>42</v>
      </c>
      <c r="CW348" s="44">
        <f t="shared" ref="CW348:CW353" si="520">DE348/DB348</f>
        <v>0.47285464098073554</v>
      </c>
      <c r="CX348" s="44">
        <f t="shared" ref="CX348:CX353" si="521">DE348/DD348</f>
        <v>0.98360655737704916</v>
      </c>
      <c r="CY348" s="44">
        <f t="shared" ref="CY348:CY353" si="522">DD348/DB348</f>
        <v>0.48073555166374782</v>
      </c>
      <c r="CZ348" s="16">
        <v>36</v>
      </c>
      <c r="DA348" s="16">
        <v>3</v>
      </c>
      <c r="DB348" s="16">
        <v>1142</v>
      </c>
      <c r="DC348" s="16">
        <f t="shared" si="493"/>
        <v>593</v>
      </c>
      <c r="DD348" s="16">
        <v>549</v>
      </c>
      <c r="DE348" s="16">
        <v>540</v>
      </c>
      <c r="DF348" s="16">
        <f t="shared" ref="DF348:DF353" si="523">DD348-DE348</f>
        <v>9</v>
      </c>
      <c r="DG348" s="16"/>
      <c r="DI348" s="86">
        <v>2021</v>
      </c>
      <c r="DJ348" s="87" t="s">
        <v>42</v>
      </c>
      <c r="DK348" s="44">
        <f t="shared" si="495"/>
        <v>0.6</v>
      </c>
      <c r="DL348" s="44">
        <f t="shared" si="496"/>
        <v>0.96875</v>
      </c>
      <c r="DM348" s="44">
        <f t="shared" si="497"/>
        <v>0.61935483870967745</v>
      </c>
      <c r="DN348" s="16">
        <v>20</v>
      </c>
      <c r="DO348" s="16">
        <v>3</v>
      </c>
      <c r="DP348" s="16">
        <v>620</v>
      </c>
      <c r="DQ348" s="16">
        <f t="shared" si="498"/>
        <v>236</v>
      </c>
      <c r="DR348" s="16">
        <v>384</v>
      </c>
      <c r="DS348" s="16">
        <v>372</v>
      </c>
      <c r="DT348" s="16">
        <f t="shared" si="499"/>
        <v>12</v>
      </c>
      <c r="DU348" s="16"/>
      <c r="DW348" s="86">
        <v>2021</v>
      </c>
      <c r="DX348" s="87" t="s">
        <v>42</v>
      </c>
      <c r="DY348" s="44">
        <f t="shared" ref="DY348:DY353" si="524">EG348/ED348</f>
        <v>0.92486255345143553</v>
      </c>
      <c r="DZ348" s="44">
        <f t="shared" ref="DZ348:DZ353" si="525">EG348/EF348</f>
        <v>0.94212818917237084</v>
      </c>
      <c r="EA348" s="44">
        <f t="shared" ref="EA348:EA353" si="526">EF348/ED348</f>
        <v>0.98167379352474038</v>
      </c>
      <c r="EB348" s="16">
        <v>42</v>
      </c>
      <c r="EC348" s="16">
        <v>3</v>
      </c>
      <c r="ED348" s="16">
        <v>1637</v>
      </c>
      <c r="EE348" s="16">
        <f t="shared" si="450"/>
        <v>30</v>
      </c>
      <c r="EF348" s="16">
        <v>1607</v>
      </c>
      <c r="EG348" s="16">
        <v>1514</v>
      </c>
      <c r="EH348" s="16">
        <f t="shared" ref="EH348:EH353" si="527">EF348-EG348</f>
        <v>93</v>
      </c>
      <c r="EI348" s="16"/>
      <c r="EK348" s="86">
        <v>2021</v>
      </c>
      <c r="EL348" s="87" t="s">
        <v>42</v>
      </c>
      <c r="EM348" s="44">
        <f t="shared" ref="EM348:EM353" si="528">EU348/ER348</f>
        <v>0.33057851239669422</v>
      </c>
      <c r="EN348" s="44">
        <f t="shared" ref="EN348:EN353" si="529">EU348/ET348</f>
        <v>0.95238095238095233</v>
      </c>
      <c r="EO348" s="44">
        <f t="shared" ref="EO348:EO353" si="530">ET348/ER348</f>
        <v>0.34710743801652894</v>
      </c>
      <c r="EP348" s="16">
        <v>6</v>
      </c>
      <c r="EQ348" s="16">
        <v>3</v>
      </c>
      <c r="ER348" s="16">
        <v>242</v>
      </c>
      <c r="ES348" s="16">
        <f t="shared" si="455"/>
        <v>158</v>
      </c>
      <c r="ET348" s="16">
        <v>84</v>
      </c>
      <c r="EU348" s="16">
        <v>80</v>
      </c>
      <c r="EV348" s="16">
        <f t="shared" ref="EV348:EV353" si="531">ET348-EU348</f>
        <v>4</v>
      </c>
      <c r="EW348" s="19" t="s">
        <v>101</v>
      </c>
      <c r="EY348" s="86"/>
      <c r="EZ348" s="87"/>
      <c r="FA348" s="44"/>
      <c r="FB348" s="44"/>
      <c r="FC348" s="44"/>
      <c r="FD348" s="16"/>
      <c r="FE348" s="16"/>
      <c r="FF348" s="16"/>
      <c r="FG348" s="16"/>
      <c r="FH348" s="16"/>
      <c r="FI348" s="16"/>
      <c r="FJ348" s="16"/>
      <c r="FK348" s="19"/>
      <c r="FM348" s="86"/>
      <c r="FN348" s="87"/>
      <c r="FO348" s="44"/>
      <c r="FP348" s="44"/>
      <c r="FQ348" s="44"/>
      <c r="FR348" s="16"/>
      <c r="FS348" s="16"/>
      <c r="FT348" s="16"/>
      <c r="FU348" s="16"/>
      <c r="FV348" s="16"/>
      <c r="FW348" s="16"/>
      <c r="FX348" s="16"/>
      <c r="FY348" s="19"/>
      <c r="GA348" s="86"/>
      <c r="GB348" s="87"/>
      <c r="GC348" s="44"/>
      <c r="GD348" s="44"/>
      <c r="GE348" s="44"/>
      <c r="GF348" s="16"/>
      <c r="GG348" s="16"/>
      <c r="GH348" s="16"/>
      <c r="GI348" s="16"/>
      <c r="GJ348" s="16"/>
      <c r="GK348" s="16"/>
      <c r="GL348" s="16"/>
      <c r="GM348" s="19"/>
    </row>
    <row r="349" spans="1:195" s="18" customFormat="1" ht="15" customHeight="1">
      <c r="A349" s="86">
        <v>2021</v>
      </c>
      <c r="B349" s="87" t="s">
        <v>43</v>
      </c>
      <c r="C349" s="15">
        <f t="shared" si="457"/>
        <v>0.78986809237915767</v>
      </c>
      <c r="D349" s="15">
        <f t="shared" si="458"/>
        <v>0.899580754641645</v>
      </c>
      <c r="E349" s="15">
        <f t="shared" si="459"/>
        <v>0.87804022963320039</v>
      </c>
      <c r="F349"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9"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6.4641645038929925</v>
      </c>
      <c r="H349" s="16">
        <f t="shared" si="460"/>
        <v>22819</v>
      </c>
      <c r="I349" s="16">
        <f t="shared" si="461"/>
        <v>2783</v>
      </c>
      <c r="J349" s="16">
        <f t="shared" si="462"/>
        <v>20036</v>
      </c>
      <c r="K349" s="16">
        <f t="shared" si="463"/>
        <v>18024</v>
      </c>
      <c r="L349" s="16">
        <f t="shared" si="464"/>
        <v>2012</v>
      </c>
      <c r="M349" s="16"/>
      <c r="O349" s="86">
        <v>2021</v>
      </c>
      <c r="P349" s="87" t="s">
        <v>43</v>
      </c>
      <c r="Q349" s="44">
        <f t="shared" si="500"/>
        <v>0.67913613575009646</v>
      </c>
      <c r="R349" s="44">
        <f t="shared" si="501"/>
        <v>0.8743793445878848</v>
      </c>
      <c r="S349" s="44">
        <f t="shared" si="502"/>
        <v>0.77670651754724263</v>
      </c>
      <c r="T349" s="16">
        <v>198</v>
      </c>
      <c r="U349" s="16">
        <v>7</v>
      </c>
      <c r="V349" s="16">
        <v>5186</v>
      </c>
      <c r="W349" s="16">
        <f t="shared" si="468"/>
        <v>1158</v>
      </c>
      <c r="X349" s="16">
        <v>4028</v>
      </c>
      <c r="Y349" s="16">
        <v>3522</v>
      </c>
      <c r="Z349" s="16">
        <f t="shared" si="503"/>
        <v>506</v>
      </c>
      <c r="AA349" s="16"/>
      <c r="AC349" s="86"/>
      <c r="AD349" s="87"/>
      <c r="AE349" s="44"/>
      <c r="AF349" s="44"/>
      <c r="AG349" s="44"/>
      <c r="AH349" s="44"/>
      <c r="AI349" s="44"/>
      <c r="AJ349" s="16"/>
      <c r="AK349" s="16"/>
      <c r="AL349" s="16"/>
      <c r="AM349" s="16"/>
      <c r="AN349" s="16"/>
      <c r="AO349" s="16"/>
      <c r="AQ349" s="86">
        <v>2021</v>
      </c>
      <c r="AR349" s="87" t="s">
        <v>43</v>
      </c>
      <c r="AS349" s="44">
        <f t="shared" si="504"/>
        <v>0.90176070428171273</v>
      </c>
      <c r="AT349" s="44">
        <f t="shared" si="505"/>
        <v>0.92280917280917285</v>
      </c>
      <c r="AU349" s="44">
        <f t="shared" si="506"/>
        <v>0.97719087635054025</v>
      </c>
      <c r="AV349" s="16">
        <v>192</v>
      </c>
      <c r="AW349" s="16">
        <v>7</v>
      </c>
      <c r="AX349" s="16">
        <v>4998</v>
      </c>
      <c r="AY349" s="16">
        <f t="shared" si="473"/>
        <v>114</v>
      </c>
      <c r="AZ349" s="16">
        <v>4884</v>
      </c>
      <c r="BA349" s="16">
        <v>4507</v>
      </c>
      <c r="BB349" s="16">
        <f t="shared" si="507"/>
        <v>377</v>
      </c>
      <c r="BC349" s="16"/>
      <c r="BE349" s="86">
        <v>2021</v>
      </c>
      <c r="BF349" s="87" t="s">
        <v>43</v>
      </c>
      <c r="BG349" s="44">
        <f t="shared" si="508"/>
        <v>0.79295154185022021</v>
      </c>
      <c r="BH349" s="44">
        <f t="shared" si="509"/>
        <v>0.84171148000935236</v>
      </c>
      <c r="BI349" s="44">
        <f t="shared" si="510"/>
        <v>0.94207048458149778</v>
      </c>
      <c r="BJ349" s="16">
        <v>164</v>
      </c>
      <c r="BK349" s="16">
        <v>7</v>
      </c>
      <c r="BL349" s="16">
        <v>4540</v>
      </c>
      <c r="BM349" s="16">
        <f t="shared" si="478"/>
        <v>263</v>
      </c>
      <c r="BN349" s="16">
        <v>4277</v>
      </c>
      <c r="BO349" s="16">
        <v>3600</v>
      </c>
      <c r="BP349" s="16">
        <f t="shared" si="511"/>
        <v>677</v>
      </c>
      <c r="BQ349" s="16"/>
      <c r="BS349" s="86">
        <v>2021</v>
      </c>
      <c r="BT349" s="87" t="s">
        <v>43</v>
      </c>
      <c r="BU349" s="44">
        <f t="shared" si="512"/>
        <v>0.83877635386523353</v>
      </c>
      <c r="BV349" s="44">
        <f t="shared" si="513"/>
        <v>0.89541041482789052</v>
      </c>
      <c r="BW349" s="44">
        <f t="shared" si="514"/>
        <v>0.93675072343943777</v>
      </c>
      <c r="BX349" s="16">
        <v>89</v>
      </c>
      <c r="BY349" s="16">
        <v>7</v>
      </c>
      <c r="BZ349" s="16">
        <v>2419</v>
      </c>
      <c r="CA349" s="16">
        <f t="shared" si="483"/>
        <v>153</v>
      </c>
      <c r="CB349" s="16">
        <v>2266</v>
      </c>
      <c r="CC349" s="16">
        <v>2029</v>
      </c>
      <c r="CD349" s="16">
        <f t="shared" si="515"/>
        <v>237</v>
      </c>
      <c r="CE349" s="16"/>
      <c r="CG349" s="86">
        <v>2021</v>
      </c>
      <c r="CH349" s="87" t="s">
        <v>43</v>
      </c>
      <c r="CI349" s="44">
        <f t="shared" si="516"/>
        <v>0.85539215686274506</v>
      </c>
      <c r="CJ349" s="44">
        <f t="shared" si="517"/>
        <v>0.9198734844491302</v>
      </c>
      <c r="CK349" s="44">
        <f t="shared" si="518"/>
        <v>0.92990196078431375</v>
      </c>
      <c r="CL349" s="16">
        <v>76</v>
      </c>
      <c r="CM349" s="16">
        <v>7</v>
      </c>
      <c r="CN349" s="16">
        <v>2040</v>
      </c>
      <c r="CO349" s="16">
        <f t="shared" si="488"/>
        <v>143</v>
      </c>
      <c r="CP349" s="16">
        <v>1897</v>
      </c>
      <c r="CQ349" s="16">
        <v>1745</v>
      </c>
      <c r="CR349" s="16">
        <f t="shared" si="519"/>
        <v>152</v>
      </c>
      <c r="CS349" s="16"/>
      <c r="CU349" s="86">
        <v>2021</v>
      </c>
      <c r="CV349" s="87" t="s">
        <v>43</v>
      </c>
      <c r="CW349" s="44">
        <f t="shared" si="520"/>
        <v>0.49430324276950044</v>
      </c>
      <c r="CX349" s="44">
        <f t="shared" si="521"/>
        <v>0.98774080560420319</v>
      </c>
      <c r="CY349" s="44">
        <f t="shared" si="522"/>
        <v>0.50043821209465378</v>
      </c>
      <c r="CZ349" s="16">
        <v>36</v>
      </c>
      <c r="DA349" s="16">
        <v>3</v>
      </c>
      <c r="DB349" s="16">
        <v>1141</v>
      </c>
      <c r="DC349" s="16">
        <f t="shared" si="493"/>
        <v>570</v>
      </c>
      <c r="DD349" s="16">
        <v>571</v>
      </c>
      <c r="DE349" s="16">
        <v>564</v>
      </c>
      <c r="DF349" s="16">
        <f t="shared" si="523"/>
        <v>7</v>
      </c>
      <c r="DG349" s="16"/>
      <c r="DI349" s="86">
        <v>2021</v>
      </c>
      <c r="DJ349" s="87" t="s">
        <v>43</v>
      </c>
      <c r="DK349" s="44">
        <f t="shared" si="495"/>
        <v>0.67096774193548392</v>
      </c>
      <c r="DL349" s="44">
        <f t="shared" si="496"/>
        <v>0.99047619047619051</v>
      </c>
      <c r="DM349" s="44">
        <f t="shared" si="497"/>
        <v>0.67741935483870963</v>
      </c>
      <c r="DN349" s="16">
        <v>20</v>
      </c>
      <c r="DO349" s="16">
        <v>3</v>
      </c>
      <c r="DP349" s="16">
        <v>620</v>
      </c>
      <c r="DQ349" s="16">
        <f t="shared" si="498"/>
        <v>200</v>
      </c>
      <c r="DR349" s="16">
        <v>420</v>
      </c>
      <c r="DS349" s="16">
        <v>416</v>
      </c>
      <c r="DT349" s="16">
        <f t="shared" si="499"/>
        <v>4</v>
      </c>
      <c r="DU349" s="16"/>
      <c r="DW349" s="86">
        <v>2021</v>
      </c>
      <c r="DX349" s="87" t="s">
        <v>43</v>
      </c>
      <c r="DY349" s="44">
        <f t="shared" si="524"/>
        <v>0.95468462951622779</v>
      </c>
      <c r="DZ349" s="44">
        <f t="shared" si="525"/>
        <v>0.96892479801118703</v>
      </c>
      <c r="EA349" s="44">
        <f t="shared" si="526"/>
        <v>0.98530312308634416</v>
      </c>
      <c r="EB349" s="16">
        <v>42</v>
      </c>
      <c r="EC349" s="16">
        <v>3</v>
      </c>
      <c r="ED349" s="16">
        <v>1633</v>
      </c>
      <c r="EE349" s="16">
        <f t="shared" si="450"/>
        <v>24</v>
      </c>
      <c r="EF349" s="16">
        <v>1609</v>
      </c>
      <c r="EG349" s="16">
        <v>1559</v>
      </c>
      <c r="EH349" s="16">
        <f t="shared" si="527"/>
        <v>50</v>
      </c>
      <c r="EI349" s="16"/>
      <c r="EK349" s="86">
        <v>2021</v>
      </c>
      <c r="EL349" s="87" t="s">
        <v>43</v>
      </c>
      <c r="EM349" s="44">
        <f t="shared" si="528"/>
        <v>0.33884297520661155</v>
      </c>
      <c r="EN349" s="44">
        <f t="shared" si="529"/>
        <v>0.97619047619047616</v>
      </c>
      <c r="EO349" s="44">
        <f t="shared" si="530"/>
        <v>0.34710743801652894</v>
      </c>
      <c r="EP349" s="16">
        <v>6</v>
      </c>
      <c r="EQ349" s="16">
        <v>3</v>
      </c>
      <c r="ER349" s="16">
        <v>242</v>
      </c>
      <c r="ES349" s="16">
        <f t="shared" si="455"/>
        <v>158</v>
      </c>
      <c r="ET349" s="16">
        <v>84</v>
      </c>
      <c r="EU349" s="16">
        <v>82</v>
      </c>
      <c r="EV349" s="16">
        <f t="shared" si="531"/>
        <v>2</v>
      </c>
      <c r="EW349" s="19" t="s">
        <v>101</v>
      </c>
      <c r="EY349" s="86"/>
      <c r="EZ349" s="87"/>
      <c r="FA349" s="44"/>
      <c r="FB349" s="44"/>
      <c r="FC349" s="44"/>
      <c r="FD349" s="16"/>
      <c r="FE349" s="16"/>
      <c r="FF349" s="16"/>
      <c r="FG349" s="16"/>
      <c r="FH349" s="16"/>
      <c r="FI349" s="16"/>
      <c r="FJ349" s="16"/>
      <c r="FK349" s="19"/>
      <c r="FM349" s="86"/>
      <c r="FN349" s="87"/>
      <c r="FO349" s="44"/>
      <c r="FP349" s="44"/>
      <c r="FQ349" s="44"/>
      <c r="FR349" s="16"/>
      <c r="FS349" s="16"/>
      <c r="FT349" s="16"/>
      <c r="FU349" s="16"/>
      <c r="FV349" s="16"/>
      <c r="FW349" s="16"/>
      <c r="FX349" s="16"/>
      <c r="FY349" s="19"/>
      <c r="GA349" s="86"/>
      <c r="GB349" s="87"/>
      <c r="GC349" s="44"/>
      <c r="GD349" s="44"/>
      <c r="GE349" s="44"/>
      <c r="GF349" s="16"/>
      <c r="GG349" s="16"/>
      <c r="GH349" s="16"/>
      <c r="GI349" s="16"/>
      <c r="GJ349" s="16"/>
      <c r="GK349" s="16"/>
      <c r="GL349" s="16"/>
      <c r="GM349" s="19"/>
    </row>
    <row r="350" spans="1:195" s="18" customFormat="1" ht="15" customHeight="1">
      <c r="A350" s="86">
        <v>2021</v>
      </c>
      <c r="B350" s="87" t="s">
        <v>44</v>
      </c>
      <c r="C350" s="15">
        <f t="shared" si="457"/>
        <v>0.81425315568022438</v>
      </c>
      <c r="D350" s="15">
        <f t="shared" si="458"/>
        <v>0.88555221888555224</v>
      </c>
      <c r="E350" s="15">
        <f t="shared" si="459"/>
        <v>0.9194863253856943</v>
      </c>
      <c r="F350"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50"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6.4150340817007487</v>
      </c>
      <c r="H350" s="16">
        <f t="shared" si="460"/>
        <v>22816</v>
      </c>
      <c r="I350" s="16">
        <f t="shared" si="461"/>
        <v>1837</v>
      </c>
      <c r="J350" s="16">
        <f t="shared" si="462"/>
        <v>20979</v>
      </c>
      <c r="K350" s="16">
        <f t="shared" si="463"/>
        <v>18578</v>
      </c>
      <c r="L350" s="16">
        <f t="shared" si="464"/>
        <v>2401</v>
      </c>
      <c r="M350" s="16"/>
      <c r="O350" s="86">
        <v>2021</v>
      </c>
      <c r="P350" s="87" t="s">
        <v>44</v>
      </c>
      <c r="Q350" s="44">
        <f t="shared" si="500"/>
        <v>0.80164498852333588</v>
      </c>
      <c r="R350" s="44">
        <f t="shared" si="501"/>
        <v>0.86842105263157898</v>
      </c>
      <c r="S350" s="44">
        <f t="shared" si="502"/>
        <v>0.92310635042081102</v>
      </c>
      <c r="T350" s="16">
        <v>198</v>
      </c>
      <c r="U350" s="16">
        <v>7</v>
      </c>
      <c r="V350" s="16">
        <v>5228</v>
      </c>
      <c r="W350" s="16">
        <f t="shared" ref="W350:W356" si="532">V350-X350</f>
        <v>402</v>
      </c>
      <c r="X350" s="16">
        <v>4826</v>
      </c>
      <c r="Y350" s="16">
        <v>4191</v>
      </c>
      <c r="Z350" s="16">
        <f t="shared" si="503"/>
        <v>635</v>
      </c>
      <c r="AA350" s="16"/>
      <c r="AC350" s="84"/>
      <c r="AD350" s="85"/>
      <c r="AE350" s="44"/>
      <c r="AF350" s="44"/>
      <c r="AG350" s="44"/>
      <c r="AH350" s="44"/>
      <c r="AI350" s="44"/>
      <c r="AJ350" s="16"/>
      <c r="AK350" s="16"/>
      <c r="AL350" s="16"/>
      <c r="AM350" s="16"/>
      <c r="AN350" s="16"/>
      <c r="AO350" s="16"/>
      <c r="AQ350" s="86">
        <v>2021</v>
      </c>
      <c r="AR350" s="87" t="s">
        <v>44</v>
      </c>
      <c r="AS350" s="44">
        <f t="shared" si="504"/>
        <v>0.85570071258907365</v>
      </c>
      <c r="AT350" s="44">
        <f t="shared" si="505"/>
        <v>0.89207593891869585</v>
      </c>
      <c r="AU350" s="44">
        <f t="shared" si="506"/>
        <v>0.9592240696753761</v>
      </c>
      <c r="AV350" s="16">
        <v>192</v>
      </c>
      <c r="AW350" s="16">
        <v>7</v>
      </c>
      <c r="AX350" s="16">
        <v>5052</v>
      </c>
      <c r="AY350" s="16">
        <f t="shared" ref="AY350:AY356" si="533">AX350-AZ350</f>
        <v>206</v>
      </c>
      <c r="AZ350" s="16">
        <v>4846</v>
      </c>
      <c r="BA350" s="16">
        <v>4323</v>
      </c>
      <c r="BB350" s="16">
        <f t="shared" si="507"/>
        <v>523</v>
      </c>
      <c r="BC350" s="16"/>
      <c r="BE350" s="86">
        <v>2021</v>
      </c>
      <c r="BF350" s="87" t="s">
        <v>44</v>
      </c>
      <c r="BG350" s="44">
        <f t="shared" si="508"/>
        <v>0.7602119673217046</v>
      </c>
      <c r="BH350" s="44">
        <f t="shared" si="509"/>
        <v>0.83345436940208184</v>
      </c>
      <c r="BI350" s="44">
        <f t="shared" si="510"/>
        <v>0.91212188120998017</v>
      </c>
      <c r="BJ350" s="16">
        <v>164</v>
      </c>
      <c r="BK350" s="16">
        <v>7</v>
      </c>
      <c r="BL350" s="16">
        <v>4529</v>
      </c>
      <c r="BM350" s="16">
        <f t="shared" ref="BM350:BM356" si="534">BL350-BN350</f>
        <v>398</v>
      </c>
      <c r="BN350" s="16">
        <v>4131</v>
      </c>
      <c r="BO350" s="16">
        <v>3443</v>
      </c>
      <c r="BP350" s="16">
        <f t="shared" si="511"/>
        <v>688</v>
      </c>
      <c r="BQ350" s="16"/>
      <c r="BS350" s="86">
        <v>2021</v>
      </c>
      <c r="BT350" s="87" t="s">
        <v>44</v>
      </c>
      <c r="BU350" s="44">
        <f t="shared" si="512"/>
        <v>0.79239040529363114</v>
      </c>
      <c r="BV350" s="44">
        <f t="shared" si="513"/>
        <v>0.85650424675905235</v>
      </c>
      <c r="BW350" s="44">
        <f t="shared" si="514"/>
        <v>0.9251447477253929</v>
      </c>
      <c r="BX350" s="16">
        <v>89</v>
      </c>
      <c r="BY350" s="16">
        <v>7</v>
      </c>
      <c r="BZ350" s="16">
        <v>2418</v>
      </c>
      <c r="CA350" s="16">
        <f t="shared" ref="CA350:CA356" si="535">BZ350-CB350</f>
        <v>181</v>
      </c>
      <c r="CB350" s="16">
        <v>2237</v>
      </c>
      <c r="CC350" s="16">
        <v>1916</v>
      </c>
      <c r="CD350" s="16">
        <f t="shared" si="515"/>
        <v>321</v>
      </c>
      <c r="CE350" s="16"/>
      <c r="CG350" s="86">
        <v>2021</v>
      </c>
      <c r="CH350" s="87" t="s">
        <v>44</v>
      </c>
      <c r="CI350" s="44">
        <f t="shared" si="516"/>
        <v>0.83740234375</v>
      </c>
      <c r="CJ350" s="44">
        <f t="shared" si="517"/>
        <v>0.91662212720470337</v>
      </c>
      <c r="CK350" s="44">
        <f t="shared" si="518"/>
        <v>0.91357421875</v>
      </c>
      <c r="CL350" s="16">
        <v>76</v>
      </c>
      <c r="CM350" s="16">
        <v>7</v>
      </c>
      <c r="CN350" s="16">
        <v>2048</v>
      </c>
      <c r="CO350" s="16">
        <f t="shared" ref="CO350:CO356" si="536">CN350-CP350</f>
        <v>177</v>
      </c>
      <c r="CP350" s="16">
        <v>1871</v>
      </c>
      <c r="CQ350" s="16">
        <v>1715</v>
      </c>
      <c r="CR350" s="16">
        <f t="shared" si="519"/>
        <v>156</v>
      </c>
      <c r="CS350" s="16"/>
      <c r="CU350" s="86">
        <v>2021</v>
      </c>
      <c r="CV350" s="87" t="s">
        <v>44</v>
      </c>
      <c r="CW350" s="44">
        <f t="shared" si="520"/>
        <v>0.89421338155515373</v>
      </c>
      <c r="CX350" s="44">
        <f t="shared" si="521"/>
        <v>0.98407960199004973</v>
      </c>
      <c r="CY350" s="44">
        <f t="shared" si="522"/>
        <v>0.90867992766726946</v>
      </c>
      <c r="CZ350" s="16">
        <v>36</v>
      </c>
      <c r="DA350" s="16">
        <v>3</v>
      </c>
      <c r="DB350" s="16">
        <v>1106</v>
      </c>
      <c r="DC350" s="16">
        <f t="shared" ref="DC350:DC356" si="537">DB350-DD350</f>
        <v>101</v>
      </c>
      <c r="DD350" s="16">
        <v>1005</v>
      </c>
      <c r="DE350" s="16">
        <v>989</v>
      </c>
      <c r="DF350" s="16">
        <f t="shared" si="523"/>
        <v>16</v>
      </c>
      <c r="DG350" s="16"/>
      <c r="DI350" s="86">
        <v>2021</v>
      </c>
      <c r="DJ350" s="87" t="s">
        <v>44</v>
      </c>
      <c r="DK350" s="44">
        <f t="shared" si="495"/>
        <v>0.63833333333333331</v>
      </c>
      <c r="DL350" s="44">
        <f t="shared" si="496"/>
        <v>0.98966408268733852</v>
      </c>
      <c r="DM350" s="44">
        <f t="shared" si="497"/>
        <v>0.64500000000000002</v>
      </c>
      <c r="DN350" s="16">
        <v>20</v>
      </c>
      <c r="DO350" s="16">
        <v>3</v>
      </c>
      <c r="DP350" s="16">
        <v>600</v>
      </c>
      <c r="DQ350" s="16">
        <f t="shared" si="498"/>
        <v>213</v>
      </c>
      <c r="DR350" s="16">
        <v>387</v>
      </c>
      <c r="DS350" s="16">
        <v>383</v>
      </c>
      <c r="DT350" s="16">
        <f t="shared" si="499"/>
        <v>4</v>
      </c>
      <c r="DU350" s="16"/>
      <c r="DW350" s="86">
        <v>2021</v>
      </c>
      <c r="DX350" s="87" t="s">
        <v>44</v>
      </c>
      <c r="DY350" s="44">
        <f t="shared" si="524"/>
        <v>0.92403486924034872</v>
      </c>
      <c r="DZ350" s="44">
        <f t="shared" si="525"/>
        <v>0.96363636363636362</v>
      </c>
      <c r="EA350" s="44">
        <f t="shared" si="526"/>
        <v>0.95890410958904104</v>
      </c>
      <c r="EB350" s="16">
        <v>42</v>
      </c>
      <c r="EC350" s="16">
        <v>3</v>
      </c>
      <c r="ED350" s="16">
        <v>1606</v>
      </c>
      <c r="EE350" s="16">
        <f t="shared" ref="EE350:EE356" si="538">ED350-EF350</f>
        <v>66</v>
      </c>
      <c r="EF350" s="16">
        <v>1540</v>
      </c>
      <c r="EG350" s="16">
        <v>1484</v>
      </c>
      <c r="EH350" s="16">
        <f t="shared" si="527"/>
        <v>56</v>
      </c>
      <c r="EI350" s="16"/>
      <c r="EJ350" s="45"/>
      <c r="EK350" s="86">
        <v>2021</v>
      </c>
      <c r="EL350" s="87" t="s">
        <v>44</v>
      </c>
      <c r="EM350" s="44">
        <f t="shared" si="528"/>
        <v>0.58515283842794763</v>
      </c>
      <c r="EN350" s="44">
        <f t="shared" si="529"/>
        <v>0.98529411764705888</v>
      </c>
      <c r="EO350" s="44">
        <f t="shared" si="530"/>
        <v>0.59388646288209612</v>
      </c>
      <c r="EP350" s="16">
        <v>6</v>
      </c>
      <c r="EQ350" s="16">
        <v>3</v>
      </c>
      <c r="ER350" s="16">
        <v>229</v>
      </c>
      <c r="ES350" s="16">
        <f t="shared" ref="ES350:ES356" si="539">ER350-ET350</f>
        <v>93</v>
      </c>
      <c r="ET350" s="16">
        <v>136</v>
      </c>
      <c r="EU350" s="16">
        <v>134</v>
      </c>
      <c r="EV350" s="16">
        <f t="shared" si="531"/>
        <v>2</v>
      </c>
      <c r="EW350" s="19" t="s">
        <v>101</v>
      </c>
      <c r="EY350" s="86"/>
      <c r="EZ350" s="87"/>
      <c r="FA350" s="44"/>
      <c r="FB350" s="44"/>
      <c r="FC350" s="44"/>
      <c r="FD350" s="16"/>
      <c r="FE350" s="16"/>
      <c r="FF350" s="16"/>
      <c r="FG350" s="16"/>
      <c r="FH350" s="16"/>
      <c r="FI350" s="16"/>
      <c r="FJ350" s="16"/>
      <c r="FK350" s="19"/>
      <c r="FM350" s="86"/>
      <c r="FN350" s="87"/>
      <c r="FO350" s="44"/>
      <c r="FP350" s="44"/>
      <c r="FQ350" s="44"/>
      <c r="FR350" s="16"/>
      <c r="FS350" s="16"/>
      <c r="FT350" s="16"/>
      <c r="FU350" s="16"/>
      <c r="FV350" s="16"/>
      <c r="FW350" s="16"/>
      <c r="FX350" s="16"/>
      <c r="FY350" s="19"/>
      <c r="GA350" s="86"/>
      <c r="GB350" s="87"/>
      <c r="GC350" s="44"/>
      <c r="GD350" s="44"/>
      <c r="GE350" s="44"/>
      <c r="GF350" s="16"/>
      <c r="GG350" s="16"/>
      <c r="GH350" s="16"/>
      <c r="GI350" s="16"/>
      <c r="GJ350" s="16"/>
      <c r="GK350" s="16"/>
      <c r="GL350" s="16"/>
      <c r="GM350" s="19"/>
    </row>
    <row r="351" spans="1:195" s="18" customFormat="1" ht="15" customHeight="1">
      <c r="A351" s="86">
        <v>2021</v>
      </c>
      <c r="B351" s="87" t="s">
        <v>45</v>
      </c>
      <c r="C351" s="15">
        <f t="shared" si="457"/>
        <v>0.83822338223382231</v>
      </c>
      <c r="D351" s="15">
        <f t="shared" si="458"/>
        <v>0.89030685402925147</v>
      </c>
      <c r="E351" s="15">
        <f t="shared" si="459"/>
        <v>0.94149941499414991</v>
      </c>
      <c r="F351"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51"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6.385527196252748</v>
      </c>
      <c r="H351" s="16">
        <f t="shared" si="460"/>
        <v>22222</v>
      </c>
      <c r="I351" s="16">
        <f t="shared" si="461"/>
        <v>1300</v>
      </c>
      <c r="J351" s="16">
        <f t="shared" si="462"/>
        <v>20922</v>
      </c>
      <c r="K351" s="16">
        <f t="shared" si="463"/>
        <v>18627</v>
      </c>
      <c r="L351" s="16">
        <f t="shared" si="464"/>
        <v>2295</v>
      </c>
      <c r="M351" s="16"/>
      <c r="O351" s="86">
        <v>2021</v>
      </c>
      <c r="P351" s="87" t="s">
        <v>45</v>
      </c>
      <c r="Q351" s="44">
        <f t="shared" si="500"/>
        <v>0.81829073482428116</v>
      </c>
      <c r="R351" s="44">
        <f t="shared" si="501"/>
        <v>0.85357217246407002</v>
      </c>
      <c r="S351" s="44">
        <f t="shared" si="502"/>
        <v>0.95866613418530355</v>
      </c>
      <c r="T351" s="16">
        <v>198</v>
      </c>
      <c r="U351" s="16">
        <v>7</v>
      </c>
      <c r="V351" s="16">
        <v>5008</v>
      </c>
      <c r="W351" s="16">
        <f t="shared" si="532"/>
        <v>207</v>
      </c>
      <c r="X351" s="16">
        <v>4801</v>
      </c>
      <c r="Y351" s="16">
        <v>4098</v>
      </c>
      <c r="Z351" s="16">
        <f t="shared" si="503"/>
        <v>703</v>
      </c>
      <c r="AA351" s="16"/>
      <c r="AC351" s="84"/>
      <c r="AD351" s="85"/>
      <c r="AE351" s="44"/>
      <c r="AF351" s="44"/>
      <c r="AG351" s="44"/>
      <c r="AH351" s="44"/>
      <c r="AI351" s="44"/>
      <c r="AJ351" s="16"/>
      <c r="AK351" s="16"/>
      <c r="AL351" s="16"/>
      <c r="AM351" s="16"/>
      <c r="AN351" s="16"/>
      <c r="AO351" s="16"/>
      <c r="AQ351" s="86">
        <v>2021</v>
      </c>
      <c r="AR351" s="87" t="s">
        <v>45</v>
      </c>
      <c r="AS351" s="44">
        <f t="shared" si="504"/>
        <v>0.9023024268823896</v>
      </c>
      <c r="AT351" s="44">
        <f t="shared" si="505"/>
        <v>0.92141495445880106</v>
      </c>
      <c r="AU351" s="44">
        <f t="shared" si="506"/>
        <v>0.97925741547396805</v>
      </c>
      <c r="AV351" s="16">
        <v>192</v>
      </c>
      <c r="AW351" s="16">
        <v>7</v>
      </c>
      <c r="AX351" s="16">
        <v>4821</v>
      </c>
      <c r="AY351" s="16">
        <f t="shared" si="533"/>
        <v>100</v>
      </c>
      <c r="AZ351" s="16">
        <v>4721</v>
      </c>
      <c r="BA351" s="16">
        <v>4350</v>
      </c>
      <c r="BB351" s="16">
        <f t="shared" si="507"/>
        <v>371</v>
      </c>
      <c r="BC351" s="16"/>
      <c r="BE351" s="86">
        <v>2021</v>
      </c>
      <c r="BF351" s="87" t="s">
        <v>45</v>
      </c>
      <c r="BG351" s="44">
        <f t="shared" si="508"/>
        <v>0.78838361098604237</v>
      </c>
      <c r="BH351" s="44">
        <f t="shared" si="509"/>
        <v>0.85</v>
      </c>
      <c r="BI351" s="44">
        <f t="shared" si="510"/>
        <v>0.92751013057181453</v>
      </c>
      <c r="BJ351" s="16">
        <v>164</v>
      </c>
      <c r="BK351" s="16">
        <v>7</v>
      </c>
      <c r="BL351" s="16">
        <v>4442</v>
      </c>
      <c r="BM351" s="16">
        <f t="shared" si="534"/>
        <v>322</v>
      </c>
      <c r="BN351" s="16">
        <v>4120</v>
      </c>
      <c r="BO351" s="16">
        <v>3502</v>
      </c>
      <c r="BP351" s="16">
        <f t="shared" si="511"/>
        <v>618</v>
      </c>
      <c r="BQ351" s="16"/>
      <c r="BS351" s="86">
        <v>2021</v>
      </c>
      <c r="BT351" s="87" t="s">
        <v>45</v>
      </c>
      <c r="BU351" s="44">
        <f t="shared" si="512"/>
        <v>0.79421768707482998</v>
      </c>
      <c r="BV351" s="44">
        <f t="shared" si="513"/>
        <v>0.84639782510194839</v>
      </c>
      <c r="BW351" s="44">
        <f t="shared" si="514"/>
        <v>0.93835034013605445</v>
      </c>
      <c r="BX351" s="16">
        <v>89</v>
      </c>
      <c r="BY351" s="16">
        <v>7</v>
      </c>
      <c r="BZ351" s="16">
        <v>2352</v>
      </c>
      <c r="CA351" s="16">
        <f t="shared" si="535"/>
        <v>145</v>
      </c>
      <c r="CB351" s="16">
        <v>2207</v>
      </c>
      <c r="CC351" s="16">
        <v>1868</v>
      </c>
      <c r="CD351" s="16">
        <f t="shared" si="515"/>
        <v>339</v>
      </c>
      <c r="CE351" s="16"/>
      <c r="CG351" s="86">
        <v>2021</v>
      </c>
      <c r="CH351" s="87" t="s">
        <v>45</v>
      </c>
      <c r="CI351" s="44">
        <f t="shared" si="516"/>
        <v>0.85822401614530774</v>
      </c>
      <c r="CJ351" s="44">
        <f t="shared" si="517"/>
        <v>0.9150080688542227</v>
      </c>
      <c r="CK351" s="44">
        <f t="shared" si="518"/>
        <v>0.93794147325933397</v>
      </c>
      <c r="CL351" s="16">
        <v>76</v>
      </c>
      <c r="CM351" s="16">
        <v>7</v>
      </c>
      <c r="CN351" s="16">
        <v>1982</v>
      </c>
      <c r="CO351" s="16">
        <f t="shared" si="536"/>
        <v>123</v>
      </c>
      <c r="CP351" s="16">
        <v>1859</v>
      </c>
      <c r="CQ351" s="16">
        <v>1701</v>
      </c>
      <c r="CR351" s="16">
        <f t="shared" si="519"/>
        <v>158</v>
      </c>
      <c r="CS351" s="16"/>
      <c r="CU351" s="86">
        <v>2021</v>
      </c>
      <c r="CV351" s="87" t="s">
        <v>45</v>
      </c>
      <c r="CW351" s="44">
        <f t="shared" si="520"/>
        <v>0.95175438596491224</v>
      </c>
      <c r="CX351" s="44">
        <f t="shared" si="521"/>
        <v>0.98457350272232302</v>
      </c>
      <c r="CY351" s="44">
        <f t="shared" si="522"/>
        <v>0.96666666666666667</v>
      </c>
      <c r="CZ351" s="16">
        <v>36</v>
      </c>
      <c r="DA351" s="16">
        <v>3</v>
      </c>
      <c r="DB351" s="16">
        <v>1140</v>
      </c>
      <c r="DC351" s="16">
        <f t="shared" si="537"/>
        <v>38</v>
      </c>
      <c r="DD351" s="16">
        <v>1102</v>
      </c>
      <c r="DE351" s="16">
        <v>1085</v>
      </c>
      <c r="DF351" s="16">
        <f t="shared" si="523"/>
        <v>17</v>
      </c>
      <c r="DG351" s="16"/>
      <c r="DI351" s="86">
        <v>2021</v>
      </c>
      <c r="DJ351" s="87" t="s">
        <v>45</v>
      </c>
      <c r="DK351" s="44">
        <f t="shared" si="495"/>
        <v>0.6387096774193548</v>
      </c>
      <c r="DL351" s="44">
        <f t="shared" si="496"/>
        <v>0.97777777777777775</v>
      </c>
      <c r="DM351" s="44">
        <f t="shared" si="497"/>
        <v>0.65322580645161288</v>
      </c>
      <c r="DN351" s="16">
        <v>20</v>
      </c>
      <c r="DO351" s="16">
        <v>3</v>
      </c>
      <c r="DP351" s="16">
        <v>620</v>
      </c>
      <c r="DQ351" s="16">
        <f t="shared" si="498"/>
        <v>215</v>
      </c>
      <c r="DR351" s="16">
        <v>405</v>
      </c>
      <c r="DS351" s="16">
        <v>396</v>
      </c>
      <c r="DT351" s="16">
        <f t="shared" si="499"/>
        <v>9</v>
      </c>
      <c r="DU351" s="16"/>
      <c r="DW351" s="86">
        <v>2021</v>
      </c>
      <c r="DX351" s="87" t="s">
        <v>45</v>
      </c>
      <c r="DY351" s="44">
        <f t="shared" si="524"/>
        <v>0.94150591163658992</v>
      </c>
      <c r="DZ351" s="44">
        <f t="shared" si="525"/>
        <v>0.956989247311828</v>
      </c>
      <c r="EA351" s="44">
        <f t="shared" si="526"/>
        <v>0.98382078406969509</v>
      </c>
      <c r="EB351" s="16">
        <v>42</v>
      </c>
      <c r="EC351" s="16">
        <v>3</v>
      </c>
      <c r="ED351" s="16">
        <v>1607</v>
      </c>
      <c r="EE351" s="16">
        <f t="shared" si="538"/>
        <v>26</v>
      </c>
      <c r="EF351" s="16">
        <v>1581</v>
      </c>
      <c r="EG351" s="16">
        <v>1513</v>
      </c>
      <c r="EH351" s="16">
        <f t="shared" si="527"/>
        <v>68</v>
      </c>
      <c r="EI351" s="16"/>
      <c r="EJ351" s="45"/>
      <c r="EK351" s="86">
        <v>2021</v>
      </c>
      <c r="EL351" s="87" t="s">
        <v>45</v>
      </c>
      <c r="EM351" s="44">
        <f t="shared" si="528"/>
        <v>0.45600000000000002</v>
      </c>
      <c r="EN351" s="44">
        <f t="shared" si="529"/>
        <v>0.90476190476190477</v>
      </c>
      <c r="EO351" s="44">
        <f t="shared" si="530"/>
        <v>0.504</v>
      </c>
      <c r="EP351" s="16">
        <v>6</v>
      </c>
      <c r="EQ351" s="16">
        <v>3</v>
      </c>
      <c r="ER351" s="16">
        <v>250</v>
      </c>
      <c r="ES351" s="16">
        <f t="shared" si="539"/>
        <v>124</v>
      </c>
      <c r="ET351" s="16">
        <v>126</v>
      </c>
      <c r="EU351" s="16">
        <v>114</v>
      </c>
      <c r="EV351" s="16">
        <f t="shared" si="531"/>
        <v>12</v>
      </c>
      <c r="EW351" s="19" t="s">
        <v>101</v>
      </c>
      <c r="EY351" s="86"/>
      <c r="EZ351" s="87"/>
      <c r="FA351" s="44"/>
      <c r="FB351" s="44"/>
      <c r="FC351" s="44"/>
      <c r="FD351" s="16"/>
      <c r="FE351" s="16"/>
      <c r="FF351" s="16"/>
      <c r="FG351" s="16"/>
      <c r="FH351" s="16"/>
      <c r="FI351" s="16"/>
      <c r="FJ351" s="16"/>
      <c r="FK351" s="19"/>
      <c r="FM351" s="86"/>
      <c r="FN351" s="87"/>
      <c r="FO351" s="44"/>
      <c r="FP351" s="44"/>
      <c r="FQ351" s="44"/>
      <c r="FR351" s="16"/>
      <c r="FS351" s="16"/>
      <c r="FT351" s="16"/>
      <c r="FU351" s="16"/>
      <c r="FV351" s="16"/>
      <c r="FW351" s="16"/>
      <c r="FX351" s="16"/>
      <c r="FY351" s="19"/>
      <c r="GA351" s="86"/>
      <c r="GB351" s="87"/>
      <c r="GC351" s="44"/>
      <c r="GD351" s="44"/>
      <c r="GE351" s="44"/>
      <c r="GF351" s="16"/>
      <c r="GG351" s="16"/>
      <c r="GH351" s="16"/>
      <c r="GI351" s="16"/>
      <c r="GJ351" s="16"/>
      <c r="GK351" s="16"/>
      <c r="GL351" s="16"/>
      <c r="GM351" s="19"/>
    </row>
    <row r="352" spans="1:195" s="18" customFormat="1" ht="15" customHeight="1">
      <c r="A352" s="86">
        <v>2021</v>
      </c>
      <c r="B352" s="87" t="s">
        <v>46</v>
      </c>
      <c r="C352" s="15">
        <f t="shared" si="457"/>
        <v>0.88921634293369056</v>
      </c>
      <c r="D352" s="15">
        <f t="shared" si="458"/>
        <v>0.93633627985706225</v>
      </c>
      <c r="E352" s="15">
        <f t="shared" si="459"/>
        <v>0.9496762670238893</v>
      </c>
      <c r="F352"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52"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6.3977807034041749</v>
      </c>
      <c r="H352" s="16">
        <f t="shared" si="460"/>
        <v>22395</v>
      </c>
      <c r="I352" s="16">
        <f t="shared" si="461"/>
        <v>1127</v>
      </c>
      <c r="J352" s="16">
        <f t="shared" si="462"/>
        <v>21268</v>
      </c>
      <c r="K352" s="16">
        <f t="shared" si="463"/>
        <v>19914</v>
      </c>
      <c r="L352" s="16">
        <f t="shared" si="464"/>
        <v>1354</v>
      </c>
      <c r="M352" s="16"/>
      <c r="O352" s="86">
        <v>2021</v>
      </c>
      <c r="P352" s="87" t="s">
        <v>46</v>
      </c>
      <c r="Q352" s="44">
        <f t="shared" si="500"/>
        <v>0.90779169929522319</v>
      </c>
      <c r="R352" s="44">
        <f t="shared" si="501"/>
        <v>0.92499501296628761</v>
      </c>
      <c r="S352" s="44">
        <f t="shared" si="502"/>
        <v>0.98140172278778381</v>
      </c>
      <c r="T352" s="16">
        <v>198</v>
      </c>
      <c r="U352" s="16">
        <v>7</v>
      </c>
      <c r="V352" s="16">
        <v>5108</v>
      </c>
      <c r="W352" s="16">
        <f t="shared" si="532"/>
        <v>95</v>
      </c>
      <c r="X352" s="16">
        <v>5013</v>
      </c>
      <c r="Y352" s="16">
        <v>4637</v>
      </c>
      <c r="Z352" s="16">
        <f t="shared" si="503"/>
        <v>376</v>
      </c>
      <c r="AA352" s="16"/>
      <c r="AC352" s="84"/>
      <c r="AD352" s="85"/>
      <c r="AE352" s="44"/>
      <c r="AF352" s="44"/>
      <c r="AG352" s="44"/>
      <c r="AH352" s="44"/>
      <c r="AI352" s="44"/>
      <c r="AJ352" s="16"/>
      <c r="AK352" s="16"/>
      <c r="AL352" s="16"/>
      <c r="AM352" s="16"/>
      <c r="AN352" s="16"/>
      <c r="AO352" s="16"/>
      <c r="AQ352" s="86">
        <v>2021</v>
      </c>
      <c r="AR352" s="87" t="s">
        <v>46</v>
      </c>
      <c r="AS352" s="44">
        <f t="shared" si="504"/>
        <v>0.95455467640495029</v>
      </c>
      <c r="AT352" s="44">
        <f t="shared" si="505"/>
        <v>0.96334971334971331</v>
      </c>
      <c r="AU352" s="44">
        <f t="shared" si="506"/>
        <v>0.99087035909920873</v>
      </c>
      <c r="AV352" s="16">
        <v>192</v>
      </c>
      <c r="AW352" s="16">
        <v>7</v>
      </c>
      <c r="AX352" s="16">
        <v>4929</v>
      </c>
      <c r="AY352" s="16">
        <f t="shared" si="533"/>
        <v>45</v>
      </c>
      <c r="AZ352" s="16">
        <v>4884</v>
      </c>
      <c r="BA352" s="16">
        <v>4705</v>
      </c>
      <c r="BB352" s="16">
        <f t="shared" si="507"/>
        <v>179</v>
      </c>
      <c r="BC352" s="16"/>
      <c r="BE352" s="86">
        <v>2021</v>
      </c>
      <c r="BF352" s="87" t="s">
        <v>46</v>
      </c>
      <c r="BG352" s="44">
        <f t="shared" si="508"/>
        <v>0.86163522012578619</v>
      </c>
      <c r="BH352" s="44">
        <f t="shared" si="509"/>
        <v>0.93061620572537607</v>
      </c>
      <c r="BI352" s="44">
        <f t="shared" si="510"/>
        <v>0.92587601078167114</v>
      </c>
      <c r="BJ352" s="16">
        <v>164</v>
      </c>
      <c r="BK352" s="16">
        <v>7</v>
      </c>
      <c r="BL352" s="16">
        <v>4452</v>
      </c>
      <c r="BM352" s="16">
        <f t="shared" si="534"/>
        <v>330</v>
      </c>
      <c r="BN352" s="16">
        <v>4122</v>
      </c>
      <c r="BO352" s="16">
        <v>3836</v>
      </c>
      <c r="BP352" s="16">
        <f t="shared" si="511"/>
        <v>286</v>
      </c>
      <c r="BQ352" s="16"/>
      <c r="BS352" s="86">
        <v>2021</v>
      </c>
      <c r="BT352" s="87" t="s">
        <v>46</v>
      </c>
      <c r="BU352" s="44">
        <f t="shared" si="512"/>
        <v>0.79510961214165266</v>
      </c>
      <c r="BV352" s="44">
        <f t="shared" si="513"/>
        <v>0.85844333181611288</v>
      </c>
      <c r="BW352" s="44">
        <f t="shared" si="514"/>
        <v>0.92622259696458686</v>
      </c>
      <c r="BX352" s="16">
        <v>89</v>
      </c>
      <c r="BY352" s="16">
        <v>7</v>
      </c>
      <c r="BZ352" s="16">
        <v>2372</v>
      </c>
      <c r="CA352" s="16">
        <f t="shared" si="535"/>
        <v>175</v>
      </c>
      <c r="CB352" s="16">
        <v>2197</v>
      </c>
      <c r="CC352" s="16">
        <v>1886</v>
      </c>
      <c r="CD352" s="16">
        <f t="shared" si="515"/>
        <v>311</v>
      </c>
      <c r="CE352" s="16"/>
      <c r="CG352" s="86">
        <v>2021</v>
      </c>
      <c r="CH352" s="87" t="s">
        <v>46</v>
      </c>
      <c r="CI352" s="44">
        <f t="shared" si="516"/>
        <v>0.86689930209371879</v>
      </c>
      <c r="CJ352" s="44">
        <f t="shared" si="517"/>
        <v>0.94</v>
      </c>
      <c r="CK352" s="44">
        <f t="shared" si="518"/>
        <v>0.92223330009970095</v>
      </c>
      <c r="CL352" s="16">
        <v>76</v>
      </c>
      <c r="CM352" s="16">
        <v>7</v>
      </c>
      <c r="CN352" s="16">
        <v>2006</v>
      </c>
      <c r="CO352" s="16">
        <f t="shared" si="536"/>
        <v>156</v>
      </c>
      <c r="CP352" s="16">
        <v>1850</v>
      </c>
      <c r="CQ352" s="16">
        <v>1739</v>
      </c>
      <c r="CR352" s="16">
        <f t="shared" si="519"/>
        <v>111</v>
      </c>
      <c r="CS352" s="16"/>
      <c r="CU352" s="86">
        <v>2021</v>
      </c>
      <c r="CV352" s="87" t="s">
        <v>46</v>
      </c>
      <c r="CW352" s="44">
        <f t="shared" si="520"/>
        <v>0.95746606334841633</v>
      </c>
      <c r="CX352" s="44">
        <f t="shared" si="521"/>
        <v>0.99156513589503281</v>
      </c>
      <c r="CY352" s="44">
        <f t="shared" si="522"/>
        <v>0.9656108597285068</v>
      </c>
      <c r="CZ352" s="16">
        <v>36</v>
      </c>
      <c r="DA352" s="16">
        <v>3</v>
      </c>
      <c r="DB352" s="16">
        <v>1105</v>
      </c>
      <c r="DC352" s="16">
        <f t="shared" si="537"/>
        <v>38</v>
      </c>
      <c r="DD352" s="16">
        <v>1067</v>
      </c>
      <c r="DE352" s="16">
        <v>1058</v>
      </c>
      <c r="DF352" s="16">
        <f t="shared" si="523"/>
        <v>9</v>
      </c>
      <c r="DG352" s="16"/>
      <c r="DI352" s="86">
        <v>2021</v>
      </c>
      <c r="DJ352" s="87" t="s">
        <v>46</v>
      </c>
      <c r="DK352" s="44">
        <f t="shared" si="495"/>
        <v>0.63666666666666671</v>
      </c>
      <c r="DL352" s="44">
        <f t="shared" si="496"/>
        <v>0.98200514138817485</v>
      </c>
      <c r="DM352" s="44">
        <f t="shared" si="497"/>
        <v>0.64833333333333332</v>
      </c>
      <c r="DN352" s="16">
        <v>20</v>
      </c>
      <c r="DO352" s="16">
        <v>3</v>
      </c>
      <c r="DP352" s="16">
        <v>600</v>
      </c>
      <c r="DQ352" s="16">
        <f t="shared" si="498"/>
        <v>211</v>
      </c>
      <c r="DR352" s="16">
        <v>389</v>
      </c>
      <c r="DS352" s="16">
        <v>382</v>
      </c>
      <c r="DT352" s="16">
        <f t="shared" si="499"/>
        <v>7</v>
      </c>
      <c r="DU352" s="16"/>
      <c r="DW352" s="86">
        <v>2021</v>
      </c>
      <c r="DX352" s="87" t="s">
        <v>46</v>
      </c>
      <c r="DY352" s="44">
        <f t="shared" si="524"/>
        <v>0.93337523570081704</v>
      </c>
      <c r="DZ352" s="44">
        <f t="shared" si="525"/>
        <v>0.95559845559845558</v>
      </c>
      <c r="EA352" s="44">
        <f t="shared" si="526"/>
        <v>0.97674418604651159</v>
      </c>
      <c r="EB352" s="16">
        <v>42</v>
      </c>
      <c r="EC352" s="16">
        <v>3</v>
      </c>
      <c r="ED352" s="16">
        <v>1591</v>
      </c>
      <c r="EE352" s="16">
        <f t="shared" si="538"/>
        <v>37</v>
      </c>
      <c r="EF352" s="16">
        <v>1554</v>
      </c>
      <c r="EG352" s="16">
        <v>1485</v>
      </c>
      <c r="EH352" s="16">
        <f t="shared" si="527"/>
        <v>69</v>
      </c>
      <c r="EI352" s="16"/>
      <c r="EJ352" s="45"/>
      <c r="EK352" s="86">
        <v>2021</v>
      </c>
      <c r="EL352" s="87" t="s">
        <v>46</v>
      </c>
      <c r="EM352" s="44">
        <f t="shared" si="528"/>
        <v>0.80172413793103448</v>
      </c>
      <c r="EN352" s="44">
        <f t="shared" si="529"/>
        <v>0.96875</v>
      </c>
      <c r="EO352" s="44">
        <f t="shared" si="530"/>
        <v>0.82758620689655171</v>
      </c>
      <c r="EP352" s="16">
        <v>6</v>
      </c>
      <c r="EQ352" s="16">
        <v>3</v>
      </c>
      <c r="ER352" s="16">
        <v>232</v>
      </c>
      <c r="ES352" s="16">
        <f t="shared" si="539"/>
        <v>40</v>
      </c>
      <c r="ET352" s="16">
        <v>192</v>
      </c>
      <c r="EU352" s="16">
        <v>186</v>
      </c>
      <c r="EV352" s="16">
        <f t="shared" si="531"/>
        <v>6</v>
      </c>
      <c r="EW352" s="19" t="s">
        <v>100</v>
      </c>
      <c r="EY352" s="86"/>
      <c r="EZ352" s="87"/>
      <c r="FA352" s="44"/>
      <c r="FB352" s="44"/>
      <c r="FC352" s="44"/>
      <c r="FD352" s="16"/>
      <c r="FE352" s="16"/>
      <c r="FF352" s="16"/>
      <c r="FG352" s="16"/>
      <c r="FH352" s="16"/>
      <c r="FI352" s="16"/>
      <c r="FJ352" s="16"/>
      <c r="FK352" s="19"/>
      <c r="FM352" s="86"/>
      <c r="FN352" s="87"/>
      <c r="FO352" s="44"/>
      <c r="FP352" s="44"/>
      <c r="FQ352" s="44"/>
      <c r="FR352" s="16"/>
      <c r="FS352" s="16"/>
      <c r="FT352" s="16"/>
      <c r="FU352" s="16"/>
      <c r="FV352" s="16"/>
      <c r="FW352" s="16"/>
      <c r="FX352" s="16"/>
      <c r="FY352" s="19"/>
      <c r="GA352" s="86"/>
      <c r="GB352" s="87"/>
      <c r="GC352" s="44"/>
      <c r="GD352" s="44"/>
      <c r="GE352" s="44"/>
      <c r="GF352" s="16"/>
      <c r="GG352" s="16"/>
      <c r="GH352" s="16"/>
      <c r="GI352" s="16"/>
      <c r="GJ352" s="16"/>
      <c r="GK352" s="16"/>
      <c r="GL352" s="16"/>
      <c r="GM352" s="19"/>
    </row>
    <row r="353" spans="1:195" s="18" customFormat="1" ht="15" customHeight="1">
      <c r="A353" s="86">
        <v>2021</v>
      </c>
      <c r="B353" s="87" t="s">
        <v>47</v>
      </c>
      <c r="C353" s="15">
        <f t="shared" si="457"/>
        <v>0.83046467831647175</v>
      </c>
      <c r="D353" s="15">
        <f t="shared" si="458"/>
        <v>0.92723716381418098</v>
      </c>
      <c r="E353" s="15">
        <f t="shared" si="459"/>
        <v>0.89563351289799853</v>
      </c>
      <c r="F353"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3"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6.3578484107579465</v>
      </c>
      <c r="H353" s="16">
        <f t="shared" si="460"/>
        <v>22833</v>
      </c>
      <c r="I353" s="16">
        <f t="shared" si="461"/>
        <v>2383</v>
      </c>
      <c r="J353" s="16">
        <f t="shared" ref="J353:K355" si="540">+X353+AZ353+BN353+CP353+DD353+DR353+EF353+CB353+ET353</f>
        <v>20450</v>
      </c>
      <c r="K353" s="16">
        <f t="shared" si="540"/>
        <v>18962</v>
      </c>
      <c r="L353" s="16">
        <f t="shared" si="464"/>
        <v>1488</v>
      </c>
      <c r="M353" s="16"/>
      <c r="O353" s="86">
        <v>2021</v>
      </c>
      <c r="P353" s="87" t="s">
        <v>47</v>
      </c>
      <c r="Q353" s="44">
        <f t="shared" si="500"/>
        <v>0.8092563903950426</v>
      </c>
      <c r="R353" s="44">
        <f t="shared" si="501"/>
        <v>0.91006097560975607</v>
      </c>
      <c r="S353" s="44">
        <f t="shared" si="502"/>
        <v>0.88923315259488767</v>
      </c>
      <c r="T353" s="16">
        <v>198</v>
      </c>
      <c r="U353" s="16">
        <v>7</v>
      </c>
      <c r="V353" s="16">
        <v>5164</v>
      </c>
      <c r="W353" s="16">
        <f t="shared" si="532"/>
        <v>572</v>
      </c>
      <c r="X353" s="16">
        <v>4592</v>
      </c>
      <c r="Y353" s="16">
        <v>4179</v>
      </c>
      <c r="Z353" s="16">
        <f t="shared" si="503"/>
        <v>413</v>
      </c>
      <c r="AA353" s="16"/>
      <c r="AC353" s="84"/>
      <c r="AD353" s="85"/>
      <c r="AE353" s="44"/>
      <c r="AF353" s="44"/>
      <c r="AG353" s="44"/>
      <c r="AH353" s="44"/>
      <c r="AI353" s="44"/>
      <c r="AJ353" s="16"/>
      <c r="AK353" s="16"/>
      <c r="AL353" s="16"/>
      <c r="AM353" s="16"/>
      <c r="AN353" s="16"/>
      <c r="AO353" s="16"/>
      <c r="AQ353" s="86">
        <v>2021</v>
      </c>
      <c r="AR353" s="87" t="s">
        <v>47</v>
      </c>
      <c r="AS353" s="44">
        <f t="shared" si="504"/>
        <v>0.87111553784860563</v>
      </c>
      <c r="AT353" s="44">
        <f t="shared" si="505"/>
        <v>0.94164513350559864</v>
      </c>
      <c r="AU353" s="44">
        <f t="shared" si="506"/>
        <v>0.92509960159362548</v>
      </c>
      <c r="AV353" s="16">
        <v>192</v>
      </c>
      <c r="AW353" s="16">
        <v>7</v>
      </c>
      <c r="AX353" s="16">
        <v>5020</v>
      </c>
      <c r="AY353" s="16">
        <f t="shared" si="533"/>
        <v>376</v>
      </c>
      <c r="AZ353" s="16">
        <v>4644</v>
      </c>
      <c r="BA353" s="16">
        <v>4373</v>
      </c>
      <c r="BB353" s="16">
        <f t="shared" si="507"/>
        <v>271</v>
      </c>
      <c r="BC353" s="16"/>
      <c r="BE353" s="86">
        <v>2021</v>
      </c>
      <c r="BF353" s="87" t="s">
        <v>47</v>
      </c>
      <c r="BG353" s="44">
        <f t="shared" si="508"/>
        <v>0.78494386968963237</v>
      </c>
      <c r="BH353" s="44">
        <f t="shared" si="509"/>
        <v>0.91553273427471116</v>
      </c>
      <c r="BI353" s="44">
        <f t="shared" si="510"/>
        <v>0.85736297600704381</v>
      </c>
      <c r="BJ353" s="16">
        <v>164</v>
      </c>
      <c r="BK353" s="16">
        <v>7</v>
      </c>
      <c r="BL353" s="16">
        <v>4543</v>
      </c>
      <c r="BM353" s="16">
        <f t="shared" si="534"/>
        <v>648</v>
      </c>
      <c r="BN353" s="16">
        <v>3895</v>
      </c>
      <c r="BO353" s="16">
        <v>3566</v>
      </c>
      <c r="BP353" s="16">
        <f t="shared" si="511"/>
        <v>329</v>
      </c>
      <c r="BQ353" s="16"/>
      <c r="BS353" s="86">
        <v>2021</v>
      </c>
      <c r="BT353" s="87" t="s">
        <v>47</v>
      </c>
      <c r="BU353" s="44">
        <f t="shared" si="512"/>
        <v>0.83375104427736002</v>
      </c>
      <c r="BV353" s="44">
        <f t="shared" si="513"/>
        <v>0.89627301302200268</v>
      </c>
      <c r="BW353" s="44">
        <f t="shared" si="514"/>
        <v>0.93024227234753554</v>
      </c>
      <c r="BX353" s="16">
        <v>89</v>
      </c>
      <c r="BY353" s="16">
        <v>7</v>
      </c>
      <c r="BZ353" s="16">
        <v>2394</v>
      </c>
      <c r="CA353" s="16">
        <f t="shared" si="535"/>
        <v>167</v>
      </c>
      <c r="CB353" s="16">
        <v>2227</v>
      </c>
      <c r="CC353" s="16">
        <v>1996</v>
      </c>
      <c r="CD353" s="16">
        <f t="shared" si="515"/>
        <v>231</v>
      </c>
      <c r="CE353" s="16"/>
      <c r="CG353" s="86">
        <v>2021</v>
      </c>
      <c r="CH353" s="87" t="s">
        <v>47</v>
      </c>
      <c r="CI353" s="44">
        <f t="shared" si="516"/>
        <v>0.82570593962999028</v>
      </c>
      <c r="CJ353" s="44">
        <f t="shared" si="517"/>
        <v>0.93753454947484793</v>
      </c>
      <c r="CK353" s="44">
        <f t="shared" si="518"/>
        <v>0.88072054527750732</v>
      </c>
      <c r="CL353" s="16">
        <v>76</v>
      </c>
      <c r="CM353" s="16">
        <v>7</v>
      </c>
      <c r="CN353" s="16">
        <v>2054</v>
      </c>
      <c r="CO353" s="16">
        <f t="shared" si="536"/>
        <v>245</v>
      </c>
      <c r="CP353" s="16">
        <v>1809</v>
      </c>
      <c r="CQ353" s="16">
        <v>1696</v>
      </c>
      <c r="CR353" s="16">
        <f t="shared" si="519"/>
        <v>113</v>
      </c>
      <c r="CS353" s="16"/>
      <c r="CU353" s="86">
        <v>2021</v>
      </c>
      <c r="CV353" s="87" t="s">
        <v>47</v>
      </c>
      <c r="CW353" s="44">
        <f t="shared" si="520"/>
        <v>0.9369527145359019</v>
      </c>
      <c r="CX353" s="44">
        <f t="shared" si="521"/>
        <v>0.98165137614678899</v>
      </c>
      <c r="CY353" s="44">
        <f t="shared" si="522"/>
        <v>0.95446584938704027</v>
      </c>
      <c r="CZ353" s="16">
        <v>36</v>
      </c>
      <c r="DA353" s="16">
        <v>3</v>
      </c>
      <c r="DB353" s="16">
        <v>1142</v>
      </c>
      <c r="DC353" s="16">
        <f t="shared" si="537"/>
        <v>52</v>
      </c>
      <c r="DD353" s="16">
        <v>1090</v>
      </c>
      <c r="DE353" s="16">
        <v>1070</v>
      </c>
      <c r="DF353" s="16">
        <f t="shared" si="523"/>
        <v>20</v>
      </c>
      <c r="DG353" s="16"/>
      <c r="DI353" s="86">
        <v>2021</v>
      </c>
      <c r="DJ353" s="87" t="s">
        <v>47</v>
      </c>
      <c r="DK353" s="44">
        <f t="shared" ref="DK353:DK359" si="541">DS353/DP353</f>
        <v>0.62096774193548387</v>
      </c>
      <c r="DL353" s="44">
        <f t="shared" ref="DL353:DL359" si="542">DS353/DR353</f>
        <v>0.97222222222222221</v>
      </c>
      <c r="DM353" s="44">
        <f t="shared" ref="DM353:DM359" si="543">DR353/DP353</f>
        <v>0.6387096774193548</v>
      </c>
      <c r="DN353" s="16">
        <v>20</v>
      </c>
      <c r="DO353" s="16">
        <v>3</v>
      </c>
      <c r="DP353" s="16">
        <v>620</v>
      </c>
      <c r="DQ353" s="16">
        <f t="shared" ref="DQ353:DQ361" si="544">DP353-DR353</f>
        <v>224</v>
      </c>
      <c r="DR353" s="16">
        <v>396</v>
      </c>
      <c r="DS353" s="16">
        <v>385</v>
      </c>
      <c r="DT353" s="16">
        <f t="shared" ref="DT353:DT359" si="545">DR353-DS353</f>
        <v>11</v>
      </c>
      <c r="DU353" s="16"/>
      <c r="DW353" s="86">
        <v>2021</v>
      </c>
      <c r="DX353" s="87" t="s">
        <v>47</v>
      </c>
      <c r="DY353" s="44">
        <f t="shared" si="524"/>
        <v>0.90505548705302097</v>
      </c>
      <c r="DZ353" s="44">
        <f t="shared" si="525"/>
        <v>0.94526722472633617</v>
      </c>
      <c r="EA353" s="44">
        <f t="shared" si="526"/>
        <v>0.9574599260172626</v>
      </c>
      <c r="EB353" s="16">
        <v>42</v>
      </c>
      <c r="EC353" s="16">
        <v>3</v>
      </c>
      <c r="ED353" s="16">
        <v>1622</v>
      </c>
      <c r="EE353" s="16">
        <f t="shared" si="538"/>
        <v>69</v>
      </c>
      <c r="EF353" s="16">
        <v>1553</v>
      </c>
      <c r="EG353" s="16">
        <v>1468</v>
      </c>
      <c r="EH353" s="16">
        <f t="shared" si="527"/>
        <v>85</v>
      </c>
      <c r="EI353" s="16"/>
      <c r="EJ353" s="45"/>
      <c r="EK353" s="86">
        <v>2021</v>
      </c>
      <c r="EL353" s="87" t="s">
        <v>47</v>
      </c>
      <c r="EM353" s="44">
        <f t="shared" si="528"/>
        <v>0.83576642335766427</v>
      </c>
      <c r="EN353" s="44">
        <f t="shared" si="529"/>
        <v>0.93852459016393441</v>
      </c>
      <c r="EO353" s="44">
        <f t="shared" si="530"/>
        <v>0.89051094890510951</v>
      </c>
      <c r="EP353" s="16">
        <v>10</v>
      </c>
      <c r="EQ353" s="16">
        <v>3</v>
      </c>
      <c r="ER353" s="16">
        <v>274</v>
      </c>
      <c r="ES353" s="16">
        <f t="shared" si="539"/>
        <v>30</v>
      </c>
      <c r="ET353" s="16">
        <v>244</v>
      </c>
      <c r="EU353" s="16">
        <v>229</v>
      </c>
      <c r="EV353" s="16">
        <f t="shared" si="531"/>
        <v>15</v>
      </c>
      <c r="EW353" s="16"/>
      <c r="EY353" s="86"/>
      <c r="EZ353" s="87"/>
      <c r="FA353" s="44"/>
      <c r="FB353" s="44"/>
      <c r="FC353" s="44"/>
      <c r="FD353" s="16"/>
      <c r="FE353" s="16"/>
      <c r="FF353" s="16"/>
      <c r="FG353" s="16"/>
      <c r="FH353" s="16"/>
      <c r="FI353" s="16"/>
      <c r="FJ353" s="16"/>
      <c r="FK353" s="16"/>
      <c r="FM353" s="86"/>
      <c r="FN353" s="87"/>
      <c r="FO353" s="44"/>
      <c r="FP353" s="44"/>
      <c r="FQ353" s="44"/>
      <c r="FR353" s="16"/>
      <c r="FS353" s="16"/>
      <c r="FT353" s="16"/>
      <c r="FU353" s="16"/>
      <c r="FV353" s="16"/>
      <c r="FW353" s="16"/>
      <c r="FX353" s="16"/>
      <c r="FY353" s="16"/>
      <c r="GA353" s="86"/>
      <c r="GB353" s="87"/>
      <c r="GC353" s="44"/>
      <c r="GD353" s="44"/>
      <c r="GE353" s="44"/>
      <c r="GF353" s="16"/>
      <c r="GG353" s="16"/>
      <c r="GH353" s="16"/>
      <c r="GI353" s="16"/>
      <c r="GJ353" s="16"/>
      <c r="GK353" s="16"/>
      <c r="GL353" s="16"/>
      <c r="GM353" s="16"/>
    </row>
    <row r="354" spans="1:195" s="18" customFormat="1" ht="15" customHeight="1">
      <c r="A354" s="86">
        <v>2022</v>
      </c>
      <c r="B354" s="87" t="s">
        <v>36</v>
      </c>
      <c r="C354" s="15">
        <f t="shared" si="457"/>
        <v>0.74819988789721037</v>
      </c>
      <c r="D354" s="15">
        <f t="shared" si="458"/>
        <v>0.92727369883509669</v>
      </c>
      <c r="E354" s="15">
        <f t="shared" si="459"/>
        <v>0.80688138662527487</v>
      </c>
      <c r="F35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4"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6.3752271027038585</v>
      </c>
      <c r="H354" s="16">
        <f t="shared" si="460"/>
        <v>23193</v>
      </c>
      <c r="I354" s="16">
        <f t="shared" si="461"/>
        <v>4479</v>
      </c>
      <c r="J354" s="16">
        <f t="shared" si="540"/>
        <v>18714</v>
      </c>
      <c r="K354" s="16">
        <f t="shared" si="540"/>
        <v>17353</v>
      </c>
      <c r="L354" s="16">
        <f t="shared" si="464"/>
        <v>1361</v>
      </c>
      <c r="M354" s="16"/>
      <c r="O354" s="86">
        <v>2022</v>
      </c>
      <c r="P354" s="87" t="s">
        <v>36</v>
      </c>
      <c r="Q354" s="44">
        <f t="shared" ref="Q354:Q359" si="546">Y354/V354</f>
        <v>0.77101559528337771</v>
      </c>
      <c r="R354" s="44">
        <f t="shared" ref="R354:R359" si="547">Y354/X354</f>
        <v>0.92768878718535475</v>
      </c>
      <c r="S354" s="44">
        <f t="shared" ref="S354:S359" si="548">X354/V354</f>
        <v>0.83111449220235833</v>
      </c>
      <c r="T354" s="16">
        <v>198</v>
      </c>
      <c r="U354" s="16">
        <v>7</v>
      </c>
      <c r="V354" s="16">
        <v>5258</v>
      </c>
      <c r="W354" s="16">
        <f t="shared" si="532"/>
        <v>888</v>
      </c>
      <c r="X354" s="16">
        <v>4370</v>
      </c>
      <c r="Y354" s="16">
        <v>4054</v>
      </c>
      <c r="Z354" s="16">
        <f t="shared" ref="Z354:Z359" si="549">X354-Y354</f>
        <v>316</v>
      </c>
      <c r="AA354" s="16"/>
      <c r="AC354" s="84"/>
      <c r="AD354" s="85"/>
      <c r="AE354" s="44"/>
      <c r="AF354" s="44"/>
      <c r="AG354" s="44"/>
      <c r="AH354" s="44"/>
      <c r="AI354" s="44"/>
      <c r="AJ354" s="16"/>
      <c r="AK354" s="16"/>
      <c r="AL354" s="16"/>
      <c r="AM354" s="16"/>
      <c r="AN354" s="16"/>
      <c r="AO354" s="16"/>
      <c r="AQ354" s="86">
        <v>2022</v>
      </c>
      <c r="AR354" s="87" t="s">
        <v>36</v>
      </c>
      <c r="AS354" s="44">
        <f t="shared" ref="AS354:AS359" si="550">BA354/AX354</f>
        <v>0.76575528407989146</v>
      </c>
      <c r="AT354" s="44">
        <f t="shared" ref="AT354:AT359" si="551">BA354/AZ354</f>
        <v>0.92612570356472801</v>
      </c>
      <c r="AU354" s="44">
        <f t="shared" ref="AU354:AU359" si="552">AZ354/AX354</f>
        <v>0.82683730851270121</v>
      </c>
      <c r="AV354" s="16">
        <v>192</v>
      </c>
      <c r="AW354" s="16">
        <v>7</v>
      </c>
      <c r="AX354" s="16">
        <v>5157</v>
      </c>
      <c r="AY354" s="16">
        <f t="shared" si="533"/>
        <v>893</v>
      </c>
      <c r="AZ354" s="16">
        <v>4264</v>
      </c>
      <c r="BA354" s="16">
        <v>3949</v>
      </c>
      <c r="BB354" s="16">
        <f t="shared" ref="BB354:BB359" si="553">AZ354-BA354</f>
        <v>315</v>
      </c>
      <c r="BC354" s="16"/>
      <c r="BE354" s="86">
        <v>2022</v>
      </c>
      <c r="BF354" s="87" t="s">
        <v>36</v>
      </c>
      <c r="BG354" s="44">
        <f t="shared" ref="BG354:BG359" si="554">BO354/BL354</f>
        <v>0.69138232720909887</v>
      </c>
      <c r="BH354" s="44">
        <f t="shared" ref="BH354:BH359" si="555">BO354/BN354</f>
        <v>0.93162393162393164</v>
      </c>
      <c r="BI354" s="44">
        <f t="shared" ref="BI354:BI359" si="556">BN354/BL354</f>
        <v>0.74212598425196852</v>
      </c>
      <c r="BJ354" s="16">
        <v>164</v>
      </c>
      <c r="BK354" s="16">
        <v>7</v>
      </c>
      <c r="BL354" s="16">
        <v>4572</v>
      </c>
      <c r="BM354" s="16">
        <f t="shared" si="534"/>
        <v>1179</v>
      </c>
      <c r="BN354" s="16">
        <v>3393</v>
      </c>
      <c r="BO354" s="16">
        <v>3161</v>
      </c>
      <c r="BP354" s="16">
        <f t="shared" ref="BP354:BP359" si="557">BN354-BO354</f>
        <v>232</v>
      </c>
      <c r="BQ354" s="16"/>
      <c r="BS354" s="86">
        <v>2022</v>
      </c>
      <c r="BT354" s="87" t="s">
        <v>36</v>
      </c>
      <c r="BU354" s="44">
        <f t="shared" ref="BU354:BU359" si="558">CC354/BZ354</f>
        <v>0.81557035803497091</v>
      </c>
      <c r="BV354" s="44">
        <f t="shared" ref="BV354:BV359" si="559">CC354/CB354</f>
        <v>0.87768817204301075</v>
      </c>
      <c r="BW354" s="44">
        <f t="shared" ref="BW354:BW359" si="560">CB354/BZ354</f>
        <v>0.92922564529558704</v>
      </c>
      <c r="BX354" s="16">
        <v>89</v>
      </c>
      <c r="BY354" s="16">
        <v>7</v>
      </c>
      <c r="BZ354" s="16">
        <v>2402</v>
      </c>
      <c r="CA354" s="16">
        <f t="shared" si="535"/>
        <v>170</v>
      </c>
      <c r="CB354" s="16">
        <v>2232</v>
      </c>
      <c r="CC354" s="16">
        <v>1959</v>
      </c>
      <c r="CD354" s="16">
        <f t="shared" ref="CD354:CD359" si="561">CB354-CC354</f>
        <v>273</v>
      </c>
      <c r="CE354" s="16"/>
      <c r="CG354" s="86">
        <v>2022</v>
      </c>
      <c r="CH354" s="87" t="s">
        <v>36</v>
      </c>
      <c r="CI354" s="44">
        <f t="shared" ref="CI354:CI359" si="562">CQ354/CN354</f>
        <v>0.68761904761904757</v>
      </c>
      <c r="CJ354" s="44">
        <f t="shared" ref="CJ354:CJ359" si="563">CQ354/CP354</f>
        <v>0.94255874673629247</v>
      </c>
      <c r="CK354" s="44">
        <f t="shared" ref="CK354:CK359" si="564">CP354/CN354</f>
        <v>0.72952380952380957</v>
      </c>
      <c r="CL354" s="16">
        <v>76</v>
      </c>
      <c r="CM354" s="16">
        <v>7</v>
      </c>
      <c r="CN354" s="16">
        <v>2100</v>
      </c>
      <c r="CO354" s="16">
        <f t="shared" si="536"/>
        <v>568</v>
      </c>
      <c r="CP354" s="16">
        <v>1532</v>
      </c>
      <c r="CQ354" s="16">
        <v>1444</v>
      </c>
      <c r="CR354" s="16">
        <f t="shared" ref="CR354:CR359" si="565">CP354-CQ354</f>
        <v>88</v>
      </c>
      <c r="CS354" s="16"/>
      <c r="CU354" s="86">
        <v>2022</v>
      </c>
      <c r="CV354" s="87" t="s">
        <v>36</v>
      </c>
      <c r="CW354" s="44">
        <f t="shared" ref="CW354:CW359" si="566">DE354/DB354</f>
        <v>0.76862401402278702</v>
      </c>
      <c r="CX354" s="44">
        <f t="shared" ref="CX354:CX359" si="567">DE354/DD354</f>
        <v>0.97336293007769148</v>
      </c>
      <c r="CY354" s="44">
        <f t="shared" ref="CY354:CY359" si="568">DD354/DB354</f>
        <v>0.78965819456617004</v>
      </c>
      <c r="CZ354" s="16">
        <v>36</v>
      </c>
      <c r="DA354" s="16">
        <v>3</v>
      </c>
      <c r="DB354" s="16">
        <v>1141</v>
      </c>
      <c r="DC354" s="16">
        <f t="shared" si="537"/>
        <v>240</v>
      </c>
      <c r="DD354" s="16">
        <v>901</v>
      </c>
      <c r="DE354" s="16">
        <v>877</v>
      </c>
      <c r="DF354" s="16">
        <f t="shared" ref="DF354:DF359" si="569">DD354-DE354</f>
        <v>24</v>
      </c>
      <c r="DG354" s="16"/>
      <c r="DI354" s="86">
        <v>2022</v>
      </c>
      <c r="DJ354" s="87" t="s">
        <v>36</v>
      </c>
      <c r="DK354" s="44">
        <f t="shared" si="541"/>
        <v>0.54193548387096779</v>
      </c>
      <c r="DL354" s="44">
        <f t="shared" si="542"/>
        <v>0.97109826589595372</v>
      </c>
      <c r="DM354" s="44">
        <f t="shared" si="543"/>
        <v>0.5580645161290323</v>
      </c>
      <c r="DN354" s="16">
        <v>20</v>
      </c>
      <c r="DO354" s="16">
        <v>3</v>
      </c>
      <c r="DP354" s="16">
        <v>620</v>
      </c>
      <c r="DQ354" s="16">
        <f t="shared" si="544"/>
        <v>274</v>
      </c>
      <c r="DR354" s="16">
        <v>346</v>
      </c>
      <c r="DS354" s="16">
        <v>336</v>
      </c>
      <c r="DT354" s="16">
        <f t="shared" si="545"/>
        <v>10</v>
      </c>
      <c r="DU354" s="16"/>
      <c r="DW354" s="86">
        <v>2022</v>
      </c>
      <c r="DX354" s="87" t="s">
        <v>36</v>
      </c>
      <c r="DY354" s="44">
        <f t="shared" ref="DY354:DY359" si="570">EG354/ED354</f>
        <v>0.78934476423759947</v>
      </c>
      <c r="DZ354" s="44">
        <f t="shared" ref="DZ354:DZ359" si="571">EG354/EF354</f>
        <v>0.93813682678311494</v>
      </c>
      <c r="EA354" s="44">
        <f t="shared" ref="EA354:EA359" si="572">EF354/ED354</f>
        <v>0.84139620330679732</v>
      </c>
      <c r="EB354" s="16">
        <v>42</v>
      </c>
      <c r="EC354" s="16">
        <v>3</v>
      </c>
      <c r="ED354" s="16">
        <v>1633</v>
      </c>
      <c r="EE354" s="16">
        <f t="shared" si="538"/>
        <v>259</v>
      </c>
      <c r="EF354" s="16">
        <v>1374</v>
      </c>
      <c r="EG354" s="16">
        <v>1289</v>
      </c>
      <c r="EH354" s="16">
        <f t="shared" ref="EH354:EH359" si="573">EF354-EG354</f>
        <v>85</v>
      </c>
      <c r="EI354" s="16"/>
      <c r="EJ354" s="45"/>
      <c r="EK354" s="86">
        <v>2022</v>
      </c>
      <c r="EL354" s="87" t="s">
        <v>36</v>
      </c>
      <c r="EM354" s="44">
        <f t="shared" ref="EM354:EM359" si="574">EU354/ER354</f>
        <v>0.91612903225806452</v>
      </c>
      <c r="EN354" s="44">
        <f t="shared" ref="EN354:EN359" si="575">EU354/ET354</f>
        <v>0.94039735099337751</v>
      </c>
      <c r="EO354" s="44">
        <f t="shared" ref="EO354:EO359" si="576">ET354/ER354</f>
        <v>0.97419354838709682</v>
      </c>
      <c r="EP354" s="16">
        <v>10</v>
      </c>
      <c r="EQ354" s="16">
        <v>3</v>
      </c>
      <c r="ER354" s="16">
        <v>310</v>
      </c>
      <c r="ES354" s="16">
        <f t="shared" si="539"/>
        <v>8</v>
      </c>
      <c r="ET354" s="16">
        <v>302</v>
      </c>
      <c r="EU354" s="16">
        <v>284</v>
      </c>
      <c r="EV354" s="16">
        <f t="shared" ref="EV354:EV359" si="577">ET354-EU354</f>
        <v>18</v>
      </c>
      <c r="EW354" s="16"/>
      <c r="EY354" s="86"/>
      <c r="EZ354" s="87"/>
      <c r="FA354" s="44"/>
      <c r="FB354" s="44"/>
      <c r="FC354" s="44"/>
      <c r="FD354" s="16"/>
      <c r="FE354" s="16"/>
      <c r="FF354" s="16"/>
      <c r="FG354" s="16"/>
      <c r="FH354" s="16"/>
      <c r="FI354" s="16"/>
      <c r="FJ354" s="16"/>
      <c r="FK354" s="16"/>
      <c r="FM354" s="86"/>
      <c r="FN354" s="87"/>
      <c r="FO354" s="44"/>
      <c r="FP354" s="44"/>
      <c r="FQ354" s="44"/>
      <c r="FR354" s="16"/>
      <c r="FS354" s="16"/>
      <c r="FT354" s="16"/>
      <c r="FU354" s="16"/>
      <c r="FV354" s="16"/>
      <c r="FW354" s="16"/>
      <c r="FX354" s="16"/>
      <c r="FY354" s="16"/>
      <c r="GA354" s="86"/>
      <c r="GB354" s="87"/>
      <c r="GC354" s="44"/>
      <c r="GD354" s="44"/>
      <c r="GE354" s="44"/>
      <c r="GF354" s="16"/>
      <c r="GG354" s="16"/>
      <c r="GH354" s="16"/>
      <c r="GI354" s="16"/>
      <c r="GJ354" s="16"/>
      <c r="GK354" s="16"/>
      <c r="GL354" s="16"/>
      <c r="GM354" s="16"/>
    </row>
    <row r="355" spans="1:195" s="18" customFormat="1" ht="15" customHeight="1">
      <c r="A355" s="86">
        <v>2022</v>
      </c>
      <c r="B355" s="87" t="s">
        <v>37</v>
      </c>
      <c r="C355" s="15">
        <f t="shared" si="457"/>
        <v>0.91138698630136983</v>
      </c>
      <c r="D355" s="15">
        <f t="shared" si="458"/>
        <v>0.95963339510191814</v>
      </c>
      <c r="E355" s="15">
        <f t="shared" si="459"/>
        <v>0.94972412480974122</v>
      </c>
      <c r="F35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5"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6.389392497621075</v>
      </c>
      <c r="H355" s="16">
        <f t="shared" si="460"/>
        <v>21024</v>
      </c>
      <c r="I355" s="16">
        <f t="shared" si="461"/>
        <v>1057</v>
      </c>
      <c r="J355" s="16">
        <f t="shared" si="540"/>
        <v>19967</v>
      </c>
      <c r="K355" s="16">
        <f t="shared" si="540"/>
        <v>19161</v>
      </c>
      <c r="L355" s="16">
        <f t="shared" si="464"/>
        <v>806</v>
      </c>
      <c r="M355" s="16"/>
      <c r="O355" s="86">
        <v>2022</v>
      </c>
      <c r="P355" s="87" t="s">
        <v>37</v>
      </c>
      <c r="Q355" s="44">
        <f t="shared" si="546"/>
        <v>0.94341994970662191</v>
      </c>
      <c r="R355" s="44">
        <f t="shared" si="547"/>
        <v>0.96796387873575573</v>
      </c>
      <c r="S355" s="44">
        <f t="shared" si="548"/>
        <v>0.97464375523889357</v>
      </c>
      <c r="T355" s="16">
        <v>198</v>
      </c>
      <c r="U355" s="16">
        <v>7</v>
      </c>
      <c r="V355" s="16">
        <v>4772</v>
      </c>
      <c r="W355" s="16">
        <f t="shared" si="532"/>
        <v>121</v>
      </c>
      <c r="X355" s="16">
        <v>4651</v>
      </c>
      <c r="Y355" s="16">
        <v>4502</v>
      </c>
      <c r="Z355" s="16">
        <f t="shared" si="549"/>
        <v>149</v>
      </c>
      <c r="AA355" s="16"/>
      <c r="AC355" s="84"/>
      <c r="AD355" s="85"/>
      <c r="AE355" s="44"/>
      <c r="AF355" s="44"/>
      <c r="AG355" s="44"/>
      <c r="AH355" s="44"/>
      <c r="AI355" s="44"/>
      <c r="AJ355" s="16"/>
      <c r="AK355" s="16"/>
      <c r="AL355" s="16"/>
      <c r="AM355" s="16"/>
      <c r="AN355" s="16"/>
      <c r="AO355" s="16"/>
      <c r="AQ355" s="86">
        <v>2022</v>
      </c>
      <c r="AR355" s="87" t="s">
        <v>37</v>
      </c>
      <c r="AS355" s="44">
        <f t="shared" si="550"/>
        <v>0.92710560068405301</v>
      </c>
      <c r="AT355" s="44">
        <f t="shared" si="551"/>
        <v>0.96334962239004884</v>
      </c>
      <c r="AU355" s="44">
        <f t="shared" si="552"/>
        <v>0.96237708422402735</v>
      </c>
      <c r="AV355" s="16">
        <v>192</v>
      </c>
      <c r="AW355" s="16">
        <v>7</v>
      </c>
      <c r="AX355" s="16">
        <v>4678</v>
      </c>
      <c r="AY355" s="16">
        <f t="shared" si="533"/>
        <v>176</v>
      </c>
      <c r="AZ355" s="16">
        <v>4502</v>
      </c>
      <c r="BA355" s="16">
        <v>4337</v>
      </c>
      <c r="BB355" s="16">
        <f t="shared" si="553"/>
        <v>165</v>
      </c>
      <c r="BC355" s="16"/>
      <c r="BE355" s="86">
        <v>2022</v>
      </c>
      <c r="BF355" s="87" t="s">
        <v>37</v>
      </c>
      <c r="BG355" s="44">
        <f t="shared" si="554"/>
        <v>0.92157335907335902</v>
      </c>
      <c r="BH355" s="44">
        <f t="shared" si="555"/>
        <v>0.97324159021406731</v>
      </c>
      <c r="BI355" s="44">
        <f t="shared" si="556"/>
        <v>0.94691119691119696</v>
      </c>
      <c r="BJ355" s="16">
        <v>164</v>
      </c>
      <c r="BK355" s="16">
        <v>7</v>
      </c>
      <c r="BL355" s="16">
        <v>4144</v>
      </c>
      <c r="BM355" s="16">
        <f t="shared" si="534"/>
        <v>220</v>
      </c>
      <c r="BN355" s="16">
        <v>3924</v>
      </c>
      <c r="BO355" s="16">
        <v>3819</v>
      </c>
      <c r="BP355" s="16">
        <f t="shared" si="557"/>
        <v>105</v>
      </c>
      <c r="BQ355" s="16"/>
      <c r="BS355" s="86">
        <v>2022</v>
      </c>
      <c r="BT355" s="87" t="s">
        <v>37</v>
      </c>
      <c r="BU355" s="44">
        <f t="shared" si="558"/>
        <v>0.86134067952249771</v>
      </c>
      <c r="BV355" s="44">
        <f t="shared" si="559"/>
        <v>0.89503816793893132</v>
      </c>
      <c r="BW355" s="44">
        <f t="shared" si="560"/>
        <v>0.9623507805325987</v>
      </c>
      <c r="BX355" s="16">
        <v>89</v>
      </c>
      <c r="BY355" s="16">
        <v>7</v>
      </c>
      <c r="BZ355" s="16">
        <v>2178</v>
      </c>
      <c r="CA355" s="16">
        <f t="shared" si="535"/>
        <v>82</v>
      </c>
      <c r="CB355" s="16">
        <v>2096</v>
      </c>
      <c r="CC355" s="16">
        <v>1876</v>
      </c>
      <c r="CD355" s="16">
        <f t="shared" si="561"/>
        <v>220</v>
      </c>
      <c r="CE355" s="16"/>
      <c r="CG355" s="86">
        <v>2022</v>
      </c>
      <c r="CH355" s="87" t="s">
        <v>37</v>
      </c>
      <c r="CI355" s="44">
        <f t="shared" si="562"/>
        <v>0.88970588235294112</v>
      </c>
      <c r="CJ355" s="44">
        <f t="shared" si="563"/>
        <v>0.9702176403207331</v>
      </c>
      <c r="CK355" s="44">
        <f t="shared" si="564"/>
        <v>0.91701680672268904</v>
      </c>
      <c r="CL355" s="16">
        <v>76</v>
      </c>
      <c r="CM355" s="16">
        <v>7</v>
      </c>
      <c r="CN355" s="16">
        <v>1904</v>
      </c>
      <c r="CO355" s="16">
        <f t="shared" si="536"/>
        <v>158</v>
      </c>
      <c r="CP355" s="16">
        <v>1746</v>
      </c>
      <c r="CQ355" s="16">
        <v>1694</v>
      </c>
      <c r="CR355" s="16">
        <f t="shared" si="565"/>
        <v>52</v>
      </c>
      <c r="CS355" s="16"/>
      <c r="CU355" s="86">
        <v>2022</v>
      </c>
      <c r="CV355" s="87" t="s">
        <v>37</v>
      </c>
      <c r="CW355" s="44">
        <f t="shared" si="566"/>
        <v>0.92725509214354995</v>
      </c>
      <c r="CX355" s="44">
        <f t="shared" si="567"/>
        <v>0.9855670103092784</v>
      </c>
      <c r="CY355" s="44">
        <f t="shared" si="568"/>
        <v>0.94083414161008727</v>
      </c>
      <c r="CZ355" s="16">
        <v>36</v>
      </c>
      <c r="DA355" s="16">
        <v>3</v>
      </c>
      <c r="DB355" s="16">
        <v>1031</v>
      </c>
      <c r="DC355" s="16">
        <f t="shared" si="537"/>
        <v>61</v>
      </c>
      <c r="DD355" s="16">
        <v>970</v>
      </c>
      <c r="DE355" s="16">
        <v>956</v>
      </c>
      <c r="DF355" s="16">
        <f t="shared" si="569"/>
        <v>14</v>
      </c>
      <c r="DG355" s="16"/>
      <c r="DI355" s="86">
        <v>2022</v>
      </c>
      <c r="DJ355" s="87" t="s">
        <v>37</v>
      </c>
      <c r="DK355" s="44">
        <f t="shared" si="541"/>
        <v>0.6071428571428571</v>
      </c>
      <c r="DL355" s="44">
        <f t="shared" si="542"/>
        <v>0.97421203438395421</v>
      </c>
      <c r="DM355" s="44">
        <f t="shared" si="543"/>
        <v>0.62321428571428572</v>
      </c>
      <c r="DN355" s="16">
        <v>20</v>
      </c>
      <c r="DO355" s="16">
        <v>3</v>
      </c>
      <c r="DP355" s="16">
        <v>560</v>
      </c>
      <c r="DQ355" s="16">
        <f t="shared" si="544"/>
        <v>211</v>
      </c>
      <c r="DR355" s="16">
        <v>349</v>
      </c>
      <c r="DS355" s="16">
        <v>340</v>
      </c>
      <c r="DT355" s="16">
        <f t="shared" si="545"/>
        <v>9</v>
      </c>
      <c r="DU355" s="16"/>
      <c r="DW355" s="86">
        <v>2022</v>
      </c>
      <c r="DX355" s="87" t="s">
        <v>37</v>
      </c>
      <c r="DY355" s="44">
        <f t="shared" si="570"/>
        <v>0.92890995260663511</v>
      </c>
      <c r="DZ355" s="44">
        <f t="shared" si="571"/>
        <v>0.94230769230769229</v>
      </c>
      <c r="EA355" s="44">
        <f t="shared" si="572"/>
        <v>0.98578199052132698</v>
      </c>
      <c r="EB355" s="16">
        <v>42</v>
      </c>
      <c r="EC355" s="16">
        <v>3</v>
      </c>
      <c r="ED355" s="16">
        <v>1477</v>
      </c>
      <c r="EE355" s="16">
        <f t="shared" si="538"/>
        <v>21</v>
      </c>
      <c r="EF355" s="16">
        <v>1456</v>
      </c>
      <c r="EG355" s="16">
        <v>1372</v>
      </c>
      <c r="EH355" s="16">
        <f t="shared" si="573"/>
        <v>84</v>
      </c>
      <c r="EI355" s="16"/>
      <c r="EJ355" s="45"/>
      <c r="EK355" s="86">
        <v>2022</v>
      </c>
      <c r="EL355" s="87" t="s">
        <v>37</v>
      </c>
      <c r="EM355" s="44">
        <f t="shared" si="574"/>
        <v>0.9464285714285714</v>
      </c>
      <c r="EN355" s="44">
        <f t="shared" si="575"/>
        <v>0.97069597069597069</v>
      </c>
      <c r="EO355" s="44">
        <f t="shared" si="576"/>
        <v>0.97499999999999998</v>
      </c>
      <c r="EP355" s="16">
        <v>10</v>
      </c>
      <c r="EQ355" s="16">
        <v>3</v>
      </c>
      <c r="ER355" s="16">
        <v>280</v>
      </c>
      <c r="ES355" s="16">
        <f t="shared" si="539"/>
        <v>7</v>
      </c>
      <c r="ET355" s="16">
        <v>273</v>
      </c>
      <c r="EU355" s="16">
        <v>265</v>
      </c>
      <c r="EV355" s="16">
        <f t="shared" si="577"/>
        <v>8</v>
      </c>
      <c r="EW355" s="16"/>
      <c r="EY355" s="86"/>
      <c r="EZ355" s="87"/>
      <c r="FA355" s="44"/>
      <c r="FB355" s="44"/>
      <c r="FC355" s="44"/>
      <c r="FD355" s="16"/>
      <c r="FE355" s="16"/>
      <c r="FF355" s="16"/>
      <c r="FG355" s="16"/>
      <c r="FH355" s="16"/>
      <c r="FI355" s="16"/>
      <c r="FJ355" s="16"/>
      <c r="FK355" s="16"/>
      <c r="FM355" s="86"/>
      <c r="FN355" s="87"/>
      <c r="FO355" s="44"/>
      <c r="FP355" s="44"/>
      <c r="FQ355" s="44"/>
      <c r="FR355" s="16"/>
      <c r="FS355" s="16"/>
      <c r="FT355" s="16"/>
      <c r="FU355" s="16"/>
      <c r="FV355" s="16"/>
      <c r="FW355" s="16"/>
      <c r="FX355" s="16"/>
      <c r="FY355" s="16"/>
      <c r="GA355" s="86"/>
      <c r="GB355" s="87"/>
      <c r="GC355" s="44"/>
      <c r="GD355" s="44"/>
      <c r="GE355" s="44"/>
      <c r="GF355" s="16"/>
      <c r="GG355" s="16"/>
      <c r="GH355" s="16"/>
      <c r="GI355" s="16"/>
      <c r="GJ355" s="16"/>
      <c r="GK355" s="16"/>
      <c r="GL355" s="16"/>
      <c r="GM355" s="16"/>
    </row>
    <row r="356" spans="1:195" s="18" customFormat="1" ht="15" customHeight="1">
      <c r="A356" s="88">
        <v>2022</v>
      </c>
      <c r="B356" s="89" t="s">
        <v>38</v>
      </c>
      <c r="C356" s="15">
        <f t="shared" si="457"/>
        <v>0.90477422693750809</v>
      </c>
      <c r="D356" s="15">
        <f t="shared" si="458"/>
        <v>0.95493650143383857</v>
      </c>
      <c r="E356" s="15">
        <f t="shared" si="459"/>
        <v>0.94747056540302754</v>
      </c>
      <c r="F356"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6"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6.3865901952751605</v>
      </c>
      <c r="H356" s="16">
        <f t="shared" si="460"/>
        <v>23187</v>
      </c>
      <c r="I356" s="16">
        <f t="shared" si="461"/>
        <v>1218</v>
      </c>
      <c r="J356" s="16">
        <f t="shared" ref="J356:J364" si="578">+X356+AZ356+BN356+CP356+DD356+DR356+EF356+CB356+ET356</f>
        <v>21969</v>
      </c>
      <c r="K356" s="16">
        <f t="shared" ref="K356:K365" si="579">+Y356+BA356+BO356+CQ356+DE356+DS356+EG356+CC356+EU356</f>
        <v>20979</v>
      </c>
      <c r="L356" s="16">
        <f t="shared" si="464"/>
        <v>990</v>
      </c>
      <c r="M356" s="16"/>
      <c r="O356" s="88">
        <v>2022</v>
      </c>
      <c r="P356" s="89" t="s">
        <v>38</v>
      </c>
      <c r="Q356" s="44">
        <f t="shared" si="546"/>
        <v>0.93096234309623427</v>
      </c>
      <c r="R356" s="44">
        <f t="shared" si="547"/>
        <v>0.96739130434782605</v>
      </c>
      <c r="S356" s="44">
        <f t="shared" si="548"/>
        <v>0.96234309623430958</v>
      </c>
      <c r="T356" s="16">
        <v>198</v>
      </c>
      <c r="U356" s="16">
        <v>7</v>
      </c>
      <c r="V356" s="16">
        <v>5258</v>
      </c>
      <c r="W356" s="16">
        <f t="shared" si="532"/>
        <v>198</v>
      </c>
      <c r="X356" s="16">
        <v>5060</v>
      </c>
      <c r="Y356" s="16">
        <v>4895</v>
      </c>
      <c r="Z356" s="16">
        <f t="shared" si="549"/>
        <v>165</v>
      </c>
      <c r="AA356" s="16"/>
      <c r="AC356" s="84"/>
      <c r="AD356" s="85"/>
      <c r="AE356" s="44"/>
      <c r="AF356" s="44"/>
      <c r="AG356" s="44"/>
      <c r="AH356" s="44"/>
      <c r="AI356" s="44"/>
      <c r="AJ356" s="16"/>
      <c r="AK356" s="16"/>
      <c r="AL356" s="16"/>
      <c r="AM356" s="16"/>
      <c r="AN356" s="16"/>
      <c r="AO356" s="16"/>
      <c r="AQ356" s="88">
        <v>2022</v>
      </c>
      <c r="AR356" s="89" t="s">
        <v>38</v>
      </c>
      <c r="AS356" s="44">
        <f t="shared" si="550"/>
        <v>0.93555900621118016</v>
      </c>
      <c r="AT356" s="44">
        <f t="shared" si="551"/>
        <v>0.97060008054772451</v>
      </c>
      <c r="AU356" s="44">
        <f t="shared" si="552"/>
        <v>0.96389751552795033</v>
      </c>
      <c r="AV356" s="16">
        <v>192</v>
      </c>
      <c r="AW356" s="16">
        <v>7</v>
      </c>
      <c r="AX356" s="16">
        <v>5152</v>
      </c>
      <c r="AY356" s="16">
        <f t="shared" si="533"/>
        <v>186</v>
      </c>
      <c r="AZ356" s="16">
        <v>4966</v>
      </c>
      <c r="BA356" s="16">
        <v>4820</v>
      </c>
      <c r="BB356" s="16">
        <f t="shared" si="553"/>
        <v>146</v>
      </c>
      <c r="BC356" s="16"/>
      <c r="BE356" s="88">
        <v>2022</v>
      </c>
      <c r="BF356" s="89" t="s">
        <v>38</v>
      </c>
      <c r="BG356" s="44">
        <f t="shared" si="554"/>
        <v>0.90660542432195979</v>
      </c>
      <c r="BH356" s="44">
        <f t="shared" si="555"/>
        <v>0.96462648359320458</v>
      </c>
      <c r="BI356" s="44">
        <f t="shared" si="556"/>
        <v>0.93985126859142609</v>
      </c>
      <c r="BJ356" s="16">
        <v>164</v>
      </c>
      <c r="BK356" s="16">
        <v>7</v>
      </c>
      <c r="BL356" s="16">
        <v>4572</v>
      </c>
      <c r="BM356" s="16">
        <f t="shared" si="534"/>
        <v>275</v>
      </c>
      <c r="BN356" s="16">
        <v>4297</v>
      </c>
      <c r="BO356" s="16">
        <v>4145</v>
      </c>
      <c r="BP356" s="16">
        <f t="shared" si="557"/>
        <v>152</v>
      </c>
      <c r="BQ356" s="16"/>
      <c r="BS356" s="88">
        <v>2022</v>
      </c>
      <c r="BT356" s="89" t="s">
        <v>38</v>
      </c>
      <c r="BU356" s="44">
        <f t="shared" si="558"/>
        <v>0.83381924198250734</v>
      </c>
      <c r="BV356" s="44">
        <f t="shared" si="559"/>
        <v>0.87119234116623145</v>
      </c>
      <c r="BW356" s="44">
        <f t="shared" si="560"/>
        <v>0.9571012078300708</v>
      </c>
      <c r="BX356" s="16">
        <v>89</v>
      </c>
      <c r="BY356" s="16">
        <v>7</v>
      </c>
      <c r="BZ356" s="16">
        <v>2401</v>
      </c>
      <c r="CA356" s="16">
        <f t="shared" si="535"/>
        <v>103</v>
      </c>
      <c r="CB356" s="16">
        <v>2298</v>
      </c>
      <c r="CC356" s="16">
        <v>2002</v>
      </c>
      <c r="CD356" s="16">
        <f t="shared" si="561"/>
        <v>296</v>
      </c>
      <c r="CE356" s="16"/>
      <c r="CG356" s="88">
        <v>2022</v>
      </c>
      <c r="CH356" s="89" t="s">
        <v>38</v>
      </c>
      <c r="CI356" s="44">
        <f t="shared" si="562"/>
        <v>0.89476190476190476</v>
      </c>
      <c r="CJ356" s="44">
        <f t="shared" si="563"/>
        <v>0.94946942900454778</v>
      </c>
      <c r="CK356" s="44">
        <f t="shared" si="564"/>
        <v>0.94238095238095243</v>
      </c>
      <c r="CL356" s="16">
        <v>76</v>
      </c>
      <c r="CM356" s="16">
        <v>7</v>
      </c>
      <c r="CN356" s="16">
        <v>2100</v>
      </c>
      <c r="CO356" s="16">
        <f t="shared" si="536"/>
        <v>121</v>
      </c>
      <c r="CP356" s="16">
        <v>1979</v>
      </c>
      <c r="CQ356" s="16">
        <v>1879</v>
      </c>
      <c r="CR356" s="16">
        <f t="shared" si="565"/>
        <v>100</v>
      </c>
      <c r="CS356" s="16"/>
      <c r="CU356" s="88">
        <v>2022</v>
      </c>
      <c r="CV356" s="89" t="s">
        <v>38</v>
      </c>
      <c r="CW356" s="44">
        <f t="shared" si="566"/>
        <v>0.95617879053461874</v>
      </c>
      <c r="CX356" s="44">
        <f t="shared" si="567"/>
        <v>0.98199819981998204</v>
      </c>
      <c r="CY356" s="44">
        <f t="shared" si="568"/>
        <v>0.9737072743207712</v>
      </c>
      <c r="CZ356" s="16">
        <v>36</v>
      </c>
      <c r="DA356" s="16">
        <v>3</v>
      </c>
      <c r="DB356" s="16">
        <v>1141</v>
      </c>
      <c r="DC356" s="16">
        <f t="shared" si="537"/>
        <v>30</v>
      </c>
      <c r="DD356" s="16">
        <v>1111</v>
      </c>
      <c r="DE356" s="16">
        <v>1091</v>
      </c>
      <c r="DF356" s="16">
        <f t="shared" si="569"/>
        <v>20</v>
      </c>
      <c r="DG356" s="16"/>
      <c r="DI356" s="88">
        <v>2022</v>
      </c>
      <c r="DJ356" s="89" t="s">
        <v>38</v>
      </c>
      <c r="DK356" s="44">
        <f t="shared" si="541"/>
        <v>0.60967741935483866</v>
      </c>
      <c r="DL356" s="44">
        <f t="shared" si="542"/>
        <v>0.97674418604651159</v>
      </c>
      <c r="DM356" s="44">
        <f t="shared" si="543"/>
        <v>0.62419354838709673</v>
      </c>
      <c r="DN356" s="16">
        <v>20</v>
      </c>
      <c r="DO356" s="16">
        <v>3</v>
      </c>
      <c r="DP356" s="16">
        <v>620</v>
      </c>
      <c r="DQ356" s="16">
        <f t="shared" si="544"/>
        <v>233</v>
      </c>
      <c r="DR356" s="16">
        <v>387</v>
      </c>
      <c r="DS356" s="16">
        <v>378</v>
      </c>
      <c r="DT356" s="16">
        <f t="shared" si="545"/>
        <v>9</v>
      </c>
      <c r="DU356" s="16"/>
      <c r="DW356" s="88">
        <v>2022</v>
      </c>
      <c r="DX356" s="89" t="s">
        <v>38</v>
      </c>
      <c r="DY356" s="44">
        <f t="shared" si="570"/>
        <v>0.90385793018983462</v>
      </c>
      <c r="DZ356" s="44">
        <f t="shared" si="571"/>
        <v>0.94072657743785848</v>
      </c>
      <c r="EA356" s="44">
        <f t="shared" si="572"/>
        <v>0.96080832823025109</v>
      </c>
      <c r="EB356" s="16">
        <v>42</v>
      </c>
      <c r="EC356" s="16">
        <v>3</v>
      </c>
      <c r="ED356" s="16">
        <v>1633</v>
      </c>
      <c r="EE356" s="16">
        <f t="shared" si="538"/>
        <v>64</v>
      </c>
      <c r="EF356" s="16">
        <v>1569</v>
      </c>
      <c r="EG356" s="16">
        <v>1476</v>
      </c>
      <c r="EH356" s="16">
        <f t="shared" si="573"/>
        <v>93</v>
      </c>
      <c r="EI356" s="16"/>
      <c r="EJ356" s="45"/>
      <c r="EK356" s="88">
        <v>2022</v>
      </c>
      <c r="EL356" s="89" t="s">
        <v>38</v>
      </c>
      <c r="EM356" s="44">
        <f t="shared" si="574"/>
        <v>0.94516129032258067</v>
      </c>
      <c r="EN356" s="44">
        <f t="shared" si="575"/>
        <v>0.9701986754966887</v>
      </c>
      <c r="EO356" s="44">
        <f t="shared" si="576"/>
        <v>0.97419354838709682</v>
      </c>
      <c r="EP356" s="16">
        <v>10</v>
      </c>
      <c r="EQ356" s="16">
        <v>3</v>
      </c>
      <c r="ER356" s="16">
        <v>310</v>
      </c>
      <c r="ES356" s="16">
        <f t="shared" si="539"/>
        <v>8</v>
      </c>
      <c r="ET356" s="16">
        <v>302</v>
      </c>
      <c r="EU356" s="16">
        <v>293</v>
      </c>
      <c r="EV356" s="16">
        <f t="shared" si="577"/>
        <v>9</v>
      </c>
      <c r="EW356" s="16"/>
      <c r="EY356" s="88"/>
      <c r="EZ356" s="89"/>
      <c r="FA356" s="44"/>
      <c r="FB356" s="44"/>
      <c r="FC356" s="44"/>
      <c r="FD356" s="16"/>
      <c r="FE356" s="16"/>
      <c r="FF356" s="16"/>
      <c r="FG356" s="16"/>
      <c r="FH356" s="16"/>
      <c r="FI356" s="16"/>
      <c r="FJ356" s="16"/>
      <c r="FK356" s="16"/>
      <c r="FM356" s="88"/>
      <c r="FN356" s="89"/>
      <c r="FO356" s="44"/>
      <c r="FP356" s="44"/>
      <c r="FQ356" s="44"/>
      <c r="FR356" s="16"/>
      <c r="FS356" s="16"/>
      <c r="FT356" s="16"/>
      <c r="FU356" s="16"/>
      <c r="FV356" s="16"/>
      <c r="FW356" s="16"/>
      <c r="FX356" s="16"/>
      <c r="FY356" s="16"/>
      <c r="GA356" s="88"/>
      <c r="GB356" s="89"/>
      <c r="GC356" s="44"/>
      <c r="GD356" s="44"/>
      <c r="GE356" s="44"/>
      <c r="GF356" s="16"/>
      <c r="GG356" s="16"/>
      <c r="GH356" s="16"/>
      <c r="GI356" s="16"/>
      <c r="GJ356" s="16"/>
      <c r="GK356" s="16"/>
      <c r="GL356" s="16"/>
      <c r="GM356" s="16"/>
    </row>
    <row r="357" spans="1:195" s="18" customFormat="1" ht="15" customHeight="1">
      <c r="A357" s="86">
        <v>2022</v>
      </c>
      <c r="B357" s="87" t="s">
        <v>39</v>
      </c>
      <c r="C357" s="15">
        <f t="shared" si="457"/>
        <v>0.86769480519480524</v>
      </c>
      <c r="D357" s="15">
        <f t="shared" si="458"/>
        <v>0.92318764093460637</v>
      </c>
      <c r="E357" s="15">
        <f t="shared" si="459"/>
        <v>0.93988997113997119</v>
      </c>
      <c r="F357"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7"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6.3983591613491342</v>
      </c>
      <c r="H357" s="16">
        <f t="shared" si="460"/>
        <v>22176</v>
      </c>
      <c r="I357" s="16">
        <f t="shared" si="461"/>
        <v>1333</v>
      </c>
      <c r="J357" s="16">
        <f t="shared" si="578"/>
        <v>20843</v>
      </c>
      <c r="K357" s="16">
        <f t="shared" si="579"/>
        <v>19242</v>
      </c>
      <c r="L357" s="16">
        <f t="shared" si="464"/>
        <v>1601</v>
      </c>
      <c r="M357" s="16"/>
      <c r="O357" s="86">
        <v>2022</v>
      </c>
      <c r="P357" s="87" t="s">
        <v>39</v>
      </c>
      <c r="Q357" s="44">
        <f t="shared" si="546"/>
        <v>0.88904438224710114</v>
      </c>
      <c r="R357" s="44">
        <f t="shared" si="547"/>
        <v>0.92261410788381748</v>
      </c>
      <c r="S357" s="44">
        <f t="shared" si="548"/>
        <v>0.96361455417832864</v>
      </c>
      <c r="T357" s="16">
        <v>198</v>
      </c>
      <c r="U357" s="16">
        <v>7</v>
      </c>
      <c r="V357" s="16">
        <v>5002</v>
      </c>
      <c r="W357" s="16">
        <f t="shared" ref="W357:W365" si="580">V357-X357</f>
        <v>182</v>
      </c>
      <c r="X357" s="16">
        <v>4820</v>
      </c>
      <c r="Y357" s="16">
        <v>4447</v>
      </c>
      <c r="Z357" s="16">
        <f t="shared" si="549"/>
        <v>373</v>
      </c>
      <c r="AA357" s="16"/>
      <c r="AC357" s="84"/>
      <c r="AD357" s="85"/>
      <c r="AE357" s="44"/>
      <c r="AF357" s="44"/>
      <c r="AG357" s="44"/>
      <c r="AH357" s="44"/>
      <c r="AI357" s="44"/>
      <c r="AJ357" s="16"/>
      <c r="AK357" s="16"/>
      <c r="AL357" s="16"/>
      <c r="AM357" s="16"/>
      <c r="AN357" s="16"/>
      <c r="AO357" s="16"/>
      <c r="AQ357" s="86">
        <v>2022</v>
      </c>
      <c r="AR357" s="87" t="s">
        <v>39</v>
      </c>
      <c r="AS357" s="44">
        <f t="shared" si="550"/>
        <v>0.91381418092909539</v>
      </c>
      <c r="AT357" s="44">
        <f t="shared" si="551"/>
        <v>0.93554443053817271</v>
      </c>
      <c r="AU357" s="44">
        <f t="shared" si="552"/>
        <v>0.97677261613691935</v>
      </c>
      <c r="AV357" s="16">
        <v>192</v>
      </c>
      <c r="AW357" s="16">
        <v>7</v>
      </c>
      <c r="AX357" s="16">
        <v>4908</v>
      </c>
      <c r="AY357" s="16">
        <f t="shared" ref="AY357:AY365" si="581">AX357-AZ357</f>
        <v>114</v>
      </c>
      <c r="AZ357" s="16">
        <v>4794</v>
      </c>
      <c r="BA357" s="16">
        <v>4485</v>
      </c>
      <c r="BB357" s="16">
        <f t="shared" si="553"/>
        <v>309</v>
      </c>
      <c r="BC357" s="16"/>
      <c r="BE357" s="86">
        <v>2022</v>
      </c>
      <c r="BF357" s="87" t="s">
        <v>39</v>
      </c>
      <c r="BG357" s="44">
        <f t="shared" si="554"/>
        <v>0.84953334850899154</v>
      </c>
      <c r="BH357" s="44">
        <f t="shared" si="555"/>
        <v>0.9304412864622289</v>
      </c>
      <c r="BI357" s="44">
        <f t="shared" si="556"/>
        <v>0.91304347826086951</v>
      </c>
      <c r="BJ357" s="16">
        <v>164</v>
      </c>
      <c r="BK357" s="16">
        <v>7</v>
      </c>
      <c r="BL357" s="16">
        <v>4393</v>
      </c>
      <c r="BM357" s="16">
        <f t="shared" ref="BM357:BM365" si="582">BL357-BN357</f>
        <v>382</v>
      </c>
      <c r="BN357" s="16">
        <v>4011</v>
      </c>
      <c r="BO357" s="16">
        <v>3732</v>
      </c>
      <c r="BP357" s="16">
        <f t="shared" si="557"/>
        <v>279</v>
      </c>
      <c r="BQ357" s="16"/>
      <c r="BS357" s="86">
        <v>2022</v>
      </c>
      <c r="BT357" s="87" t="s">
        <v>39</v>
      </c>
      <c r="BU357" s="44">
        <f t="shared" si="558"/>
        <v>0.82977797126686981</v>
      </c>
      <c r="BV357" s="44">
        <f t="shared" si="559"/>
        <v>0.8527964205816555</v>
      </c>
      <c r="BW357" s="44">
        <f t="shared" si="560"/>
        <v>0.9730082716586852</v>
      </c>
      <c r="BX357" s="16">
        <v>89</v>
      </c>
      <c r="BY357" s="16">
        <v>7</v>
      </c>
      <c r="BZ357" s="16">
        <v>2297</v>
      </c>
      <c r="CA357" s="16">
        <f t="shared" ref="CA357:CA365" si="583">BZ357-CB357</f>
        <v>62</v>
      </c>
      <c r="CB357" s="16">
        <v>2235</v>
      </c>
      <c r="CC357" s="16">
        <v>1906</v>
      </c>
      <c r="CD357" s="16">
        <f t="shared" si="561"/>
        <v>329</v>
      </c>
      <c r="CE357" s="16"/>
      <c r="CG357" s="86">
        <v>2022</v>
      </c>
      <c r="CH357" s="87" t="s">
        <v>39</v>
      </c>
      <c r="CI357" s="44">
        <f t="shared" si="562"/>
        <v>0.84105630293971101</v>
      </c>
      <c r="CJ357" s="44">
        <f t="shared" si="563"/>
        <v>0.91341991341991347</v>
      </c>
      <c r="CK357" s="44">
        <f t="shared" si="564"/>
        <v>0.9207772795216741</v>
      </c>
      <c r="CL357" s="16">
        <v>76</v>
      </c>
      <c r="CM357" s="16">
        <v>7</v>
      </c>
      <c r="CN357" s="16">
        <v>2007</v>
      </c>
      <c r="CO357" s="16">
        <f t="shared" ref="CO357:CO365" si="584">CN357-CP357</f>
        <v>159</v>
      </c>
      <c r="CP357" s="16">
        <v>1848</v>
      </c>
      <c r="CQ357" s="16">
        <v>1688</v>
      </c>
      <c r="CR357" s="16">
        <f t="shared" si="565"/>
        <v>160</v>
      </c>
      <c r="CS357" s="16"/>
      <c r="CU357" s="86">
        <v>2022</v>
      </c>
      <c r="CV357" s="87" t="s">
        <v>39</v>
      </c>
      <c r="CW357" s="44">
        <f t="shared" si="566"/>
        <v>0.89945652173913049</v>
      </c>
      <c r="CX357" s="44">
        <f t="shared" si="567"/>
        <v>0.98316831683168315</v>
      </c>
      <c r="CY357" s="44">
        <f t="shared" si="568"/>
        <v>0.91485507246376807</v>
      </c>
      <c r="CZ357" s="16">
        <v>36</v>
      </c>
      <c r="DA357" s="16">
        <v>3</v>
      </c>
      <c r="DB357" s="16">
        <v>1104</v>
      </c>
      <c r="DC357" s="16">
        <f t="shared" ref="DC357:DC365" si="585">DB357-DD357</f>
        <v>94</v>
      </c>
      <c r="DD357" s="16">
        <v>1010</v>
      </c>
      <c r="DE357" s="16">
        <v>993</v>
      </c>
      <c r="DF357" s="16">
        <f t="shared" si="569"/>
        <v>17</v>
      </c>
      <c r="DG357" s="16"/>
      <c r="DI357" s="86">
        <v>2022</v>
      </c>
      <c r="DJ357" s="87" t="s">
        <v>39</v>
      </c>
      <c r="DK357" s="44">
        <f t="shared" si="541"/>
        <v>0.67</v>
      </c>
      <c r="DL357" s="44">
        <f t="shared" si="542"/>
        <v>0.97810218978102192</v>
      </c>
      <c r="DM357" s="44">
        <f t="shared" si="543"/>
        <v>0.68500000000000005</v>
      </c>
      <c r="DN357" s="16">
        <v>20</v>
      </c>
      <c r="DO357" s="16">
        <v>3</v>
      </c>
      <c r="DP357" s="16">
        <v>600</v>
      </c>
      <c r="DQ357" s="16">
        <f t="shared" si="544"/>
        <v>189</v>
      </c>
      <c r="DR357" s="16">
        <v>411</v>
      </c>
      <c r="DS357" s="16">
        <v>402</v>
      </c>
      <c r="DT357" s="16">
        <f t="shared" si="545"/>
        <v>9</v>
      </c>
      <c r="DU357" s="16"/>
      <c r="DW357" s="86">
        <v>2022</v>
      </c>
      <c r="DX357" s="87" t="s">
        <v>39</v>
      </c>
      <c r="DY357" s="44">
        <f t="shared" si="570"/>
        <v>0.83769968051118215</v>
      </c>
      <c r="DZ357" s="44">
        <f t="shared" si="571"/>
        <v>0.92454160789844853</v>
      </c>
      <c r="EA357" s="44">
        <f t="shared" si="572"/>
        <v>0.90607028753993613</v>
      </c>
      <c r="EB357" s="16">
        <v>42</v>
      </c>
      <c r="EC357" s="16">
        <v>3</v>
      </c>
      <c r="ED357" s="16">
        <v>1565</v>
      </c>
      <c r="EE357" s="16">
        <f t="shared" ref="EE357:EE365" si="586">ED357-EF357</f>
        <v>147</v>
      </c>
      <c r="EF357" s="16">
        <v>1418</v>
      </c>
      <c r="EG357" s="16">
        <v>1311</v>
      </c>
      <c r="EH357" s="16">
        <f t="shared" si="573"/>
        <v>107</v>
      </c>
      <c r="EI357" s="16"/>
      <c r="EJ357" s="45"/>
      <c r="EK357" s="86">
        <v>2022</v>
      </c>
      <c r="EL357" s="87" t="s">
        <v>39</v>
      </c>
      <c r="EM357" s="44">
        <f t="shared" si="574"/>
        <v>0.92666666666666664</v>
      </c>
      <c r="EN357" s="44">
        <f t="shared" si="575"/>
        <v>0.93918918918918914</v>
      </c>
      <c r="EO357" s="44">
        <f t="shared" si="576"/>
        <v>0.98666666666666669</v>
      </c>
      <c r="EP357" s="16">
        <v>10</v>
      </c>
      <c r="EQ357" s="16">
        <v>3</v>
      </c>
      <c r="ER357" s="16">
        <v>300</v>
      </c>
      <c r="ES357" s="16">
        <f t="shared" ref="ES357:ES365" si="587">ER357-ET357</f>
        <v>4</v>
      </c>
      <c r="ET357" s="16">
        <v>296</v>
      </c>
      <c r="EU357" s="16">
        <v>278</v>
      </c>
      <c r="EV357" s="16">
        <f t="shared" si="577"/>
        <v>18</v>
      </c>
      <c r="EW357" s="16"/>
      <c r="EY357" s="86"/>
      <c r="EZ357" s="87"/>
      <c r="FA357" s="44"/>
      <c r="FB357" s="44"/>
      <c r="FC357" s="44"/>
      <c r="FD357" s="16"/>
      <c r="FE357" s="16"/>
      <c r="FF357" s="16"/>
      <c r="FG357" s="16"/>
      <c r="FH357" s="16"/>
      <c r="FI357" s="16"/>
      <c r="FJ357" s="16"/>
      <c r="FK357" s="16"/>
      <c r="FM357" s="86"/>
      <c r="FN357" s="87"/>
      <c r="FO357" s="44"/>
      <c r="FP357" s="44"/>
      <c r="FQ357" s="44"/>
      <c r="FR357" s="16"/>
      <c r="FS357" s="16"/>
      <c r="FT357" s="16"/>
      <c r="FU357" s="16"/>
      <c r="FV357" s="16"/>
      <c r="FW357" s="16"/>
      <c r="FX357" s="16"/>
      <c r="FY357" s="16"/>
      <c r="GA357" s="86"/>
      <c r="GB357" s="87"/>
      <c r="GC357" s="44"/>
      <c r="GD357" s="44"/>
      <c r="GE357" s="44"/>
      <c r="GF357" s="16"/>
      <c r="GG357" s="16"/>
      <c r="GH357" s="16"/>
      <c r="GI357" s="16"/>
      <c r="GJ357" s="16"/>
      <c r="GK357" s="16"/>
      <c r="GL357" s="16"/>
      <c r="GM357" s="16"/>
    </row>
    <row r="358" spans="1:195" s="18" customFormat="1" ht="15" customHeight="1">
      <c r="A358" s="86">
        <v>2022</v>
      </c>
      <c r="B358" s="87" t="s">
        <v>40</v>
      </c>
      <c r="C358" s="15">
        <f t="shared" si="457"/>
        <v>0.79586472752759774</v>
      </c>
      <c r="D358" s="15">
        <f t="shared" si="458"/>
        <v>0.85428128085766686</v>
      </c>
      <c r="E358" s="15">
        <f t="shared" si="459"/>
        <v>0.93161906430699137</v>
      </c>
      <c r="F358"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8"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6.3907932477547371</v>
      </c>
      <c r="H358" s="16">
        <f t="shared" si="460"/>
        <v>22828</v>
      </c>
      <c r="I358" s="16">
        <f t="shared" si="461"/>
        <v>1561</v>
      </c>
      <c r="J358" s="16">
        <f t="shared" si="578"/>
        <v>21267</v>
      </c>
      <c r="K358" s="16">
        <f t="shared" si="579"/>
        <v>18168</v>
      </c>
      <c r="L358" s="16">
        <f t="shared" si="464"/>
        <v>3099</v>
      </c>
      <c r="M358" s="16"/>
      <c r="O358" s="86">
        <v>2022</v>
      </c>
      <c r="P358" s="87" t="s">
        <v>40</v>
      </c>
      <c r="Q358" s="44">
        <f t="shared" si="546"/>
        <v>0.85375801126432316</v>
      </c>
      <c r="R358" s="44">
        <f t="shared" si="547"/>
        <v>0.88344051446945338</v>
      </c>
      <c r="S358" s="44">
        <f t="shared" si="548"/>
        <v>0.96640124295979801</v>
      </c>
      <c r="T358" s="16">
        <v>198</v>
      </c>
      <c r="U358" s="16">
        <v>7</v>
      </c>
      <c r="V358" s="16">
        <v>5149</v>
      </c>
      <c r="W358" s="16">
        <f t="shared" si="580"/>
        <v>173</v>
      </c>
      <c r="X358" s="16">
        <v>4976</v>
      </c>
      <c r="Y358" s="16">
        <v>4396</v>
      </c>
      <c r="Z358" s="16">
        <f t="shared" si="549"/>
        <v>580</v>
      </c>
      <c r="AA358" s="16"/>
      <c r="AC358" s="84"/>
      <c r="AD358" s="85"/>
      <c r="AE358" s="44"/>
      <c r="AF358" s="44"/>
      <c r="AG358" s="44"/>
      <c r="AH358" s="44"/>
      <c r="AI358" s="44"/>
      <c r="AJ358" s="16"/>
      <c r="AK358" s="16"/>
      <c r="AL358" s="16"/>
      <c r="AM358" s="16"/>
      <c r="AN358" s="16"/>
      <c r="AO358" s="16"/>
      <c r="AQ358" s="86">
        <v>2022</v>
      </c>
      <c r="AR358" s="87" t="s">
        <v>40</v>
      </c>
      <c r="AS358" s="44">
        <f t="shared" si="550"/>
        <v>0.83818577936224992</v>
      </c>
      <c r="AT358" s="44">
        <f t="shared" si="551"/>
        <v>0.85806974858069751</v>
      </c>
      <c r="AU358" s="44">
        <f t="shared" si="552"/>
        <v>0.97682709447415328</v>
      </c>
      <c r="AV358" s="16">
        <v>192</v>
      </c>
      <c r="AW358" s="16">
        <v>7</v>
      </c>
      <c r="AX358" s="16">
        <v>5049</v>
      </c>
      <c r="AY358" s="16">
        <f t="shared" si="581"/>
        <v>117</v>
      </c>
      <c r="AZ358" s="16">
        <v>4932</v>
      </c>
      <c r="BA358" s="16">
        <v>4232</v>
      </c>
      <c r="BB358" s="16">
        <f t="shared" si="553"/>
        <v>700</v>
      </c>
      <c r="BC358" s="16"/>
      <c r="BE358" s="86">
        <v>2022</v>
      </c>
      <c r="BF358" s="87" t="s">
        <v>40</v>
      </c>
      <c r="BG358" s="44">
        <f t="shared" si="554"/>
        <v>0.79088293870325288</v>
      </c>
      <c r="BH358" s="44">
        <f t="shared" si="555"/>
        <v>0.90298130368873164</v>
      </c>
      <c r="BI358" s="44">
        <f t="shared" si="556"/>
        <v>0.87585749059526441</v>
      </c>
      <c r="BJ358" s="16">
        <v>164</v>
      </c>
      <c r="BK358" s="16">
        <v>7</v>
      </c>
      <c r="BL358" s="16">
        <v>4519</v>
      </c>
      <c r="BM358" s="16">
        <f t="shared" si="582"/>
        <v>561</v>
      </c>
      <c r="BN358" s="16">
        <v>3958</v>
      </c>
      <c r="BO358" s="16">
        <v>3574</v>
      </c>
      <c r="BP358" s="16">
        <f t="shared" si="557"/>
        <v>384</v>
      </c>
      <c r="BQ358" s="16"/>
      <c r="BS358" s="86">
        <v>2022</v>
      </c>
      <c r="BT358" s="87" t="s">
        <v>40</v>
      </c>
      <c r="BU358" s="44">
        <f t="shared" si="558"/>
        <v>0.61785865425306818</v>
      </c>
      <c r="BV358" s="44">
        <f t="shared" si="559"/>
        <v>0.64204045734388737</v>
      </c>
      <c r="BW358" s="44">
        <f t="shared" si="560"/>
        <v>0.96233601354210752</v>
      </c>
      <c r="BX358" s="16">
        <v>89</v>
      </c>
      <c r="BY358" s="16">
        <v>7</v>
      </c>
      <c r="BZ358" s="16">
        <v>2363</v>
      </c>
      <c r="CA358" s="16">
        <f t="shared" si="583"/>
        <v>89</v>
      </c>
      <c r="CB358" s="16">
        <v>2274</v>
      </c>
      <c r="CC358" s="16">
        <v>1460</v>
      </c>
      <c r="CD358" s="16">
        <f t="shared" si="561"/>
        <v>814</v>
      </c>
      <c r="CE358" s="16"/>
      <c r="CG358" s="86">
        <v>2022</v>
      </c>
      <c r="CH358" s="87" t="s">
        <v>40</v>
      </c>
      <c r="CI358" s="44">
        <f t="shared" si="562"/>
        <v>0.73791102514506768</v>
      </c>
      <c r="CJ358" s="44">
        <f t="shared" si="563"/>
        <v>0.80826271186440679</v>
      </c>
      <c r="CK358" s="44">
        <f t="shared" si="564"/>
        <v>0.91295938104448737</v>
      </c>
      <c r="CL358" s="16">
        <v>76</v>
      </c>
      <c r="CM358" s="16">
        <v>7</v>
      </c>
      <c r="CN358" s="16">
        <v>2068</v>
      </c>
      <c r="CO358" s="16">
        <f t="shared" si="584"/>
        <v>180</v>
      </c>
      <c r="CP358" s="16">
        <v>1888</v>
      </c>
      <c r="CQ358" s="16">
        <v>1526</v>
      </c>
      <c r="CR358" s="16">
        <f t="shared" si="565"/>
        <v>362</v>
      </c>
      <c r="CS358" s="16"/>
      <c r="CU358" s="86">
        <v>2022</v>
      </c>
      <c r="CV358" s="87" t="s">
        <v>40</v>
      </c>
      <c r="CW358" s="44">
        <f t="shared" si="566"/>
        <v>0.90614035087719302</v>
      </c>
      <c r="CX358" s="44">
        <f t="shared" si="567"/>
        <v>0.97544853635505191</v>
      </c>
      <c r="CY358" s="44">
        <f t="shared" si="568"/>
        <v>0.92894736842105263</v>
      </c>
      <c r="CZ358" s="16">
        <v>36</v>
      </c>
      <c r="DA358" s="16">
        <v>3</v>
      </c>
      <c r="DB358" s="16">
        <v>1140</v>
      </c>
      <c r="DC358" s="16">
        <f t="shared" si="585"/>
        <v>81</v>
      </c>
      <c r="DD358" s="16">
        <v>1059</v>
      </c>
      <c r="DE358" s="16">
        <v>1033</v>
      </c>
      <c r="DF358" s="16">
        <f t="shared" si="569"/>
        <v>26</v>
      </c>
      <c r="DG358" s="16"/>
      <c r="DI358" s="86">
        <v>2022</v>
      </c>
      <c r="DJ358" s="87" t="s">
        <v>40</v>
      </c>
      <c r="DK358" s="44">
        <f t="shared" si="541"/>
        <v>0.64516129032258063</v>
      </c>
      <c r="DL358" s="44">
        <f t="shared" si="542"/>
        <v>0.96153846153846156</v>
      </c>
      <c r="DM358" s="44">
        <f t="shared" si="543"/>
        <v>0.67096774193548392</v>
      </c>
      <c r="DN358" s="16">
        <v>20</v>
      </c>
      <c r="DO358" s="16">
        <v>3</v>
      </c>
      <c r="DP358" s="16">
        <v>620</v>
      </c>
      <c r="DQ358" s="16">
        <f t="shared" si="544"/>
        <v>204</v>
      </c>
      <c r="DR358" s="16">
        <v>416</v>
      </c>
      <c r="DS358" s="16">
        <v>400</v>
      </c>
      <c r="DT358" s="16">
        <f t="shared" si="545"/>
        <v>16</v>
      </c>
      <c r="DU358" s="16"/>
      <c r="DW358" s="86">
        <v>2022</v>
      </c>
      <c r="DX358" s="87" t="s">
        <v>40</v>
      </c>
      <c r="DY358" s="44">
        <f t="shared" si="570"/>
        <v>0.80160692212608153</v>
      </c>
      <c r="DZ358" s="44">
        <f t="shared" si="571"/>
        <v>0.88592896174863389</v>
      </c>
      <c r="EA358" s="44">
        <f t="shared" si="572"/>
        <v>0.90482076637824471</v>
      </c>
      <c r="EB358" s="16">
        <v>42</v>
      </c>
      <c r="EC358" s="16">
        <v>3</v>
      </c>
      <c r="ED358" s="16">
        <v>1618</v>
      </c>
      <c r="EE358" s="16">
        <f t="shared" si="586"/>
        <v>154</v>
      </c>
      <c r="EF358" s="16">
        <v>1464</v>
      </c>
      <c r="EG358" s="16">
        <v>1297</v>
      </c>
      <c r="EH358" s="16">
        <f t="shared" si="573"/>
        <v>167</v>
      </c>
      <c r="EI358" s="16"/>
      <c r="EJ358" s="45"/>
      <c r="EK358" s="86">
        <v>2022</v>
      </c>
      <c r="EL358" s="87" t="s">
        <v>40</v>
      </c>
      <c r="EM358" s="44">
        <f t="shared" si="574"/>
        <v>0.82781456953642385</v>
      </c>
      <c r="EN358" s="44">
        <f t="shared" si="575"/>
        <v>0.83333333333333337</v>
      </c>
      <c r="EO358" s="44">
        <f t="shared" si="576"/>
        <v>0.99337748344370858</v>
      </c>
      <c r="EP358" s="16">
        <v>10</v>
      </c>
      <c r="EQ358" s="16">
        <v>3</v>
      </c>
      <c r="ER358" s="16">
        <v>302</v>
      </c>
      <c r="ES358" s="16">
        <f t="shared" si="587"/>
        <v>2</v>
      </c>
      <c r="ET358" s="16">
        <v>300</v>
      </c>
      <c r="EU358" s="16">
        <v>250</v>
      </c>
      <c r="EV358" s="16">
        <f t="shared" si="577"/>
        <v>50</v>
      </c>
      <c r="EW358" s="16"/>
      <c r="EY358" s="86"/>
      <c r="EZ358" s="87"/>
      <c r="FA358" s="44"/>
      <c r="FB358" s="44"/>
      <c r="FC358" s="44"/>
      <c r="FD358" s="16"/>
      <c r="FE358" s="16"/>
      <c r="FF358" s="16"/>
      <c r="FG358" s="16"/>
      <c r="FH358" s="16"/>
      <c r="FI358" s="16"/>
      <c r="FJ358" s="16"/>
      <c r="FK358" s="16"/>
      <c r="FM358" s="86"/>
      <c r="FN358" s="87"/>
      <c r="FO358" s="44"/>
      <c r="FP358" s="44"/>
      <c r="FQ358" s="44"/>
      <c r="FR358" s="16"/>
      <c r="FS358" s="16"/>
      <c r="FT358" s="16"/>
      <c r="FU358" s="16"/>
      <c r="FV358" s="16"/>
      <c r="FW358" s="16"/>
      <c r="FX358" s="16"/>
      <c r="FY358" s="16"/>
      <c r="GA358" s="86"/>
      <c r="GB358" s="87"/>
      <c r="GC358" s="44"/>
      <c r="GD358" s="44"/>
      <c r="GE358" s="44"/>
      <c r="GF358" s="16"/>
      <c r="GG358" s="16"/>
      <c r="GH358" s="16"/>
      <c r="GI358" s="16"/>
      <c r="GJ358" s="16"/>
      <c r="GK358" s="16"/>
      <c r="GL358" s="16"/>
      <c r="GM358" s="16"/>
    </row>
    <row r="359" spans="1:195" s="18" customFormat="1" ht="15" customHeight="1">
      <c r="A359" s="86">
        <v>2022</v>
      </c>
      <c r="B359" s="87" t="s">
        <v>41</v>
      </c>
      <c r="C359" s="15">
        <f t="shared" si="457"/>
        <v>0.6365300473256541</v>
      </c>
      <c r="D359" s="15">
        <f t="shared" si="458"/>
        <v>0.71438592974896031</v>
      </c>
      <c r="E359" s="15">
        <f t="shared" si="459"/>
        <v>0.89101705509420481</v>
      </c>
      <c r="F359"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9"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6.3708473217417447</v>
      </c>
      <c r="H359" s="16">
        <f t="shared" si="460"/>
        <v>22398</v>
      </c>
      <c r="I359" s="16">
        <f t="shared" si="461"/>
        <v>2441</v>
      </c>
      <c r="J359" s="16">
        <f t="shared" si="578"/>
        <v>19957</v>
      </c>
      <c r="K359" s="16">
        <f t="shared" si="579"/>
        <v>14257</v>
      </c>
      <c r="L359" s="16">
        <f t="shared" si="464"/>
        <v>5700</v>
      </c>
      <c r="M359" s="19" t="s">
        <v>105</v>
      </c>
      <c r="O359" s="86">
        <v>2022</v>
      </c>
      <c r="P359" s="87" t="s">
        <v>41</v>
      </c>
      <c r="Q359" s="44">
        <f t="shared" si="546"/>
        <v>0.66581280788177344</v>
      </c>
      <c r="R359" s="44">
        <f t="shared" si="547"/>
        <v>0.72838973916792416</v>
      </c>
      <c r="S359" s="44">
        <f t="shared" si="548"/>
        <v>0.9140886699507389</v>
      </c>
      <c r="T359" s="16">
        <v>198</v>
      </c>
      <c r="U359" s="16">
        <v>7</v>
      </c>
      <c r="V359" s="16">
        <v>5075</v>
      </c>
      <c r="W359" s="16">
        <f t="shared" si="580"/>
        <v>436</v>
      </c>
      <c r="X359" s="16">
        <v>4639</v>
      </c>
      <c r="Y359" s="16">
        <v>3379</v>
      </c>
      <c r="Z359" s="16">
        <f t="shared" si="549"/>
        <v>1260</v>
      </c>
      <c r="AA359" s="16"/>
      <c r="AC359" s="84"/>
      <c r="AD359" s="85"/>
      <c r="AE359" s="44"/>
      <c r="AF359" s="44"/>
      <c r="AG359" s="44"/>
      <c r="AH359" s="44"/>
      <c r="AI359" s="44"/>
      <c r="AJ359" s="16"/>
      <c r="AK359" s="16"/>
      <c r="AL359" s="16"/>
      <c r="AM359" s="16"/>
      <c r="AN359" s="16"/>
      <c r="AO359" s="16"/>
      <c r="AQ359" s="86">
        <v>2022</v>
      </c>
      <c r="AR359" s="87" t="s">
        <v>41</v>
      </c>
      <c r="AS359" s="44">
        <f t="shared" si="550"/>
        <v>0.62683860568204719</v>
      </c>
      <c r="AT359" s="44">
        <f t="shared" si="551"/>
        <v>0.67366825465569513</v>
      </c>
      <c r="AU359" s="44">
        <f t="shared" si="552"/>
        <v>0.93048559339109405</v>
      </c>
      <c r="AV359" s="16">
        <v>192</v>
      </c>
      <c r="AW359" s="16">
        <v>7</v>
      </c>
      <c r="AX359" s="16">
        <v>4963</v>
      </c>
      <c r="AY359" s="16">
        <f t="shared" si="581"/>
        <v>345</v>
      </c>
      <c r="AZ359" s="16">
        <v>4618</v>
      </c>
      <c r="BA359" s="16">
        <v>3111</v>
      </c>
      <c r="BB359" s="16">
        <f t="shared" si="553"/>
        <v>1507</v>
      </c>
      <c r="BC359" s="16"/>
      <c r="BE359" s="86">
        <v>2022</v>
      </c>
      <c r="BF359" s="87" t="s">
        <v>41</v>
      </c>
      <c r="BG359" s="44">
        <f t="shared" si="554"/>
        <v>0.61124915292523152</v>
      </c>
      <c r="BH359" s="44">
        <f t="shared" si="555"/>
        <v>0.7391423108440317</v>
      </c>
      <c r="BI359" s="44">
        <f t="shared" si="556"/>
        <v>0.82697086062796477</v>
      </c>
      <c r="BJ359" s="16">
        <v>164</v>
      </c>
      <c r="BK359" s="16">
        <v>7</v>
      </c>
      <c r="BL359" s="16">
        <v>4427</v>
      </c>
      <c r="BM359" s="16">
        <f t="shared" si="582"/>
        <v>766</v>
      </c>
      <c r="BN359" s="16">
        <v>3661</v>
      </c>
      <c r="BO359" s="16">
        <v>2706</v>
      </c>
      <c r="BP359" s="16">
        <f t="shared" si="557"/>
        <v>955</v>
      </c>
      <c r="BQ359" s="16"/>
      <c r="BS359" s="86">
        <v>2022</v>
      </c>
      <c r="BT359" s="87" t="s">
        <v>41</v>
      </c>
      <c r="BU359" s="44">
        <f t="shared" si="558"/>
        <v>0.46738197424892702</v>
      </c>
      <c r="BV359" s="44">
        <f t="shared" si="559"/>
        <v>0.50346740638002774</v>
      </c>
      <c r="BW359" s="44">
        <f t="shared" si="560"/>
        <v>0.92832618025751068</v>
      </c>
      <c r="BX359" s="16">
        <v>89</v>
      </c>
      <c r="BY359" s="16">
        <v>7</v>
      </c>
      <c r="BZ359" s="16">
        <v>2330</v>
      </c>
      <c r="CA359" s="16">
        <f t="shared" si="583"/>
        <v>167</v>
      </c>
      <c r="CB359" s="16">
        <v>2163</v>
      </c>
      <c r="CC359" s="16">
        <v>1089</v>
      </c>
      <c r="CD359" s="16">
        <f t="shared" si="561"/>
        <v>1074</v>
      </c>
      <c r="CE359" s="16"/>
      <c r="CG359" s="86">
        <v>2022</v>
      </c>
      <c r="CH359" s="87" t="s">
        <v>41</v>
      </c>
      <c r="CI359" s="44">
        <f t="shared" si="562"/>
        <v>0.55610479485912012</v>
      </c>
      <c r="CJ359" s="44">
        <f t="shared" si="563"/>
        <v>0.64766839378238339</v>
      </c>
      <c r="CK359" s="44">
        <f t="shared" si="564"/>
        <v>0.8586258032624815</v>
      </c>
      <c r="CL359" s="16">
        <v>76</v>
      </c>
      <c r="CM359" s="16">
        <v>7</v>
      </c>
      <c r="CN359" s="16">
        <v>2023</v>
      </c>
      <c r="CO359" s="16">
        <f t="shared" si="584"/>
        <v>286</v>
      </c>
      <c r="CP359" s="16">
        <v>1737</v>
      </c>
      <c r="CQ359" s="16">
        <v>1125</v>
      </c>
      <c r="CR359" s="16">
        <f t="shared" si="565"/>
        <v>612</v>
      </c>
      <c r="CS359" s="16"/>
      <c r="CU359" s="86">
        <v>2022</v>
      </c>
      <c r="CV359" s="87" t="s">
        <v>41</v>
      </c>
      <c r="CW359" s="44">
        <f t="shared" si="566"/>
        <v>0.90126811594202894</v>
      </c>
      <c r="CX359" s="44">
        <f t="shared" si="567"/>
        <v>0.98514851485148514</v>
      </c>
      <c r="CY359" s="44">
        <f t="shared" si="568"/>
        <v>0.91485507246376807</v>
      </c>
      <c r="CZ359" s="16">
        <v>36</v>
      </c>
      <c r="DA359" s="16">
        <v>3</v>
      </c>
      <c r="DB359" s="16">
        <v>1104</v>
      </c>
      <c r="DC359" s="16">
        <f t="shared" si="585"/>
        <v>94</v>
      </c>
      <c r="DD359" s="16">
        <v>1010</v>
      </c>
      <c r="DE359" s="16">
        <v>995</v>
      </c>
      <c r="DF359" s="16">
        <f t="shared" si="569"/>
        <v>15</v>
      </c>
      <c r="DG359" s="16"/>
      <c r="DI359" s="86">
        <v>2022</v>
      </c>
      <c r="DJ359" s="87" t="s">
        <v>41</v>
      </c>
      <c r="DK359" s="44">
        <f t="shared" si="541"/>
        <v>0.65</v>
      </c>
      <c r="DL359" s="44">
        <f t="shared" si="542"/>
        <v>0.98484848484848486</v>
      </c>
      <c r="DM359" s="44">
        <f t="shared" si="543"/>
        <v>0.66</v>
      </c>
      <c r="DN359" s="16">
        <v>20</v>
      </c>
      <c r="DO359" s="16">
        <v>3</v>
      </c>
      <c r="DP359" s="16">
        <v>600</v>
      </c>
      <c r="DQ359" s="16">
        <f t="shared" si="544"/>
        <v>204</v>
      </c>
      <c r="DR359" s="16">
        <v>396</v>
      </c>
      <c r="DS359" s="16">
        <v>390</v>
      </c>
      <c r="DT359" s="16">
        <f t="shared" si="545"/>
        <v>6</v>
      </c>
      <c r="DU359" s="16"/>
      <c r="DW359" s="86">
        <v>2022</v>
      </c>
      <c r="DX359" s="87" t="s">
        <v>41</v>
      </c>
      <c r="DY359" s="44">
        <f t="shared" si="570"/>
        <v>0.76903553299492389</v>
      </c>
      <c r="DZ359" s="44">
        <f t="shared" si="571"/>
        <v>0.83759502418797516</v>
      </c>
      <c r="EA359" s="44">
        <f t="shared" si="572"/>
        <v>0.91814720812182737</v>
      </c>
      <c r="EB359" s="16">
        <v>42</v>
      </c>
      <c r="EC359" s="16">
        <v>3</v>
      </c>
      <c r="ED359" s="16">
        <v>1576</v>
      </c>
      <c r="EE359" s="16">
        <f t="shared" si="586"/>
        <v>129</v>
      </c>
      <c r="EF359" s="16">
        <v>1447</v>
      </c>
      <c r="EG359" s="16">
        <v>1212</v>
      </c>
      <c r="EH359" s="16">
        <f t="shared" si="573"/>
        <v>235</v>
      </c>
      <c r="EI359" s="16"/>
      <c r="EJ359" s="45"/>
      <c r="EK359" s="86">
        <v>2022</v>
      </c>
      <c r="EL359" s="87" t="s">
        <v>41</v>
      </c>
      <c r="EM359" s="44">
        <f t="shared" si="574"/>
        <v>0.83333333333333337</v>
      </c>
      <c r="EN359" s="44">
        <f t="shared" si="575"/>
        <v>0.87412587412587417</v>
      </c>
      <c r="EO359" s="44">
        <f t="shared" si="576"/>
        <v>0.95333333333333337</v>
      </c>
      <c r="EP359" s="16">
        <v>10</v>
      </c>
      <c r="EQ359" s="16">
        <v>3</v>
      </c>
      <c r="ER359" s="16">
        <v>300</v>
      </c>
      <c r="ES359" s="16">
        <f t="shared" si="587"/>
        <v>14</v>
      </c>
      <c r="ET359" s="16">
        <v>286</v>
      </c>
      <c r="EU359" s="16">
        <v>250</v>
      </c>
      <c r="EV359" s="16">
        <f t="shared" si="577"/>
        <v>36</v>
      </c>
      <c r="EW359" s="16"/>
      <c r="EY359" s="86"/>
      <c r="EZ359" s="87"/>
      <c r="FA359" s="44"/>
      <c r="FB359" s="44"/>
      <c r="FC359" s="44"/>
      <c r="FD359" s="16"/>
      <c r="FE359" s="16"/>
      <c r="FF359" s="16"/>
      <c r="FG359" s="16"/>
      <c r="FH359" s="16"/>
      <c r="FI359" s="16"/>
      <c r="FJ359" s="16"/>
      <c r="FK359" s="16"/>
      <c r="FM359" s="86"/>
      <c r="FN359" s="87"/>
      <c r="FO359" s="44"/>
      <c r="FP359" s="44"/>
      <c r="FQ359" s="44"/>
      <c r="FR359" s="16"/>
      <c r="FS359" s="16"/>
      <c r="FT359" s="16"/>
      <c r="FU359" s="16"/>
      <c r="FV359" s="16"/>
      <c r="FW359" s="16"/>
      <c r="FX359" s="16"/>
      <c r="FY359" s="16"/>
      <c r="GA359" s="86"/>
      <c r="GB359" s="87"/>
      <c r="GC359" s="44"/>
      <c r="GD359" s="44"/>
      <c r="GE359" s="44"/>
      <c r="GF359" s="16"/>
      <c r="GG359" s="16"/>
      <c r="GH359" s="16"/>
      <c r="GI359" s="16"/>
      <c r="GJ359" s="16"/>
      <c r="GK359" s="16"/>
      <c r="GL359" s="16"/>
      <c r="GM359" s="16"/>
    </row>
    <row r="360" spans="1:195" s="18" customFormat="1" ht="15" customHeight="1">
      <c r="A360" s="18">
        <v>2022</v>
      </c>
      <c r="B360" s="21" t="s">
        <v>42</v>
      </c>
      <c r="C360" s="15">
        <f t="shared" si="457"/>
        <v>0.63733436253698705</v>
      </c>
      <c r="D360" s="15">
        <f t="shared" si="458"/>
        <v>0.7094033412887828</v>
      </c>
      <c r="E360" s="15">
        <f t="shared" si="459"/>
        <v>0.89840902268536382</v>
      </c>
      <c r="F360"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0"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6.3575178997613362</v>
      </c>
      <c r="H360" s="16">
        <f t="shared" si="460"/>
        <v>23319</v>
      </c>
      <c r="I360" s="16">
        <f t="shared" si="461"/>
        <v>2369</v>
      </c>
      <c r="J360" s="16">
        <f t="shared" si="578"/>
        <v>20950</v>
      </c>
      <c r="K360" s="16">
        <f t="shared" si="579"/>
        <v>14862</v>
      </c>
      <c r="L360" s="16">
        <f t="shared" si="464"/>
        <v>6088</v>
      </c>
      <c r="M360" s="16"/>
      <c r="O360" s="18">
        <v>2022</v>
      </c>
      <c r="P360" s="21" t="s">
        <v>42</v>
      </c>
      <c r="Q360" s="44">
        <f t="shared" ref="Q360:Q365" si="588">Y360/V360</f>
        <v>0.67962264150943397</v>
      </c>
      <c r="R360" s="44">
        <f t="shared" ref="R360:R365" si="589">Y360/X360</f>
        <v>0.73766127380708579</v>
      </c>
      <c r="S360" s="44">
        <f t="shared" ref="S360:S365" si="590">X360/V360</f>
        <v>0.92132075471698116</v>
      </c>
      <c r="T360" s="16">
        <v>198</v>
      </c>
      <c r="U360" s="16">
        <v>7</v>
      </c>
      <c r="V360" s="16">
        <v>5300</v>
      </c>
      <c r="W360" s="16">
        <f t="shared" si="580"/>
        <v>417</v>
      </c>
      <c r="X360" s="16">
        <v>4883</v>
      </c>
      <c r="Y360" s="16">
        <v>3602</v>
      </c>
      <c r="Z360" s="16">
        <f t="shared" ref="Z360:Z365" si="591">X360-Y360</f>
        <v>1281</v>
      </c>
      <c r="AA360" s="16"/>
      <c r="AC360" s="84"/>
      <c r="AD360" s="85"/>
      <c r="AE360" s="44"/>
      <c r="AF360" s="44"/>
      <c r="AG360" s="44"/>
      <c r="AH360" s="44"/>
      <c r="AI360" s="44"/>
      <c r="AJ360" s="16"/>
      <c r="AK360" s="16"/>
      <c r="AL360" s="16"/>
      <c r="AM360" s="16"/>
      <c r="AN360" s="16"/>
      <c r="AO360" s="16"/>
      <c r="AQ360" s="18">
        <v>2022</v>
      </c>
      <c r="AR360" s="21" t="s">
        <v>42</v>
      </c>
      <c r="AS360" s="44">
        <f t="shared" ref="AS360:AS365" si="592">BA360/AX360</f>
        <v>0.65165281268122943</v>
      </c>
      <c r="AT360" s="44">
        <f t="shared" ref="AT360:AT365" si="593">BA360/AZ360</f>
        <v>0.69663153544120682</v>
      </c>
      <c r="AU360" s="44">
        <f t="shared" ref="AU360:AU365" si="594">AZ360/AX360</f>
        <v>0.93543398414846313</v>
      </c>
      <c r="AV360" s="16">
        <v>192</v>
      </c>
      <c r="AW360" s="16">
        <v>7</v>
      </c>
      <c r="AX360" s="16">
        <v>5173</v>
      </c>
      <c r="AY360" s="16">
        <f t="shared" si="581"/>
        <v>334</v>
      </c>
      <c r="AZ360" s="16">
        <v>4839</v>
      </c>
      <c r="BA360" s="16">
        <v>3371</v>
      </c>
      <c r="BB360" s="16">
        <f t="shared" ref="BB360:BB365" si="595">AZ360-BA360</f>
        <v>1468</v>
      </c>
      <c r="BC360" s="16"/>
      <c r="BE360" s="18">
        <v>2022</v>
      </c>
      <c r="BF360" s="21" t="s">
        <v>42</v>
      </c>
      <c r="BG360" s="44">
        <f t="shared" ref="BG360:BG365" si="596">BO360/BL360</f>
        <v>0.62678803641092329</v>
      </c>
      <c r="BH360" s="44">
        <f t="shared" ref="BH360:BH365" si="597">BO360/BN360</f>
        <v>0.74825355756791723</v>
      </c>
      <c r="BI360" s="44">
        <f t="shared" ref="BI360:BI365" si="598">BN360/BL360</f>
        <v>0.8376679670567837</v>
      </c>
      <c r="BJ360" s="16">
        <v>164</v>
      </c>
      <c r="BK360" s="16">
        <v>7</v>
      </c>
      <c r="BL360" s="16">
        <v>4614</v>
      </c>
      <c r="BM360" s="16">
        <f t="shared" si="582"/>
        <v>749</v>
      </c>
      <c r="BN360" s="16">
        <v>3865</v>
      </c>
      <c r="BO360" s="16">
        <v>2892</v>
      </c>
      <c r="BP360" s="16">
        <f t="shared" ref="BP360:BP365" si="599">BN360-BO360</f>
        <v>973</v>
      </c>
      <c r="BQ360" s="16"/>
      <c r="BS360" s="18">
        <v>2022</v>
      </c>
      <c r="BT360" s="21" t="s">
        <v>42</v>
      </c>
      <c r="BU360" s="44">
        <f t="shared" ref="BU360:BU365" si="600">CC360/BZ360</f>
        <v>0.39541547277936961</v>
      </c>
      <c r="BV360" s="44">
        <f t="shared" ref="BV360:BV365" si="601">CC360/CB360</f>
        <v>0.41423670668953688</v>
      </c>
      <c r="BW360" s="44">
        <f t="shared" ref="BW360:BW365" si="602">CB360/BZ360</f>
        <v>0.95456406058125254</v>
      </c>
      <c r="BX360" s="16">
        <v>89</v>
      </c>
      <c r="BY360" s="16">
        <v>7</v>
      </c>
      <c r="BZ360" s="16">
        <v>2443</v>
      </c>
      <c r="CA360" s="16">
        <f t="shared" si="583"/>
        <v>111</v>
      </c>
      <c r="CB360" s="16">
        <v>2332</v>
      </c>
      <c r="CC360" s="16">
        <v>966</v>
      </c>
      <c r="CD360" s="16">
        <f t="shared" ref="CD360:CD365" si="603">CB360-CC360</f>
        <v>1366</v>
      </c>
      <c r="CE360" s="16"/>
      <c r="CG360" s="18">
        <v>2022</v>
      </c>
      <c r="CH360" s="21" t="s">
        <v>42</v>
      </c>
      <c r="CI360" s="44">
        <f t="shared" ref="CI360:CI365" si="604">CQ360/CN360</f>
        <v>0.48857142857142855</v>
      </c>
      <c r="CJ360" s="44">
        <f t="shared" ref="CJ360:CJ365" si="605">CQ360/CP360</f>
        <v>0.61584633853541415</v>
      </c>
      <c r="CK360" s="44">
        <f t="shared" ref="CK360:CK365" si="606">CP360/CN360</f>
        <v>0.79333333333333333</v>
      </c>
      <c r="CL360" s="16">
        <v>76</v>
      </c>
      <c r="CM360" s="16">
        <v>7</v>
      </c>
      <c r="CN360" s="16">
        <v>2100</v>
      </c>
      <c r="CO360" s="16">
        <f t="shared" si="584"/>
        <v>434</v>
      </c>
      <c r="CP360" s="16">
        <v>1666</v>
      </c>
      <c r="CQ360" s="16">
        <v>1026</v>
      </c>
      <c r="CR360" s="16">
        <f t="shared" ref="CR360:CR365" si="607">CP360-CQ360</f>
        <v>640</v>
      </c>
      <c r="CS360" s="16"/>
      <c r="CU360" s="18">
        <v>2022</v>
      </c>
      <c r="CV360" s="21" t="s">
        <v>42</v>
      </c>
      <c r="CW360" s="44">
        <f t="shared" ref="CW360:CW365" si="608">DE360/DB360</f>
        <v>0.92813321647677471</v>
      </c>
      <c r="CX360" s="44">
        <f t="shared" ref="CX360:CX365" si="609">DE360/DD360</f>
        <v>0.97693726937269376</v>
      </c>
      <c r="CY360" s="44">
        <f t="shared" ref="CY360:CY365" si="610">DD360/DB360</f>
        <v>0.9500438212094654</v>
      </c>
      <c r="CZ360" s="16">
        <v>36</v>
      </c>
      <c r="DA360" s="16">
        <v>3</v>
      </c>
      <c r="DB360" s="16">
        <v>1141</v>
      </c>
      <c r="DC360" s="16">
        <f t="shared" si="585"/>
        <v>57</v>
      </c>
      <c r="DD360" s="16">
        <v>1084</v>
      </c>
      <c r="DE360" s="16">
        <v>1059</v>
      </c>
      <c r="DF360" s="16">
        <f t="shared" ref="DF360:DF365" si="611">DD360-DE360</f>
        <v>25</v>
      </c>
      <c r="DG360" s="16"/>
      <c r="DI360" s="18">
        <v>2022</v>
      </c>
      <c r="DJ360" s="21" t="s">
        <v>42</v>
      </c>
      <c r="DK360" s="44">
        <f t="shared" ref="DK360:DK365" si="612">DS360/DP360</f>
        <v>0.66447368421052633</v>
      </c>
      <c r="DL360" s="44">
        <f t="shared" ref="DL360:DL365" si="613">DS360/DR360</f>
        <v>0.97349397590361442</v>
      </c>
      <c r="DM360" s="44">
        <f t="shared" ref="DM360:DM365" si="614">DR360/DP360</f>
        <v>0.68256578947368418</v>
      </c>
      <c r="DN360" s="16">
        <v>20</v>
      </c>
      <c r="DO360" s="16">
        <v>3</v>
      </c>
      <c r="DP360" s="16">
        <v>608</v>
      </c>
      <c r="DQ360" s="16">
        <f t="shared" si="544"/>
        <v>193</v>
      </c>
      <c r="DR360" s="16">
        <v>415</v>
      </c>
      <c r="DS360" s="16">
        <v>404</v>
      </c>
      <c r="DT360" s="16">
        <f t="shared" ref="DT360:DT365" si="615">DR360-DS360</f>
        <v>11</v>
      </c>
      <c r="DU360" s="16"/>
      <c r="DW360" s="18">
        <v>2022</v>
      </c>
      <c r="DX360" s="21" t="s">
        <v>42</v>
      </c>
      <c r="DY360" s="44">
        <f t="shared" ref="DY360:DY365" si="616">EG360/ED360</f>
        <v>0.77668711656441713</v>
      </c>
      <c r="DZ360" s="44">
        <f t="shared" ref="DZ360:DZ365" si="617">EG360/EF360</f>
        <v>0.81362467866323906</v>
      </c>
      <c r="EA360" s="44">
        <f t="shared" ref="EA360:EA365" si="618">EF360/ED360</f>
        <v>0.95460122699386507</v>
      </c>
      <c r="EB360" s="16">
        <v>42</v>
      </c>
      <c r="EC360" s="16">
        <v>3</v>
      </c>
      <c r="ED360" s="16">
        <v>1630</v>
      </c>
      <c r="EE360" s="16">
        <f t="shared" si="586"/>
        <v>74</v>
      </c>
      <c r="EF360" s="16">
        <v>1556</v>
      </c>
      <c r="EG360" s="16">
        <v>1266</v>
      </c>
      <c r="EH360" s="16">
        <f t="shared" ref="EH360:EH365" si="619">EF360-EG360</f>
        <v>290</v>
      </c>
      <c r="EI360" s="16"/>
      <c r="EJ360" s="45"/>
      <c r="EK360" s="18">
        <v>2022</v>
      </c>
      <c r="EL360" s="21" t="s">
        <v>42</v>
      </c>
      <c r="EM360" s="44">
        <f t="shared" ref="EM360:EM365" si="620">EU360/ER360</f>
        <v>0.89032258064516134</v>
      </c>
      <c r="EN360" s="44">
        <f t="shared" ref="EN360:EN365" si="621">EU360/ET360</f>
        <v>0.89032258064516134</v>
      </c>
      <c r="EO360" s="44">
        <f t="shared" ref="EO360:EO365" si="622">ET360/ER360</f>
        <v>1</v>
      </c>
      <c r="EP360" s="16">
        <v>10</v>
      </c>
      <c r="EQ360" s="16">
        <v>3</v>
      </c>
      <c r="ER360" s="16">
        <v>310</v>
      </c>
      <c r="ES360" s="16">
        <f t="shared" si="587"/>
        <v>0</v>
      </c>
      <c r="ET360" s="16">
        <v>310</v>
      </c>
      <c r="EU360" s="16">
        <v>276</v>
      </c>
      <c r="EV360" s="16">
        <f t="shared" ref="EV360:EV365" si="623">ET360-EU360</f>
        <v>34</v>
      </c>
      <c r="EW360" s="16"/>
      <c r="EZ360" s="21"/>
      <c r="FA360" s="44"/>
      <c r="FB360" s="44"/>
      <c r="FC360" s="44"/>
      <c r="FD360" s="16"/>
      <c r="FE360" s="16"/>
      <c r="FF360" s="16"/>
      <c r="FG360" s="16"/>
      <c r="FH360" s="16"/>
      <c r="FI360" s="16"/>
      <c r="FJ360" s="16"/>
      <c r="FK360" s="16"/>
      <c r="FN360" s="21"/>
      <c r="FO360" s="44"/>
      <c r="FP360" s="44"/>
      <c r="FQ360" s="44"/>
      <c r="FR360" s="16"/>
      <c r="FS360" s="16"/>
      <c r="FT360" s="16"/>
      <c r="FU360" s="16"/>
      <c r="FV360" s="16"/>
      <c r="FW360" s="16"/>
      <c r="FX360" s="16"/>
      <c r="FY360" s="16"/>
      <c r="GB360" s="21"/>
      <c r="GC360" s="44"/>
      <c r="GD360" s="44"/>
      <c r="GE360" s="44"/>
      <c r="GF360" s="16"/>
      <c r="GG360" s="16"/>
      <c r="GH360" s="16"/>
      <c r="GI360" s="16"/>
      <c r="GJ360" s="16"/>
      <c r="GK360" s="16"/>
      <c r="GL360" s="16"/>
      <c r="GM360" s="16"/>
    </row>
    <row r="361" spans="1:195" s="18" customFormat="1" ht="15" customHeight="1">
      <c r="A361" s="18">
        <v>2022</v>
      </c>
      <c r="B361" s="21" t="s">
        <v>43</v>
      </c>
      <c r="C361" s="15">
        <f t="shared" si="457"/>
        <v>0.60531688643130588</v>
      </c>
      <c r="D361" s="15">
        <f t="shared" si="458"/>
        <v>0.71775861199374591</v>
      </c>
      <c r="E361" s="15">
        <f t="shared" si="459"/>
        <v>0.84334325818800515</v>
      </c>
      <c r="F361"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1"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6.394562969687799</v>
      </c>
      <c r="H361" s="16">
        <f t="shared" si="460"/>
        <v>23510</v>
      </c>
      <c r="I361" s="16">
        <f t="shared" si="461"/>
        <v>3683</v>
      </c>
      <c r="J361" s="16">
        <f t="shared" si="578"/>
        <v>19827</v>
      </c>
      <c r="K361" s="16">
        <f t="shared" si="579"/>
        <v>14231</v>
      </c>
      <c r="L361" s="16">
        <f t="shared" si="464"/>
        <v>5596</v>
      </c>
      <c r="M361" s="16"/>
      <c r="O361" s="18">
        <v>2022</v>
      </c>
      <c r="P361" s="21" t="s">
        <v>43</v>
      </c>
      <c r="Q361" s="44">
        <f t="shared" si="588"/>
        <v>0.70739371534195938</v>
      </c>
      <c r="R361" s="44">
        <f t="shared" si="589"/>
        <v>0.79928989139515461</v>
      </c>
      <c r="S361" s="44">
        <f t="shared" si="590"/>
        <v>0.88502772643253236</v>
      </c>
      <c r="T361" s="16">
        <v>198</v>
      </c>
      <c r="U361" s="16">
        <v>7</v>
      </c>
      <c r="V361" s="16">
        <v>5410</v>
      </c>
      <c r="W361" s="16">
        <f t="shared" si="580"/>
        <v>622</v>
      </c>
      <c r="X361" s="16">
        <v>4788</v>
      </c>
      <c r="Y361" s="16">
        <v>3827</v>
      </c>
      <c r="Z361" s="16">
        <f t="shared" si="591"/>
        <v>961</v>
      </c>
      <c r="AA361" s="16"/>
      <c r="AC361" s="84"/>
      <c r="AD361" s="85"/>
      <c r="AE361" s="44"/>
      <c r="AF361" s="44"/>
      <c r="AG361" s="44"/>
      <c r="AH361" s="44"/>
      <c r="AI361" s="44"/>
      <c r="AJ361" s="16"/>
      <c r="AK361" s="16"/>
      <c r="AL361" s="16"/>
      <c r="AM361" s="16"/>
      <c r="AN361" s="16"/>
      <c r="AO361" s="16"/>
      <c r="AQ361" s="18">
        <v>2022</v>
      </c>
      <c r="AR361" s="21" t="s">
        <v>43</v>
      </c>
      <c r="AS361" s="44">
        <f t="shared" si="592"/>
        <v>0.6808873720136519</v>
      </c>
      <c r="AT361" s="44">
        <f t="shared" si="593"/>
        <v>0.75967844298709541</v>
      </c>
      <c r="AU361" s="44">
        <f t="shared" si="594"/>
        <v>0.89628365566932122</v>
      </c>
      <c r="AV361" s="16">
        <v>192</v>
      </c>
      <c r="AW361" s="16">
        <v>7</v>
      </c>
      <c r="AX361" s="16">
        <v>5274</v>
      </c>
      <c r="AY361" s="16">
        <f t="shared" si="581"/>
        <v>547</v>
      </c>
      <c r="AZ361" s="16">
        <v>4727</v>
      </c>
      <c r="BA361" s="16">
        <v>3591</v>
      </c>
      <c r="BB361" s="16">
        <f t="shared" si="595"/>
        <v>1136</v>
      </c>
      <c r="BC361" s="16"/>
      <c r="BE361" s="18">
        <v>2022</v>
      </c>
      <c r="BF361" s="21" t="s">
        <v>43</v>
      </c>
      <c r="BG361" s="44">
        <f t="shared" si="596"/>
        <v>0.54038997214484674</v>
      </c>
      <c r="BH361" s="44">
        <f t="shared" si="597"/>
        <v>0.73721134171294944</v>
      </c>
      <c r="BI361" s="44">
        <f t="shared" si="598"/>
        <v>0.73301907006642386</v>
      </c>
      <c r="BJ361" s="16">
        <v>164</v>
      </c>
      <c r="BK361" s="16">
        <v>7</v>
      </c>
      <c r="BL361" s="16">
        <v>4667</v>
      </c>
      <c r="BM361" s="16">
        <f t="shared" si="582"/>
        <v>1246</v>
      </c>
      <c r="BN361" s="16">
        <v>3421</v>
      </c>
      <c r="BO361" s="16">
        <v>2522</v>
      </c>
      <c r="BP361" s="16">
        <f t="shared" si="599"/>
        <v>899</v>
      </c>
      <c r="BQ361" s="16"/>
      <c r="BS361" s="18">
        <v>2022</v>
      </c>
      <c r="BT361" s="21" t="s">
        <v>43</v>
      </c>
      <c r="BU361" s="44">
        <f t="shared" si="600"/>
        <v>0.36085380587998389</v>
      </c>
      <c r="BV361" s="44">
        <f t="shared" si="601"/>
        <v>0.39195100612423445</v>
      </c>
      <c r="BW361" s="44">
        <f t="shared" si="602"/>
        <v>0.9206604913411196</v>
      </c>
      <c r="BX361" s="16">
        <v>89</v>
      </c>
      <c r="BY361" s="16">
        <v>7</v>
      </c>
      <c r="BZ361" s="16">
        <v>2483</v>
      </c>
      <c r="CA361" s="16">
        <f t="shared" si="583"/>
        <v>197</v>
      </c>
      <c r="CB361" s="16">
        <v>2286</v>
      </c>
      <c r="CC361" s="16">
        <v>896</v>
      </c>
      <c r="CD361" s="16">
        <f t="shared" si="603"/>
        <v>1390</v>
      </c>
      <c r="CE361" s="16"/>
      <c r="CG361" s="18">
        <v>2022</v>
      </c>
      <c r="CH361" s="21" t="s">
        <v>43</v>
      </c>
      <c r="CI361" s="44">
        <f t="shared" si="604"/>
        <v>0.43661971830985913</v>
      </c>
      <c r="CJ361" s="44">
        <f t="shared" si="605"/>
        <v>0.57980049875311723</v>
      </c>
      <c r="CK361" s="44">
        <f t="shared" si="606"/>
        <v>0.7530516431924883</v>
      </c>
      <c r="CL361" s="16">
        <v>76</v>
      </c>
      <c r="CM361" s="16">
        <v>7</v>
      </c>
      <c r="CN361" s="16">
        <v>2130</v>
      </c>
      <c r="CO361" s="16">
        <f t="shared" si="584"/>
        <v>526</v>
      </c>
      <c r="CP361" s="16">
        <v>1604</v>
      </c>
      <c r="CQ361" s="16">
        <v>930</v>
      </c>
      <c r="CR361" s="16">
        <f t="shared" si="607"/>
        <v>674</v>
      </c>
      <c r="CS361" s="16"/>
      <c r="CU361" s="18">
        <v>2022</v>
      </c>
      <c r="CV361" s="21" t="s">
        <v>43</v>
      </c>
      <c r="CW361" s="44">
        <f t="shared" si="608"/>
        <v>0.77854330708661412</v>
      </c>
      <c r="CX361" s="44">
        <f t="shared" si="609"/>
        <v>0.96817625458996326</v>
      </c>
      <c r="CY361" s="44">
        <f t="shared" si="610"/>
        <v>0.80413385826771655</v>
      </c>
      <c r="CZ361" s="16">
        <v>36</v>
      </c>
      <c r="DA361" s="16">
        <v>3</v>
      </c>
      <c r="DB361" s="16">
        <v>1016</v>
      </c>
      <c r="DC361" s="16">
        <f t="shared" si="585"/>
        <v>199</v>
      </c>
      <c r="DD361" s="16">
        <v>817</v>
      </c>
      <c r="DE361" s="16">
        <v>791</v>
      </c>
      <c r="DF361" s="16">
        <f t="shared" si="611"/>
        <v>26</v>
      </c>
      <c r="DG361" s="16"/>
      <c r="DI361" s="18">
        <v>2022</v>
      </c>
      <c r="DJ361" s="21" t="s">
        <v>43</v>
      </c>
      <c r="DK361" s="44">
        <f t="shared" si="612"/>
        <v>0.66445182724252494</v>
      </c>
      <c r="DL361" s="44">
        <f t="shared" si="613"/>
        <v>0.97323600973236013</v>
      </c>
      <c r="DM361" s="44">
        <f t="shared" si="614"/>
        <v>0.68272425249169433</v>
      </c>
      <c r="DN361" s="16">
        <v>20</v>
      </c>
      <c r="DO361" s="16">
        <v>3</v>
      </c>
      <c r="DP361" s="16">
        <v>602</v>
      </c>
      <c r="DQ361" s="16">
        <f t="shared" si="544"/>
        <v>191</v>
      </c>
      <c r="DR361" s="16">
        <v>411</v>
      </c>
      <c r="DS361" s="16">
        <v>400</v>
      </c>
      <c r="DT361" s="16">
        <f t="shared" si="615"/>
        <v>11</v>
      </c>
      <c r="DU361" s="16"/>
      <c r="DW361" s="18">
        <v>2022</v>
      </c>
      <c r="DX361" s="21" t="s">
        <v>43</v>
      </c>
      <c r="DY361" s="44">
        <f t="shared" si="616"/>
        <v>0.62855377008652658</v>
      </c>
      <c r="DZ361" s="44">
        <f t="shared" si="617"/>
        <v>0.67935871743486975</v>
      </c>
      <c r="EA361" s="44">
        <f t="shared" si="618"/>
        <v>0.92521631644004942</v>
      </c>
      <c r="EB361" s="16">
        <v>42</v>
      </c>
      <c r="EC361" s="16">
        <v>3</v>
      </c>
      <c r="ED361" s="16">
        <v>1618</v>
      </c>
      <c r="EE361" s="16">
        <f t="shared" si="586"/>
        <v>121</v>
      </c>
      <c r="EF361" s="16">
        <v>1497</v>
      </c>
      <c r="EG361" s="16">
        <v>1017</v>
      </c>
      <c r="EH361" s="16">
        <f t="shared" si="619"/>
        <v>480</v>
      </c>
      <c r="EI361" s="16"/>
      <c r="EJ361" s="45"/>
      <c r="EK361" s="18">
        <v>2022</v>
      </c>
      <c r="EL361" s="21" t="s">
        <v>43</v>
      </c>
      <c r="EM361" s="44">
        <f t="shared" si="620"/>
        <v>0.82903225806451608</v>
      </c>
      <c r="EN361" s="44">
        <f t="shared" si="621"/>
        <v>0.9311594202898551</v>
      </c>
      <c r="EO361" s="44">
        <f t="shared" si="622"/>
        <v>0.89032258064516134</v>
      </c>
      <c r="EP361" s="16">
        <v>10</v>
      </c>
      <c r="EQ361" s="16">
        <v>3</v>
      </c>
      <c r="ER361" s="16">
        <v>310</v>
      </c>
      <c r="ES361" s="16">
        <f t="shared" si="587"/>
        <v>34</v>
      </c>
      <c r="ET361" s="16">
        <v>276</v>
      </c>
      <c r="EU361" s="16">
        <v>257</v>
      </c>
      <c r="EV361" s="16">
        <f t="shared" si="623"/>
        <v>19</v>
      </c>
      <c r="EW361" s="16"/>
      <c r="EZ361" s="21"/>
      <c r="FA361" s="44"/>
      <c r="FB361" s="44"/>
      <c r="FC361" s="44"/>
      <c r="FD361" s="16"/>
      <c r="FE361" s="16"/>
      <c r="FF361" s="16"/>
      <c r="FG361" s="16"/>
      <c r="FH361" s="16"/>
      <c r="FI361" s="16"/>
      <c r="FJ361" s="16"/>
      <c r="FK361" s="16"/>
      <c r="FN361" s="21"/>
      <c r="FO361" s="44"/>
      <c r="FP361" s="44"/>
      <c r="FQ361" s="44"/>
      <c r="FR361" s="16"/>
      <c r="FS361" s="16"/>
      <c r="FT361" s="16"/>
      <c r="FU361" s="16"/>
      <c r="FV361" s="16"/>
      <c r="FW361" s="16"/>
      <c r="FX361" s="16"/>
      <c r="FY361" s="16"/>
      <c r="GB361" s="21"/>
      <c r="GC361" s="44"/>
      <c r="GD361" s="44"/>
      <c r="GE361" s="44"/>
      <c r="GF361" s="16"/>
      <c r="GG361" s="16"/>
      <c r="GH361" s="16"/>
      <c r="GI361" s="16"/>
      <c r="GJ361" s="16"/>
      <c r="GK361" s="16"/>
      <c r="GL361" s="16"/>
      <c r="GM361" s="16"/>
    </row>
    <row r="362" spans="1:195" s="18" customFormat="1" ht="15" customHeight="1">
      <c r="A362" s="88">
        <v>2022</v>
      </c>
      <c r="B362" s="89" t="s">
        <v>44</v>
      </c>
      <c r="C362" s="15">
        <f t="shared" si="457"/>
        <v>0.6908629219386192</v>
      </c>
      <c r="D362" s="15">
        <f t="shared" si="458"/>
        <v>0.74550007086502579</v>
      </c>
      <c r="E362" s="15">
        <f t="shared" si="459"/>
        <v>0.92671073945974347</v>
      </c>
      <c r="F362"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2"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6.3833797892946569</v>
      </c>
      <c r="H362" s="16">
        <f t="shared" si="460"/>
        <v>22841</v>
      </c>
      <c r="I362" s="16">
        <f t="shared" si="461"/>
        <v>1674</v>
      </c>
      <c r="J362" s="16">
        <f t="shared" si="578"/>
        <v>21167</v>
      </c>
      <c r="K362" s="16">
        <f t="shared" si="579"/>
        <v>15780</v>
      </c>
      <c r="L362" s="16">
        <f t="shared" si="464"/>
        <v>5387</v>
      </c>
      <c r="M362" s="16"/>
      <c r="O362" s="88">
        <v>2022</v>
      </c>
      <c r="P362" s="89" t="s">
        <v>44</v>
      </c>
      <c r="Q362" s="44">
        <f t="shared" si="588"/>
        <v>0.7842196198886543</v>
      </c>
      <c r="R362" s="44">
        <f t="shared" si="589"/>
        <v>0.82044587266519386</v>
      </c>
      <c r="S362" s="44">
        <f t="shared" si="590"/>
        <v>0.95584565175657521</v>
      </c>
      <c r="T362" s="16">
        <v>198</v>
      </c>
      <c r="U362" s="16">
        <v>7</v>
      </c>
      <c r="V362" s="16">
        <v>5209</v>
      </c>
      <c r="W362" s="16">
        <f t="shared" si="580"/>
        <v>230</v>
      </c>
      <c r="X362" s="16">
        <v>4979</v>
      </c>
      <c r="Y362" s="16">
        <v>4085</v>
      </c>
      <c r="Z362" s="16">
        <f t="shared" si="591"/>
        <v>894</v>
      </c>
      <c r="AA362" s="16"/>
      <c r="AC362" s="88"/>
      <c r="AD362" s="89"/>
      <c r="AE362" s="44"/>
      <c r="AF362" s="44"/>
      <c r="AG362" s="44"/>
      <c r="AH362" s="44"/>
      <c r="AI362" s="44"/>
      <c r="AJ362" s="16"/>
      <c r="AK362" s="16"/>
      <c r="AL362" s="16"/>
      <c r="AM362" s="16"/>
      <c r="AN362" s="16"/>
      <c r="AO362" s="16"/>
      <c r="AQ362" s="88">
        <v>2022</v>
      </c>
      <c r="AR362" s="89" t="s">
        <v>44</v>
      </c>
      <c r="AS362" s="44">
        <f t="shared" si="592"/>
        <v>0.69164208456243859</v>
      </c>
      <c r="AT362" s="44">
        <f t="shared" si="593"/>
        <v>0.74151380982500525</v>
      </c>
      <c r="AU362" s="44">
        <f t="shared" si="594"/>
        <v>0.93274336283185844</v>
      </c>
      <c r="AV362" s="16">
        <v>192</v>
      </c>
      <c r="AW362" s="16">
        <v>7</v>
      </c>
      <c r="AX362" s="16">
        <v>5085</v>
      </c>
      <c r="AY362" s="16">
        <f t="shared" si="581"/>
        <v>342</v>
      </c>
      <c r="AZ362" s="16">
        <v>4743</v>
      </c>
      <c r="BA362" s="16">
        <v>3517</v>
      </c>
      <c r="BB362" s="16">
        <f t="shared" si="595"/>
        <v>1226</v>
      </c>
      <c r="BC362" s="16"/>
      <c r="BE362" s="88">
        <v>2022</v>
      </c>
      <c r="BF362" s="89" t="s">
        <v>44</v>
      </c>
      <c r="BG362" s="44">
        <f t="shared" si="596"/>
        <v>0.69462938304482913</v>
      </c>
      <c r="BH362" s="44">
        <f t="shared" si="597"/>
        <v>0.78152309612983772</v>
      </c>
      <c r="BI362" s="44">
        <f t="shared" si="598"/>
        <v>0.88881491344873498</v>
      </c>
      <c r="BJ362" s="16">
        <v>164</v>
      </c>
      <c r="BK362" s="16">
        <v>7</v>
      </c>
      <c r="BL362" s="16">
        <v>4506</v>
      </c>
      <c r="BM362" s="16">
        <f t="shared" si="582"/>
        <v>501</v>
      </c>
      <c r="BN362" s="16">
        <v>4005</v>
      </c>
      <c r="BO362" s="16">
        <v>3130</v>
      </c>
      <c r="BP362" s="16">
        <f t="shared" si="599"/>
        <v>875</v>
      </c>
      <c r="BQ362" s="16"/>
      <c r="BS362" s="88">
        <v>2022</v>
      </c>
      <c r="BT362" s="89" t="s">
        <v>44</v>
      </c>
      <c r="BU362" s="44">
        <f t="shared" si="600"/>
        <v>0.46867167919799496</v>
      </c>
      <c r="BV362" s="44">
        <f t="shared" si="601"/>
        <v>0.47928235796668089</v>
      </c>
      <c r="BW362" s="44">
        <f t="shared" si="602"/>
        <v>0.9778613199665831</v>
      </c>
      <c r="BX362" s="16">
        <v>89</v>
      </c>
      <c r="BY362" s="16">
        <v>7</v>
      </c>
      <c r="BZ362" s="16">
        <v>2394</v>
      </c>
      <c r="CA362" s="16">
        <f t="shared" si="583"/>
        <v>53</v>
      </c>
      <c r="CB362" s="16">
        <v>2341</v>
      </c>
      <c r="CC362" s="16">
        <v>1122</v>
      </c>
      <c r="CD362" s="16">
        <f t="shared" si="603"/>
        <v>1219</v>
      </c>
      <c r="CE362" s="16"/>
      <c r="CG362" s="88">
        <v>2022</v>
      </c>
      <c r="CH362" s="89" t="s">
        <v>44</v>
      </c>
      <c r="CI362" s="44">
        <f t="shared" si="604"/>
        <v>0.60165369649805445</v>
      </c>
      <c r="CJ362" s="44">
        <f t="shared" si="605"/>
        <v>0.67374727668845313</v>
      </c>
      <c r="CK362" s="44">
        <f t="shared" si="606"/>
        <v>0.89299610894941639</v>
      </c>
      <c r="CL362" s="16">
        <v>76</v>
      </c>
      <c r="CM362" s="16">
        <v>7</v>
      </c>
      <c r="CN362" s="16">
        <v>2056</v>
      </c>
      <c r="CO362" s="16">
        <f t="shared" si="584"/>
        <v>220</v>
      </c>
      <c r="CP362" s="16">
        <v>1836</v>
      </c>
      <c r="CQ362" s="16">
        <v>1237</v>
      </c>
      <c r="CR362" s="16">
        <f t="shared" si="607"/>
        <v>599</v>
      </c>
      <c r="CS362" s="16"/>
      <c r="CU362" s="88">
        <v>2022</v>
      </c>
      <c r="CV362" s="89" t="s">
        <v>44</v>
      </c>
      <c r="CW362" s="44">
        <f t="shared" si="608"/>
        <v>0.93393665158371042</v>
      </c>
      <c r="CX362" s="44">
        <f t="shared" si="609"/>
        <v>0.97542533081285443</v>
      </c>
      <c r="CY362" s="44">
        <f t="shared" si="610"/>
        <v>0.95746606334841633</v>
      </c>
      <c r="CZ362" s="16">
        <v>36</v>
      </c>
      <c r="DA362" s="16">
        <v>3</v>
      </c>
      <c r="DB362" s="16">
        <v>1105</v>
      </c>
      <c r="DC362" s="16">
        <f t="shared" si="585"/>
        <v>47</v>
      </c>
      <c r="DD362" s="16">
        <v>1058</v>
      </c>
      <c r="DE362" s="16">
        <v>1032</v>
      </c>
      <c r="DF362" s="16">
        <f t="shared" si="611"/>
        <v>26</v>
      </c>
      <c r="DG362" s="16"/>
      <c r="DI362" s="88">
        <v>2022</v>
      </c>
      <c r="DJ362" s="89" t="s">
        <v>44</v>
      </c>
      <c r="DK362" s="44">
        <f t="shared" si="612"/>
        <v>0.66554621848739492</v>
      </c>
      <c r="DL362" s="44">
        <f t="shared" si="613"/>
        <v>0.97777777777777775</v>
      </c>
      <c r="DM362" s="44">
        <f t="shared" si="614"/>
        <v>0.68067226890756305</v>
      </c>
      <c r="DN362" s="16">
        <v>20</v>
      </c>
      <c r="DO362" s="16">
        <v>3</v>
      </c>
      <c r="DP362" s="16">
        <v>595</v>
      </c>
      <c r="DQ362" s="16">
        <f t="shared" ref="DQ362:DQ367" si="624">DP362-DR362</f>
        <v>190</v>
      </c>
      <c r="DR362" s="16">
        <v>405</v>
      </c>
      <c r="DS362" s="16">
        <v>396</v>
      </c>
      <c r="DT362" s="16">
        <f t="shared" si="615"/>
        <v>9</v>
      </c>
      <c r="DU362" s="16"/>
      <c r="DW362" s="88">
        <v>2022</v>
      </c>
      <c r="DX362" s="89" t="s">
        <v>44</v>
      </c>
      <c r="DY362" s="44">
        <f t="shared" si="616"/>
        <v>0.61407919547454426</v>
      </c>
      <c r="DZ362" s="44">
        <f t="shared" si="617"/>
        <v>0.64960106382978722</v>
      </c>
      <c r="EA362" s="44">
        <f t="shared" si="618"/>
        <v>0.94531741043368955</v>
      </c>
      <c r="EB362" s="16">
        <v>42</v>
      </c>
      <c r="EC362" s="16">
        <v>3</v>
      </c>
      <c r="ED362" s="16">
        <v>1591</v>
      </c>
      <c r="EE362" s="16">
        <f t="shared" si="586"/>
        <v>87</v>
      </c>
      <c r="EF362" s="16">
        <v>1504</v>
      </c>
      <c r="EG362" s="16">
        <v>977</v>
      </c>
      <c r="EH362" s="16">
        <f t="shared" si="619"/>
        <v>527</v>
      </c>
      <c r="EI362" s="16"/>
      <c r="EK362" s="88">
        <v>2022</v>
      </c>
      <c r="EL362" s="89" t="s">
        <v>44</v>
      </c>
      <c r="EM362" s="44">
        <f t="shared" si="620"/>
        <v>0.94666666666666666</v>
      </c>
      <c r="EN362" s="44">
        <f t="shared" si="621"/>
        <v>0.95945945945945943</v>
      </c>
      <c r="EO362" s="44">
        <f t="shared" si="622"/>
        <v>0.98666666666666669</v>
      </c>
      <c r="EP362" s="16">
        <v>10</v>
      </c>
      <c r="EQ362" s="16">
        <v>3</v>
      </c>
      <c r="ER362" s="16">
        <v>300</v>
      </c>
      <c r="ES362" s="16">
        <f t="shared" si="587"/>
        <v>4</v>
      </c>
      <c r="ET362" s="16">
        <v>296</v>
      </c>
      <c r="EU362" s="16">
        <v>284</v>
      </c>
      <c r="EV362" s="16">
        <f t="shared" si="623"/>
        <v>12</v>
      </c>
      <c r="EW362" s="16"/>
      <c r="EY362" s="88"/>
      <c r="EZ362" s="89"/>
      <c r="FA362" s="44"/>
      <c r="FB362" s="44"/>
      <c r="FC362" s="44"/>
      <c r="FD362" s="16"/>
      <c r="FE362" s="16"/>
      <c r="FF362" s="16"/>
      <c r="FG362" s="16"/>
      <c r="FH362" s="16"/>
      <c r="FI362" s="16"/>
      <c r="FJ362" s="16"/>
      <c r="FK362" s="16"/>
      <c r="FM362" s="88"/>
      <c r="FN362" s="89"/>
      <c r="FO362" s="44"/>
      <c r="FP362" s="44"/>
      <c r="FQ362" s="44"/>
      <c r="FR362" s="16"/>
      <c r="FS362" s="16"/>
      <c r="FT362" s="16"/>
      <c r="FU362" s="16"/>
      <c r="FV362" s="16"/>
      <c r="FW362" s="16"/>
      <c r="FX362" s="16"/>
      <c r="FY362" s="16"/>
      <c r="GA362" s="88"/>
      <c r="GB362" s="89"/>
      <c r="GC362" s="44"/>
      <c r="GD362" s="44"/>
      <c r="GE362" s="44"/>
      <c r="GF362" s="16"/>
      <c r="GG362" s="16"/>
      <c r="GH362" s="16"/>
      <c r="GI362" s="16"/>
      <c r="GJ362" s="16"/>
      <c r="GK362" s="16"/>
      <c r="GL362" s="16"/>
      <c r="GM362" s="16"/>
    </row>
    <row r="363" spans="1:195" s="18" customFormat="1" ht="15" customHeight="1">
      <c r="A363" s="18">
        <v>2022</v>
      </c>
      <c r="B363" s="21" t="s">
        <v>45</v>
      </c>
      <c r="C363" s="15">
        <f t="shared" si="457"/>
        <v>0.58024474757664812</v>
      </c>
      <c r="D363" s="15">
        <f t="shared" si="458"/>
        <v>0.68317496385044407</v>
      </c>
      <c r="E363" s="15">
        <f t="shared" si="459"/>
        <v>0.8493354971709286</v>
      </c>
      <c r="F363"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3"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6.385870687874406</v>
      </c>
      <c r="H363" s="16">
        <f t="shared" si="460"/>
        <v>22799</v>
      </c>
      <c r="I363" s="16">
        <f t="shared" si="461"/>
        <v>3435</v>
      </c>
      <c r="J363" s="16">
        <f t="shared" si="578"/>
        <v>19364</v>
      </c>
      <c r="K363" s="16">
        <f t="shared" si="579"/>
        <v>13229</v>
      </c>
      <c r="L363" s="16">
        <f t="shared" si="464"/>
        <v>6135</v>
      </c>
      <c r="M363" s="16"/>
      <c r="O363" s="18">
        <v>2022</v>
      </c>
      <c r="P363" s="21" t="s">
        <v>45</v>
      </c>
      <c r="Q363" s="44">
        <f t="shared" si="588"/>
        <v>0.74658869395711502</v>
      </c>
      <c r="R363" s="44">
        <f t="shared" si="589"/>
        <v>0.79263245033112584</v>
      </c>
      <c r="S363" s="44">
        <f t="shared" si="590"/>
        <v>0.94191033138401559</v>
      </c>
      <c r="T363" s="16">
        <v>198</v>
      </c>
      <c r="U363" s="16">
        <v>7</v>
      </c>
      <c r="V363" s="16">
        <v>5130</v>
      </c>
      <c r="W363" s="16">
        <f t="shared" si="580"/>
        <v>298</v>
      </c>
      <c r="X363" s="16">
        <v>4832</v>
      </c>
      <c r="Y363" s="16">
        <v>3830</v>
      </c>
      <c r="Z363" s="16">
        <f t="shared" si="591"/>
        <v>1002</v>
      </c>
      <c r="AA363" s="16"/>
      <c r="AC363" s="84"/>
      <c r="AD363" s="85"/>
      <c r="AE363" s="44"/>
      <c r="AF363" s="44"/>
      <c r="AG363" s="44"/>
      <c r="AH363" s="44"/>
      <c r="AI363" s="44"/>
      <c r="AJ363" s="16"/>
      <c r="AK363" s="16"/>
      <c r="AL363" s="16"/>
      <c r="AM363" s="16"/>
      <c r="AN363" s="16"/>
      <c r="AO363" s="16"/>
      <c r="AQ363" s="18">
        <v>2022</v>
      </c>
      <c r="AR363" s="21" t="s">
        <v>45</v>
      </c>
      <c r="AS363" s="44">
        <f t="shared" si="592"/>
        <v>0.20546034276604225</v>
      </c>
      <c r="AT363" s="44">
        <f t="shared" si="593"/>
        <v>0.29173740803621956</v>
      </c>
      <c r="AU363" s="44">
        <f t="shared" si="594"/>
        <v>0.70426464726982863</v>
      </c>
      <c r="AV363" s="16">
        <v>192</v>
      </c>
      <c r="AW363" s="16">
        <v>7</v>
      </c>
      <c r="AX363" s="16">
        <v>5018</v>
      </c>
      <c r="AY363" s="16">
        <f t="shared" si="581"/>
        <v>1484</v>
      </c>
      <c r="AZ363" s="16">
        <v>3534</v>
      </c>
      <c r="BA363" s="16">
        <v>1031</v>
      </c>
      <c r="BB363" s="16">
        <f t="shared" si="595"/>
        <v>2503</v>
      </c>
      <c r="BC363" s="16"/>
      <c r="BE363" s="18">
        <v>2022</v>
      </c>
      <c r="BF363" s="21" t="s">
        <v>45</v>
      </c>
      <c r="BG363" s="44">
        <f t="shared" si="596"/>
        <v>0.66181978409341269</v>
      </c>
      <c r="BH363" s="44">
        <f t="shared" si="597"/>
        <v>0.77084937131126507</v>
      </c>
      <c r="BI363" s="44">
        <f t="shared" si="598"/>
        <v>0.8585591539986781</v>
      </c>
      <c r="BJ363" s="16">
        <v>164</v>
      </c>
      <c r="BK363" s="16">
        <v>7</v>
      </c>
      <c r="BL363" s="16">
        <v>4539</v>
      </c>
      <c r="BM363" s="16">
        <f t="shared" si="582"/>
        <v>642</v>
      </c>
      <c r="BN363" s="16">
        <v>3897</v>
      </c>
      <c r="BO363" s="16">
        <v>3004</v>
      </c>
      <c r="BP363" s="16">
        <f t="shared" si="599"/>
        <v>893</v>
      </c>
      <c r="BQ363" s="16"/>
      <c r="BS363" s="18">
        <v>2022</v>
      </c>
      <c r="BT363" s="21" t="s">
        <v>45</v>
      </c>
      <c r="BU363" s="44">
        <f t="shared" si="600"/>
        <v>0.59941275167785235</v>
      </c>
      <c r="BV363" s="44">
        <f t="shared" si="601"/>
        <v>0.61172945205479456</v>
      </c>
      <c r="BW363" s="44">
        <f t="shared" si="602"/>
        <v>0.97986577181208057</v>
      </c>
      <c r="BX363" s="16">
        <v>89</v>
      </c>
      <c r="BY363" s="16">
        <v>7</v>
      </c>
      <c r="BZ363" s="16">
        <v>2384</v>
      </c>
      <c r="CA363" s="16">
        <f t="shared" si="583"/>
        <v>48</v>
      </c>
      <c r="CB363" s="16">
        <v>2336</v>
      </c>
      <c r="CC363" s="16">
        <v>1429</v>
      </c>
      <c r="CD363" s="16">
        <f t="shared" si="603"/>
        <v>907</v>
      </c>
      <c r="CE363" s="16"/>
      <c r="CG363" s="18">
        <v>2022</v>
      </c>
      <c r="CH363" s="21" t="s">
        <v>45</v>
      </c>
      <c r="CI363" s="44">
        <f t="shared" si="604"/>
        <v>0.66894197952218426</v>
      </c>
      <c r="CJ363" s="44">
        <f t="shared" si="605"/>
        <v>0.765625</v>
      </c>
      <c r="CK363" s="44">
        <f t="shared" si="606"/>
        <v>0.87372013651877134</v>
      </c>
      <c r="CL363" s="16">
        <v>76</v>
      </c>
      <c r="CM363" s="16">
        <v>7</v>
      </c>
      <c r="CN363" s="16">
        <v>2051</v>
      </c>
      <c r="CO363" s="16">
        <f t="shared" si="584"/>
        <v>259</v>
      </c>
      <c r="CP363" s="16">
        <v>1792</v>
      </c>
      <c r="CQ363" s="16">
        <v>1372</v>
      </c>
      <c r="CR363" s="16">
        <f t="shared" si="607"/>
        <v>420</v>
      </c>
      <c r="CS363" s="16"/>
      <c r="CU363" s="18">
        <v>2022</v>
      </c>
      <c r="CV363" s="21" t="s">
        <v>45</v>
      </c>
      <c r="CW363" s="44">
        <f t="shared" si="608"/>
        <v>0.91140350877192977</v>
      </c>
      <c r="CX363" s="44">
        <f t="shared" si="609"/>
        <v>0.97558685446009386</v>
      </c>
      <c r="CY363" s="44">
        <f t="shared" si="610"/>
        <v>0.93421052631578949</v>
      </c>
      <c r="CZ363" s="16">
        <v>36</v>
      </c>
      <c r="DA363" s="16">
        <v>3</v>
      </c>
      <c r="DB363" s="16">
        <v>1140</v>
      </c>
      <c r="DC363" s="16">
        <f t="shared" si="585"/>
        <v>75</v>
      </c>
      <c r="DD363" s="16">
        <v>1065</v>
      </c>
      <c r="DE363" s="16">
        <v>1039</v>
      </c>
      <c r="DF363" s="16">
        <f t="shared" si="611"/>
        <v>26</v>
      </c>
      <c r="DG363" s="16"/>
      <c r="DI363" s="18">
        <v>2022</v>
      </c>
      <c r="DJ363" s="21" t="s">
        <v>45</v>
      </c>
      <c r="DK363" s="44">
        <f t="shared" si="612"/>
        <v>0.58064516129032262</v>
      </c>
      <c r="DL363" s="44">
        <f t="shared" si="613"/>
        <v>0.95744680851063835</v>
      </c>
      <c r="DM363" s="44">
        <f t="shared" si="614"/>
        <v>0.6064516129032258</v>
      </c>
      <c r="DN363" s="16">
        <v>20</v>
      </c>
      <c r="DO363" s="16">
        <v>3</v>
      </c>
      <c r="DP363" s="16">
        <v>620</v>
      </c>
      <c r="DQ363" s="16">
        <f t="shared" si="624"/>
        <v>244</v>
      </c>
      <c r="DR363" s="16">
        <v>376</v>
      </c>
      <c r="DS363" s="16">
        <v>360</v>
      </c>
      <c r="DT363" s="16">
        <f t="shared" si="615"/>
        <v>16</v>
      </c>
      <c r="DU363" s="16"/>
      <c r="DW363" s="18">
        <v>2022</v>
      </c>
      <c r="DX363" s="21" t="s">
        <v>45</v>
      </c>
      <c r="DY363" s="44">
        <f t="shared" si="616"/>
        <v>0.54635967641568139</v>
      </c>
      <c r="DZ363" s="44">
        <f t="shared" si="617"/>
        <v>0.71849427168576108</v>
      </c>
      <c r="EA363" s="44">
        <f t="shared" si="618"/>
        <v>0.76042314872433103</v>
      </c>
      <c r="EB363" s="16">
        <v>42</v>
      </c>
      <c r="EC363" s="16">
        <v>3</v>
      </c>
      <c r="ED363" s="16">
        <v>1607</v>
      </c>
      <c r="EE363" s="16">
        <f t="shared" si="586"/>
        <v>385</v>
      </c>
      <c r="EF363" s="16">
        <v>1222</v>
      </c>
      <c r="EG363" s="16">
        <v>878</v>
      </c>
      <c r="EH363" s="16">
        <f t="shared" si="619"/>
        <v>344</v>
      </c>
      <c r="EI363" s="16"/>
      <c r="EK363" s="18">
        <v>2022</v>
      </c>
      <c r="EL363" s="21" t="s">
        <v>45</v>
      </c>
      <c r="EM363" s="44">
        <f t="shared" si="620"/>
        <v>0.92258064516129035</v>
      </c>
      <c r="EN363" s="44">
        <f t="shared" si="621"/>
        <v>0.92258064516129035</v>
      </c>
      <c r="EO363" s="44">
        <f t="shared" si="622"/>
        <v>1</v>
      </c>
      <c r="EP363" s="16">
        <v>10</v>
      </c>
      <c r="EQ363" s="16">
        <v>3</v>
      </c>
      <c r="ER363" s="16">
        <v>310</v>
      </c>
      <c r="ES363" s="16">
        <f t="shared" si="587"/>
        <v>0</v>
      </c>
      <c r="ET363" s="16">
        <v>310</v>
      </c>
      <c r="EU363" s="16">
        <v>286</v>
      </c>
      <c r="EV363" s="16">
        <f t="shared" si="623"/>
        <v>24</v>
      </c>
      <c r="EW363" s="16"/>
      <c r="EZ363" s="21"/>
      <c r="FA363" s="44"/>
      <c r="FB363" s="44"/>
      <c r="FC363" s="44"/>
      <c r="FD363" s="16"/>
      <c r="FE363" s="16"/>
      <c r="FF363" s="16"/>
      <c r="FG363" s="16"/>
      <c r="FH363" s="16"/>
      <c r="FI363" s="16"/>
      <c r="FJ363" s="16"/>
      <c r="FK363" s="16"/>
      <c r="FN363" s="21"/>
      <c r="FO363" s="44"/>
      <c r="FP363" s="44"/>
      <c r="FQ363" s="44"/>
      <c r="FR363" s="16"/>
      <c r="FS363" s="16"/>
      <c r="FT363" s="16"/>
      <c r="FU363" s="16"/>
      <c r="FV363" s="16"/>
      <c r="FW363" s="16"/>
      <c r="FX363" s="16"/>
      <c r="FY363" s="16"/>
      <c r="GB363" s="21"/>
      <c r="GC363" s="44"/>
      <c r="GD363" s="44"/>
      <c r="GE363" s="44"/>
      <c r="GF363" s="16"/>
      <c r="GG363" s="16"/>
      <c r="GH363" s="16"/>
      <c r="GI363" s="16"/>
      <c r="GJ363" s="16"/>
      <c r="GK363" s="16"/>
      <c r="GL363" s="16"/>
      <c r="GM363" s="16"/>
    </row>
    <row r="364" spans="1:195" s="18" customFormat="1" ht="15" customHeight="1">
      <c r="A364" s="86">
        <v>2022</v>
      </c>
      <c r="B364" s="87" t="s">
        <v>46</v>
      </c>
      <c r="C364" s="15">
        <f t="shared" si="457"/>
        <v>0.44858093903293622</v>
      </c>
      <c r="D364" s="15">
        <f t="shared" si="458"/>
        <v>0.57083937130754658</v>
      </c>
      <c r="E364" s="15">
        <f t="shared" si="459"/>
        <v>0.78582690960056056</v>
      </c>
      <c r="F36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4"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6.3708616653661796</v>
      </c>
      <c r="H364" s="16">
        <f t="shared" si="460"/>
        <v>22832</v>
      </c>
      <c r="I364" s="16">
        <f t="shared" si="461"/>
        <v>4890</v>
      </c>
      <c r="J364" s="16">
        <f t="shared" si="578"/>
        <v>17942</v>
      </c>
      <c r="K364" s="16">
        <f t="shared" si="579"/>
        <v>10242</v>
      </c>
      <c r="L364" s="16">
        <f t="shared" si="464"/>
        <v>7700</v>
      </c>
      <c r="M364" s="16"/>
      <c r="O364" s="86">
        <v>2022</v>
      </c>
      <c r="P364" s="87" t="s">
        <v>46</v>
      </c>
      <c r="Q364" s="44">
        <f t="shared" si="588"/>
        <v>0.70380330388013834</v>
      </c>
      <c r="R364" s="44">
        <f t="shared" si="589"/>
        <v>0.76732984293193718</v>
      </c>
      <c r="S364" s="44">
        <f t="shared" si="590"/>
        <v>0.9172109104878986</v>
      </c>
      <c r="T364" s="16">
        <v>198</v>
      </c>
      <c r="U364" s="16">
        <v>7</v>
      </c>
      <c r="V364" s="16">
        <v>5206</v>
      </c>
      <c r="W364" s="16">
        <f t="shared" si="580"/>
        <v>431</v>
      </c>
      <c r="X364" s="16">
        <v>4775</v>
      </c>
      <c r="Y364" s="16">
        <v>3664</v>
      </c>
      <c r="Z364" s="16">
        <f t="shared" si="591"/>
        <v>1111</v>
      </c>
      <c r="AA364" s="16"/>
      <c r="AC364" s="86"/>
      <c r="AD364" s="87"/>
      <c r="AE364" s="44"/>
      <c r="AF364" s="44"/>
      <c r="AG364" s="44"/>
      <c r="AH364" s="44"/>
      <c r="AI364" s="44"/>
      <c r="AJ364" s="16"/>
      <c r="AK364" s="16"/>
      <c r="AL364" s="16"/>
      <c r="AM364" s="16"/>
      <c r="AN364" s="16"/>
      <c r="AO364" s="16"/>
      <c r="AQ364" s="86">
        <v>2022</v>
      </c>
      <c r="AR364" s="87" t="s">
        <v>46</v>
      </c>
      <c r="AS364" s="44">
        <f t="shared" si="592"/>
        <v>0.21027761370348494</v>
      </c>
      <c r="AT364" s="44">
        <f t="shared" si="593"/>
        <v>0.27812500000000001</v>
      </c>
      <c r="AU364" s="44">
        <f t="shared" si="594"/>
        <v>0.75605434140578853</v>
      </c>
      <c r="AV364" s="16">
        <v>192</v>
      </c>
      <c r="AW364" s="16">
        <v>7</v>
      </c>
      <c r="AX364" s="16">
        <v>5079</v>
      </c>
      <c r="AY364" s="16">
        <f t="shared" si="581"/>
        <v>1239</v>
      </c>
      <c r="AZ364" s="16">
        <v>3840</v>
      </c>
      <c r="BA364" s="16">
        <v>1068</v>
      </c>
      <c r="BB364" s="16">
        <f t="shared" si="595"/>
        <v>2772</v>
      </c>
      <c r="BC364" s="16"/>
      <c r="BE364" s="86">
        <v>2022</v>
      </c>
      <c r="BF364" s="87" t="s">
        <v>46</v>
      </c>
      <c r="BG364" s="44">
        <f t="shared" si="596"/>
        <v>0.36694802310084407</v>
      </c>
      <c r="BH364" s="44">
        <f t="shared" si="597"/>
        <v>0.54738237243207422</v>
      </c>
      <c r="BI364" s="44">
        <f t="shared" si="598"/>
        <v>0.67036872501110623</v>
      </c>
      <c r="BJ364" s="16">
        <v>164</v>
      </c>
      <c r="BK364" s="16">
        <v>7</v>
      </c>
      <c r="BL364" s="16">
        <v>4502</v>
      </c>
      <c r="BM364" s="16">
        <f t="shared" si="582"/>
        <v>1484</v>
      </c>
      <c r="BN364" s="16">
        <v>3018</v>
      </c>
      <c r="BO364" s="16">
        <v>1652</v>
      </c>
      <c r="BP364" s="16">
        <f t="shared" si="599"/>
        <v>1366</v>
      </c>
      <c r="BQ364" s="16"/>
      <c r="BS364" s="86">
        <v>2022</v>
      </c>
      <c r="BT364" s="87" t="s">
        <v>46</v>
      </c>
      <c r="BU364" s="44">
        <f t="shared" si="600"/>
        <v>0.29544504805683242</v>
      </c>
      <c r="BV364" s="44">
        <f t="shared" si="601"/>
        <v>0.35104270109235353</v>
      </c>
      <c r="BW364" s="44">
        <f t="shared" si="602"/>
        <v>0.84162139573756789</v>
      </c>
      <c r="BX364" s="16">
        <v>89</v>
      </c>
      <c r="BY364" s="16">
        <v>7</v>
      </c>
      <c r="BZ364" s="16">
        <v>2393</v>
      </c>
      <c r="CA364" s="16">
        <f t="shared" si="583"/>
        <v>379</v>
      </c>
      <c r="CB364" s="16">
        <v>2014</v>
      </c>
      <c r="CC364" s="16">
        <v>707</v>
      </c>
      <c r="CD364" s="16">
        <f t="shared" si="603"/>
        <v>1307</v>
      </c>
      <c r="CE364" s="16"/>
      <c r="CG364" s="86">
        <v>2022</v>
      </c>
      <c r="CH364" s="87" t="s">
        <v>46</v>
      </c>
      <c r="CI364" s="44">
        <f t="shared" si="604"/>
        <v>0.35797665369649806</v>
      </c>
      <c r="CJ364" s="44">
        <f t="shared" si="605"/>
        <v>0.49966055668703324</v>
      </c>
      <c r="CK364" s="44">
        <f t="shared" si="606"/>
        <v>0.71643968871595332</v>
      </c>
      <c r="CL364" s="16">
        <v>76</v>
      </c>
      <c r="CM364" s="16">
        <v>7</v>
      </c>
      <c r="CN364" s="16">
        <v>2056</v>
      </c>
      <c r="CO364" s="16">
        <f t="shared" si="584"/>
        <v>583</v>
      </c>
      <c r="CP364" s="16">
        <v>1473</v>
      </c>
      <c r="CQ364" s="16">
        <v>736</v>
      </c>
      <c r="CR364" s="16">
        <f t="shared" si="607"/>
        <v>737</v>
      </c>
      <c r="CS364" s="16"/>
      <c r="CU364" s="86">
        <v>2022</v>
      </c>
      <c r="CV364" s="87" t="s">
        <v>46</v>
      </c>
      <c r="CW364" s="44">
        <f t="shared" si="608"/>
        <v>0.75384615384615383</v>
      </c>
      <c r="CX364" s="44">
        <f t="shared" si="609"/>
        <v>0.95308924485125857</v>
      </c>
      <c r="CY364" s="44">
        <f t="shared" si="610"/>
        <v>0.79095022624434386</v>
      </c>
      <c r="CZ364" s="16">
        <v>36</v>
      </c>
      <c r="DA364" s="16">
        <v>3</v>
      </c>
      <c r="DB364" s="16">
        <v>1105</v>
      </c>
      <c r="DC364" s="16">
        <f t="shared" si="585"/>
        <v>231</v>
      </c>
      <c r="DD364" s="16">
        <v>874</v>
      </c>
      <c r="DE364" s="16">
        <v>833</v>
      </c>
      <c r="DF364" s="16">
        <f t="shared" si="611"/>
        <v>41</v>
      </c>
      <c r="DG364" s="16"/>
      <c r="DI364" s="86">
        <v>2022</v>
      </c>
      <c r="DJ364" s="87" t="s">
        <v>46</v>
      </c>
      <c r="DK364" s="44">
        <f t="shared" si="612"/>
        <v>0.64666666666666661</v>
      </c>
      <c r="DL364" s="44">
        <f t="shared" si="613"/>
        <v>0.96517412935323388</v>
      </c>
      <c r="DM364" s="44">
        <f t="shared" si="614"/>
        <v>0.67</v>
      </c>
      <c r="DN364" s="16">
        <v>20</v>
      </c>
      <c r="DO364" s="16">
        <v>3</v>
      </c>
      <c r="DP364" s="16">
        <v>600</v>
      </c>
      <c r="DQ364" s="16">
        <f t="shared" si="624"/>
        <v>198</v>
      </c>
      <c r="DR364" s="16">
        <v>402</v>
      </c>
      <c r="DS364" s="16">
        <v>388</v>
      </c>
      <c r="DT364" s="16">
        <f t="shared" si="615"/>
        <v>14</v>
      </c>
      <c r="DU364" s="16"/>
      <c r="DW364" s="86">
        <v>2022</v>
      </c>
      <c r="DX364" s="87" t="s">
        <v>46</v>
      </c>
      <c r="DY364" s="44">
        <f t="shared" si="616"/>
        <v>0.5725958516656191</v>
      </c>
      <c r="DZ364" s="44">
        <f t="shared" si="617"/>
        <v>0.72647527910685805</v>
      </c>
      <c r="EA364" s="44">
        <f t="shared" si="618"/>
        <v>0.78818353236957883</v>
      </c>
      <c r="EB364" s="16">
        <v>42</v>
      </c>
      <c r="EC364" s="16">
        <v>3</v>
      </c>
      <c r="ED364" s="16">
        <v>1591</v>
      </c>
      <c r="EE364" s="16">
        <f t="shared" si="586"/>
        <v>337</v>
      </c>
      <c r="EF364" s="16">
        <v>1254</v>
      </c>
      <c r="EG364" s="16">
        <v>911</v>
      </c>
      <c r="EH364" s="16">
        <f t="shared" si="619"/>
        <v>343</v>
      </c>
      <c r="EI364" s="16"/>
      <c r="EK364" s="86">
        <v>2022</v>
      </c>
      <c r="EL364" s="87" t="s">
        <v>46</v>
      </c>
      <c r="EM364" s="44">
        <f t="shared" si="620"/>
        <v>0.94333333333333336</v>
      </c>
      <c r="EN364" s="44">
        <f t="shared" si="621"/>
        <v>0.96917808219178081</v>
      </c>
      <c r="EO364" s="44">
        <f t="shared" si="622"/>
        <v>0.97333333333333338</v>
      </c>
      <c r="EP364" s="16">
        <v>10</v>
      </c>
      <c r="EQ364" s="16">
        <v>3</v>
      </c>
      <c r="ER364" s="16">
        <v>300</v>
      </c>
      <c r="ES364" s="16">
        <f t="shared" si="587"/>
        <v>8</v>
      </c>
      <c r="ET364" s="16">
        <v>292</v>
      </c>
      <c r="EU364" s="16">
        <v>283</v>
      </c>
      <c r="EV364" s="16">
        <f t="shared" si="623"/>
        <v>9</v>
      </c>
      <c r="EW364" s="16"/>
      <c r="EY364" s="86"/>
      <c r="EZ364" s="87"/>
      <c r="FA364" s="44"/>
      <c r="FB364" s="44"/>
      <c r="FC364" s="44"/>
      <c r="FD364" s="16"/>
      <c r="FE364" s="16"/>
      <c r="FF364" s="16"/>
      <c r="FG364" s="16"/>
      <c r="FH364" s="16"/>
      <c r="FI364" s="16"/>
      <c r="FJ364" s="16"/>
      <c r="FK364" s="16"/>
      <c r="FM364" s="86"/>
      <c r="FN364" s="87"/>
      <c r="FO364" s="44"/>
      <c r="FP364" s="44"/>
      <c r="FQ364" s="44"/>
      <c r="FR364" s="16"/>
      <c r="FS364" s="16"/>
      <c r="FT364" s="16"/>
      <c r="FU364" s="16"/>
      <c r="FV364" s="16"/>
      <c r="FW364" s="16"/>
      <c r="FX364" s="16"/>
      <c r="FY364" s="16"/>
      <c r="GA364" s="86"/>
      <c r="GB364" s="87"/>
      <c r="GC364" s="44"/>
      <c r="GD364" s="44"/>
      <c r="GE364" s="44"/>
      <c r="GF364" s="16"/>
      <c r="GG364" s="16"/>
      <c r="GH364" s="16"/>
      <c r="GI364" s="16"/>
      <c r="GJ364" s="16"/>
      <c r="GK364" s="16"/>
      <c r="GL364" s="16"/>
      <c r="GM364" s="16"/>
    </row>
    <row r="365" spans="1:195" s="18" customFormat="1" ht="15" customHeight="1">
      <c r="A365" s="18">
        <v>2022</v>
      </c>
      <c r="B365" s="21" t="s">
        <v>47</v>
      </c>
      <c r="C365" s="15">
        <f t="shared" si="457"/>
        <v>0.50690613829928066</v>
      </c>
      <c r="D365" s="15">
        <f t="shared" si="458"/>
        <v>0.62565359477124183</v>
      </c>
      <c r="E365" s="15">
        <f t="shared" si="459"/>
        <v>0.81020255063765945</v>
      </c>
      <c r="F36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5"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6.3723311546840957</v>
      </c>
      <c r="H365" s="16">
        <f t="shared" si="460"/>
        <v>22661</v>
      </c>
      <c r="I365" s="16">
        <f t="shared" si="461"/>
        <v>4301</v>
      </c>
      <c r="J365" s="16">
        <f>+X365+AZ365+BN365+CP365+DD365+DR365+EF365+CB365+ET365</f>
        <v>18360</v>
      </c>
      <c r="K365" s="16">
        <f t="shared" si="579"/>
        <v>11487</v>
      </c>
      <c r="L365" s="16">
        <f t="shared" si="464"/>
        <v>6873</v>
      </c>
      <c r="M365" s="16"/>
      <c r="O365" s="18">
        <v>2022</v>
      </c>
      <c r="P365" s="21" t="s">
        <v>47</v>
      </c>
      <c r="Q365" s="44">
        <f t="shared" si="588"/>
        <v>0.72859960552268244</v>
      </c>
      <c r="R365" s="44">
        <f t="shared" si="589"/>
        <v>0.79083707985442087</v>
      </c>
      <c r="S365" s="44">
        <f t="shared" si="590"/>
        <v>0.92130177514792899</v>
      </c>
      <c r="T365" s="16">
        <v>198</v>
      </c>
      <c r="U365" s="16">
        <v>7</v>
      </c>
      <c r="V365" s="16">
        <v>5070</v>
      </c>
      <c r="W365" s="16">
        <f t="shared" si="580"/>
        <v>399</v>
      </c>
      <c r="X365" s="16">
        <v>4671</v>
      </c>
      <c r="Y365" s="16">
        <v>3694</v>
      </c>
      <c r="Z365" s="16">
        <f t="shared" si="591"/>
        <v>977</v>
      </c>
      <c r="AA365" s="16"/>
      <c r="AC365" s="84"/>
      <c r="AD365" s="85"/>
      <c r="AE365" s="44"/>
      <c r="AF365" s="44"/>
      <c r="AG365" s="44"/>
      <c r="AH365" s="44"/>
      <c r="AI365" s="44"/>
      <c r="AJ365" s="16"/>
      <c r="AK365" s="16"/>
      <c r="AL365" s="16"/>
      <c r="AM365" s="16"/>
      <c r="AN365" s="16"/>
      <c r="AO365" s="16"/>
      <c r="AQ365" s="18">
        <v>2022</v>
      </c>
      <c r="AR365" s="21" t="s">
        <v>47</v>
      </c>
      <c r="AS365" s="44">
        <f t="shared" si="592"/>
        <v>0.40648129625925183</v>
      </c>
      <c r="AT365" s="44">
        <f t="shared" si="593"/>
        <v>0.53699788583509511</v>
      </c>
      <c r="AU365" s="44">
        <f t="shared" si="594"/>
        <v>0.75695139027805558</v>
      </c>
      <c r="AV365" s="16">
        <v>192</v>
      </c>
      <c r="AW365" s="16">
        <v>7</v>
      </c>
      <c r="AX365" s="16">
        <v>4999</v>
      </c>
      <c r="AY365" s="16">
        <f t="shared" si="581"/>
        <v>1215</v>
      </c>
      <c r="AZ365" s="16">
        <v>3784</v>
      </c>
      <c r="BA365" s="16">
        <v>2032</v>
      </c>
      <c r="BB365" s="16">
        <f t="shared" si="595"/>
        <v>1752</v>
      </c>
      <c r="BC365" s="16"/>
      <c r="BE365" s="18">
        <v>2022</v>
      </c>
      <c r="BF365" s="21" t="s">
        <v>47</v>
      </c>
      <c r="BG365" s="44">
        <f t="shared" si="596"/>
        <v>0.39092111062141915</v>
      </c>
      <c r="BH365" s="44">
        <f t="shared" si="597"/>
        <v>0.54534276052874275</v>
      </c>
      <c r="BI365" s="44">
        <f t="shared" si="598"/>
        <v>0.7168356104010577</v>
      </c>
      <c r="BJ365" s="16">
        <v>164</v>
      </c>
      <c r="BK365" s="16">
        <v>7</v>
      </c>
      <c r="BL365" s="16">
        <v>4538</v>
      </c>
      <c r="BM365" s="16">
        <f t="shared" si="582"/>
        <v>1285</v>
      </c>
      <c r="BN365" s="16">
        <v>3253</v>
      </c>
      <c r="BO365" s="16">
        <v>1774</v>
      </c>
      <c r="BP365" s="16">
        <f t="shared" si="599"/>
        <v>1479</v>
      </c>
      <c r="BQ365" s="16"/>
      <c r="BS365" s="18">
        <v>2022</v>
      </c>
      <c r="BT365" s="21" t="s">
        <v>47</v>
      </c>
      <c r="BU365" s="44">
        <f t="shared" si="600"/>
        <v>0.37256562235393736</v>
      </c>
      <c r="BV365" s="44">
        <f t="shared" si="601"/>
        <v>0.41179223210107629</v>
      </c>
      <c r="BW365" s="44">
        <f t="shared" si="602"/>
        <v>0.90474174428450471</v>
      </c>
      <c r="BX365" s="16">
        <v>89</v>
      </c>
      <c r="BY365" s="16">
        <v>7</v>
      </c>
      <c r="BZ365" s="16">
        <v>2362</v>
      </c>
      <c r="CA365" s="16">
        <f t="shared" si="583"/>
        <v>225</v>
      </c>
      <c r="CB365" s="16">
        <v>2137</v>
      </c>
      <c r="CC365" s="16">
        <v>880</v>
      </c>
      <c r="CD365" s="16">
        <f t="shared" si="603"/>
        <v>1257</v>
      </c>
      <c r="CE365" s="16"/>
      <c r="CG365" s="18">
        <v>2022</v>
      </c>
      <c r="CH365" s="21" t="s">
        <v>47</v>
      </c>
      <c r="CI365" s="44">
        <f t="shared" si="604"/>
        <v>0.37475633528265107</v>
      </c>
      <c r="CJ365" s="44">
        <f t="shared" si="605"/>
        <v>0.47062423500611994</v>
      </c>
      <c r="CK365" s="44">
        <f t="shared" si="606"/>
        <v>0.79629629629629628</v>
      </c>
      <c r="CL365" s="16">
        <v>76</v>
      </c>
      <c r="CM365" s="16">
        <v>7</v>
      </c>
      <c r="CN365" s="16">
        <v>2052</v>
      </c>
      <c r="CO365" s="16">
        <f t="shared" si="584"/>
        <v>418</v>
      </c>
      <c r="CP365" s="16">
        <v>1634</v>
      </c>
      <c r="CQ365" s="16">
        <v>769</v>
      </c>
      <c r="CR365" s="16">
        <f t="shared" si="607"/>
        <v>865</v>
      </c>
      <c r="CS365" s="16"/>
      <c r="CU365" s="18">
        <v>2022</v>
      </c>
      <c r="CV365" s="21" t="s">
        <v>47</v>
      </c>
      <c r="CW365" s="44">
        <f t="shared" si="608"/>
        <v>0.78333333333333333</v>
      </c>
      <c r="CX365" s="44">
        <f t="shared" si="609"/>
        <v>0.96228448275862066</v>
      </c>
      <c r="CY365" s="44">
        <f t="shared" si="610"/>
        <v>0.81403508771929822</v>
      </c>
      <c r="CZ365" s="16">
        <v>36</v>
      </c>
      <c r="DA365" s="16">
        <v>3</v>
      </c>
      <c r="DB365" s="16">
        <v>1140</v>
      </c>
      <c r="DC365" s="16">
        <f t="shared" si="585"/>
        <v>212</v>
      </c>
      <c r="DD365" s="16">
        <v>928</v>
      </c>
      <c r="DE365" s="16">
        <v>893</v>
      </c>
      <c r="DF365" s="16">
        <f t="shared" si="611"/>
        <v>35</v>
      </c>
      <c r="DG365" s="16"/>
      <c r="DI365" s="18">
        <v>2022</v>
      </c>
      <c r="DJ365" s="21" t="s">
        <v>47</v>
      </c>
      <c r="DK365" s="44">
        <f t="shared" si="612"/>
        <v>0.62903225806451613</v>
      </c>
      <c r="DL365" s="44">
        <f t="shared" si="613"/>
        <v>0.967741935483871</v>
      </c>
      <c r="DM365" s="44">
        <f t="shared" si="614"/>
        <v>0.65</v>
      </c>
      <c r="DN365" s="16">
        <v>20</v>
      </c>
      <c r="DO365" s="16">
        <v>3</v>
      </c>
      <c r="DP365" s="16">
        <v>620</v>
      </c>
      <c r="DQ365" s="16">
        <f t="shared" si="624"/>
        <v>217</v>
      </c>
      <c r="DR365" s="16">
        <v>403</v>
      </c>
      <c r="DS365" s="16">
        <v>390</v>
      </c>
      <c r="DT365" s="16">
        <f t="shared" si="615"/>
        <v>13</v>
      </c>
      <c r="DU365" s="16"/>
      <c r="DW365" s="18">
        <v>2022</v>
      </c>
      <c r="DX365" s="21" t="s">
        <v>47</v>
      </c>
      <c r="DY365" s="44">
        <f t="shared" si="616"/>
        <v>0.48853503184713376</v>
      </c>
      <c r="DZ365" s="44">
        <f t="shared" si="617"/>
        <v>0.615569823434992</v>
      </c>
      <c r="EA365" s="44">
        <f t="shared" si="618"/>
        <v>0.79363057324840769</v>
      </c>
      <c r="EB365" s="16">
        <v>42</v>
      </c>
      <c r="EC365" s="16">
        <v>3</v>
      </c>
      <c r="ED365" s="16">
        <v>1570</v>
      </c>
      <c r="EE365" s="16">
        <f t="shared" si="586"/>
        <v>324</v>
      </c>
      <c r="EF365" s="16">
        <v>1246</v>
      </c>
      <c r="EG365" s="16">
        <v>767</v>
      </c>
      <c r="EH365" s="16">
        <f t="shared" si="619"/>
        <v>479</v>
      </c>
      <c r="EI365" s="16"/>
      <c r="EK365" s="18">
        <v>2022</v>
      </c>
      <c r="EL365" s="21" t="s">
        <v>47</v>
      </c>
      <c r="EM365" s="44">
        <f t="shared" si="620"/>
        <v>0.92903225806451617</v>
      </c>
      <c r="EN365" s="44">
        <f t="shared" si="621"/>
        <v>0.94736842105263153</v>
      </c>
      <c r="EO365" s="44">
        <f t="shared" si="622"/>
        <v>0.98064516129032253</v>
      </c>
      <c r="EP365" s="16">
        <v>10</v>
      </c>
      <c r="EQ365" s="16">
        <v>3</v>
      </c>
      <c r="ER365" s="16">
        <v>310</v>
      </c>
      <c r="ES365" s="16">
        <f t="shared" si="587"/>
        <v>6</v>
      </c>
      <c r="ET365" s="16">
        <v>304</v>
      </c>
      <c r="EU365" s="16">
        <v>288</v>
      </c>
      <c r="EV365" s="16">
        <f t="shared" si="623"/>
        <v>16</v>
      </c>
      <c r="EW365" s="16"/>
      <c r="EZ365" s="21"/>
      <c r="FA365" s="44"/>
      <c r="FB365" s="44"/>
      <c r="FC365" s="44"/>
      <c r="FD365" s="16"/>
      <c r="FE365" s="16"/>
      <c r="FF365" s="16"/>
      <c r="FG365" s="16"/>
      <c r="FH365" s="16"/>
      <c r="FI365" s="16"/>
      <c r="FJ365" s="16"/>
      <c r="FK365" s="16"/>
      <c r="FN365" s="21"/>
      <c r="FO365" s="44"/>
      <c r="FP365" s="44"/>
      <c r="FQ365" s="44"/>
      <c r="FR365" s="16"/>
      <c r="FS365" s="16"/>
      <c r="FT365" s="16"/>
      <c r="FU365" s="16"/>
      <c r="FV365" s="16"/>
      <c r="FW365" s="16"/>
      <c r="FX365" s="16"/>
      <c r="FY365" s="16"/>
      <c r="GB365" s="21"/>
      <c r="GC365" s="44"/>
      <c r="GD365" s="44"/>
      <c r="GE365" s="44"/>
      <c r="GF365" s="16"/>
      <c r="GG365" s="16"/>
      <c r="GH365" s="16"/>
      <c r="GI365" s="16"/>
      <c r="GJ365" s="16"/>
      <c r="GK365" s="16"/>
      <c r="GL365" s="16"/>
      <c r="GM365" s="16"/>
    </row>
    <row r="366" spans="1:195" s="18" customFormat="1" ht="15" customHeight="1">
      <c r="A366" s="18">
        <v>2023</v>
      </c>
      <c r="B366" s="21" t="s">
        <v>36</v>
      </c>
      <c r="C366" s="15">
        <f t="shared" ref="C366:C371" si="625">K366/H366</f>
        <v>0.69536019536019533</v>
      </c>
      <c r="D366" s="15">
        <f t="shared" ref="D366:D371" si="626">K366/J366</f>
        <v>0.7939864299656102</v>
      </c>
      <c r="E366" s="15">
        <f t="shared" ref="E366:E371" si="627">J366/H366</f>
        <v>0.87578347578347582</v>
      </c>
      <c r="F366"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66"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6.1404405613904638</v>
      </c>
      <c r="H366" s="16">
        <f>+V366+AX366+BL366+CN366+DB366+DP366+ED366+BZ366+ER366+ROC_Ca_Mo[[#This Row],[Trenes Programados]]+ROC_Ca_Lo[[#This Row],[Trenes Programados]]+ROC_T_Un_LP[[#This Row],[Trenes Programados]]</f>
        <v>24570</v>
      </c>
      <c r="I366" s="16">
        <f t="shared" ref="I366:I371" si="628">H366-J366</f>
        <v>3052</v>
      </c>
      <c r="J366" s="16">
        <f>+X366+AZ366+BN366+CP366+DD366+DR366+EF366+CB366+ET366+ROC_Ca_Mo[[#This Row],[Trenes Corridos]]+ROC_Ca_Lo[[#This Row],[Trenes Corridos]]+ROC_T_Un_LP[[#This Row],[Trenes Corridos]]</f>
        <v>21518</v>
      </c>
      <c r="K366" s="16">
        <f>+Y366+BA366+BO366+CQ366+DE366+DS366+EG366+CC366+EU366+ROC_Ca_Mo[[#This Row],[Trenes Puntuales]]+ROC_Ca_Lo[[#This Row],[Trenes Puntuales]]+ROC_T_Un_LP[[#This Row],[Trenes Puntuales]]</f>
        <v>17085</v>
      </c>
      <c r="L366" s="16">
        <f t="shared" ref="L366:L371" si="629">J366-K366</f>
        <v>4433</v>
      </c>
      <c r="M366" s="126" t="s">
        <v>143</v>
      </c>
      <c r="O366" s="18">
        <v>2023</v>
      </c>
      <c r="P366" s="21" t="s">
        <v>36</v>
      </c>
      <c r="Q366" s="44">
        <f t="shared" ref="Q366:Q371" si="630">Y366/V366</f>
        <v>0.87129665255867639</v>
      </c>
      <c r="R366" s="44">
        <f t="shared" ref="R366:R371" si="631">Y366/X366</f>
        <v>0.88786512448539501</v>
      </c>
      <c r="S366" s="44">
        <f t="shared" ref="S366:S371" si="632">X366/V366</f>
        <v>0.98133897652943436</v>
      </c>
      <c r="T366" s="16">
        <v>198</v>
      </c>
      <c r="U366" s="16">
        <v>7</v>
      </c>
      <c r="V366" s="16">
        <v>5198</v>
      </c>
      <c r="W366" s="16">
        <f t="shared" ref="W366:W371" si="633">V366-X366</f>
        <v>97</v>
      </c>
      <c r="X366" s="16">
        <v>5101</v>
      </c>
      <c r="Y366" s="16">
        <v>4529</v>
      </c>
      <c r="Z366" s="16">
        <f t="shared" ref="Z366:Z371" si="634">X366-Y366</f>
        <v>572</v>
      </c>
      <c r="AA366" s="16"/>
      <c r="AC366" s="84"/>
      <c r="AD366" s="85"/>
      <c r="AE366" s="44"/>
      <c r="AF366" s="44"/>
      <c r="AG366" s="44"/>
      <c r="AH366" s="44"/>
      <c r="AI366" s="44"/>
      <c r="AJ366" s="16"/>
      <c r="AK366" s="16"/>
      <c r="AL366" s="16"/>
      <c r="AM366" s="16"/>
      <c r="AN366" s="16"/>
      <c r="AO366" s="16"/>
      <c r="AQ366" s="18">
        <v>2023</v>
      </c>
      <c r="AR366" s="21" t="s">
        <v>36</v>
      </c>
      <c r="AS366" s="44">
        <f t="shared" ref="AS366:AS371" si="635">BA366/AX366</f>
        <v>0.83211818879508825</v>
      </c>
      <c r="AT366" s="44">
        <f t="shared" ref="AT366:AT371" si="636">BA366/AZ366</f>
        <v>0.91944032223871108</v>
      </c>
      <c r="AU366" s="44">
        <f t="shared" ref="AU366:AU371" si="637">AZ366/AX366</f>
        <v>0.9050268610897928</v>
      </c>
      <c r="AV366" s="16">
        <v>192</v>
      </c>
      <c r="AW366" s="16">
        <v>7</v>
      </c>
      <c r="AX366" s="16">
        <v>5212</v>
      </c>
      <c r="AY366" s="16">
        <f t="shared" ref="AY366:AY371" si="638">AX366-AZ366</f>
        <v>495</v>
      </c>
      <c r="AZ366" s="16">
        <v>4717</v>
      </c>
      <c r="BA366" s="16">
        <v>4337</v>
      </c>
      <c r="BB366" s="16">
        <f t="shared" ref="BB366:BB371" si="639">AZ366-BA366</f>
        <v>380</v>
      </c>
      <c r="BC366" s="16"/>
      <c r="BE366" s="18">
        <v>2023</v>
      </c>
      <c r="BF366" s="21" t="s">
        <v>36</v>
      </c>
      <c r="BG366" s="44">
        <f t="shared" ref="BG366:BG371" si="640">BO366/BL366</f>
        <v>0.51788391518526455</v>
      </c>
      <c r="BH366" s="44">
        <f t="shared" ref="BH366:BH371" si="641">BO366/BN366</f>
        <v>0.66795580110497232</v>
      </c>
      <c r="BI366" s="44">
        <f t="shared" ref="BI366:BI371" si="642">BN366/BL366</f>
        <v>0.77532662240308414</v>
      </c>
      <c r="BJ366" s="16">
        <v>164</v>
      </c>
      <c r="BK366" s="16">
        <v>7</v>
      </c>
      <c r="BL366" s="16">
        <v>4669</v>
      </c>
      <c r="BM366" s="16">
        <f t="shared" ref="BM366:BM371" si="643">BL366-BN366</f>
        <v>1049</v>
      </c>
      <c r="BN366" s="16">
        <v>3620</v>
      </c>
      <c r="BO366" s="16">
        <v>2418</v>
      </c>
      <c r="BP366" s="16">
        <f t="shared" ref="BP366:BP371" si="644">BN366-BO366</f>
        <v>1202</v>
      </c>
      <c r="BQ366" s="16"/>
      <c r="BS366" s="18">
        <v>2023</v>
      </c>
      <c r="BT366" s="21" t="s">
        <v>36</v>
      </c>
      <c r="BU366" s="44">
        <f t="shared" ref="BU366:BU371" si="645">CC366/BZ366</f>
        <v>0.48311796581909128</v>
      </c>
      <c r="BV366" s="44">
        <f t="shared" ref="BV366:BV371" si="646">CC366/CB366</f>
        <v>0.56619443087445043</v>
      </c>
      <c r="BW366" s="44">
        <f t="shared" ref="BW366:BW371" si="647">CB366/BZ366</f>
        <v>0.8532721967486453</v>
      </c>
      <c r="BX366" s="16">
        <v>89</v>
      </c>
      <c r="BY366" s="16">
        <v>7</v>
      </c>
      <c r="BZ366" s="16">
        <v>2399</v>
      </c>
      <c r="CA366" s="16">
        <f t="shared" ref="CA366:CA371" si="648">BZ366-CB366</f>
        <v>352</v>
      </c>
      <c r="CB366" s="16">
        <v>2047</v>
      </c>
      <c r="CC366" s="16">
        <v>1159</v>
      </c>
      <c r="CD366" s="16">
        <f t="shared" ref="CD366:CD371" si="649">CB366-CC366</f>
        <v>888</v>
      </c>
      <c r="CE366" s="16"/>
      <c r="CG366" s="18">
        <v>2023</v>
      </c>
      <c r="CH366" s="21" t="s">
        <v>36</v>
      </c>
      <c r="CI366" s="44">
        <f t="shared" ref="CI366:CI371" si="650">CQ366/CN366</f>
        <v>0.44136960600375236</v>
      </c>
      <c r="CJ366" s="44">
        <f t="shared" ref="CJ366:CJ371" si="651">CQ366/CP366</f>
        <v>0.55713439905269391</v>
      </c>
      <c r="CK366" s="44">
        <f t="shared" ref="CK366:CK371" si="652">CP366/CN366</f>
        <v>0.79221388367729828</v>
      </c>
      <c r="CL366" s="16">
        <v>76</v>
      </c>
      <c r="CM366" s="16">
        <v>7</v>
      </c>
      <c r="CN366" s="16">
        <v>2132</v>
      </c>
      <c r="CO366" s="16">
        <f t="shared" ref="CO366:CO371" si="653">CN366-CP366</f>
        <v>443</v>
      </c>
      <c r="CP366" s="16">
        <v>1689</v>
      </c>
      <c r="CQ366" s="16">
        <v>941</v>
      </c>
      <c r="CR366" s="16">
        <f t="shared" ref="CR366:CR371" si="654">CP366-CQ366</f>
        <v>748</v>
      </c>
      <c r="CS366" s="16"/>
      <c r="CU366" s="18">
        <v>2023</v>
      </c>
      <c r="CV366" s="21" t="s">
        <v>36</v>
      </c>
      <c r="CW366" s="44">
        <f t="shared" ref="CW366:CW371" si="655">DE366/DB366</f>
        <v>0.84763572679509636</v>
      </c>
      <c r="CX366" s="44">
        <f t="shared" ref="CX366:CX371" si="656">DE366/DD366</f>
        <v>0.96993987975951901</v>
      </c>
      <c r="CY366" s="44">
        <f t="shared" ref="CY366:CY371" si="657">DD366/DB366</f>
        <v>0.87390542907180391</v>
      </c>
      <c r="CZ366" s="16">
        <v>36</v>
      </c>
      <c r="DA366" s="16">
        <v>3</v>
      </c>
      <c r="DB366" s="16">
        <v>1142</v>
      </c>
      <c r="DC366" s="16">
        <f t="shared" ref="DC366:DC371" si="658">DB366-DD366</f>
        <v>144</v>
      </c>
      <c r="DD366" s="16">
        <v>998</v>
      </c>
      <c r="DE366" s="16">
        <v>968</v>
      </c>
      <c r="DF366" s="16">
        <f t="shared" ref="DF366:DF371" si="659">DD366-DE366</f>
        <v>30</v>
      </c>
      <c r="DG366" s="16"/>
      <c r="DI366" s="18">
        <v>2023</v>
      </c>
      <c r="DJ366" s="21" t="s">
        <v>36</v>
      </c>
      <c r="DK366" s="44">
        <f t="shared" ref="DK366:DK371" si="660">DS366/DP366</f>
        <v>0.60967741935483866</v>
      </c>
      <c r="DL366" s="44">
        <f t="shared" ref="DL366:DL371" si="661">DS366/DR366</f>
        <v>0.94974874371859297</v>
      </c>
      <c r="DM366" s="44">
        <f t="shared" ref="DM366:DM371" si="662">DR366/DP366</f>
        <v>0.64193548387096777</v>
      </c>
      <c r="DN366" s="16">
        <v>20</v>
      </c>
      <c r="DO366" s="16">
        <v>3</v>
      </c>
      <c r="DP366" s="16">
        <v>620</v>
      </c>
      <c r="DQ366" s="16">
        <f t="shared" si="624"/>
        <v>222</v>
      </c>
      <c r="DR366" s="16">
        <v>398</v>
      </c>
      <c r="DS366" s="16">
        <v>378</v>
      </c>
      <c r="DT366" s="16">
        <f t="shared" ref="DT366:DT371" si="663">DR366-DS366</f>
        <v>20</v>
      </c>
      <c r="DU366" s="16"/>
      <c r="DW366" s="18">
        <v>2023</v>
      </c>
      <c r="DX366" s="21" t="s">
        <v>36</v>
      </c>
      <c r="DY366" s="44">
        <f t="shared" ref="DY366:DY371" si="664">EG366/ED366</f>
        <v>0.59405339805825241</v>
      </c>
      <c r="DZ366" s="44">
        <f t="shared" ref="DZ366:DZ371" si="665">EG366/EF366</f>
        <v>0.67146776406035669</v>
      </c>
      <c r="EA366" s="44">
        <f t="shared" ref="EA366:EA371" si="666">EF366/ED366</f>
        <v>0.88470873786407767</v>
      </c>
      <c r="EB366" s="16">
        <v>42</v>
      </c>
      <c r="EC366" s="16">
        <v>3</v>
      </c>
      <c r="ED366" s="16">
        <v>1648</v>
      </c>
      <c r="EE366" s="16">
        <f t="shared" ref="EE366:EE371" si="667">ED366-EF366</f>
        <v>190</v>
      </c>
      <c r="EF366" s="16">
        <v>1458</v>
      </c>
      <c r="EG366" s="16">
        <v>979</v>
      </c>
      <c r="EH366" s="16">
        <f t="shared" ref="EH366:EH371" si="668">EF366-EG366</f>
        <v>479</v>
      </c>
      <c r="EI366" s="16"/>
      <c r="EK366" s="18">
        <v>2023</v>
      </c>
      <c r="EL366" s="21" t="s">
        <v>36</v>
      </c>
      <c r="EM366" s="44">
        <f t="shared" ref="EM366:EM371" si="669">EU366/ER366</f>
        <v>0.8774193548387097</v>
      </c>
      <c r="EN366" s="44">
        <f t="shared" ref="EN366:EN371" si="670">EU366/ET366</f>
        <v>0.8774193548387097</v>
      </c>
      <c r="EO366" s="44">
        <f t="shared" ref="EO366:EO371" si="671">ET366/ER366</f>
        <v>1</v>
      </c>
      <c r="EP366" s="16">
        <v>10</v>
      </c>
      <c r="EQ366" s="16">
        <v>3</v>
      </c>
      <c r="ER366" s="16">
        <v>310</v>
      </c>
      <c r="ES366" s="16">
        <f t="shared" ref="ES366:ES386" si="672">ER366-ET366</f>
        <v>0</v>
      </c>
      <c r="ET366" s="16">
        <v>310</v>
      </c>
      <c r="EU366" s="16">
        <v>272</v>
      </c>
      <c r="EV366" s="16">
        <f t="shared" ref="EV366:EV371" si="673">ET366-EU366</f>
        <v>38</v>
      </c>
      <c r="EW366" s="16"/>
      <c r="EY366" s="18">
        <v>2023</v>
      </c>
      <c r="EZ366" s="21" t="s">
        <v>36</v>
      </c>
      <c r="FA366" s="44">
        <f t="shared" ref="FA366:FA371" si="674">FI366/FF366</f>
        <v>0.8774193548387097</v>
      </c>
      <c r="FB366" s="44">
        <f t="shared" ref="FB366:FB371" si="675">FI366/FH366</f>
        <v>0.8774193548387097</v>
      </c>
      <c r="FC366" s="44">
        <f t="shared" ref="FC366:FC371" si="676">FH366/FF366</f>
        <v>1</v>
      </c>
      <c r="FD366" s="16">
        <v>8</v>
      </c>
      <c r="FE366" s="16">
        <v>3</v>
      </c>
      <c r="FF366" s="16">
        <v>310</v>
      </c>
      <c r="FG366" s="16">
        <f t="shared" ref="FG366:FG371" si="677">FF366-FH366</f>
        <v>0</v>
      </c>
      <c r="FH366" s="16">
        <v>310</v>
      </c>
      <c r="FI366" s="16">
        <v>272</v>
      </c>
      <c r="FJ366" s="16">
        <f t="shared" ref="FJ366:FJ371" si="678">FH366-FI366</f>
        <v>38</v>
      </c>
      <c r="FK366" s="19" t="s">
        <v>122</v>
      </c>
      <c r="FM366" s="18">
        <v>2023</v>
      </c>
      <c r="FN366" s="21" t="s">
        <v>36</v>
      </c>
      <c r="FO366" s="44">
        <f t="shared" ref="FO366:FO371" si="679">FW366/FT366</f>
        <v>0.8774193548387097</v>
      </c>
      <c r="FP366" s="44">
        <f t="shared" ref="FP366:FP371" si="680">FW366/FV366</f>
        <v>0.8774193548387097</v>
      </c>
      <c r="FQ366" s="44">
        <f t="shared" ref="FQ366:FQ371" si="681">FV366/FT366</f>
        <v>1</v>
      </c>
      <c r="FR366" s="16">
        <v>8</v>
      </c>
      <c r="FS366" s="16">
        <v>3</v>
      </c>
      <c r="FT366" s="16">
        <v>310</v>
      </c>
      <c r="FU366" s="16">
        <f t="shared" ref="FU366:FU371" si="682">FT366-FV366</f>
        <v>0</v>
      </c>
      <c r="FV366" s="16">
        <v>310</v>
      </c>
      <c r="FW366" s="16">
        <v>272</v>
      </c>
      <c r="FX366" s="16">
        <f t="shared" ref="FX366:FX371" si="683">FV366-FW366</f>
        <v>38</v>
      </c>
      <c r="FY366" s="19" t="s">
        <v>122</v>
      </c>
      <c r="GA366" s="18">
        <v>2023</v>
      </c>
      <c r="GB366" s="21" t="s">
        <v>36</v>
      </c>
      <c r="GC366" s="44">
        <f t="shared" ref="GC366:GC371" si="684">GK366/GH366</f>
        <v>0.90322580645161288</v>
      </c>
      <c r="GD366" s="44">
        <f t="shared" ref="GD366:GD371" si="685">GK366/GJ366</f>
        <v>1</v>
      </c>
      <c r="GE366" s="44">
        <f t="shared" ref="GE366:GE371" si="686">GJ366/GH366</f>
        <v>0.90322580645161288</v>
      </c>
      <c r="GF366" s="16">
        <v>26</v>
      </c>
      <c r="GG366" s="16">
        <v>1</v>
      </c>
      <c r="GH366" s="16">
        <v>620</v>
      </c>
      <c r="GI366" s="16">
        <f t="shared" ref="GI366:GI371" si="687">GH366-GJ366</f>
        <v>60</v>
      </c>
      <c r="GJ366" s="16">
        <v>560</v>
      </c>
      <c r="GK366" s="16">
        <v>560</v>
      </c>
      <c r="GL366" s="16">
        <f t="shared" ref="GL366:GL371" si="688">GJ366-GK366</f>
        <v>0</v>
      </c>
      <c r="GM366" s="19" t="s">
        <v>126</v>
      </c>
    </row>
    <row r="367" spans="1:195" s="18" customFormat="1" ht="15" customHeight="1">
      <c r="A367" s="18">
        <v>2023</v>
      </c>
      <c r="B367" s="21" t="s">
        <v>37</v>
      </c>
      <c r="C367" s="15">
        <f t="shared" si="625"/>
        <v>0.67728640889094693</v>
      </c>
      <c r="D367" s="15">
        <f t="shared" si="626"/>
        <v>0.79588616205038909</v>
      </c>
      <c r="E367" s="15">
        <f t="shared" si="627"/>
        <v>0.85098402407964802</v>
      </c>
      <c r="F367"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67"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6.131087772759428</v>
      </c>
      <c r="H367" s="16">
        <f>+V367+AX367+BL367+CN367+DB367+DP367+ED367+BZ367+ER367+ROC_Ca_Mo[[#This Row],[Trenes Programados]]+ROC_Ca_Lo[[#This Row],[Trenes Programados]]+ROC_T_Un_LP[[#This Row],[Trenes Programados]]</f>
        <v>21595</v>
      </c>
      <c r="I367" s="16">
        <f t="shared" si="628"/>
        <v>3218</v>
      </c>
      <c r="J367" s="16">
        <f>+X367+AZ367+BN367+CP367+DD367+DR367+EF367+CB367+ET367+ROC_Ca_Mo[[#This Row],[Trenes Corridos]]+ROC_Ca_Lo[[#This Row],[Trenes Corridos]]+ROC_T_Un_LP[[#This Row],[Trenes Corridos]]</f>
        <v>18377</v>
      </c>
      <c r="K367" s="16">
        <f>+Y367+BA367+BO367+CQ367+DE367+DS367+EG367+CC367+EU367+ROC_Ca_Mo[[#This Row],[Trenes Puntuales]]+ROC_Ca_Lo[[#This Row],[Trenes Puntuales]]+ROC_T_Un_LP[[#This Row],[Trenes Puntuales]]</f>
        <v>14626</v>
      </c>
      <c r="L367" s="16">
        <f t="shared" si="629"/>
        <v>3751</v>
      </c>
      <c r="M367" s="19"/>
      <c r="O367" s="18">
        <v>2023</v>
      </c>
      <c r="P367" s="21" t="s">
        <v>37</v>
      </c>
      <c r="Q367" s="44">
        <f t="shared" si="630"/>
        <v>0.86447774349933892</v>
      </c>
      <c r="R367" s="44">
        <f t="shared" si="631"/>
        <v>0.88595302619692862</v>
      </c>
      <c r="S367" s="44">
        <f t="shared" si="632"/>
        <v>0.97576024680475981</v>
      </c>
      <c r="T367" s="16">
        <v>198</v>
      </c>
      <c r="U367" s="16">
        <v>7</v>
      </c>
      <c r="V367" s="16">
        <v>4538</v>
      </c>
      <c r="W367" s="16">
        <f t="shared" si="633"/>
        <v>110</v>
      </c>
      <c r="X367" s="16">
        <v>4428</v>
      </c>
      <c r="Y367" s="16">
        <v>3923</v>
      </c>
      <c r="Z367" s="16">
        <f t="shared" si="634"/>
        <v>505</v>
      </c>
      <c r="AA367" s="16"/>
      <c r="AC367" s="84"/>
      <c r="AD367" s="85"/>
      <c r="AE367" s="44"/>
      <c r="AF367" s="44"/>
      <c r="AG367" s="44"/>
      <c r="AH367" s="44"/>
      <c r="AI367" s="44"/>
      <c r="AJ367" s="16"/>
      <c r="AK367" s="16"/>
      <c r="AL367" s="16"/>
      <c r="AM367" s="16"/>
      <c r="AN367" s="16"/>
      <c r="AO367" s="16"/>
      <c r="AQ367" s="18">
        <v>2023</v>
      </c>
      <c r="AR367" s="21" t="s">
        <v>37</v>
      </c>
      <c r="AS367" s="44">
        <f t="shared" si="635"/>
        <v>0.75748898678414101</v>
      </c>
      <c r="AT367" s="44">
        <f t="shared" si="636"/>
        <v>0.92520850147968792</v>
      </c>
      <c r="AU367" s="44">
        <f t="shared" si="637"/>
        <v>0.81872246696035245</v>
      </c>
      <c r="AV367" s="16">
        <v>192</v>
      </c>
      <c r="AW367" s="16">
        <v>7</v>
      </c>
      <c r="AX367" s="16">
        <v>4540</v>
      </c>
      <c r="AY367" s="16">
        <f t="shared" si="638"/>
        <v>823</v>
      </c>
      <c r="AZ367" s="16">
        <v>3717</v>
      </c>
      <c r="BA367" s="16">
        <v>3439</v>
      </c>
      <c r="BB367" s="16">
        <f t="shared" si="639"/>
        <v>278</v>
      </c>
      <c r="BC367" s="16"/>
      <c r="BE367" s="18">
        <v>2023</v>
      </c>
      <c r="BF367" s="21" t="s">
        <v>37</v>
      </c>
      <c r="BG367" s="44">
        <f t="shared" si="640"/>
        <v>0.49903100775193798</v>
      </c>
      <c r="BH367" s="44">
        <f t="shared" si="641"/>
        <v>0.67740874712265697</v>
      </c>
      <c r="BI367" s="44">
        <f t="shared" si="642"/>
        <v>0.73667635658914732</v>
      </c>
      <c r="BJ367" s="16">
        <v>164</v>
      </c>
      <c r="BK367" s="16">
        <v>7</v>
      </c>
      <c r="BL367" s="16">
        <v>4128</v>
      </c>
      <c r="BM367" s="16">
        <f t="shared" si="643"/>
        <v>1087</v>
      </c>
      <c r="BN367" s="16">
        <v>3041</v>
      </c>
      <c r="BO367" s="16">
        <v>2060</v>
      </c>
      <c r="BP367" s="16">
        <f t="shared" si="644"/>
        <v>981</v>
      </c>
      <c r="BQ367" s="16"/>
      <c r="BS367" s="18">
        <v>2023</v>
      </c>
      <c r="BT367" s="21" t="s">
        <v>37</v>
      </c>
      <c r="BU367" s="44">
        <f t="shared" si="645"/>
        <v>0.55049786628733999</v>
      </c>
      <c r="BV367" s="44">
        <f t="shared" si="646"/>
        <v>0.58577194752774975</v>
      </c>
      <c r="BW367" s="44">
        <f t="shared" si="647"/>
        <v>0.93978188715030819</v>
      </c>
      <c r="BX367" s="16">
        <v>89</v>
      </c>
      <c r="BY367" s="16">
        <v>7</v>
      </c>
      <c r="BZ367" s="16">
        <v>2109</v>
      </c>
      <c r="CA367" s="16">
        <f t="shared" si="648"/>
        <v>127</v>
      </c>
      <c r="CB367" s="16">
        <v>1982</v>
      </c>
      <c r="CC367" s="16">
        <v>1161</v>
      </c>
      <c r="CD367" s="16">
        <f t="shared" si="649"/>
        <v>821</v>
      </c>
      <c r="CE367" s="16"/>
      <c r="CG367" s="18">
        <v>2023</v>
      </c>
      <c r="CH367" s="21" t="s">
        <v>37</v>
      </c>
      <c r="CI367" s="44">
        <f t="shared" si="650"/>
        <v>0.43803418803418803</v>
      </c>
      <c r="CJ367" s="44">
        <f t="shared" si="651"/>
        <v>0.55630936227951155</v>
      </c>
      <c r="CK367" s="44">
        <f t="shared" si="652"/>
        <v>0.78739316239316237</v>
      </c>
      <c r="CL367" s="16">
        <v>76</v>
      </c>
      <c r="CM367" s="16">
        <v>7</v>
      </c>
      <c r="CN367" s="16">
        <v>1872</v>
      </c>
      <c r="CO367" s="16">
        <f t="shared" si="653"/>
        <v>398</v>
      </c>
      <c r="CP367" s="16">
        <v>1474</v>
      </c>
      <c r="CQ367" s="16">
        <v>820</v>
      </c>
      <c r="CR367" s="16">
        <f t="shared" si="654"/>
        <v>654</v>
      </c>
      <c r="CS367" s="16"/>
      <c r="CU367" s="18">
        <v>2023</v>
      </c>
      <c r="CV367" s="21" t="s">
        <v>37</v>
      </c>
      <c r="CW367" s="44">
        <f t="shared" si="655"/>
        <v>0.77087378640776694</v>
      </c>
      <c r="CX367" s="44">
        <f t="shared" si="656"/>
        <v>0.95547533092659442</v>
      </c>
      <c r="CY367" s="44">
        <f t="shared" si="657"/>
        <v>0.80679611650485439</v>
      </c>
      <c r="CZ367" s="16">
        <v>36</v>
      </c>
      <c r="DA367" s="16">
        <v>3</v>
      </c>
      <c r="DB367" s="16">
        <v>1030</v>
      </c>
      <c r="DC367" s="16">
        <f t="shared" si="658"/>
        <v>199</v>
      </c>
      <c r="DD367" s="16">
        <v>831</v>
      </c>
      <c r="DE367" s="16">
        <v>794</v>
      </c>
      <c r="DF367" s="16">
        <f t="shared" si="659"/>
        <v>37</v>
      </c>
      <c r="DG367" s="16"/>
      <c r="DI367" s="18">
        <v>2023</v>
      </c>
      <c r="DJ367" s="21" t="s">
        <v>37</v>
      </c>
      <c r="DK367" s="44">
        <f t="shared" si="660"/>
        <v>0.63035714285714284</v>
      </c>
      <c r="DL367" s="44">
        <f t="shared" si="661"/>
        <v>0.94385026737967914</v>
      </c>
      <c r="DM367" s="44">
        <f t="shared" si="662"/>
        <v>0.66785714285714282</v>
      </c>
      <c r="DN367" s="16">
        <v>20</v>
      </c>
      <c r="DO367" s="16">
        <v>3</v>
      </c>
      <c r="DP367" s="16">
        <v>560</v>
      </c>
      <c r="DQ367" s="16">
        <f t="shared" si="624"/>
        <v>186</v>
      </c>
      <c r="DR367" s="16">
        <v>374</v>
      </c>
      <c r="DS367" s="16">
        <v>353</v>
      </c>
      <c r="DT367" s="16">
        <f t="shared" si="663"/>
        <v>21</v>
      </c>
      <c r="DU367" s="16"/>
      <c r="DW367" s="18">
        <v>2023</v>
      </c>
      <c r="DX367" s="21" t="s">
        <v>37</v>
      </c>
      <c r="DY367" s="44">
        <f t="shared" si="664"/>
        <v>0.56155950752393979</v>
      </c>
      <c r="DZ367" s="44">
        <f t="shared" si="665"/>
        <v>0.69458544839255498</v>
      </c>
      <c r="EA367" s="44">
        <f t="shared" si="666"/>
        <v>0.80848153214774277</v>
      </c>
      <c r="EB367" s="16">
        <v>42</v>
      </c>
      <c r="EC367" s="16">
        <v>3</v>
      </c>
      <c r="ED367" s="16">
        <v>1462</v>
      </c>
      <c r="EE367" s="16">
        <f t="shared" si="667"/>
        <v>280</v>
      </c>
      <c r="EF367" s="16">
        <v>1182</v>
      </c>
      <c r="EG367" s="16">
        <v>821</v>
      </c>
      <c r="EH367" s="16">
        <f t="shared" si="668"/>
        <v>361</v>
      </c>
      <c r="EI367" s="16"/>
      <c r="EK367" s="18">
        <v>2023</v>
      </c>
      <c r="EL367" s="21" t="s">
        <v>37</v>
      </c>
      <c r="EM367" s="44">
        <f t="shared" si="669"/>
        <v>0.88214285714285712</v>
      </c>
      <c r="EN367" s="44">
        <f t="shared" si="670"/>
        <v>0.88848920863309355</v>
      </c>
      <c r="EO367" s="44">
        <f t="shared" si="671"/>
        <v>0.99285714285714288</v>
      </c>
      <c r="EP367" s="16">
        <v>10</v>
      </c>
      <c r="EQ367" s="16">
        <v>3</v>
      </c>
      <c r="ER367" s="16">
        <v>280</v>
      </c>
      <c r="ES367" s="16">
        <f t="shared" si="672"/>
        <v>2</v>
      </c>
      <c r="ET367" s="16">
        <v>278</v>
      </c>
      <c r="EU367" s="16">
        <v>247</v>
      </c>
      <c r="EV367" s="16">
        <f t="shared" si="673"/>
        <v>31</v>
      </c>
      <c r="EW367" s="16"/>
      <c r="EY367" s="18">
        <v>2023</v>
      </c>
      <c r="EZ367" s="21" t="s">
        <v>37</v>
      </c>
      <c r="FA367" s="44">
        <f t="shared" si="674"/>
        <v>0.88214285714285712</v>
      </c>
      <c r="FB367" s="44">
        <f t="shared" si="675"/>
        <v>0.88848920863309355</v>
      </c>
      <c r="FC367" s="44">
        <f t="shared" si="676"/>
        <v>0.99285714285714288</v>
      </c>
      <c r="FD367" s="16">
        <v>8</v>
      </c>
      <c r="FE367" s="16">
        <v>3</v>
      </c>
      <c r="FF367" s="16">
        <v>280</v>
      </c>
      <c r="FG367" s="16">
        <f t="shared" si="677"/>
        <v>2</v>
      </c>
      <c r="FH367" s="16">
        <v>278</v>
      </c>
      <c r="FI367" s="16">
        <v>247</v>
      </c>
      <c r="FJ367" s="16">
        <f t="shared" si="678"/>
        <v>31</v>
      </c>
      <c r="FK367" s="19"/>
      <c r="FM367" s="18">
        <v>2023</v>
      </c>
      <c r="FN367" s="21" t="s">
        <v>37</v>
      </c>
      <c r="FO367" s="44">
        <f t="shared" si="679"/>
        <v>0.88214285714285712</v>
      </c>
      <c r="FP367" s="44">
        <f t="shared" si="680"/>
        <v>0.88848920863309355</v>
      </c>
      <c r="FQ367" s="44">
        <f t="shared" si="681"/>
        <v>0.99285714285714288</v>
      </c>
      <c r="FR367" s="16">
        <v>8</v>
      </c>
      <c r="FS367" s="16">
        <v>3</v>
      </c>
      <c r="FT367" s="16">
        <v>280</v>
      </c>
      <c r="FU367" s="16">
        <f t="shared" si="682"/>
        <v>2</v>
      </c>
      <c r="FV367" s="16">
        <v>278</v>
      </c>
      <c r="FW367" s="16">
        <v>247</v>
      </c>
      <c r="FX367" s="16">
        <f t="shared" si="683"/>
        <v>31</v>
      </c>
      <c r="FY367" s="19"/>
      <c r="GA367" s="18">
        <v>2023</v>
      </c>
      <c r="GB367" s="21" t="s">
        <v>37</v>
      </c>
      <c r="GC367" s="44">
        <f t="shared" si="684"/>
        <v>0.99612403100775193</v>
      </c>
      <c r="GD367" s="44">
        <f t="shared" si="685"/>
        <v>1</v>
      </c>
      <c r="GE367" s="44">
        <f t="shared" si="686"/>
        <v>0.99612403100775193</v>
      </c>
      <c r="GF367" s="16">
        <v>26</v>
      </c>
      <c r="GG367" s="16">
        <v>1</v>
      </c>
      <c r="GH367" s="16">
        <v>516</v>
      </c>
      <c r="GI367" s="16">
        <f t="shared" si="687"/>
        <v>2</v>
      </c>
      <c r="GJ367" s="16">
        <v>514</v>
      </c>
      <c r="GK367" s="16">
        <v>514</v>
      </c>
      <c r="GL367" s="16">
        <f t="shared" si="688"/>
        <v>0</v>
      </c>
      <c r="GM367" s="19"/>
    </row>
    <row r="368" spans="1:195" s="18" customFormat="1" ht="15" customHeight="1">
      <c r="A368" s="109">
        <v>2023</v>
      </c>
      <c r="B368" s="87" t="s">
        <v>38</v>
      </c>
      <c r="C368" s="15">
        <f t="shared" si="625"/>
        <v>0.61357391839245434</v>
      </c>
      <c r="D368" s="15">
        <f t="shared" si="626"/>
        <v>0.73124480719417428</v>
      </c>
      <c r="E368" s="15">
        <f t="shared" si="627"/>
        <v>0.83908140250153784</v>
      </c>
      <c r="F368"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68"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6.1725722105468943</v>
      </c>
      <c r="H368" s="16">
        <f>+V368+AX368+BL368+CN368+DB368+DP368+ED368+BZ368+ER368+ROC_Ca_Mo[[#This Row],[Trenes Programados]]+ROC_Ca_Lo[[#This Row],[Trenes Programados]]+ROC_T_Un_LP[[#This Row],[Trenes Programados]]</f>
        <v>24385</v>
      </c>
      <c r="I368" s="16">
        <f t="shared" si="628"/>
        <v>3924</v>
      </c>
      <c r="J368" s="16">
        <f>+X368+AZ368+BN368+CP368+DD368+DR368+EF368+CB368+ET368+ROC_Ca_Mo[[#This Row],[Trenes Corridos]]+ROC_Ca_Lo[[#This Row],[Trenes Corridos]]+ROC_T_Un_LP[[#This Row],[Trenes Corridos]]</f>
        <v>20461</v>
      </c>
      <c r="K368" s="16">
        <f>+Y368+BA368+BO368+CQ368+DE368+DS368+EG368+CC368+EU368+ROC_Ca_Mo[[#This Row],[Trenes Puntuales]]+ROC_Ca_Lo[[#This Row],[Trenes Puntuales]]+ROC_T_Un_LP[[#This Row],[Trenes Puntuales]]</f>
        <v>14962</v>
      </c>
      <c r="L368" s="16">
        <f t="shared" si="629"/>
        <v>5499</v>
      </c>
      <c r="M368" s="16"/>
      <c r="O368" s="18">
        <v>2023</v>
      </c>
      <c r="P368" s="87" t="s">
        <v>38</v>
      </c>
      <c r="Q368" s="44">
        <f t="shared" si="630"/>
        <v>0.79796623177283188</v>
      </c>
      <c r="R368" s="44">
        <f t="shared" si="631"/>
        <v>0.83935418768920278</v>
      </c>
      <c r="S368" s="44">
        <f t="shared" si="632"/>
        <v>0.95069071373752878</v>
      </c>
      <c r="T368" s="16">
        <v>198</v>
      </c>
      <c r="U368" s="16">
        <v>7</v>
      </c>
      <c r="V368" s="16">
        <v>5212</v>
      </c>
      <c r="W368" s="16">
        <f t="shared" si="633"/>
        <v>257</v>
      </c>
      <c r="X368" s="16">
        <v>4955</v>
      </c>
      <c r="Y368" s="16">
        <v>4159</v>
      </c>
      <c r="Z368" s="16">
        <f t="shared" si="634"/>
        <v>796</v>
      </c>
      <c r="AA368" s="16"/>
      <c r="AC368" s="109"/>
      <c r="AD368" s="110"/>
      <c r="AE368" s="44"/>
      <c r="AF368" s="44"/>
      <c r="AG368" s="44"/>
      <c r="AH368" s="44"/>
      <c r="AI368" s="44"/>
      <c r="AJ368" s="16"/>
      <c r="AK368" s="16"/>
      <c r="AL368" s="16"/>
      <c r="AM368" s="16"/>
      <c r="AN368" s="16"/>
      <c r="AO368" s="16"/>
      <c r="AQ368" s="109">
        <v>2023</v>
      </c>
      <c r="AR368" s="87" t="s">
        <v>38</v>
      </c>
      <c r="AS368" s="44">
        <f t="shared" si="635"/>
        <v>0.71220260936300839</v>
      </c>
      <c r="AT368" s="44">
        <f t="shared" si="636"/>
        <v>0.87259050305594732</v>
      </c>
      <c r="AU368" s="44">
        <f t="shared" si="637"/>
        <v>0.81619339984650807</v>
      </c>
      <c r="AV368" s="16">
        <v>192</v>
      </c>
      <c r="AW368" s="16">
        <v>7</v>
      </c>
      <c r="AX368" s="16">
        <v>5212</v>
      </c>
      <c r="AY368" s="16">
        <f t="shared" si="638"/>
        <v>958</v>
      </c>
      <c r="AZ368" s="16">
        <v>4254</v>
      </c>
      <c r="BA368" s="16">
        <v>3712</v>
      </c>
      <c r="BB368" s="16">
        <f t="shared" si="639"/>
        <v>542</v>
      </c>
      <c r="BC368" s="16"/>
      <c r="BE368" s="109">
        <v>2023</v>
      </c>
      <c r="BF368" s="87" t="s">
        <v>38</v>
      </c>
      <c r="BG368" s="44">
        <f t="shared" si="640"/>
        <v>0.40959725792630675</v>
      </c>
      <c r="BH368" s="44">
        <f t="shared" si="641"/>
        <v>0.55678509027373324</v>
      </c>
      <c r="BI368" s="44">
        <f t="shared" si="642"/>
        <v>0.73564695801199653</v>
      </c>
      <c r="BJ368" s="16">
        <v>164</v>
      </c>
      <c r="BK368" s="16">
        <v>7</v>
      </c>
      <c r="BL368" s="16">
        <v>4668</v>
      </c>
      <c r="BM368" s="16">
        <f t="shared" si="643"/>
        <v>1234</v>
      </c>
      <c r="BN368" s="16">
        <v>3434</v>
      </c>
      <c r="BO368" s="16">
        <v>1912</v>
      </c>
      <c r="BP368" s="16">
        <f t="shared" si="644"/>
        <v>1522</v>
      </c>
      <c r="BQ368" s="16"/>
      <c r="BS368" s="109">
        <v>2023</v>
      </c>
      <c r="BT368" s="87" t="s">
        <v>38</v>
      </c>
      <c r="BU368" s="44">
        <f t="shared" si="645"/>
        <v>0.45727386411004584</v>
      </c>
      <c r="BV368" s="44">
        <f t="shared" si="646"/>
        <v>0.50576302443522358</v>
      </c>
      <c r="BW368" s="44">
        <f t="shared" si="647"/>
        <v>0.90412671946644441</v>
      </c>
      <c r="BX368" s="16">
        <v>89</v>
      </c>
      <c r="BY368" s="16">
        <v>7</v>
      </c>
      <c r="BZ368" s="16">
        <v>2399</v>
      </c>
      <c r="CA368" s="16">
        <f t="shared" si="648"/>
        <v>230</v>
      </c>
      <c r="CB368" s="16">
        <v>2169</v>
      </c>
      <c r="CC368" s="16">
        <v>1097</v>
      </c>
      <c r="CD368" s="16">
        <f t="shared" si="649"/>
        <v>1072</v>
      </c>
      <c r="CE368" s="16"/>
      <c r="CG368" s="109">
        <v>2023</v>
      </c>
      <c r="CH368" s="87" t="s">
        <v>38</v>
      </c>
      <c r="CI368" s="44">
        <f t="shared" si="650"/>
        <v>0.39587242026266417</v>
      </c>
      <c r="CJ368" s="44">
        <f t="shared" si="651"/>
        <v>0.48984329657573999</v>
      </c>
      <c r="CK368" s="44">
        <f t="shared" si="652"/>
        <v>0.80816135084427765</v>
      </c>
      <c r="CL368" s="16">
        <v>76</v>
      </c>
      <c r="CM368" s="16">
        <v>7</v>
      </c>
      <c r="CN368" s="16">
        <v>2132</v>
      </c>
      <c r="CO368" s="16">
        <f t="shared" si="653"/>
        <v>409</v>
      </c>
      <c r="CP368" s="16">
        <v>1723</v>
      </c>
      <c r="CQ368" s="16">
        <v>844</v>
      </c>
      <c r="CR368" s="16">
        <f t="shared" si="654"/>
        <v>879</v>
      </c>
      <c r="CS368" s="16"/>
      <c r="CU368" s="109">
        <v>2023</v>
      </c>
      <c r="CV368" s="87" t="s">
        <v>38</v>
      </c>
      <c r="CW368" s="44">
        <f t="shared" si="655"/>
        <v>0.79228746713409293</v>
      </c>
      <c r="CX368" s="44">
        <f t="shared" si="656"/>
        <v>0.94461859979101359</v>
      </c>
      <c r="CY368" s="44">
        <f t="shared" si="657"/>
        <v>0.83873794916739697</v>
      </c>
      <c r="CZ368" s="16">
        <v>36</v>
      </c>
      <c r="DA368" s="16">
        <v>3</v>
      </c>
      <c r="DB368" s="16">
        <v>1141</v>
      </c>
      <c r="DC368" s="16">
        <f t="shared" si="658"/>
        <v>184</v>
      </c>
      <c r="DD368" s="16">
        <v>957</v>
      </c>
      <c r="DE368" s="16">
        <v>904</v>
      </c>
      <c r="DF368" s="16">
        <f t="shared" si="659"/>
        <v>53</v>
      </c>
      <c r="DG368" s="16"/>
      <c r="DI368" s="109">
        <v>2023</v>
      </c>
      <c r="DJ368" s="87" t="s">
        <v>38</v>
      </c>
      <c r="DK368" s="44">
        <f t="shared" si="660"/>
        <v>0.62096774193548387</v>
      </c>
      <c r="DL368" s="44">
        <f t="shared" si="661"/>
        <v>0.94594594594594594</v>
      </c>
      <c r="DM368" s="44">
        <f t="shared" si="662"/>
        <v>0.65645161290322585</v>
      </c>
      <c r="DN368" s="16">
        <v>20</v>
      </c>
      <c r="DO368" s="16">
        <v>3</v>
      </c>
      <c r="DP368" s="16">
        <v>620</v>
      </c>
      <c r="DQ368" s="16">
        <f t="shared" ref="DQ368:DQ386" si="689">DP368-DR368</f>
        <v>213</v>
      </c>
      <c r="DR368" s="16">
        <v>407</v>
      </c>
      <c r="DS368" s="16">
        <v>385</v>
      </c>
      <c r="DT368" s="16">
        <f t="shared" si="663"/>
        <v>22</v>
      </c>
      <c r="DU368" s="16"/>
      <c r="DW368" s="109">
        <v>2023</v>
      </c>
      <c r="DX368" s="87" t="s">
        <v>38</v>
      </c>
      <c r="DY368" s="44">
        <f t="shared" si="664"/>
        <v>0.49211165048543687</v>
      </c>
      <c r="DZ368" s="44">
        <f t="shared" si="665"/>
        <v>0.64263074484944538</v>
      </c>
      <c r="EA368" s="44">
        <f t="shared" si="666"/>
        <v>0.76577669902912626</v>
      </c>
      <c r="EB368" s="16">
        <v>42</v>
      </c>
      <c r="EC368" s="16">
        <v>3</v>
      </c>
      <c r="ED368" s="16">
        <v>1648</v>
      </c>
      <c r="EE368" s="16">
        <f t="shared" si="667"/>
        <v>386</v>
      </c>
      <c r="EF368" s="16">
        <v>1262</v>
      </c>
      <c r="EG368" s="16">
        <v>811</v>
      </c>
      <c r="EH368" s="16">
        <f t="shared" si="668"/>
        <v>451</v>
      </c>
      <c r="EI368" s="16"/>
      <c r="EK368" s="109">
        <v>2023</v>
      </c>
      <c r="EL368" s="87" t="s">
        <v>38</v>
      </c>
      <c r="EM368" s="44">
        <f t="shared" si="669"/>
        <v>0.88064516129032255</v>
      </c>
      <c r="EN368" s="44">
        <f t="shared" si="670"/>
        <v>0.90397350993377479</v>
      </c>
      <c r="EO368" s="44">
        <f t="shared" si="671"/>
        <v>0.97419354838709682</v>
      </c>
      <c r="EP368" s="16">
        <v>10</v>
      </c>
      <c r="EQ368" s="16">
        <v>3</v>
      </c>
      <c r="ER368" s="16">
        <v>310</v>
      </c>
      <c r="ES368" s="16">
        <f t="shared" si="672"/>
        <v>8</v>
      </c>
      <c r="ET368" s="16">
        <v>302</v>
      </c>
      <c r="EU368" s="16">
        <v>273</v>
      </c>
      <c r="EV368" s="16">
        <f t="shared" si="673"/>
        <v>29</v>
      </c>
      <c r="EW368" s="16"/>
      <c r="EY368" s="109">
        <v>2023</v>
      </c>
      <c r="EZ368" s="110" t="s">
        <v>38</v>
      </c>
      <c r="FA368" s="44">
        <f t="shared" si="674"/>
        <v>0.67452830188679247</v>
      </c>
      <c r="FB368" s="44">
        <f t="shared" si="675"/>
        <v>0.73333333333333328</v>
      </c>
      <c r="FC368" s="44">
        <f t="shared" si="676"/>
        <v>0.91981132075471694</v>
      </c>
      <c r="FD368" s="16">
        <v>8</v>
      </c>
      <c r="FE368" s="16">
        <v>3</v>
      </c>
      <c r="FF368" s="16">
        <v>212</v>
      </c>
      <c r="FG368" s="16">
        <f t="shared" si="677"/>
        <v>17</v>
      </c>
      <c r="FH368" s="16">
        <v>195</v>
      </c>
      <c r="FI368" s="16">
        <v>143</v>
      </c>
      <c r="FJ368" s="16">
        <f t="shared" si="678"/>
        <v>52</v>
      </c>
      <c r="FK368" s="16"/>
      <c r="FM368" s="109">
        <v>2023</v>
      </c>
      <c r="FN368" s="110" t="s">
        <v>38</v>
      </c>
      <c r="FO368" s="44">
        <f t="shared" si="679"/>
        <v>0.51886792452830188</v>
      </c>
      <c r="FP368" s="44">
        <f t="shared" si="680"/>
        <v>0.57894736842105265</v>
      </c>
      <c r="FQ368" s="44">
        <f t="shared" si="681"/>
        <v>0.89622641509433965</v>
      </c>
      <c r="FR368" s="16">
        <v>8</v>
      </c>
      <c r="FS368" s="16">
        <v>3</v>
      </c>
      <c r="FT368" s="16">
        <v>212</v>
      </c>
      <c r="FU368" s="16">
        <f t="shared" si="682"/>
        <v>22</v>
      </c>
      <c r="FV368" s="16">
        <v>190</v>
      </c>
      <c r="FW368" s="16">
        <v>110</v>
      </c>
      <c r="FX368" s="16">
        <f t="shared" si="683"/>
        <v>80</v>
      </c>
      <c r="FY368" s="16"/>
      <c r="GA368" s="109">
        <v>2023</v>
      </c>
      <c r="GB368" s="110" t="s">
        <v>38</v>
      </c>
      <c r="GC368" s="44">
        <f t="shared" si="684"/>
        <v>0.98869143780290791</v>
      </c>
      <c r="GD368" s="44">
        <f t="shared" si="685"/>
        <v>0.99836867862969003</v>
      </c>
      <c r="GE368" s="44">
        <f t="shared" si="686"/>
        <v>0.99030694668820674</v>
      </c>
      <c r="GF368" s="16">
        <v>26</v>
      </c>
      <c r="GG368" s="16">
        <v>1</v>
      </c>
      <c r="GH368" s="16">
        <v>619</v>
      </c>
      <c r="GI368" s="16">
        <f t="shared" si="687"/>
        <v>6</v>
      </c>
      <c r="GJ368" s="16">
        <v>613</v>
      </c>
      <c r="GK368" s="16">
        <v>612</v>
      </c>
      <c r="GL368" s="16">
        <f t="shared" si="688"/>
        <v>1</v>
      </c>
      <c r="GM368" s="16"/>
    </row>
    <row r="369" spans="1:195" s="18" customFormat="1" ht="15" customHeight="1">
      <c r="A369" s="111">
        <v>2023</v>
      </c>
      <c r="B369" s="112" t="s">
        <v>39</v>
      </c>
      <c r="C369" s="15">
        <f t="shared" si="625"/>
        <v>0.59695065688299132</v>
      </c>
      <c r="D369" s="15">
        <f t="shared" si="626"/>
        <v>0.70103199174406605</v>
      </c>
      <c r="E369" s="15">
        <f t="shared" si="627"/>
        <v>0.85153126235774856</v>
      </c>
      <c r="F369"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69"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6.1607843137254905</v>
      </c>
      <c r="H369" s="16">
        <f>+V369+AX369+BL369+CN369+DB369+DP369+ED369+BZ369+ER369+ROC_Ca_Mo[[#This Row],[Trenes Programados]]+ROC_Ca_Lo[[#This Row],[Trenes Programados]]+ROC_T_Un_LP[[#This Row],[Trenes Programados]]</f>
        <v>22759</v>
      </c>
      <c r="I369" s="16">
        <f t="shared" si="628"/>
        <v>3379</v>
      </c>
      <c r="J369" s="16">
        <f>+X369+AZ369+BN369+CP369+DD369+DR369+EF369+CB369+ET369+ROC_Ca_Mo[[#This Row],[Trenes Corridos]]+ROC_Ca_Lo[[#This Row],[Trenes Corridos]]+ROC_T_Un_LP[[#This Row],[Trenes Corridos]]</f>
        <v>19380</v>
      </c>
      <c r="K369" s="16">
        <f>+Y369+BA369+BO369+CQ369+DE369+DS369+EG369+CC369+EU369+ROC_Ca_Mo[[#This Row],[Trenes Puntuales]]+ROC_Ca_Lo[[#This Row],[Trenes Puntuales]]+ROC_T_Un_LP[[#This Row],[Trenes Puntuales]]</f>
        <v>13586</v>
      </c>
      <c r="L369" s="16">
        <f t="shared" si="629"/>
        <v>5794</v>
      </c>
      <c r="M369" s="16"/>
      <c r="O369" s="111">
        <v>2023</v>
      </c>
      <c r="P369" s="112" t="s">
        <v>39</v>
      </c>
      <c r="Q369" s="44">
        <f t="shared" si="630"/>
        <v>0.81382316313823166</v>
      </c>
      <c r="R369" s="44">
        <f t="shared" si="631"/>
        <v>0.85072683879366462</v>
      </c>
      <c r="S369" s="44">
        <f t="shared" si="632"/>
        <v>0.95662100456621002</v>
      </c>
      <c r="T369" s="16">
        <v>198</v>
      </c>
      <c r="U369" s="16">
        <v>7</v>
      </c>
      <c r="V369" s="16">
        <v>4818</v>
      </c>
      <c r="W369" s="16">
        <f t="shared" si="633"/>
        <v>209</v>
      </c>
      <c r="X369" s="16">
        <v>4609</v>
      </c>
      <c r="Y369" s="16">
        <v>3921</v>
      </c>
      <c r="Z369" s="16">
        <f t="shared" si="634"/>
        <v>688</v>
      </c>
      <c r="AA369" s="16"/>
      <c r="AC369" s="111"/>
      <c r="AD369" s="112"/>
      <c r="AE369" s="44"/>
      <c r="AF369" s="44"/>
      <c r="AG369" s="44"/>
      <c r="AH369" s="44"/>
      <c r="AI369" s="44"/>
      <c r="AJ369" s="16"/>
      <c r="AK369" s="16"/>
      <c r="AL369" s="16"/>
      <c r="AM369" s="16"/>
      <c r="AN369" s="16"/>
      <c r="AO369" s="16"/>
      <c r="AQ369" s="111">
        <v>2023</v>
      </c>
      <c r="AR369" s="112" t="s">
        <v>39</v>
      </c>
      <c r="AS369" s="44">
        <f t="shared" si="635"/>
        <v>0.64840182648401823</v>
      </c>
      <c r="AT369" s="44">
        <f t="shared" si="636"/>
        <v>0.80619354838709678</v>
      </c>
      <c r="AU369" s="44">
        <f t="shared" si="637"/>
        <v>0.80427563304275629</v>
      </c>
      <c r="AV369" s="16">
        <v>192</v>
      </c>
      <c r="AW369" s="16">
        <v>7</v>
      </c>
      <c r="AX369" s="16">
        <v>4818</v>
      </c>
      <c r="AY369" s="16">
        <f t="shared" si="638"/>
        <v>943</v>
      </c>
      <c r="AZ369" s="16">
        <v>3875</v>
      </c>
      <c r="BA369" s="16">
        <v>3124</v>
      </c>
      <c r="BB369" s="16">
        <f t="shared" si="639"/>
        <v>751</v>
      </c>
      <c r="BC369" s="16"/>
      <c r="BE369" s="111">
        <v>2023</v>
      </c>
      <c r="BF369" s="112" t="s">
        <v>39</v>
      </c>
      <c r="BG369" s="44">
        <f t="shared" si="640"/>
        <v>0.32075471698113206</v>
      </c>
      <c r="BH369" s="44">
        <f t="shared" si="641"/>
        <v>0.43136655457046774</v>
      </c>
      <c r="BI369" s="44">
        <f t="shared" si="642"/>
        <v>0.74357808592862018</v>
      </c>
      <c r="BJ369" s="16">
        <v>164</v>
      </c>
      <c r="BK369" s="16">
        <v>7</v>
      </c>
      <c r="BL369" s="16">
        <v>4399</v>
      </c>
      <c r="BM369" s="16">
        <f t="shared" si="643"/>
        <v>1128</v>
      </c>
      <c r="BN369" s="16">
        <v>3271</v>
      </c>
      <c r="BO369" s="16">
        <v>1411</v>
      </c>
      <c r="BP369" s="16">
        <f t="shared" si="644"/>
        <v>1860</v>
      </c>
      <c r="BQ369" s="16"/>
      <c r="BS369" s="111">
        <v>2023</v>
      </c>
      <c r="BT369" s="112" t="s">
        <v>39</v>
      </c>
      <c r="BU369" s="44">
        <f t="shared" si="645"/>
        <v>0.51511111111111108</v>
      </c>
      <c r="BV369" s="44">
        <f t="shared" si="646"/>
        <v>0.53582986592695325</v>
      </c>
      <c r="BW369" s="44">
        <f t="shared" si="647"/>
        <v>0.96133333333333337</v>
      </c>
      <c r="BX369" s="16">
        <v>89</v>
      </c>
      <c r="BY369" s="16">
        <v>7</v>
      </c>
      <c r="BZ369" s="16">
        <v>2250</v>
      </c>
      <c r="CA369" s="16">
        <f t="shared" si="648"/>
        <v>87</v>
      </c>
      <c r="CB369" s="16">
        <v>2163</v>
      </c>
      <c r="CC369" s="16">
        <v>1159</v>
      </c>
      <c r="CD369" s="16">
        <f t="shared" si="649"/>
        <v>1004</v>
      </c>
      <c r="CE369" s="16"/>
      <c r="CG369" s="111">
        <v>2023</v>
      </c>
      <c r="CH369" s="112" t="s">
        <v>39</v>
      </c>
      <c r="CI369" s="44">
        <f t="shared" si="650"/>
        <v>0.39407630522088355</v>
      </c>
      <c r="CJ369" s="44">
        <f t="shared" si="651"/>
        <v>0.47118847539015607</v>
      </c>
      <c r="CK369" s="44">
        <f t="shared" si="652"/>
        <v>0.83634538152610438</v>
      </c>
      <c r="CL369" s="16">
        <v>76</v>
      </c>
      <c r="CM369" s="16">
        <v>7</v>
      </c>
      <c r="CN369" s="16">
        <v>1992</v>
      </c>
      <c r="CO369" s="16">
        <f t="shared" si="653"/>
        <v>326</v>
      </c>
      <c r="CP369" s="16">
        <v>1666</v>
      </c>
      <c r="CQ369" s="16">
        <v>785</v>
      </c>
      <c r="CR369" s="16">
        <f t="shared" si="654"/>
        <v>881</v>
      </c>
      <c r="CS369" s="16"/>
      <c r="CU369" s="111">
        <v>2023</v>
      </c>
      <c r="CV369" s="112" t="s">
        <v>39</v>
      </c>
      <c r="CW369" s="44">
        <f t="shared" si="655"/>
        <v>0.84782608695652173</v>
      </c>
      <c r="CX369" s="44">
        <f t="shared" si="656"/>
        <v>0.95705521472392641</v>
      </c>
      <c r="CY369" s="44">
        <f t="shared" si="657"/>
        <v>0.88586956521739135</v>
      </c>
      <c r="CZ369" s="16">
        <v>36</v>
      </c>
      <c r="DA369" s="16">
        <v>3</v>
      </c>
      <c r="DB369" s="16">
        <v>1104</v>
      </c>
      <c r="DC369" s="16">
        <f t="shared" si="658"/>
        <v>126</v>
      </c>
      <c r="DD369" s="16">
        <v>978</v>
      </c>
      <c r="DE369" s="16">
        <v>936</v>
      </c>
      <c r="DF369" s="16">
        <f t="shared" si="659"/>
        <v>42</v>
      </c>
      <c r="DG369" s="16"/>
      <c r="DI369" s="111">
        <v>2023</v>
      </c>
      <c r="DJ369" s="112" t="s">
        <v>39</v>
      </c>
      <c r="DK369" s="44">
        <f t="shared" si="660"/>
        <v>0.58833333333333337</v>
      </c>
      <c r="DL369" s="44">
        <f t="shared" si="661"/>
        <v>0.96448087431693985</v>
      </c>
      <c r="DM369" s="44">
        <f t="shared" si="662"/>
        <v>0.61</v>
      </c>
      <c r="DN369" s="16">
        <v>20</v>
      </c>
      <c r="DO369" s="16">
        <v>3</v>
      </c>
      <c r="DP369" s="16">
        <v>600</v>
      </c>
      <c r="DQ369" s="16">
        <f t="shared" si="689"/>
        <v>234</v>
      </c>
      <c r="DR369" s="16">
        <v>366</v>
      </c>
      <c r="DS369" s="16">
        <v>353</v>
      </c>
      <c r="DT369" s="16">
        <f t="shared" si="663"/>
        <v>13</v>
      </c>
      <c r="DU369" s="16"/>
      <c r="DW369" s="111">
        <v>2023</v>
      </c>
      <c r="DX369" s="112" t="s">
        <v>39</v>
      </c>
      <c r="DY369" s="44">
        <f t="shared" si="664"/>
        <v>0.55598455598455598</v>
      </c>
      <c r="DZ369" s="44">
        <f t="shared" si="665"/>
        <v>0.68789808917197448</v>
      </c>
      <c r="EA369" s="44">
        <f t="shared" si="666"/>
        <v>0.80823680823680821</v>
      </c>
      <c r="EB369" s="16">
        <v>42</v>
      </c>
      <c r="EC369" s="16">
        <v>3</v>
      </c>
      <c r="ED369" s="16">
        <v>1554</v>
      </c>
      <c r="EE369" s="16">
        <f t="shared" si="667"/>
        <v>298</v>
      </c>
      <c r="EF369" s="16">
        <v>1256</v>
      </c>
      <c r="EG369" s="16">
        <v>864</v>
      </c>
      <c r="EH369" s="16">
        <f t="shared" si="668"/>
        <v>392</v>
      </c>
      <c r="EI369" s="16"/>
      <c r="EK369" s="111">
        <v>2023</v>
      </c>
      <c r="EL369" s="112" t="s">
        <v>39</v>
      </c>
      <c r="EM369" s="44">
        <f t="shared" si="669"/>
        <v>0.90333333333333332</v>
      </c>
      <c r="EN369" s="44">
        <f t="shared" si="670"/>
        <v>0.90939597315436238</v>
      </c>
      <c r="EO369" s="44">
        <f t="shared" si="671"/>
        <v>0.99333333333333329</v>
      </c>
      <c r="EP369" s="16">
        <v>10</v>
      </c>
      <c r="EQ369" s="16">
        <v>3</v>
      </c>
      <c r="ER369" s="16">
        <v>300</v>
      </c>
      <c r="ES369" s="16">
        <f t="shared" si="672"/>
        <v>2</v>
      </c>
      <c r="ET369" s="16">
        <v>298</v>
      </c>
      <c r="EU369" s="16">
        <v>271</v>
      </c>
      <c r="EV369" s="16">
        <f t="shared" si="673"/>
        <v>27</v>
      </c>
      <c r="EW369" s="16"/>
      <c r="EY369" s="111">
        <v>2023</v>
      </c>
      <c r="EZ369" s="112" t="s">
        <v>39</v>
      </c>
      <c r="FA369" s="44">
        <f t="shared" si="674"/>
        <v>0.63020833333333337</v>
      </c>
      <c r="FB369" s="44">
        <f t="shared" si="675"/>
        <v>0.6436170212765957</v>
      </c>
      <c r="FC369" s="44">
        <f t="shared" si="676"/>
        <v>0.97916666666666663</v>
      </c>
      <c r="FD369" s="16">
        <v>8</v>
      </c>
      <c r="FE369" s="16">
        <v>3</v>
      </c>
      <c r="FF369" s="16">
        <v>192</v>
      </c>
      <c r="FG369" s="16">
        <f t="shared" si="677"/>
        <v>4</v>
      </c>
      <c r="FH369" s="16">
        <v>188</v>
      </c>
      <c r="FI369" s="16">
        <v>121</v>
      </c>
      <c r="FJ369" s="16">
        <f t="shared" si="678"/>
        <v>67</v>
      </c>
      <c r="FK369" s="16"/>
      <c r="FM369" s="111">
        <v>2023</v>
      </c>
      <c r="FN369" s="112" t="s">
        <v>39</v>
      </c>
      <c r="FO369" s="44">
        <f t="shared" si="679"/>
        <v>0.52604166666666663</v>
      </c>
      <c r="FP369" s="44">
        <f t="shared" si="680"/>
        <v>0.59411764705882353</v>
      </c>
      <c r="FQ369" s="44">
        <f t="shared" si="681"/>
        <v>0.88541666666666663</v>
      </c>
      <c r="FR369" s="16">
        <v>8</v>
      </c>
      <c r="FS369" s="16">
        <v>3</v>
      </c>
      <c r="FT369" s="16">
        <v>192</v>
      </c>
      <c r="FU369" s="16">
        <f t="shared" si="682"/>
        <v>22</v>
      </c>
      <c r="FV369" s="16">
        <v>170</v>
      </c>
      <c r="FW369" s="16">
        <v>101</v>
      </c>
      <c r="FX369" s="16">
        <f t="shared" si="683"/>
        <v>69</v>
      </c>
      <c r="FY369" s="16"/>
      <c r="GA369" s="111">
        <v>2023</v>
      </c>
      <c r="GB369" s="112" t="s">
        <v>39</v>
      </c>
      <c r="GC369" s="44">
        <f t="shared" si="684"/>
        <v>1</v>
      </c>
      <c r="GD369" s="44">
        <f t="shared" si="685"/>
        <v>1</v>
      </c>
      <c r="GE369" s="44">
        <f t="shared" si="686"/>
        <v>1</v>
      </c>
      <c r="GF369" s="16">
        <v>26</v>
      </c>
      <c r="GG369" s="16">
        <v>1</v>
      </c>
      <c r="GH369" s="16">
        <v>540</v>
      </c>
      <c r="GI369" s="16">
        <f t="shared" si="687"/>
        <v>0</v>
      </c>
      <c r="GJ369" s="16">
        <v>540</v>
      </c>
      <c r="GK369" s="16">
        <v>540</v>
      </c>
      <c r="GL369" s="16">
        <f t="shared" si="688"/>
        <v>0</v>
      </c>
      <c r="GM369" s="16"/>
    </row>
    <row r="370" spans="1:195" s="18" customFormat="1" ht="15" customHeight="1">
      <c r="A370" s="120">
        <v>2023</v>
      </c>
      <c r="B370" s="121" t="s">
        <v>40</v>
      </c>
      <c r="C370" s="15">
        <f t="shared" si="625"/>
        <v>0.55863334862959413</v>
      </c>
      <c r="D370" s="15">
        <f t="shared" si="626"/>
        <v>0.68074830969447409</v>
      </c>
      <c r="E370" s="15">
        <f t="shared" si="627"/>
        <v>0.82061657836552504</v>
      </c>
      <c r="F370"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0"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6.1548980733058816</v>
      </c>
      <c r="H370" s="16">
        <f>+V370+AX370+BL370+CN370+DB370+DP370+ED370+BZ370+ER370+ROC_Ca_Mo[[#This Row],[Trenes Programados]]+ROC_Ca_Lo[[#This Row],[Trenes Programados]]+ROC_T_Un_LP[[#This Row],[Trenes Programados]]</f>
        <v>23971</v>
      </c>
      <c r="I370" s="16">
        <f t="shared" si="628"/>
        <v>4300</v>
      </c>
      <c r="J370" s="16">
        <f>+X370+AZ370+BN370+CP370+DD370+DR370+EF370+CB370+ET370+ROC_Ca_Mo[[#This Row],[Trenes Corridos]]+ROC_Ca_Lo[[#This Row],[Trenes Corridos]]+ROC_T_Un_LP[[#This Row],[Trenes Corridos]]</f>
        <v>19671</v>
      </c>
      <c r="K370" s="16">
        <f>+Y370+BA370+BO370+CQ370+DE370+DS370+EG370+CC370+EU370+ROC_Ca_Mo[[#This Row],[Trenes Puntuales]]+ROC_Ca_Lo[[#This Row],[Trenes Puntuales]]+ROC_T_Un_LP[[#This Row],[Trenes Puntuales]]</f>
        <v>13391</v>
      </c>
      <c r="L370" s="16">
        <f t="shared" si="629"/>
        <v>6280</v>
      </c>
      <c r="M370" s="16"/>
      <c r="O370" s="120">
        <v>2023</v>
      </c>
      <c r="P370" s="121" t="s">
        <v>40</v>
      </c>
      <c r="Q370" s="44">
        <f t="shared" si="630"/>
        <v>0.70729798473879868</v>
      </c>
      <c r="R370" s="44">
        <f t="shared" si="631"/>
        <v>0.76105263157894731</v>
      </c>
      <c r="S370" s="44">
        <f t="shared" si="632"/>
        <v>0.92936802973977695</v>
      </c>
      <c r="T370" s="16">
        <v>198</v>
      </c>
      <c r="U370" s="16">
        <v>7</v>
      </c>
      <c r="V370" s="16">
        <v>5111</v>
      </c>
      <c r="W370" s="16">
        <f t="shared" si="633"/>
        <v>361</v>
      </c>
      <c r="X370" s="16">
        <v>4750</v>
      </c>
      <c r="Y370" s="16">
        <v>3615</v>
      </c>
      <c r="Z370" s="16">
        <f t="shared" si="634"/>
        <v>1135</v>
      </c>
      <c r="AA370" s="16"/>
      <c r="AC370" s="129"/>
      <c r="AD370" s="130"/>
      <c r="AE370" s="44"/>
      <c r="AF370" s="44"/>
      <c r="AG370" s="44"/>
      <c r="AH370" s="44"/>
      <c r="AI370" s="44"/>
      <c r="AJ370" s="16"/>
      <c r="AK370" s="16"/>
      <c r="AL370" s="16"/>
      <c r="AM370" s="16"/>
      <c r="AN370" s="16"/>
      <c r="AO370" s="16"/>
      <c r="AQ370" s="120">
        <v>2023</v>
      </c>
      <c r="AR370" s="121" t="s">
        <v>40</v>
      </c>
      <c r="AS370" s="44">
        <f t="shared" si="635"/>
        <v>0.66399374144337964</v>
      </c>
      <c r="AT370" s="44">
        <f t="shared" si="636"/>
        <v>0.81767822736030826</v>
      </c>
      <c r="AU370" s="44">
        <f t="shared" si="637"/>
        <v>0.81204772149423043</v>
      </c>
      <c r="AV370" s="16">
        <v>192</v>
      </c>
      <c r="AW370" s="16">
        <v>7</v>
      </c>
      <c r="AX370" s="16">
        <v>5113</v>
      </c>
      <c r="AY370" s="16">
        <f t="shared" si="638"/>
        <v>961</v>
      </c>
      <c r="AZ370" s="16">
        <v>4152</v>
      </c>
      <c r="BA370" s="16">
        <v>3395</v>
      </c>
      <c r="BB370" s="16">
        <f t="shared" si="639"/>
        <v>757</v>
      </c>
      <c r="BC370" s="16"/>
      <c r="BE370" s="120">
        <v>2023</v>
      </c>
      <c r="BF370" s="121" t="s">
        <v>40</v>
      </c>
      <c r="BG370" s="44">
        <f t="shared" si="640"/>
        <v>0.27156480277416556</v>
      </c>
      <c r="BH370" s="44">
        <f t="shared" si="641"/>
        <v>0.40787760416666669</v>
      </c>
      <c r="BI370" s="44">
        <f t="shared" si="642"/>
        <v>0.66579973992197661</v>
      </c>
      <c r="BJ370" s="16">
        <v>164</v>
      </c>
      <c r="BK370" s="16">
        <v>7</v>
      </c>
      <c r="BL370" s="16">
        <v>4614</v>
      </c>
      <c r="BM370" s="16">
        <f t="shared" si="643"/>
        <v>1542</v>
      </c>
      <c r="BN370" s="16">
        <v>3072</v>
      </c>
      <c r="BO370" s="16">
        <v>1253</v>
      </c>
      <c r="BP370" s="16">
        <f t="shared" si="644"/>
        <v>1819</v>
      </c>
      <c r="BQ370" s="16"/>
      <c r="BS370" s="120">
        <v>2023</v>
      </c>
      <c r="BT370" s="121" t="s">
        <v>40</v>
      </c>
      <c r="BU370" s="44">
        <f t="shared" si="645"/>
        <v>0.50148116800677101</v>
      </c>
      <c r="BV370" s="44">
        <f t="shared" si="646"/>
        <v>0.52480070859167405</v>
      </c>
      <c r="BW370" s="44">
        <f t="shared" si="647"/>
        <v>0.9555649597968684</v>
      </c>
      <c r="BX370" s="16">
        <v>89</v>
      </c>
      <c r="BY370" s="16">
        <v>7</v>
      </c>
      <c r="BZ370" s="16">
        <v>2363</v>
      </c>
      <c r="CA370" s="16">
        <f t="shared" si="648"/>
        <v>105</v>
      </c>
      <c r="CB370" s="16">
        <v>2258</v>
      </c>
      <c r="CC370" s="16">
        <v>1185</v>
      </c>
      <c r="CD370" s="16">
        <f t="shared" si="649"/>
        <v>1073</v>
      </c>
      <c r="CE370" s="16"/>
      <c r="CG370" s="120">
        <v>2023</v>
      </c>
      <c r="CH370" s="121" t="s">
        <v>40</v>
      </c>
      <c r="CI370" s="44">
        <f t="shared" si="650"/>
        <v>0.34761904761904761</v>
      </c>
      <c r="CJ370" s="44">
        <f t="shared" si="651"/>
        <v>0.46290424857324031</v>
      </c>
      <c r="CK370" s="44">
        <f t="shared" si="652"/>
        <v>0.75095238095238093</v>
      </c>
      <c r="CL370" s="16">
        <v>76</v>
      </c>
      <c r="CM370" s="16">
        <v>7</v>
      </c>
      <c r="CN370" s="16">
        <v>2100</v>
      </c>
      <c r="CO370" s="16">
        <f t="shared" si="653"/>
        <v>523</v>
      </c>
      <c r="CP370" s="16">
        <v>1577</v>
      </c>
      <c r="CQ370" s="16">
        <v>730</v>
      </c>
      <c r="CR370" s="16">
        <f t="shared" si="654"/>
        <v>847</v>
      </c>
      <c r="CS370" s="16"/>
      <c r="CU370" s="120">
        <v>2023</v>
      </c>
      <c r="CV370" s="121" t="s">
        <v>40</v>
      </c>
      <c r="CW370" s="44">
        <f t="shared" si="655"/>
        <v>0.72480280455740576</v>
      </c>
      <c r="CX370" s="44">
        <f t="shared" si="656"/>
        <v>0.94406392694063923</v>
      </c>
      <c r="CY370" s="44">
        <f t="shared" si="657"/>
        <v>0.76774758983347935</v>
      </c>
      <c r="CZ370" s="16">
        <v>36</v>
      </c>
      <c r="DA370" s="16">
        <v>3</v>
      </c>
      <c r="DB370" s="16">
        <v>1141</v>
      </c>
      <c r="DC370" s="16">
        <f t="shared" si="658"/>
        <v>265</v>
      </c>
      <c r="DD370" s="16">
        <v>876</v>
      </c>
      <c r="DE370" s="16">
        <v>827</v>
      </c>
      <c r="DF370" s="16">
        <f t="shared" si="659"/>
        <v>49</v>
      </c>
      <c r="DG370" s="16"/>
      <c r="DI370" s="120">
        <v>2023</v>
      </c>
      <c r="DJ370" s="121" t="s">
        <v>40</v>
      </c>
      <c r="DK370" s="44">
        <f t="shared" si="660"/>
        <v>0.72916666666666663</v>
      </c>
      <c r="DL370" s="44">
        <f t="shared" si="661"/>
        <v>0.9567198177676538</v>
      </c>
      <c r="DM370" s="44">
        <f t="shared" si="662"/>
        <v>0.76215277777777779</v>
      </c>
      <c r="DN370" s="16">
        <v>20</v>
      </c>
      <c r="DO370" s="16">
        <v>3</v>
      </c>
      <c r="DP370" s="16">
        <v>576</v>
      </c>
      <c r="DQ370" s="16">
        <f t="shared" si="689"/>
        <v>137</v>
      </c>
      <c r="DR370" s="16">
        <v>439</v>
      </c>
      <c r="DS370" s="16">
        <v>420</v>
      </c>
      <c r="DT370" s="16">
        <f t="shared" si="663"/>
        <v>19</v>
      </c>
      <c r="DU370" s="16"/>
      <c r="DW370" s="120">
        <v>2023</v>
      </c>
      <c r="DX370" s="121" t="s">
        <v>40</v>
      </c>
      <c r="DY370" s="44">
        <f t="shared" si="664"/>
        <v>0.56031843233312917</v>
      </c>
      <c r="DZ370" s="44">
        <f t="shared" si="665"/>
        <v>0.70330514988470405</v>
      </c>
      <c r="EA370" s="44">
        <f t="shared" si="666"/>
        <v>0.79669320269442745</v>
      </c>
      <c r="EB370" s="16">
        <v>42</v>
      </c>
      <c r="EC370" s="16">
        <v>3</v>
      </c>
      <c r="ED370" s="16">
        <v>1633</v>
      </c>
      <c r="EE370" s="16">
        <f t="shared" si="667"/>
        <v>332</v>
      </c>
      <c r="EF370" s="16">
        <v>1301</v>
      </c>
      <c r="EG370" s="16">
        <v>915</v>
      </c>
      <c r="EH370" s="16">
        <f t="shared" si="668"/>
        <v>386</v>
      </c>
      <c r="EI370" s="16"/>
      <c r="EK370" s="120">
        <v>2023</v>
      </c>
      <c r="EL370" s="121" t="s">
        <v>40</v>
      </c>
      <c r="EM370" s="44">
        <f t="shared" si="669"/>
        <v>0.86451612903225805</v>
      </c>
      <c r="EN370" s="44">
        <f t="shared" si="670"/>
        <v>0.87012987012987009</v>
      </c>
      <c r="EO370" s="44">
        <f t="shared" si="671"/>
        <v>0.99354838709677418</v>
      </c>
      <c r="EP370" s="16">
        <v>10</v>
      </c>
      <c r="EQ370" s="16">
        <v>3</v>
      </c>
      <c r="ER370" s="16">
        <v>310</v>
      </c>
      <c r="ES370" s="16">
        <f t="shared" si="672"/>
        <v>2</v>
      </c>
      <c r="ET370" s="16">
        <v>308</v>
      </c>
      <c r="EU370" s="16">
        <v>268</v>
      </c>
      <c r="EV370" s="16">
        <f t="shared" si="673"/>
        <v>40</v>
      </c>
      <c r="EW370" s="16"/>
      <c r="EY370" s="120">
        <v>2023</v>
      </c>
      <c r="EZ370" s="121" t="s">
        <v>40</v>
      </c>
      <c r="FA370" s="44">
        <f t="shared" si="674"/>
        <v>0.50961538461538458</v>
      </c>
      <c r="FB370" s="44">
        <f t="shared" si="675"/>
        <v>0.65030674846625769</v>
      </c>
      <c r="FC370" s="44">
        <f t="shared" si="676"/>
        <v>0.78365384615384615</v>
      </c>
      <c r="FD370" s="16">
        <v>8</v>
      </c>
      <c r="FE370" s="16">
        <v>3</v>
      </c>
      <c r="FF370" s="16">
        <v>208</v>
      </c>
      <c r="FG370" s="16">
        <f t="shared" si="677"/>
        <v>45</v>
      </c>
      <c r="FH370" s="16">
        <v>163</v>
      </c>
      <c r="FI370" s="16">
        <v>106</v>
      </c>
      <c r="FJ370" s="16">
        <f t="shared" si="678"/>
        <v>57</v>
      </c>
      <c r="FK370" s="16"/>
      <c r="FM370" s="120">
        <v>2023</v>
      </c>
      <c r="FN370" s="121" t="s">
        <v>40</v>
      </c>
      <c r="FO370" s="44">
        <f t="shared" si="679"/>
        <v>0.52884615384615385</v>
      </c>
      <c r="FP370" s="44">
        <f t="shared" si="680"/>
        <v>0.58823529411764708</v>
      </c>
      <c r="FQ370" s="44">
        <f t="shared" si="681"/>
        <v>0.89903846153846156</v>
      </c>
      <c r="FR370" s="16">
        <v>8</v>
      </c>
      <c r="FS370" s="16">
        <v>3</v>
      </c>
      <c r="FT370" s="16">
        <v>208</v>
      </c>
      <c r="FU370" s="16">
        <f t="shared" si="682"/>
        <v>21</v>
      </c>
      <c r="FV370" s="16">
        <v>187</v>
      </c>
      <c r="FW370" s="16">
        <v>110</v>
      </c>
      <c r="FX370" s="16">
        <f t="shared" si="683"/>
        <v>77</v>
      </c>
      <c r="FY370" s="16"/>
      <c r="GA370" s="120">
        <v>2023</v>
      </c>
      <c r="GB370" s="121" t="s">
        <v>40</v>
      </c>
      <c r="GC370" s="44">
        <f t="shared" si="684"/>
        <v>0.95454545454545459</v>
      </c>
      <c r="GD370" s="44">
        <f t="shared" si="685"/>
        <v>0.9642857142857143</v>
      </c>
      <c r="GE370" s="44">
        <f t="shared" si="686"/>
        <v>0.98989898989898994</v>
      </c>
      <c r="GF370" s="16">
        <v>26</v>
      </c>
      <c r="GG370" s="16">
        <v>1</v>
      </c>
      <c r="GH370" s="16">
        <v>594</v>
      </c>
      <c r="GI370" s="16">
        <f t="shared" si="687"/>
        <v>6</v>
      </c>
      <c r="GJ370" s="16">
        <v>588</v>
      </c>
      <c r="GK370" s="16">
        <v>567</v>
      </c>
      <c r="GL370" s="16">
        <f t="shared" si="688"/>
        <v>21</v>
      </c>
      <c r="GM370" s="16"/>
    </row>
    <row r="371" spans="1:195" s="18" customFormat="1" ht="15" customHeight="1">
      <c r="A371" s="111">
        <v>2023</v>
      </c>
      <c r="B371" s="112" t="s">
        <v>41</v>
      </c>
      <c r="C371" s="15">
        <f t="shared" si="625"/>
        <v>0.57620964213841985</v>
      </c>
      <c r="D371" s="15">
        <f t="shared" si="626"/>
        <v>0.69084710201940724</v>
      </c>
      <c r="E371" s="15">
        <f t="shared" si="627"/>
        <v>0.8340624726572754</v>
      </c>
      <c r="F371"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1"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6.1427222659323366</v>
      </c>
      <c r="H371" s="16">
        <f>+V371+AX371+BL371+CN371+DB371+DP371+ED371+BZ371+ER371+ROC_Ca_Mo[[#This Row],[Trenes Programados]]+ROC_Ca_Lo[[#This Row],[Trenes Programados]]+ROC_T_Un_LP[[#This Row],[Trenes Programados]]</f>
        <v>22858</v>
      </c>
      <c r="I371" s="16">
        <f t="shared" si="628"/>
        <v>3793</v>
      </c>
      <c r="J371" s="16">
        <f>+X371+AZ371+BN371+CP371+DD371+DR371+EF371+CB371+ET371+ROC_Ca_Mo[[#This Row],[Trenes Corridos]]+ROC_Ca_Lo[[#This Row],[Trenes Corridos]]+ROC_T_Un_LP[[#This Row],[Trenes Corridos]]</f>
        <v>19065</v>
      </c>
      <c r="K371" s="16">
        <f>+Y371+BA371+BO371+CQ371+DE371+DS371+EG371+CC371+EU371+ROC_Ca_Mo[[#This Row],[Trenes Puntuales]]+ROC_Ca_Lo[[#This Row],[Trenes Puntuales]]+ROC_T_Un_LP[[#This Row],[Trenes Puntuales]]</f>
        <v>13171</v>
      </c>
      <c r="L371" s="16">
        <f t="shared" si="629"/>
        <v>5894</v>
      </c>
      <c r="M371" s="16"/>
      <c r="O371" s="111">
        <v>2023</v>
      </c>
      <c r="P371" s="112" t="s">
        <v>41</v>
      </c>
      <c r="Q371" s="44">
        <f t="shared" si="630"/>
        <v>0.60041067761806977</v>
      </c>
      <c r="R371" s="44">
        <f t="shared" si="631"/>
        <v>0.66972056802565272</v>
      </c>
      <c r="S371" s="44">
        <f t="shared" si="632"/>
        <v>0.89650924024640655</v>
      </c>
      <c r="T371" s="16">
        <v>198</v>
      </c>
      <c r="U371" s="16">
        <v>7</v>
      </c>
      <c r="V371" s="16">
        <v>4870</v>
      </c>
      <c r="W371" s="16">
        <f t="shared" si="633"/>
        <v>504</v>
      </c>
      <c r="X371" s="16">
        <v>4366</v>
      </c>
      <c r="Y371" s="16">
        <v>2924</v>
      </c>
      <c r="Z371" s="16">
        <f t="shared" si="634"/>
        <v>1442</v>
      </c>
      <c r="AA371" s="16"/>
      <c r="AC371" s="111"/>
      <c r="AD371" s="112"/>
      <c r="AE371" s="44"/>
      <c r="AF371" s="44"/>
      <c r="AG371" s="44"/>
      <c r="AH371" s="44"/>
      <c r="AI371" s="44"/>
      <c r="AJ371" s="16"/>
      <c r="AK371" s="16"/>
      <c r="AL371" s="16"/>
      <c r="AM371" s="16"/>
      <c r="AN371" s="16"/>
      <c r="AO371" s="16"/>
      <c r="AQ371" s="111">
        <v>2023</v>
      </c>
      <c r="AR371" s="112" t="s">
        <v>41</v>
      </c>
      <c r="AS371" s="44">
        <f t="shared" si="635"/>
        <v>0.59807139926138697</v>
      </c>
      <c r="AT371" s="44">
        <f t="shared" si="636"/>
        <v>0.73167670682730923</v>
      </c>
      <c r="AU371" s="44">
        <f t="shared" si="637"/>
        <v>0.81739844070578582</v>
      </c>
      <c r="AV371" s="16">
        <v>192</v>
      </c>
      <c r="AW371" s="16">
        <v>7</v>
      </c>
      <c r="AX371" s="16">
        <v>4874</v>
      </c>
      <c r="AY371" s="16">
        <f t="shared" si="638"/>
        <v>890</v>
      </c>
      <c r="AZ371" s="16">
        <v>3984</v>
      </c>
      <c r="BA371" s="16">
        <v>2915</v>
      </c>
      <c r="BB371" s="16">
        <f t="shared" si="639"/>
        <v>1069</v>
      </c>
      <c r="BC371" s="16"/>
      <c r="BE371" s="111">
        <v>2023</v>
      </c>
      <c r="BF371" s="112" t="s">
        <v>41</v>
      </c>
      <c r="BG371" s="44">
        <f t="shared" si="640"/>
        <v>0.41570491061326093</v>
      </c>
      <c r="BH371" s="44">
        <f t="shared" si="641"/>
        <v>0.58577806122448983</v>
      </c>
      <c r="BI371" s="44">
        <f t="shared" si="642"/>
        <v>0.70966281964245304</v>
      </c>
      <c r="BJ371" s="16">
        <v>164</v>
      </c>
      <c r="BK371" s="16">
        <v>7</v>
      </c>
      <c r="BL371" s="16">
        <v>4419</v>
      </c>
      <c r="BM371" s="16">
        <f t="shared" si="643"/>
        <v>1283</v>
      </c>
      <c r="BN371" s="16">
        <v>3136</v>
      </c>
      <c r="BO371" s="16">
        <v>1837</v>
      </c>
      <c r="BP371" s="16">
        <f t="shared" si="644"/>
        <v>1299</v>
      </c>
      <c r="BQ371" s="16"/>
      <c r="BS371" s="111">
        <v>2023</v>
      </c>
      <c r="BT371" s="112" t="s">
        <v>41</v>
      </c>
      <c r="BU371" s="44">
        <f t="shared" si="645"/>
        <v>0.60771276595744683</v>
      </c>
      <c r="BV371" s="44">
        <f t="shared" si="646"/>
        <v>0.63267189663128753</v>
      </c>
      <c r="BW371" s="44">
        <f t="shared" si="647"/>
        <v>0.96054964539007093</v>
      </c>
      <c r="BX371" s="16">
        <v>89</v>
      </c>
      <c r="BY371" s="16">
        <v>7</v>
      </c>
      <c r="BZ371" s="16">
        <v>2256</v>
      </c>
      <c r="CA371" s="16">
        <f t="shared" si="648"/>
        <v>89</v>
      </c>
      <c r="CB371" s="16">
        <v>2167</v>
      </c>
      <c r="CC371" s="16">
        <v>1371</v>
      </c>
      <c r="CD371" s="16">
        <f t="shared" si="649"/>
        <v>796</v>
      </c>
      <c r="CE371" s="16"/>
      <c r="CG371" s="111">
        <v>2023</v>
      </c>
      <c r="CH371" s="112" t="s">
        <v>41</v>
      </c>
      <c r="CI371" s="44">
        <f t="shared" si="650"/>
        <v>0.47410358565737054</v>
      </c>
      <c r="CJ371" s="44">
        <f t="shared" si="651"/>
        <v>0.59425717852684146</v>
      </c>
      <c r="CK371" s="44">
        <f t="shared" si="652"/>
        <v>0.797808764940239</v>
      </c>
      <c r="CL371" s="16">
        <v>76</v>
      </c>
      <c r="CM371" s="16">
        <v>7</v>
      </c>
      <c r="CN371" s="16">
        <v>2008</v>
      </c>
      <c r="CO371" s="16">
        <f t="shared" si="653"/>
        <v>406</v>
      </c>
      <c r="CP371" s="16">
        <v>1602</v>
      </c>
      <c r="CQ371" s="16">
        <v>952</v>
      </c>
      <c r="CR371" s="16">
        <f t="shared" si="654"/>
        <v>650</v>
      </c>
      <c r="CS371" s="16"/>
      <c r="CU371" s="111">
        <v>2023</v>
      </c>
      <c r="CV371" s="112" t="s">
        <v>41</v>
      </c>
      <c r="CW371" s="44">
        <f t="shared" si="655"/>
        <v>0.80054397098821395</v>
      </c>
      <c r="CX371" s="44">
        <f t="shared" si="656"/>
        <v>0.95874049945711182</v>
      </c>
      <c r="CY371" s="44">
        <f t="shared" si="657"/>
        <v>0.83499546690843152</v>
      </c>
      <c r="CZ371" s="16">
        <v>36</v>
      </c>
      <c r="DA371" s="16">
        <v>3</v>
      </c>
      <c r="DB371" s="16">
        <v>1103</v>
      </c>
      <c r="DC371" s="16">
        <f t="shared" si="658"/>
        <v>182</v>
      </c>
      <c r="DD371" s="16">
        <v>921</v>
      </c>
      <c r="DE371" s="16">
        <v>883</v>
      </c>
      <c r="DF371" s="16">
        <f t="shared" si="659"/>
        <v>38</v>
      </c>
      <c r="DG371" s="16"/>
      <c r="DI371" s="111">
        <v>2023</v>
      </c>
      <c r="DJ371" s="112" t="s">
        <v>41</v>
      </c>
      <c r="DK371" s="44">
        <f t="shared" si="660"/>
        <v>0.82199999999999995</v>
      </c>
      <c r="DL371" s="44">
        <f t="shared" si="661"/>
        <v>0.96705882352941175</v>
      </c>
      <c r="DM371" s="44">
        <f t="shared" si="662"/>
        <v>0.85</v>
      </c>
      <c r="DN371" s="16">
        <v>20</v>
      </c>
      <c r="DO371" s="16">
        <v>3</v>
      </c>
      <c r="DP371" s="16">
        <v>500</v>
      </c>
      <c r="DQ371" s="16">
        <f t="shared" si="689"/>
        <v>75</v>
      </c>
      <c r="DR371" s="16">
        <v>425</v>
      </c>
      <c r="DS371" s="16">
        <v>411</v>
      </c>
      <c r="DT371" s="16">
        <f t="shared" si="663"/>
        <v>14</v>
      </c>
      <c r="DU371" s="16"/>
      <c r="DW371" s="111">
        <v>2023</v>
      </c>
      <c r="DX371" s="112" t="s">
        <v>41</v>
      </c>
      <c r="DY371" s="44">
        <f t="shared" si="664"/>
        <v>0.54643765903307884</v>
      </c>
      <c r="DZ371" s="44">
        <f t="shared" si="665"/>
        <v>0.66178736517719572</v>
      </c>
      <c r="EA371" s="44">
        <f t="shared" si="666"/>
        <v>0.82569974554707382</v>
      </c>
      <c r="EB371" s="16">
        <v>42</v>
      </c>
      <c r="EC371" s="16">
        <v>3</v>
      </c>
      <c r="ED371" s="16">
        <v>1572</v>
      </c>
      <c r="EE371" s="16">
        <f t="shared" si="667"/>
        <v>274</v>
      </c>
      <c r="EF371" s="16">
        <v>1298</v>
      </c>
      <c r="EG371" s="16">
        <v>859</v>
      </c>
      <c r="EH371" s="16">
        <f t="shared" si="668"/>
        <v>439</v>
      </c>
      <c r="EI371" s="16"/>
      <c r="EK371" s="111">
        <v>2023</v>
      </c>
      <c r="EL371" s="112" t="s">
        <v>41</v>
      </c>
      <c r="EM371" s="44">
        <f t="shared" si="669"/>
        <v>0.85666666666666669</v>
      </c>
      <c r="EN371" s="44">
        <f t="shared" si="670"/>
        <v>0.95185185185185184</v>
      </c>
      <c r="EO371" s="44">
        <f t="shared" si="671"/>
        <v>0.9</v>
      </c>
      <c r="EP371" s="16">
        <v>10</v>
      </c>
      <c r="EQ371" s="16">
        <v>3</v>
      </c>
      <c r="ER371" s="16">
        <v>300</v>
      </c>
      <c r="ES371" s="16">
        <f t="shared" si="672"/>
        <v>30</v>
      </c>
      <c r="ET371" s="16">
        <v>270</v>
      </c>
      <c r="EU371" s="16">
        <v>257</v>
      </c>
      <c r="EV371" s="16">
        <f t="shared" si="673"/>
        <v>13</v>
      </c>
      <c r="EW371" s="16"/>
      <c r="EY371" s="111">
        <v>2023</v>
      </c>
      <c r="EZ371" s="112" t="s">
        <v>41</v>
      </c>
      <c r="FA371" s="44">
        <f t="shared" si="674"/>
        <v>0.56499999999999995</v>
      </c>
      <c r="FB371" s="44">
        <f t="shared" si="675"/>
        <v>0.68902439024390238</v>
      </c>
      <c r="FC371" s="44">
        <f t="shared" si="676"/>
        <v>0.82</v>
      </c>
      <c r="FD371" s="16">
        <v>8</v>
      </c>
      <c r="FE371" s="16">
        <v>3</v>
      </c>
      <c r="FF371" s="16">
        <v>200</v>
      </c>
      <c r="FG371" s="16">
        <f t="shared" si="677"/>
        <v>36</v>
      </c>
      <c r="FH371" s="16">
        <v>164</v>
      </c>
      <c r="FI371" s="16">
        <v>113</v>
      </c>
      <c r="FJ371" s="16">
        <f t="shared" si="678"/>
        <v>51</v>
      </c>
      <c r="FK371" s="16"/>
      <c r="FM371" s="111">
        <v>2023</v>
      </c>
      <c r="FN371" s="112" t="s">
        <v>41</v>
      </c>
      <c r="FO371" s="44">
        <f t="shared" si="679"/>
        <v>0.55500000000000005</v>
      </c>
      <c r="FP371" s="44">
        <f t="shared" si="680"/>
        <v>0.6166666666666667</v>
      </c>
      <c r="FQ371" s="44">
        <f t="shared" si="681"/>
        <v>0.9</v>
      </c>
      <c r="FR371" s="16">
        <v>8</v>
      </c>
      <c r="FS371" s="16">
        <v>3</v>
      </c>
      <c r="FT371" s="16">
        <v>200</v>
      </c>
      <c r="FU371" s="16">
        <f t="shared" si="682"/>
        <v>20</v>
      </c>
      <c r="FV371" s="16">
        <v>180</v>
      </c>
      <c r="FW371" s="16">
        <v>111</v>
      </c>
      <c r="FX371" s="16">
        <f t="shared" si="683"/>
        <v>69</v>
      </c>
      <c r="FY371" s="16"/>
      <c r="GA371" s="111">
        <v>2023</v>
      </c>
      <c r="GB371" s="112" t="s">
        <v>41</v>
      </c>
      <c r="GC371" s="44">
        <f t="shared" si="684"/>
        <v>0.96762589928057552</v>
      </c>
      <c r="GD371" s="44">
        <f t="shared" si="685"/>
        <v>0.97463768115942029</v>
      </c>
      <c r="GE371" s="44">
        <f t="shared" si="686"/>
        <v>0.9928057553956835</v>
      </c>
      <c r="GF371" s="16">
        <v>26</v>
      </c>
      <c r="GG371" s="16">
        <v>1</v>
      </c>
      <c r="GH371" s="16">
        <v>556</v>
      </c>
      <c r="GI371" s="16">
        <f t="shared" si="687"/>
        <v>4</v>
      </c>
      <c r="GJ371" s="16">
        <v>552</v>
      </c>
      <c r="GK371" s="16">
        <v>538</v>
      </c>
      <c r="GL371" s="16">
        <f t="shared" si="688"/>
        <v>14</v>
      </c>
      <c r="GM371" s="16"/>
    </row>
    <row r="372" spans="1:195" s="18" customFormat="1" ht="15" customHeight="1">
      <c r="A372" s="134">
        <v>2023</v>
      </c>
      <c r="B372" s="135" t="s">
        <v>42</v>
      </c>
      <c r="C372" s="15">
        <f t="shared" ref="C372" si="690">K372/H372</f>
        <v>0.68724843354496035</v>
      </c>
      <c r="D372" s="15">
        <f t="shared" ref="D372" si="691">K372/J372</f>
        <v>0.78400000000000003</v>
      </c>
      <c r="E372" s="15">
        <f t="shared" ref="E372" si="692">J372/H372</f>
        <v>0.87659238972571474</v>
      </c>
      <c r="F372"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2"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6.1666745562130174</v>
      </c>
      <c r="H372" s="16">
        <f>+V372+AX372+BL372+CN372+DB372+DP372+ED372+BZ372+ER372+ROC_Ca_Mo[[#This Row],[Trenes Programados]]+ROC_Ca_Lo[[#This Row],[Trenes Programados]]+ROC_T_Un_LP[[#This Row],[Trenes Programados]]</f>
        <v>24099</v>
      </c>
      <c r="I372" s="16">
        <f t="shared" ref="I372" si="693">H372-J372</f>
        <v>2974</v>
      </c>
      <c r="J372" s="16">
        <f>+X372+AZ372+BN372+CP372+DD372+DR372+EF372+CB372+ET372+ROC_Ca_Mo[[#This Row],[Trenes Corridos]]+ROC_Ca_Lo[[#This Row],[Trenes Corridos]]+ROC_T_Un_LP[[#This Row],[Trenes Corridos]]</f>
        <v>21125</v>
      </c>
      <c r="K372" s="16">
        <f>+Y372+BA372+BO372+CQ372+DE372+DS372+EG372+CC372+EU372+ROC_Ca_Mo[[#This Row],[Trenes Puntuales]]+ROC_Ca_Lo[[#This Row],[Trenes Puntuales]]+ROC_T_Un_LP[[#This Row],[Trenes Puntuales]]</f>
        <v>16562</v>
      </c>
      <c r="L372" s="16">
        <f t="shared" ref="L372" si="694">J372-K372</f>
        <v>4563</v>
      </c>
      <c r="M372" s="16"/>
      <c r="O372" s="134">
        <v>2023</v>
      </c>
      <c r="P372" s="135" t="s">
        <v>42</v>
      </c>
      <c r="Q372" s="44">
        <f t="shared" ref="Q372:Q377" si="695">Y372/V372</f>
        <v>0.69172640961054055</v>
      </c>
      <c r="R372" s="44">
        <f t="shared" ref="R372:R377" si="696">Y372/X372</f>
        <v>0.75031525851197978</v>
      </c>
      <c r="S372" s="44">
        <f t="shared" ref="S372:S377" si="697">X372/V372</f>
        <v>0.92191435768261965</v>
      </c>
      <c r="T372" s="16">
        <v>198</v>
      </c>
      <c r="U372" s="16">
        <v>7</v>
      </c>
      <c r="V372" s="16">
        <v>5161</v>
      </c>
      <c r="W372" s="16">
        <f t="shared" ref="W372:W386" si="698">V372-X372</f>
        <v>403</v>
      </c>
      <c r="X372" s="16">
        <v>4758</v>
      </c>
      <c r="Y372" s="16">
        <v>3570</v>
      </c>
      <c r="Z372" s="16">
        <f t="shared" ref="Z372:Z377" si="699">X372-Y372</f>
        <v>1188</v>
      </c>
      <c r="AA372" s="16"/>
      <c r="AC372" s="134"/>
      <c r="AD372" s="135"/>
      <c r="AE372" s="44"/>
      <c r="AF372" s="44"/>
      <c r="AG372" s="44"/>
      <c r="AH372" s="44"/>
      <c r="AI372" s="44"/>
      <c r="AJ372" s="16"/>
      <c r="AK372" s="16"/>
      <c r="AL372" s="16"/>
      <c r="AM372" s="16"/>
      <c r="AN372" s="16"/>
      <c r="AO372" s="16"/>
      <c r="AQ372" s="134">
        <v>2023</v>
      </c>
      <c r="AR372" s="135" t="s">
        <v>42</v>
      </c>
      <c r="AS372" s="44">
        <f t="shared" ref="AS372:AS377" si="700">BA372/AX372</f>
        <v>0.73319124200736296</v>
      </c>
      <c r="AT372" s="44">
        <f t="shared" ref="AT372:AT377" si="701">BA372/AZ372</f>
        <v>0.84843049327354259</v>
      </c>
      <c r="AU372" s="44">
        <f t="shared" ref="AU372:AU377" si="702">AZ372/AX372</f>
        <v>0.86417360976554936</v>
      </c>
      <c r="AV372" s="16">
        <v>192</v>
      </c>
      <c r="AW372" s="16">
        <v>7</v>
      </c>
      <c r="AX372" s="16">
        <v>5161</v>
      </c>
      <c r="AY372" s="16">
        <f t="shared" ref="AY372:AY386" si="703">AX372-AZ372</f>
        <v>701</v>
      </c>
      <c r="AZ372" s="16">
        <v>4460</v>
      </c>
      <c r="BA372" s="16">
        <v>3784</v>
      </c>
      <c r="BB372" s="16">
        <f t="shared" ref="BB372:BB377" si="704">AZ372-BA372</f>
        <v>676</v>
      </c>
      <c r="BC372" s="16"/>
      <c r="BE372" s="134">
        <v>2023</v>
      </c>
      <c r="BF372" s="135" t="s">
        <v>42</v>
      </c>
      <c r="BG372" s="44">
        <f t="shared" ref="BG372:BG377" si="705">BO372/BL372</f>
        <v>0.58898213901441787</v>
      </c>
      <c r="BH372" s="44">
        <f t="shared" ref="BH372:BH377" si="706">BO372/BN372</f>
        <v>0.73753705200754516</v>
      </c>
      <c r="BI372" s="44">
        <f t="shared" ref="BI372:BI377" si="707">BN372/BL372</f>
        <v>0.79857972885732731</v>
      </c>
      <c r="BJ372" s="16">
        <v>164</v>
      </c>
      <c r="BK372" s="16">
        <v>7</v>
      </c>
      <c r="BL372" s="16">
        <v>4647</v>
      </c>
      <c r="BM372" s="16">
        <f t="shared" ref="BM372:BM386" si="708">BL372-BN372</f>
        <v>936</v>
      </c>
      <c r="BN372" s="16">
        <v>3711</v>
      </c>
      <c r="BO372" s="16">
        <v>2737</v>
      </c>
      <c r="BP372" s="16">
        <f t="shared" ref="BP372:BP377" si="709">BN372-BO372</f>
        <v>974</v>
      </c>
      <c r="BQ372" s="16"/>
      <c r="BS372" s="134">
        <v>2023</v>
      </c>
      <c r="BT372" s="135" t="s">
        <v>42</v>
      </c>
      <c r="BU372" s="44">
        <f t="shared" ref="BU372:BU377" si="710">CC372/BZ372</f>
        <v>0.70607966457023064</v>
      </c>
      <c r="BV372" s="44">
        <f t="shared" ref="BV372:BV377" si="711">CC372/CB372</f>
        <v>0.7312201476335215</v>
      </c>
      <c r="BW372" s="44">
        <f t="shared" ref="BW372:BW377" si="712">CB372/BZ372</f>
        <v>0.96561844863731661</v>
      </c>
      <c r="BX372" s="16">
        <v>89</v>
      </c>
      <c r="BY372" s="16">
        <v>7</v>
      </c>
      <c r="BZ372" s="16">
        <v>2385</v>
      </c>
      <c r="CA372" s="16">
        <f t="shared" ref="CA372:CA386" si="713">BZ372-CB372</f>
        <v>82</v>
      </c>
      <c r="CB372" s="16">
        <v>2303</v>
      </c>
      <c r="CC372" s="16">
        <v>1684</v>
      </c>
      <c r="CD372" s="16">
        <f t="shared" ref="CD372:CD377" si="714">CB372-CC372</f>
        <v>619</v>
      </c>
      <c r="CE372" s="16"/>
      <c r="CG372" s="134">
        <v>2023</v>
      </c>
      <c r="CH372" s="135" t="s">
        <v>42</v>
      </c>
      <c r="CI372" s="44">
        <f t="shared" ref="CI372:CI377" si="715">CQ372/CN372</f>
        <v>0.61578449905482047</v>
      </c>
      <c r="CJ372" s="44">
        <f t="shared" ref="CJ372:CJ377" si="716">CQ372/CP372</f>
        <v>0.72590529247910862</v>
      </c>
      <c r="CK372" s="44">
        <f t="shared" ref="CK372:CK377" si="717">CP372/CN372</f>
        <v>0.84829867674858228</v>
      </c>
      <c r="CL372" s="16">
        <v>76</v>
      </c>
      <c r="CM372" s="16">
        <v>7</v>
      </c>
      <c r="CN372" s="16">
        <v>2116</v>
      </c>
      <c r="CO372" s="16">
        <f t="shared" ref="CO372:CO386" si="718">CN372-CP372</f>
        <v>321</v>
      </c>
      <c r="CP372" s="16">
        <v>1795</v>
      </c>
      <c r="CQ372" s="16">
        <v>1303</v>
      </c>
      <c r="CR372" s="16">
        <f t="shared" ref="CR372:CR377" si="719">CP372-CQ372</f>
        <v>492</v>
      </c>
      <c r="CS372" s="16"/>
      <c r="CU372" s="134">
        <v>2023</v>
      </c>
      <c r="CV372" s="135" t="s">
        <v>42</v>
      </c>
      <c r="CW372" s="44">
        <f t="shared" ref="CW372:CW377" si="720">DE372/DB372</f>
        <v>0.87390542907180391</v>
      </c>
      <c r="CX372" s="44">
        <f t="shared" ref="CX372:CX377" si="721">DE372/DD372</f>
        <v>0.97365853658536583</v>
      </c>
      <c r="CY372" s="44">
        <f t="shared" ref="CY372:CY377" si="722">DD372/DB372</f>
        <v>0.89754816112084068</v>
      </c>
      <c r="CZ372" s="16">
        <v>36</v>
      </c>
      <c r="DA372" s="16">
        <v>3</v>
      </c>
      <c r="DB372" s="16">
        <v>1142</v>
      </c>
      <c r="DC372" s="16">
        <f t="shared" ref="DC372:DC386" si="723">DB372-DD372</f>
        <v>117</v>
      </c>
      <c r="DD372" s="16">
        <v>1025</v>
      </c>
      <c r="DE372" s="16">
        <v>998</v>
      </c>
      <c r="DF372" s="16">
        <f t="shared" ref="DF372:DF377" si="724">DD372-DE372</f>
        <v>27</v>
      </c>
      <c r="DG372" s="16"/>
      <c r="DI372" s="134">
        <v>2023</v>
      </c>
      <c r="DJ372" s="135" t="s">
        <v>42</v>
      </c>
      <c r="DK372" s="44">
        <f t="shared" ref="DK372:DK377" si="725">DS372/DP372</f>
        <v>0.80501930501930496</v>
      </c>
      <c r="DL372" s="44">
        <f t="shared" ref="DL372:DL377" si="726">DS372/DR372</f>
        <v>0.94988610478359914</v>
      </c>
      <c r="DM372" s="44">
        <f t="shared" ref="DM372:DM377" si="727">DR372/DP372</f>
        <v>0.84749034749034746</v>
      </c>
      <c r="DN372" s="16">
        <v>20</v>
      </c>
      <c r="DO372" s="16">
        <v>3</v>
      </c>
      <c r="DP372" s="16">
        <v>518</v>
      </c>
      <c r="DQ372" s="16">
        <f t="shared" si="689"/>
        <v>79</v>
      </c>
      <c r="DR372" s="16">
        <v>439</v>
      </c>
      <c r="DS372" s="16">
        <v>417</v>
      </c>
      <c r="DT372" s="16">
        <f t="shared" ref="DT372:DT377" si="728">DR372-DS372</f>
        <v>22</v>
      </c>
      <c r="DU372" s="16"/>
      <c r="DW372" s="134">
        <v>2023</v>
      </c>
      <c r="DX372" s="135" t="s">
        <v>42</v>
      </c>
      <c r="DY372" s="44">
        <f t="shared" ref="DY372:DY377" si="729">EG372/ED372</f>
        <v>0.58643860720830787</v>
      </c>
      <c r="DZ372" s="44">
        <f t="shared" ref="DZ372:DZ377" si="730">EG372/EF372</f>
        <v>0.71163825055596741</v>
      </c>
      <c r="EA372" s="44">
        <f t="shared" ref="EA372:EA377" si="731">EF372/ED372</f>
        <v>0.82406841783750762</v>
      </c>
      <c r="EB372" s="16">
        <v>42</v>
      </c>
      <c r="EC372" s="16">
        <v>3</v>
      </c>
      <c r="ED372" s="16">
        <v>1637</v>
      </c>
      <c r="EE372" s="16">
        <f t="shared" ref="EE372:EE386" si="732">ED372-EF372</f>
        <v>288</v>
      </c>
      <c r="EF372" s="16">
        <v>1349</v>
      </c>
      <c r="EG372" s="16">
        <v>960</v>
      </c>
      <c r="EH372" s="16">
        <f t="shared" ref="EH372:EH377" si="733">EF372-EG372</f>
        <v>389</v>
      </c>
      <c r="EI372" s="16"/>
      <c r="EK372" s="134">
        <v>2023</v>
      </c>
      <c r="EL372" s="135" t="s">
        <v>42</v>
      </c>
      <c r="EM372" s="44">
        <f t="shared" ref="EM372:EM377" si="734">EU372/ER372</f>
        <v>0.88709677419354838</v>
      </c>
      <c r="EN372" s="44">
        <f t="shared" ref="EN372:EN377" si="735">EU372/ET372</f>
        <v>0.92281879194630867</v>
      </c>
      <c r="EO372" s="44">
        <f t="shared" ref="EO372:EO377" si="736">ET372/ER372</f>
        <v>0.96129032258064517</v>
      </c>
      <c r="EP372" s="16">
        <v>10</v>
      </c>
      <c r="EQ372" s="16">
        <v>3</v>
      </c>
      <c r="ER372" s="16">
        <v>310</v>
      </c>
      <c r="ES372" s="16">
        <f t="shared" si="672"/>
        <v>12</v>
      </c>
      <c r="ET372" s="16">
        <v>298</v>
      </c>
      <c r="EU372" s="16">
        <v>275</v>
      </c>
      <c r="EV372" s="16">
        <f t="shared" ref="EV372:EV377" si="737">ET372-EU372</f>
        <v>23</v>
      </c>
      <c r="EW372" s="16"/>
      <c r="EY372" s="134">
        <v>2023</v>
      </c>
      <c r="EZ372" s="135" t="s">
        <v>42</v>
      </c>
      <c r="FA372" s="44">
        <f t="shared" ref="FA372:FA377" si="738">FI372/FF372</f>
        <v>0.61538461538461542</v>
      </c>
      <c r="FB372" s="44">
        <f t="shared" ref="FB372:FB377" si="739">FI372/FH372</f>
        <v>0.66321243523316065</v>
      </c>
      <c r="FC372" s="44">
        <f t="shared" ref="FC372:FC377" si="740">FH372/FF372</f>
        <v>0.92788461538461542</v>
      </c>
      <c r="FD372" s="16">
        <v>8</v>
      </c>
      <c r="FE372" s="16">
        <v>3</v>
      </c>
      <c r="FF372" s="16">
        <v>208</v>
      </c>
      <c r="FG372" s="16">
        <f t="shared" ref="FG372:FG386" si="741">FF372-FH372</f>
        <v>15</v>
      </c>
      <c r="FH372" s="16">
        <v>193</v>
      </c>
      <c r="FI372" s="16">
        <v>128</v>
      </c>
      <c r="FJ372" s="16">
        <f t="shared" ref="FJ372:FJ377" si="742">FH372-FI372</f>
        <v>65</v>
      </c>
      <c r="FK372" s="16"/>
      <c r="FM372" s="134">
        <v>2023</v>
      </c>
      <c r="FN372" s="135" t="s">
        <v>42</v>
      </c>
      <c r="FO372" s="44">
        <f t="shared" ref="FO372:FO377" si="743">FW372/FT372</f>
        <v>0.48557692307692307</v>
      </c>
      <c r="FP372" s="44">
        <f t="shared" ref="FP372:FP377" si="744">FW372/FV372</f>
        <v>0.53723404255319152</v>
      </c>
      <c r="FQ372" s="44">
        <f t="shared" ref="FQ372:FQ377" si="745">FV372/FT372</f>
        <v>0.90384615384615385</v>
      </c>
      <c r="FR372" s="16">
        <v>8</v>
      </c>
      <c r="FS372" s="16">
        <v>3</v>
      </c>
      <c r="FT372" s="16">
        <v>208</v>
      </c>
      <c r="FU372" s="16">
        <f t="shared" ref="FU372:FU386" si="746">FT372-FV372</f>
        <v>20</v>
      </c>
      <c r="FV372" s="16">
        <v>188</v>
      </c>
      <c r="FW372" s="16">
        <v>101</v>
      </c>
      <c r="FX372" s="16">
        <f t="shared" ref="FX372:FX377" si="747">FV372-FW372</f>
        <v>87</v>
      </c>
      <c r="FY372" s="16"/>
      <c r="GA372" s="134">
        <v>2023</v>
      </c>
      <c r="GB372" s="135" t="s">
        <v>42</v>
      </c>
      <c r="GC372" s="44">
        <f t="shared" ref="GC372:GC377" si="748">GK372/GH372</f>
        <v>0.99834983498349839</v>
      </c>
      <c r="GD372" s="44">
        <f t="shared" ref="GD372:GD377" si="749">GK372/GJ372</f>
        <v>0.99834983498349839</v>
      </c>
      <c r="GE372" s="44">
        <f t="shared" ref="GE372:GE377" si="750">GJ372/GH372</f>
        <v>1</v>
      </c>
      <c r="GF372" s="16">
        <v>26</v>
      </c>
      <c r="GG372" s="16">
        <v>1</v>
      </c>
      <c r="GH372" s="16">
        <v>606</v>
      </c>
      <c r="GI372" s="16">
        <f t="shared" ref="GI372:GI386" si="751">GH372-GJ372</f>
        <v>0</v>
      </c>
      <c r="GJ372" s="16">
        <v>606</v>
      </c>
      <c r="GK372" s="16">
        <v>605</v>
      </c>
      <c r="GL372" s="16">
        <f t="shared" ref="GL372:GL377" si="752">GJ372-GK372</f>
        <v>1</v>
      </c>
      <c r="GM372" s="16"/>
    </row>
    <row r="373" spans="1:195" s="18" customFormat="1" ht="15" customHeight="1">
      <c r="A373" s="18">
        <v>2023</v>
      </c>
      <c r="B373" s="18" t="s">
        <v>43</v>
      </c>
      <c r="C373" s="15">
        <f t="shared" ref="C373" si="753">K373/H373</f>
        <v>0.71521757080340187</v>
      </c>
      <c r="D373" s="15">
        <f t="shared" ref="D373" si="754">K373/J373</f>
        <v>0.81759403464061542</v>
      </c>
      <c r="E373" s="15">
        <f t="shared" ref="E373" si="755">J373/H373</f>
        <v>0.87478325489224673</v>
      </c>
      <c r="F373"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3"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6.1514465052621645</v>
      </c>
      <c r="H373" s="16">
        <f>+V373+AX373+BL373+CN373+DB373+DP373+ED373+BZ373+ER373+ROC_Ca_Mo[[#This Row],[Trenes Programados]]+ROC_Ca_Lo[[#This Row],[Trenes Programados]]+ROC_T_Un_LP[[#This Row],[Trenes Programados]]</f>
        <v>24222</v>
      </c>
      <c r="I373" s="16">
        <f t="shared" ref="I373" si="756">H373-J373</f>
        <v>3033</v>
      </c>
      <c r="J373" s="16">
        <f>+X373+AZ373+BN373+CP373+DD373+DR373+EF373+CB373+ET373+ROC_Ca_Mo[[#This Row],[Trenes Corridos]]+ROC_Ca_Lo[[#This Row],[Trenes Corridos]]+ROC_T_Un_LP[[#This Row],[Trenes Corridos]]</f>
        <v>21189</v>
      </c>
      <c r="K373" s="16">
        <f>+Y373+BA373+BO373+CQ373+DE373+DS373+EG373+CC373+EU373+ROC_Ca_Mo[[#This Row],[Trenes Puntuales]]+ROC_Ca_Lo[[#This Row],[Trenes Puntuales]]+ROC_T_Un_LP[[#This Row],[Trenes Puntuales]]</f>
        <v>17324</v>
      </c>
      <c r="L373" s="16">
        <f t="shared" ref="L373" si="757">J373-K373</f>
        <v>3865</v>
      </c>
      <c r="O373" s="18">
        <v>2023</v>
      </c>
      <c r="P373" s="18" t="s">
        <v>43</v>
      </c>
      <c r="Q373" s="44">
        <f t="shared" si="695"/>
        <v>0.71588280647648417</v>
      </c>
      <c r="R373" s="44">
        <f t="shared" si="696"/>
        <v>0.78753180661577604</v>
      </c>
      <c r="S373" s="44">
        <f t="shared" si="697"/>
        <v>0.90902081727062456</v>
      </c>
      <c r="T373" s="16">
        <v>198</v>
      </c>
      <c r="U373" s="16">
        <v>7</v>
      </c>
      <c r="V373" s="16">
        <v>5188</v>
      </c>
      <c r="W373" s="16">
        <f t="shared" si="698"/>
        <v>472</v>
      </c>
      <c r="X373" s="16">
        <v>4716</v>
      </c>
      <c r="Y373" s="16">
        <v>3714</v>
      </c>
      <c r="Z373" s="16">
        <f t="shared" si="699"/>
        <v>1002</v>
      </c>
      <c r="AC373" s="159"/>
      <c r="AD373" s="160"/>
      <c r="AE373" s="153"/>
      <c r="AF373" s="153"/>
      <c r="AG373" s="153"/>
      <c r="AH373" s="161"/>
      <c r="AI373" s="161"/>
      <c r="AJ373" s="156"/>
      <c r="AK373" s="156"/>
      <c r="AL373" s="156"/>
      <c r="AM373" s="156"/>
      <c r="AN373" s="156"/>
      <c r="AO373" s="156"/>
      <c r="AQ373" s="18">
        <v>2023</v>
      </c>
      <c r="AR373" s="18" t="s">
        <v>43</v>
      </c>
      <c r="AS373" s="44">
        <f t="shared" si="700"/>
        <v>0.82820661636680204</v>
      </c>
      <c r="AT373" s="44">
        <f t="shared" si="701"/>
        <v>0.91866952789699574</v>
      </c>
      <c r="AU373" s="44">
        <f t="shared" si="702"/>
        <v>0.90152834203907917</v>
      </c>
      <c r="AV373" s="16">
        <v>192</v>
      </c>
      <c r="AW373" s="16">
        <v>7</v>
      </c>
      <c r="AX373" s="16">
        <v>5169</v>
      </c>
      <c r="AY373" s="16">
        <f t="shared" si="703"/>
        <v>509</v>
      </c>
      <c r="AZ373" s="16">
        <v>4660</v>
      </c>
      <c r="BA373" s="16">
        <v>4281</v>
      </c>
      <c r="BB373" s="16">
        <f t="shared" si="704"/>
        <v>379</v>
      </c>
      <c r="BE373" s="18">
        <v>2023</v>
      </c>
      <c r="BF373" s="18" t="s">
        <v>43</v>
      </c>
      <c r="BG373" s="44">
        <f t="shared" si="705"/>
        <v>0.54670094258783208</v>
      </c>
      <c r="BH373" s="44">
        <f t="shared" si="706"/>
        <v>0.70614277808522408</v>
      </c>
      <c r="BI373" s="44">
        <f t="shared" si="707"/>
        <v>0.77420736932305056</v>
      </c>
      <c r="BJ373" s="16">
        <v>164</v>
      </c>
      <c r="BK373" s="16">
        <v>7</v>
      </c>
      <c r="BL373" s="16">
        <v>4668</v>
      </c>
      <c r="BM373" s="16">
        <f t="shared" si="708"/>
        <v>1054</v>
      </c>
      <c r="BN373" s="16">
        <v>3614</v>
      </c>
      <c r="BO373" s="16">
        <v>2552</v>
      </c>
      <c r="BP373" s="16">
        <f t="shared" si="709"/>
        <v>1062</v>
      </c>
      <c r="BS373" s="18">
        <v>2023</v>
      </c>
      <c r="BT373" s="18" t="s">
        <v>43</v>
      </c>
      <c r="BU373" s="44">
        <f t="shared" si="710"/>
        <v>0.72238432680283449</v>
      </c>
      <c r="BV373" s="44">
        <f t="shared" si="711"/>
        <v>0.77022222222222225</v>
      </c>
      <c r="BW373" s="44">
        <f t="shared" si="712"/>
        <v>0.93789078782826174</v>
      </c>
      <c r="BX373" s="16">
        <v>89</v>
      </c>
      <c r="BY373" s="16">
        <v>7</v>
      </c>
      <c r="BZ373" s="16">
        <v>2399</v>
      </c>
      <c r="CA373" s="16">
        <f t="shared" si="713"/>
        <v>149</v>
      </c>
      <c r="CB373" s="16">
        <v>2250</v>
      </c>
      <c r="CC373" s="16">
        <v>1733</v>
      </c>
      <c r="CD373" s="16">
        <f t="shared" si="714"/>
        <v>517</v>
      </c>
      <c r="CG373" s="18">
        <v>2023</v>
      </c>
      <c r="CH373" s="18" t="s">
        <v>43</v>
      </c>
      <c r="CI373" s="44">
        <f t="shared" si="715"/>
        <v>0.60834896810506567</v>
      </c>
      <c r="CJ373" s="44">
        <f t="shared" si="716"/>
        <v>0.73735076748152362</v>
      </c>
      <c r="CK373" s="44">
        <f t="shared" si="717"/>
        <v>0.825046904315197</v>
      </c>
      <c r="CL373" s="16">
        <v>76</v>
      </c>
      <c r="CM373" s="16">
        <v>7</v>
      </c>
      <c r="CN373" s="16">
        <v>2132</v>
      </c>
      <c r="CO373" s="16">
        <f t="shared" si="718"/>
        <v>373</v>
      </c>
      <c r="CP373" s="16">
        <v>1759</v>
      </c>
      <c r="CQ373" s="16">
        <v>1297</v>
      </c>
      <c r="CR373" s="16">
        <f t="shared" si="719"/>
        <v>462</v>
      </c>
      <c r="CU373" s="18">
        <v>2023</v>
      </c>
      <c r="CV373" s="18" t="s">
        <v>43</v>
      </c>
      <c r="CW373" s="44">
        <f t="shared" si="720"/>
        <v>0.83712784588441336</v>
      </c>
      <c r="CX373" s="44">
        <f t="shared" si="721"/>
        <v>0.95599999999999996</v>
      </c>
      <c r="CY373" s="44">
        <f t="shared" si="722"/>
        <v>0.87565674255691772</v>
      </c>
      <c r="CZ373" s="16">
        <v>36</v>
      </c>
      <c r="DA373" s="16">
        <v>3</v>
      </c>
      <c r="DB373" s="16">
        <v>1142</v>
      </c>
      <c r="DC373" s="16">
        <f t="shared" si="723"/>
        <v>142</v>
      </c>
      <c r="DD373" s="16">
        <v>1000</v>
      </c>
      <c r="DE373" s="16">
        <v>956</v>
      </c>
      <c r="DF373" s="16">
        <f t="shared" si="724"/>
        <v>44</v>
      </c>
      <c r="DI373" s="18">
        <v>2023</v>
      </c>
      <c r="DJ373" s="18" t="s">
        <v>43</v>
      </c>
      <c r="DK373" s="44">
        <f t="shared" si="725"/>
        <v>0.87356321839080464</v>
      </c>
      <c r="DL373" s="44">
        <f t="shared" si="726"/>
        <v>0.97435897435897434</v>
      </c>
      <c r="DM373" s="44">
        <f t="shared" si="727"/>
        <v>0.89655172413793105</v>
      </c>
      <c r="DN373" s="16">
        <v>20</v>
      </c>
      <c r="DO373" s="16">
        <v>3</v>
      </c>
      <c r="DP373" s="16">
        <v>522</v>
      </c>
      <c r="DQ373" s="16">
        <f t="shared" si="689"/>
        <v>54</v>
      </c>
      <c r="DR373" s="16">
        <v>468</v>
      </c>
      <c r="DS373" s="16">
        <v>456</v>
      </c>
      <c r="DT373" s="16">
        <f t="shared" si="728"/>
        <v>12</v>
      </c>
      <c r="DW373" s="18">
        <v>2023</v>
      </c>
      <c r="DX373" s="18" t="s">
        <v>43</v>
      </c>
      <c r="DY373" s="44">
        <f t="shared" si="729"/>
        <v>0.71055825242718451</v>
      </c>
      <c r="DZ373" s="44">
        <f t="shared" si="730"/>
        <v>0.81038062283737022</v>
      </c>
      <c r="EA373" s="44">
        <f t="shared" si="731"/>
        <v>0.87682038834951459</v>
      </c>
      <c r="EB373" s="16">
        <v>42</v>
      </c>
      <c r="EC373" s="16">
        <v>3</v>
      </c>
      <c r="ED373" s="16">
        <v>1648</v>
      </c>
      <c r="EE373" s="16">
        <f t="shared" si="732"/>
        <v>203</v>
      </c>
      <c r="EF373" s="16">
        <v>1445</v>
      </c>
      <c r="EG373" s="16">
        <v>1171</v>
      </c>
      <c r="EH373" s="16">
        <f t="shared" si="733"/>
        <v>274</v>
      </c>
      <c r="EK373" s="18">
        <v>2023</v>
      </c>
      <c r="EL373" s="18" t="s">
        <v>43</v>
      </c>
      <c r="EM373" s="44">
        <f t="shared" si="734"/>
        <v>0.90322580645161288</v>
      </c>
      <c r="EN373" s="44">
        <f t="shared" si="735"/>
        <v>0.96551724137931039</v>
      </c>
      <c r="EO373" s="44">
        <f t="shared" si="736"/>
        <v>0.93548387096774188</v>
      </c>
      <c r="EP373" s="16">
        <v>10</v>
      </c>
      <c r="EQ373" s="16">
        <v>3</v>
      </c>
      <c r="ER373" s="16">
        <v>310</v>
      </c>
      <c r="ES373" s="16">
        <f t="shared" si="672"/>
        <v>20</v>
      </c>
      <c r="ET373" s="16">
        <v>290</v>
      </c>
      <c r="EU373" s="16">
        <v>280</v>
      </c>
      <c r="EV373" s="16">
        <f t="shared" si="737"/>
        <v>10</v>
      </c>
      <c r="EY373" s="18">
        <v>2023</v>
      </c>
      <c r="EZ373" s="18" t="s">
        <v>43</v>
      </c>
      <c r="FA373" s="44">
        <f t="shared" si="738"/>
        <v>0.56603773584905659</v>
      </c>
      <c r="FB373" s="44">
        <f t="shared" si="739"/>
        <v>0.65217391304347827</v>
      </c>
      <c r="FC373" s="44">
        <f t="shared" si="740"/>
        <v>0.86792452830188682</v>
      </c>
      <c r="FD373" s="16">
        <v>8</v>
      </c>
      <c r="FE373" s="16">
        <v>3</v>
      </c>
      <c r="FF373" s="16">
        <v>212</v>
      </c>
      <c r="FG373" s="16">
        <f t="shared" si="741"/>
        <v>28</v>
      </c>
      <c r="FH373" s="16">
        <v>184</v>
      </c>
      <c r="FI373" s="16">
        <v>120</v>
      </c>
      <c r="FJ373" s="16">
        <f t="shared" si="742"/>
        <v>64</v>
      </c>
      <c r="FM373" s="18">
        <v>2023</v>
      </c>
      <c r="FN373" s="18" t="s">
        <v>43</v>
      </c>
      <c r="FO373" s="44">
        <f t="shared" si="743"/>
        <v>0.72641509433962259</v>
      </c>
      <c r="FP373" s="44">
        <f t="shared" si="744"/>
        <v>0.79792746113989632</v>
      </c>
      <c r="FQ373" s="44">
        <f t="shared" si="745"/>
        <v>0.910377358490566</v>
      </c>
      <c r="FR373" s="16">
        <v>8</v>
      </c>
      <c r="FS373" s="16">
        <v>3</v>
      </c>
      <c r="FT373" s="16">
        <v>212</v>
      </c>
      <c r="FU373" s="16">
        <f t="shared" si="746"/>
        <v>19</v>
      </c>
      <c r="FV373" s="16">
        <v>193</v>
      </c>
      <c r="FW373" s="16">
        <v>154</v>
      </c>
      <c r="FX373" s="16">
        <f t="shared" si="747"/>
        <v>39</v>
      </c>
      <c r="GA373" s="18">
        <v>2023</v>
      </c>
      <c r="GB373" s="18" t="s">
        <v>43</v>
      </c>
      <c r="GC373" s="44">
        <f t="shared" si="748"/>
        <v>0.9838709677419355</v>
      </c>
      <c r="GD373" s="44">
        <f t="shared" si="749"/>
        <v>1</v>
      </c>
      <c r="GE373" s="44">
        <f t="shared" si="750"/>
        <v>0.9838709677419355</v>
      </c>
      <c r="GF373" s="16">
        <v>26</v>
      </c>
      <c r="GG373" s="16">
        <v>1</v>
      </c>
      <c r="GH373" s="16">
        <v>620</v>
      </c>
      <c r="GI373" s="16">
        <f t="shared" si="751"/>
        <v>10</v>
      </c>
      <c r="GJ373" s="16">
        <v>610</v>
      </c>
      <c r="GK373" s="16">
        <v>610</v>
      </c>
      <c r="GL373" s="16">
        <f t="shared" si="752"/>
        <v>0</v>
      </c>
    </row>
    <row r="374" spans="1:195" s="18" customFormat="1" ht="15" customHeight="1">
      <c r="A374" s="18">
        <v>2023</v>
      </c>
      <c r="B374" s="18" t="s">
        <v>44</v>
      </c>
      <c r="C374" s="15">
        <f t="shared" ref="C374" si="758">K374/H374</f>
        <v>0.76286819398988392</v>
      </c>
      <c r="D374" s="15">
        <f t="shared" ref="D374" si="759">K374/J374</f>
        <v>0.83420869161050426</v>
      </c>
      <c r="E374" s="15">
        <f t="shared" ref="E374" si="760">J374/H374</f>
        <v>0.91448123432651851</v>
      </c>
      <c r="F374"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4"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6.1735068556820822</v>
      </c>
      <c r="H374" s="16">
        <f>+V374+AX374+BL374+CN374+DB374+DP374+ED374+BZ374+ER374+ROC_Ca_Mo[[#This Row],[Trenes Programados]]+ROC_Ca_Lo[[#This Row],[Trenes Programados]]+ROC_T_Un_LP[[#This Row],[Trenes Programados]]</f>
        <v>23527</v>
      </c>
      <c r="I374" s="16">
        <f t="shared" ref="I374" si="761">H374-J374</f>
        <v>2012</v>
      </c>
      <c r="J374" s="16">
        <f>+X374+AZ374+BN374+CP374+DD374+DR374+EF374+CB374+ET374+ROC_Ca_Mo[[#This Row],[Trenes Corridos]]+ROC_Ca_Lo[[#This Row],[Trenes Corridos]]+ROC_T_Un_LP[[#This Row],[Trenes Corridos]]</f>
        <v>21515</v>
      </c>
      <c r="K374" s="16">
        <f>+Y374+BA374+BO374+CQ374+DE374+DS374+EG374+CC374+EU374+ROC_Ca_Mo[[#This Row],[Trenes Puntuales]]+ROC_Ca_Lo[[#This Row],[Trenes Puntuales]]+ROC_T_Un_LP[[#This Row],[Trenes Puntuales]]</f>
        <v>17948</v>
      </c>
      <c r="L374" s="16">
        <f t="shared" ref="L374" si="762">J374-K374</f>
        <v>3567</v>
      </c>
      <c r="O374" s="18">
        <v>2023</v>
      </c>
      <c r="P374" s="18" t="s">
        <v>44</v>
      </c>
      <c r="Q374" s="44">
        <f t="shared" si="695"/>
        <v>0.74127391047130742</v>
      </c>
      <c r="R374" s="44">
        <f t="shared" si="696"/>
        <v>0.77457242942509785</v>
      </c>
      <c r="S374" s="44">
        <f t="shared" si="697"/>
        <v>0.95701045158745812</v>
      </c>
      <c r="T374" s="16">
        <v>198</v>
      </c>
      <c r="U374" s="16">
        <v>7</v>
      </c>
      <c r="V374" s="16">
        <v>5071</v>
      </c>
      <c r="W374" s="16">
        <f t="shared" si="698"/>
        <v>218</v>
      </c>
      <c r="X374" s="16">
        <v>4853</v>
      </c>
      <c r="Y374" s="16">
        <v>3759</v>
      </c>
      <c r="Z374" s="16">
        <f t="shared" si="699"/>
        <v>1094</v>
      </c>
      <c r="AC374" s="177"/>
      <c r="AD374" s="178"/>
      <c r="AE374" s="169"/>
      <c r="AF374" s="169"/>
      <c r="AG374" s="169"/>
      <c r="AH374" s="179"/>
      <c r="AI374" s="179"/>
      <c r="AJ374" s="168"/>
      <c r="AK374" s="168"/>
      <c r="AL374" s="168"/>
      <c r="AM374" s="168"/>
      <c r="AN374" s="168"/>
      <c r="AO374" s="168"/>
      <c r="AQ374" s="18">
        <v>2023</v>
      </c>
      <c r="AR374" s="18" t="s">
        <v>44</v>
      </c>
      <c r="AS374" s="44">
        <f t="shared" si="700"/>
        <v>0.9096646942800789</v>
      </c>
      <c r="AT374" s="44">
        <f t="shared" si="701"/>
        <v>0.95744239152999788</v>
      </c>
      <c r="AU374" s="44">
        <f t="shared" si="702"/>
        <v>0.95009861932938855</v>
      </c>
      <c r="AV374" s="16">
        <v>192</v>
      </c>
      <c r="AW374" s="16">
        <v>7</v>
      </c>
      <c r="AX374" s="16">
        <v>5070</v>
      </c>
      <c r="AY374" s="16">
        <f t="shared" si="703"/>
        <v>253</v>
      </c>
      <c r="AZ374" s="16">
        <v>4817</v>
      </c>
      <c r="BA374" s="16">
        <v>4612</v>
      </c>
      <c r="BB374" s="16">
        <f t="shared" si="704"/>
        <v>205</v>
      </c>
      <c r="BE374" s="18">
        <v>2023</v>
      </c>
      <c r="BF374" s="18" t="s">
        <v>44</v>
      </c>
      <c r="BG374" s="44">
        <f t="shared" si="705"/>
        <v>0.60079312623925973</v>
      </c>
      <c r="BH374" s="44">
        <f t="shared" si="706"/>
        <v>0.74224278715296677</v>
      </c>
      <c r="BI374" s="44">
        <f t="shared" si="707"/>
        <v>0.80942938973342149</v>
      </c>
      <c r="BJ374" s="16">
        <v>164</v>
      </c>
      <c r="BK374" s="16">
        <v>7</v>
      </c>
      <c r="BL374" s="16">
        <v>4539</v>
      </c>
      <c r="BM374" s="16">
        <f t="shared" si="708"/>
        <v>865</v>
      </c>
      <c r="BN374" s="16">
        <v>3674</v>
      </c>
      <c r="BO374" s="16">
        <v>2727</v>
      </c>
      <c r="BP374" s="16">
        <f t="shared" si="709"/>
        <v>947</v>
      </c>
      <c r="BS374" s="18">
        <v>2023</v>
      </c>
      <c r="BT374" s="18" t="s">
        <v>44</v>
      </c>
      <c r="BU374" s="44">
        <f t="shared" si="710"/>
        <v>0.69349315068493156</v>
      </c>
      <c r="BV374" s="44">
        <f t="shared" si="711"/>
        <v>0.73436083408884856</v>
      </c>
      <c r="BW374" s="44">
        <f t="shared" si="712"/>
        <v>0.94434931506849318</v>
      </c>
      <c r="BX374" s="16">
        <v>89</v>
      </c>
      <c r="BY374" s="16">
        <v>7</v>
      </c>
      <c r="BZ374" s="16">
        <v>2336</v>
      </c>
      <c r="CA374" s="16">
        <f t="shared" si="713"/>
        <v>130</v>
      </c>
      <c r="CB374" s="16">
        <v>2206</v>
      </c>
      <c r="CC374" s="16">
        <v>1620</v>
      </c>
      <c r="CD374" s="16">
        <f t="shared" si="714"/>
        <v>586</v>
      </c>
      <c r="CG374" s="18">
        <v>2023</v>
      </c>
      <c r="CH374" s="18" t="s">
        <v>44</v>
      </c>
      <c r="CI374" s="44">
        <f t="shared" si="715"/>
        <v>0.65154440154440152</v>
      </c>
      <c r="CJ374" s="44">
        <f t="shared" si="716"/>
        <v>0.76056338028169013</v>
      </c>
      <c r="CK374" s="44">
        <f t="shared" si="717"/>
        <v>0.85666023166023164</v>
      </c>
      <c r="CL374" s="16">
        <v>76</v>
      </c>
      <c r="CM374" s="16">
        <v>7</v>
      </c>
      <c r="CN374" s="16">
        <v>2072</v>
      </c>
      <c r="CO374" s="16">
        <f t="shared" si="718"/>
        <v>297</v>
      </c>
      <c r="CP374" s="16">
        <v>1775</v>
      </c>
      <c r="CQ374" s="16">
        <v>1350</v>
      </c>
      <c r="CR374" s="16">
        <f t="shared" si="719"/>
        <v>425</v>
      </c>
      <c r="CU374" s="18">
        <v>2023</v>
      </c>
      <c r="CV374" s="18" t="s">
        <v>44</v>
      </c>
      <c r="CW374" s="44">
        <f t="shared" si="720"/>
        <v>0.91229656419529837</v>
      </c>
      <c r="CX374" s="44">
        <f t="shared" si="721"/>
        <v>0.97866149369544131</v>
      </c>
      <c r="CY374" s="44">
        <f t="shared" si="722"/>
        <v>0.93218806509945751</v>
      </c>
      <c r="CZ374" s="16">
        <v>36</v>
      </c>
      <c r="DA374" s="16">
        <v>3</v>
      </c>
      <c r="DB374" s="16">
        <v>1106</v>
      </c>
      <c r="DC374" s="16">
        <f t="shared" si="723"/>
        <v>75</v>
      </c>
      <c r="DD374" s="16">
        <v>1031</v>
      </c>
      <c r="DE374" s="16">
        <v>1009</v>
      </c>
      <c r="DF374" s="16">
        <f t="shared" si="724"/>
        <v>22</v>
      </c>
      <c r="DI374" s="18">
        <v>2023</v>
      </c>
      <c r="DJ374" s="18" t="s">
        <v>44</v>
      </c>
      <c r="DK374" s="44">
        <f t="shared" si="725"/>
        <v>0.88690476190476186</v>
      </c>
      <c r="DL374" s="44">
        <f t="shared" si="726"/>
        <v>0.96753246753246758</v>
      </c>
      <c r="DM374" s="44">
        <f t="shared" si="727"/>
        <v>0.91666666666666663</v>
      </c>
      <c r="DN374" s="16">
        <v>20</v>
      </c>
      <c r="DO374" s="16">
        <v>3</v>
      </c>
      <c r="DP374" s="16">
        <v>504</v>
      </c>
      <c r="DQ374" s="16">
        <f t="shared" si="689"/>
        <v>42</v>
      </c>
      <c r="DR374" s="16">
        <v>462</v>
      </c>
      <c r="DS374" s="16">
        <v>447</v>
      </c>
      <c r="DT374" s="16">
        <f t="shared" si="728"/>
        <v>15</v>
      </c>
      <c r="DW374" s="18">
        <v>2023</v>
      </c>
      <c r="DX374" s="18" t="s">
        <v>44</v>
      </c>
      <c r="DY374" s="44">
        <f t="shared" si="729"/>
        <v>0.84702194357366767</v>
      </c>
      <c r="DZ374" s="44">
        <f t="shared" si="730"/>
        <v>0.90367892976588626</v>
      </c>
      <c r="EA374" s="44">
        <f t="shared" si="731"/>
        <v>0.93730407523510972</v>
      </c>
      <c r="EB374" s="16">
        <v>42</v>
      </c>
      <c r="EC374" s="16">
        <v>3</v>
      </c>
      <c r="ED374" s="16">
        <v>1595</v>
      </c>
      <c r="EE374" s="16">
        <f t="shared" si="732"/>
        <v>100</v>
      </c>
      <c r="EF374" s="16">
        <v>1495</v>
      </c>
      <c r="EG374" s="16">
        <v>1351</v>
      </c>
      <c r="EH374" s="16">
        <f t="shared" si="733"/>
        <v>144</v>
      </c>
      <c r="EI374" s="18" t="s">
        <v>159</v>
      </c>
      <c r="EK374" s="18">
        <v>2023</v>
      </c>
      <c r="EL374" s="18" t="s">
        <v>44</v>
      </c>
      <c r="EM374" s="44">
        <f t="shared" si="734"/>
        <v>0.94333333333333336</v>
      </c>
      <c r="EN374" s="44">
        <f t="shared" si="735"/>
        <v>0.95608108108108103</v>
      </c>
      <c r="EO374" s="44">
        <f t="shared" si="736"/>
        <v>0.98666666666666669</v>
      </c>
      <c r="EP374" s="16">
        <v>10</v>
      </c>
      <c r="EQ374" s="16">
        <v>3</v>
      </c>
      <c r="ER374" s="16">
        <v>300</v>
      </c>
      <c r="ES374" s="16">
        <f t="shared" si="672"/>
        <v>4</v>
      </c>
      <c r="ET374" s="16">
        <v>296</v>
      </c>
      <c r="EU374" s="16">
        <v>283</v>
      </c>
      <c r="EV374" s="16">
        <f t="shared" si="737"/>
        <v>13</v>
      </c>
      <c r="EY374" s="18">
        <v>2023</v>
      </c>
      <c r="EZ374" s="18" t="s">
        <v>44</v>
      </c>
      <c r="FA374" s="44">
        <f t="shared" si="738"/>
        <v>0.62254901960784315</v>
      </c>
      <c r="FB374" s="44">
        <f t="shared" si="739"/>
        <v>0.64467005076142136</v>
      </c>
      <c r="FC374" s="44">
        <f t="shared" si="740"/>
        <v>0.96568627450980393</v>
      </c>
      <c r="FD374" s="16">
        <v>8</v>
      </c>
      <c r="FE374" s="16">
        <v>3</v>
      </c>
      <c r="FF374" s="16">
        <v>204</v>
      </c>
      <c r="FG374" s="16">
        <f t="shared" si="741"/>
        <v>7</v>
      </c>
      <c r="FH374" s="16">
        <v>197</v>
      </c>
      <c r="FI374" s="16">
        <v>127</v>
      </c>
      <c r="FJ374" s="16">
        <f t="shared" si="742"/>
        <v>70</v>
      </c>
      <c r="FM374" s="18">
        <v>2023</v>
      </c>
      <c r="FN374" s="18" t="s">
        <v>44</v>
      </c>
      <c r="FO374" s="44">
        <f t="shared" si="743"/>
        <v>0.77450980392156865</v>
      </c>
      <c r="FP374" s="44">
        <f t="shared" si="744"/>
        <v>0.79797979797979801</v>
      </c>
      <c r="FQ374" s="44">
        <f t="shared" si="745"/>
        <v>0.97058823529411764</v>
      </c>
      <c r="FR374" s="16">
        <v>8</v>
      </c>
      <c r="FS374" s="16">
        <v>3</v>
      </c>
      <c r="FT374" s="16">
        <v>204</v>
      </c>
      <c r="FU374" s="16">
        <f t="shared" si="746"/>
        <v>6</v>
      </c>
      <c r="FV374" s="16">
        <v>198</v>
      </c>
      <c r="FW374" s="16">
        <v>158</v>
      </c>
      <c r="FX374" s="16">
        <f t="shared" si="747"/>
        <v>40</v>
      </c>
      <c r="GA374" s="18">
        <v>2023</v>
      </c>
      <c r="GB374" s="18" t="s">
        <v>44</v>
      </c>
      <c r="GC374" s="44">
        <f t="shared" si="748"/>
        <v>0.96007604562737647</v>
      </c>
      <c r="GD374" s="44">
        <f t="shared" si="749"/>
        <v>0.98825831702544031</v>
      </c>
      <c r="GE374" s="44">
        <f t="shared" si="750"/>
        <v>0.97148288973384034</v>
      </c>
      <c r="GF374" s="16">
        <v>26</v>
      </c>
      <c r="GG374" s="16">
        <v>1</v>
      </c>
      <c r="GH374" s="16">
        <v>526</v>
      </c>
      <c r="GI374" s="16">
        <f t="shared" si="751"/>
        <v>15</v>
      </c>
      <c r="GJ374" s="16">
        <v>511</v>
      </c>
      <c r="GK374" s="16">
        <v>505</v>
      </c>
      <c r="GL374" s="16">
        <f t="shared" si="752"/>
        <v>6</v>
      </c>
    </row>
    <row r="375" spans="1:195" s="18" customFormat="1" ht="15" customHeight="1">
      <c r="A375" s="18">
        <v>2023</v>
      </c>
      <c r="B375" s="18" t="s">
        <v>45</v>
      </c>
      <c r="C375" s="15">
        <f t="shared" ref="C375" si="763">K375/H375</f>
        <v>0.75384878549435508</v>
      </c>
      <c r="D375" s="15">
        <f t="shared" ref="D375" si="764">K375/J375</f>
        <v>0.8515942028985507</v>
      </c>
      <c r="E375" s="15">
        <f t="shared" ref="E375" si="765">J375/H375</f>
        <v>0.8852206637016764</v>
      </c>
      <c r="F375"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5"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6.17256038647343</v>
      </c>
      <c r="H375" s="16">
        <f>+V375+AX375+BL375+CN375+DB375+DP375+ED375+BZ375+ER375+ROC_Ca_Mo[[#This Row],[Trenes Programados]]+ROC_Ca_Lo[[#This Row],[Trenes Programados]]+ROC_T_Un_LP[[#This Row],[Trenes Programados]]</f>
        <v>23384</v>
      </c>
      <c r="I375" s="16">
        <f t="shared" ref="I375" si="766">H375-J375</f>
        <v>2684</v>
      </c>
      <c r="J375" s="16">
        <f>+X375+AZ375+BN375+CP375+DD375+DR375+EF375+CB375+ET375+ROC_Ca_Mo[[#This Row],[Trenes Corridos]]+ROC_Ca_Lo[[#This Row],[Trenes Corridos]]+ROC_T_Un_LP[[#This Row],[Trenes Corridos]]</f>
        <v>20700</v>
      </c>
      <c r="K375" s="16">
        <f>+Y375+BA375+BO375+CQ375+DE375+DS375+EG375+CC375+EU375+ROC_Ca_Mo[[#This Row],[Trenes Puntuales]]+ROC_Ca_Lo[[#This Row],[Trenes Puntuales]]+ROC_T_Un_LP[[#This Row],[Trenes Puntuales]]</f>
        <v>17628</v>
      </c>
      <c r="L375" s="16">
        <f t="shared" ref="L375" si="767">J375-K375</f>
        <v>3072</v>
      </c>
      <c r="O375" s="18">
        <v>2023</v>
      </c>
      <c r="P375" s="18" t="s">
        <v>45</v>
      </c>
      <c r="Q375" s="44">
        <f t="shared" si="695"/>
        <v>0.71656686626746502</v>
      </c>
      <c r="R375" s="44">
        <f t="shared" si="696"/>
        <v>0.7733735458853942</v>
      </c>
      <c r="S375" s="44">
        <f t="shared" si="697"/>
        <v>0.9265469061876247</v>
      </c>
      <c r="T375" s="16">
        <v>198</v>
      </c>
      <c r="U375" s="16">
        <v>7</v>
      </c>
      <c r="V375" s="16">
        <v>5010</v>
      </c>
      <c r="W375" s="16">
        <f t="shared" si="698"/>
        <v>368</v>
      </c>
      <c r="X375" s="16">
        <v>4642</v>
      </c>
      <c r="Y375" s="16">
        <v>3590</v>
      </c>
      <c r="Z375" s="16">
        <f t="shared" si="699"/>
        <v>1052</v>
      </c>
      <c r="AC375" s="177"/>
      <c r="AD375" s="178"/>
      <c r="AE375" s="169"/>
      <c r="AF375" s="169"/>
      <c r="AG375" s="169"/>
      <c r="AH375" s="179"/>
      <c r="AI375" s="179"/>
      <c r="AJ375" s="168"/>
      <c r="AK375" s="168"/>
      <c r="AL375" s="168"/>
      <c r="AM375" s="168"/>
      <c r="AN375" s="168"/>
      <c r="AO375" s="168"/>
      <c r="AQ375" s="18">
        <v>2023</v>
      </c>
      <c r="AR375" s="18" t="s">
        <v>45</v>
      </c>
      <c r="AS375" s="44">
        <f t="shared" si="700"/>
        <v>0.90265310193496906</v>
      </c>
      <c r="AT375" s="44">
        <f t="shared" si="701"/>
        <v>0.96276595744680848</v>
      </c>
      <c r="AU375" s="44">
        <f t="shared" si="702"/>
        <v>0.93756233792140431</v>
      </c>
      <c r="AV375" s="16">
        <v>192</v>
      </c>
      <c r="AW375" s="16">
        <v>7</v>
      </c>
      <c r="AX375" s="16">
        <v>5013</v>
      </c>
      <c r="AY375" s="16">
        <f t="shared" si="703"/>
        <v>313</v>
      </c>
      <c r="AZ375" s="16">
        <v>4700</v>
      </c>
      <c r="BA375" s="16">
        <v>4525</v>
      </c>
      <c r="BB375" s="16">
        <f t="shared" si="704"/>
        <v>175</v>
      </c>
      <c r="BE375" s="18">
        <v>2023</v>
      </c>
      <c r="BF375" s="18" t="s">
        <v>45</v>
      </c>
      <c r="BG375" s="44">
        <f t="shared" si="705"/>
        <v>0.57678883071553233</v>
      </c>
      <c r="BH375" s="44">
        <f t="shared" si="706"/>
        <v>0.77810476751030022</v>
      </c>
      <c r="BI375" s="44">
        <f t="shared" si="707"/>
        <v>0.74127399650959858</v>
      </c>
      <c r="BJ375" s="16">
        <v>164</v>
      </c>
      <c r="BK375" s="16">
        <v>7</v>
      </c>
      <c r="BL375" s="16">
        <v>4584</v>
      </c>
      <c r="BM375" s="16">
        <f t="shared" si="708"/>
        <v>1186</v>
      </c>
      <c r="BN375" s="16">
        <v>3398</v>
      </c>
      <c r="BO375" s="16">
        <v>2644</v>
      </c>
      <c r="BP375" s="16">
        <f t="shared" si="709"/>
        <v>754</v>
      </c>
      <c r="BS375" s="18">
        <v>2023</v>
      </c>
      <c r="BT375" s="18" t="s">
        <v>45</v>
      </c>
      <c r="BU375" s="44">
        <f t="shared" si="710"/>
        <v>0.75418994413407825</v>
      </c>
      <c r="BV375" s="44">
        <f t="shared" si="711"/>
        <v>0.80283623055809694</v>
      </c>
      <c r="BW375" s="44">
        <f t="shared" si="712"/>
        <v>0.93940696175333049</v>
      </c>
      <c r="BX375" s="16">
        <v>89</v>
      </c>
      <c r="BY375" s="16">
        <v>7</v>
      </c>
      <c r="BZ375" s="16">
        <v>2327</v>
      </c>
      <c r="CA375" s="16">
        <f t="shared" si="713"/>
        <v>141</v>
      </c>
      <c r="CB375" s="16">
        <v>2186</v>
      </c>
      <c r="CC375" s="16">
        <v>1755</v>
      </c>
      <c r="CD375" s="16">
        <f t="shared" si="714"/>
        <v>431</v>
      </c>
      <c r="CG375" s="18">
        <v>2023</v>
      </c>
      <c r="CH375" s="18" t="s">
        <v>45</v>
      </c>
      <c r="CI375" s="44">
        <f t="shared" si="715"/>
        <v>0.66150870406189555</v>
      </c>
      <c r="CJ375" s="44">
        <f t="shared" si="716"/>
        <v>0.81090693538826319</v>
      </c>
      <c r="CK375" s="44">
        <f t="shared" si="717"/>
        <v>0.81576402321083175</v>
      </c>
      <c r="CL375" s="16">
        <v>76</v>
      </c>
      <c r="CM375" s="16">
        <v>7</v>
      </c>
      <c r="CN375" s="16">
        <v>2068</v>
      </c>
      <c r="CO375" s="16">
        <f t="shared" si="718"/>
        <v>381</v>
      </c>
      <c r="CP375" s="16">
        <v>1687</v>
      </c>
      <c r="CQ375" s="16">
        <v>1368</v>
      </c>
      <c r="CR375" s="16">
        <f t="shared" si="719"/>
        <v>319</v>
      </c>
      <c r="CU375" s="18">
        <v>2023</v>
      </c>
      <c r="CV375" s="18" t="s">
        <v>45</v>
      </c>
      <c r="CW375" s="44">
        <f t="shared" si="720"/>
        <v>0.86315789473684212</v>
      </c>
      <c r="CX375" s="44">
        <f t="shared" si="721"/>
        <v>0.96281800391389427</v>
      </c>
      <c r="CY375" s="44">
        <f t="shared" si="722"/>
        <v>0.89649122807017545</v>
      </c>
      <c r="CZ375" s="16">
        <v>36</v>
      </c>
      <c r="DA375" s="16">
        <v>3</v>
      </c>
      <c r="DB375" s="16">
        <v>1140</v>
      </c>
      <c r="DC375" s="16">
        <f t="shared" si="723"/>
        <v>118</v>
      </c>
      <c r="DD375" s="16">
        <v>1022</v>
      </c>
      <c r="DE375" s="16">
        <v>984</v>
      </c>
      <c r="DF375" s="16">
        <f t="shared" si="724"/>
        <v>38</v>
      </c>
      <c r="DI375" s="18">
        <v>2023</v>
      </c>
      <c r="DJ375" s="18" t="s">
        <v>45</v>
      </c>
      <c r="DK375" s="44">
        <f t="shared" si="725"/>
        <v>0.95525291828793779</v>
      </c>
      <c r="DL375" s="44">
        <f t="shared" si="726"/>
        <v>0.98792756539235416</v>
      </c>
      <c r="DM375" s="44">
        <f t="shared" si="727"/>
        <v>0.96692607003891051</v>
      </c>
      <c r="DN375" s="16">
        <v>20</v>
      </c>
      <c r="DO375" s="16">
        <v>3</v>
      </c>
      <c r="DP375" s="16">
        <v>514</v>
      </c>
      <c r="DQ375" s="16">
        <f t="shared" si="689"/>
        <v>17</v>
      </c>
      <c r="DR375" s="16">
        <v>497</v>
      </c>
      <c r="DS375" s="16">
        <v>491</v>
      </c>
      <c r="DT375" s="16">
        <f t="shared" si="728"/>
        <v>6</v>
      </c>
      <c r="DW375" s="18">
        <v>2023</v>
      </c>
      <c r="DX375" s="18" t="s">
        <v>45</v>
      </c>
      <c r="DY375" s="44">
        <f t="shared" si="729"/>
        <v>0.81396786155747836</v>
      </c>
      <c r="DZ375" s="44">
        <f t="shared" si="730"/>
        <v>0.88329979879275655</v>
      </c>
      <c r="EA375" s="44">
        <f t="shared" si="731"/>
        <v>0.92150803461063036</v>
      </c>
      <c r="EB375" s="16">
        <v>42</v>
      </c>
      <c r="EC375" s="16">
        <v>3</v>
      </c>
      <c r="ED375" s="16">
        <v>1618</v>
      </c>
      <c r="EE375" s="16">
        <f t="shared" si="732"/>
        <v>127</v>
      </c>
      <c r="EF375" s="16">
        <v>1491</v>
      </c>
      <c r="EG375" s="16">
        <v>1317</v>
      </c>
      <c r="EH375" s="16">
        <f t="shared" si="733"/>
        <v>174</v>
      </c>
      <c r="EK375" s="18">
        <v>2023</v>
      </c>
      <c r="EL375" s="18" t="s">
        <v>45</v>
      </c>
      <c r="EM375" s="44">
        <f t="shared" si="734"/>
        <v>0.88387096774193552</v>
      </c>
      <c r="EN375" s="44">
        <f t="shared" si="735"/>
        <v>0.89542483660130723</v>
      </c>
      <c r="EO375" s="44">
        <f t="shared" si="736"/>
        <v>0.98709677419354835</v>
      </c>
      <c r="EP375" s="16">
        <v>10</v>
      </c>
      <c r="EQ375" s="16">
        <v>3</v>
      </c>
      <c r="ER375" s="16">
        <v>310</v>
      </c>
      <c r="ES375" s="16">
        <f t="shared" si="672"/>
        <v>4</v>
      </c>
      <c r="ET375" s="16">
        <v>306</v>
      </c>
      <c r="EU375" s="16">
        <v>274</v>
      </c>
      <c r="EV375" s="16">
        <f t="shared" si="737"/>
        <v>32</v>
      </c>
      <c r="EY375" s="18">
        <v>2023</v>
      </c>
      <c r="EZ375" s="18" t="s">
        <v>45</v>
      </c>
      <c r="FA375" s="44">
        <f t="shared" si="738"/>
        <v>0.67156862745098034</v>
      </c>
      <c r="FB375" s="44">
        <f t="shared" si="739"/>
        <v>0.7172774869109948</v>
      </c>
      <c r="FC375" s="44">
        <f t="shared" si="740"/>
        <v>0.93627450980392157</v>
      </c>
      <c r="FD375" s="16">
        <v>8</v>
      </c>
      <c r="FE375" s="16">
        <v>3</v>
      </c>
      <c r="FF375" s="16">
        <v>204</v>
      </c>
      <c r="FG375" s="16">
        <f t="shared" si="741"/>
        <v>13</v>
      </c>
      <c r="FH375" s="16">
        <v>191</v>
      </c>
      <c r="FI375" s="16">
        <v>137</v>
      </c>
      <c r="FJ375" s="16">
        <f t="shared" si="742"/>
        <v>54</v>
      </c>
      <c r="FM375" s="18">
        <v>2023</v>
      </c>
      <c r="FN375" s="18" t="s">
        <v>45</v>
      </c>
      <c r="FO375" s="44">
        <f t="shared" si="743"/>
        <v>0.75490196078431371</v>
      </c>
      <c r="FP375" s="44">
        <f t="shared" si="744"/>
        <v>0.81052631578947365</v>
      </c>
      <c r="FQ375" s="44">
        <f t="shared" si="745"/>
        <v>0.93137254901960786</v>
      </c>
      <c r="FR375" s="16">
        <v>8</v>
      </c>
      <c r="FS375" s="16">
        <v>3</v>
      </c>
      <c r="FT375" s="16">
        <v>204</v>
      </c>
      <c r="FU375" s="16">
        <f t="shared" si="746"/>
        <v>14</v>
      </c>
      <c r="FV375" s="16">
        <v>190</v>
      </c>
      <c r="FW375" s="16">
        <v>154</v>
      </c>
      <c r="FX375" s="16">
        <f t="shared" si="747"/>
        <v>36</v>
      </c>
      <c r="GA375" s="18">
        <v>2023</v>
      </c>
      <c r="GB375" s="18" t="s">
        <v>45</v>
      </c>
      <c r="GC375" s="44">
        <f t="shared" si="748"/>
        <v>0.99234693877551017</v>
      </c>
      <c r="GD375" s="44">
        <f t="shared" si="749"/>
        <v>0.99743589743589745</v>
      </c>
      <c r="GE375" s="44">
        <f t="shared" si="750"/>
        <v>0.99489795918367352</v>
      </c>
      <c r="GF375" s="16">
        <v>26</v>
      </c>
      <c r="GG375" s="16">
        <v>1</v>
      </c>
      <c r="GH375" s="16">
        <v>392</v>
      </c>
      <c r="GI375" s="16">
        <f t="shared" si="751"/>
        <v>2</v>
      </c>
      <c r="GJ375" s="16">
        <v>390</v>
      </c>
      <c r="GK375" s="16">
        <v>389</v>
      </c>
      <c r="GL375" s="16">
        <f t="shared" si="752"/>
        <v>1</v>
      </c>
    </row>
    <row r="376" spans="1:195" s="18" customFormat="1" ht="15" customHeight="1">
      <c r="A376" s="18">
        <v>2023</v>
      </c>
      <c r="B376" s="18" t="s">
        <v>46</v>
      </c>
      <c r="C376" s="15">
        <f t="shared" ref="C376" si="768">K376/H376</f>
        <v>0.75708693594872456</v>
      </c>
      <c r="D376" s="15">
        <f t="shared" ref="D376" si="769">K376/J376</f>
        <v>0.83981485899699382</v>
      </c>
      <c r="E376" s="15">
        <f t="shared" ref="E376" si="770">J376/H376</f>
        <v>0.90149266572030795</v>
      </c>
      <c r="F376"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6"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6.1857613207997328</v>
      </c>
      <c r="H376" s="16">
        <f>+V376+AX376+BL376+CN376+DB376+DP376+ED376+BZ376+ER376+ROC_Ca_Mo[[#This Row],[Trenes Programados]]+ROC_Ca_Lo[[#This Row],[Trenes Programados]]+ROC_T_Un_LP[[#This Row],[Trenes Programados]]</f>
        <v>23247</v>
      </c>
      <c r="I376" s="16">
        <f t="shared" ref="I376" si="771">H376-J376</f>
        <v>2290</v>
      </c>
      <c r="J376" s="16">
        <f>+X376+AZ376+BN376+CP376+DD376+DR376+EF376+CB376+ET376+ROC_Ca_Mo[[#This Row],[Trenes Corridos]]+ROC_Ca_Lo[[#This Row],[Trenes Corridos]]+ROC_T_Un_LP[[#This Row],[Trenes Corridos]]</f>
        <v>20957</v>
      </c>
      <c r="K376" s="16">
        <f>+Y376+BA376+BO376+CQ376+DE376+DS376+EG376+CC376+EU376+ROC_Ca_Mo[[#This Row],[Trenes Puntuales]]+ROC_Ca_Lo[[#This Row],[Trenes Puntuales]]+ROC_T_Un_LP[[#This Row],[Trenes Puntuales]]</f>
        <v>17600</v>
      </c>
      <c r="L376" s="16">
        <f t="shared" ref="L376" si="772">J376-K376</f>
        <v>3357</v>
      </c>
      <c r="O376" s="18">
        <v>2023</v>
      </c>
      <c r="P376" s="18" t="s">
        <v>46</v>
      </c>
      <c r="Q376" s="44">
        <f t="shared" si="695"/>
        <v>0.71838279227245572</v>
      </c>
      <c r="R376" s="44">
        <f t="shared" si="696"/>
        <v>0.75412920761028646</v>
      </c>
      <c r="S376" s="44">
        <f t="shared" si="697"/>
        <v>0.95259908384783909</v>
      </c>
      <c r="T376" s="16">
        <v>198</v>
      </c>
      <c r="U376" s="16">
        <v>7</v>
      </c>
      <c r="V376" s="16">
        <v>5021</v>
      </c>
      <c r="W376" s="16">
        <f t="shared" si="698"/>
        <v>238</v>
      </c>
      <c r="X376" s="16">
        <v>4783</v>
      </c>
      <c r="Y376" s="16">
        <v>3607</v>
      </c>
      <c r="Z376" s="16">
        <f t="shared" si="699"/>
        <v>1176</v>
      </c>
      <c r="AC376" s="177"/>
      <c r="AD376" s="178"/>
      <c r="AE376" s="169"/>
      <c r="AF376" s="169"/>
      <c r="AG376" s="169"/>
      <c r="AH376" s="179"/>
      <c r="AI376" s="179"/>
      <c r="AJ376" s="168"/>
      <c r="AK376" s="168"/>
      <c r="AL376" s="168"/>
      <c r="AM376" s="168"/>
      <c r="AN376" s="168"/>
      <c r="AO376" s="168"/>
      <c r="AQ376" s="18">
        <v>2023</v>
      </c>
      <c r="AR376" s="18" t="s">
        <v>46</v>
      </c>
      <c r="AS376" s="44">
        <f t="shared" si="700"/>
        <v>0.91158900836320189</v>
      </c>
      <c r="AT376" s="44">
        <f t="shared" si="701"/>
        <v>0.95454545454545459</v>
      </c>
      <c r="AU376" s="44">
        <f t="shared" si="702"/>
        <v>0.95499800876144958</v>
      </c>
      <c r="AV376" s="16">
        <v>192</v>
      </c>
      <c r="AW376" s="16">
        <v>7</v>
      </c>
      <c r="AX376" s="16">
        <v>5022</v>
      </c>
      <c r="AY376" s="16">
        <f t="shared" si="703"/>
        <v>226</v>
      </c>
      <c r="AZ376" s="16">
        <v>4796</v>
      </c>
      <c r="BA376" s="16">
        <v>4578</v>
      </c>
      <c r="BB376" s="16">
        <f t="shared" si="704"/>
        <v>218</v>
      </c>
      <c r="BE376" s="18">
        <v>2023</v>
      </c>
      <c r="BF376" s="18" t="s">
        <v>46</v>
      </c>
      <c r="BG376" s="44">
        <f t="shared" si="705"/>
        <v>0.54537405931828242</v>
      </c>
      <c r="BH376" s="44">
        <f t="shared" si="706"/>
        <v>0.7289940828402367</v>
      </c>
      <c r="BI376" s="44">
        <f t="shared" si="707"/>
        <v>0.74811863656485167</v>
      </c>
      <c r="BJ376" s="16">
        <v>164</v>
      </c>
      <c r="BK376" s="16">
        <v>7</v>
      </c>
      <c r="BL376" s="16">
        <v>4518</v>
      </c>
      <c r="BM376" s="16">
        <f t="shared" si="708"/>
        <v>1138</v>
      </c>
      <c r="BN376" s="16">
        <v>3380</v>
      </c>
      <c r="BO376" s="16">
        <v>2464</v>
      </c>
      <c r="BP376" s="16">
        <f t="shared" si="709"/>
        <v>916</v>
      </c>
      <c r="BS376" s="18">
        <v>2023</v>
      </c>
      <c r="BT376" s="18" t="s">
        <v>46</v>
      </c>
      <c r="BU376" s="44">
        <f t="shared" si="710"/>
        <v>0.82065687121866893</v>
      </c>
      <c r="BV376" s="44">
        <f t="shared" si="711"/>
        <v>0.84399999999999997</v>
      </c>
      <c r="BW376" s="44">
        <f t="shared" si="712"/>
        <v>0.97234226447709593</v>
      </c>
      <c r="BX376" s="16">
        <v>89</v>
      </c>
      <c r="BY376" s="16">
        <v>7</v>
      </c>
      <c r="BZ376" s="16">
        <v>2314</v>
      </c>
      <c r="CA376" s="16">
        <f t="shared" si="713"/>
        <v>64</v>
      </c>
      <c r="CB376" s="16">
        <v>2250</v>
      </c>
      <c r="CC376" s="16">
        <v>1899</v>
      </c>
      <c r="CD376" s="16">
        <f t="shared" si="714"/>
        <v>351</v>
      </c>
      <c r="CG376" s="18">
        <v>2023</v>
      </c>
      <c r="CH376" s="18" t="s">
        <v>46</v>
      </c>
      <c r="CI376" s="44">
        <f t="shared" si="715"/>
        <v>0.64883268482490275</v>
      </c>
      <c r="CJ376" s="44">
        <f t="shared" si="716"/>
        <v>0.79216152019002373</v>
      </c>
      <c r="CK376" s="44">
        <f t="shared" si="717"/>
        <v>0.81906614785992216</v>
      </c>
      <c r="CL376" s="16">
        <v>76</v>
      </c>
      <c r="CM376" s="16">
        <v>7</v>
      </c>
      <c r="CN376" s="16">
        <v>2056</v>
      </c>
      <c r="CO376" s="16">
        <f t="shared" si="718"/>
        <v>372</v>
      </c>
      <c r="CP376" s="16">
        <v>1684</v>
      </c>
      <c r="CQ376" s="16">
        <v>1334</v>
      </c>
      <c r="CR376" s="16">
        <f t="shared" si="719"/>
        <v>350</v>
      </c>
      <c r="CU376" s="18">
        <v>2023</v>
      </c>
      <c r="CV376" s="18" t="s">
        <v>46</v>
      </c>
      <c r="CW376" s="44">
        <f t="shared" si="720"/>
        <v>0.80779691749773341</v>
      </c>
      <c r="CX376" s="44">
        <f t="shared" si="721"/>
        <v>0.94385593220338981</v>
      </c>
      <c r="CY376" s="44">
        <f t="shared" si="722"/>
        <v>0.85584768812330014</v>
      </c>
      <c r="CZ376" s="16">
        <v>36</v>
      </c>
      <c r="DA376" s="16">
        <v>3</v>
      </c>
      <c r="DB376" s="16">
        <v>1103</v>
      </c>
      <c r="DC376" s="16">
        <f t="shared" si="723"/>
        <v>159</v>
      </c>
      <c r="DD376" s="16">
        <v>944</v>
      </c>
      <c r="DE376" s="16">
        <v>891</v>
      </c>
      <c r="DF376" s="16">
        <f t="shared" si="724"/>
        <v>53</v>
      </c>
      <c r="DI376" s="18">
        <v>2023</v>
      </c>
      <c r="DJ376" s="18" t="s">
        <v>46</v>
      </c>
      <c r="DK376" s="44">
        <f t="shared" si="725"/>
        <v>0.9642857142857143</v>
      </c>
      <c r="DL376" s="44">
        <f t="shared" si="726"/>
        <v>0.97983870967741937</v>
      </c>
      <c r="DM376" s="44">
        <f t="shared" si="727"/>
        <v>0.98412698412698407</v>
      </c>
      <c r="DN376" s="16">
        <v>20</v>
      </c>
      <c r="DO376" s="16">
        <v>3</v>
      </c>
      <c r="DP376" s="16">
        <v>504</v>
      </c>
      <c r="DQ376" s="16">
        <f t="shared" si="689"/>
        <v>8</v>
      </c>
      <c r="DR376" s="16">
        <v>496</v>
      </c>
      <c r="DS376" s="16">
        <v>486</v>
      </c>
      <c r="DT376" s="16">
        <f t="shared" si="728"/>
        <v>10</v>
      </c>
      <c r="DW376" s="18">
        <v>2023</v>
      </c>
      <c r="DX376" s="18" t="s">
        <v>46</v>
      </c>
      <c r="DY376" s="44">
        <f t="shared" si="729"/>
        <v>0.84852294154619734</v>
      </c>
      <c r="DZ376" s="44">
        <f t="shared" si="730"/>
        <v>0.88408644400785852</v>
      </c>
      <c r="EA376" s="44">
        <f t="shared" si="731"/>
        <v>0.95977372721558774</v>
      </c>
      <c r="EB376" s="16">
        <v>42</v>
      </c>
      <c r="EC376" s="16">
        <v>3</v>
      </c>
      <c r="ED376" s="16">
        <v>1591</v>
      </c>
      <c r="EE376" s="16">
        <f t="shared" si="732"/>
        <v>64</v>
      </c>
      <c r="EF376" s="16">
        <v>1527</v>
      </c>
      <c r="EG376" s="16">
        <v>1350</v>
      </c>
      <c r="EH376" s="16">
        <f t="shared" si="733"/>
        <v>177</v>
      </c>
      <c r="EK376" s="18">
        <v>2023</v>
      </c>
      <c r="EL376" s="18" t="s">
        <v>46</v>
      </c>
      <c r="EM376" s="44">
        <f t="shared" si="734"/>
        <v>0.93666666666666665</v>
      </c>
      <c r="EN376" s="44">
        <f t="shared" si="735"/>
        <v>0.94295302013422821</v>
      </c>
      <c r="EO376" s="44">
        <f t="shared" si="736"/>
        <v>0.99333333333333329</v>
      </c>
      <c r="EP376" s="16">
        <v>10</v>
      </c>
      <c r="EQ376" s="16">
        <v>3</v>
      </c>
      <c r="ER376" s="16">
        <v>300</v>
      </c>
      <c r="ES376" s="16">
        <f t="shared" si="672"/>
        <v>2</v>
      </c>
      <c r="ET376" s="16">
        <v>298</v>
      </c>
      <c r="EU376" s="16">
        <v>281</v>
      </c>
      <c r="EV376" s="16">
        <f t="shared" si="737"/>
        <v>17</v>
      </c>
      <c r="EY376" s="18">
        <v>2023</v>
      </c>
      <c r="EZ376" s="18" t="s">
        <v>46</v>
      </c>
      <c r="FA376" s="44">
        <f t="shared" si="738"/>
        <v>0.73529411764705888</v>
      </c>
      <c r="FB376" s="44">
        <f t="shared" si="739"/>
        <v>0.77720207253886009</v>
      </c>
      <c r="FC376" s="44">
        <f t="shared" si="740"/>
        <v>0.94607843137254899</v>
      </c>
      <c r="FD376" s="16">
        <v>8</v>
      </c>
      <c r="FE376" s="16">
        <v>3</v>
      </c>
      <c r="FF376" s="16">
        <v>204</v>
      </c>
      <c r="FG376" s="16">
        <f t="shared" si="741"/>
        <v>11</v>
      </c>
      <c r="FH376" s="16">
        <v>193</v>
      </c>
      <c r="FI376" s="16">
        <v>150</v>
      </c>
      <c r="FJ376" s="16">
        <f t="shared" si="742"/>
        <v>43</v>
      </c>
      <c r="FM376" s="18">
        <v>2023</v>
      </c>
      <c r="FN376" s="18" t="s">
        <v>46</v>
      </c>
      <c r="FO376" s="44">
        <f t="shared" si="743"/>
        <v>0.77450980392156865</v>
      </c>
      <c r="FP376" s="44">
        <f t="shared" si="744"/>
        <v>0.78217821782178221</v>
      </c>
      <c r="FQ376" s="44">
        <f t="shared" si="745"/>
        <v>0.99019607843137258</v>
      </c>
      <c r="FR376" s="16">
        <v>8</v>
      </c>
      <c r="FS376" s="16">
        <v>3</v>
      </c>
      <c r="FT376" s="16">
        <v>204</v>
      </c>
      <c r="FU376" s="16">
        <f t="shared" si="746"/>
        <v>2</v>
      </c>
      <c r="FV376" s="16">
        <v>202</v>
      </c>
      <c r="FW376" s="16">
        <v>158</v>
      </c>
      <c r="FX376" s="16">
        <f t="shared" si="747"/>
        <v>44</v>
      </c>
      <c r="GA376" s="18">
        <v>2023</v>
      </c>
      <c r="GB376" s="18" t="s">
        <v>46</v>
      </c>
      <c r="GC376" s="44">
        <f t="shared" si="748"/>
        <v>0.98048780487804876</v>
      </c>
      <c r="GD376" s="44">
        <f t="shared" si="749"/>
        <v>0.99504950495049505</v>
      </c>
      <c r="GE376" s="44">
        <f t="shared" si="750"/>
        <v>0.98536585365853657</v>
      </c>
      <c r="GF376" s="16">
        <v>26</v>
      </c>
      <c r="GG376" s="16">
        <v>1</v>
      </c>
      <c r="GH376" s="16">
        <v>410</v>
      </c>
      <c r="GI376" s="16">
        <f t="shared" si="751"/>
        <v>6</v>
      </c>
      <c r="GJ376" s="16">
        <v>404</v>
      </c>
      <c r="GK376" s="16">
        <v>402</v>
      </c>
      <c r="GL376" s="16">
        <f t="shared" si="752"/>
        <v>2</v>
      </c>
    </row>
    <row r="377" spans="1:195" s="18" customFormat="1" ht="15" customHeight="1">
      <c r="A377" s="18">
        <v>2023</v>
      </c>
      <c r="B377" s="18" t="s">
        <v>47</v>
      </c>
      <c r="C377" s="15">
        <f t="shared" ref="C377:C382" si="773">K377/H377</f>
        <v>0.65867928586792857</v>
      </c>
      <c r="D377" s="15">
        <f t="shared" ref="D377:D382" si="774">K377/J377</f>
        <v>0.77238561267214856</v>
      </c>
      <c r="E377" s="15">
        <f t="shared" ref="E377" si="775">J377/H377</f>
        <v>0.85278554527855455</v>
      </c>
      <c r="F377"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7"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6.1968924986127227</v>
      </c>
      <c r="H377" s="16">
        <f>+V377+AX377+BL377+CN377+DB377+DP377+ED377+BZ377+ER377+ROC_Ca_Mo[[#This Row],[Trenes Programados]]+ROC_Ca_Lo[[#This Row],[Trenes Programados]]+ROC_T_Un_LP[[#This Row],[Trenes Programados]]</f>
        <v>23245</v>
      </c>
      <c r="I377" s="16">
        <f t="shared" ref="I377" si="776">H377-J377</f>
        <v>3422</v>
      </c>
      <c r="J377" s="16">
        <f>+X377+AZ377+BN377+CP377+DD377+DR377+EF377+CB377+ET377+ROC_Ca_Mo[[#This Row],[Trenes Corridos]]+ROC_Ca_Lo[[#This Row],[Trenes Corridos]]+ROC_T_Un_LP[[#This Row],[Trenes Corridos]]</f>
        <v>19823</v>
      </c>
      <c r="K377" s="16">
        <f>+Y377+BA377+BO377+CQ377+DE377+DS377+EG377+CC377+EU377+ROC_Ca_Mo[[#This Row],[Trenes Puntuales]]+ROC_Ca_Lo[[#This Row],[Trenes Puntuales]]+ROC_T_Un_LP[[#This Row],[Trenes Puntuales]]</f>
        <v>15311</v>
      </c>
      <c r="L377" s="16">
        <f t="shared" ref="L377:L378" si="777">J377-K377</f>
        <v>4512</v>
      </c>
      <c r="O377" s="18">
        <v>2023</v>
      </c>
      <c r="P377" s="18" t="s">
        <v>47</v>
      </c>
      <c r="Q377" s="44">
        <f t="shared" si="695"/>
        <v>0.697061191626409</v>
      </c>
      <c r="R377" s="44">
        <f t="shared" si="696"/>
        <v>0.74972937865338818</v>
      </c>
      <c r="S377" s="44">
        <f t="shared" si="697"/>
        <v>0.92975040257648955</v>
      </c>
      <c r="T377" s="16">
        <v>198</v>
      </c>
      <c r="U377" s="16">
        <v>7</v>
      </c>
      <c r="V377" s="16">
        <v>4968</v>
      </c>
      <c r="W377" s="16">
        <f t="shared" si="698"/>
        <v>349</v>
      </c>
      <c r="X377" s="16">
        <v>4619</v>
      </c>
      <c r="Y377" s="16">
        <v>3463</v>
      </c>
      <c r="Z377" s="16">
        <f t="shared" si="699"/>
        <v>1156</v>
      </c>
      <c r="AC377" s="177"/>
      <c r="AD377" s="178"/>
      <c r="AE377" s="169"/>
      <c r="AF377" s="169"/>
      <c r="AG377" s="169"/>
      <c r="AH377" s="179"/>
      <c r="AI377" s="179"/>
      <c r="AJ377" s="168"/>
      <c r="AK377" s="168"/>
      <c r="AL377" s="168"/>
      <c r="AM377" s="168"/>
      <c r="AN377" s="168"/>
      <c r="AO377" s="168"/>
      <c r="AQ377" s="18">
        <v>2023</v>
      </c>
      <c r="AR377" s="18" t="s">
        <v>47</v>
      </c>
      <c r="AS377" s="44">
        <f t="shared" si="700"/>
        <v>0.87323943661971826</v>
      </c>
      <c r="AT377" s="44">
        <f t="shared" si="701"/>
        <v>0.91968637423182875</v>
      </c>
      <c r="AU377" s="44">
        <f t="shared" si="702"/>
        <v>0.94949698189134812</v>
      </c>
      <c r="AV377" s="16">
        <v>192</v>
      </c>
      <c r="AW377" s="16">
        <v>7</v>
      </c>
      <c r="AX377" s="16">
        <v>4970</v>
      </c>
      <c r="AY377" s="16">
        <f t="shared" si="703"/>
        <v>251</v>
      </c>
      <c r="AZ377" s="16">
        <v>4719</v>
      </c>
      <c r="BA377" s="16">
        <v>4340</v>
      </c>
      <c r="BB377" s="16">
        <f t="shared" si="704"/>
        <v>379</v>
      </c>
      <c r="BE377" s="18">
        <v>2023</v>
      </c>
      <c r="BF377" s="18" t="s">
        <v>47</v>
      </c>
      <c r="BG377" s="44">
        <f t="shared" si="705"/>
        <v>0.2836739178202593</v>
      </c>
      <c r="BH377" s="44">
        <f t="shared" si="706"/>
        <v>0.42933155969404724</v>
      </c>
      <c r="BI377" s="44">
        <f t="shared" si="707"/>
        <v>0.66073390463634363</v>
      </c>
      <c r="BJ377" s="16">
        <v>164</v>
      </c>
      <c r="BK377" s="16">
        <v>7</v>
      </c>
      <c r="BL377" s="16">
        <v>4551</v>
      </c>
      <c r="BM377" s="16">
        <f t="shared" si="708"/>
        <v>1544</v>
      </c>
      <c r="BN377" s="16">
        <v>3007</v>
      </c>
      <c r="BO377" s="16">
        <v>1291</v>
      </c>
      <c r="BP377" s="16">
        <f t="shared" si="709"/>
        <v>1716</v>
      </c>
      <c r="BS377" s="18">
        <v>2023</v>
      </c>
      <c r="BT377" s="18" t="s">
        <v>47</v>
      </c>
      <c r="BU377" s="44">
        <f t="shared" si="710"/>
        <v>0.78126342930812209</v>
      </c>
      <c r="BV377" s="44">
        <f t="shared" si="711"/>
        <v>0.85152224824355971</v>
      </c>
      <c r="BW377" s="44">
        <f t="shared" si="712"/>
        <v>0.91749033089815213</v>
      </c>
      <c r="BX377" s="16">
        <v>89</v>
      </c>
      <c r="BY377" s="16">
        <v>7</v>
      </c>
      <c r="BZ377" s="16">
        <v>2327</v>
      </c>
      <c r="CA377" s="16">
        <f t="shared" si="713"/>
        <v>192</v>
      </c>
      <c r="CB377" s="16">
        <v>2135</v>
      </c>
      <c r="CC377" s="16">
        <v>1818</v>
      </c>
      <c r="CD377" s="16">
        <f t="shared" si="714"/>
        <v>317</v>
      </c>
      <c r="CG377" s="18">
        <v>2023</v>
      </c>
      <c r="CH377" s="18" t="s">
        <v>47</v>
      </c>
      <c r="CI377" s="44">
        <f t="shared" si="715"/>
        <v>0.48586744639376217</v>
      </c>
      <c r="CJ377" s="44">
        <f t="shared" si="716"/>
        <v>0.64239690721649489</v>
      </c>
      <c r="CK377" s="44">
        <f t="shared" si="717"/>
        <v>0.75633528265107208</v>
      </c>
      <c r="CL377" s="16">
        <v>76</v>
      </c>
      <c r="CM377" s="16">
        <v>7</v>
      </c>
      <c r="CN377" s="16">
        <v>2052</v>
      </c>
      <c r="CO377" s="16">
        <f t="shared" si="718"/>
        <v>500</v>
      </c>
      <c r="CP377" s="16">
        <v>1552</v>
      </c>
      <c r="CQ377" s="16">
        <v>997</v>
      </c>
      <c r="CR377" s="16">
        <f t="shared" si="719"/>
        <v>555</v>
      </c>
      <c r="CU377" s="18">
        <v>2023</v>
      </c>
      <c r="CV377" s="18" t="s">
        <v>47</v>
      </c>
      <c r="CW377" s="44">
        <f t="shared" si="720"/>
        <v>0.6763157894736842</v>
      </c>
      <c r="CX377" s="44">
        <f t="shared" si="721"/>
        <v>0.9135071090047393</v>
      </c>
      <c r="CY377" s="44">
        <f t="shared" si="722"/>
        <v>0.74035087719298243</v>
      </c>
      <c r="CZ377" s="16">
        <v>36</v>
      </c>
      <c r="DA377" s="16">
        <v>3</v>
      </c>
      <c r="DB377" s="16">
        <v>1140</v>
      </c>
      <c r="DC377" s="16">
        <f t="shared" si="723"/>
        <v>296</v>
      </c>
      <c r="DD377" s="16">
        <v>844</v>
      </c>
      <c r="DE377" s="16">
        <v>771</v>
      </c>
      <c r="DF377" s="16">
        <f t="shared" si="724"/>
        <v>73</v>
      </c>
      <c r="DI377" s="18">
        <v>2023</v>
      </c>
      <c r="DJ377" s="18" t="s">
        <v>47</v>
      </c>
      <c r="DK377" s="44">
        <f t="shared" si="725"/>
        <v>0.8294117647058824</v>
      </c>
      <c r="DL377" s="44">
        <f t="shared" si="726"/>
        <v>0.94843049327354256</v>
      </c>
      <c r="DM377" s="44">
        <f t="shared" si="727"/>
        <v>0.87450980392156863</v>
      </c>
      <c r="DN377" s="16">
        <v>20</v>
      </c>
      <c r="DO377" s="16">
        <v>3</v>
      </c>
      <c r="DP377" s="16">
        <v>510</v>
      </c>
      <c r="DQ377" s="16">
        <f t="shared" si="689"/>
        <v>64</v>
      </c>
      <c r="DR377" s="16">
        <v>446</v>
      </c>
      <c r="DS377" s="16">
        <v>423</v>
      </c>
      <c r="DT377" s="16">
        <f t="shared" si="728"/>
        <v>23</v>
      </c>
      <c r="DW377" s="18">
        <v>2023</v>
      </c>
      <c r="DX377" s="18" t="s">
        <v>47</v>
      </c>
      <c r="DY377" s="44">
        <f t="shared" si="729"/>
        <v>0.82389545737398884</v>
      </c>
      <c r="DZ377" s="44">
        <f t="shared" si="730"/>
        <v>0.88266666666666671</v>
      </c>
      <c r="EA377" s="44">
        <f t="shared" si="731"/>
        <v>0.93341630367143746</v>
      </c>
      <c r="EB377" s="16">
        <v>42</v>
      </c>
      <c r="EC377" s="16">
        <v>3</v>
      </c>
      <c r="ED377" s="16">
        <v>1607</v>
      </c>
      <c r="EE377" s="16">
        <f t="shared" si="732"/>
        <v>107</v>
      </c>
      <c r="EF377" s="16">
        <v>1500</v>
      </c>
      <c r="EG377" s="16">
        <v>1324</v>
      </c>
      <c r="EH377" s="16">
        <f t="shared" si="733"/>
        <v>176</v>
      </c>
      <c r="EK377" s="18">
        <v>2023</v>
      </c>
      <c r="EL377" s="18" t="s">
        <v>47</v>
      </c>
      <c r="EM377" s="44">
        <f t="shared" si="734"/>
        <v>0.76627218934911245</v>
      </c>
      <c r="EN377" s="44">
        <f t="shared" si="735"/>
        <v>0.82222222222222219</v>
      </c>
      <c r="EO377" s="44">
        <f t="shared" si="736"/>
        <v>0.93195266272189348</v>
      </c>
      <c r="EP377" s="16">
        <v>10</v>
      </c>
      <c r="EQ377" s="16">
        <v>3</v>
      </c>
      <c r="ER377" s="16">
        <v>338</v>
      </c>
      <c r="ES377" s="16">
        <f t="shared" si="672"/>
        <v>23</v>
      </c>
      <c r="ET377" s="16">
        <v>315</v>
      </c>
      <c r="EU377" s="16">
        <v>259</v>
      </c>
      <c r="EV377" s="16">
        <f t="shared" si="737"/>
        <v>56</v>
      </c>
      <c r="EY377" s="18">
        <v>2023</v>
      </c>
      <c r="EZ377" s="18" t="s">
        <v>47</v>
      </c>
      <c r="FA377" s="44">
        <f t="shared" si="738"/>
        <v>0.64500000000000002</v>
      </c>
      <c r="FB377" s="44">
        <f t="shared" si="739"/>
        <v>0.81645569620253167</v>
      </c>
      <c r="FC377" s="44">
        <f t="shared" si="740"/>
        <v>0.79</v>
      </c>
      <c r="FD377" s="16">
        <v>8</v>
      </c>
      <c r="FE377" s="16">
        <v>3</v>
      </c>
      <c r="FF377" s="16">
        <v>200</v>
      </c>
      <c r="FG377" s="16">
        <f t="shared" si="741"/>
        <v>42</v>
      </c>
      <c r="FH377" s="16">
        <v>158</v>
      </c>
      <c r="FI377" s="16">
        <v>129</v>
      </c>
      <c r="FJ377" s="16">
        <f t="shared" si="742"/>
        <v>29</v>
      </c>
      <c r="FM377" s="18">
        <v>2023</v>
      </c>
      <c r="FN377" s="18" t="s">
        <v>47</v>
      </c>
      <c r="FO377" s="44">
        <f t="shared" si="743"/>
        <v>0.59499999999999997</v>
      </c>
      <c r="FP377" s="44">
        <f t="shared" si="744"/>
        <v>0.79333333333333333</v>
      </c>
      <c r="FQ377" s="44">
        <f t="shared" si="745"/>
        <v>0.75</v>
      </c>
      <c r="FR377" s="16">
        <v>8</v>
      </c>
      <c r="FS377" s="16">
        <v>3</v>
      </c>
      <c r="FT377" s="16">
        <v>200</v>
      </c>
      <c r="FU377" s="16">
        <f t="shared" si="746"/>
        <v>50</v>
      </c>
      <c r="FV377" s="16">
        <v>150</v>
      </c>
      <c r="FW377" s="16">
        <v>119</v>
      </c>
      <c r="FX377" s="16">
        <f t="shared" si="747"/>
        <v>31</v>
      </c>
      <c r="GA377" s="18">
        <v>2023</v>
      </c>
      <c r="GB377" s="18" t="s">
        <v>47</v>
      </c>
      <c r="GC377" s="44">
        <f t="shared" si="748"/>
        <v>0.98691099476439792</v>
      </c>
      <c r="GD377" s="44">
        <f t="shared" si="749"/>
        <v>0.99735449735449733</v>
      </c>
      <c r="GE377" s="44">
        <f t="shared" si="750"/>
        <v>0.98952879581151831</v>
      </c>
      <c r="GF377" s="16">
        <v>26</v>
      </c>
      <c r="GG377" s="16">
        <v>1</v>
      </c>
      <c r="GH377" s="16">
        <v>382</v>
      </c>
      <c r="GI377" s="16">
        <f t="shared" si="751"/>
        <v>4</v>
      </c>
      <c r="GJ377" s="16">
        <v>378</v>
      </c>
      <c r="GK377" s="16">
        <v>377</v>
      </c>
      <c r="GL377" s="16">
        <f t="shared" si="752"/>
        <v>1</v>
      </c>
    </row>
    <row r="378" spans="1:195" s="18" customFormat="1" ht="15" customHeight="1">
      <c r="A378" s="18">
        <v>2024</v>
      </c>
      <c r="B378" s="18" t="s">
        <v>36</v>
      </c>
      <c r="C378" s="15">
        <f t="shared" si="773"/>
        <v>0.75823631409462477</v>
      </c>
      <c r="D378" s="15">
        <f t="shared" si="774"/>
        <v>0.83947344364201482</v>
      </c>
      <c r="E378" s="15">
        <f t="shared" ref="E378:E383" si="778">J378/H378</f>
        <v>0.90322846998596318</v>
      </c>
      <c r="F378"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850</v>
      </c>
      <c r="G378"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6.204680500959868</v>
      </c>
      <c r="H378" s="16">
        <f>+V378+AX378+BL378+CN378+DB378+DP378+ED378+BZ378+ER378+ROC_Ca_Mo[[#This Row],[Trenes Programados]]+ROC_Ca_Lo[[#This Row],[Trenes Programados]]+ROC_T_Un_LP[[#This Row],[Trenes Programados]]</f>
        <v>24222</v>
      </c>
      <c r="I378" s="16">
        <f t="shared" ref="I378" si="779">H378-J378</f>
        <v>2344</v>
      </c>
      <c r="J378" s="16">
        <f>+X378+AZ378+BN378+CP378+DD378+DR378+EF378+CB378+ET378+ROC_Ca_Mo[[#This Row],[Trenes Corridos]]+ROC_Ca_Lo[[#This Row],[Trenes Corridos]]+ROC_T_Un_LP[[#This Row],[Trenes Corridos]]</f>
        <v>21878</v>
      </c>
      <c r="K378" s="16">
        <f>+Y378+BA378+BO378+CQ378+DE378+DS378+EG378+CC378+EU378+ROC_Ca_Mo[[#This Row],[Trenes Puntuales]]+ROC_Ca_Lo[[#This Row],[Trenes Puntuales]]+ROC_T_Un_LP[[#This Row],[Trenes Puntuales]]</f>
        <v>18366</v>
      </c>
      <c r="L378" s="16">
        <f t="shared" si="777"/>
        <v>3512</v>
      </c>
      <c r="M378" s="205" t="s">
        <v>179</v>
      </c>
      <c r="O378" s="18">
        <v>2024</v>
      </c>
      <c r="P378" s="18" t="s">
        <v>36</v>
      </c>
      <c r="Q378" s="44">
        <f t="shared" ref="Q378:Q383" si="780">Y378/V378</f>
        <v>0.82919373328238444</v>
      </c>
      <c r="R378" s="44">
        <f t="shared" ref="R378:R383" si="781">Y378/X378</f>
        <v>0.87889833940866746</v>
      </c>
      <c r="S378" s="44">
        <f t="shared" ref="S378:S383" si="782">X378/V378</f>
        <v>0.94344669468857467</v>
      </c>
      <c r="T378" s="16">
        <v>182</v>
      </c>
      <c r="U378" s="16">
        <v>7</v>
      </c>
      <c r="V378" s="16">
        <v>5234</v>
      </c>
      <c r="W378" s="16">
        <f t="shared" si="698"/>
        <v>296</v>
      </c>
      <c r="X378" s="16">
        <v>4938</v>
      </c>
      <c r="Y378" s="16">
        <v>4340</v>
      </c>
      <c r="Z378" s="16">
        <f t="shared" ref="Z378:Z383" si="783">X378-Y378</f>
        <v>598</v>
      </c>
      <c r="AA378" s="205" t="s">
        <v>179</v>
      </c>
      <c r="AC378" s="177"/>
      <c r="AD378" s="178"/>
      <c r="AE378" s="169"/>
      <c r="AF378" s="169"/>
      <c r="AG378" s="169"/>
      <c r="AH378" s="179"/>
      <c r="AI378" s="179"/>
      <c r="AJ378" s="168"/>
      <c r="AK378" s="168"/>
      <c r="AL378" s="168"/>
      <c r="AM378" s="168"/>
      <c r="AN378" s="168"/>
      <c r="AO378" s="168"/>
      <c r="AQ378" s="18">
        <v>2024</v>
      </c>
      <c r="AR378" s="18" t="s">
        <v>36</v>
      </c>
      <c r="AS378" s="44">
        <f t="shared" ref="AS378:AS383" si="784">BA378/AX378</f>
        <v>0.91346704871060169</v>
      </c>
      <c r="AT378" s="44">
        <f t="shared" ref="AT378:AT383" si="785">BA378/AZ378</f>
        <v>0.95430053881460786</v>
      </c>
      <c r="AU378" s="44">
        <f t="shared" ref="AU378:AU383" si="786">AZ378/AX378</f>
        <v>0.95721107927411653</v>
      </c>
      <c r="AV378" s="16">
        <v>176</v>
      </c>
      <c r="AW378" s="16">
        <v>7</v>
      </c>
      <c r="AX378" s="16">
        <v>5235</v>
      </c>
      <c r="AY378" s="16">
        <f t="shared" si="703"/>
        <v>224</v>
      </c>
      <c r="AZ378" s="16">
        <v>5011</v>
      </c>
      <c r="BA378" s="16">
        <v>4782</v>
      </c>
      <c r="BB378" s="16">
        <f t="shared" ref="BB378:BB383" si="787">AZ378-BA378</f>
        <v>229</v>
      </c>
      <c r="BC378" s="205" t="s">
        <v>179</v>
      </c>
      <c r="BE378" s="18">
        <v>2024</v>
      </c>
      <c r="BF378" s="18" t="s">
        <v>36</v>
      </c>
      <c r="BG378" s="44">
        <f t="shared" ref="BG378:BG383" si="788">BO378/BL378</f>
        <v>0.42694944301628107</v>
      </c>
      <c r="BH378" s="44">
        <f t="shared" ref="BH378:BH383" si="789">BO378/BN378</f>
        <v>0.54513129102844637</v>
      </c>
      <c r="BI378" s="44">
        <f t="shared" ref="BI378:BI383" si="790">BN378/BL378</f>
        <v>0.78320479862896319</v>
      </c>
      <c r="BJ378" s="16">
        <v>135</v>
      </c>
      <c r="BK378" s="16">
        <v>7</v>
      </c>
      <c r="BL378" s="16">
        <v>4668</v>
      </c>
      <c r="BM378" s="16">
        <f t="shared" si="708"/>
        <v>1012</v>
      </c>
      <c r="BN378" s="16">
        <v>3656</v>
      </c>
      <c r="BO378" s="16">
        <v>1993</v>
      </c>
      <c r="BP378" s="16">
        <f t="shared" ref="BP378:BP383" si="791">BN378-BO378</f>
        <v>1663</v>
      </c>
      <c r="BQ378" s="205" t="s">
        <v>179</v>
      </c>
      <c r="BS378" s="18">
        <v>2024</v>
      </c>
      <c r="BT378" s="18" t="s">
        <v>36</v>
      </c>
      <c r="BU378" s="44">
        <f t="shared" ref="BU378:BU383" si="792">CC378/BZ378</f>
        <v>0.88870500620604054</v>
      </c>
      <c r="BV378" s="44">
        <f t="shared" ref="BV378:BV383" si="793">CC378/CB378</f>
        <v>0.93148308759757159</v>
      </c>
      <c r="BW378" s="44">
        <f t="shared" ref="BW378:BW383" si="794">CB378/BZ378</f>
        <v>0.95407529995862639</v>
      </c>
      <c r="BX378" s="16">
        <v>79</v>
      </c>
      <c r="BY378" s="16">
        <v>7</v>
      </c>
      <c r="BZ378" s="16">
        <v>2417</v>
      </c>
      <c r="CA378" s="16">
        <f t="shared" si="713"/>
        <v>111</v>
      </c>
      <c r="CB378" s="16">
        <v>2306</v>
      </c>
      <c r="CC378" s="16">
        <v>2148</v>
      </c>
      <c r="CD378" s="16">
        <f t="shared" ref="CD378:CD383" si="795">CB378-CC378</f>
        <v>158</v>
      </c>
      <c r="CE378" s="205" t="s">
        <v>179</v>
      </c>
      <c r="CG378" s="18">
        <v>2024</v>
      </c>
      <c r="CH378" s="18" t="s">
        <v>36</v>
      </c>
      <c r="CI378" s="44">
        <f t="shared" ref="CI378:CI383" si="796">CQ378/CN378</f>
        <v>0.63227016885553466</v>
      </c>
      <c r="CJ378" s="44">
        <f t="shared" ref="CJ378:CJ383" si="797">CQ378/CP378</f>
        <v>0.74065934065934069</v>
      </c>
      <c r="CK378" s="44">
        <f t="shared" ref="CK378:CK383" si="798">CP378/CN378</f>
        <v>0.85365853658536583</v>
      </c>
      <c r="CL378" s="16">
        <v>112</v>
      </c>
      <c r="CM378" s="16">
        <v>7</v>
      </c>
      <c r="CN378" s="16">
        <v>2132</v>
      </c>
      <c r="CO378" s="16">
        <f t="shared" si="718"/>
        <v>312</v>
      </c>
      <c r="CP378" s="16">
        <v>1820</v>
      </c>
      <c r="CQ378" s="16">
        <v>1348</v>
      </c>
      <c r="CR378" s="16">
        <f t="shared" ref="CR378:CR383" si="799">CP378-CQ378</f>
        <v>472</v>
      </c>
      <c r="CS378" s="205" t="s">
        <v>179</v>
      </c>
      <c r="CU378" s="18">
        <v>2024</v>
      </c>
      <c r="CV378" s="18" t="s">
        <v>36</v>
      </c>
      <c r="CW378" s="44">
        <f t="shared" ref="CW378:CW383" si="800">DE378/DB378</f>
        <v>0.79772329246935203</v>
      </c>
      <c r="CX378" s="44">
        <f t="shared" ref="CX378:CX383" si="801">DE378/DD378</f>
        <v>0.92020202020202024</v>
      </c>
      <c r="CY378" s="44">
        <f t="shared" ref="CY378:CY383" si="802">DD378/DB378</f>
        <v>0.86690017513134854</v>
      </c>
      <c r="CZ378" s="16">
        <v>37</v>
      </c>
      <c r="DA378" s="16">
        <v>3</v>
      </c>
      <c r="DB378" s="16">
        <v>1142</v>
      </c>
      <c r="DC378" s="16">
        <f t="shared" si="723"/>
        <v>152</v>
      </c>
      <c r="DD378" s="16">
        <v>990</v>
      </c>
      <c r="DE378" s="16">
        <v>911</v>
      </c>
      <c r="DF378" s="16">
        <f t="shared" ref="DF378:DF383" si="803">DD378-DE378</f>
        <v>79</v>
      </c>
      <c r="DG378" s="205" t="s">
        <v>179</v>
      </c>
      <c r="DI378" s="18">
        <v>2024</v>
      </c>
      <c r="DJ378" s="18" t="s">
        <v>36</v>
      </c>
      <c r="DK378" s="44">
        <f t="shared" ref="DK378:DK383" si="804">DS378/DP378</f>
        <v>0.86206896551724133</v>
      </c>
      <c r="DL378" s="44">
        <f t="shared" ref="DL378:DL383" si="805">DS378/DR378</f>
        <v>0.94936708860759489</v>
      </c>
      <c r="DM378" s="44">
        <f t="shared" ref="DM378:DM383" si="806">DR378/DP378</f>
        <v>0.90804597701149425</v>
      </c>
      <c r="DN378" s="16">
        <v>20</v>
      </c>
      <c r="DO378" s="16">
        <v>3</v>
      </c>
      <c r="DP378" s="16">
        <v>522</v>
      </c>
      <c r="DQ378" s="16">
        <f t="shared" si="689"/>
        <v>48</v>
      </c>
      <c r="DR378" s="16">
        <v>474</v>
      </c>
      <c r="DS378" s="16">
        <v>450</v>
      </c>
      <c r="DT378" s="16">
        <f t="shared" ref="DT378:DT383" si="807">DR378-DS378</f>
        <v>24</v>
      </c>
      <c r="DW378" s="18">
        <v>2024</v>
      </c>
      <c r="DX378" s="18" t="s">
        <v>36</v>
      </c>
      <c r="DY378" s="44">
        <f t="shared" ref="DY378:DY383" si="808">EG378/ED378</f>
        <v>0.83737864077669899</v>
      </c>
      <c r="DZ378" s="44">
        <f t="shared" ref="DZ378:DZ383" si="809">EG378/EF378</f>
        <v>0.87898089171974525</v>
      </c>
      <c r="EA378" s="44">
        <f t="shared" ref="EA378:EA383" si="810">EF378/ED378</f>
        <v>0.95266990291262132</v>
      </c>
      <c r="EB378" s="16">
        <v>57</v>
      </c>
      <c r="EC378" s="16">
        <v>3</v>
      </c>
      <c r="ED378" s="16">
        <v>1648</v>
      </c>
      <c r="EE378" s="16">
        <f t="shared" si="732"/>
        <v>78</v>
      </c>
      <c r="EF378" s="16">
        <v>1570</v>
      </c>
      <c r="EG378" s="16">
        <v>1380</v>
      </c>
      <c r="EH378" s="16">
        <f t="shared" ref="EH378:EH383" si="811">EF378-EG378</f>
        <v>190</v>
      </c>
      <c r="EI378" s="205" t="s">
        <v>179</v>
      </c>
      <c r="EK378" s="18">
        <v>2024</v>
      </c>
      <c r="EL378" s="18" t="s">
        <v>36</v>
      </c>
      <c r="EM378" s="44">
        <f t="shared" ref="EM378:EM383" si="812">EU378/ER378</f>
        <v>0.85752688172043012</v>
      </c>
      <c r="EN378" s="44">
        <f t="shared" ref="EN378:EN383" si="813">EU378/ET378</f>
        <v>0.87397260273972599</v>
      </c>
      <c r="EO378" s="44">
        <f t="shared" ref="EO378:EO383" si="814">ET378/ER378</f>
        <v>0.98118279569892475</v>
      </c>
      <c r="EP378" s="16">
        <v>10</v>
      </c>
      <c r="EQ378" s="16">
        <v>3</v>
      </c>
      <c r="ER378" s="16">
        <v>372</v>
      </c>
      <c r="ES378" s="16">
        <f t="shared" si="672"/>
        <v>7</v>
      </c>
      <c r="ET378" s="16">
        <v>365</v>
      </c>
      <c r="EU378" s="16">
        <v>319</v>
      </c>
      <c r="EV378" s="16">
        <f t="shared" ref="EV378:EV383" si="815">ET378-EU378</f>
        <v>46</v>
      </c>
      <c r="EY378" s="18">
        <v>2024</v>
      </c>
      <c r="EZ378" s="18" t="s">
        <v>36</v>
      </c>
      <c r="FA378" s="44">
        <f t="shared" ref="FA378:FA383" si="816">FI378/FF378</f>
        <v>0.660377358490566</v>
      </c>
      <c r="FB378" s="44">
        <f t="shared" ref="FB378:FB383" si="817">FI378/FH378</f>
        <v>0.89743589743589747</v>
      </c>
      <c r="FC378" s="44">
        <f t="shared" ref="FC378:FC383" si="818">FH378/FF378</f>
        <v>0.73584905660377353</v>
      </c>
      <c r="FD378" s="16">
        <v>8</v>
      </c>
      <c r="FE378" s="16">
        <v>3</v>
      </c>
      <c r="FF378" s="16">
        <v>212</v>
      </c>
      <c r="FG378" s="16">
        <f t="shared" si="741"/>
        <v>56</v>
      </c>
      <c r="FH378" s="16">
        <v>156</v>
      </c>
      <c r="FI378" s="16">
        <v>140</v>
      </c>
      <c r="FJ378" s="16">
        <f t="shared" ref="FJ378:FJ383" si="819">FH378-FI378</f>
        <v>16</v>
      </c>
      <c r="FM378" s="18">
        <v>2024</v>
      </c>
      <c r="FN378" s="18" t="s">
        <v>36</v>
      </c>
      <c r="FO378" s="44">
        <f t="shared" ref="FO378:FO383" si="820">FW378/FT378</f>
        <v>0.71698113207547165</v>
      </c>
      <c r="FP378" s="44">
        <f t="shared" ref="FP378:FP383" si="821">FW378/FV378</f>
        <v>0.81720430107526887</v>
      </c>
      <c r="FQ378" s="44">
        <f t="shared" ref="FQ378:FQ383" si="822">FV378/FT378</f>
        <v>0.87735849056603776</v>
      </c>
      <c r="FR378" s="16">
        <v>8</v>
      </c>
      <c r="FS378" s="16">
        <v>3</v>
      </c>
      <c r="FT378" s="16">
        <v>212</v>
      </c>
      <c r="FU378" s="16">
        <f t="shared" si="746"/>
        <v>26</v>
      </c>
      <c r="FV378" s="16">
        <v>186</v>
      </c>
      <c r="FW378" s="16">
        <v>152</v>
      </c>
      <c r="FX378" s="16">
        <f t="shared" ref="FX378:FX383" si="823">FV378-FW378</f>
        <v>34</v>
      </c>
      <c r="GA378" s="18">
        <v>2024</v>
      </c>
      <c r="GB378" s="18" t="s">
        <v>36</v>
      </c>
      <c r="GC378" s="44">
        <f t="shared" ref="GC378:GC383" si="824">GK378/GH378</f>
        <v>0.94158878504672894</v>
      </c>
      <c r="GD378" s="44">
        <f t="shared" ref="GD378:GD383" si="825">GK378/GJ378</f>
        <v>0.9926108374384236</v>
      </c>
      <c r="GE378" s="44">
        <f t="shared" ref="GE378:GE383" si="826">GJ378/GH378</f>
        <v>0.94859813084112155</v>
      </c>
      <c r="GF378" s="16">
        <v>26</v>
      </c>
      <c r="GG378" s="16">
        <v>1</v>
      </c>
      <c r="GH378" s="16">
        <v>428</v>
      </c>
      <c r="GI378" s="16">
        <f t="shared" si="751"/>
        <v>22</v>
      </c>
      <c r="GJ378" s="16">
        <v>406</v>
      </c>
      <c r="GK378" s="16">
        <v>403</v>
      </c>
      <c r="GL378" s="16">
        <f t="shared" ref="GL378:GL383" si="827">GJ378-GK378</f>
        <v>3</v>
      </c>
    </row>
    <row r="379" spans="1:195" s="18" customFormat="1" ht="15" customHeight="1">
      <c r="A379" s="18">
        <v>2024</v>
      </c>
      <c r="B379" s="18" t="s">
        <v>37</v>
      </c>
      <c r="C379" s="15">
        <f t="shared" si="773"/>
        <v>0.71723911102758064</v>
      </c>
      <c r="D379" s="15">
        <f t="shared" si="774"/>
        <v>0.81443738995891801</v>
      </c>
      <c r="E379" s="15">
        <f t="shared" si="778"/>
        <v>0.88065592256730729</v>
      </c>
      <c r="F379"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79"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6.1666222056234323</v>
      </c>
      <c r="H379" s="16">
        <f>+V379+AX379+BL379+CN379+DB379+DP379+ED379+BZ379+ER379+ROC_Ca_Mo[[#This Row],[Trenes Programados]]+ROC_Ca_Lo[[#This Row],[Trenes Programados]]+ROC_T_Un_LP[[#This Row],[Trenes Programados]]</f>
        <v>21283</v>
      </c>
      <c r="I379" s="16">
        <f t="shared" ref="I379" si="828">H379-J379</f>
        <v>2540</v>
      </c>
      <c r="J379" s="16">
        <f>+X379+AZ379+BN379+CP379+DD379+DR379+EF379+CB379+ET379+ROC_Ca_Mo[[#This Row],[Trenes Corridos]]+ROC_Ca_Lo[[#This Row],[Trenes Corridos]]+ROC_T_Un_LP[[#This Row],[Trenes Corridos]]</f>
        <v>18743</v>
      </c>
      <c r="K379" s="16">
        <f>+Y379+BA379+BO379+CQ379+DE379+DS379+EG379+CC379+EU379+ROC_Ca_Mo[[#This Row],[Trenes Puntuales]]+ROC_Ca_Lo[[#This Row],[Trenes Puntuales]]+ROC_T_Un_LP[[#This Row],[Trenes Puntuales]]</f>
        <v>15265</v>
      </c>
      <c r="L379" s="16">
        <f t="shared" ref="L379" si="829">J379-K379</f>
        <v>3478</v>
      </c>
      <c r="M379" s="224" t="s">
        <v>169</v>
      </c>
      <c r="O379" s="18">
        <v>2024</v>
      </c>
      <c r="P379" s="18" t="s">
        <v>37</v>
      </c>
      <c r="Q379" s="44">
        <f t="shared" si="780"/>
        <v>0.77587700303161544</v>
      </c>
      <c r="R379" s="44">
        <f t="shared" si="781"/>
        <v>0.86504104297440854</v>
      </c>
      <c r="S379" s="44">
        <f t="shared" si="782"/>
        <v>0.8969250757903855</v>
      </c>
      <c r="T379" s="16">
        <v>181</v>
      </c>
      <c r="U379" s="16">
        <v>7</v>
      </c>
      <c r="V379" s="16">
        <v>4618</v>
      </c>
      <c r="W379" s="16">
        <f t="shared" si="698"/>
        <v>476</v>
      </c>
      <c r="X379" s="16">
        <v>4142</v>
      </c>
      <c r="Y379" s="16">
        <v>3583</v>
      </c>
      <c r="Z379" s="16">
        <f t="shared" si="783"/>
        <v>559</v>
      </c>
      <c r="AC379" s="177"/>
      <c r="AD379" s="178"/>
      <c r="AE379" s="169"/>
      <c r="AF379" s="169"/>
      <c r="AG379" s="169"/>
      <c r="AH379" s="179"/>
      <c r="AI379" s="179"/>
      <c r="AJ379" s="168"/>
      <c r="AK379" s="168"/>
      <c r="AL379" s="168"/>
      <c r="AM379" s="168"/>
      <c r="AN379" s="168"/>
      <c r="AO379" s="168"/>
      <c r="AQ379" s="18">
        <v>2024</v>
      </c>
      <c r="AR379" s="18" t="s">
        <v>37</v>
      </c>
      <c r="AS379" s="44">
        <f t="shared" si="784"/>
        <v>0.85972651080723428</v>
      </c>
      <c r="AT379" s="44">
        <f t="shared" si="785"/>
        <v>0.94336882865440463</v>
      </c>
      <c r="AU379" s="44">
        <f t="shared" si="786"/>
        <v>0.91133656815174235</v>
      </c>
      <c r="AV379" s="16">
        <v>174</v>
      </c>
      <c r="AW379" s="16">
        <v>7</v>
      </c>
      <c r="AX379" s="16">
        <v>4534</v>
      </c>
      <c r="AY379" s="16">
        <f t="shared" si="703"/>
        <v>402</v>
      </c>
      <c r="AZ379" s="16">
        <v>4132</v>
      </c>
      <c r="BA379" s="16">
        <v>3898</v>
      </c>
      <c r="BB379" s="16">
        <f t="shared" si="787"/>
        <v>234</v>
      </c>
      <c r="BE379" s="18">
        <v>2024</v>
      </c>
      <c r="BF379" s="18" t="s">
        <v>37</v>
      </c>
      <c r="BG379" s="44">
        <f t="shared" si="788"/>
        <v>0.38973191704602933</v>
      </c>
      <c r="BH379" s="44">
        <f t="shared" si="789"/>
        <v>0.49217502395400831</v>
      </c>
      <c r="BI379" s="44">
        <f t="shared" si="790"/>
        <v>0.79185634800202331</v>
      </c>
      <c r="BJ379" s="16">
        <v>134</v>
      </c>
      <c r="BK379" s="16">
        <v>7</v>
      </c>
      <c r="BL379" s="16">
        <v>3954</v>
      </c>
      <c r="BM379" s="16">
        <f t="shared" si="708"/>
        <v>823</v>
      </c>
      <c r="BN379" s="16">
        <v>3131</v>
      </c>
      <c r="BO379" s="16">
        <v>1541</v>
      </c>
      <c r="BP379" s="16">
        <f t="shared" si="791"/>
        <v>1590</v>
      </c>
      <c r="BS379" s="18">
        <v>2024</v>
      </c>
      <c r="BT379" s="18" t="s">
        <v>37</v>
      </c>
      <c r="BU379" s="44">
        <f t="shared" si="792"/>
        <v>0.827634011090573</v>
      </c>
      <c r="BV379" s="44">
        <f t="shared" si="793"/>
        <v>0.89282153539381859</v>
      </c>
      <c r="BW379" s="44">
        <f t="shared" si="794"/>
        <v>0.92698706099815154</v>
      </c>
      <c r="BX379" s="16">
        <v>81</v>
      </c>
      <c r="BY379" s="16">
        <v>7</v>
      </c>
      <c r="BZ379" s="16">
        <v>2164</v>
      </c>
      <c r="CA379" s="16">
        <f t="shared" si="713"/>
        <v>158</v>
      </c>
      <c r="CB379" s="16">
        <v>2006</v>
      </c>
      <c r="CC379" s="16">
        <v>1791</v>
      </c>
      <c r="CD379" s="16">
        <f t="shared" si="795"/>
        <v>215</v>
      </c>
      <c r="CG379" s="18">
        <v>2024</v>
      </c>
      <c r="CH379" s="18" t="s">
        <v>37</v>
      </c>
      <c r="CI379" s="44">
        <f t="shared" si="796"/>
        <v>0.6046764545948885</v>
      </c>
      <c r="CJ379" s="44">
        <f t="shared" si="797"/>
        <v>0.69413233458177281</v>
      </c>
      <c r="CK379" s="44">
        <f t="shared" si="798"/>
        <v>0.87112561174551384</v>
      </c>
      <c r="CL379" s="16">
        <v>67</v>
      </c>
      <c r="CM379" s="16">
        <v>7</v>
      </c>
      <c r="CN379" s="16">
        <v>1839</v>
      </c>
      <c r="CO379" s="16">
        <f t="shared" si="718"/>
        <v>237</v>
      </c>
      <c r="CP379" s="16">
        <v>1602</v>
      </c>
      <c r="CQ379" s="16">
        <v>1112</v>
      </c>
      <c r="CR379" s="16">
        <f t="shared" si="799"/>
        <v>490</v>
      </c>
      <c r="CU379" s="18">
        <v>2024</v>
      </c>
      <c r="CV379" s="18" t="s">
        <v>37</v>
      </c>
      <c r="CW379" s="44">
        <f t="shared" si="800"/>
        <v>0.86316776007497653</v>
      </c>
      <c r="CX379" s="44">
        <f t="shared" si="801"/>
        <v>0.93218623481781382</v>
      </c>
      <c r="CY379" s="44">
        <f t="shared" si="802"/>
        <v>0.92596063730084344</v>
      </c>
      <c r="CZ379" s="16">
        <v>37</v>
      </c>
      <c r="DA379" s="16">
        <v>3</v>
      </c>
      <c r="DB379" s="16">
        <v>1067</v>
      </c>
      <c r="DC379" s="16">
        <f t="shared" si="723"/>
        <v>79</v>
      </c>
      <c r="DD379" s="16">
        <v>988</v>
      </c>
      <c r="DE379" s="16">
        <v>921</v>
      </c>
      <c r="DF379" s="16">
        <f t="shared" si="803"/>
        <v>67</v>
      </c>
      <c r="DI379" s="18">
        <v>2024</v>
      </c>
      <c r="DJ379" s="18" t="s">
        <v>37</v>
      </c>
      <c r="DK379" s="44">
        <f t="shared" si="804"/>
        <v>0.82572614107883813</v>
      </c>
      <c r="DL379" s="44">
        <f t="shared" si="805"/>
        <v>0.94312796208530802</v>
      </c>
      <c r="DM379" s="44">
        <f t="shared" si="806"/>
        <v>0.87551867219917012</v>
      </c>
      <c r="DN379" s="16">
        <v>20</v>
      </c>
      <c r="DO379" s="16">
        <v>3</v>
      </c>
      <c r="DP379" s="16">
        <v>482</v>
      </c>
      <c r="DQ379" s="16">
        <f t="shared" si="689"/>
        <v>60</v>
      </c>
      <c r="DR379" s="16">
        <v>422</v>
      </c>
      <c r="DS379" s="16">
        <v>398</v>
      </c>
      <c r="DT379" s="16">
        <f t="shared" si="807"/>
        <v>24</v>
      </c>
      <c r="DW379" s="18">
        <v>2024</v>
      </c>
      <c r="DX379" s="18" t="s">
        <v>37</v>
      </c>
      <c r="DY379" s="44">
        <f t="shared" si="808"/>
        <v>0.78933508887425941</v>
      </c>
      <c r="DZ379" s="44">
        <f t="shared" si="809"/>
        <v>0.87073347857661587</v>
      </c>
      <c r="EA379" s="44">
        <f t="shared" si="810"/>
        <v>0.90651744568795256</v>
      </c>
      <c r="EB379" s="16">
        <v>57</v>
      </c>
      <c r="EC379" s="16">
        <v>3</v>
      </c>
      <c r="ED379" s="16">
        <v>1519</v>
      </c>
      <c r="EE379" s="16">
        <f t="shared" si="732"/>
        <v>142</v>
      </c>
      <c r="EF379" s="16">
        <v>1377</v>
      </c>
      <c r="EG379" s="16">
        <v>1199</v>
      </c>
      <c r="EH379" s="16">
        <f t="shared" si="811"/>
        <v>178</v>
      </c>
      <c r="EK379" s="18">
        <v>2024</v>
      </c>
      <c r="EL379" s="18" t="s">
        <v>37</v>
      </c>
      <c r="EM379" s="44">
        <f t="shared" si="812"/>
        <v>0.81321839080459768</v>
      </c>
      <c r="EN379" s="44">
        <f t="shared" si="813"/>
        <v>0.85498489425981872</v>
      </c>
      <c r="EO379" s="44">
        <f t="shared" si="814"/>
        <v>0.95114942528735635</v>
      </c>
      <c r="EP379" s="16">
        <v>10</v>
      </c>
      <c r="EQ379" s="16">
        <v>3</v>
      </c>
      <c r="ER379" s="16">
        <v>348</v>
      </c>
      <c r="ES379" s="16">
        <f t="shared" si="672"/>
        <v>17</v>
      </c>
      <c r="ET379" s="16">
        <v>331</v>
      </c>
      <c r="EU379" s="16">
        <v>283</v>
      </c>
      <c r="EV379" s="16">
        <f t="shared" si="815"/>
        <v>48</v>
      </c>
      <c r="EY379" s="18">
        <v>2024</v>
      </c>
      <c r="EZ379" s="18" t="s">
        <v>37</v>
      </c>
      <c r="FA379" s="44">
        <f t="shared" si="816"/>
        <v>0.44791666666666669</v>
      </c>
      <c r="FB379" s="44">
        <f t="shared" si="817"/>
        <v>0.89583333333333337</v>
      </c>
      <c r="FC379" s="44">
        <f t="shared" si="818"/>
        <v>0.5</v>
      </c>
      <c r="FD379" s="16">
        <v>8</v>
      </c>
      <c r="FE379" s="16">
        <v>3</v>
      </c>
      <c r="FF379" s="16">
        <v>192</v>
      </c>
      <c r="FG379" s="16">
        <f t="shared" si="741"/>
        <v>96</v>
      </c>
      <c r="FH379" s="16">
        <v>96</v>
      </c>
      <c r="FI379" s="16">
        <v>86</v>
      </c>
      <c r="FJ379" s="16">
        <f t="shared" si="819"/>
        <v>10</v>
      </c>
      <c r="FM379" s="18">
        <v>2024</v>
      </c>
      <c r="FN379" s="18" t="s">
        <v>37</v>
      </c>
      <c r="FO379" s="44">
        <f t="shared" si="820"/>
        <v>0.63020833333333337</v>
      </c>
      <c r="FP379" s="44">
        <f t="shared" si="821"/>
        <v>0.72891566265060237</v>
      </c>
      <c r="FQ379" s="44">
        <f t="shared" si="822"/>
        <v>0.86458333333333337</v>
      </c>
      <c r="FR379" s="16">
        <v>8</v>
      </c>
      <c r="FS379" s="16">
        <v>3</v>
      </c>
      <c r="FT379" s="16">
        <v>192</v>
      </c>
      <c r="FU379" s="16">
        <f t="shared" si="746"/>
        <v>26</v>
      </c>
      <c r="FV379" s="16">
        <v>166</v>
      </c>
      <c r="FW379" s="16">
        <v>121</v>
      </c>
      <c r="FX379" s="16">
        <f t="shared" si="823"/>
        <v>45</v>
      </c>
      <c r="GA379" s="18">
        <v>2024</v>
      </c>
      <c r="GB379" s="18" t="s">
        <v>37</v>
      </c>
      <c r="GC379" s="44">
        <f t="shared" si="824"/>
        <v>0.88770053475935828</v>
      </c>
      <c r="GD379" s="44">
        <f t="shared" si="825"/>
        <v>0.94857142857142862</v>
      </c>
      <c r="GE379" s="44">
        <f t="shared" si="826"/>
        <v>0.93582887700534756</v>
      </c>
      <c r="GF379" s="16">
        <v>26</v>
      </c>
      <c r="GG379" s="16">
        <v>1</v>
      </c>
      <c r="GH379" s="16">
        <v>374</v>
      </c>
      <c r="GI379" s="16">
        <f t="shared" si="751"/>
        <v>24</v>
      </c>
      <c r="GJ379" s="16">
        <v>350</v>
      </c>
      <c r="GK379" s="16">
        <v>332</v>
      </c>
      <c r="GL379" s="16">
        <f t="shared" si="827"/>
        <v>18</v>
      </c>
    </row>
    <row r="380" spans="1:195" s="18" customFormat="1" ht="15" customHeight="1">
      <c r="A380" s="18">
        <v>2024</v>
      </c>
      <c r="B380" s="18" t="s">
        <v>38</v>
      </c>
      <c r="C380" s="15">
        <f t="shared" si="773"/>
        <v>0.79340074027263696</v>
      </c>
      <c r="D380" s="15">
        <f t="shared" si="774"/>
        <v>0.84322379467498199</v>
      </c>
      <c r="E380" s="15">
        <f t="shared" si="778"/>
        <v>0.94091360476663355</v>
      </c>
      <c r="F380"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80"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6.1669944830894696</v>
      </c>
      <c r="H380" s="16">
        <f>+V380+AX380+BL380+CN380+DB380+DP380+ED380+BZ380+ER380+ROC_Ca_Mo[[#This Row],[Trenes Programados]]+ROC_Ca_Lo[[#This Row],[Trenes Programados]]+ROC_T_Un_LP[[#This Row],[Trenes Programados]]</f>
        <v>22154</v>
      </c>
      <c r="I380" s="16">
        <f t="shared" ref="I380" si="830">H380-J380</f>
        <v>1309</v>
      </c>
      <c r="J380" s="16">
        <f>+X380+AZ380+BN380+CP380+DD380+DR380+EF380+CB380+ET380+ROC_Ca_Mo[[#This Row],[Trenes Corridos]]+ROC_Ca_Lo[[#This Row],[Trenes Corridos]]+ROC_T_Un_LP[[#This Row],[Trenes Corridos]]</f>
        <v>20845</v>
      </c>
      <c r="K380" s="16">
        <f>+Y380+BA380+BO380+CQ380+DE380+DS380+EG380+CC380+EU380+ROC_Ca_Mo[[#This Row],[Trenes Puntuales]]+ROC_Ca_Lo[[#This Row],[Trenes Puntuales]]+ROC_T_Un_LP[[#This Row],[Trenes Puntuales]]</f>
        <v>17577</v>
      </c>
      <c r="L380" s="16">
        <f t="shared" ref="L380" si="831">J380-K380</f>
        <v>3268</v>
      </c>
      <c r="O380" s="18">
        <v>2024</v>
      </c>
      <c r="P380" s="18" t="s">
        <v>38</v>
      </c>
      <c r="Q380" s="44">
        <f t="shared" si="780"/>
        <v>0.87481865284974092</v>
      </c>
      <c r="R380" s="44">
        <f t="shared" si="781"/>
        <v>0.88769716088328077</v>
      </c>
      <c r="S380" s="44">
        <f t="shared" si="782"/>
        <v>0.9854922279792746</v>
      </c>
      <c r="T380" s="16">
        <v>181</v>
      </c>
      <c r="U380" s="16">
        <v>7</v>
      </c>
      <c r="V380" s="16">
        <v>4825</v>
      </c>
      <c r="W380" s="16">
        <f t="shared" si="698"/>
        <v>70</v>
      </c>
      <c r="X380" s="16">
        <v>4755</v>
      </c>
      <c r="Y380" s="16">
        <v>4221</v>
      </c>
      <c r="Z380" s="16">
        <f t="shared" si="783"/>
        <v>534</v>
      </c>
      <c r="AC380" s="177"/>
      <c r="AD380" s="178"/>
      <c r="AE380" s="169"/>
      <c r="AF380" s="169"/>
      <c r="AG380" s="169"/>
      <c r="AH380" s="179"/>
      <c r="AI380" s="179"/>
      <c r="AJ380" s="168"/>
      <c r="AK380" s="168"/>
      <c r="AL380" s="168"/>
      <c r="AM380" s="168"/>
      <c r="AN380" s="168"/>
      <c r="AO380" s="168"/>
      <c r="AQ380" s="18">
        <v>2024</v>
      </c>
      <c r="AR380" s="18" t="s">
        <v>38</v>
      </c>
      <c r="AS380" s="44">
        <f t="shared" si="784"/>
        <v>0.90975037337315978</v>
      </c>
      <c r="AT380" s="44">
        <f t="shared" si="785"/>
        <v>0.93324578682425041</v>
      </c>
      <c r="AU380" s="44">
        <f t="shared" si="786"/>
        <v>0.97482398122466396</v>
      </c>
      <c r="AV380" s="16">
        <v>174</v>
      </c>
      <c r="AW380" s="16">
        <v>7</v>
      </c>
      <c r="AX380" s="16">
        <v>4687</v>
      </c>
      <c r="AY380" s="16">
        <f t="shared" si="703"/>
        <v>118</v>
      </c>
      <c r="AZ380" s="16">
        <v>4569</v>
      </c>
      <c r="BA380" s="16">
        <v>4264</v>
      </c>
      <c r="BB380" s="16">
        <f t="shared" si="787"/>
        <v>305</v>
      </c>
      <c r="BE380" s="18">
        <v>2024</v>
      </c>
      <c r="BF380" s="18" t="s">
        <v>38</v>
      </c>
      <c r="BG380" s="44">
        <f t="shared" si="788"/>
        <v>0.55841584158415847</v>
      </c>
      <c r="BH380" s="44">
        <f t="shared" si="789"/>
        <v>0.63818953323903815</v>
      </c>
      <c r="BI380" s="44">
        <f t="shared" si="790"/>
        <v>0.875</v>
      </c>
      <c r="BJ380" s="16">
        <v>134</v>
      </c>
      <c r="BK380" s="16">
        <v>7</v>
      </c>
      <c r="BL380" s="16">
        <v>4040</v>
      </c>
      <c r="BM380" s="16">
        <f t="shared" si="708"/>
        <v>505</v>
      </c>
      <c r="BN380" s="16">
        <v>3535</v>
      </c>
      <c r="BO380" s="16">
        <v>2256</v>
      </c>
      <c r="BP380" s="16">
        <f t="shared" si="791"/>
        <v>1279</v>
      </c>
      <c r="BS380" s="18">
        <v>2024</v>
      </c>
      <c r="BT380" s="18" t="s">
        <v>38</v>
      </c>
      <c r="BU380" s="44">
        <f t="shared" si="792"/>
        <v>0.81690757774857647</v>
      </c>
      <c r="BV380" s="44">
        <f t="shared" si="793"/>
        <v>0.8788878416588124</v>
      </c>
      <c r="BW380" s="44">
        <f t="shared" si="794"/>
        <v>0.92947875602277708</v>
      </c>
      <c r="BX380" s="16">
        <v>81</v>
      </c>
      <c r="BY380" s="16">
        <v>7</v>
      </c>
      <c r="BZ380" s="16">
        <v>2283</v>
      </c>
      <c r="CA380" s="16">
        <f t="shared" si="713"/>
        <v>161</v>
      </c>
      <c r="CB380" s="16">
        <v>2122</v>
      </c>
      <c r="CC380" s="16">
        <v>1865</v>
      </c>
      <c r="CD380" s="16">
        <f t="shared" si="795"/>
        <v>257</v>
      </c>
      <c r="CG380" s="18">
        <v>2024</v>
      </c>
      <c r="CH380" s="18" t="s">
        <v>38</v>
      </c>
      <c r="CI380" s="44">
        <f t="shared" si="796"/>
        <v>0.67791249341064841</v>
      </c>
      <c r="CJ380" s="44">
        <f t="shared" si="797"/>
        <v>0.75381008206330602</v>
      </c>
      <c r="CK380" s="44">
        <f t="shared" si="798"/>
        <v>0.89931470743278863</v>
      </c>
      <c r="CL380" s="16">
        <v>67</v>
      </c>
      <c r="CM380" s="16">
        <v>7</v>
      </c>
      <c r="CN380" s="16">
        <v>1897</v>
      </c>
      <c r="CO380" s="16">
        <f t="shared" si="718"/>
        <v>191</v>
      </c>
      <c r="CP380" s="16">
        <v>1706</v>
      </c>
      <c r="CQ380" s="16">
        <v>1286</v>
      </c>
      <c r="CR380" s="16">
        <f t="shared" si="799"/>
        <v>420</v>
      </c>
      <c r="CU380" s="18">
        <v>2024</v>
      </c>
      <c r="CV380" s="18" t="s">
        <v>38</v>
      </c>
      <c r="CW380" s="44">
        <f t="shared" si="800"/>
        <v>0.9333917616126205</v>
      </c>
      <c r="CX380" s="44">
        <f t="shared" si="801"/>
        <v>0.95515695067264572</v>
      </c>
      <c r="CY380" s="44">
        <f t="shared" si="802"/>
        <v>0.97721297107800176</v>
      </c>
      <c r="CZ380" s="16">
        <v>37</v>
      </c>
      <c r="DA380" s="16">
        <v>3</v>
      </c>
      <c r="DB380" s="16">
        <v>1141</v>
      </c>
      <c r="DC380" s="16">
        <f t="shared" si="723"/>
        <v>26</v>
      </c>
      <c r="DD380" s="16">
        <v>1115</v>
      </c>
      <c r="DE380" s="16">
        <v>1065</v>
      </c>
      <c r="DF380" s="16">
        <f t="shared" si="803"/>
        <v>50</v>
      </c>
      <c r="DI380" s="18">
        <v>2024</v>
      </c>
      <c r="DJ380" s="18" t="s">
        <v>38</v>
      </c>
      <c r="DK380" s="44">
        <f t="shared" si="804"/>
        <v>0.8666666666666667</v>
      </c>
      <c r="DL380" s="44">
        <f t="shared" si="805"/>
        <v>0.93052631578947365</v>
      </c>
      <c r="DM380" s="44">
        <f t="shared" si="806"/>
        <v>0.93137254901960786</v>
      </c>
      <c r="DN380" s="16">
        <v>20</v>
      </c>
      <c r="DO380" s="16">
        <v>3</v>
      </c>
      <c r="DP380" s="16">
        <v>510</v>
      </c>
      <c r="DQ380" s="16">
        <f t="shared" si="689"/>
        <v>35</v>
      </c>
      <c r="DR380" s="16">
        <v>475</v>
      </c>
      <c r="DS380" s="16">
        <v>442</v>
      </c>
      <c r="DT380" s="16">
        <f t="shared" si="807"/>
        <v>33</v>
      </c>
      <c r="DW380" s="18">
        <v>2024</v>
      </c>
      <c r="DX380" s="18" t="s">
        <v>38</v>
      </c>
      <c r="DY380" s="44">
        <f t="shared" si="808"/>
        <v>0.75729360645561761</v>
      </c>
      <c r="DZ380" s="44">
        <f t="shared" si="809"/>
        <v>0.80581241743725229</v>
      </c>
      <c r="EA380" s="44">
        <f t="shared" si="810"/>
        <v>0.93978895096213533</v>
      </c>
      <c r="EB380" s="16">
        <v>57</v>
      </c>
      <c r="EC380" s="16">
        <v>3</v>
      </c>
      <c r="ED380" s="16">
        <v>1611</v>
      </c>
      <c r="EE380" s="16">
        <f t="shared" si="732"/>
        <v>97</v>
      </c>
      <c r="EF380" s="16">
        <v>1514</v>
      </c>
      <c r="EG380" s="16">
        <v>1220</v>
      </c>
      <c r="EH380" s="16">
        <f t="shared" si="811"/>
        <v>294</v>
      </c>
      <c r="EK380" s="18">
        <v>2024</v>
      </c>
      <c r="EL380" s="18" t="s">
        <v>38</v>
      </c>
      <c r="EM380" s="44">
        <f t="shared" si="812"/>
        <v>0.94864864864864862</v>
      </c>
      <c r="EN380" s="44">
        <f t="shared" si="813"/>
        <v>0.94864864864864862</v>
      </c>
      <c r="EO380" s="44">
        <f t="shared" si="814"/>
        <v>1</v>
      </c>
      <c r="EP380" s="16">
        <v>10</v>
      </c>
      <c r="EQ380" s="16">
        <v>3</v>
      </c>
      <c r="ER380" s="16">
        <v>370</v>
      </c>
      <c r="ES380" s="16">
        <f t="shared" si="672"/>
        <v>0</v>
      </c>
      <c r="ET380" s="16">
        <v>370</v>
      </c>
      <c r="EU380" s="16">
        <v>351</v>
      </c>
      <c r="EV380" s="16">
        <f t="shared" si="815"/>
        <v>19</v>
      </c>
      <c r="EY380" s="18">
        <v>2024</v>
      </c>
      <c r="EZ380" s="18" t="s">
        <v>38</v>
      </c>
      <c r="FA380" s="44">
        <f t="shared" si="816"/>
        <v>0.60499999999999998</v>
      </c>
      <c r="FB380" s="44">
        <f t="shared" si="817"/>
        <v>0.88970588235294112</v>
      </c>
      <c r="FC380" s="44">
        <f t="shared" si="818"/>
        <v>0.68</v>
      </c>
      <c r="FD380" s="16">
        <v>8</v>
      </c>
      <c r="FE380" s="16">
        <v>3</v>
      </c>
      <c r="FF380" s="16">
        <v>200</v>
      </c>
      <c r="FG380" s="16">
        <f t="shared" si="741"/>
        <v>64</v>
      </c>
      <c r="FH380" s="16">
        <v>136</v>
      </c>
      <c r="FI380" s="16">
        <v>121</v>
      </c>
      <c r="FJ380" s="16">
        <f t="shared" si="819"/>
        <v>15</v>
      </c>
      <c r="FM380" s="18">
        <v>2024</v>
      </c>
      <c r="FN380" s="18" t="s">
        <v>38</v>
      </c>
      <c r="FO380" s="44">
        <f t="shared" si="820"/>
        <v>0.73</v>
      </c>
      <c r="FP380" s="44">
        <f t="shared" si="821"/>
        <v>0.80219780219780223</v>
      </c>
      <c r="FQ380" s="44">
        <f t="shared" si="822"/>
        <v>0.91</v>
      </c>
      <c r="FR380" s="16">
        <v>8</v>
      </c>
      <c r="FS380" s="16">
        <v>3</v>
      </c>
      <c r="FT380" s="16">
        <v>200</v>
      </c>
      <c r="FU380" s="16">
        <f t="shared" si="746"/>
        <v>18</v>
      </c>
      <c r="FV380" s="16">
        <v>182</v>
      </c>
      <c r="FW380" s="16">
        <v>146</v>
      </c>
      <c r="FX380" s="16">
        <f t="shared" si="823"/>
        <v>36</v>
      </c>
      <c r="GA380" s="18">
        <v>2024</v>
      </c>
      <c r="GB380" s="18" t="s">
        <v>38</v>
      </c>
      <c r="GC380" s="44">
        <f t="shared" si="824"/>
        <v>0.87179487179487181</v>
      </c>
      <c r="GD380" s="44">
        <f t="shared" si="825"/>
        <v>0.92896174863387981</v>
      </c>
      <c r="GE380" s="44">
        <f t="shared" si="826"/>
        <v>0.93846153846153846</v>
      </c>
      <c r="GF380" s="16">
        <v>26</v>
      </c>
      <c r="GG380" s="16">
        <v>1</v>
      </c>
      <c r="GH380" s="16">
        <v>390</v>
      </c>
      <c r="GI380" s="16">
        <f t="shared" si="751"/>
        <v>24</v>
      </c>
      <c r="GJ380" s="16">
        <v>366</v>
      </c>
      <c r="GK380" s="16">
        <v>340</v>
      </c>
      <c r="GL380" s="16">
        <f t="shared" si="827"/>
        <v>26</v>
      </c>
    </row>
    <row r="381" spans="1:195" s="18" customFormat="1" ht="15" customHeight="1">
      <c r="A381" s="18">
        <v>2024</v>
      </c>
      <c r="B381" s="18" t="s">
        <v>39</v>
      </c>
      <c r="C381" s="15">
        <f t="shared" si="773"/>
        <v>0.80077799388719084</v>
      </c>
      <c r="D381" s="15">
        <f t="shared" si="774"/>
        <v>0.84060084585095518</v>
      </c>
      <c r="E381" s="15">
        <f t="shared" si="778"/>
        <v>0.95262572936926926</v>
      </c>
      <c r="F381"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81"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6.1689271304263285</v>
      </c>
      <c r="H381" s="16">
        <f>+V381+AX381+BL381+CN381+DB381+DP381+ED381+BZ381+ER381+ROC_Ca_Mo[[#This Row],[Trenes Programados]]+ROC_Ca_Lo[[#This Row],[Trenes Programados]]+ROC_T_Un_LP[[#This Row],[Trenes Programados]]</f>
        <v>21594</v>
      </c>
      <c r="I381" s="16">
        <f t="shared" ref="I381" si="832">H381-J381</f>
        <v>1023</v>
      </c>
      <c r="J381" s="16">
        <f>+X381+AZ381+BN381+CP381+DD381+DR381+EF381+CB381+ET381+ROC_Ca_Mo[[#This Row],[Trenes Corridos]]+ROC_Ca_Lo[[#This Row],[Trenes Corridos]]+ROC_T_Un_LP[[#This Row],[Trenes Corridos]]</f>
        <v>20571</v>
      </c>
      <c r="K381" s="16">
        <f>+Y381+BA381+BO381+CQ381+DE381+DS381+EG381+CC381+EU381+ROC_Ca_Mo[[#This Row],[Trenes Puntuales]]+ROC_Ca_Lo[[#This Row],[Trenes Puntuales]]+ROC_T_Un_LP[[#This Row],[Trenes Puntuales]]</f>
        <v>17292</v>
      </c>
      <c r="L381" s="16">
        <f t="shared" ref="L381" si="833">J381-K381</f>
        <v>3279</v>
      </c>
      <c r="O381" s="18">
        <v>2024</v>
      </c>
      <c r="P381" s="18" t="s">
        <v>39</v>
      </c>
      <c r="Q381" s="44">
        <f t="shared" si="780"/>
        <v>0.86584849767245031</v>
      </c>
      <c r="R381" s="44">
        <f t="shared" si="781"/>
        <v>0.8843743246163821</v>
      </c>
      <c r="S381" s="44">
        <f t="shared" si="782"/>
        <v>0.97905205247566651</v>
      </c>
      <c r="T381" s="16">
        <v>181</v>
      </c>
      <c r="U381" s="16">
        <v>7</v>
      </c>
      <c r="V381" s="16">
        <v>4726</v>
      </c>
      <c r="W381" s="16">
        <f t="shared" si="698"/>
        <v>99</v>
      </c>
      <c r="X381" s="16">
        <v>4627</v>
      </c>
      <c r="Y381" s="16">
        <v>4092</v>
      </c>
      <c r="Z381" s="16">
        <f t="shared" si="783"/>
        <v>535</v>
      </c>
      <c r="AC381" s="177"/>
      <c r="AD381" s="178"/>
      <c r="AE381" s="169"/>
      <c r="AF381" s="169"/>
      <c r="AG381" s="169"/>
      <c r="AH381" s="179"/>
      <c r="AI381" s="179"/>
      <c r="AJ381" s="168"/>
      <c r="AK381" s="168"/>
      <c r="AL381" s="168"/>
      <c r="AM381" s="168"/>
      <c r="AN381" s="168"/>
      <c r="AO381" s="168"/>
      <c r="AQ381" s="18">
        <v>2024</v>
      </c>
      <c r="AR381" s="18" t="s">
        <v>39</v>
      </c>
      <c r="AS381" s="44">
        <f t="shared" si="784"/>
        <v>0.92557835006547362</v>
      </c>
      <c r="AT381" s="44">
        <f t="shared" si="785"/>
        <v>0.93703049049933718</v>
      </c>
      <c r="AU381" s="44">
        <f t="shared" si="786"/>
        <v>0.98777826276735048</v>
      </c>
      <c r="AV381" s="16">
        <v>174</v>
      </c>
      <c r="AW381" s="16">
        <v>7</v>
      </c>
      <c r="AX381" s="16">
        <v>4582</v>
      </c>
      <c r="AY381" s="16">
        <f t="shared" si="703"/>
        <v>56</v>
      </c>
      <c r="AZ381" s="16">
        <v>4526</v>
      </c>
      <c r="BA381" s="16">
        <v>4241</v>
      </c>
      <c r="BB381" s="16">
        <f t="shared" si="787"/>
        <v>285</v>
      </c>
      <c r="BE381" s="18">
        <v>2024</v>
      </c>
      <c r="BF381" s="18" t="s">
        <v>39</v>
      </c>
      <c r="BG381" s="44">
        <f t="shared" si="788"/>
        <v>0.58478931140801649</v>
      </c>
      <c r="BH381" s="44">
        <f t="shared" si="789"/>
        <v>0.66413772979282171</v>
      </c>
      <c r="BI381" s="44">
        <f t="shared" si="790"/>
        <v>0.88052415210688595</v>
      </c>
      <c r="BJ381" s="16">
        <v>134</v>
      </c>
      <c r="BK381" s="16">
        <v>7</v>
      </c>
      <c r="BL381" s="16">
        <v>3892</v>
      </c>
      <c r="BM381" s="16">
        <f t="shared" si="708"/>
        <v>465</v>
      </c>
      <c r="BN381" s="16">
        <v>3427</v>
      </c>
      <c r="BO381" s="16">
        <v>2276</v>
      </c>
      <c r="BP381" s="16">
        <f t="shared" si="791"/>
        <v>1151</v>
      </c>
      <c r="BS381" s="18">
        <v>2024</v>
      </c>
      <c r="BT381" s="18" t="s">
        <v>39</v>
      </c>
      <c r="BU381" s="44">
        <f t="shared" si="792"/>
        <v>0.81740306582506761</v>
      </c>
      <c r="BV381" s="44">
        <f t="shared" si="793"/>
        <v>0.83509903270382313</v>
      </c>
      <c r="BW381" s="44">
        <f t="shared" si="794"/>
        <v>0.978809738503156</v>
      </c>
      <c r="BX381" s="16">
        <v>81</v>
      </c>
      <c r="BY381" s="16">
        <v>7</v>
      </c>
      <c r="BZ381" s="16">
        <v>2218</v>
      </c>
      <c r="CA381" s="16">
        <f t="shared" si="713"/>
        <v>47</v>
      </c>
      <c r="CB381" s="16">
        <v>2171</v>
      </c>
      <c r="CC381" s="16">
        <v>1813</v>
      </c>
      <c r="CD381" s="16">
        <f t="shared" si="795"/>
        <v>358</v>
      </c>
      <c r="CG381" s="18">
        <v>2024</v>
      </c>
      <c r="CH381" s="18" t="s">
        <v>39</v>
      </c>
      <c r="CI381" s="44">
        <f t="shared" si="796"/>
        <v>0.68980477223427328</v>
      </c>
      <c r="CJ381" s="44">
        <f t="shared" si="797"/>
        <v>0.73271889400921664</v>
      </c>
      <c r="CK381" s="44">
        <f t="shared" si="798"/>
        <v>0.9414316702819957</v>
      </c>
      <c r="CL381" s="16">
        <v>67</v>
      </c>
      <c r="CM381" s="16">
        <v>7</v>
      </c>
      <c r="CN381" s="16">
        <v>1844</v>
      </c>
      <c r="CO381" s="16">
        <f t="shared" si="718"/>
        <v>108</v>
      </c>
      <c r="CP381" s="16">
        <v>1736</v>
      </c>
      <c r="CQ381" s="16">
        <v>1272</v>
      </c>
      <c r="CR381" s="16">
        <f t="shared" si="799"/>
        <v>464</v>
      </c>
      <c r="CU381" s="18">
        <v>2024</v>
      </c>
      <c r="CV381" s="18" t="s">
        <v>39</v>
      </c>
      <c r="CW381" s="44">
        <f t="shared" si="800"/>
        <v>0.93025362318840576</v>
      </c>
      <c r="CX381" s="44">
        <f t="shared" si="801"/>
        <v>0.95180722891566261</v>
      </c>
      <c r="CY381" s="44">
        <f t="shared" si="802"/>
        <v>0.97735507246376807</v>
      </c>
      <c r="CZ381" s="16">
        <v>37</v>
      </c>
      <c r="DA381" s="16">
        <v>3</v>
      </c>
      <c r="DB381" s="16">
        <v>1104</v>
      </c>
      <c r="DC381" s="16">
        <f t="shared" si="723"/>
        <v>25</v>
      </c>
      <c r="DD381" s="16">
        <v>1079</v>
      </c>
      <c r="DE381" s="16">
        <v>1027</v>
      </c>
      <c r="DF381" s="16">
        <f t="shared" si="803"/>
        <v>52</v>
      </c>
      <c r="DI381" s="18">
        <v>2024</v>
      </c>
      <c r="DJ381" s="18" t="s">
        <v>39</v>
      </c>
      <c r="DK381" s="44">
        <f t="shared" si="804"/>
        <v>0.83799999999999997</v>
      </c>
      <c r="DL381" s="44">
        <f t="shared" si="805"/>
        <v>0.88025210084033612</v>
      </c>
      <c r="DM381" s="44">
        <f t="shared" si="806"/>
        <v>0.95199999999999996</v>
      </c>
      <c r="DN381" s="16">
        <v>20</v>
      </c>
      <c r="DO381" s="16">
        <v>3</v>
      </c>
      <c r="DP381" s="16">
        <v>500</v>
      </c>
      <c r="DQ381" s="16">
        <f t="shared" si="689"/>
        <v>24</v>
      </c>
      <c r="DR381" s="16">
        <v>476</v>
      </c>
      <c r="DS381" s="16">
        <v>419</v>
      </c>
      <c r="DT381" s="16">
        <f t="shared" si="807"/>
        <v>57</v>
      </c>
      <c r="DW381" s="18">
        <v>2024</v>
      </c>
      <c r="DX381" s="18" t="s">
        <v>39</v>
      </c>
      <c r="DY381" s="44">
        <f t="shared" si="808"/>
        <v>0.80901015228426398</v>
      </c>
      <c r="DZ381" s="44">
        <f t="shared" si="809"/>
        <v>0.84493041749502984</v>
      </c>
      <c r="EA381" s="44">
        <f t="shared" si="810"/>
        <v>0.9574873096446701</v>
      </c>
      <c r="EB381" s="16">
        <v>57</v>
      </c>
      <c r="EC381" s="16">
        <v>3</v>
      </c>
      <c r="ED381" s="16">
        <v>1576</v>
      </c>
      <c r="EE381" s="16">
        <f t="shared" si="732"/>
        <v>67</v>
      </c>
      <c r="EF381" s="16">
        <v>1509</v>
      </c>
      <c r="EG381" s="16">
        <v>1275</v>
      </c>
      <c r="EH381" s="16">
        <f t="shared" si="811"/>
        <v>234</v>
      </c>
      <c r="EK381" s="18">
        <v>2024</v>
      </c>
      <c r="EL381" s="18" t="s">
        <v>39</v>
      </c>
      <c r="EM381" s="44">
        <f t="shared" si="812"/>
        <v>0.92222222222222228</v>
      </c>
      <c r="EN381" s="44">
        <f t="shared" si="813"/>
        <v>0.92737430167597767</v>
      </c>
      <c r="EO381" s="44">
        <f t="shared" si="814"/>
        <v>0.99444444444444446</v>
      </c>
      <c r="EP381" s="16">
        <v>10</v>
      </c>
      <c r="EQ381" s="16">
        <v>3</v>
      </c>
      <c r="ER381" s="16">
        <v>360</v>
      </c>
      <c r="ES381" s="16">
        <f t="shared" si="672"/>
        <v>2</v>
      </c>
      <c r="ET381" s="16">
        <v>358</v>
      </c>
      <c r="EU381" s="16">
        <v>332</v>
      </c>
      <c r="EV381" s="16">
        <f t="shared" si="815"/>
        <v>26</v>
      </c>
      <c r="EY381" s="18">
        <v>2024</v>
      </c>
      <c r="EZ381" s="18" t="s">
        <v>39</v>
      </c>
      <c r="FA381" s="44">
        <f t="shared" si="816"/>
        <v>0.38</v>
      </c>
      <c r="FB381" s="44">
        <f t="shared" si="817"/>
        <v>0.84444444444444444</v>
      </c>
      <c r="FC381" s="44">
        <f t="shared" si="818"/>
        <v>0.45</v>
      </c>
      <c r="FD381" s="16">
        <v>8</v>
      </c>
      <c r="FE381" s="16">
        <v>3</v>
      </c>
      <c r="FF381" s="16">
        <v>200</v>
      </c>
      <c r="FG381" s="16">
        <f t="shared" si="741"/>
        <v>110</v>
      </c>
      <c r="FH381" s="16">
        <v>90</v>
      </c>
      <c r="FI381" s="16">
        <v>76</v>
      </c>
      <c r="FJ381" s="16">
        <f t="shared" si="819"/>
        <v>14</v>
      </c>
      <c r="FM381" s="18">
        <v>2024</v>
      </c>
      <c r="FN381" s="18" t="s">
        <v>39</v>
      </c>
      <c r="FO381" s="44">
        <f t="shared" si="820"/>
        <v>0.68</v>
      </c>
      <c r="FP381" s="44">
        <f t="shared" si="821"/>
        <v>0.70833333333333337</v>
      </c>
      <c r="FQ381" s="44">
        <f t="shared" si="822"/>
        <v>0.96</v>
      </c>
      <c r="FR381" s="16">
        <v>8</v>
      </c>
      <c r="FS381" s="16">
        <v>3</v>
      </c>
      <c r="FT381" s="16">
        <v>200</v>
      </c>
      <c r="FU381" s="16">
        <f t="shared" si="746"/>
        <v>8</v>
      </c>
      <c r="FV381" s="16">
        <v>192</v>
      </c>
      <c r="FW381" s="16">
        <v>136</v>
      </c>
      <c r="FX381" s="16">
        <f t="shared" si="823"/>
        <v>56</v>
      </c>
      <c r="GA381" s="18">
        <v>2024</v>
      </c>
      <c r="GB381" s="18" t="s">
        <v>39</v>
      </c>
      <c r="GC381" s="44">
        <f t="shared" si="824"/>
        <v>0.84948979591836737</v>
      </c>
      <c r="GD381" s="44">
        <f t="shared" si="825"/>
        <v>0.87631578947368416</v>
      </c>
      <c r="GE381" s="44">
        <f t="shared" si="826"/>
        <v>0.96938775510204078</v>
      </c>
      <c r="GF381" s="16">
        <v>26</v>
      </c>
      <c r="GG381" s="16">
        <v>1</v>
      </c>
      <c r="GH381" s="16">
        <v>392</v>
      </c>
      <c r="GI381" s="16">
        <f t="shared" si="751"/>
        <v>12</v>
      </c>
      <c r="GJ381" s="16">
        <v>380</v>
      </c>
      <c r="GK381" s="16">
        <v>333</v>
      </c>
      <c r="GL381" s="16">
        <f t="shared" si="827"/>
        <v>47</v>
      </c>
    </row>
    <row r="382" spans="1:195" s="18" customFormat="1" ht="15" customHeight="1">
      <c r="A382" s="18">
        <v>2024</v>
      </c>
      <c r="B382" s="18" t="s">
        <v>40</v>
      </c>
      <c r="C382" s="15">
        <f t="shared" si="773"/>
        <v>0.65640405993233442</v>
      </c>
      <c r="D382" s="15">
        <f t="shared" si="774"/>
        <v>0.72933784436926052</v>
      </c>
      <c r="E382" s="15">
        <f t="shared" si="778"/>
        <v>0.9</v>
      </c>
      <c r="F382"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82"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6.1044519628376568</v>
      </c>
      <c r="H382" s="16">
        <f>+V382+AX382+BL382+CN382+DB382+DP382+ED382+BZ382+ER382+ROC_Ca_Mo[[#This Row],[Trenes Programados]]+ROC_Ca_Lo[[#This Row],[Trenes Programados]]+ROC_T_Un_LP[[#This Row],[Trenes Programados]]</f>
        <v>20690</v>
      </c>
      <c r="I382" s="16">
        <f t="shared" ref="I382" si="834">H382-J382</f>
        <v>2069</v>
      </c>
      <c r="J382" s="16">
        <f>+X382+AZ382+BN382+CP382+DD382+DR382+EF382+CB382+ET382+ROC_Ca_Mo[[#This Row],[Trenes Corridos]]+ROC_Ca_Lo[[#This Row],[Trenes Corridos]]+ROC_T_Un_LP[[#This Row],[Trenes Corridos]]</f>
        <v>18621</v>
      </c>
      <c r="K382" s="16">
        <f>+Y382+BA382+BO382+CQ382+DE382+DS382+EG382+CC382+EU382+ROC_Ca_Mo[[#This Row],[Trenes Puntuales]]+ROC_Ca_Lo[[#This Row],[Trenes Puntuales]]+ROC_T_Un_LP[[#This Row],[Trenes Puntuales]]</f>
        <v>13581</v>
      </c>
      <c r="L382" s="16">
        <f t="shared" ref="L382" si="835">J382-K382</f>
        <v>5040</v>
      </c>
      <c r="O382" s="18">
        <v>2024</v>
      </c>
      <c r="P382" s="18" t="s">
        <v>40</v>
      </c>
      <c r="Q382" s="44">
        <f t="shared" si="780"/>
        <v>0.66544286369894445</v>
      </c>
      <c r="R382" s="44">
        <f t="shared" si="781"/>
        <v>0.71746660069272639</v>
      </c>
      <c r="S382" s="44">
        <f t="shared" si="782"/>
        <v>0.92748967416245987</v>
      </c>
      <c r="T382" s="16">
        <v>181</v>
      </c>
      <c r="U382" s="16">
        <v>7</v>
      </c>
      <c r="V382" s="16">
        <v>4358</v>
      </c>
      <c r="W382" s="16">
        <f t="shared" si="698"/>
        <v>316</v>
      </c>
      <c r="X382" s="16">
        <v>4042</v>
      </c>
      <c r="Y382" s="16">
        <v>2900</v>
      </c>
      <c r="Z382" s="16">
        <f t="shared" si="783"/>
        <v>1142</v>
      </c>
      <c r="AC382" s="177"/>
      <c r="AD382" s="178"/>
      <c r="AE382" s="169"/>
      <c r="AF382" s="169"/>
      <c r="AG382" s="169"/>
      <c r="AH382" s="179"/>
      <c r="AI382" s="179"/>
      <c r="AJ382" s="168"/>
      <c r="AK382" s="168"/>
      <c r="AL382" s="168"/>
      <c r="AM382" s="168"/>
      <c r="AN382" s="168"/>
      <c r="AO382" s="168"/>
      <c r="AQ382" s="18">
        <v>2024</v>
      </c>
      <c r="AR382" s="18" t="s">
        <v>40</v>
      </c>
      <c r="AS382" s="44">
        <f t="shared" si="784"/>
        <v>0.75728608067148517</v>
      </c>
      <c r="AT382" s="44">
        <f t="shared" si="785"/>
        <v>0.82123893805309733</v>
      </c>
      <c r="AU382" s="44">
        <f t="shared" si="786"/>
        <v>0.9221263697831662</v>
      </c>
      <c r="AV382" s="16">
        <v>174</v>
      </c>
      <c r="AW382" s="16">
        <v>7</v>
      </c>
      <c r="AX382" s="16">
        <v>4289</v>
      </c>
      <c r="AY382" s="16">
        <f t="shared" si="703"/>
        <v>334</v>
      </c>
      <c r="AZ382" s="16">
        <v>3955</v>
      </c>
      <c r="BA382" s="16">
        <v>3248</v>
      </c>
      <c r="BB382" s="16">
        <f t="shared" si="787"/>
        <v>707</v>
      </c>
      <c r="BE382" s="18">
        <v>2024</v>
      </c>
      <c r="BF382" s="18" t="s">
        <v>40</v>
      </c>
      <c r="BG382" s="44">
        <f t="shared" si="788"/>
        <v>0.44474613087157211</v>
      </c>
      <c r="BH382" s="44">
        <f t="shared" si="789"/>
        <v>0.52198852772466542</v>
      </c>
      <c r="BI382" s="44">
        <f t="shared" si="790"/>
        <v>0.85202280749389081</v>
      </c>
      <c r="BJ382" s="16">
        <v>134</v>
      </c>
      <c r="BK382" s="16">
        <v>7</v>
      </c>
      <c r="BL382" s="16">
        <v>3683</v>
      </c>
      <c r="BM382" s="16">
        <f t="shared" si="708"/>
        <v>545</v>
      </c>
      <c r="BN382" s="16">
        <v>3138</v>
      </c>
      <c r="BO382" s="16">
        <v>1638</v>
      </c>
      <c r="BP382" s="16">
        <f t="shared" si="791"/>
        <v>1500</v>
      </c>
      <c r="BS382" s="18">
        <v>2024</v>
      </c>
      <c r="BT382" s="18" t="s">
        <v>40</v>
      </c>
      <c r="BU382" s="44">
        <f t="shared" si="792"/>
        <v>0.71296745993200583</v>
      </c>
      <c r="BV382" s="44">
        <f t="shared" si="793"/>
        <v>0.75631117980422458</v>
      </c>
      <c r="BW382" s="44">
        <f t="shared" si="794"/>
        <v>0.94269062651772706</v>
      </c>
      <c r="BX382" s="16">
        <v>81</v>
      </c>
      <c r="BY382" s="16">
        <v>7</v>
      </c>
      <c r="BZ382" s="16">
        <v>2059</v>
      </c>
      <c r="CA382" s="16">
        <f t="shared" si="713"/>
        <v>118</v>
      </c>
      <c r="CB382" s="16">
        <v>1941</v>
      </c>
      <c r="CC382" s="16">
        <v>1468</v>
      </c>
      <c r="CD382" s="16">
        <f t="shared" si="795"/>
        <v>473</v>
      </c>
      <c r="CG382" s="18">
        <v>2024</v>
      </c>
      <c r="CH382" s="18" t="s">
        <v>40</v>
      </c>
      <c r="CI382" s="44">
        <f t="shared" si="796"/>
        <v>0.56017997750281212</v>
      </c>
      <c r="CJ382" s="44">
        <f t="shared" si="797"/>
        <v>0.63358778625954193</v>
      </c>
      <c r="CK382" s="44">
        <f t="shared" si="798"/>
        <v>0.88413948256467945</v>
      </c>
      <c r="CL382" s="16">
        <v>67</v>
      </c>
      <c r="CM382" s="16">
        <v>7</v>
      </c>
      <c r="CN382" s="16">
        <v>1778</v>
      </c>
      <c r="CO382" s="16">
        <f t="shared" si="718"/>
        <v>206</v>
      </c>
      <c r="CP382" s="16">
        <v>1572</v>
      </c>
      <c r="CQ382" s="16">
        <v>996</v>
      </c>
      <c r="CR382" s="16">
        <f t="shared" si="799"/>
        <v>576</v>
      </c>
      <c r="CU382" s="18">
        <v>2024</v>
      </c>
      <c r="CV382" s="18" t="s">
        <v>40</v>
      </c>
      <c r="CW382" s="44">
        <f t="shared" si="800"/>
        <v>0.7975460122699386</v>
      </c>
      <c r="CX382" s="44">
        <f t="shared" si="801"/>
        <v>0.9072781655034895</v>
      </c>
      <c r="CY382" s="44">
        <f t="shared" si="802"/>
        <v>0.87905346187554778</v>
      </c>
      <c r="CZ382" s="16">
        <v>37</v>
      </c>
      <c r="DA382" s="16">
        <v>3</v>
      </c>
      <c r="DB382" s="16">
        <v>1141</v>
      </c>
      <c r="DC382" s="16">
        <f t="shared" si="723"/>
        <v>138</v>
      </c>
      <c r="DD382" s="16">
        <v>1003</v>
      </c>
      <c r="DE382" s="16">
        <v>910</v>
      </c>
      <c r="DF382" s="16">
        <f t="shared" si="803"/>
        <v>93</v>
      </c>
      <c r="DI382" s="18">
        <v>2024</v>
      </c>
      <c r="DJ382" s="18" t="s">
        <v>40</v>
      </c>
      <c r="DK382" s="44">
        <f t="shared" si="804"/>
        <v>0.74521072796934862</v>
      </c>
      <c r="DL382" s="44">
        <f t="shared" si="805"/>
        <v>0.85494505494505491</v>
      </c>
      <c r="DM382" s="44">
        <f t="shared" si="806"/>
        <v>0.87164750957854409</v>
      </c>
      <c r="DN382" s="16">
        <v>20</v>
      </c>
      <c r="DO382" s="16">
        <v>3</v>
      </c>
      <c r="DP382" s="16">
        <v>522</v>
      </c>
      <c r="DQ382" s="16">
        <f t="shared" si="689"/>
        <v>67</v>
      </c>
      <c r="DR382" s="16">
        <v>455</v>
      </c>
      <c r="DS382" s="16">
        <v>389</v>
      </c>
      <c r="DT382" s="16">
        <f t="shared" si="807"/>
        <v>66</v>
      </c>
      <c r="DW382" s="18">
        <v>2024</v>
      </c>
      <c r="DX382" s="18" t="s">
        <v>40</v>
      </c>
      <c r="DY382" s="44">
        <f t="shared" si="808"/>
        <v>0.72080291970802923</v>
      </c>
      <c r="DZ382" s="44">
        <f t="shared" si="809"/>
        <v>0.80284552845528456</v>
      </c>
      <c r="EA382" s="44">
        <f t="shared" si="810"/>
        <v>0.8978102189781022</v>
      </c>
      <c r="EB382" s="16">
        <v>57</v>
      </c>
      <c r="EC382" s="16">
        <v>3</v>
      </c>
      <c r="ED382" s="16">
        <v>1644</v>
      </c>
      <c r="EE382" s="16">
        <f t="shared" si="732"/>
        <v>168</v>
      </c>
      <c r="EF382" s="16">
        <v>1476</v>
      </c>
      <c r="EG382" s="16">
        <v>1185</v>
      </c>
      <c r="EH382" s="16">
        <f t="shared" si="811"/>
        <v>291</v>
      </c>
      <c r="EK382" s="18">
        <v>2024</v>
      </c>
      <c r="EL382" s="18" t="s">
        <v>40</v>
      </c>
      <c r="EM382" s="44">
        <f t="shared" si="812"/>
        <v>0.80913978494623651</v>
      </c>
      <c r="EN382" s="44">
        <f t="shared" si="813"/>
        <v>0.86994219653179194</v>
      </c>
      <c r="EO382" s="44">
        <f t="shared" si="814"/>
        <v>0.93010752688172038</v>
      </c>
      <c r="EP382" s="16">
        <v>10</v>
      </c>
      <c r="EQ382" s="16">
        <v>3</v>
      </c>
      <c r="ER382" s="16">
        <v>372</v>
      </c>
      <c r="ES382" s="16">
        <f t="shared" si="672"/>
        <v>26</v>
      </c>
      <c r="ET382" s="16">
        <v>346</v>
      </c>
      <c r="EU382" s="16">
        <v>301</v>
      </c>
      <c r="EV382" s="16">
        <f t="shared" si="815"/>
        <v>45</v>
      </c>
      <c r="EY382" s="18">
        <v>2024</v>
      </c>
      <c r="EZ382" s="18" t="s">
        <v>40</v>
      </c>
      <c r="FA382" s="44">
        <f t="shared" si="816"/>
        <v>0.35377358490566035</v>
      </c>
      <c r="FB382" s="44">
        <f t="shared" si="817"/>
        <v>0.7009345794392523</v>
      </c>
      <c r="FC382" s="44">
        <f t="shared" si="818"/>
        <v>0.50471698113207553</v>
      </c>
      <c r="FD382" s="16">
        <v>8</v>
      </c>
      <c r="FE382" s="16">
        <v>3</v>
      </c>
      <c r="FF382" s="16">
        <v>212</v>
      </c>
      <c r="FG382" s="16">
        <f t="shared" si="741"/>
        <v>105</v>
      </c>
      <c r="FH382" s="16">
        <v>107</v>
      </c>
      <c r="FI382" s="16">
        <v>75</v>
      </c>
      <c r="FJ382" s="16">
        <f t="shared" si="819"/>
        <v>32</v>
      </c>
      <c r="FM382" s="18">
        <v>2024</v>
      </c>
      <c r="FN382" s="18" t="s">
        <v>40</v>
      </c>
      <c r="FO382" s="44">
        <f t="shared" si="820"/>
        <v>0.57547169811320753</v>
      </c>
      <c r="FP382" s="44">
        <f t="shared" si="821"/>
        <v>0.62886597938144329</v>
      </c>
      <c r="FQ382" s="44">
        <f t="shared" si="822"/>
        <v>0.91509433962264153</v>
      </c>
      <c r="FR382" s="16">
        <v>8</v>
      </c>
      <c r="FS382" s="16">
        <v>3</v>
      </c>
      <c r="FT382" s="16">
        <v>212</v>
      </c>
      <c r="FU382" s="16">
        <f t="shared" si="746"/>
        <v>18</v>
      </c>
      <c r="FV382" s="16">
        <v>194</v>
      </c>
      <c r="FW382" s="16">
        <v>122</v>
      </c>
      <c r="FX382" s="16">
        <f t="shared" si="823"/>
        <v>72</v>
      </c>
      <c r="GA382" s="18">
        <v>2024</v>
      </c>
      <c r="GB382" s="18" t="s">
        <v>40</v>
      </c>
      <c r="GC382" s="44">
        <f t="shared" si="824"/>
        <v>0.830952380952381</v>
      </c>
      <c r="GD382" s="44">
        <f t="shared" si="825"/>
        <v>0.89030612244897955</v>
      </c>
      <c r="GE382" s="44">
        <f t="shared" si="826"/>
        <v>0.93333333333333335</v>
      </c>
      <c r="GF382" s="16">
        <v>26</v>
      </c>
      <c r="GG382" s="16">
        <v>1</v>
      </c>
      <c r="GH382" s="16">
        <v>420</v>
      </c>
      <c r="GI382" s="16">
        <f t="shared" si="751"/>
        <v>28</v>
      </c>
      <c r="GJ382" s="16">
        <v>392</v>
      </c>
      <c r="GK382" s="16">
        <v>349</v>
      </c>
      <c r="GL382" s="16">
        <f t="shared" si="827"/>
        <v>43</v>
      </c>
    </row>
    <row r="383" spans="1:195" s="18" customFormat="1" ht="15" customHeight="1">
      <c r="A383" s="240">
        <v>2024</v>
      </c>
      <c r="B383" s="241" t="s">
        <v>41</v>
      </c>
      <c r="C383" s="15">
        <f t="shared" ref="C383" si="836">K383/H383</f>
        <v>0.77616793382106819</v>
      </c>
      <c r="D383" s="15">
        <f t="shared" ref="D383" si="837">K383/J383</f>
        <v>0.81773299748110828</v>
      </c>
      <c r="E383" s="15">
        <f t="shared" si="778"/>
        <v>0.9491703724955769</v>
      </c>
      <c r="F383"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83"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6.174206549118388</v>
      </c>
      <c r="H383" s="16">
        <f>+V383+AX383+BL383+CN383+DB383+DP383+ED383+BZ383+ER383+ROC_Ca_Mo[[#This Row],[Trenes Programados]]+ROC_Ca_Lo[[#This Row],[Trenes Programados]]+ROC_T_Un_LP[[#This Row],[Trenes Programados]]</f>
        <v>20913</v>
      </c>
      <c r="I383" s="16">
        <f t="shared" ref="I383" si="838">H383-J383</f>
        <v>1063</v>
      </c>
      <c r="J383" s="16">
        <f>+X383+AZ383+BN383+CP383+DD383+DR383+EF383+CB383+ET383+ROC_Ca_Mo[[#This Row],[Trenes Corridos]]+ROC_Ca_Lo[[#This Row],[Trenes Corridos]]+ROC_T_Un_LP[[#This Row],[Trenes Corridos]]</f>
        <v>19850</v>
      </c>
      <c r="K383" s="16">
        <f>+Y383+BA383+BO383+CQ383+DE383+DS383+EG383+CC383+EU383+ROC_Ca_Mo[[#This Row],[Trenes Puntuales]]+ROC_Ca_Lo[[#This Row],[Trenes Puntuales]]+ROC_T_Un_LP[[#This Row],[Trenes Puntuales]]</f>
        <v>16232</v>
      </c>
      <c r="L383" s="16">
        <f t="shared" ref="L383" si="839">J383-K383</f>
        <v>3618</v>
      </c>
      <c r="M383" s="142"/>
      <c r="O383" s="240">
        <v>2024</v>
      </c>
      <c r="P383" s="241" t="s">
        <v>41</v>
      </c>
      <c r="Q383" s="61">
        <f t="shared" si="780"/>
        <v>0.86503884572696998</v>
      </c>
      <c r="R383" s="61">
        <f t="shared" si="781"/>
        <v>0.89115024010976451</v>
      </c>
      <c r="S383" s="61">
        <f t="shared" si="782"/>
        <v>0.97069922308546064</v>
      </c>
      <c r="T383" s="40">
        <v>181</v>
      </c>
      <c r="U383" s="40">
        <v>7</v>
      </c>
      <c r="V383" s="16">
        <v>4505</v>
      </c>
      <c r="W383" s="16">
        <f t="shared" si="698"/>
        <v>132</v>
      </c>
      <c r="X383" s="16">
        <v>4373</v>
      </c>
      <c r="Y383" s="16">
        <v>3897</v>
      </c>
      <c r="Z383" s="16">
        <f t="shared" si="783"/>
        <v>476</v>
      </c>
      <c r="AA383" s="40"/>
      <c r="AC383" s="242"/>
      <c r="AD383" s="243"/>
      <c r="AE383" s="218"/>
      <c r="AF383" s="218"/>
      <c r="AG383" s="218"/>
      <c r="AH383" s="239"/>
      <c r="AI383" s="239"/>
      <c r="AJ383" s="217"/>
      <c r="AK383" s="217"/>
      <c r="AL383" s="217"/>
      <c r="AM383" s="217"/>
      <c r="AN383" s="217"/>
      <c r="AO383" s="217"/>
      <c r="AQ383" s="240">
        <v>2024</v>
      </c>
      <c r="AR383" s="241" t="s">
        <v>41</v>
      </c>
      <c r="AS383" s="61">
        <f t="shared" si="784"/>
        <v>0.92071086807928915</v>
      </c>
      <c r="AT383" s="61">
        <f t="shared" si="785"/>
        <v>0.93239501615136133</v>
      </c>
      <c r="AU383" s="61">
        <f t="shared" si="786"/>
        <v>0.98746867167919794</v>
      </c>
      <c r="AV383" s="40">
        <v>174</v>
      </c>
      <c r="AW383" s="40">
        <v>7</v>
      </c>
      <c r="AX383" s="16">
        <v>4389</v>
      </c>
      <c r="AY383" s="16">
        <f t="shared" si="703"/>
        <v>55</v>
      </c>
      <c r="AZ383" s="16">
        <v>4334</v>
      </c>
      <c r="BA383" s="16">
        <v>4041</v>
      </c>
      <c r="BB383" s="16">
        <f t="shared" si="787"/>
        <v>293</v>
      </c>
      <c r="BC383" s="40"/>
      <c r="BE383" s="240">
        <v>2024</v>
      </c>
      <c r="BF383" s="241" t="s">
        <v>41</v>
      </c>
      <c r="BG383" s="61">
        <f t="shared" si="788"/>
        <v>0.52742396672731995</v>
      </c>
      <c r="BH383" s="61">
        <f t="shared" si="789"/>
        <v>0.59905521110126958</v>
      </c>
      <c r="BI383" s="61">
        <f t="shared" si="790"/>
        <v>0.88042630621263318</v>
      </c>
      <c r="BJ383" s="40">
        <v>134</v>
      </c>
      <c r="BK383" s="40">
        <v>7</v>
      </c>
      <c r="BL383" s="16">
        <v>3847</v>
      </c>
      <c r="BM383" s="16">
        <f t="shared" si="708"/>
        <v>460</v>
      </c>
      <c r="BN383" s="16">
        <v>3387</v>
      </c>
      <c r="BO383" s="16">
        <v>2029</v>
      </c>
      <c r="BP383" s="16">
        <f t="shared" si="791"/>
        <v>1358</v>
      </c>
      <c r="BQ383" s="40"/>
      <c r="BS383" s="240">
        <v>2024</v>
      </c>
      <c r="BT383" s="241" t="s">
        <v>41</v>
      </c>
      <c r="BU383" s="61">
        <f t="shared" si="792"/>
        <v>0.79627906976744189</v>
      </c>
      <c r="BV383" s="61">
        <f t="shared" si="793"/>
        <v>0.80830972615675167</v>
      </c>
      <c r="BW383" s="61">
        <f t="shared" si="794"/>
        <v>0.9851162790697674</v>
      </c>
      <c r="BX383" s="40">
        <v>81</v>
      </c>
      <c r="BY383" s="40">
        <v>7</v>
      </c>
      <c r="BZ383" s="16">
        <v>2150</v>
      </c>
      <c r="CA383" s="16">
        <f t="shared" si="713"/>
        <v>32</v>
      </c>
      <c r="CB383" s="16">
        <v>2118</v>
      </c>
      <c r="CC383" s="16">
        <v>1712</v>
      </c>
      <c r="CD383" s="16">
        <f t="shared" si="795"/>
        <v>406</v>
      </c>
      <c r="CE383" s="40"/>
      <c r="CG383" s="240">
        <v>2024</v>
      </c>
      <c r="CH383" s="241" t="s">
        <v>41</v>
      </c>
      <c r="CI383" s="61">
        <f t="shared" si="796"/>
        <v>0.66778336125069793</v>
      </c>
      <c r="CJ383" s="61">
        <f t="shared" si="797"/>
        <v>0.69333333333333336</v>
      </c>
      <c r="CK383" s="61">
        <f t="shared" si="798"/>
        <v>0.9631490787269682</v>
      </c>
      <c r="CL383" s="40">
        <v>67</v>
      </c>
      <c r="CM383" s="40">
        <v>7</v>
      </c>
      <c r="CN383" s="16">
        <v>1791</v>
      </c>
      <c r="CO383" s="16">
        <f t="shared" si="718"/>
        <v>66</v>
      </c>
      <c r="CP383" s="16">
        <v>1725</v>
      </c>
      <c r="CQ383" s="16">
        <v>1196</v>
      </c>
      <c r="CR383" s="16">
        <f t="shared" si="799"/>
        <v>529</v>
      </c>
      <c r="CS383" s="40"/>
      <c r="CU383" s="240">
        <v>2024</v>
      </c>
      <c r="CV383" s="241" t="s">
        <v>41</v>
      </c>
      <c r="CW383" s="61">
        <f t="shared" si="800"/>
        <v>0.92286751361161523</v>
      </c>
      <c r="CX383" s="61">
        <f t="shared" si="801"/>
        <v>0.95135640785781106</v>
      </c>
      <c r="CY383" s="61">
        <f t="shared" si="802"/>
        <v>0.97005444646098005</v>
      </c>
      <c r="CZ383" s="40">
        <v>37</v>
      </c>
      <c r="DA383" s="40">
        <v>3</v>
      </c>
      <c r="DB383" s="16">
        <v>1102</v>
      </c>
      <c r="DC383" s="16">
        <f t="shared" si="723"/>
        <v>33</v>
      </c>
      <c r="DD383" s="16">
        <v>1069</v>
      </c>
      <c r="DE383" s="16">
        <v>1017</v>
      </c>
      <c r="DF383" s="16">
        <f t="shared" si="803"/>
        <v>52</v>
      </c>
      <c r="DG383" s="40"/>
      <c r="DI383" s="240">
        <v>2024</v>
      </c>
      <c r="DJ383" s="241" t="s">
        <v>41</v>
      </c>
      <c r="DK383" s="61">
        <f t="shared" si="804"/>
        <v>0.83811475409836067</v>
      </c>
      <c r="DL383" s="61">
        <f t="shared" si="805"/>
        <v>0.90088105726872247</v>
      </c>
      <c r="DM383" s="61">
        <f t="shared" si="806"/>
        <v>0.93032786885245899</v>
      </c>
      <c r="DN383" s="40">
        <v>20</v>
      </c>
      <c r="DO383" s="40">
        <v>3</v>
      </c>
      <c r="DP383" s="16">
        <v>488</v>
      </c>
      <c r="DQ383" s="16">
        <f t="shared" si="689"/>
        <v>34</v>
      </c>
      <c r="DR383" s="16">
        <v>454</v>
      </c>
      <c r="DS383" s="16">
        <v>409</v>
      </c>
      <c r="DT383" s="16">
        <f t="shared" si="807"/>
        <v>45</v>
      </c>
      <c r="DU383" s="40"/>
      <c r="DW383" s="240">
        <v>2024</v>
      </c>
      <c r="DX383" s="241" t="s">
        <v>41</v>
      </c>
      <c r="DY383" s="61">
        <f t="shared" si="808"/>
        <v>0.7400651465798046</v>
      </c>
      <c r="DZ383" s="61">
        <f t="shared" si="809"/>
        <v>0.78888888888888886</v>
      </c>
      <c r="EA383" s="61">
        <f t="shared" si="810"/>
        <v>0.93811074918566772</v>
      </c>
      <c r="EB383" s="40">
        <v>57</v>
      </c>
      <c r="EC383" s="40">
        <v>3</v>
      </c>
      <c r="ED383" s="16">
        <v>1535</v>
      </c>
      <c r="EE383" s="16">
        <f t="shared" si="732"/>
        <v>95</v>
      </c>
      <c r="EF383" s="16">
        <v>1440</v>
      </c>
      <c r="EG383" s="16">
        <v>1136</v>
      </c>
      <c r="EH383" s="16">
        <f t="shared" si="811"/>
        <v>304</v>
      </c>
      <c r="EI383" s="40"/>
      <c r="EK383" s="240">
        <v>2024</v>
      </c>
      <c r="EL383" s="241" t="s">
        <v>41</v>
      </c>
      <c r="EM383" s="61">
        <f t="shared" si="812"/>
        <v>0.84166666666666667</v>
      </c>
      <c r="EN383" s="61">
        <f t="shared" si="813"/>
        <v>0.851123595505618</v>
      </c>
      <c r="EO383" s="61">
        <f t="shared" si="814"/>
        <v>0.98888888888888893</v>
      </c>
      <c r="EP383" s="40">
        <v>10</v>
      </c>
      <c r="EQ383" s="40">
        <v>3</v>
      </c>
      <c r="ER383" s="16">
        <v>360</v>
      </c>
      <c r="ES383" s="16">
        <f t="shared" si="672"/>
        <v>4</v>
      </c>
      <c r="ET383" s="16">
        <v>356</v>
      </c>
      <c r="EU383" s="16">
        <v>303</v>
      </c>
      <c r="EV383" s="16">
        <f t="shared" si="815"/>
        <v>53</v>
      </c>
      <c r="EW383" s="40"/>
      <c r="EY383" s="240">
        <v>2024</v>
      </c>
      <c r="EZ383" s="241" t="s">
        <v>41</v>
      </c>
      <c r="FA383" s="61">
        <f t="shared" si="816"/>
        <v>0.38829787234042551</v>
      </c>
      <c r="FB383" s="61">
        <f t="shared" si="817"/>
        <v>0.79347826086956519</v>
      </c>
      <c r="FC383" s="61">
        <f t="shared" si="818"/>
        <v>0.48936170212765956</v>
      </c>
      <c r="FD383" s="40">
        <v>8</v>
      </c>
      <c r="FE383" s="40">
        <v>3</v>
      </c>
      <c r="FF383" s="16">
        <v>188</v>
      </c>
      <c r="FG383" s="16">
        <f t="shared" si="741"/>
        <v>96</v>
      </c>
      <c r="FH383" s="16">
        <v>92</v>
      </c>
      <c r="FI383" s="16">
        <v>73</v>
      </c>
      <c r="FJ383" s="16">
        <f t="shared" si="819"/>
        <v>19</v>
      </c>
      <c r="FK383" s="40"/>
      <c r="FM383" s="240">
        <v>2024</v>
      </c>
      <c r="FN383" s="241" t="s">
        <v>41</v>
      </c>
      <c r="FO383" s="61">
        <f t="shared" si="820"/>
        <v>0.44148936170212766</v>
      </c>
      <c r="FP383" s="61">
        <f t="shared" si="821"/>
        <v>0.62878787878787878</v>
      </c>
      <c r="FQ383" s="61">
        <f t="shared" si="822"/>
        <v>0.7021276595744681</v>
      </c>
      <c r="FR383" s="40">
        <v>8</v>
      </c>
      <c r="FS383" s="40">
        <v>3</v>
      </c>
      <c r="FT383" s="16">
        <v>188</v>
      </c>
      <c r="FU383" s="16">
        <f t="shared" si="746"/>
        <v>56</v>
      </c>
      <c r="FV383" s="16">
        <v>132</v>
      </c>
      <c r="FW383" s="16">
        <v>83</v>
      </c>
      <c r="FX383" s="16">
        <f t="shared" si="823"/>
        <v>49</v>
      </c>
      <c r="FY383" s="40"/>
      <c r="GA383" s="240">
        <v>2024</v>
      </c>
      <c r="GB383" s="241" t="s">
        <v>41</v>
      </c>
      <c r="GC383" s="61">
        <f t="shared" si="824"/>
        <v>0.90810810810810816</v>
      </c>
      <c r="GD383" s="61">
        <f t="shared" si="825"/>
        <v>0.90810810810810816</v>
      </c>
      <c r="GE383" s="61">
        <f t="shared" si="826"/>
        <v>1</v>
      </c>
      <c r="GF383" s="40">
        <v>26</v>
      </c>
      <c r="GG383" s="40">
        <v>1</v>
      </c>
      <c r="GH383" s="16">
        <v>370</v>
      </c>
      <c r="GI383" s="16">
        <f t="shared" si="751"/>
        <v>0</v>
      </c>
      <c r="GJ383" s="16">
        <v>370</v>
      </c>
      <c r="GK383" s="16">
        <v>336</v>
      </c>
      <c r="GL383" s="16">
        <f t="shared" si="827"/>
        <v>34</v>
      </c>
      <c r="GM383" s="40"/>
    </row>
    <row r="384" spans="1:195" s="18" customFormat="1" ht="15" customHeight="1">
      <c r="A384" s="244">
        <v>2024</v>
      </c>
      <c r="B384" s="245" t="s">
        <v>42</v>
      </c>
      <c r="C384" s="15">
        <f t="shared" ref="C384" si="840">K384/H384</f>
        <v>0.77809582525982035</v>
      </c>
      <c r="D384" s="15">
        <f t="shared" ref="D384" si="841">K384/J384</f>
        <v>0.81763072651550206</v>
      </c>
      <c r="E384" s="15">
        <f t="shared" ref="E384" si="842">J384/H384</f>
        <v>0.95164699665316188</v>
      </c>
      <c r="F384"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795</v>
      </c>
      <c r="G384"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6.1962980101804721</v>
      </c>
      <c r="H384" s="16">
        <f>+V384+AX384+BL384+CN384+DB384+DP384+ED384+BZ384+ER384+ROC_Ca_Mo[[#This Row],[Trenes Programados]]+ROC_Ca_Lo[[#This Row],[Trenes Programados]]+ROC_T_Un_LP[[#This Row],[Trenes Programados]]</f>
        <v>22708</v>
      </c>
      <c r="I384" s="16">
        <f t="shared" ref="I384" si="843">H384-J384</f>
        <v>1098</v>
      </c>
      <c r="J384" s="16">
        <f>+X384+AZ384+BN384+CP384+DD384+DR384+EF384+CB384+ET384+ROC_Ca_Mo[[#This Row],[Trenes Corridos]]+ROC_Ca_Lo[[#This Row],[Trenes Corridos]]+ROC_T_Un_LP[[#This Row],[Trenes Corridos]]</f>
        <v>21610</v>
      </c>
      <c r="K384" s="16">
        <f>+Y384+BA384+BO384+CQ384+DE384+DS384+EG384+CC384+EU384+ROC_Ca_Mo[[#This Row],[Trenes Puntuales]]+ROC_Ca_Lo[[#This Row],[Trenes Puntuales]]+ROC_T_Un_LP[[#This Row],[Trenes Puntuales]]</f>
        <v>17669</v>
      </c>
      <c r="L384" s="16">
        <f t="shared" ref="L384" si="844">J384-K384</f>
        <v>3941</v>
      </c>
      <c r="M384" s="142"/>
      <c r="O384" s="244">
        <v>2024</v>
      </c>
      <c r="P384" s="245" t="s">
        <v>42</v>
      </c>
      <c r="Q384" s="61">
        <f>Y384/V384</f>
        <v>0.8531118671202722</v>
      </c>
      <c r="R384" s="61">
        <f>Y384/X384</f>
        <v>0.87464095199015179</v>
      </c>
      <c r="S384" s="61">
        <f>X384/V384</f>
        <v>0.97538523113868325</v>
      </c>
      <c r="T384" s="40">
        <v>181</v>
      </c>
      <c r="U384" s="40">
        <v>7</v>
      </c>
      <c r="V384" s="16">
        <v>4997</v>
      </c>
      <c r="W384" s="16">
        <f t="shared" si="698"/>
        <v>123</v>
      </c>
      <c r="X384" s="16">
        <v>4874</v>
      </c>
      <c r="Y384" s="16">
        <v>4263</v>
      </c>
      <c r="Z384" s="16">
        <f>X384-Y384</f>
        <v>611</v>
      </c>
      <c r="AA384" s="40"/>
      <c r="AC384" s="249"/>
      <c r="AD384" s="250"/>
      <c r="AE384" s="218"/>
      <c r="AF384" s="218"/>
      <c r="AG384" s="218"/>
      <c r="AH384" s="239"/>
      <c r="AI384" s="239"/>
      <c r="AJ384" s="217"/>
      <c r="AK384" s="217"/>
      <c r="AL384" s="217"/>
      <c r="AM384" s="217"/>
      <c r="AN384" s="217"/>
      <c r="AO384" s="217"/>
      <c r="AQ384" s="244">
        <v>2024</v>
      </c>
      <c r="AR384" s="245" t="s">
        <v>42</v>
      </c>
      <c r="AS384" s="61">
        <f>BA384/AX384</f>
        <v>0.93428100535640712</v>
      </c>
      <c r="AT384" s="61">
        <f>BA384/AZ384</f>
        <v>0.94795150501672243</v>
      </c>
      <c r="AU384" s="61">
        <f>AZ384/AX384</f>
        <v>0.98557890399670378</v>
      </c>
      <c r="AV384" s="40">
        <v>174</v>
      </c>
      <c r="AW384" s="40">
        <v>7</v>
      </c>
      <c r="AX384" s="16">
        <v>4854</v>
      </c>
      <c r="AY384" s="16">
        <f t="shared" si="703"/>
        <v>70</v>
      </c>
      <c r="AZ384" s="16">
        <v>4784</v>
      </c>
      <c r="BA384" s="16">
        <v>4535</v>
      </c>
      <c r="BB384" s="16">
        <f>AZ384-BA384</f>
        <v>249</v>
      </c>
      <c r="BC384" s="40"/>
      <c r="BE384" s="244">
        <v>2024</v>
      </c>
      <c r="BF384" s="245" t="s">
        <v>42</v>
      </c>
      <c r="BG384" s="61">
        <f>BO384/BL384</f>
        <v>0.52231036192364899</v>
      </c>
      <c r="BH384" s="61">
        <f>BO384/BN384</f>
        <v>0.57038440714672445</v>
      </c>
      <c r="BI384" s="61">
        <f>BN384/BL384</f>
        <v>0.91571641051065944</v>
      </c>
      <c r="BJ384" s="40">
        <v>134</v>
      </c>
      <c r="BK384" s="40">
        <v>7</v>
      </c>
      <c r="BL384" s="16">
        <v>4034</v>
      </c>
      <c r="BM384" s="16">
        <f t="shared" si="708"/>
        <v>340</v>
      </c>
      <c r="BN384" s="16">
        <v>3694</v>
      </c>
      <c r="BO384" s="16">
        <v>2107</v>
      </c>
      <c r="BP384" s="16">
        <f>BN384-BO384</f>
        <v>1587</v>
      </c>
      <c r="BQ384" s="40"/>
      <c r="BS384" s="244">
        <v>2024</v>
      </c>
      <c r="BT384" s="245" t="s">
        <v>42</v>
      </c>
      <c r="BU384" s="61">
        <f>CC384/BZ384</f>
        <v>0.86002576212966941</v>
      </c>
      <c r="BV384" s="61">
        <f>CC384/CB384</f>
        <v>0.87314734088927637</v>
      </c>
      <c r="BW384" s="61">
        <f>CB384/BZ384</f>
        <v>0.98497209102619154</v>
      </c>
      <c r="BX384" s="40">
        <v>81</v>
      </c>
      <c r="BY384" s="40">
        <v>7</v>
      </c>
      <c r="BZ384" s="16">
        <v>2329</v>
      </c>
      <c r="CA384" s="16">
        <f t="shared" si="713"/>
        <v>35</v>
      </c>
      <c r="CB384" s="16">
        <v>2294</v>
      </c>
      <c r="CC384" s="16">
        <v>2003</v>
      </c>
      <c r="CD384" s="16">
        <f>CB384-CC384</f>
        <v>291</v>
      </c>
      <c r="CE384" s="40"/>
      <c r="CG384" s="244">
        <v>2024</v>
      </c>
      <c r="CH384" s="245" t="s">
        <v>42</v>
      </c>
      <c r="CI384" s="61">
        <f>CQ384/CN384</f>
        <v>0.68304033092037231</v>
      </c>
      <c r="CJ384" s="61">
        <f>CQ384/CP384</f>
        <v>0.71521386031402279</v>
      </c>
      <c r="CK384" s="61">
        <f>CP384/CN384</f>
        <v>0.95501551189245093</v>
      </c>
      <c r="CL384" s="40">
        <v>67</v>
      </c>
      <c r="CM384" s="40">
        <v>7</v>
      </c>
      <c r="CN384" s="16">
        <v>1934</v>
      </c>
      <c r="CO384" s="16">
        <f t="shared" si="718"/>
        <v>87</v>
      </c>
      <c r="CP384" s="16">
        <v>1847</v>
      </c>
      <c r="CQ384" s="16">
        <v>1321</v>
      </c>
      <c r="CR384" s="16">
        <f>CP384-CQ384</f>
        <v>526</v>
      </c>
      <c r="CS384" s="40"/>
      <c r="CU384" s="244">
        <v>2024</v>
      </c>
      <c r="CV384" s="245" t="s">
        <v>42</v>
      </c>
      <c r="CW384" s="61">
        <f>DE384/DB384</f>
        <v>0.90367775831873909</v>
      </c>
      <c r="CX384" s="61">
        <f>DE384/DD384</f>
        <v>0.94505494505494503</v>
      </c>
      <c r="CY384" s="61">
        <f>DD384/DB384</f>
        <v>0.95621716287215408</v>
      </c>
      <c r="CZ384" s="40">
        <v>37</v>
      </c>
      <c r="DA384" s="40">
        <v>3</v>
      </c>
      <c r="DB384" s="16">
        <v>1142</v>
      </c>
      <c r="DC384" s="16">
        <f t="shared" si="723"/>
        <v>50</v>
      </c>
      <c r="DD384" s="16">
        <v>1092</v>
      </c>
      <c r="DE384" s="16">
        <v>1032</v>
      </c>
      <c r="DF384" s="16">
        <f>DD384-DE384</f>
        <v>60</v>
      </c>
      <c r="DG384" s="40"/>
      <c r="DI384" s="244">
        <v>2024</v>
      </c>
      <c r="DJ384" s="245" t="s">
        <v>42</v>
      </c>
      <c r="DK384" s="61">
        <f>DS384/DP384</f>
        <v>0.58237547892720309</v>
      </c>
      <c r="DL384" s="61">
        <f>DS384/DR384</f>
        <v>0.73253012048192767</v>
      </c>
      <c r="DM384" s="61">
        <f>DR384/DP384</f>
        <v>0.79501915708812265</v>
      </c>
      <c r="DN384" s="40">
        <v>18</v>
      </c>
      <c r="DO384" s="40">
        <v>3</v>
      </c>
      <c r="DP384" s="16">
        <v>522</v>
      </c>
      <c r="DQ384" s="16">
        <f t="shared" si="689"/>
        <v>107</v>
      </c>
      <c r="DR384" s="16">
        <v>415</v>
      </c>
      <c r="DS384" s="16">
        <v>304</v>
      </c>
      <c r="DT384" s="16">
        <f>DR384-DS384</f>
        <v>111</v>
      </c>
      <c r="DU384" s="40"/>
      <c r="DW384" s="244">
        <v>2024</v>
      </c>
      <c r="DX384" s="245" t="s">
        <v>42</v>
      </c>
      <c r="DY384" s="61">
        <f>EG384/ED384</f>
        <v>0.72572815533980584</v>
      </c>
      <c r="DZ384" s="61">
        <f>EG384/EF384</f>
        <v>0.77111540941328172</v>
      </c>
      <c r="EA384" s="61">
        <f>EF384/ED384</f>
        <v>0.94114077669902918</v>
      </c>
      <c r="EB384" s="40">
        <v>57</v>
      </c>
      <c r="EC384" s="40">
        <v>3</v>
      </c>
      <c r="ED384" s="16">
        <v>1648</v>
      </c>
      <c r="EE384" s="16">
        <f t="shared" si="732"/>
        <v>97</v>
      </c>
      <c r="EF384" s="16">
        <v>1551</v>
      </c>
      <c r="EG384" s="16">
        <v>1196</v>
      </c>
      <c r="EH384" s="16">
        <f>EF384-EG384</f>
        <v>355</v>
      </c>
      <c r="EI384" s="40"/>
      <c r="EK384" s="244">
        <v>2024</v>
      </c>
      <c r="EL384" s="245" t="s">
        <v>42</v>
      </c>
      <c r="EM384" s="61">
        <f>EU384/ER384</f>
        <v>0.87096774193548387</v>
      </c>
      <c r="EN384" s="61">
        <f>EU384/ET384</f>
        <v>0.87567567567567572</v>
      </c>
      <c r="EO384" s="61">
        <f>ET384/ER384</f>
        <v>0.9946236559139785</v>
      </c>
      <c r="EP384" s="40">
        <v>12</v>
      </c>
      <c r="EQ384" s="40">
        <v>3</v>
      </c>
      <c r="ER384" s="16">
        <v>372</v>
      </c>
      <c r="ES384" s="16">
        <f t="shared" si="672"/>
        <v>2</v>
      </c>
      <c r="ET384" s="16">
        <v>370</v>
      </c>
      <c r="EU384" s="16">
        <v>324</v>
      </c>
      <c r="EV384" s="16">
        <f>ET384-EU384</f>
        <v>46</v>
      </c>
      <c r="EW384" s="40"/>
      <c r="EY384" s="244">
        <v>2024</v>
      </c>
      <c r="EZ384" s="245" t="s">
        <v>42</v>
      </c>
      <c r="FA384" s="61">
        <f>FI384/FF384</f>
        <v>0.14150943396226415</v>
      </c>
      <c r="FB384" s="61">
        <f>FI384/FH384</f>
        <v>0.90909090909090906</v>
      </c>
      <c r="FC384" s="61">
        <f>FH384/FF384</f>
        <v>0.15566037735849056</v>
      </c>
      <c r="FD384" s="40">
        <v>8</v>
      </c>
      <c r="FE384" s="40">
        <v>3</v>
      </c>
      <c r="FF384" s="16">
        <v>212</v>
      </c>
      <c r="FG384" s="16">
        <f t="shared" si="741"/>
        <v>179</v>
      </c>
      <c r="FH384" s="16">
        <v>33</v>
      </c>
      <c r="FI384" s="16">
        <v>30</v>
      </c>
      <c r="FJ384" s="16">
        <f>FH384-FI384</f>
        <v>3</v>
      </c>
      <c r="FK384" s="40"/>
      <c r="FM384" s="244">
        <v>2024</v>
      </c>
      <c r="FN384" s="245" t="s">
        <v>42</v>
      </c>
      <c r="FO384" s="61">
        <f>FW384/FT384</f>
        <v>0.60849056603773588</v>
      </c>
      <c r="FP384" s="61">
        <f>FW384/FV384</f>
        <v>0.62621359223300976</v>
      </c>
      <c r="FQ384" s="61">
        <f>FV384/FT384</f>
        <v>0.97169811320754718</v>
      </c>
      <c r="FR384" s="40">
        <v>8</v>
      </c>
      <c r="FS384" s="40">
        <v>3</v>
      </c>
      <c r="FT384" s="16">
        <v>212</v>
      </c>
      <c r="FU384" s="16">
        <f t="shared" si="746"/>
        <v>6</v>
      </c>
      <c r="FV384" s="16">
        <v>206</v>
      </c>
      <c r="FW384" s="16">
        <v>129</v>
      </c>
      <c r="FX384" s="16">
        <f>FV384-FW384</f>
        <v>77</v>
      </c>
      <c r="FY384" s="40"/>
      <c r="GA384" s="244">
        <v>2024</v>
      </c>
      <c r="GB384" s="245" t="s">
        <v>42</v>
      </c>
      <c r="GC384" s="61">
        <f>GK384/GH384</f>
        <v>0.94026548672566368</v>
      </c>
      <c r="GD384" s="61">
        <f>GK384/GJ384</f>
        <v>0.94444444444444442</v>
      </c>
      <c r="GE384" s="61">
        <f>GJ384/GH384</f>
        <v>0.99557522123893805</v>
      </c>
      <c r="GF384" s="40">
        <v>18</v>
      </c>
      <c r="GG384" s="40">
        <v>1</v>
      </c>
      <c r="GH384" s="16">
        <v>452</v>
      </c>
      <c r="GI384" s="16">
        <f t="shared" si="751"/>
        <v>2</v>
      </c>
      <c r="GJ384" s="16">
        <v>450</v>
      </c>
      <c r="GK384" s="16">
        <v>425</v>
      </c>
      <c r="GL384" s="16">
        <f>GJ384-GK384</f>
        <v>25</v>
      </c>
      <c r="GM384" s="40"/>
    </row>
    <row r="385" spans="1:195" s="18" customFormat="1" ht="15" customHeight="1">
      <c r="A385" s="244">
        <v>2024</v>
      </c>
      <c r="B385" s="235" t="s">
        <v>43</v>
      </c>
      <c r="C385" s="15">
        <f t="shared" ref="C385" si="845">K385/H385</f>
        <v>0.69509078089194432</v>
      </c>
      <c r="D385" s="15">
        <f t="shared" ref="D385" si="846">K385/J385</f>
        <v>0.73107763615295485</v>
      </c>
      <c r="E385" s="15">
        <f t="shared" ref="E385" si="847">J385/H385</f>
        <v>0.95077560373699987</v>
      </c>
      <c r="F385"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795</v>
      </c>
      <c r="G385"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6.1810892236384705</v>
      </c>
      <c r="H385" s="16">
        <f>+V385+AX385+BL385+CN385+DB385+DP385+ED385+BZ385+ER385+ROC_Ca_Mo[[#This Row],[Trenes Programados]]+ROC_Ca_Lo[[#This Row],[Trenes Programados]]+ROC_T_Un_LP[[#This Row],[Trenes Programados]]</f>
        <v>22692</v>
      </c>
      <c r="I385" s="16">
        <f t="shared" ref="I385" si="848">H385-J385</f>
        <v>1117</v>
      </c>
      <c r="J385" s="16">
        <f>+X385+AZ385+BN385+CP385+DD385+DR385+EF385+CB385+ET385+ROC_Ca_Mo[[#This Row],[Trenes Corridos]]+ROC_Ca_Lo[[#This Row],[Trenes Corridos]]+ROC_T_Un_LP[[#This Row],[Trenes Corridos]]</f>
        <v>21575</v>
      </c>
      <c r="K385" s="16">
        <f>+Y385+BA385+BO385+CQ385+DE385+DS385+EG385+CC385+EU385+ROC_Ca_Mo[[#This Row],[Trenes Puntuales]]+ROC_Ca_Lo[[#This Row],[Trenes Puntuales]]+ROC_T_Un_LP[[#This Row],[Trenes Puntuales]]</f>
        <v>15773</v>
      </c>
      <c r="L385" s="16">
        <f t="shared" ref="L385" si="849">J385-K385</f>
        <v>5802</v>
      </c>
      <c r="M385" s="142"/>
      <c r="O385" s="244">
        <v>2024</v>
      </c>
      <c r="P385" s="235" t="s">
        <v>43</v>
      </c>
      <c r="Q385" s="61">
        <f>Y385/V385</f>
        <v>0.72743646187712629</v>
      </c>
      <c r="R385" s="61">
        <f>Y385/X385</f>
        <v>0.75072284180090876</v>
      </c>
      <c r="S385" s="61">
        <f>X385/V385</f>
        <v>0.96898138883329998</v>
      </c>
      <c r="T385" s="40">
        <v>181</v>
      </c>
      <c r="U385" s="40">
        <v>7</v>
      </c>
      <c r="V385" s="16">
        <v>4997</v>
      </c>
      <c r="W385" s="16">
        <f t="shared" si="698"/>
        <v>155</v>
      </c>
      <c r="X385" s="16">
        <v>4842</v>
      </c>
      <c r="Y385" s="16">
        <v>3635</v>
      </c>
      <c r="Z385" s="16">
        <f>X385-Y385</f>
        <v>1207</v>
      </c>
      <c r="AA385" s="40"/>
      <c r="AC385" s="274"/>
      <c r="AD385" s="275"/>
      <c r="AE385" s="218"/>
      <c r="AF385" s="218"/>
      <c r="AG385" s="218"/>
      <c r="AH385" s="239"/>
      <c r="AI385" s="239"/>
      <c r="AJ385" s="217"/>
      <c r="AK385" s="217"/>
      <c r="AL385" s="217"/>
      <c r="AM385" s="217"/>
      <c r="AN385" s="217"/>
      <c r="AO385" s="217"/>
      <c r="AQ385" s="244">
        <v>2024</v>
      </c>
      <c r="AR385" s="235" t="s">
        <v>43</v>
      </c>
      <c r="AS385" s="61">
        <f>BA385/AX385</f>
        <v>0.82668585526315785</v>
      </c>
      <c r="AT385" s="61">
        <f>BA385/AZ385</f>
        <v>0.86250536250536247</v>
      </c>
      <c r="AU385" s="61">
        <f>AZ385/AX385</f>
        <v>0.95847039473684215</v>
      </c>
      <c r="AV385" s="40">
        <v>174</v>
      </c>
      <c r="AW385" s="40">
        <v>7</v>
      </c>
      <c r="AX385" s="16">
        <v>4864</v>
      </c>
      <c r="AY385" s="16">
        <f t="shared" si="703"/>
        <v>202</v>
      </c>
      <c r="AZ385" s="16">
        <v>4662</v>
      </c>
      <c r="BA385" s="16">
        <v>4021</v>
      </c>
      <c r="BB385" s="16">
        <f>AZ385-BA385</f>
        <v>641</v>
      </c>
      <c r="BC385" s="40"/>
      <c r="BE385" s="244">
        <v>2024</v>
      </c>
      <c r="BF385" s="235" t="s">
        <v>43</v>
      </c>
      <c r="BG385" s="61">
        <f>BO385/BL385</f>
        <v>0.44117647058823528</v>
      </c>
      <c r="BH385" s="61">
        <f>BO385/BN385</f>
        <v>0.46578947368421053</v>
      </c>
      <c r="BI385" s="61">
        <f>BN385/BL385</f>
        <v>0.94715852442671988</v>
      </c>
      <c r="BJ385" s="40">
        <v>134</v>
      </c>
      <c r="BK385" s="40">
        <v>7</v>
      </c>
      <c r="BL385" s="16">
        <v>4012</v>
      </c>
      <c r="BM385" s="16">
        <f t="shared" si="708"/>
        <v>212</v>
      </c>
      <c r="BN385" s="16">
        <v>3800</v>
      </c>
      <c r="BO385" s="16">
        <v>1770</v>
      </c>
      <c r="BP385" s="16">
        <f>BN385-BO385</f>
        <v>2030</v>
      </c>
      <c r="BQ385" s="40"/>
      <c r="BS385" s="244">
        <v>2024</v>
      </c>
      <c r="BT385" s="235" t="s">
        <v>43</v>
      </c>
      <c r="BU385" s="61">
        <f>CC385/BZ385</f>
        <v>0.75505811450710292</v>
      </c>
      <c r="BV385" s="61">
        <f>CC385/CB385</f>
        <v>0.76694359422824665</v>
      </c>
      <c r="BW385" s="61">
        <f>CB385/BZ385</f>
        <v>0.98450279810589758</v>
      </c>
      <c r="BX385" s="40">
        <v>81</v>
      </c>
      <c r="BY385" s="40">
        <v>7</v>
      </c>
      <c r="BZ385" s="16">
        <v>2323</v>
      </c>
      <c r="CA385" s="16">
        <f t="shared" si="713"/>
        <v>36</v>
      </c>
      <c r="CB385" s="16">
        <v>2287</v>
      </c>
      <c r="CC385" s="16">
        <v>1754</v>
      </c>
      <c r="CD385" s="16">
        <f>CB385-CC385</f>
        <v>533</v>
      </c>
      <c r="CE385" s="40"/>
      <c r="CG385" s="244">
        <v>2024</v>
      </c>
      <c r="CH385" s="235" t="s">
        <v>43</v>
      </c>
      <c r="CI385" s="61">
        <f>CQ385/CN385</f>
        <v>0.5604963805584281</v>
      </c>
      <c r="CJ385" s="61">
        <f>CQ385/CP385</f>
        <v>0.60457334076965974</v>
      </c>
      <c r="CK385" s="61">
        <f>CP385/CN385</f>
        <v>0.92709410548086868</v>
      </c>
      <c r="CL385" s="40">
        <v>67</v>
      </c>
      <c r="CM385" s="40">
        <v>7</v>
      </c>
      <c r="CN385" s="16">
        <v>1934</v>
      </c>
      <c r="CO385" s="16">
        <f t="shared" si="718"/>
        <v>141</v>
      </c>
      <c r="CP385" s="16">
        <v>1793</v>
      </c>
      <c r="CQ385" s="16">
        <v>1084</v>
      </c>
      <c r="CR385" s="16">
        <f>CP385-CQ385</f>
        <v>709</v>
      </c>
      <c r="CS385" s="40"/>
      <c r="CU385" s="244">
        <v>2024</v>
      </c>
      <c r="CV385" s="235" t="s">
        <v>43</v>
      </c>
      <c r="CW385" s="61">
        <f>DE385/DB385</f>
        <v>0.84325744308231176</v>
      </c>
      <c r="CX385" s="61">
        <f>DE385/DD385</f>
        <v>0.90763430725730443</v>
      </c>
      <c r="CY385" s="61">
        <f>DD385/DB385</f>
        <v>0.92907180385288968</v>
      </c>
      <c r="CZ385" s="40">
        <v>37</v>
      </c>
      <c r="DA385" s="40">
        <v>3</v>
      </c>
      <c r="DB385" s="16">
        <v>1142</v>
      </c>
      <c r="DC385" s="16">
        <f t="shared" si="723"/>
        <v>81</v>
      </c>
      <c r="DD385" s="16">
        <v>1061</v>
      </c>
      <c r="DE385" s="16">
        <v>963</v>
      </c>
      <c r="DF385" s="16">
        <f>DD385-DE385</f>
        <v>98</v>
      </c>
      <c r="DG385" s="40"/>
      <c r="DI385" s="244">
        <v>2024</v>
      </c>
      <c r="DJ385" s="235" t="s">
        <v>43</v>
      </c>
      <c r="DK385" s="61">
        <f>DS385/DP385</f>
        <v>0.69157088122605359</v>
      </c>
      <c r="DL385" s="61">
        <f>DS385/DR385</f>
        <v>0.76645435244161364</v>
      </c>
      <c r="DM385" s="61">
        <f>DR385/DP385</f>
        <v>0.9022988505747126</v>
      </c>
      <c r="DN385" s="40">
        <v>18</v>
      </c>
      <c r="DO385" s="40">
        <v>3</v>
      </c>
      <c r="DP385" s="16">
        <v>522</v>
      </c>
      <c r="DQ385" s="16">
        <f t="shared" si="689"/>
        <v>51</v>
      </c>
      <c r="DR385" s="16">
        <v>471</v>
      </c>
      <c r="DS385" s="16">
        <v>361</v>
      </c>
      <c r="DT385" s="16">
        <f>DR385-DS385</f>
        <v>110</v>
      </c>
      <c r="DU385" s="40"/>
      <c r="DW385" s="244">
        <v>2024</v>
      </c>
      <c r="DX385" s="235" t="s">
        <v>43</v>
      </c>
      <c r="DY385" s="61">
        <f>EG385/ED385</f>
        <v>0.74909090909090914</v>
      </c>
      <c r="DZ385" s="61">
        <f>EG385/EF385</f>
        <v>0.80259740259740264</v>
      </c>
      <c r="EA385" s="61">
        <f>EF385/ED385</f>
        <v>0.93333333333333335</v>
      </c>
      <c r="EB385" s="40">
        <v>57</v>
      </c>
      <c r="EC385" s="40">
        <v>3</v>
      </c>
      <c r="ED385" s="16">
        <v>1650</v>
      </c>
      <c r="EE385" s="16">
        <f t="shared" si="732"/>
        <v>110</v>
      </c>
      <c r="EF385" s="16">
        <v>1540</v>
      </c>
      <c r="EG385" s="16">
        <v>1236</v>
      </c>
      <c r="EH385" s="16">
        <f>EF385-EG385</f>
        <v>304</v>
      </c>
      <c r="EI385" s="40"/>
      <c r="EK385" s="244">
        <v>2024</v>
      </c>
      <c r="EL385" s="235" t="s">
        <v>43</v>
      </c>
      <c r="EM385" s="61">
        <f>EU385/ER385</f>
        <v>0.79838709677419351</v>
      </c>
      <c r="EN385" s="61">
        <f>EU385/ET385</f>
        <v>0.81369863013698629</v>
      </c>
      <c r="EO385" s="61">
        <f>ET385/ER385</f>
        <v>0.98118279569892475</v>
      </c>
      <c r="EP385" s="40">
        <v>12</v>
      </c>
      <c r="EQ385" s="40">
        <v>3</v>
      </c>
      <c r="ER385" s="16">
        <v>372</v>
      </c>
      <c r="ES385" s="16">
        <f t="shared" si="672"/>
        <v>7</v>
      </c>
      <c r="ET385" s="16">
        <v>365</v>
      </c>
      <c r="EU385" s="16">
        <v>297</v>
      </c>
      <c r="EV385" s="16">
        <f>ET385-EU385</f>
        <v>68</v>
      </c>
      <c r="EW385" s="40"/>
      <c r="EY385" s="244">
        <v>2024</v>
      </c>
      <c r="EZ385" s="235" t="s">
        <v>43</v>
      </c>
      <c r="FA385" s="61">
        <f>FI385/FF385</f>
        <v>0.43396226415094341</v>
      </c>
      <c r="FB385" s="61">
        <f>FI385/FH385</f>
        <v>0.85185185185185186</v>
      </c>
      <c r="FC385" s="61">
        <f>FH385/FF385</f>
        <v>0.50943396226415094</v>
      </c>
      <c r="FD385" s="40">
        <v>8</v>
      </c>
      <c r="FE385" s="40">
        <v>3</v>
      </c>
      <c r="FF385" s="16">
        <v>212</v>
      </c>
      <c r="FG385" s="16">
        <f t="shared" si="741"/>
        <v>104</v>
      </c>
      <c r="FH385" s="16">
        <v>108</v>
      </c>
      <c r="FI385" s="16">
        <v>92</v>
      </c>
      <c r="FJ385" s="16">
        <f>FH385-FI385</f>
        <v>16</v>
      </c>
      <c r="FK385" s="40"/>
      <c r="FM385" s="244">
        <v>2024</v>
      </c>
      <c r="FN385" s="235" t="s">
        <v>43</v>
      </c>
      <c r="FO385" s="61">
        <f>FW385/FT385</f>
        <v>0.60377358490566035</v>
      </c>
      <c r="FP385" s="61">
        <f>FW385/FV385</f>
        <v>0.65979381443298968</v>
      </c>
      <c r="FQ385" s="61">
        <f>FV385/FT385</f>
        <v>0.91509433962264153</v>
      </c>
      <c r="FR385" s="40">
        <v>8</v>
      </c>
      <c r="FS385" s="40">
        <v>3</v>
      </c>
      <c r="FT385" s="16">
        <v>212</v>
      </c>
      <c r="FU385" s="16">
        <f t="shared" si="746"/>
        <v>18</v>
      </c>
      <c r="FV385" s="16">
        <v>194</v>
      </c>
      <c r="FW385" s="16">
        <v>128</v>
      </c>
      <c r="FX385" s="16">
        <f>FV385-FW385</f>
        <v>66</v>
      </c>
      <c r="FY385" s="40"/>
      <c r="GA385" s="244">
        <v>2024</v>
      </c>
      <c r="GB385" s="235" t="s">
        <v>43</v>
      </c>
      <c r="GC385" s="61">
        <f>GK385/GH385</f>
        <v>0.95575221238938057</v>
      </c>
      <c r="GD385" s="61">
        <f>GK385/GJ385</f>
        <v>0.95575221238938057</v>
      </c>
      <c r="GE385" s="61">
        <f>GJ385/GH385</f>
        <v>1</v>
      </c>
      <c r="GF385" s="40">
        <v>18</v>
      </c>
      <c r="GG385" s="40">
        <v>1</v>
      </c>
      <c r="GH385" s="16">
        <v>452</v>
      </c>
      <c r="GI385" s="16">
        <f t="shared" si="751"/>
        <v>0</v>
      </c>
      <c r="GJ385" s="16">
        <v>452</v>
      </c>
      <c r="GK385" s="16">
        <v>432</v>
      </c>
      <c r="GL385" s="16">
        <f>GJ385-GK385</f>
        <v>20</v>
      </c>
      <c r="GM385" s="40"/>
    </row>
    <row r="386" spans="1:195" s="18" customFormat="1" ht="15" customHeight="1">
      <c r="A386" s="244">
        <v>2024</v>
      </c>
      <c r="B386" s="235" t="s">
        <v>44</v>
      </c>
      <c r="C386" s="15">
        <f t="shared" ref="C386" si="850">K386/H386</f>
        <v>0.82250627710568358</v>
      </c>
      <c r="D386" s="15">
        <f t="shared" ref="D386" si="851">K386/J386</f>
        <v>0.86226369944962911</v>
      </c>
      <c r="E386" s="15">
        <f t="shared" ref="E386" si="852">J386/H386</f>
        <v>0.953891805523853</v>
      </c>
      <c r="F386"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793</v>
      </c>
      <c r="G386"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6.1682220626944249</v>
      </c>
      <c r="H386" s="16">
        <f>+V386+AX386+BL386+CN386+DB386+DP386+ED386+BZ386+ER386+ROC_Ca_Mo[[#This Row],[Trenes Programados]]+ROC_Ca_Lo[[#This Row],[Trenes Programados]]+ROC_T_Un_LP[[#This Row],[Trenes Programados]]</f>
        <v>21905</v>
      </c>
      <c r="I386" s="16">
        <f t="shared" ref="I386" si="853">H386-J386</f>
        <v>1010</v>
      </c>
      <c r="J386" s="16">
        <f>+X386+AZ386+BN386+CP386+DD386+DR386+EF386+CB386+ET386+ROC_Ca_Mo[[#This Row],[Trenes Corridos]]+ROC_Ca_Lo[[#This Row],[Trenes Corridos]]+ROC_T_Un_LP[[#This Row],[Trenes Corridos]]</f>
        <v>20895</v>
      </c>
      <c r="K386" s="16">
        <f>+Y386+BA386+BO386+CQ386+DE386+DS386+EG386+CC386+EU386+ROC_Ca_Mo[[#This Row],[Trenes Puntuales]]+ROC_Ca_Lo[[#This Row],[Trenes Puntuales]]+ROC_T_Un_LP[[#This Row],[Trenes Puntuales]]</f>
        <v>18017</v>
      </c>
      <c r="L386" s="16">
        <f t="shared" ref="L386" si="854">J386-K386</f>
        <v>2878</v>
      </c>
      <c r="M386" s="142"/>
      <c r="O386" s="234"/>
      <c r="P386" s="234"/>
      <c r="Q386" s="61">
        <f>Y386/V386</f>
        <v>0.8569055036344756</v>
      </c>
      <c r="R386" s="61">
        <f>Y386/X386</f>
        <v>0.88407970859224339</v>
      </c>
      <c r="S386" s="61">
        <f>X386/V386</f>
        <v>0.96926272066458985</v>
      </c>
      <c r="T386" s="40">
        <v>181</v>
      </c>
      <c r="U386" s="40">
        <v>7</v>
      </c>
      <c r="V386" s="16">
        <v>4815</v>
      </c>
      <c r="W386" s="16">
        <f t="shared" si="698"/>
        <v>148</v>
      </c>
      <c r="X386" s="16">
        <v>4667</v>
      </c>
      <c r="Y386" s="16">
        <v>4126</v>
      </c>
      <c r="Z386" s="16">
        <f>X386-Y386</f>
        <v>541</v>
      </c>
      <c r="AA386" s="40"/>
      <c r="AC386" s="290"/>
      <c r="AD386" s="291"/>
      <c r="AE386" s="218"/>
      <c r="AF386" s="218"/>
      <c r="AG386" s="218"/>
      <c r="AH386" s="239"/>
      <c r="AI386" s="239"/>
      <c r="AJ386" s="217"/>
      <c r="AK386" s="217"/>
      <c r="AL386" s="217"/>
      <c r="AM386" s="217"/>
      <c r="AN386" s="217"/>
      <c r="AO386" s="217"/>
      <c r="AQ386" s="234"/>
      <c r="AR386" s="234"/>
      <c r="AS386" s="61">
        <f>BA386/AX386</f>
        <v>0.93046075085324231</v>
      </c>
      <c r="AT386" s="61">
        <f>BA386/AZ386</f>
        <v>0.95115569123419097</v>
      </c>
      <c r="AU386" s="61">
        <f>AZ386/AX386</f>
        <v>0.97824232081911267</v>
      </c>
      <c r="AV386" s="40">
        <v>174</v>
      </c>
      <c r="AW386" s="40">
        <v>7</v>
      </c>
      <c r="AX386" s="16">
        <v>4688</v>
      </c>
      <c r="AY386" s="16">
        <f t="shared" si="703"/>
        <v>102</v>
      </c>
      <c r="AZ386" s="16">
        <v>4586</v>
      </c>
      <c r="BA386" s="16">
        <v>4362</v>
      </c>
      <c r="BB386" s="16">
        <f>AZ386-BA386</f>
        <v>224</v>
      </c>
      <c r="BC386" s="40"/>
      <c r="BE386" s="234"/>
      <c r="BF386" s="234"/>
      <c r="BG386" s="61">
        <f>BO386/BL386</f>
        <v>0.7365300335137922</v>
      </c>
      <c r="BH386" s="61">
        <f>BO386/BN386</f>
        <v>0.77826205393625714</v>
      </c>
      <c r="BI386" s="61">
        <f>BN386/BL386</f>
        <v>0.94637793245681878</v>
      </c>
      <c r="BJ386" s="40">
        <v>134</v>
      </c>
      <c r="BK386" s="40">
        <v>7</v>
      </c>
      <c r="BL386" s="16">
        <v>3879</v>
      </c>
      <c r="BM386" s="16">
        <f t="shared" si="708"/>
        <v>208</v>
      </c>
      <c r="BN386" s="16">
        <v>3671</v>
      </c>
      <c r="BO386" s="16">
        <v>2857</v>
      </c>
      <c r="BP386" s="16">
        <f>BN386-BO386</f>
        <v>814</v>
      </c>
      <c r="BQ386" s="40"/>
      <c r="BS386" s="234"/>
      <c r="BT386" s="234"/>
      <c r="BU386" s="61">
        <f>CC386/BZ386</f>
        <v>0.72965762561138281</v>
      </c>
      <c r="BV386" s="61">
        <f>CC386/CB386</f>
        <v>0.79698882952889749</v>
      </c>
      <c r="BW386" s="61">
        <f>CB386/BZ386</f>
        <v>0.91551800800355709</v>
      </c>
      <c r="BX386" s="40">
        <v>79</v>
      </c>
      <c r="BY386" s="40">
        <v>7</v>
      </c>
      <c r="BZ386" s="16">
        <v>2249</v>
      </c>
      <c r="CA386" s="16">
        <f t="shared" si="713"/>
        <v>190</v>
      </c>
      <c r="CB386" s="16">
        <v>2059</v>
      </c>
      <c r="CC386" s="16">
        <v>1641</v>
      </c>
      <c r="CD386" s="16">
        <f>CB386-CC386</f>
        <v>418</v>
      </c>
      <c r="CE386" s="40"/>
      <c r="CG386" s="234"/>
      <c r="CH386" s="234"/>
      <c r="CI386" s="61">
        <f>CQ386/CN386</f>
        <v>0.74290305302624526</v>
      </c>
      <c r="CJ386" s="61">
        <f>CQ386/CP386</f>
        <v>0.78008998875140612</v>
      </c>
      <c r="CK386" s="61">
        <f>CP386/CN386</f>
        <v>0.95232994108194968</v>
      </c>
      <c r="CL386" s="40">
        <v>67</v>
      </c>
      <c r="CM386" s="40">
        <v>7</v>
      </c>
      <c r="CN386" s="16">
        <v>1867</v>
      </c>
      <c r="CO386" s="16">
        <f t="shared" si="718"/>
        <v>89</v>
      </c>
      <c r="CP386" s="16">
        <v>1778</v>
      </c>
      <c r="CQ386" s="16">
        <v>1387</v>
      </c>
      <c r="CR386" s="16">
        <f>CP386-CQ386</f>
        <v>391</v>
      </c>
      <c r="CS386" s="40"/>
      <c r="CU386" s="234"/>
      <c r="CV386" s="234"/>
      <c r="CW386" s="61">
        <f>DE386/DB386</f>
        <v>0.95656108597285072</v>
      </c>
      <c r="CX386" s="61">
        <f>DE386/DD386</f>
        <v>0.98051948051948057</v>
      </c>
      <c r="CY386" s="61">
        <f>DD386/DB386</f>
        <v>0.97556561085972848</v>
      </c>
      <c r="CZ386" s="40">
        <v>37</v>
      </c>
      <c r="DA386" s="40">
        <v>3</v>
      </c>
      <c r="DB386" s="16">
        <v>1105</v>
      </c>
      <c r="DC386" s="16">
        <f t="shared" si="723"/>
        <v>27</v>
      </c>
      <c r="DD386" s="16">
        <v>1078</v>
      </c>
      <c r="DE386" s="16">
        <v>1057</v>
      </c>
      <c r="DF386" s="16">
        <f>DD386-DE386</f>
        <v>21</v>
      </c>
      <c r="DG386" s="40"/>
      <c r="DI386" s="234"/>
      <c r="DJ386" s="234"/>
      <c r="DK386" s="61">
        <f>DS386/DP386</f>
        <v>0.75595238095238093</v>
      </c>
      <c r="DL386" s="61">
        <f>DS386/DR386</f>
        <v>0.84666666666666668</v>
      </c>
      <c r="DM386" s="61">
        <f>DR386/DP386</f>
        <v>0.8928571428571429</v>
      </c>
      <c r="DN386" s="40">
        <v>18</v>
      </c>
      <c r="DO386" s="40">
        <v>3</v>
      </c>
      <c r="DP386" s="16">
        <v>504</v>
      </c>
      <c r="DQ386" s="16">
        <f t="shared" si="689"/>
        <v>54</v>
      </c>
      <c r="DR386" s="16">
        <v>450</v>
      </c>
      <c r="DS386" s="16">
        <v>381</v>
      </c>
      <c r="DT386" s="16">
        <f>DR386-DS386</f>
        <v>69</v>
      </c>
      <c r="DU386" s="40"/>
      <c r="DW386" s="234"/>
      <c r="DX386" s="234"/>
      <c r="DY386" s="61">
        <f>EG386/ED386</f>
        <v>0.75877192982456143</v>
      </c>
      <c r="DZ386" s="61">
        <f>EG386/EF386</f>
        <v>0.81329751511081261</v>
      </c>
      <c r="EA386" s="61">
        <f>EF386/ED386</f>
        <v>0.93295739348370932</v>
      </c>
      <c r="EB386" s="40">
        <v>57</v>
      </c>
      <c r="EC386" s="40">
        <v>3</v>
      </c>
      <c r="ED386" s="16">
        <v>1596</v>
      </c>
      <c r="EE386" s="16">
        <f t="shared" si="732"/>
        <v>107</v>
      </c>
      <c r="EF386" s="16">
        <v>1489</v>
      </c>
      <c r="EG386" s="16">
        <v>1211</v>
      </c>
      <c r="EH386" s="16">
        <f>EF386-EG386</f>
        <v>278</v>
      </c>
      <c r="EI386" s="40"/>
      <c r="EK386" s="234"/>
      <c r="EL386" s="234"/>
      <c r="EM386" s="61">
        <f>EU386/ER386</f>
        <v>0.8666666666666667</v>
      </c>
      <c r="EN386" s="61">
        <f>EU386/ET386</f>
        <v>0.87150837988826813</v>
      </c>
      <c r="EO386" s="61">
        <f>ET386/ER386</f>
        <v>0.99444444444444446</v>
      </c>
      <c r="EP386" s="40">
        <v>12</v>
      </c>
      <c r="EQ386" s="40">
        <v>3</v>
      </c>
      <c r="ER386" s="16">
        <v>360</v>
      </c>
      <c r="ES386" s="16">
        <f t="shared" si="672"/>
        <v>2</v>
      </c>
      <c r="ET386" s="16">
        <v>358</v>
      </c>
      <c r="EU386" s="16">
        <v>312</v>
      </c>
      <c r="EV386" s="16">
        <f>ET386-EU386</f>
        <v>46</v>
      </c>
      <c r="EW386" s="40"/>
      <c r="EY386" s="234"/>
      <c r="EZ386" s="234"/>
      <c r="FA386" s="61">
        <f>FI386/FF386</f>
        <v>0.6470588235294118</v>
      </c>
      <c r="FB386" s="61">
        <f>FI386/FH386</f>
        <v>0.86274509803921573</v>
      </c>
      <c r="FC386" s="61">
        <f>FH386/FF386</f>
        <v>0.75</v>
      </c>
      <c r="FD386" s="40">
        <v>8</v>
      </c>
      <c r="FE386" s="40">
        <v>3</v>
      </c>
      <c r="FF386" s="16">
        <v>204</v>
      </c>
      <c r="FG386" s="16">
        <f t="shared" si="741"/>
        <v>51</v>
      </c>
      <c r="FH386" s="16">
        <v>153</v>
      </c>
      <c r="FI386" s="16">
        <v>132</v>
      </c>
      <c r="FJ386" s="16">
        <f>FH386-FI386</f>
        <v>21</v>
      </c>
      <c r="FK386" s="40"/>
      <c r="FM386" s="234"/>
      <c r="FN386" s="234"/>
      <c r="FO386" s="61">
        <f>FW386/FT386</f>
        <v>0.65196078431372551</v>
      </c>
      <c r="FP386" s="61">
        <f>FW386/FV386</f>
        <v>0.72282608695652173</v>
      </c>
      <c r="FQ386" s="61">
        <f>FV386/FT386</f>
        <v>0.90196078431372551</v>
      </c>
      <c r="FR386" s="40">
        <v>8</v>
      </c>
      <c r="FS386" s="40">
        <v>3</v>
      </c>
      <c r="FT386" s="16">
        <v>204</v>
      </c>
      <c r="FU386" s="16">
        <f t="shared" si="746"/>
        <v>20</v>
      </c>
      <c r="FV386" s="16">
        <v>184</v>
      </c>
      <c r="FW386" s="16">
        <v>133</v>
      </c>
      <c r="FX386" s="16">
        <f>FV386-FW386</f>
        <v>51</v>
      </c>
      <c r="FY386" s="40"/>
      <c r="GA386" s="234"/>
      <c r="GB386" s="234"/>
      <c r="GC386" s="61">
        <f>GK386/GH386</f>
        <v>0.96313364055299544</v>
      </c>
      <c r="GD386" s="61">
        <f>GK386/GJ386</f>
        <v>0.99052132701421802</v>
      </c>
      <c r="GE386" s="61">
        <f>GJ386/GH386</f>
        <v>0.97235023041474655</v>
      </c>
      <c r="GF386" s="40">
        <v>18</v>
      </c>
      <c r="GG386" s="40">
        <v>1</v>
      </c>
      <c r="GH386" s="16">
        <v>434</v>
      </c>
      <c r="GI386" s="16">
        <f t="shared" si="751"/>
        <v>12</v>
      </c>
      <c r="GJ386" s="16">
        <v>422</v>
      </c>
      <c r="GK386" s="16">
        <v>418</v>
      </c>
      <c r="GL386" s="16">
        <f>GJ386-GK386</f>
        <v>4</v>
      </c>
      <c r="GM386" s="40"/>
    </row>
    <row r="387" spans="1:195" s="18" customFormat="1" ht="15" customHeight="1">
      <c r="A387" s="148" t="s">
        <v>152</v>
      </c>
      <c r="B387" s="149"/>
      <c r="C387" s="140">
        <f>+ROCA[[#Totals],[Trenes Puntuales]]/ROCA[[#Totals],[Trenes Programados]]</f>
        <v>0.83122866345277668</v>
      </c>
      <c r="D387" s="140">
        <f>+ROCA[[#Totals],[Trenes Puntuales]]/ROCA[[#Totals],[Trenes Corridos]]</f>
        <v>0.88775157779459635</v>
      </c>
      <c r="E387" s="140">
        <f>+ROCA[[#Totals],[Trenes Corridos]]/ROCA[[#Totals],[Trenes Programados]]</f>
        <v>0.93633025752290155</v>
      </c>
      <c r="F387" s="141"/>
      <c r="G387" s="141"/>
      <c r="H387" s="141">
        <f>SUBTOTAL(109,ROCA[Trenes Programados])</f>
        <v>8145062</v>
      </c>
      <c r="I387" s="141">
        <f>SUBTOTAL(109,ROCA[Trenes Cancelados])</f>
        <v>518594</v>
      </c>
      <c r="J387" s="141">
        <f>SUBTOTAL(109,ROCA[Trenes Corridos])</f>
        <v>7626468</v>
      </c>
      <c r="K387" s="141">
        <f>SUBTOTAL(109,ROCA[Trenes Puntuales])</f>
        <v>6770409</v>
      </c>
      <c r="L387" s="141">
        <f>SUBTOTAL(109,ROCA[Trenes Atrasados])</f>
        <v>856059</v>
      </c>
      <c r="M387" s="142">
        <f>SUBTOTAL(103,ROCA[Observaciones])</f>
        <v>5</v>
      </c>
      <c r="O387" s="148" t="s">
        <v>152</v>
      </c>
      <c r="P387" s="148"/>
      <c r="Q387" s="44">
        <f>+ROC_Co_Gl_Ko[[#Totals],[Trenes Puntuales]]/ROC_Co_Gl_Ko[[#Totals],[Trenes Programados]]</f>
        <v>0.8028250908309903</v>
      </c>
      <c r="R387" s="44">
        <f>+ROC_Co_Gl_Ko[[#Totals],[Trenes Puntuales]]/ROC_Co_Gl_Ko[[#Totals],[Trenes Corridos]]</f>
        <v>0.85295503310459597</v>
      </c>
      <c r="S387" s="44">
        <f>+ROC_Co_Gl_Ko[[#Totals],[Trenes Corridos]]/ROC_Co_Gl_Ko[[#Totals],[Trenes Programados]]</f>
        <v>0.94122791902506031</v>
      </c>
      <c r="T387" s="40"/>
      <c r="U387" s="40"/>
      <c r="V387" s="16">
        <f>SUBTOTAL(109,ROC_Co_Gl_Ko[Trenes Programados])</f>
        <v>1224527</v>
      </c>
      <c r="W387" s="16">
        <f>SUBTOTAL(109,ROC_Co_Gl_Ko[Trenes Cancelados])</f>
        <v>71968</v>
      </c>
      <c r="X387" s="16">
        <f>SUBTOTAL(109,ROC_Co_Gl_Ko[Trenes Corridos])</f>
        <v>1152559</v>
      </c>
      <c r="Y387" s="16">
        <f>SUBTOTAL(109,ROC_Co_Gl_Ko[Trenes Puntuales])</f>
        <v>983081</v>
      </c>
      <c r="Z387" s="16">
        <f>SUBTOTAL(109,ROC_Co_Gl_Ko[Trenes Atrasados])</f>
        <v>169478</v>
      </c>
      <c r="AA387" s="40">
        <f>SUBTOTAL(103,ROC_Co_Gl_Ko[Observaciones])</f>
        <v>2</v>
      </c>
      <c r="AC387" s="148" t="s">
        <v>152</v>
      </c>
      <c r="AD387" s="148"/>
      <c r="AE387" s="44">
        <f>+ROC_Co_Gw_Ko_Diesel[[#Totals],[Trenes Puntuales]]/ROC_Co_Gw_Ko_Diesel[[#Totals],[Trenes Programados]]</f>
        <v>0.84162059433310299</v>
      </c>
      <c r="AF387" s="44">
        <f>+ROC_Co_Gw_Ko_Diesel[[#Totals],[Trenes Puntuales]]/ROC_Co_Gw_Ko_Diesel[[#Totals],[Trenes Corridos]]</f>
        <v>0.86416533617172253</v>
      </c>
      <c r="AG387" s="44">
        <f>+ROC_Co_Gw_Ko_Diesel[[#Totals],[Trenes Corridos]]/ROC_Co_Gw_Ko_Diesel[[#Totals],[Trenes Programados]]</f>
        <v>0.97391154111955769</v>
      </c>
      <c r="AH387" s="40"/>
      <c r="AI387" s="40"/>
      <c r="AJ387" s="16">
        <f>SUBTOTAL(109,ROC_Co_Gw_Ko_Diesel[Trenes Programados])</f>
        <v>57880</v>
      </c>
      <c r="AK387" s="16">
        <f>SUBTOTAL(109,ROC_Co_Gw_Ko_Diesel[Trenes Cancelados])</f>
        <v>1510</v>
      </c>
      <c r="AL387" s="16">
        <f>SUBTOTAL(109,ROC_Co_Gw_Ko_Diesel[Trenes Corridos])</f>
        <v>56370</v>
      </c>
      <c r="AM387" s="16">
        <f>SUBTOTAL(109,ROC_Co_Gw_Ko_Diesel[Trenes Puntuales])</f>
        <v>48713</v>
      </c>
      <c r="AN387" s="16">
        <f>SUBTOTAL(109,ROC_Co_Gw_Ko_Diesel[Trenes Atrasados])</f>
        <v>7657</v>
      </c>
      <c r="AO387" s="40">
        <f>SUBTOTAL(103,ROC_Co_Gw_Ko_Diesel[Observaciones])</f>
        <v>1</v>
      </c>
      <c r="AQ387" s="148" t="s">
        <v>152</v>
      </c>
      <c r="AR387" s="148"/>
      <c r="AS387" s="44">
        <f>+ROC_Co_Ez[[#Totals],[Trenes Puntuales]]/ROC_Co_Ez[[#Totals],[Trenes Programados]]</f>
        <v>0.84152085947466704</v>
      </c>
      <c r="AT387" s="44">
        <f>+ROC_Co_Ez[[#Totals],[Trenes Puntuales]]/ROC_Co_Ez[[#Totals],[Trenes Corridos]]</f>
        <v>0.89160321768926465</v>
      </c>
      <c r="AU387" s="44">
        <f>+ROC_Co_Ez[[#Totals],[Trenes Corridos]]/ROC_Co_Ez[[#Totals],[Trenes Programados]]</f>
        <v>0.94382887228200651</v>
      </c>
      <c r="AV387" s="40"/>
      <c r="AW387" s="40"/>
      <c r="AX387" s="16">
        <f>SUBTOTAL(109,ROC_Co_Ez[Trenes Programados])</f>
        <v>1240851</v>
      </c>
      <c r="AY387" s="16">
        <f>SUBTOTAL(109,ROC_Co_Ez[Trenes Cancelados])</f>
        <v>69700</v>
      </c>
      <c r="AZ387" s="16">
        <f>SUBTOTAL(109,ROC_Co_Ez[Trenes Corridos])</f>
        <v>1171151</v>
      </c>
      <c r="BA387" s="16">
        <f>SUBTOTAL(109,ROC_Co_Ez[Trenes Puntuales])</f>
        <v>1044202</v>
      </c>
      <c r="BB387" s="16">
        <f>SUBTOTAL(109,ROC_Co_Ez[Trenes Atrasados])</f>
        <v>126949</v>
      </c>
      <c r="BC387" s="40">
        <f>SUBTOTAL(103,ROC_Co_Ez[Observaciones])</f>
        <v>1</v>
      </c>
      <c r="BE387" s="148" t="s">
        <v>152</v>
      </c>
      <c r="BF387" s="148"/>
      <c r="BG387" s="44">
        <f>+ROC_Co_Bo_VT[[#Totals],[Trenes Puntuales]]/ROC_Co_Bo_VT[[#Totals],[Trenes Programados]]</f>
        <v>0.74532753008302555</v>
      </c>
      <c r="BH387" s="44">
        <f>+ROC_Co_Bo_VT[[#Totals],[Trenes Puntuales]]/ROC_Co_Bo_VT[[#Totals],[Trenes Corridos]]</f>
        <v>0.83973210606448367</v>
      </c>
      <c r="BI387" s="44">
        <f>+ROC_Co_Bo_VT[[#Totals],[Trenes Corridos]]/ROC_Co_Bo_VT[[#Totals],[Trenes Programados]]</f>
        <v>0.88757774616490748</v>
      </c>
      <c r="BJ387" s="40"/>
      <c r="BK387" s="40"/>
      <c r="BL387" s="16">
        <f>SUBTOTAL(109,ROC_Co_Bo_VT[Trenes Programados])</f>
        <v>519479</v>
      </c>
      <c r="BM387" s="16">
        <f>SUBTOTAL(109,ROC_Co_Bo_VT[Trenes Cancelados])</f>
        <v>58401</v>
      </c>
      <c r="BN387" s="16">
        <f>SUBTOTAL(109,ROC_Co_Bo_VT[Trenes Corridos])</f>
        <v>461078</v>
      </c>
      <c r="BO387" s="16">
        <f>SUBTOTAL(109,ROC_Co_Bo_VT[Trenes Puntuales])</f>
        <v>387182</v>
      </c>
      <c r="BP387" s="16">
        <f>SUBTOTAL(109,ROC_Co_Bo_VT[Trenes Atrasados])</f>
        <v>73896</v>
      </c>
      <c r="BQ387" s="40">
        <f>SUBTOTAL(103,ROC_Co_Bo_VT[Observaciones])</f>
        <v>3</v>
      </c>
      <c r="BS387" s="148" t="s">
        <v>152</v>
      </c>
      <c r="BT387" s="148"/>
      <c r="BU387" s="44">
        <f>+ROC_Co_LP[[#Totals],[Trenes Puntuales]]/ROC_Co_LP[[#Totals],[Trenes Programados]]</f>
        <v>0.72732130242892246</v>
      </c>
      <c r="BV387" s="44">
        <f>+ROC_Co_LP[[#Totals],[Trenes Puntuales]]/ROC_Co_LP[[#Totals],[Trenes Corridos]]</f>
        <v>0.78272762861445144</v>
      </c>
      <c r="BW387" s="44">
        <f>+ROC_Co_LP[[#Totals],[Trenes Corridos]]/ROC_Co_LP[[#Totals],[Trenes Programados]]</f>
        <v>0.92921378502556917</v>
      </c>
      <c r="BX387" s="40"/>
      <c r="BY387" s="40"/>
      <c r="BZ387" s="16">
        <f>SUBTOTAL(109,ROC_Co_LP[Trenes Programados])</f>
        <v>662516</v>
      </c>
      <c r="CA387" s="16">
        <f>SUBTOTAL(109,ROC_Co_LP[Trenes Cancelados])</f>
        <v>46897</v>
      </c>
      <c r="CB387" s="16">
        <f>SUBTOTAL(109,ROC_Co_LP[Trenes Corridos])</f>
        <v>615619</v>
      </c>
      <c r="CC387" s="16">
        <f>SUBTOTAL(109,ROC_Co_LP[Trenes Puntuales])</f>
        <v>481862</v>
      </c>
      <c r="CD387" s="16">
        <f>SUBTOTAL(109,ROC_Co_LP[Trenes Atrasados])</f>
        <v>133757</v>
      </c>
      <c r="CE387" s="40">
        <f>SUBTOTAL(103,ROC_Co_LP[Observaciones])</f>
        <v>6</v>
      </c>
      <c r="CG387" s="148" t="s">
        <v>152</v>
      </c>
      <c r="CH387" s="148"/>
      <c r="CI387" s="44">
        <f>+ROC_Co_Bo_VQ[[#Totals],[Trenes Puntuales]]/ROC_Co_Bo_VQ[[#Totals],[Trenes Programados]]</f>
        <v>0.76114743398689355</v>
      </c>
      <c r="CJ387" s="44">
        <f>+ROC_Co_Bo_VQ[[#Totals],[Trenes Puntuales]]/ROC_Co_Bo_VQ[[#Totals],[Trenes Corridos]]</f>
        <v>0.83779950998712682</v>
      </c>
      <c r="CK387" s="44">
        <f>+ROC_Co_Bo_VQ[[#Totals],[Trenes Corridos]]/ROC_Co_Bo_VQ[[#Totals],[Trenes Programados]]</f>
        <v>0.90850785290933034</v>
      </c>
      <c r="CL387" s="40"/>
      <c r="CM387" s="40"/>
      <c r="CN387" s="16">
        <f>SUBTOTAL(109,ROC_Co_Bo_VQ[Trenes Programados])</f>
        <v>530122</v>
      </c>
      <c r="CO387" s="16">
        <f>SUBTOTAL(109,ROC_Co_Bo_VQ[Trenes Cancelados])</f>
        <v>48502</v>
      </c>
      <c r="CP387" s="16">
        <f>SUBTOTAL(109,ROC_Co_Bo_VQ[Trenes Corridos])</f>
        <v>481620</v>
      </c>
      <c r="CQ387" s="16">
        <f>SUBTOTAL(109,ROC_Co_Bo_VQ[Trenes Puntuales])</f>
        <v>403501</v>
      </c>
      <c r="CR387" s="16">
        <f>SUBTOTAL(109,ROC_Co_Bo_VQ[Trenes Atrasados])</f>
        <v>78119</v>
      </c>
      <c r="CS387" s="40">
        <f>SUBTOTAL(103,ROC_Co_Bo_VQ[Observaciones])</f>
        <v>3</v>
      </c>
      <c r="CU387" s="148" t="s">
        <v>152</v>
      </c>
      <c r="CV387" s="148"/>
      <c r="CW387" s="44">
        <f>+ROC_Bo_Gu[[#Totals],[Trenes Puntuales]]/ROC_Bo_Gu[[#Totals],[Trenes Programados]]</f>
        <v>0.76151631577098189</v>
      </c>
      <c r="CX387" s="44">
        <f>+ROC_Bo_Gu[[#Totals],[Trenes Puntuales]]/ROC_Bo_Gu[[#Totals],[Trenes Corridos]]</f>
        <v>0.85481595931756704</v>
      </c>
      <c r="CY387" s="44">
        <f>+ROC_Bo_Gu[[#Totals],[Trenes Corridos]]/ROC_Bo_Gu[[#Totals],[Trenes Programados]]</f>
        <v>0.89085411598881492</v>
      </c>
      <c r="CZ387" s="40"/>
      <c r="DA387" s="40"/>
      <c r="DB387" s="16">
        <f>SUBTOTAL(109,ROC_Bo_Gu[Trenes Programados])</f>
        <v>483857</v>
      </c>
      <c r="DC387" s="16">
        <f>SUBTOTAL(109,ROC_Bo_Gu[Trenes Cancelados])</f>
        <v>52811</v>
      </c>
      <c r="DD387" s="16">
        <f>SUBTOTAL(109,ROC_Bo_Gu[Trenes Corridos])</f>
        <v>431046</v>
      </c>
      <c r="DE387" s="16">
        <f>SUBTOTAL(109,ROC_Bo_Gu[Trenes Puntuales])</f>
        <v>368465</v>
      </c>
      <c r="DF387" s="16">
        <f>SUBTOTAL(109,ROC_Bo_Gu[Trenes Atrasados])</f>
        <v>62581</v>
      </c>
      <c r="DG387" s="40">
        <f>SUBTOTAL(103,ROC_Bo_Gu[Observaciones])</f>
        <v>3</v>
      </c>
      <c r="DI387" s="148" t="s">
        <v>152</v>
      </c>
      <c r="DJ387" s="148"/>
      <c r="DK387" s="44">
        <f>+ROC_Ty_Ha[[#Totals],[Trenes Puntuales]]/ROC_Ty_Ha[[#Totals],[Trenes Programados]]</f>
        <v>0.68575441709174245</v>
      </c>
      <c r="DL387" s="44">
        <f>+ROC_Ty_Ha[[#Totals],[Trenes Puntuales]]/ROC_Ty_Ha[[#Totals],[Trenes Corridos]]</f>
        <v>0.79329414648886254</v>
      </c>
      <c r="DM387" s="44">
        <f>+ROC_Ty_Ha[[#Totals],[Trenes Corridos]]/ROC_Ty_Ha[[#Totals],[Trenes Programados]]</f>
        <v>0.86443902318819155</v>
      </c>
      <c r="DN387" s="40"/>
      <c r="DO387" s="40"/>
      <c r="DP387" s="16">
        <f>SUBTOTAL(109,ROC_Ty_Ha[Trenes Programados])</f>
        <v>202905</v>
      </c>
      <c r="DQ387" s="16">
        <f>SUBTOTAL(109,ROC_Ty_Ha[Trenes Cancelados])</f>
        <v>27506</v>
      </c>
      <c r="DR387" s="16">
        <f>SUBTOTAL(109,ROC_Ty_Ha[Trenes Corridos])</f>
        <v>175399</v>
      </c>
      <c r="DS387" s="16">
        <f>SUBTOTAL(109,ROC_Ty_Ha[Trenes Puntuales])</f>
        <v>139143</v>
      </c>
      <c r="DT387" s="16">
        <f>SUBTOTAL(109,ROC_Ty_Ha[Trenes Atrasados])</f>
        <v>36256</v>
      </c>
      <c r="DU387" s="40">
        <f>SUBTOTAL(103,ROC_Ty_Ha[Observaciones])</f>
        <v>19</v>
      </c>
      <c r="DW387" s="148" t="s">
        <v>152</v>
      </c>
      <c r="DX387" s="148"/>
      <c r="DY387" s="44">
        <f>+ROC_Ez_Ca_Mo_Lo[[#Totals],[Trenes Puntuales]]/ROC_Ez_Ca_Mo_Lo[[#Totals],[Trenes Programados]]</f>
        <v>0.83243229349623449</v>
      </c>
      <c r="DZ387" s="44">
        <f>+ROC_Ez_Ca_Mo_Lo[[#Totals],[Trenes Puntuales]]/ROC_Ez_Ca_Mo_Lo[[#Totals],[Trenes Corridos]]</f>
        <v>0.91322574277899449</v>
      </c>
      <c r="EA387" s="44">
        <f>+ROC_Ez_Ca_Mo_Lo[[#Totals],[Trenes Corridos]]/ROC_Ez_Ca_Mo_Lo[[#Totals],[Trenes Programados]]</f>
        <v>0.91152959723090898</v>
      </c>
      <c r="EB387" s="40"/>
      <c r="EC387" s="40"/>
      <c r="ED387" s="16">
        <f>SUBTOTAL(109,ROC_Ez_Ca_Mo_Lo[Trenes Programados])</f>
        <v>350151</v>
      </c>
      <c r="EE387" s="16">
        <f>SUBTOTAL(109,ROC_Ez_Ca_Mo_Lo[Trenes Cancelados])</f>
        <v>30978</v>
      </c>
      <c r="EF387" s="16">
        <f>SUBTOTAL(109,ROC_Ez_Ca_Mo_Lo[Trenes Corridos])</f>
        <v>319173</v>
      </c>
      <c r="EG387" s="16">
        <f>SUBTOTAL(109,ROC_Ez_Ca_Mo_Lo[Trenes Puntuales])</f>
        <v>291477</v>
      </c>
      <c r="EH387" s="16">
        <f>SUBTOTAL(109,ROC_Ez_Ca_Mo_Lo[Trenes Atrasados])</f>
        <v>27696</v>
      </c>
      <c r="EI387" s="40">
        <f>SUBTOTAL(103,ROC_Ez_Ca_Mo_Lo[Observaciones])</f>
        <v>14</v>
      </c>
      <c r="EK387" s="148" t="s">
        <v>152</v>
      </c>
      <c r="EL387" s="148"/>
      <c r="EM387" s="44">
        <f>+ROC_AK_Ch[[#Totals],[Trenes Puntuales]]/ROC_AK_Ch[[#Totals],[Trenes Programados]]</f>
        <v>0.79551349793447979</v>
      </c>
      <c r="EN387" s="44">
        <f>+ROC_AK_Ch[[#Totals],[Trenes Puntuales]]/ROC_AK_Ch[[#Totals],[Trenes Corridos]]</f>
        <v>0.93254124669181826</v>
      </c>
      <c r="EO387" s="44">
        <f>+ROC_AK_Ch[[#Totals],[Trenes Corridos]]/ROC_AK_Ch[[#Totals],[Trenes Programados]]</f>
        <v>0.85305985205110957</v>
      </c>
      <c r="EP387" s="40"/>
      <c r="EQ387" s="40"/>
      <c r="ER387" s="16">
        <f>SUBTOTAL(109,ROC_AK_Ch[Trenes Programados])</f>
        <v>20818</v>
      </c>
      <c r="ES387" s="16">
        <f>SUBTOTAL(109,ROC_AK_Ch[Trenes Cancelados])</f>
        <v>3059</v>
      </c>
      <c r="ET387" s="16">
        <f>SUBTOTAL(109,ROC_AK_Ch[Trenes Corridos])</f>
        <v>17759</v>
      </c>
      <c r="EU387" s="16">
        <f>SUBTOTAL(109,ROC_AK_Ch[Trenes Puntuales])</f>
        <v>16561</v>
      </c>
      <c r="EV387" s="16">
        <f>SUBTOTAL(109,ROC_AK_Ch[Trenes Atrasados])</f>
        <v>1198</v>
      </c>
      <c r="EW387" s="40">
        <f>SUBTOTAL(103,ROC_AK_Ch[Observaciones])</f>
        <v>22</v>
      </c>
      <c r="EY387" s="148" t="s">
        <v>152</v>
      </c>
      <c r="EZ387" s="148"/>
      <c r="FA387" s="44">
        <f>+ROC_Ca_Mo[[#Totals],[Trenes Puntuales]]/ROC_Ca_Mo[[#Totals],[Trenes Programados]]</f>
        <v>0.58620689655172409</v>
      </c>
      <c r="FB387" s="44">
        <f>+ROC_Ca_Mo[[#Totals],[Trenes Puntuales]]/ROC_Ca_Mo[[#Totals],[Trenes Corridos]]</f>
        <v>0.77341211225997042</v>
      </c>
      <c r="FC387" s="44">
        <f>+ROC_Ca_Mo[[#Totals],[Trenes Corridos]]/ROC_Ca_Mo[[#Totals],[Trenes Programados]]</f>
        <v>0.75794894760412002</v>
      </c>
      <c r="FD387" s="40"/>
      <c r="FE387" s="40"/>
      <c r="FF387" s="16">
        <f>SUBTOTAL(109,ROC_Ca_Mo[Trenes Programados])</f>
        <v>4466</v>
      </c>
      <c r="FG387" s="16">
        <f>SUBTOTAL(109,ROC_Ca_Mo[Trenes Cancelados])</f>
        <v>1081</v>
      </c>
      <c r="FH387" s="16">
        <f>SUBTOTAL(109,ROC_Ca_Mo[Trenes Corridos])</f>
        <v>3385</v>
      </c>
      <c r="FI387" s="16">
        <f>SUBTOTAL(109,ROC_Ca_Mo[Trenes Puntuales])</f>
        <v>2618</v>
      </c>
      <c r="FJ387" s="16">
        <f>SUBTOTAL(109,ROC_Ca_Mo[Trenes Atrasados])</f>
        <v>767</v>
      </c>
      <c r="FK387" s="40">
        <f>SUBTOTAL(103,ROC_Ca_Mo[Observaciones])</f>
        <v>13</v>
      </c>
      <c r="FM387" s="148" t="s">
        <v>152</v>
      </c>
      <c r="FN387" s="148"/>
      <c r="FO387" s="44">
        <f>+ROC_Ca_Lo[[#Totals],[Trenes Puntuales]]/ROC_Ca_Lo[[#Totals],[Trenes Programados]]</f>
        <v>0.6594267801164353</v>
      </c>
      <c r="FP387" s="44">
        <f>+ROC_Ca_Lo[[#Totals],[Trenes Puntuales]]/ROC_Ca_Lo[[#Totals],[Trenes Corridos]]</f>
        <v>0.7232318271119843</v>
      </c>
      <c r="FQ387" s="44">
        <f>+ROC_Ca_Lo[[#Totals],[Trenes Corridos]]/ROC_Ca_Lo[[#Totals],[Trenes Programados]]</f>
        <v>0.91177787729511872</v>
      </c>
      <c r="FR387" s="40"/>
      <c r="FS387" s="40"/>
      <c r="FT387" s="16">
        <f>SUBTOTAL(109,ROC_Ca_Lo[Trenes Programados])</f>
        <v>4466</v>
      </c>
      <c r="FU387" s="16">
        <f>SUBTOTAL(109,ROC_Ca_Lo[Trenes Cancelados])</f>
        <v>394</v>
      </c>
      <c r="FV387" s="16">
        <f>SUBTOTAL(109,ROC_Ca_Lo[Trenes Corridos])</f>
        <v>4072</v>
      </c>
      <c r="FW387" s="16">
        <f>SUBTOTAL(109,ROC_Ca_Lo[Trenes Puntuales])</f>
        <v>2945</v>
      </c>
      <c r="FX387" s="16">
        <f>SUBTOTAL(109,ROC_Ca_Lo[Trenes Atrasados])</f>
        <v>1127</v>
      </c>
      <c r="FY387" s="40">
        <f>SUBTOTAL(103,ROC_Ca_Lo[Observaciones])</f>
        <v>13</v>
      </c>
      <c r="GA387" s="148" t="s">
        <v>152</v>
      </c>
      <c r="GB387" s="148"/>
      <c r="GC387" s="44">
        <f>+ROC_T_Un_LP[[#Totals],[Trenes Puntuales]]/ROC_T_Un_LP[[#Totals],[Trenes Programados]]</f>
        <v>0.94986624393143759</v>
      </c>
      <c r="GD387" s="44">
        <f>+ROC_T_Un_LP[[#Totals],[Trenes Puntuales]]/ROC_T_Un_LP[[#Totals],[Trenes Corridos]]</f>
        <v>0.97290440430282121</v>
      </c>
      <c r="GE387" s="44">
        <f>+ROC_T_Un_LP[[#Totals],[Trenes Corridos]]/ROC_T_Un_LP[[#Totals],[Trenes Programados]]</f>
        <v>0.97632022193599521</v>
      </c>
      <c r="GF387" s="40"/>
      <c r="GG387" s="40"/>
      <c r="GH387" s="16">
        <f>SUBTOTAL(109,ROC_T_Un_LP[Trenes Programados])</f>
        <v>10093</v>
      </c>
      <c r="GI387" s="16">
        <f>SUBTOTAL(109,ROC_T_Un_LP[Trenes Cancelados])</f>
        <v>239</v>
      </c>
      <c r="GJ387" s="16">
        <f>SUBTOTAL(109,ROC_T_Un_LP[Trenes Corridos])</f>
        <v>9854</v>
      </c>
      <c r="GK387" s="16">
        <f>SUBTOTAL(109,ROC_T_Un_LP[Trenes Puntuales])</f>
        <v>9587</v>
      </c>
      <c r="GL387" s="16">
        <f>SUBTOTAL(109,ROC_T_Un_LP[Trenes Atrasados])</f>
        <v>267</v>
      </c>
      <c r="GM387" s="40">
        <f>SUBTOTAL(103,ROC_T_Un_LP[Observaciones])</f>
        <v>1</v>
      </c>
    </row>
    <row r="388" spans="1:195" s="18" customFormat="1" ht="15" customHeight="1">
      <c r="A388" s="234"/>
      <c r="B388" s="235"/>
      <c r="C388" s="140"/>
      <c r="D388" s="140"/>
      <c r="E388" s="140"/>
      <c r="F388" s="141"/>
      <c r="G388" s="141"/>
      <c r="H388" s="141"/>
      <c r="I388" s="141"/>
      <c r="J388" s="141"/>
      <c r="K388" s="141"/>
      <c r="L388" s="141"/>
      <c r="M388" s="142"/>
      <c r="O388" s="234"/>
      <c r="P388" s="234"/>
      <c r="Q388" s="44"/>
      <c r="R388" s="44"/>
      <c r="S388" s="44"/>
      <c r="T388" s="40"/>
      <c r="U388" s="40"/>
      <c r="V388" s="16"/>
      <c r="W388" s="16"/>
      <c r="X388" s="16"/>
      <c r="Y388" s="16"/>
      <c r="Z388" s="16"/>
      <c r="AA388" s="40"/>
      <c r="AC388" s="234"/>
      <c r="AD388" s="234"/>
      <c r="AE388" s="44"/>
      <c r="AF388" s="44"/>
      <c r="AG388" s="44"/>
      <c r="AH388" s="40"/>
      <c r="AI388" s="40"/>
      <c r="AJ388" s="16"/>
      <c r="AK388" s="16"/>
      <c r="AL388" s="16"/>
      <c r="AM388" s="16"/>
      <c r="AN388" s="16"/>
      <c r="AO388" s="40"/>
      <c r="AQ388" s="234"/>
      <c r="AR388" s="234"/>
      <c r="AS388" s="44"/>
      <c r="AT388" s="44"/>
      <c r="AU388" s="44"/>
      <c r="AV388" s="40"/>
      <c r="AW388" s="40"/>
      <c r="AX388" s="16"/>
      <c r="AY388" s="16"/>
      <c r="AZ388" s="16"/>
      <c r="BA388" s="16"/>
      <c r="BB388" s="16"/>
      <c r="BC388" s="40"/>
      <c r="BE388" s="234"/>
      <c r="BF388" s="234"/>
      <c r="BG388" s="44"/>
      <c r="BH388" s="44"/>
      <c r="BI388" s="44"/>
      <c r="BJ388" s="40"/>
      <c r="BK388" s="40"/>
      <c r="BL388" s="16"/>
      <c r="BM388" s="16"/>
      <c r="BN388" s="16"/>
      <c r="BO388" s="16"/>
      <c r="BP388" s="16"/>
      <c r="BQ388" s="40"/>
      <c r="BS388" s="234"/>
      <c r="BT388" s="234"/>
      <c r="BU388" s="44"/>
      <c r="BV388" s="44"/>
      <c r="BW388" s="44"/>
      <c r="BX388" s="40"/>
      <c r="BY388" s="40"/>
      <c r="BZ388" s="16"/>
      <c r="CA388" s="16"/>
      <c r="CB388" s="16"/>
      <c r="CC388" s="16"/>
      <c r="CD388" s="16"/>
      <c r="CE388" s="40"/>
      <c r="CG388" s="234"/>
      <c r="CH388" s="234"/>
      <c r="CI388" s="44"/>
      <c r="CJ388" s="44"/>
      <c r="CK388" s="44"/>
      <c r="CL388" s="40"/>
      <c r="CM388" s="40"/>
      <c r="CN388" s="16"/>
      <c r="CO388" s="16"/>
      <c r="CP388" s="16"/>
      <c r="CQ388" s="16"/>
      <c r="CR388" s="16"/>
      <c r="CS388" s="40"/>
      <c r="CU388" s="234"/>
      <c r="CV388" s="234"/>
      <c r="CW388" s="44"/>
      <c r="CX388" s="44"/>
      <c r="CY388" s="44"/>
      <c r="CZ388" s="40"/>
      <c r="DA388" s="40"/>
      <c r="DB388" s="16"/>
      <c r="DC388" s="16"/>
      <c r="DD388" s="16"/>
      <c r="DE388" s="16"/>
      <c r="DF388" s="16"/>
      <c r="DG388" s="40"/>
      <c r="DI388" s="234"/>
      <c r="DJ388" s="234"/>
      <c r="DK388" s="44"/>
      <c r="DL388" s="44"/>
      <c r="DM388" s="44"/>
      <c r="DN388" s="40"/>
      <c r="DO388" s="40"/>
      <c r="DP388" s="16"/>
      <c r="DQ388" s="16"/>
      <c r="DR388" s="16"/>
      <c r="DS388" s="16"/>
      <c r="DT388" s="16"/>
      <c r="DU388" s="40"/>
      <c r="DW388" s="234"/>
      <c r="DX388" s="234"/>
      <c r="DY388" s="44"/>
      <c r="DZ388" s="44"/>
      <c r="EA388" s="44"/>
      <c r="EB388" s="40"/>
      <c r="EC388" s="40"/>
      <c r="ED388" s="16"/>
      <c r="EE388" s="16"/>
      <c r="EF388" s="16"/>
      <c r="EG388" s="16"/>
      <c r="EH388" s="16"/>
      <c r="EI388" s="40"/>
      <c r="EK388" s="234"/>
      <c r="EL388" s="234"/>
      <c r="EM388" s="44"/>
      <c r="EN388" s="44"/>
      <c r="EO388" s="44"/>
      <c r="EP388" s="40"/>
      <c r="EQ388" s="40"/>
      <c r="ER388" s="16"/>
      <c r="ES388" s="16"/>
      <c r="ET388" s="16"/>
      <c r="EU388" s="16"/>
      <c r="EV388" s="16"/>
      <c r="EW388" s="40"/>
      <c r="EY388" s="234"/>
      <c r="EZ388" s="234"/>
      <c r="FA388" s="44"/>
      <c r="FB388" s="44"/>
      <c r="FC388" s="44"/>
      <c r="FD388" s="40"/>
      <c r="FE388" s="40"/>
      <c r="FF388" s="16"/>
      <c r="FG388" s="16"/>
      <c r="FH388" s="16"/>
      <c r="FI388" s="16"/>
      <c r="FJ388" s="16"/>
      <c r="FK388" s="40"/>
      <c r="FM388" s="234"/>
      <c r="FN388" s="234"/>
      <c r="FO388" s="44"/>
      <c r="FP388" s="44"/>
      <c r="FQ388" s="44"/>
      <c r="FR388" s="40"/>
      <c r="FS388" s="40"/>
      <c r="FT388" s="16"/>
      <c r="FU388" s="16"/>
      <c r="FV388" s="16"/>
      <c r="FW388" s="16"/>
      <c r="FX388" s="16"/>
      <c r="FY388" s="40"/>
      <c r="GA388" s="234"/>
      <c r="GB388" s="234"/>
      <c r="GC388" s="44"/>
      <c r="GD388" s="44"/>
      <c r="GE388" s="44"/>
      <c r="GF388" s="40"/>
      <c r="GG388" s="40"/>
      <c r="GH388" s="16"/>
      <c r="GI388" s="16"/>
      <c r="GJ388" s="16"/>
      <c r="GK388" s="16"/>
      <c r="GL388" s="16"/>
      <c r="GM388" s="40"/>
    </row>
    <row r="389" spans="1:195" s="18" customFormat="1" ht="15" customHeight="1">
      <c r="A389" s="234"/>
      <c r="B389" s="235"/>
      <c r="C389" s="140"/>
      <c r="D389" s="140"/>
      <c r="E389" s="140"/>
      <c r="F389" s="141"/>
      <c r="G389" s="141"/>
      <c r="H389" s="141"/>
      <c r="I389" s="141"/>
      <c r="J389" s="141"/>
      <c r="K389" s="141"/>
      <c r="L389" s="141"/>
      <c r="M389" s="142"/>
      <c r="O389" s="234"/>
      <c r="P389" s="234"/>
      <c r="Q389" s="44"/>
      <c r="R389" s="44"/>
      <c r="S389" s="44"/>
      <c r="T389" s="40"/>
      <c r="U389" s="40"/>
      <c r="V389" s="16"/>
      <c r="W389" s="16"/>
      <c r="X389" s="16"/>
      <c r="Y389" s="16"/>
      <c r="Z389" s="16"/>
      <c r="AA389" s="40"/>
      <c r="AC389" s="234"/>
      <c r="AD389" s="234"/>
      <c r="AE389" s="44"/>
      <c r="AF389" s="44"/>
      <c r="AG389" s="44"/>
      <c r="AH389" s="40"/>
      <c r="AI389" s="40"/>
      <c r="AJ389" s="16"/>
      <c r="AK389" s="16"/>
      <c r="AL389" s="16"/>
      <c r="AM389" s="16"/>
      <c r="AN389" s="16"/>
      <c r="AO389" s="40"/>
      <c r="AQ389" s="234"/>
      <c r="AR389" s="234"/>
      <c r="AS389" s="44"/>
      <c r="AT389" s="44"/>
      <c r="AU389" s="44"/>
      <c r="AV389" s="40"/>
      <c r="AW389" s="40"/>
      <c r="AX389" s="16"/>
      <c r="AY389" s="16"/>
      <c r="AZ389" s="16"/>
      <c r="BA389" s="16"/>
      <c r="BB389" s="16"/>
      <c r="BC389" s="40"/>
      <c r="BE389" s="234"/>
      <c r="BF389" s="234"/>
      <c r="BG389" s="44"/>
      <c r="BH389" s="44"/>
      <c r="BI389" s="44"/>
      <c r="BJ389" s="40"/>
      <c r="BK389" s="40"/>
      <c r="BL389" s="16"/>
      <c r="BM389" s="16"/>
      <c r="BN389" s="16"/>
      <c r="BO389" s="16"/>
      <c r="BP389" s="16"/>
      <c r="BQ389" s="40"/>
      <c r="BS389" s="234"/>
      <c r="BT389" s="234"/>
      <c r="BU389" s="44"/>
      <c r="BV389" s="44"/>
      <c r="BW389" s="44"/>
      <c r="BX389" s="40"/>
      <c r="BY389" s="40"/>
      <c r="BZ389" s="16"/>
      <c r="CA389" s="16"/>
      <c r="CB389" s="16"/>
      <c r="CC389" s="16"/>
      <c r="CD389" s="16"/>
      <c r="CE389" s="40"/>
      <c r="CG389" s="234"/>
      <c r="CH389" s="234"/>
      <c r="CI389" s="44"/>
      <c r="CJ389" s="44"/>
      <c r="CK389" s="44"/>
      <c r="CL389" s="40"/>
      <c r="CM389" s="40"/>
      <c r="CN389" s="16"/>
      <c r="CO389" s="16"/>
      <c r="CP389" s="16"/>
      <c r="CQ389" s="16"/>
      <c r="CR389" s="16"/>
      <c r="CS389" s="40"/>
      <c r="CU389" s="234"/>
      <c r="CV389" s="234"/>
      <c r="CW389" s="44"/>
      <c r="CX389" s="44"/>
      <c r="CY389" s="44"/>
      <c r="CZ389" s="40"/>
      <c r="DA389" s="40"/>
      <c r="DB389" s="16"/>
      <c r="DC389" s="16"/>
      <c r="DD389" s="16"/>
      <c r="DE389" s="16"/>
      <c r="DF389" s="16"/>
      <c r="DG389" s="40"/>
      <c r="DI389" s="234"/>
      <c r="DJ389" s="234"/>
      <c r="DK389" s="44"/>
      <c r="DL389" s="44"/>
      <c r="DM389" s="44"/>
      <c r="DN389" s="40"/>
      <c r="DO389" s="40"/>
      <c r="DP389" s="16"/>
      <c r="DQ389" s="16"/>
      <c r="DR389" s="16"/>
      <c r="DS389" s="16"/>
      <c r="DT389" s="16"/>
      <c r="DU389" s="40"/>
      <c r="DW389" s="234"/>
      <c r="DX389" s="234"/>
      <c r="DY389" s="44"/>
      <c r="DZ389" s="44"/>
      <c r="EA389" s="44"/>
      <c r="EB389" s="40"/>
      <c r="EC389" s="40"/>
      <c r="ED389" s="16"/>
      <c r="EE389" s="16"/>
      <c r="EF389" s="16"/>
      <c r="EG389" s="16"/>
      <c r="EH389" s="16"/>
      <c r="EI389" s="40"/>
      <c r="EK389" s="234"/>
      <c r="EL389" s="234"/>
      <c r="EM389" s="44"/>
      <c r="EN389" s="44"/>
      <c r="EO389" s="44"/>
      <c r="EP389" s="40"/>
      <c r="EQ389" s="40"/>
      <c r="ER389" s="16"/>
      <c r="ES389" s="16"/>
      <c r="ET389" s="16"/>
      <c r="EU389" s="16"/>
      <c r="EV389" s="16"/>
      <c r="EW389" s="40"/>
      <c r="EY389" s="234"/>
      <c r="EZ389" s="234"/>
      <c r="FA389" s="44"/>
      <c r="FB389" s="44"/>
      <c r="FC389" s="44"/>
      <c r="FD389" s="40"/>
      <c r="FE389" s="40"/>
      <c r="FF389" s="16"/>
      <c r="FG389" s="16"/>
      <c r="FH389" s="16"/>
      <c r="FI389" s="16"/>
      <c r="FJ389" s="16"/>
      <c r="FK389" s="40"/>
      <c r="FM389" s="234"/>
      <c r="FN389" s="234"/>
      <c r="FO389" s="44"/>
      <c r="FP389" s="44"/>
      <c r="FQ389" s="44"/>
      <c r="FR389" s="40"/>
      <c r="FS389" s="40"/>
      <c r="FT389" s="16"/>
      <c r="FU389" s="16"/>
      <c r="FV389" s="16"/>
      <c r="FW389" s="16"/>
      <c r="FX389" s="16"/>
      <c r="FY389" s="40"/>
      <c r="GA389" s="234"/>
      <c r="GB389" s="234"/>
      <c r="GC389" s="44"/>
      <c r="GD389" s="44"/>
      <c r="GE389" s="44"/>
      <c r="GF389" s="40"/>
      <c r="GG389" s="40"/>
      <c r="GH389" s="16"/>
      <c r="GI389" s="16"/>
      <c r="GJ389" s="16"/>
      <c r="GK389" s="16"/>
      <c r="GL389" s="16"/>
      <c r="GM389" s="40"/>
    </row>
    <row r="390" spans="1:195" s="18" customFormat="1" ht="15" customHeight="1">
      <c r="A390" s="234"/>
      <c r="B390" s="235"/>
      <c r="C390" s="140"/>
      <c r="D390" s="140"/>
      <c r="E390" s="140"/>
      <c r="F390" s="141"/>
      <c r="G390" s="141"/>
      <c r="H390" s="141"/>
      <c r="I390" s="141"/>
      <c r="J390" s="141"/>
      <c r="K390" s="141"/>
      <c r="L390" s="141"/>
      <c r="M390" s="142"/>
      <c r="O390" s="234"/>
      <c r="P390" s="234"/>
      <c r="Q390" s="44"/>
      <c r="R390" s="44"/>
      <c r="S390" s="44"/>
      <c r="T390" s="40"/>
      <c r="U390" s="40"/>
      <c r="V390" s="16"/>
      <c r="W390" s="16"/>
      <c r="X390" s="16"/>
      <c r="Y390" s="16"/>
      <c r="Z390" s="16"/>
      <c r="AA390" s="40"/>
      <c r="AC390" s="234"/>
      <c r="AD390" s="234"/>
      <c r="AE390" s="44"/>
      <c r="AF390" s="44"/>
      <c r="AG390" s="44"/>
      <c r="AH390" s="40"/>
      <c r="AI390" s="40"/>
      <c r="AJ390" s="16"/>
      <c r="AK390" s="16"/>
      <c r="AL390" s="16"/>
      <c r="AM390" s="16"/>
      <c r="AN390" s="16"/>
      <c r="AO390" s="40"/>
      <c r="AQ390" s="234"/>
      <c r="AR390" s="234"/>
      <c r="AS390" s="44"/>
      <c r="AT390" s="44"/>
      <c r="AU390" s="44"/>
      <c r="AV390" s="40"/>
      <c r="AW390" s="40"/>
      <c r="AX390" s="16"/>
      <c r="AY390" s="16"/>
      <c r="AZ390" s="16"/>
      <c r="BA390" s="16"/>
      <c r="BB390" s="16"/>
      <c r="BC390" s="40"/>
      <c r="BE390" s="234"/>
      <c r="BF390" s="234"/>
      <c r="BG390" s="44"/>
      <c r="BH390" s="44"/>
      <c r="BI390" s="44"/>
      <c r="BJ390" s="40"/>
      <c r="BK390" s="40"/>
      <c r="BL390" s="16"/>
      <c r="BM390" s="16"/>
      <c r="BN390" s="16"/>
      <c r="BO390" s="16"/>
      <c r="BP390" s="16"/>
      <c r="BQ390" s="40"/>
      <c r="BS390" s="234"/>
      <c r="BT390" s="234"/>
      <c r="BU390" s="44"/>
      <c r="BV390" s="44"/>
      <c r="BW390" s="44"/>
      <c r="BX390" s="40"/>
      <c r="BY390" s="40"/>
      <c r="BZ390" s="16"/>
      <c r="CA390" s="16"/>
      <c r="CB390" s="16"/>
      <c r="CC390" s="16"/>
      <c r="CD390" s="16"/>
      <c r="CE390" s="40"/>
      <c r="CG390" s="234"/>
      <c r="CH390" s="234"/>
      <c r="CI390" s="44"/>
      <c r="CJ390" s="44"/>
      <c r="CK390" s="44"/>
      <c r="CL390" s="40"/>
      <c r="CM390" s="40"/>
      <c r="CN390" s="16"/>
      <c r="CO390" s="16"/>
      <c r="CP390" s="16"/>
      <c r="CQ390" s="16"/>
      <c r="CR390" s="16"/>
      <c r="CS390" s="40"/>
      <c r="CU390" s="234"/>
      <c r="CV390" s="234"/>
      <c r="CW390" s="44"/>
      <c r="CX390" s="44"/>
      <c r="CY390" s="44"/>
      <c r="CZ390" s="40"/>
      <c r="DA390" s="40"/>
      <c r="DB390" s="16"/>
      <c r="DC390" s="16"/>
      <c r="DD390" s="16"/>
      <c r="DE390" s="16"/>
      <c r="DF390" s="16"/>
      <c r="DG390" s="40"/>
      <c r="DI390" s="234"/>
      <c r="DJ390" s="234"/>
      <c r="DK390" s="44"/>
      <c r="DL390" s="44"/>
      <c r="DM390" s="44"/>
      <c r="DN390" s="40"/>
      <c r="DO390" s="40"/>
      <c r="DP390" s="16"/>
      <c r="DQ390" s="16"/>
      <c r="DR390" s="16"/>
      <c r="DS390" s="16"/>
      <c r="DT390" s="16"/>
      <c r="DU390" s="40"/>
      <c r="DW390" s="234"/>
      <c r="DX390" s="234"/>
      <c r="DY390" s="44"/>
      <c r="DZ390" s="44"/>
      <c r="EA390" s="44"/>
      <c r="EB390" s="40"/>
      <c r="EC390" s="40"/>
      <c r="ED390" s="16"/>
      <c r="EE390" s="16"/>
      <c r="EF390" s="16"/>
      <c r="EG390" s="16"/>
      <c r="EH390" s="16"/>
      <c r="EI390" s="40"/>
      <c r="EK390" s="234"/>
      <c r="EL390" s="234"/>
      <c r="EM390" s="44"/>
      <c r="EN390" s="44"/>
      <c r="EO390" s="44"/>
      <c r="EP390" s="40"/>
      <c r="EQ390" s="40"/>
      <c r="ER390" s="16"/>
      <c r="ES390" s="16"/>
      <c r="ET390" s="16"/>
      <c r="EU390" s="16"/>
      <c r="EV390" s="16"/>
      <c r="EW390" s="40"/>
      <c r="EY390" s="234"/>
      <c r="EZ390" s="234"/>
      <c r="FA390" s="44"/>
      <c r="FB390" s="44"/>
      <c r="FC390" s="44"/>
      <c r="FD390" s="40"/>
      <c r="FE390" s="40"/>
      <c r="FF390" s="16"/>
      <c r="FG390" s="16"/>
      <c r="FH390" s="16"/>
      <c r="FI390" s="16"/>
      <c r="FJ390" s="16"/>
      <c r="FK390" s="40"/>
      <c r="FM390" s="234"/>
      <c r="FN390" s="234"/>
      <c r="FO390" s="44"/>
      <c r="FP390" s="44"/>
      <c r="FQ390" s="44"/>
      <c r="FR390" s="40"/>
      <c r="FS390" s="40"/>
      <c r="FT390" s="16"/>
      <c r="FU390" s="16"/>
      <c r="FV390" s="16"/>
      <c r="FW390" s="16"/>
      <c r="FX390" s="16"/>
      <c r="FY390" s="40"/>
      <c r="GA390" s="234"/>
      <c r="GB390" s="234"/>
      <c r="GC390" s="44"/>
      <c r="GD390" s="44"/>
      <c r="GE390" s="44"/>
      <c r="GF390" s="40"/>
      <c r="GG390" s="40"/>
      <c r="GH390" s="16"/>
      <c r="GI390" s="16"/>
      <c r="GJ390" s="16"/>
      <c r="GK390" s="16"/>
      <c r="GL390" s="16"/>
      <c r="GM390" s="40"/>
    </row>
    <row r="391" spans="1:195" s="18" customFormat="1" ht="15" customHeight="1">
      <c r="A391" s="234"/>
      <c r="B391" s="235"/>
      <c r="C391" s="140"/>
      <c r="D391" s="140"/>
      <c r="E391" s="140"/>
      <c r="F391" s="141"/>
      <c r="G391" s="141"/>
      <c r="H391" s="141"/>
      <c r="I391" s="141"/>
      <c r="J391" s="141"/>
      <c r="K391" s="141"/>
      <c r="L391" s="141"/>
      <c r="M391" s="142"/>
      <c r="O391" s="234"/>
      <c r="P391" s="234"/>
      <c r="Q391" s="44"/>
      <c r="R391" s="44"/>
      <c r="S391" s="44"/>
      <c r="T391" s="40"/>
      <c r="U391" s="40"/>
      <c r="V391" s="16"/>
      <c r="W391" s="16"/>
      <c r="X391" s="16"/>
      <c r="Y391" s="16"/>
      <c r="Z391" s="16"/>
      <c r="AA391" s="40"/>
      <c r="AC391" s="234"/>
      <c r="AD391" s="234"/>
      <c r="AE391" s="44"/>
      <c r="AF391" s="44"/>
      <c r="AG391" s="44"/>
      <c r="AH391" s="40"/>
      <c r="AI391" s="40"/>
      <c r="AJ391" s="16"/>
      <c r="AK391" s="16"/>
      <c r="AL391" s="16"/>
      <c r="AM391" s="16"/>
      <c r="AN391" s="16"/>
      <c r="AO391" s="40"/>
      <c r="AQ391" s="234"/>
      <c r="AR391" s="234"/>
      <c r="AS391" s="44"/>
      <c r="AT391" s="44"/>
      <c r="AU391" s="44"/>
      <c r="AV391" s="40"/>
      <c r="AW391" s="40"/>
      <c r="AX391" s="16"/>
      <c r="AY391" s="16"/>
      <c r="AZ391" s="16"/>
      <c r="BA391" s="16"/>
      <c r="BB391" s="16"/>
      <c r="BC391" s="40"/>
      <c r="BE391" s="234"/>
      <c r="BF391" s="234"/>
      <c r="BG391" s="44"/>
      <c r="BH391" s="44"/>
      <c r="BI391" s="44"/>
      <c r="BJ391" s="40"/>
      <c r="BK391" s="40"/>
      <c r="BL391" s="16"/>
      <c r="BM391" s="16"/>
      <c r="BN391" s="16"/>
      <c r="BO391" s="16"/>
      <c r="BP391" s="16"/>
      <c r="BQ391" s="40"/>
      <c r="BS391" s="234"/>
      <c r="BT391" s="234"/>
      <c r="BU391" s="44"/>
      <c r="BV391" s="44"/>
      <c r="BW391" s="44"/>
      <c r="BX391" s="40"/>
      <c r="BY391" s="40"/>
      <c r="BZ391" s="16"/>
      <c r="CA391" s="16"/>
      <c r="CB391" s="16"/>
      <c r="CC391" s="16"/>
      <c r="CD391" s="16"/>
      <c r="CE391" s="40"/>
      <c r="CG391" s="234"/>
      <c r="CH391" s="234"/>
      <c r="CI391" s="44"/>
      <c r="CJ391" s="44"/>
      <c r="CK391" s="44"/>
      <c r="CL391" s="40"/>
      <c r="CM391" s="40"/>
      <c r="CN391" s="16"/>
      <c r="CO391" s="16"/>
      <c r="CP391" s="16"/>
      <c r="CQ391" s="16"/>
      <c r="CR391" s="16"/>
      <c r="CS391" s="40"/>
      <c r="CU391" s="234"/>
      <c r="CV391" s="234"/>
      <c r="CW391" s="44"/>
      <c r="CX391" s="44"/>
      <c r="CY391" s="44"/>
      <c r="CZ391" s="40"/>
      <c r="DA391" s="40"/>
      <c r="DB391" s="16"/>
      <c r="DC391" s="16"/>
      <c r="DD391" s="16"/>
      <c r="DE391" s="16"/>
      <c r="DF391" s="16"/>
      <c r="DG391" s="40"/>
      <c r="DI391" s="234"/>
      <c r="DJ391" s="234"/>
      <c r="DK391" s="44"/>
      <c r="DL391" s="44"/>
      <c r="DM391" s="44"/>
      <c r="DN391" s="40"/>
      <c r="DO391" s="40"/>
      <c r="DP391" s="16"/>
      <c r="DQ391" s="16"/>
      <c r="DR391" s="16"/>
      <c r="DS391" s="16"/>
      <c r="DT391" s="16"/>
      <c r="DU391" s="40"/>
      <c r="DW391" s="234"/>
      <c r="DX391" s="234"/>
      <c r="DY391" s="44"/>
      <c r="DZ391" s="44"/>
      <c r="EA391" s="44"/>
      <c r="EB391" s="40"/>
      <c r="EC391" s="40"/>
      <c r="ED391" s="16"/>
      <c r="EE391" s="16"/>
      <c r="EF391" s="16"/>
      <c r="EG391" s="16"/>
      <c r="EH391" s="16"/>
      <c r="EI391" s="40"/>
      <c r="EK391" s="234"/>
      <c r="EL391" s="234"/>
      <c r="EM391" s="44"/>
      <c r="EN391" s="44"/>
      <c r="EO391" s="44"/>
      <c r="EP391" s="40"/>
      <c r="EQ391" s="40"/>
      <c r="ER391" s="16"/>
      <c r="ES391" s="16"/>
      <c r="ET391" s="16"/>
      <c r="EU391" s="16"/>
      <c r="EV391" s="16"/>
      <c r="EW391" s="40"/>
      <c r="EY391" s="234"/>
      <c r="EZ391" s="234"/>
      <c r="FA391" s="44"/>
      <c r="FB391" s="44"/>
      <c r="FC391" s="44"/>
      <c r="FD391" s="40"/>
      <c r="FE391" s="40"/>
      <c r="FF391" s="16"/>
      <c r="FG391" s="16"/>
      <c r="FH391" s="16"/>
      <c r="FI391" s="16"/>
      <c r="FJ391" s="16"/>
      <c r="FK391" s="40"/>
      <c r="FM391" s="234"/>
      <c r="FN391" s="234"/>
      <c r="FO391" s="44"/>
      <c r="FP391" s="44"/>
      <c r="FQ391" s="44"/>
      <c r="FR391" s="40"/>
      <c r="FS391" s="40"/>
      <c r="FT391" s="16"/>
      <c r="FU391" s="16"/>
      <c r="FV391" s="16"/>
      <c r="FW391" s="16"/>
      <c r="FX391" s="16"/>
      <c r="FY391" s="40"/>
      <c r="GA391" s="234"/>
      <c r="GB391" s="234"/>
      <c r="GC391" s="44"/>
      <c r="GD391" s="44"/>
      <c r="GE391" s="44"/>
      <c r="GF391" s="40"/>
      <c r="GG391" s="40"/>
      <c r="GH391" s="16"/>
      <c r="GI391" s="16"/>
      <c r="GJ391" s="16"/>
      <c r="GK391" s="16"/>
      <c r="GL391" s="16"/>
      <c r="GM391" s="40"/>
    </row>
    <row r="392" spans="1:195" s="18" customFormat="1" ht="15" customHeight="1">
      <c r="A392" s="234"/>
      <c r="B392" s="235"/>
      <c r="C392" s="140"/>
      <c r="D392" s="140"/>
      <c r="E392" s="140"/>
      <c r="F392" s="141"/>
      <c r="G392" s="141"/>
      <c r="H392" s="141"/>
      <c r="I392" s="141"/>
      <c r="J392" s="141"/>
      <c r="K392" s="141"/>
      <c r="L392" s="141"/>
      <c r="M392" s="142"/>
      <c r="O392" s="234"/>
      <c r="P392" s="234"/>
      <c r="Q392" s="44"/>
      <c r="R392" s="44"/>
      <c r="S392" s="44"/>
      <c r="T392" s="40"/>
      <c r="U392" s="40"/>
      <c r="V392" s="16"/>
      <c r="W392" s="16"/>
      <c r="X392" s="16"/>
      <c r="Y392" s="16"/>
      <c r="Z392" s="16"/>
      <c r="AA392" s="40"/>
      <c r="AC392" s="234"/>
      <c r="AD392" s="234"/>
      <c r="AE392" s="44"/>
      <c r="AF392" s="44"/>
      <c r="AG392" s="44"/>
      <c r="AH392" s="40"/>
      <c r="AI392" s="40"/>
      <c r="AJ392" s="16"/>
      <c r="AK392" s="16"/>
      <c r="AL392" s="16"/>
      <c r="AM392" s="16"/>
      <c r="AN392" s="16"/>
      <c r="AO392" s="40"/>
      <c r="AQ392" s="234"/>
      <c r="AR392" s="234"/>
      <c r="AS392" s="44"/>
      <c r="AT392" s="44"/>
      <c r="AU392" s="44"/>
      <c r="AV392" s="40"/>
      <c r="AW392" s="40"/>
      <c r="AX392" s="16"/>
      <c r="AY392" s="16"/>
      <c r="AZ392" s="16"/>
      <c r="BA392" s="16"/>
      <c r="BB392" s="16"/>
      <c r="BC392" s="40"/>
      <c r="BE392" s="234"/>
      <c r="BF392" s="234"/>
      <c r="BG392" s="44"/>
      <c r="BH392" s="44"/>
      <c r="BI392" s="44"/>
      <c r="BJ392" s="40"/>
      <c r="BK392" s="40"/>
      <c r="BL392" s="16"/>
      <c r="BM392" s="16"/>
      <c r="BN392" s="16"/>
      <c r="BO392" s="16"/>
      <c r="BP392" s="16"/>
      <c r="BQ392" s="40"/>
      <c r="BS392" s="234"/>
      <c r="BT392" s="234"/>
      <c r="BU392" s="44"/>
      <c r="BV392" s="44"/>
      <c r="BW392" s="44"/>
      <c r="BX392" s="40"/>
      <c r="BY392" s="40"/>
      <c r="BZ392" s="16"/>
      <c r="CA392" s="16"/>
      <c r="CB392" s="16"/>
      <c r="CC392" s="16"/>
      <c r="CD392" s="16"/>
      <c r="CE392" s="40"/>
      <c r="CG392" s="234"/>
      <c r="CH392" s="234"/>
      <c r="CI392" s="44"/>
      <c r="CJ392" s="44"/>
      <c r="CK392" s="44"/>
      <c r="CL392" s="40"/>
      <c r="CM392" s="40"/>
      <c r="CN392" s="16"/>
      <c r="CO392" s="16"/>
      <c r="CP392" s="16"/>
      <c r="CQ392" s="16"/>
      <c r="CR392" s="16"/>
      <c r="CS392" s="40"/>
      <c r="CU392" s="234"/>
      <c r="CV392" s="234"/>
      <c r="CW392" s="44"/>
      <c r="CX392" s="44"/>
      <c r="CY392" s="44"/>
      <c r="CZ392" s="40"/>
      <c r="DA392" s="40"/>
      <c r="DB392" s="16"/>
      <c r="DC392" s="16"/>
      <c r="DD392" s="16"/>
      <c r="DE392" s="16"/>
      <c r="DF392" s="16"/>
      <c r="DG392" s="40"/>
      <c r="DI392" s="234"/>
      <c r="DJ392" s="234"/>
      <c r="DK392" s="44"/>
      <c r="DL392" s="44"/>
      <c r="DM392" s="44"/>
      <c r="DN392" s="40"/>
      <c r="DO392" s="40"/>
      <c r="DP392" s="16"/>
      <c r="DQ392" s="16"/>
      <c r="DR392" s="16"/>
      <c r="DS392" s="16"/>
      <c r="DT392" s="16"/>
      <c r="DU392" s="40"/>
      <c r="DW392" s="234"/>
      <c r="DX392" s="234"/>
      <c r="DY392" s="44"/>
      <c r="DZ392" s="44"/>
      <c r="EA392" s="44"/>
      <c r="EB392" s="40"/>
      <c r="EC392" s="40"/>
      <c r="ED392" s="16"/>
      <c r="EE392" s="16"/>
      <c r="EF392" s="16"/>
      <c r="EG392" s="16"/>
      <c r="EH392" s="16"/>
      <c r="EI392" s="40"/>
      <c r="EK392" s="234"/>
      <c r="EL392" s="234"/>
      <c r="EM392" s="44"/>
      <c r="EN392" s="44"/>
      <c r="EO392" s="44"/>
      <c r="EP392" s="40"/>
      <c r="EQ392" s="40"/>
      <c r="ER392" s="16"/>
      <c r="ES392" s="16"/>
      <c r="ET392" s="16"/>
      <c r="EU392" s="16"/>
      <c r="EV392" s="16"/>
      <c r="EW392" s="40"/>
      <c r="EY392" s="234"/>
      <c r="EZ392" s="234"/>
      <c r="FA392" s="44"/>
      <c r="FB392" s="44"/>
      <c r="FC392" s="44"/>
      <c r="FD392" s="40"/>
      <c r="FE392" s="40"/>
      <c r="FF392" s="16"/>
      <c r="FG392" s="16"/>
      <c r="FH392" s="16"/>
      <c r="FI392" s="16"/>
      <c r="FJ392" s="16"/>
      <c r="FK392" s="40"/>
      <c r="FM392" s="234"/>
      <c r="FN392" s="234"/>
      <c r="FO392" s="44"/>
      <c r="FP392" s="44"/>
      <c r="FQ392" s="44"/>
      <c r="FR392" s="40"/>
      <c r="FS392" s="40"/>
      <c r="FT392" s="16"/>
      <c r="FU392" s="16"/>
      <c r="FV392" s="16"/>
      <c r="FW392" s="16"/>
      <c r="FX392" s="16"/>
      <c r="FY392" s="40"/>
      <c r="GA392" s="234"/>
      <c r="GB392" s="234"/>
      <c r="GC392" s="44"/>
      <c r="GD392" s="44"/>
      <c r="GE392" s="44"/>
      <c r="GF392" s="40"/>
      <c r="GG392" s="40"/>
      <c r="GH392" s="16"/>
      <c r="GI392" s="16"/>
      <c r="GJ392" s="16"/>
      <c r="GK392" s="16"/>
      <c r="GL392" s="16"/>
      <c r="GM392" s="40"/>
    </row>
    <row r="393" spans="1:195" s="18" customFormat="1" ht="15" customHeight="1">
      <c r="A393" s="234"/>
      <c r="B393" s="235"/>
      <c r="C393" s="140"/>
      <c r="D393" s="140"/>
      <c r="E393" s="140"/>
      <c r="F393" s="141"/>
      <c r="G393" s="141"/>
      <c r="H393" s="141"/>
      <c r="I393" s="141"/>
      <c r="J393" s="141"/>
      <c r="K393" s="141"/>
      <c r="L393" s="141"/>
      <c r="M393" s="142"/>
      <c r="O393" s="234"/>
      <c r="P393" s="234"/>
      <c r="Q393" s="44"/>
      <c r="R393" s="44"/>
      <c r="S393" s="44"/>
      <c r="T393" s="40"/>
      <c r="U393" s="40"/>
      <c r="V393" s="16"/>
      <c r="W393" s="16"/>
      <c r="X393" s="16"/>
      <c r="Y393" s="16"/>
      <c r="Z393" s="16"/>
      <c r="AA393" s="40"/>
      <c r="AC393" s="234"/>
      <c r="AD393" s="234"/>
      <c r="AE393" s="44"/>
      <c r="AF393" s="44"/>
      <c r="AG393" s="44"/>
      <c r="AH393" s="40"/>
      <c r="AI393" s="40"/>
      <c r="AJ393" s="16"/>
      <c r="AK393" s="16"/>
      <c r="AL393" s="16"/>
      <c r="AM393" s="16"/>
      <c r="AN393" s="16"/>
      <c r="AO393" s="40"/>
      <c r="AQ393" s="234"/>
      <c r="AR393" s="234"/>
      <c r="AS393" s="44"/>
      <c r="AT393" s="44"/>
      <c r="AU393" s="44"/>
      <c r="AV393" s="40"/>
      <c r="AW393" s="40"/>
      <c r="AX393" s="16"/>
      <c r="AY393" s="16"/>
      <c r="AZ393" s="16"/>
      <c r="BA393" s="16"/>
      <c r="BB393" s="16"/>
      <c r="BC393" s="40"/>
      <c r="BE393" s="234"/>
      <c r="BF393" s="234"/>
      <c r="BG393" s="44"/>
      <c r="BH393" s="44"/>
      <c r="BI393" s="44"/>
      <c r="BJ393" s="40"/>
      <c r="BK393" s="40"/>
      <c r="BL393" s="16"/>
      <c r="BM393" s="16"/>
      <c r="BN393" s="16"/>
      <c r="BO393" s="16"/>
      <c r="BP393" s="16"/>
      <c r="BQ393" s="40"/>
      <c r="BS393" s="234"/>
      <c r="BT393" s="234"/>
      <c r="BU393" s="44"/>
      <c r="BV393" s="44"/>
      <c r="BW393" s="44"/>
      <c r="BX393" s="40"/>
      <c r="BY393" s="40"/>
      <c r="BZ393" s="16"/>
      <c r="CA393" s="16"/>
      <c r="CB393" s="16"/>
      <c r="CC393" s="16"/>
      <c r="CD393" s="16"/>
      <c r="CE393" s="40"/>
      <c r="CG393" s="234"/>
      <c r="CH393" s="234"/>
      <c r="CI393" s="44"/>
      <c r="CJ393" s="44"/>
      <c r="CK393" s="44"/>
      <c r="CL393" s="40"/>
      <c r="CM393" s="40"/>
      <c r="CN393" s="16"/>
      <c r="CO393" s="16"/>
      <c r="CP393" s="16"/>
      <c r="CQ393" s="16"/>
      <c r="CR393" s="16"/>
      <c r="CS393" s="40"/>
      <c r="CU393" s="234"/>
      <c r="CV393" s="234"/>
      <c r="CW393" s="44"/>
      <c r="CX393" s="44"/>
      <c r="CY393" s="44"/>
      <c r="CZ393" s="40"/>
      <c r="DA393" s="40"/>
      <c r="DB393" s="16"/>
      <c r="DC393" s="16"/>
      <c r="DD393" s="16"/>
      <c r="DE393" s="16"/>
      <c r="DF393" s="16"/>
      <c r="DG393" s="40"/>
      <c r="DI393" s="234"/>
      <c r="DJ393" s="234"/>
      <c r="DK393" s="44"/>
      <c r="DL393" s="44"/>
      <c r="DM393" s="44"/>
      <c r="DN393" s="40"/>
      <c r="DO393" s="40"/>
      <c r="DP393" s="16"/>
      <c r="DQ393" s="16"/>
      <c r="DR393" s="16"/>
      <c r="DS393" s="16"/>
      <c r="DT393" s="16"/>
      <c r="DU393" s="40"/>
      <c r="DW393" s="234"/>
      <c r="DX393" s="234"/>
      <c r="DY393" s="44"/>
      <c r="DZ393" s="44"/>
      <c r="EA393" s="44"/>
      <c r="EB393" s="40"/>
      <c r="EC393" s="40"/>
      <c r="ED393" s="16"/>
      <c r="EE393" s="16"/>
      <c r="EF393" s="16"/>
      <c r="EG393" s="16"/>
      <c r="EH393" s="16"/>
      <c r="EI393" s="40"/>
      <c r="EK393" s="234"/>
      <c r="EL393" s="234"/>
      <c r="EM393" s="44"/>
      <c r="EN393" s="44"/>
      <c r="EO393" s="44"/>
      <c r="EP393" s="40"/>
      <c r="EQ393" s="40"/>
      <c r="ER393" s="16"/>
      <c r="ES393" s="16"/>
      <c r="ET393" s="16"/>
      <c r="EU393" s="16"/>
      <c r="EV393" s="16"/>
      <c r="EW393" s="40"/>
      <c r="EY393" s="234"/>
      <c r="EZ393" s="234"/>
      <c r="FA393" s="44"/>
      <c r="FB393" s="44"/>
      <c r="FC393" s="44"/>
      <c r="FD393" s="40"/>
      <c r="FE393" s="40"/>
      <c r="FF393" s="16"/>
      <c r="FG393" s="16"/>
      <c r="FH393" s="16"/>
      <c r="FI393" s="16"/>
      <c r="FJ393" s="16"/>
      <c r="FK393" s="40"/>
      <c r="FM393" s="234"/>
      <c r="FN393" s="234"/>
      <c r="FO393" s="44"/>
      <c r="FP393" s="44"/>
      <c r="FQ393" s="44"/>
      <c r="FR393" s="40"/>
      <c r="FS393" s="40"/>
      <c r="FT393" s="16"/>
      <c r="FU393" s="16"/>
      <c r="FV393" s="16"/>
      <c r="FW393" s="16"/>
      <c r="FX393" s="16"/>
      <c r="FY393" s="40"/>
      <c r="GA393" s="234"/>
      <c r="GB393" s="234"/>
      <c r="GC393" s="44"/>
      <c r="GD393" s="44"/>
      <c r="GE393" s="44"/>
      <c r="GF393" s="40"/>
      <c r="GG393" s="40"/>
      <c r="GH393" s="16"/>
      <c r="GI393" s="16"/>
      <c r="GJ393" s="16"/>
      <c r="GK393" s="16"/>
      <c r="GL393" s="16"/>
      <c r="GM393" s="40"/>
    </row>
    <row r="394" spans="1:195" s="74" customFormat="1" ht="45" customHeight="1">
      <c r="A394" s="18"/>
      <c r="B394" s="18"/>
      <c r="C394" s="18"/>
      <c r="D394" s="18"/>
      <c r="E394" s="18"/>
      <c r="F394" s="18"/>
      <c r="G394" s="18"/>
      <c r="H394" s="18"/>
      <c r="I394" s="18"/>
      <c r="J394" s="18"/>
      <c r="K394" s="18"/>
      <c r="L394" s="18"/>
      <c r="M394" s="18"/>
      <c r="O394" s="18"/>
      <c r="P394" s="18"/>
      <c r="Q394" s="18"/>
      <c r="R394" s="18"/>
      <c r="S394" s="18"/>
      <c r="T394" s="18"/>
      <c r="U394" s="18"/>
      <c r="V394" s="18"/>
      <c r="W394" s="18"/>
      <c r="X394" s="18"/>
      <c r="Y394" s="18"/>
      <c r="Z394" s="18"/>
      <c r="AA394" s="18"/>
      <c r="AC394" s="18"/>
      <c r="AD394" s="18"/>
      <c r="AE394" s="18"/>
      <c r="AF394" s="18"/>
      <c r="AG394" s="18"/>
      <c r="AH394" s="18"/>
      <c r="AI394" s="18"/>
      <c r="AJ394" s="18"/>
      <c r="AK394" s="18"/>
      <c r="AL394" s="18"/>
      <c r="AM394" s="18"/>
      <c r="AN394" s="18"/>
      <c r="AO394" s="18"/>
      <c r="AQ394" s="18"/>
      <c r="AR394" s="18"/>
      <c r="AS394" s="18"/>
      <c r="AT394" s="18"/>
      <c r="AU394" s="18"/>
      <c r="AV394" s="18"/>
      <c r="AW394" s="18"/>
      <c r="AX394" s="18"/>
      <c r="AY394" s="18"/>
      <c r="AZ394" s="18"/>
      <c r="BA394" s="18"/>
      <c r="BB394" s="18"/>
      <c r="BC394" s="18"/>
      <c r="BE394" s="18"/>
      <c r="BF394" s="18"/>
      <c r="BG394" s="18"/>
      <c r="BH394" s="18"/>
      <c r="BI394" s="18"/>
      <c r="BJ394" s="18"/>
      <c r="BK394" s="18"/>
      <c r="BL394" s="18"/>
      <c r="BM394" s="18"/>
      <c r="BN394" s="18"/>
      <c r="BO394" s="18"/>
      <c r="BP394" s="18"/>
      <c r="BQ394" s="18"/>
      <c r="BS394" s="18"/>
      <c r="BT394" s="18"/>
      <c r="BU394" s="18"/>
      <c r="BV394" s="18"/>
      <c r="BW394" s="18"/>
      <c r="BX394" s="18"/>
      <c r="BY394" s="18"/>
      <c r="BZ394" s="18"/>
      <c r="CA394" s="18"/>
      <c r="CB394" s="18"/>
      <c r="CC394" s="18"/>
      <c r="CD394" s="18"/>
      <c r="CE394" s="18"/>
      <c r="CG394" s="18"/>
      <c r="CH394" s="18"/>
      <c r="CI394" s="18"/>
      <c r="CJ394" s="18"/>
      <c r="CK394" s="18"/>
      <c r="CL394" s="18"/>
      <c r="CM394" s="18"/>
      <c r="CN394" s="18"/>
      <c r="CO394" s="18"/>
      <c r="CP394" s="18"/>
      <c r="CQ394" s="18"/>
      <c r="CR394" s="18"/>
      <c r="CS394" s="18"/>
      <c r="CU394" s="18"/>
      <c r="CV394" s="18"/>
      <c r="CW394" s="18"/>
      <c r="CX394" s="18"/>
      <c r="CY394" s="18"/>
      <c r="CZ394" s="18"/>
      <c r="DA394" s="18"/>
      <c r="DB394" s="18"/>
      <c r="DC394" s="18"/>
      <c r="DD394" s="18"/>
      <c r="DE394" s="18"/>
      <c r="DF394" s="18"/>
      <c r="DG394" s="18"/>
      <c r="DI394" s="18"/>
      <c r="DJ394" s="18"/>
      <c r="DK394" s="18"/>
      <c r="DL394" s="18"/>
      <c r="DM394" s="18"/>
      <c r="DN394" s="18"/>
      <c r="DO394" s="18"/>
      <c r="DP394" s="18"/>
      <c r="DQ394" s="18"/>
      <c r="DR394" s="18"/>
      <c r="DS394" s="18"/>
      <c r="DT394" s="18"/>
      <c r="DU394" s="18"/>
      <c r="DW394" s="18"/>
      <c r="DX394" s="18"/>
      <c r="DY394" s="18"/>
      <c r="DZ394" s="18"/>
      <c r="EA394" s="18"/>
      <c r="EB394" s="18"/>
      <c r="EC394" s="18"/>
      <c r="ED394" s="18"/>
      <c r="EE394" s="18"/>
      <c r="EF394" s="18"/>
      <c r="EG394" s="18"/>
      <c r="EH394" s="18"/>
      <c r="EI394" s="18"/>
      <c r="EK394" s="18"/>
      <c r="EL394" s="18"/>
      <c r="EM394" s="18"/>
      <c r="EN394" s="18"/>
      <c r="EO394" s="18"/>
      <c r="EP394" s="18"/>
      <c r="EQ394" s="18"/>
      <c r="ER394" s="18"/>
      <c r="ES394" s="18"/>
      <c r="ET394" s="18"/>
      <c r="EU394" s="18"/>
      <c r="EV394" s="18"/>
      <c r="EW394" s="18"/>
      <c r="EY394" s="18"/>
      <c r="EZ394" s="18"/>
      <c r="FA394" s="18"/>
      <c r="FB394" s="18"/>
      <c r="FC394" s="18"/>
      <c r="FD394" s="18"/>
      <c r="FE394" s="18"/>
      <c r="FF394" s="18"/>
      <c r="FG394" s="18"/>
      <c r="FH394" s="18"/>
      <c r="FI394" s="18"/>
      <c r="FJ394" s="18"/>
      <c r="FK394" s="18"/>
      <c r="FM394" s="18"/>
      <c r="FN394" s="18"/>
      <c r="FO394" s="18"/>
      <c r="FP394" s="18"/>
      <c r="FQ394" s="18"/>
      <c r="FR394" s="18"/>
      <c r="FS394" s="18"/>
      <c r="FT394" s="18"/>
      <c r="FU394" s="18"/>
      <c r="FV394" s="18"/>
      <c r="FW394" s="18"/>
      <c r="FX394" s="18"/>
      <c r="FY394" s="18"/>
      <c r="GA394" s="18"/>
      <c r="GB394" s="18"/>
      <c r="GC394" s="18"/>
      <c r="GD394" s="18"/>
      <c r="GE394" s="18"/>
      <c r="GF394" s="18"/>
      <c r="GG394" s="18"/>
      <c r="GH394" s="18"/>
      <c r="GI394" s="18"/>
      <c r="GJ394" s="18"/>
      <c r="GK394" s="18"/>
      <c r="GL394" s="18"/>
      <c r="GM394" s="18"/>
    </row>
    <row r="395" spans="1:195" s="18" customFormat="1" ht="38.25">
      <c r="A395" s="187" t="s">
        <v>107</v>
      </c>
      <c r="B395" s="71" t="s">
        <v>116</v>
      </c>
      <c r="C395" s="71" t="s">
        <v>117</v>
      </c>
      <c r="D395" s="71" t="s">
        <v>118</v>
      </c>
      <c r="E395" s="71" t="s">
        <v>120</v>
      </c>
      <c r="F395" s="71" t="s">
        <v>119</v>
      </c>
      <c r="G395" s="74"/>
      <c r="H395" s="74"/>
      <c r="I395" s="74"/>
      <c r="J395" s="74"/>
      <c r="K395" s="74"/>
      <c r="L395" s="74"/>
      <c r="M395" s="74"/>
      <c r="O395" s="74"/>
      <c r="P395" s="74"/>
      <c r="Q395" s="74"/>
      <c r="R395" s="74"/>
      <c r="S395" s="74"/>
      <c r="T395" s="74"/>
      <c r="U395" s="74"/>
      <c r="V395" s="74"/>
      <c r="W395" s="74"/>
      <c r="X395" s="74"/>
      <c r="Y395" s="74"/>
      <c r="Z395" s="74"/>
      <c r="AA395" s="74"/>
      <c r="AC395" s="74"/>
      <c r="AD395" s="74"/>
      <c r="AE395" s="74"/>
      <c r="AF395" s="74"/>
      <c r="AG395" s="74"/>
      <c r="AH395" s="74"/>
      <c r="AI395" s="74"/>
      <c r="AJ395" s="74"/>
      <c r="AK395" s="74"/>
      <c r="AL395" s="74"/>
      <c r="AM395" s="74"/>
      <c r="AN395" s="74"/>
      <c r="AO395" s="74"/>
      <c r="AQ395" s="74"/>
      <c r="AR395" s="74"/>
      <c r="AS395" s="74"/>
      <c r="AT395" s="74"/>
      <c r="AU395" s="74"/>
      <c r="AV395" s="74"/>
      <c r="AW395" s="74"/>
      <c r="AX395" s="74"/>
      <c r="AY395" s="74"/>
      <c r="AZ395" s="74"/>
      <c r="BA395" s="74"/>
      <c r="BB395" s="74"/>
      <c r="BC395" s="74"/>
      <c r="BE395" s="74"/>
      <c r="BF395" s="74"/>
      <c r="BG395" s="74"/>
      <c r="BH395" s="74"/>
      <c r="BI395" s="74"/>
      <c r="BJ395" s="74"/>
      <c r="BK395" s="74"/>
      <c r="BL395" s="74"/>
      <c r="BM395" s="74"/>
      <c r="BN395" s="74"/>
      <c r="BO395" s="74"/>
      <c r="BP395" s="74"/>
      <c r="BQ395" s="74"/>
      <c r="BS395" s="74"/>
      <c r="BT395" s="74"/>
      <c r="BU395" s="74"/>
      <c r="BV395" s="74"/>
      <c r="BW395" s="74"/>
      <c r="BX395" s="74"/>
      <c r="BY395" s="74"/>
      <c r="BZ395" s="74"/>
      <c r="CA395" s="74"/>
      <c r="CB395" s="74"/>
      <c r="CC395" s="74"/>
      <c r="CD395" s="74"/>
      <c r="CE395" s="74"/>
      <c r="CG395" s="74"/>
      <c r="CH395" s="74"/>
      <c r="CI395" s="74"/>
      <c r="CJ395" s="74"/>
      <c r="CK395" s="74"/>
      <c r="CL395" s="74"/>
      <c r="CM395" s="74"/>
      <c r="CN395" s="74"/>
      <c r="CO395" s="74"/>
      <c r="CP395" s="74"/>
      <c r="CQ395" s="74"/>
      <c r="CR395" s="74"/>
      <c r="CS395" s="74"/>
      <c r="CU395" s="74"/>
      <c r="CV395" s="74"/>
      <c r="CW395" s="74"/>
      <c r="CX395" s="74"/>
      <c r="CY395" s="74"/>
      <c r="CZ395" s="74"/>
      <c r="DA395" s="74"/>
      <c r="DB395" s="74"/>
      <c r="DC395" s="74"/>
      <c r="DD395" s="74"/>
      <c r="DE395" s="74"/>
      <c r="DF395" s="74"/>
      <c r="DG395" s="74"/>
      <c r="DI395" s="74"/>
      <c r="DJ395" s="74"/>
      <c r="DK395" s="74"/>
      <c r="DL395" s="74"/>
      <c r="DM395" s="74"/>
      <c r="DN395" s="74"/>
      <c r="DO395" s="74"/>
      <c r="DP395" s="74"/>
      <c r="DQ395" s="74"/>
      <c r="DR395" s="74"/>
      <c r="DS395" s="74"/>
      <c r="DT395" s="74"/>
      <c r="DU395" s="74"/>
      <c r="DW395" s="74"/>
      <c r="DX395" s="74"/>
      <c r="DY395" s="74"/>
      <c r="DZ395" s="74"/>
      <c r="EA395" s="74"/>
      <c r="EB395" s="74"/>
      <c r="EC395" s="74"/>
      <c r="ED395" s="74"/>
      <c r="EE395" s="74"/>
      <c r="EF395" s="74"/>
      <c r="EG395" s="74"/>
      <c r="EH395" s="74"/>
      <c r="EI395" s="74"/>
      <c r="EK395" s="74"/>
      <c r="EL395" s="74"/>
      <c r="EM395" s="74"/>
      <c r="EN395" s="74"/>
      <c r="EO395" s="74"/>
      <c r="EP395" s="74"/>
      <c r="EQ395" s="74"/>
      <c r="ER395" s="74"/>
      <c r="ES395" s="74"/>
      <c r="ET395" s="74"/>
      <c r="EU395" s="74"/>
      <c r="EV395" s="74"/>
      <c r="EW395" s="74"/>
      <c r="EY395" s="74"/>
      <c r="EZ395" s="74"/>
      <c r="FA395" s="74"/>
      <c r="FB395" s="74"/>
      <c r="FC395" s="74"/>
      <c r="FD395" s="74"/>
      <c r="FE395" s="74"/>
      <c r="FF395" s="74"/>
      <c r="FG395" s="74"/>
      <c r="FH395" s="74"/>
      <c r="FI395" s="74"/>
      <c r="FJ395" s="74"/>
      <c r="FK395" s="74"/>
      <c r="FM395" s="74"/>
      <c r="FN395" s="74"/>
      <c r="FO395" s="74"/>
      <c r="FP395" s="74"/>
      <c r="FQ395" s="74"/>
      <c r="FR395" s="74"/>
      <c r="FS395" s="74"/>
      <c r="FT395" s="74"/>
      <c r="FU395" s="74"/>
      <c r="FV395" s="74"/>
      <c r="FW395" s="74"/>
      <c r="FX395" s="74"/>
      <c r="FY395" s="74"/>
      <c r="GA395" s="74"/>
      <c r="GB395" s="74"/>
      <c r="GC395" s="74"/>
      <c r="GD395" s="74"/>
      <c r="GE395" s="74"/>
      <c r="GF395" s="74"/>
      <c r="GG395" s="74"/>
      <c r="GH395" s="74"/>
      <c r="GI395" s="74"/>
      <c r="GJ395" s="74"/>
      <c r="GK395" s="74"/>
      <c r="GL395" s="74"/>
      <c r="GM395" s="74"/>
    </row>
    <row r="396" spans="1:195" s="18" customFormat="1" ht="15" customHeight="1">
      <c r="A396" s="188">
        <v>1993</v>
      </c>
      <c r="B396" s="186">
        <v>198019</v>
      </c>
      <c r="C396" s="186">
        <v>25644</v>
      </c>
      <c r="D396" s="186">
        <v>172375</v>
      </c>
      <c r="E396" s="186">
        <v>159432</v>
      </c>
      <c r="F396" s="186">
        <v>12943</v>
      </c>
    </row>
    <row r="397" spans="1:195" s="18" customFormat="1" ht="15" customHeight="1">
      <c r="A397" s="188">
        <v>1994</v>
      </c>
      <c r="B397" s="186">
        <v>213724</v>
      </c>
      <c r="C397" s="186">
        <v>27691</v>
      </c>
      <c r="D397" s="186">
        <v>186033</v>
      </c>
      <c r="E397" s="186">
        <v>165944</v>
      </c>
      <c r="F397" s="186">
        <v>20089</v>
      </c>
    </row>
    <row r="398" spans="1:195" s="18" customFormat="1" ht="15" customHeight="1">
      <c r="A398" s="188">
        <v>1995</v>
      </c>
      <c r="B398" s="186">
        <v>226650</v>
      </c>
      <c r="C398" s="186">
        <v>3513</v>
      </c>
      <c r="D398" s="186">
        <v>223137</v>
      </c>
      <c r="E398" s="186">
        <v>215131</v>
      </c>
      <c r="F398" s="186">
        <v>8006</v>
      </c>
    </row>
    <row r="399" spans="1:195" s="18" customFormat="1" ht="15" customHeight="1">
      <c r="A399" s="188">
        <v>1996</v>
      </c>
      <c r="B399" s="186">
        <v>246677</v>
      </c>
      <c r="C399" s="186">
        <v>4214</v>
      </c>
      <c r="D399" s="186">
        <v>242463</v>
      </c>
      <c r="E399" s="186">
        <v>236197</v>
      </c>
      <c r="F399" s="186">
        <v>6266</v>
      </c>
    </row>
    <row r="400" spans="1:195" s="18" customFormat="1" ht="15" customHeight="1">
      <c r="A400" s="188">
        <v>1997</v>
      </c>
      <c r="B400" s="186">
        <v>262186</v>
      </c>
      <c r="C400" s="186">
        <v>2742</v>
      </c>
      <c r="D400" s="186">
        <v>259444</v>
      </c>
      <c r="E400" s="186">
        <v>251257</v>
      </c>
      <c r="F400" s="186">
        <v>8187</v>
      </c>
    </row>
    <row r="401" spans="1:6" s="18" customFormat="1" ht="15" customHeight="1">
      <c r="A401" s="188">
        <v>1998</v>
      </c>
      <c r="B401" s="186">
        <v>273841</v>
      </c>
      <c r="C401" s="186">
        <v>2394</v>
      </c>
      <c r="D401" s="186">
        <v>271447</v>
      </c>
      <c r="E401" s="186">
        <v>265341</v>
      </c>
      <c r="F401" s="186">
        <v>6106</v>
      </c>
    </row>
    <row r="402" spans="1:6" s="18" customFormat="1" ht="15" customHeight="1">
      <c r="A402" s="188">
        <v>1999</v>
      </c>
      <c r="B402" s="186">
        <v>298230</v>
      </c>
      <c r="C402" s="186">
        <v>2656</v>
      </c>
      <c r="D402" s="186">
        <v>295574</v>
      </c>
      <c r="E402" s="186">
        <v>287424</v>
      </c>
      <c r="F402" s="186">
        <v>8150</v>
      </c>
    </row>
    <row r="403" spans="1:6" s="18" customFormat="1" ht="15" customHeight="1">
      <c r="A403" s="188">
        <v>2000</v>
      </c>
      <c r="B403" s="186">
        <v>302714</v>
      </c>
      <c r="C403" s="186">
        <v>5186</v>
      </c>
      <c r="D403" s="186">
        <v>297528</v>
      </c>
      <c r="E403" s="186">
        <v>289086</v>
      </c>
      <c r="F403" s="186">
        <v>8442</v>
      </c>
    </row>
    <row r="404" spans="1:6" s="18" customFormat="1" ht="15" customHeight="1">
      <c r="A404" s="188">
        <v>2001</v>
      </c>
      <c r="B404" s="186">
        <v>334437</v>
      </c>
      <c r="C404" s="186">
        <v>10277</v>
      </c>
      <c r="D404" s="186">
        <v>324160</v>
      </c>
      <c r="E404" s="186">
        <v>310525</v>
      </c>
      <c r="F404" s="186">
        <v>13635</v>
      </c>
    </row>
    <row r="405" spans="1:6" s="18" customFormat="1" ht="15" customHeight="1">
      <c r="A405" s="188">
        <v>2002</v>
      </c>
      <c r="B405" s="186">
        <v>304417</v>
      </c>
      <c r="C405" s="186">
        <v>10807</v>
      </c>
      <c r="D405" s="186">
        <v>293610</v>
      </c>
      <c r="E405" s="186">
        <v>268831</v>
      </c>
      <c r="F405" s="186">
        <v>24779</v>
      </c>
    </row>
    <row r="406" spans="1:6" s="18" customFormat="1" ht="15" customHeight="1">
      <c r="A406" s="188">
        <v>2003</v>
      </c>
      <c r="B406" s="186">
        <v>252254</v>
      </c>
      <c r="C406" s="186">
        <v>14603</v>
      </c>
      <c r="D406" s="186">
        <v>237651</v>
      </c>
      <c r="E406" s="186">
        <v>208374</v>
      </c>
      <c r="F406" s="186">
        <v>29277</v>
      </c>
    </row>
    <row r="407" spans="1:6" s="18" customFormat="1" ht="15" customHeight="1">
      <c r="A407" s="188">
        <v>2004</v>
      </c>
      <c r="B407" s="186">
        <v>239200</v>
      </c>
      <c r="C407" s="186">
        <v>22577</v>
      </c>
      <c r="D407" s="186">
        <v>216623</v>
      </c>
      <c r="E407" s="186">
        <v>182043</v>
      </c>
      <c r="F407" s="186">
        <v>34580</v>
      </c>
    </row>
    <row r="408" spans="1:6" s="18" customFormat="1" ht="15" customHeight="1">
      <c r="A408" s="188">
        <v>2005</v>
      </c>
      <c r="B408" s="186">
        <v>237857</v>
      </c>
      <c r="C408" s="186">
        <v>12907</v>
      </c>
      <c r="D408" s="186">
        <v>224950</v>
      </c>
      <c r="E408" s="186">
        <v>196462</v>
      </c>
      <c r="F408" s="186">
        <v>28488</v>
      </c>
    </row>
    <row r="409" spans="1:6" s="18" customFormat="1" ht="15" customHeight="1">
      <c r="A409" s="188">
        <v>2006</v>
      </c>
      <c r="B409" s="186">
        <v>237367</v>
      </c>
      <c r="C409" s="186">
        <v>13037</v>
      </c>
      <c r="D409" s="186">
        <v>224330</v>
      </c>
      <c r="E409" s="186">
        <v>186801</v>
      </c>
      <c r="F409" s="186">
        <v>37529</v>
      </c>
    </row>
    <row r="410" spans="1:6" s="18" customFormat="1" ht="15" customHeight="1">
      <c r="A410" s="188">
        <v>2007</v>
      </c>
      <c r="B410" s="186">
        <v>236070</v>
      </c>
      <c r="C410" s="186">
        <v>18217</v>
      </c>
      <c r="D410" s="186">
        <v>217853</v>
      </c>
      <c r="E410" s="186">
        <v>156661</v>
      </c>
      <c r="F410" s="186">
        <v>61192</v>
      </c>
    </row>
    <row r="411" spans="1:6" s="18" customFormat="1" ht="15" customHeight="1">
      <c r="A411" s="188">
        <v>2008</v>
      </c>
      <c r="B411" s="186">
        <v>233512</v>
      </c>
      <c r="C411" s="186">
        <v>14765</v>
      </c>
      <c r="D411" s="186">
        <v>218747</v>
      </c>
      <c r="E411" s="186">
        <v>170065</v>
      </c>
      <c r="F411" s="186">
        <v>48682</v>
      </c>
    </row>
    <row r="412" spans="1:6" s="18" customFormat="1" ht="15" customHeight="1">
      <c r="A412" s="188">
        <v>2009</v>
      </c>
      <c r="B412" s="186">
        <v>254913</v>
      </c>
      <c r="C412" s="186">
        <v>7764</v>
      </c>
      <c r="D412" s="186">
        <v>247149</v>
      </c>
      <c r="E412" s="186">
        <v>221798</v>
      </c>
      <c r="F412" s="186">
        <v>25351</v>
      </c>
    </row>
    <row r="413" spans="1:6" s="18" customFormat="1" ht="15" customHeight="1">
      <c r="A413" s="188">
        <v>2010</v>
      </c>
      <c r="B413" s="186">
        <v>256214</v>
      </c>
      <c r="C413" s="186">
        <v>9078</v>
      </c>
      <c r="D413" s="186">
        <v>247136</v>
      </c>
      <c r="E413" s="186">
        <v>227304</v>
      </c>
      <c r="F413" s="186">
        <v>19832</v>
      </c>
    </row>
    <row r="414" spans="1:6" s="18" customFormat="1" ht="15" customHeight="1">
      <c r="A414" s="188">
        <v>2011</v>
      </c>
      <c r="B414" s="186">
        <v>259687</v>
      </c>
      <c r="C414" s="186">
        <v>11722</v>
      </c>
      <c r="D414" s="186">
        <v>247965</v>
      </c>
      <c r="E414" s="186">
        <v>224003</v>
      </c>
      <c r="F414" s="186">
        <v>23962</v>
      </c>
    </row>
    <row r="415" spans="1:6" s="18" customFormat="1" ht="15" customHeight="1">
      <c r="A415" s="188">
        <v>2012</v>
      </c>
      <c r="B415" s="186">
        <v>261381</v>
      </c>
      <c r="C415" s="186">
        <v>20749</v>
      </c>
      <c r="D415" s="186">
        <v>240632</v>
      </c>
      <c r="E415" s="186">
        <v>204790</v>
      </c>
      <c r="F415" s="186">
        <v>35842</v>
      </c>
    </row>
    <row r="416" spans="1:6" s="18" customFormat="1" ht="15" customHeight="1">
      <c r="A416" s="188">
        <v>2013</v>
      </c>
      <c r="B416" s="186">
        <v>260967</v>
      </c>
      <c r="C416" s="186">
        <v>30489</v>
      </c>
      <c r="D416" s="186">
        <v>230478</v>
      </c>
      <c r="E416" s="186">
        <v>172157</v>
      </c>
      <c r="F416" s="186">
        <v>58321</v>
      </c>
    </row>
    <row r="417" spans="1:6" s="18" customFormat="1" ht="15" customHeight="1">
      <c r="A417" s="188">
        <v>2014</v>
      </c>
      <c r="B417" s="186">
        <v>253473</v>
      </c>
      <c r="C417" s="186">
        <v>15777</v>
      </c>
      <c r="D417" s="186">
        <v>237696</v>
      </c>
      <c r="E417" s="186">
        <v>190453</v>
      </c>
      <c r="F417" s="186">
        <v>47243</v>
      </c>
    </row>
    <row r="418" spans="1:6" s="18" customFormat="1" ht="15" customHeight="1">
      <c r="A418" s="188">
        <v>2015</v>
      </c>
      <c r="B418" s="186">
        <v>221758</v>
      </c>
      <c r="C418" s="186">
        <v>22108</v>
      </c>
      <c r="D418" s="186">
        <v>199650</v>
      </c>
      <c r="E418" s="186">
        <v>166006</v>
      </c>
      <c r="F418" s="186">
        <v>33644</v>
      </c>
    </row>
    <row r="419" spans="1:6" s="18" customFormat="1" ht="15" customHeight="1">
      <c r="A419" s="188">
        <v>2016</v>
      </c>
      <c r="B419" s="186">
        <v>231162</v>
      </c>
      <c r="C419" s="186">
        <v>13931</v>
      </c>
      <c r="D419" s="186">
        <v>217231</v>
      </c>
      <c r="E419" s="186">
        <v>191135</v>
      </c>
      <c r="F419" s="186">
        <v>26096</v>
      </c>
    </row>
    <row r="420" spans="1:6" s="18" customFormat="1" ht="15" customHeight="1">
      <c r="A420" s="188">
        <v>2017</v>
      </c>
      <c r="B420" s="186">
        <v>242839</v>
      </c>
      <c r="C420" s="186">
        <v>18975</v>
      </c>
      <c r="D420" s="186">
        <v>223864</v>
      </c>
      <c r="E420" s="186">
        <v>200545</v>
      </c>
      <c r="F420" s="186">
        <v>23319</v>
      </c>
    </row>
    <row r="421" spans="1:6" s="18" customFormat="1" ht="15" customHeight="1">
      <c r="A421" s="188">
        <v>2018</v>
      </c>
      <c r="B421" s="186">
        <v>257457</v>
      </c>
      <c r="C421" s="186">
        <v>11902</v>
      </c>
      <c r="D421" s="186">
        <v>245555</v>
      </c>
      <c r="E421" s="186">
        <v>220915</v>
      </c>
      <c r="F421" s="186">
        <v>24640</v>
      </c>
    </row>
    <row r="422" spans="1:6" s="18" customFormat="1" ht="15" customHeight="1">
      <c r="A422" s="188">
        <v>2019</v>
      </c>
      <c r="B422" s="186">
        <v>270602</v>
      </c>
      <c r="C422" s="186">
        <v>17020</v>
      </c>
      <c r="D422" s="186">
        <v>253582</v>
      </c>
      <c r="E422" s="186">
        <v>234181</v>
      </c>
      <c r="F422" s="186">
        <v>19401</v>
      </c>
    </row>
    <row r="423" spans="1:6" s="18" customFormat="1" ht="15" customHeight="1">
      <c r="A423" s="188">
        <v>2020</v>
      </c>
      <c r="B423" s="186">
        <v>256336</v>
      </c>
      <c r="C423" s="186">
        <v>34882</v>
      </c>
      <c r="D423" s="186">
        <v>221454</v>
      </c>
      <c r="E423" s="186">
        <v>215014</v>
      </c>
      <c r="F423" s="186">
        <v>6440</v>
      </c>
    </row>
    <row r="424" spans="1:6" s="18" customFormat="1" ht="15" customHeight="1">
      <c r="A424" s="188">
        <v>2021</v>
      </c>
      <c r="B424" s="186">
        <v>268327</v>
      </c>
      <c r="C424" s="186">
        <v>28872</v>
      </c>
      <c r="D424" s="186">
        <v>239455</v>
      </c>
      <c r="E424" s="186">
        <v>224577</v>
      </c>
      <c r="F424" s="186">
        <v>14878</v>
      </c>
    </row>
    <row r="425" spans="1:6" s="18" customFormat="1" ht="15" customHeight="1">
      <c r="A425" s="188">
        <v>2022</v>
      </c>
      <c r="B425" s="186">
        <v>272768</v>
      </c>
      <c r="C425" s="186">
        <v>32441</v>
      </c>
      <c r="D425" s="186">
        <v>240327</v>
      </c>
      <c r="E425" s="186">
        <v>188991</v>
      </c>
      <c r="F425" s="186">
        <v>51336</v>
      </c>
    </row>
    <row r="426" spans="1:6" s="18" customFormat="1" ht="15" customHeight="1">
      <c r="A426" s="188">
        <v>2023</v>
      </c>
      <c r="B426" s="186">
        <v>281862</v>
      </c>
      <c r="C426" s="186">
        <v>38081</v>
      </c>
      <c r="D426" s="186">
        <v>243781</v>
      </c>
      <c r="E426" s="186">
        <v>189194</v>
      </c>
      <c r="F426" s="186">
        <v>54587</v>
      </c>
    </row>
    <row r="427" spans="1:6" s="18" customFormat="1" ht="15" customHeight="1">
      <c r="A427" s="188">
        <v>2024</v>
      </c>
      <c r="B427" s="186">
        <v>198161</v>
      </c>
      <c r="C427" s="186">
        <v>13573</v>
      </c>
      <c r="D427" s="186">
        <v>184588</v>
      </c>
      <c r="E427" s="186">
        <v>149772</v>
      </c>
      <c r="F427" s="186">
        <v>34816</v>
      </c>
    </row>
    <row r="428" spans="1:6" s="18" customFormat="1" ht="15" customHeight="1"/>
    <row r="429" spans="1:6" s="18" customFormat="1" ht="15" customHeight="1"/>
    <row r="430" spans="1:6" s="18" customFormat="1" ht="15" customHeight="1"/>
    <row r="431" spans="1:6" s="18" customFormat="1" ht="15" customHeight="1"/>
    <row r="432" spans="1:6" s="18" customFormat="1" ht="15" customHeight="1"/>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pans="9:11" s="18" customFormat="1" ht="15" customHeight="1"/>
    <row r="594" spans="9:11" s="18" customFormat="1" ht="15" customHeight="1"/>
    <row r="595" spans="9:11" s="18" customFormat="1" ht="15" customHeight="1"/>
    <row r="596" spans="9:11" s="18" customFormat="1" ht="15" customHeight="1"/>
    <row r="597" spans="9:11" s="18" customFormat="1" ht="15" customHeight="1"/>
    <row r="598" spans="9:11" s="18" customFormat="1" ht="15" customHeight="1"/>
    <row r="599" spans="9:11" s="18" customFormat="1" ht="15" customHeight="1"/>
    <row r="600" spans="9:11" s="18" customFormat="1" ht="15" customHeight="1"/>
    <row r="601" spans="9:11" s="18" customFormat="1" ht="15" customHeight="1"/>
    <row r="602" spans="9:11" s="18" customFormat="1" ht="15" customHeight="1"/>
    <row r="603" spans="9:11" s="18" customFormat="1" ht="15" customHeight="1"/>
    <row r="604" spans="9:11" s="18" customFormat="1" ht="15" customHeight="1"/>
    <row r="605" spans="9:11" s="18" customFormat="1" ht="15" customHeight="1"/>
    <row r="606" spans="9:11" s="18" customFormat="1" ht="15" customHeight="1"/>
    <row r="607" spans="9:11" s="18" customFormat="1" ht="15" customHeight="1">
      <c r="I607" s="18">
        <f>SUM(I368:I606)</f>
        <v>563978</v>
      </c>
      <c r="K607" s="18">
        <f>+I607/2</f>
        <v>281989</v>
      </c>
    </row>
    <row r="608" spans="9:11"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5" customHeight="1"/>
    <row r="658" s="18" customFormat="1" ht="15" customHeight="1"/>
    <row r="659" s="18" customFormat="1" ht="15" customHeight="1"/>
    <row r="660" s="18" customFormat="1" ht="15" customHeight="1"/>
    <row r="661" s="18" customFormat="1" ht="15" customHeight="1"/>
    <row r="662" s="18" customFormat="1" ht="15" customHeight="1"/>
    <row r="663" s="18" customFormat="1" ht="15" customHeight="1"/>
    <row r="664" s="18" customFormat="1" ht="15" customHeight="1"/>
    <row r="665" s="18" customFormat="1" ht="15" customHeight="1"/>
    <row r="666" s="18" customFormat="1" ht="15" customHeight="1"/>
    <row r="667" s="18" customFormat="1" ht="12.75"/>
    <row r="668" s="18" customFormat="1" ht="12.75"/>
    <row r="669" s="18" customFormat="1" ht="12.75"/>
    <row r="670" s="18" customFormat="1" ht="12.75"/>
    <row r="671" s="18" customFormat="1" ht="12.75"/>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pans="1:195" s="18" customFormat="1" ht="12.75"/>
    <row r="706" spans="1:195" s="18" customFormat="1" ht="12.75"/>
    <row r="707" spans="1:195" s="18" customFormat="1" ht="12.75"/>
    <row r="708" spans="1:195" s="18" customFormat="1" ht="12.75"/>
    <row r="709" spans="1:195" s="18" customFormat="1" ht="12.75"/>
    <row r="710" spans="1:195" s="18" customFormat="1" ht="12.75"/>
    <row r="711" spans="1:195" s="18" customFormat="1" ht="12.75"/>
    <row r="712" spans="1:195" s="18" customFormat="1" ht="12.75"/>
    <row r="713" spans="1:195" s="18" customFormat="1" ht="12.75"/>
    <row r="714" spans="1:195" s="18" customFormat="1" ht="12.75"/>
    <row r="715" spans="1:195" s="18" customFormat="1" ht="12.75"/>
    <row r="716" spans="1:195" s="18" customFormat="1" ht="12.75"/>
    <row r="717" spans="1:195" s="18" customFormat="1" ht="12.75"/>
    <row r="718" spans="1:195" s="18" customFormat="1" ht="12.75"/>
    <row r="719" spans="1:195" s="18" customFormat="1" ht="12.75"/>
    <row r="720" spans="1:195">
      <c r="A720" s="18"/>
      <c r="B720" s="18"/>
      <c r="C720" s="18"/>
      <c r="D720" s="18"/>
      <c r="E720" s="18"/>
      <c r="F720" s="18"/>
      <c r="G720" s="18"/>
      <c r="H720" s="18"/>
      <c r="I720" s="18"/>
      <c r="J720" s="18"/>
      <c r="K720" s="18"/>
      <c r="L720" s="18"/>
      <c r="M720" s="18"/>
      <c r="O720" s="18"/>
      <c r="P720" s="18"/>
      <c r="Q720" s="18"/>
      <c r="R720" s="18"/>
      <c r="S720" s="18"/>
      <c r="T720" s="18"/>
      <c r="U720" s="18"/>
      <c r="V720" s="18"/>
      <c r="W720" s="18"/>
      <c r="X720" s="18"/>
      <c r="Y720" s="18"/>
      <c r="Z720" s="18"/>
      <c r="AA720" s="18"/>
      <c r="AC720" s="18"/>
      <c r="AD720" s="18"/>
      <c r="AE720" s="18"/>
      <c r="AF720" s="18"/>
      <c r="AG720" s="18"/>
      <c r="AH720" s="18"/>
      <c r="AI720" s="18"/>
      <c r="AJ720" s="18"/>
      <c r="AK720" s="18"/>
      <c r="AL720" s="18"/>
      <c r="AM720" s="18"/>
      <c r="AN720" s="18"/>
      <c r="AO720" s="18"/>
      <c r="AQ720" s="18"/>
      <c r="AR720" s="18"/>
      <c r="AS720" s="18"/>
      <c r="AT720" s="18"/>
      <c r="AU720" s="18"/>
      <c r="AV720" s="18"/>
      <c r="AW720" s="18"/>
      <c r="AX720" s="18"/>
      <c r="AY720" s="18"/>
      <c r="AZ720" s="18"/>
      <c r="BA720" s="18"/>
      <c r="BB720" s="18"/>
      <c r="BC720" s="18"/>
      <c r="BE720" s="18"/>
      <c r="BF720" s="18"/>
      <c r="BG720" s="18"/>
      <c r="BH720" s="18"/>
      <c r="BI720" s="18"/>
      <c r="BJ720" s="18"/>
      <c r="BK720" s="18"/>
      <c r="BL720" s="18"/>
      <c r="BM720" s="18"/>
      <c r="BN720" s="18"/>
      <c r="BO720" s="18"/>
      <c r="BP720" s="18"/>
      <c r="BQ720" s="18"/>
      <c r="BS720" s="18"/>
      <c r="BT720" s="18"/>
      <c r="BU720" s="18"/>
      <c r="BV720" s="18"/>
      <c r="BW720" s="18"/>
      <c r="BX720" s="18"/>
      <c r="BY720" s="18"/>
      <c r="BZ720" s="18"/>
      <c r="CA720" s="18"/>
      <c r="CB720" s="18"/>
      <c r="CC720" s="18"/>
      <c r="CD720" s="18"/>
      <c r="CE720" s="18"/>
      <c r="CG720" s="18"/>
      <c r="CH720" s="18"/>
      <c r="CI720" s="18"/>
      <c r="CJ720" s="18"/>
      <c r="CK720" s="18"/>
      <c r="CL720" s="18"/>
      <c r="CM720" s="18"/>
      <c r="CN720" s="18"/>
      <c r="CO720" s="18"/>
      <c r="CP720" s="18"/>
      <c r="CQ720" s="18"/>
      <c r="CR720" s="18"/>
      <c r="CS720" s="18"/>
      <c r="CU720" s="18"/>
      <c r="CV720" s="18"/>
      <c r="CW720" s="18"/>
      <c r="CX720" s="18"/>
      <c r="CY720" s="18"/>
      <c r="CZ720" s="18"/>
      <c r="DA720" s="18"/>
      <c r="DB720" s="18"/>
      <c r="DC720" s="18"/>
      <c r="DD720" s="18"/>
      <c r="DE720" s="18"/>
      <c r="DF720" s="18"/>
      <c r="DG720" s="18"/>
      <c r="DI720" s="18"/>
      <c r="DJ720" s="18"/>
      <c r="DK720" s="18"/>
      <c r="DL720" s="18"/>
      <c r="DM720" s="18"/>
      <c r="DN720" s="18"/>
      <c r="DO720" s="18"/>
      <c r="DP720" s="18"/>
      <c r="DQ720" s="18"/>
      <c r="DR720" s="18"/>
      <c r="DS720" s="18"/>
      <c r="DT720" s="18"/>
      <c r="DU720" s="18"/>
      <c r="DW720" s="18"/>
      <c r="DX720" s="18"/>
      <c r="DY720" s="18"/>
      <c r="DZ720" s="18"/>
      <c r="EA720" s="18"/>
      <c r="EB720" s="18"/>
      <c r="EC720" s="18"/>
      <c r="ED720" s="18"/>
      <c r="EE720" s="18"/>
      <c r="EF720" s="18"/>
      <c r="EG720" s="18"/>
      <c r="EH720" s="18"/>
      <c r="EI720" s="18"/>
      <c r="EK720" s="18"/>
      <c r="EL720" s="18"/>
      <c r="EM720" s="18"/>
      <c r="EN720" s="18"/>
      <c r="EO720" s="18"/>
      <c r="EP720" s="18"/>
      <c r="EQ720" s="18"/>
      <c r="ER720" s="18"/>
      <c r="ES720" s="18"/>
      <c r="ET720" s="18"/>
      <c r="EU720" s="18"/>
      <c r="EV720" s="18"/>
      <c r="EW720" s="18"/>
      <c r="EY720" s="18"/>
      <c r="EZ720" s="18"/>
      <c r="FA720" s="18"/>
      <c r="FB720" s="18"/>
      <c r="FC720" s="18"/>
      <c r="FD720" s="18"/>
      <c r="FE720" s="18"/>
      <c r="FF720" s="18"/>
      <c r="FG720" s="18"/>
      <c r="FH720" s="18"/>
      <c r="FI720" s="18"/>
      <c r="FJ720" s="18"/>
      <c r="FK720" s="18"/>
      <c r="FM720" s="18"/>
      <c r="FN720" s="18"/>
      <c r="FO720" s="18"/>
      <c r="FP720" s="18"/>
      <c r="FQ720" s="18"/>
      <c r="FR720" s="18"/>
      <c r="FS720" s="18"/>
      <c r="FT720" s="18"/>
      <c r="FU720" s="18"/>
      <c r="FV720" s="18"/>
      <c r="FW720" s="18"/>
      <c r="FX720" s="18"/>
      <c r="FY720" s="18"/>
      <c r="GA720" s="18"/>
      <c r="GB720" s="18"/>
      <c r="GC720" s="18"/>
      <c r="GD720" s="18"/>
      <c r="GE720" s="18"/>
      <c r="GF720" s="18"/>
      <c r="GG720" s="18"/>
      <c r="GH720" s="18"/>
      <c r="GI720" s="18"/>
      <c r="GJ720" s="18"/>
      <c r="GK720" s="18"/>
      <c r="GL720" s="18"/>
      <c r="GM720" s="18"/>
    </row>
  </sheetData>
  <mergeCells count="15">
    <mergeCell ref="EK3:EW3"/>
    <mergeCell ref="EY3:FK3"/>
    <mergeCell ref="FM3:FY3"/>
    <mergeCell ref="GA3:GM3"/>
    <mergeCell ref="O4:R4"/>
    <mergeCell ref="AC4:AF4"/>
    <mergeCell ref="O3:AA3"/>
    <mergeCell ref="BE3:BQ3"/>
    <mergeCell ref="AC3:AO3"/>
    <mergeCell ref="AQ3:BC3"/>
    <mergeCell ref="BS3:CE3"/>
    <mergeCell ref="CG3:CS3"/>
    <mergeCell ref="CU3:DG3"/>
    <mergeCell ref="DI3:DU3"/>
    <mergeCell ref="DW3:EI3"/>
  </mergeCells>
  <phoneticPr fontId="0" type="noConversion"/>
  <printOptions horizontalCentered="1"/>
  <pageMargins left="0.39370078740157483" right="0.39370078740157483" top="1.3779527559055118" bottom="0.39370078740157483" header="0.59055118110236227" footer="0"/>
  <pageSetup paperSize="9" scale="10" fitToWidth="3" orientation="landscape" horizontalDpi="300" verticalDpi="300" r:id="rId2"/>
  <headerFooter alignWithMargins="0">
    <oddHeader>&amp;C&amp;14Cumplimiento del Servicio de Trenes
Línea Roca</oddHeader>
  </headerFooter>
  <ignoredErrors>
    <ignoredError sqref="H5:K341 F324:F365 F366:L371 F372:M372 F373:K373 F374:L375 F376:K376 F377:K377 F378:L378 F379:L379 F380:K381 F382:L382 F383:L383 F384:L384 F385:L385 F386:L386" calculatedColumn="1"/>
  </ignoredErrors>
  <legacyDrawing r:id="rId3"/>
  <tableParts count="14">
    <tablePart r:id="rId4"/>
    <tablePart r:id="rId5"/>
    <tablePart r:id="rId6"/>
    <tablePart r:id="rId7"/>
    <tablePart r:id="rId8"/>
    <tablePart r:id="rId9"/>
    <tablePart r:id="rId10"/>
    <tablePart r:id="rId11"/>
    <tablePart r:id="rId12"/>
    <tablePart r:id="rId13"/>
    <tablePart r:id="rId14"/>
    <tablePart r:id="rId15"/>
    <tablePart r:id="rId16"/>
    <tablePart r:id="rId17"/>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O720"/>
  <sheetViews>
    <sheetView showGridLines="0" zoomScale="80" zoomScaleNormal="80" workbookViewId="0">
      <pane ySplit="5" topLeftCell="A372" activePane="bottomLeft" state="frozen"/>
      <selection activeCell="G390" sqref="G390"/>
      <selection pane="bottomLeft" activeCell="G387" sqref="G387"/>
    </sheetView>
  </sheetViews>
  <sheetFormatPr baseColWidth="10" defaultColWidth="11.5546875" defaultRowHeight="15"/>
  <cols>
    <col min="1"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54" width="8.77734375" style="46" customWidth="1"/>
    <col min="55" max="55" width="25.77734375" style="46" customWidth="1"/>
    <col min="56" max="68" width="8.77734375" style="46" customWidth="1"/>
    <col min="69" max="69" width="25.77734375" style="46" customWidth="1"/>
    <col min="70" max="82" width="8.77734375" style="46" customWidth="1"/>
    <col min="83" max="83" width="25.77734375" style="46" customWidth="1"/>
    <col min="84" max="84" width="8.77734375" style="46" customWidth="1"/>
    <col min="85" max="16384" width="11.5546875" style="46"/>
  </cols>
  <sheetData>
    <row r="1" spans="1:13" s="36" customFormat="1" ht="30">
      <c r="A1" s="113" t="s">
        <v>7</v>
      </c>
    </row>
    <row r="2" spans="1:13" s="36" customFormat="1" ht="29.25">
      <c r="A2" s="115" t="s">
        <v>1</v>
      </c>
    </row>
    <row r="3" spans="1:13" s="4" customFormat="1" ht="29.25">
      <c r="A3" s="116" t="s">
        <v>73</v>
      </c>
      <c r="B3" s="8"/>
      <c r="C3" s="8"/>
      <c r="D3" s="8"/>
      <c r="E3" s="8"/>
      <c r="F3" s="8"/>
      <c r="G3" s="8"/>
      <c r="H3" s="8"/>
      <c r="I3" s="8"/>
      <c r="J3" s="8"/>
      <c r="K3" s="8"/>
    </row>
    <row r="4" spans="1:13" s="1" customFormat="1" ht="12.75">
      <c r="B4" s="38"/>
      <c r="C4" s="39"/>
      <c r="D4" s="39"/>
      <c r="E4" s="39"/>
      <c r="F4" s="39"/>
      <c r="G4" s="39"/>
      <c r="H4" s="39"/>
      <c r="I4" s="39"/>
      <c r="J4" s="39"/>
      <c r="K4" s="39"/>
      <c r="L4" s="39"/>
    </row>
    <row r="5" spans="1:13" s="65" customFormat="1" ht="45" customHeight="1" thickBot="1">
      <c r="A5" s="22" t="s">
        <v>32</v>
      </c>
      <c r="B5" s="23" t="s">
        <v>31</v>
      </c>
      <c r="C5" s="23" t="s">
        <v>8</v>
      </c>
      <c r="D5" s="23" t="s">
        <v>10</v>
      </c>
      <c r="E5" s="23" t="s">
        <v>9</v>
      </c>
      <c r="F5" s="23" t="s">
        <v>99</v>
      </c>
      <c r="G5" s="23" t="s">
        <v>98</v>
      </c>
      <c r="H5" s="23" t="s">
        <v>52</v>
      </c>
      <c r="I5" s="23" t="s">
        <v>53</v>
      </c>
      <c r="J5" s="23" t="s">
        <v>27</v>
      </c>
      <c r="K5" s="23" t="s">
        <v>54</v>
      </c>
      <c r="L5" s="23" t="s">
        <v>55</v>
      </c>
      <c r="M5" s="24" t="s">
        <v>34</v>
      </c>
    </row>
    <row r="6" spans="1:13" s="18" customFormat="1" ht="15" customHeight="1" thickTop="1">
      <c r="A6" s="78">
        <v>1993</v>
      </c>
      <c r="B6" s="79" t="s">
        <v>36</v>
      </c>
      <c r="C6" s="15">
        <f>K6/H6</f>
        <v>0.77551020408163263</v>
      </c>
      <c r="D6" s="15">
        <f>K6/J6</f>
        <v>0.83353365384615385</v>
      </c>
      <c r="E6" s="15">
        <f>J6/H6</f>
        <v>0.93038859379368188</v>
      </c>
      <c r="F6" s="16"/>
      <c r="G6" s="16"/>
      <c r="H6" s="16">
        <v>3577</v>
      </c>
      <c r="I6" s="16">
        <f t="shared" ref="I6:I17" si="0">H6-J6</f>
        <v>249</v>
      </c>
      <c r="J6" s="16">
        <v>3328</v>
      </c>
      <c r="K6" s="16">
        <v>2774</v>
      </c>
      <c r="L6" s="16">
        <f t="shared" ref="L6:L17" si="1">J6-K6</f>
        <v>554</v>
      </c>
    </row>
    <row r="7" spans="1:13" s="18" customFormat="1" ht="15" customHeight="1">
      <c r="A7" s="80">
        <v>1993</v>
      </c>
      <c r="B7" s="81" t="s">
        <v>37</v>
      </c>
      <c r="C7" s="15">
        <f t="shared" ref="C7:C70" si="2">K7/H7</f>
        <v>0.78778718258766622</v>
      </c>
      <c r="D7" s="15">
        <f t="shared" ref="D7:D70" si="3">K7/J7</f>
        <v>0.81692789968652035</v>
      </c>
      <c r="E7" s="15">
        <f t="shared" ref="E7:E70" si="4">J7/H7</f>
        <v>0.964328899637243</v>
      </c>
      <c r="F7" s="16"/>
      <c r="G7" s="16"/>
      <c r="H7" s="16">
        <v>3308</v>
      </c>
      <c r="I7" s="16">
        <f t="shared" si="0"/>
        <v>118</v>
      </c>
      <c r="J7" s="16">
        <v>3190</v>
      </c>
      <c r="K7" s="16">
        <v>2606</v>
      </c>
      <c r="L7" s="16">
        <f t="shared" si="1"/>
        <v>584</v>
      </c>
    </row>
    <row r="8" spans="1:13" s="18" customFormat="1" ht="15" customHeight="1">
      <c r="A8" s="78">
        <v>1993</v>
      </c>
      <c r="B8" s="79" t="s">
        <v>38</v>
      </c>
      <c r="C8" s="15">
        <f t="shared" si="2"/>
        <v>0.84287652645861599</v>
      </c>
      <c r="D8" s="15">
        <f t="shared" si="3"/>
        <v>0.88515246508976919</v>
      </c>
      <c r="E8" s="15">
        <f t="shared" si="4"/>
        <v>0.9522388059701492</v>
      </c>
      <c r="F8" s="16"/>
      <c r="G8" s="16"/>
      <c r="H8" s="16">
        <v>3685</v>
      </c>
      <c r="I8" s="16">
        <f t="shared" si="0"/>
        <v>176</v>
      </c>
      <c r="J8" s="16">
        <v>3509</v>
      </c>
      <c r="K8" s="16">
        <v>3106</v>
      </c>
      <c r="L8" s="16">
        <f t="shared" si="1"/>
        <v>403</v>
      </c>
    </row>
    <row r="9" spans="1:13" s="18" customFormat="1" ht="15" customHeight="1">
      <c r="A9" s="80">
        <v>1993</v>
      </c>
      <c r="B9" s="81" t="s">
        <v>39</v>
      </c>
      <c r="C9" s="15">
        <f t="shared" si="2"/>
        <v>0.85376162299239222</v>
      </c>
      <c r="D9" s="15">
        <f t="shared" si="3"/>
        <v>0.87144089732528041</v>
      </c>
      <c r="E9" s="15">
        <f t="shared" si="4"/>
        <v>0.97971259509721054</v>
      </c>
      <c r="F9" s="16"/>
      <c r="G9" s="16"/>
      <c r="H9" s="16">
        <v>3549</v>
      </c>
      <c r="I9" s="16">
        <f t="shared" si="0"/>
        <v>72</v>
      </c>
      <c r="J9" s="16">
        <v>3477</v>
      </c>
      <c r="K9" s="16">
        <v>3030</v>
      </c>
      <c r="L9" s="16">
        <f t="shared" si="1"/>
        <v>447</v>
      </c>
    </row>
    <row r="10" spans="1:13" s="18" customFormat="1" ht="15" customHeight="1">
      <c r="A10" s="78">
        <v>1993</v>
      </c>
      <c r="B10" s="79" t="s">
        <v>40</v>
      </c>
      <c r="C10" s="15">
        <f t="shared" si="2"/>
        <v>0.78636741479634242</v>
      </c>
      <c r="D10" s="15">
        <f t="shared" si="3"/>
        <v>0.83544303797468356</v>
      </c>
      <c r="E10" s="15">
        <f t="shared" si="4"/>
        <v>0.94125796619562208</v>
      </c>
      <c r="F10" s="16"/>
      <c r="G10" s="16"/>
      <c r="H10" s="16">
        <v>3609</v>
      </c>
      <c r="I10" s="16">
        <f t="shared" si="0"/>
        <v>212</v>
      </c>
      <c r="J10" s="16">
        <v>3397</v>
      </c>
      <c r="K10" s="16">
        <v>2838</v>
      </c>
      <c r="L10" s="16">
        <f t="shared" si="1"/>
        <v>559</v>
      </c>
    </row>
    <row r="11" spans="1:13" s="18" customFormat="1" ht="15" customHeight="1">
      <c r="A11" s="80">
        <v>1993</v>
      </c>
      <c r="B11" s="81" t="s">
        <v>41</v>
      </c>
      <c r="C11" s="15">
        <f t="shared" si="2"/>
        <v>0.71163719338277243</v>
      </c>
      <c r="D11" s="15">
        <f t="shared" si="3"/>
        <v>0.7868180384736676</v>
      </c>
      <c r="E11" s="15">
        <f t="shared" si="4"/>
        <v>0.90444951511694238</v>
      </c>
      <c r="F11" s="16"/>
      <c r="G11" s="16"/>
      <c r="H11" s="16">
        <v>3506</v>
      </c>
      <c r="I11" s="16">
        <f t="shared" si="0"/>
        <v>335</v>
      </c>
      <c r="J11" s="16">
        <v>3171</v>
      </c>
      <c r="K11" s="16">
        <v>2495</v>
      </c>
      <c r="L11" s="16">
        <f t="shared" si="1"/>
        <v>676</v>
      </c>
    </row>
    <row r="12" spans="1:13" s="18" customFormat="1" ht="15" customHeight="1">
      <c r="A12" s="78">
        <v>1993</v>
      </c>
      <c r="B12" s="79" t="s">
        <v>42</v>
      </c>
      <c r="C12" s="15">
        <f t="shared" si="2"/>
        <v>0.80418617460754616</v>
      </c>
      <c r="D12" s="15">
        <f t="shared" si="3"/>
        <v>0.84859052600988083</v>
      </c>
      <c r="E12" s="15">
        <f t="shared" si="4"/>
        <v>0.94767281740567333</v>
      </c>
      <c r="F12" s="16"/>
      <c r="G12" s="16"/>
      <c r="H12" s="16">
        <v>3631</v>
      </c>
      <c r="I12" s="16">
        <f t="shared" si="0"/>
        <v>190</v>
      </c>
      <c r="J12" s="16">
        <v>3441</v>
      </c>
      <c r="K12" s="16">
        <v>2920</v>
      </c>
      <c r="L12" s="16">
        <f t="shared" si="1"/>
        <v>521</v>
      </c>
    </row>
    <row r="13" spans="1:13" s="18" customFormat="1" ht="15" customHeight="1">
      <c r="A13" s="80">
        <v>1993</v>
      </c>
      <c r="B13" s="81" t="s">
        <v>43</v>
      </c>
      <c r="C13" s="15">
        <f t="shared" si="2"/>
        <v>0.86916410399776345</v>
      </c>
      <c r="D13" s="15">
        <f t="shared" si="3"/>
        <v>0.90483119906868448</v>
      </c>
      <c r="E13" s="15">
        <f t="shared" si="4"/>
        <v>0.96058149287112105</v>
      </c>
      <c r="F13" s="16"/>
      <c r="G13" s="16"/>
      <c r="H13" s="16">
        <v>3577</v>
      </c>
      <c r="I13" s="16">
        <f t="shared" si="0"/>
        <v>141</v>
      </c>
      <c r="J13" s="16">
        <v>3436</v>
      </c>
      <c r="K13" s="16">
        <v>3109</v>
      </c>
      <c r="L13" s="16">
        <f t="shared" si="1"/>
        <v>327</v>
      </c>
    </row>
    <row r="14" spans="1:13" s="18" customFormat="1" ht="15" customHeight="1">
      <c r="A14" s="78">
        <v>1993</v>
      </c>
      <c r="B14" s="79" t="s">
        <v>44</v>
      </c>
      <c r="C14" s="15">
        <f t="shared" si="2"/>
        <v>0.9185393258426966</v>
      </c>
      <c r="D14" s="15">
        <f t="shared" si="3"/>
        <v>0.92660810427883256</v>
      </c>
      <c r="E14" s="15">
        <f t="shared" si="4"/>
        <v>0.99129213483146073</v>
      </c>
      <c r="F14" s="16"/>
      <c r="G14" s="16"/>
      <c r="H14" s="16">
        <v>3560</v>
      </c>
      <c r="I14" s="16">
        <f t="shared" si="0"/>
        <v>31</v>
      </c>
      <c r="J14" s="16">
        <v>3529</v>
      </c>
      <c r="K14" s="16">
        <v>3270</v>
      </c>
      <c r="L14" s="16">
        <f t="shared" si="1"/>
        <v>259</v>
      </c>
    </row>
    <row r="15" spans="1:13" s="18" customFormat="1" ht="15" customHeight="1">
      <c r="A15" s="80">
        <v>1993</v>
      </c>
      <c r="B15" s="81" t="s">
        <v>45</v>
      </c>
      <c r="C15" s="15">
        <f t="shared" si="2"/>
        <v>0.8607062780269058</v>
      </c>
      <c r="D15" s="15">
        <f t="shared" si="3"/>
        <v>0.87793024585477419</v>
      </c>
      <c r="E15" s="15">
        <f t="shared" si="4"/>
        <v>0.98038116591928248</v>
      </c>
      <c r="F15" s="16"/>
      <c r="G15" s="16"/>
      <c r="H15" s="16">
        <v>3568</v>
      </c>
      <c r="I15" s="16">
        <f t="shared" si="0"/>
        <v>70</v>
      </c>
      <c r="J15" s="16">
        <v>3498</v>
      </c>
      <c r="K15" s="16">
        <v>3071</v>
      </c>
      <c r="L15" s="16">
        <f t="shared" si="1"/>
        <v>427</v>
      </c>
    </row>
    <row r="16" spans="1:13" s="18" customFormat="1" ht="15" customHeight="1">
      <c r="A16" s="78">
        <v>1993</v>
      </c>
      <c r="B16" s="79" t="s">
        <v>46</v>
      </c>
      <c r="C16" s="15">
        <f t="shared" si="2"/>
        <v>0.87721768515911014</v>
      </c>
      <c r="D16" s="15">
        <f t="shared" si="3"/>
        <v>0.89306192660550454</v>
      </c>
      <c r="E16" s="15">
        <f t="shared" si="4"/>
        <v>0.98225851872711911</v>
      </c>
      <c r="F16" s="16"/>
      <c r="G16" s="16"/>
      <c r="H16" s="16">
        <v>3551</v>
      </c>
      <c r="I16" s="16">
        <f t="shared" si="0"/>
        <v>63</v>
      </c>
      <c r="J16" s="16">
        <v>3488</v>
      </c>
      <c r="K16" s="16">
        <v>3115</v>
      </c>
      <c r="L16" s="16">
        <f t="shared" si="1"/>
        <v>373</v>
      </c>
    </row>
    <row r="17" spans="1:12" s="18" customFormat="1" ht="15" customHeight="1">
      <c r="A17" s="80">
        <v>1993</v>
      </c>
      <c r="B17" s="81" t="s">
        <v>47</v>
      </c>
      <c r="C17" s="15">
        <f t="shared" si="2"/>
        <v>0.90311896218603371</v>
      </c>
      <c r="D17" s="15">
        <f t="shared" si="3"/>
        <v>0.91422184967868114</v>
      </c>
      <c r="E17" s="15">
        <f t="shared" si="4"/>
        <v>0.98785536847916089</v>
      </c>
      <c r="F17" s="16"/>
      <c r="G17" s="16"/>
      <c r="H17" s="16">
        <v>3623</v>
      </c>
      <c r="I17" s="16">
        <f t="shared" si="0"/>
        <v>44</v>
      </c>
      <c r="J17" s="16">
        <v>3579</v>
      </c>
      <c r="K17" s="16">
        <v>3272</v>
      </c>
      <c r="L17" s="16">
        <f t="shared" si="1"/>
        <v>307</v>
      </c>
    </row>
    <row r="18" spans="1:12" s="18" customFormat="1" ht="15" customHeight="1">
      <c r="A18" s="78">
        <v>1994</v>
      </c>
      <c r="B18" s="79" t="s">
        <v>36</v>
      </c>
      <c r="C18" s="15">
        <f t="shared" si="2"/>
        <v>0.89402859545836832</v>
      </c>
      <c r="D18" s="15">
        <f t="shared" si="3"/>
        <v>0.92220936957779065</v>
      </c>
      <c r="E18" s="15">
        <f t="shared" si="4"/>
        <v>0.96944210821418564</v>
      </c>
      <c r="F18" s="16"/>
      <c r="G18" s="16"/>
      <c r="H18" s="16">
        <v>3567</v>
      </c>
      <c r="I18" s="16">
        <f t="shared" ref="I18:I29" si="5">H18-J18</f>
        <v>109</v>
      </c>
      <c r="J18" s="16">
        <v>3458</v>
      </c>
      <c r="K18" s="16">
        <v>3189</v>
      </c>
      <c r="L18" s="16">
        <f t="shared" ref="L18:L29" si="6">J18-K18</f>
        <v>269</v>
      </c>
    </row>
    <row r="19" spans="1:12" s="18" customFormat="1" ht="15" customHeight="1">
      <c r="A19" s="80">
        <v>1994</v>
      </c>
      <c r="B19" s="81" t="s">
        <v>37</v>
      </c>
      <c r="C19" s="15">
        <f t="shared" si="2"/>
        <v>0.92212121212121212</v>
      </c>
      <c r="D19" s="15">
        <f t="shared" si="3"/>
        <v>0.93630769230769229</v>
      </c>
      <c r="E19" s="15">
        <f t="shared" si="4"/>
        <v>0.98484848484848486</v>
      </c>
      <c r="F19" s="16"/>
      <c r="G19" s="16"/>
      <c r="H19" s="16">
        <v>3300</v>
      </c>
      <c r="I19" s="16">
        <f t="shared" si="5"/>
        <v>50</v>
      </c>
      <c r="J19" s="16">
        <v>3250</v>
      </c>
      <c r="K19" s="16">
        <v>3043</v>
      </c>
      <c r="L19" s="16">
        <f t="shared" si="6"/>
        <v>207</v>
      </c>
    </row>
    <row r="20" spans="1:12" s="18" customFormat="1" ht="15" customHeight="1">
      <c r="A20" s="78">
        <v>1994</v>
      </c>
      <c r="B20" s="79" t="s">
        <v>38</v>
      </c>
      <c r="C20" s="15">
        <f t="shared" si="2"/>
        <v>0.79934747145187601</v>
      </c>
      <c r="D20" s="15">
        <f t="shared" si="3"/>
        <v>0.85044836563494364</v>
      </c>
      <c r="E20" s="15">
        <f t="shared" si="4"/>
        <v>0.93991299619358348</v>
      </c>
      <c r="F20" s="16"/>
      <c r="G20" s="16"/>
      <c r="H20" s="16">
        <v>3678</v>
      </c>
      <c r="I20" s="16">
        <f t="shared" si="5"/>
        <v>221</v>
      </c>
      <c r="J20" s="16">
        <v>3457</v>
      </c>
      <c r="K20" s="16">
        <v>2940</v>
      </c>
      <c r="L20" s="16">
        <f t="shared" si="6"/>
        <v>517</v>
      </c>
    </row>
    <row r="21" spans="1:12" s="18" customFormat="1" ht="15" customHeight="1">
      <c r="A21" s="80">
        <v>1994</v>
      </c>
      <c r="B21" s="81" t="s">
        <v>39</v>
      </c>
      <c r="C21" s="15">
        <f t="shared" si="2"/>
        <v>0.80096501809408926</v>
      </c>
      <c r="D21" s="15">
        <f t="shared" si="3"/>
        <v>0.83759066540523497</v>
      </c>
      <c r="E21" s="15">
        <f t="shared" si="4"/>
        <v>0.95627261761158022</v>
      </c>
      <c r="F21" s="16"/>
      <c r="G21" s="16"/>
      <c r="H21" s="16">
        <v>3316</v>
      </c>
      <c r="I21" s="16">
        <f t="shared" si="5"/>
        <v>145</v>
      </c>
      <c r="J21" s="16">
        <v>3171</v>
      </c>
      <c r="K21" s="16">
        <v>2656</v>
      </c>
      <c r="L21" s="16">
        <f t="shared" si="6"/>
        <v>515</v>
      </c>
    </row>
    <row r="22" spans="1:12" s="18" customFormat="1" ht="15" customHeight="1">
      <c r="A22" s="78">
        <v>1994</v>
      </c>
      <c r="B22" s="79" t="s">
        <v>40</v>
      </c>
      <c r="C22" s="15">
        <f t="shared" si="2"/>
        <v>0.82090379817022452</v>
      </c>
      <c r="D22" s="15">
        <f t="shared" si="3"/>
        <v>0.86200873362445418</v>
      </c>
      <c r="E22" s="15">
        <f t="shared" si="4"/>
        <v>0.95231494316606602</v>
      </c>
      <c r="F22" s="16"/>
      <c r="G22" s="16"/>
      <c r="H22" s="16">
        <v>3607</v>
      </c>
      <c r="I22" s="16">
        <f t="shared" si="5"/>
        <v>172</v>
      </c>
      <c r="J22" s="16">
        <v>3435</v>
      </c>
      <c r="K22" s="16">
        <v>2961</v>
      </c>
      <c r="L22" s="16">
        <f t="shared" si="6"/>
        <v>474</v>
      </c>
    </row>
    <row r="23" spans="1:12" s="18" customFormat="1" ht="15" customHeight="1">
      <c r="A23" s="80">
        <v>1994</v>
      </c>
      <c r="B23" s="81" t="s">
        <v>41</v>
      </c>
      <c r="C23" s="15">
        <f t="shared" si="2"/>
        <v>0.82936621737883565</v>
      </c>
      <c r="D23" s="15">
        <f t="shared" si="3"/>
        <v>0.89397217928902628</v>
      </c>
      <c r="E23" s="15">
        <f t="shared" si="4"/>
        <v>0.92773157441927157</v>
      </c>
      <c r="F23" s="16"/>
      <c r="G23" s="16"/>
      <c r="H23" s="16">
        <v>3487</v>
      </c>
      <c r="I23" s="16">
        <f t="shared" si="5"/>
        <v>252</v>
      </c>
      <c r="J23" s="16">
        <v>3235</v>
      </c>
      <c r="K23" s="16">
        <v>2892</v>
      </c>
      <c r="L23" s="16">
        <f t="shared" si="6"/>
        <v>343</v>
      </c>
    </row>
    <row r="24" spans="1:12" s="18" customFormat="1" ht="15" customHeight="1">
      <c r="A24" s="78">
        <v>1994</v>
      </c>
      <c r="B24" s="79" t="s">
        <v>42</v>
      </c>
      <c r="C24" s="15">
        <f t="shared" si="2"/>
        <v>0.87074453362856352</v>
      </c>
      <c r="D24" s="15">
        <f t="shared" si="3"/>
        <v>0.89527603870233352</v>
      </c>
      <c r="E24" s="15">
        <f t="shared" si="4"/>
        <v>0.97259894824245774</v>
      </c>
      <c r="F24" s="16"/>
      <c r="G24" s="16"/>
      <c r="H24" s="16">
        <v>3613</v>
      </c>
      <c r="I24" s="16">
        <f t="shared" si="5"/>
        <v>99</v>
      </c>
      <c r="J24" s="16">
        <v>3514</v>
      </c>
      <c r="K24" s="16">
        <v>3146</v>
      </c>
      <c r="L24" s="16">
        <f t="shared" si="6"/>
        <v>368</v>
      </c>
    </row>
    <row r="25" spans="1:12" s="18" customFormat="1" ht="15" customHeight="1">
      <c r="A25" s="80">
        <v>1994</v>
      </c>
      <c r="B25" s="81" t="s">
        <v>43</v>
      </c>
      <c r="C25" s="15">
        <f t="shared" si="2"/>
        <v>0.89500954458685578</v>
      </c>
      <c r="D25" s="15">
        <f t="shared" si="3"/>
        <v>0.90662983425414367</v>
      </c>
      <c r="E25" s="15">
        <f t="shared" si="4"/>
        <v>0.98718298336514865</v>
      </c>
      <c r="F25" s="16"/>
      <c r="G25" s="16"/>
      <c r="H25" s="16">
        <v>3667</v>
      </c>
      <c r="I25" s="16">
        <f t="shared" si="5"/>
        <v>47</v>
      </c>
      <c r="J25" s="16">
        <v>3620</v>
      </c>
      <c r="K25" s="16">
        <v>3282</v>
      </c>
      <c r="L25" s="16">
        <f t="shared" si="6"/>
        <v>338</v>
      </c>
    </row>
    <row r="26" spans="1:12" s="18" customFormat="1" ht="15" customHeight="1">
      <c r="A26" s="78">
        <v>1994</v>
      </c>
      <c r="B26" s="79" t="s">
        <v>44</v>
      </c>
      <c r="C26" s="15">
        <f t="shared" si="2"/>
        <v>0.95641838351822506</v>
      </c>
      <c r="D26" s="15">
        <f t="shared" si="3"/>
        <v>0.96277585748471151</v>
      </c>
      <c r="E26" s="15">
        <f t="shared" si="4"/>
        <v>0.99339672477548868</v>
      </c>
      <c r="F26" s="16"/>
      <c r="G26" s="16"/>
      <c r="H26" s="16">
        <v>3786</v>
      </c>
      <c r="I26" s="16">
        <f t="shared" si="5"/>
        <v>25</v>
      </c>
      <c r="J26" s="16">
        <v>3761</v>
      </c>
      <c r="K26" s="16">
        <v>3621</v>
      </c>
      <c r="L26" s="16">
        <f t="shared" si="6"/>
        <v>140</v>
      </c>
    </row>
    <row r="27" spans="1:12" s="18" customFormat="1" ht="15" customHeight="1">
      <c r="A27" s="80">
        <v>1994</v>
      </c>
      <c r="B27" s="81" t="s">
        <v>45</v>
      </c>
      <c r="C27" s="15">
        <f t="shared" si="2"/>
        <v>0.92661021298434698</v>
      </c>
      <c r="D27" s="15">
        <f t="shared" si="3"/>
        <v>0.94060953373274292</v>
      </c>
      <c r="E27" s="15">
        <f t="shared" si="4"/>
        <v>0.98511675647934305</v>
      </c>
      <c r="F27" s="16"/>
      <c r="G27" s="16"/>
      <c r="H27" s="16">
        <v>3897</v>
      </c>
      <c r="I27" s="16">
        <f t="shared" si="5"/>
        <v>58</v>
      </c>
      <c r="J27" s="16">
        <v>3839</v>
      </c>
      <c r="K27" s="16">
        <v>3611</v>
      </c>
      <c r="L27" s="16">
        <f t="shared" si="6"/>
        <v>228</v>
      </c>
    </row>
    <row r="28" spans="1:12" s="18" customFormat="1" ht="15" customHeight="1">
      <c r="A28" s="78">
        <v>1994</v>
      </c>
      <c r="B28" s="79" t="s">
        <v>46</v>
      </c>
      <c r="C28" s="15">
        <f t="shared" si="2"/>
        <v>0.90169840452907879</v>
      </c>
      <c r="D28" s="15">
        <f t="shared" si="3"/>
        <v>0.91297550807712347</v>
      </c>
      <c r="E28" s="15">
        <f t="shared" si="4"/>
        <v>0.98764796706124547</v>
      </c>
      <c r="F28" s="16"/>
      <c r="G28" s="16"/>
      <c r="H28" s="16">
        <v>3886</v>
      </c>
      <c r="I28" s="16">
        <f t="shared" si="5"/>
        <v>48</v>
      </c>
      <c r="J28" s="16">
        <v>3838</v>
      </c>
      <c r="K28" s="16">
        <v>3504</v>
      </c>
      <c r="L28" s="16">
        <f t="shared" si="6"/>
        <v>334</v>
      </c>
    </row>
    <row r="29" spans="1:12" s="18" customFormat="1" ht="15" customHeight="1">
      <c r="A29" s="80">
        <v>1994</v>
      </c>
      <c r="B29" s="81" t="s">
        <v>47</v>
      </c>
      <c r="C29" s="15">
        <f t="shared" si="2"/>
        <v>0.94938917975567194</v>
      </c>
      <c r="D29" s="15">
        <f t="shared" si="3"/>
        <v>0.95462521935322131</v>
      </c>
      <c r="E29" s="15">
        <f t="shared" si="4"/>
        <v>0.99451508352031914</v>
      </c>
      <c r="F29" s="16"/>
      <c r="G29" s="16"/>
      <c r="H29" s="16">
        <v>4011</v>
      </c>
      <c r="I29" s="16">
        <f t="shared" si="5"/>
        <v>22</v>
      </c>
      <c r="J29" s="16">
        <v>3989</v>
      </c>
      <c r="K29" s="16">
        <v>3808</v>
      </c>
      <c r="L29" s="16">
        <f t="shared" si="6"/>
        <v>181</v>
      </c>
    </row>
    <row r="30" spans="1:12" s="18" customFormat="1" ht="15" customHeight="1">
      <c r="A30" s="78">
        <v>1995</v>
      </c>
      <c r="B30" s="79" t="s">
        <v>36</v>
      </c>
      <c r="C30" s="15">
        <f t="shared" si="2"/>
        <v>0.95740927419354838</v>
      </c>
      <c r="D30" s="15">
        <f t="shared" si="3"/>
        <v>0.96543837357052098</v>
      </c>
      <c r="E30" s="15">
        <f t="shared" si="4"/>
        <v>0.9916834677419355</v>
      </c>
      <c r="F30" s="16"/>
      <c r="G30" s="16"/>
      <c r="H30" s="16">
        <v>3968</v>
      </c>
      <c r="I30" s="16">
        <f t="shared" ref="I30:I41" si="7">H30-J30</f>
        <v>33</v>
      </c>
      <c r="J30" s="16">
        <v>3935</v>
      </c>
      <c r="K30" s="16">
        <v>3799</v>
      </c>
      <c r="L30" s="16">
        <f t="shared" ref="L30:L41" si="8">J30-K30</f>
        <v>136</v>
      </c>
    </row>
    <row r="31" spans="1:12" s="18" customFormat="1" ht="15" customHeight="1">
      <c r="A31" s="80">
        <v>1995</v>
      </c>
      <c r="B31" s="81" t="s">
        <v>37</v>
      </c>
      <c r="C31" s="15">
        <f t="shared" si="2"/>
        <v>0.93070953436807091</v>
      </c>
      <c r="D31" s="15">
        <f t="shared" si="3"/>
        <v>0.94939214023183494</v>
      </c>
      <c r="E31" s="15">
        <f t="shared" si="4"/>
        <v>0.98032150776053217</v>
      </c>
      <c r="F31" s="16"/>
      <c r="G31" s="16"/>
      <c r="H31" s="16">
        <v>3608</v>
      </c>
      <c r="I31" s="16">
        <f t="shared" si="7"/>
        <v>71</v>
      </c>
      <c r="J31" s="16">
        <v>3537</v>
      </c>
      <c r="K31" s="16">
        <v>3358</v>
      </c>
      <c r="L31" s="16">
        <f t="shared" si="8"/>
        <v>179</v>
      </c>
    </row>
    <row r="32" spans="1:12" s="18" customFormat="1" ht="15" customHeight="1">
      <c r="A32" s="78">
        <v>1995</v>
      </c>
      <c r="B32" s="79" t="s">
        <v>38</v>
      </c>
      <c r="C32" s="15">
        <f t="shared" si="2"/>
        <v>0.92233489982686123</v>
      </c>
      <c r="D32" s="15">
        <f t="shared" si="3"/>
        <v>0.929925187032419</v>
      </c>
      <c r="E32" s="15">
        <f t="shared" si="4"/>
        <v>0.99183774424931981</v>
      </c>
      <c r="F32" s="16"/>
      <c r="G32" s="16"/>
      <c r="H32" s="16">
        <v>4043</v>
      </c>
      <c r="I32" s="16">
        <f t="shared" si="7"/>
        <v>33</v>
      </c>
      <c r="J32" s="16">
        <v>4010</v>
      </c>
      <c r="K32" s="16">
        <v>3729</v>
      </c>
      <c r="L32" s="16">
        <f t="shared" si="8"/>
        <v>281</v>
      </c>
    </row>
    <row r="33" spans="1:12" s="18" customFormat="1" ht="15" customHeight="1">
      <c r="A33" s="80">
        <v>1995</v>
      </c>
      <c r="B33" s="81" t="s">
        <v>39</v>
      </c>
      <c r="C33" s="15">
        <f t="shared" si="2"/>
        <v>0.86054499656514771</v>
      </c>
      <c r="D33" s="15">
        <f t="shared" si="3"/>
        <v>0.87619491723012355</v>
      </c>
      <c r="E33" s="15">
        <f t="shared" si="4"/>
        <v>0.98213876803297462</v>
      </c>
      <c r="F33" s="16"/>
      <c r="G33" s="16"/>
      <c r="H33" s="16">
        <v>4367</v>
      </c>
      <c r="I33" s="16">
        <f t="shared" si="7"/>
        <v>78</v>
      </c>
      <c r="J33" s="16">
        <v>4289</v>
      </c>
      <c r="K33" s="16">
        <v>3758</v>
      </c>
      <c r="L33" s="16">
        <f t="shared" si="8"/>
        <v>531</v>
      </c>
    </row>
    <row r="34" spans="1:12" s="18" customFormat="1" ht="15" customHeight="1">
      <c r="A34" s="78">
        <v>1995</v>
      </c>
      <c r="B34" s="79" t="s">
        <v>40</v>
      </c>
      <c r="C34" s="15">
        <f t="shared" si="2"/>
        <v>0.87923681257014585</v>
      </c>
      <c r="D34" s="15">
        <f t="shared" si="3"/>
        <v>0.89470077661032432</v>
      </c>
      <c r="E34" s="15">
        <f t="shared" si="4"/>
        <v>0.98271604938271606</v>
      </c>
      <c r="F34" s="16"/>
      <c r="G34" s="16"/>
      <c r="H34" s="16">
        <v>4455</v>
      </c>
      <c r="I34" s="16">
        <f t="shared" si="7"/>
        <v>77</v>
      </c>
      <c r="J34" s="16">
        <v>4378</v>
      </c>
      <c r="K34" s="16">
        <v>3917</v>
      </c>
      <c r="L34" s="16">
        <f t="shared" si="8"/>
        <v>461</v>
      </c>
    </row>
    <row r="35" spans="1:12" s="18" customFormat="1" ht="15" customHeight="1">
      <c r="A35" s="80">
        <v>1995</v>
      </c>
      <c r="B35" s="81" t="s">
        <v>41</v>
      </c>
      <c r="C35" s="15">
        <f t="shared" si="2"/>
        <v>0.94069529652351735</v>
      </c>
      <c r="D35" s="15">
        <f t="shared" si="3"/>
        <v>0.94910591471801931</v>
      </c>
      <c r="E35" s="15">
        <f t="shared" si="4"/>
        <v>0.99113837764144508</v>
      </c>
      <c r="F35" s="16"/>
      <c r="G35" s="16"/>
      <c r="H35" s="16">
        <v>4401</v>
      </c>
      <c r="I35" s="16">
        <f t="shared" si="7"/>
        <v>39</v>
      </c>
      <c r="J35" s="16">
        <v>4362</v>
      </c>
      <c r="K35" s="16">
        <v>4140</v>
      </c>
      <c r="L35" s="16">
        <f t="shared" si="8"/>
        <v>222</v>
      </c>
    </row>
    <row r="36" spans="1:12" s="18" customFormat="1" ht="15" customHeight="1">
      <c r="A36" s="78">
        <v>1995</v>
      </c>
      <c r="B36" s="79" t="s">
        <v>42</v>
      </c>
      <c r="C36" s="15">
        <f t="shared" si="2"/>
        <v>0.96280809859154926</v>
      </c>
      <c r="D36" s="15">
        <f t="shared" si="3"/>
        <v>0.96985147417424078</v>
      </c>
      <c r="E36" s="15">
        <f t="shared" si="4"/>
        <v>0.992737676056338</v>
      </c>
      <c r="F36" s="16"/>
      <c r="G36" s="16"/>
      <c r="H36" s="16">
        <v>4544</v>
      </c>
      <c r="I36" s="16">
        <f t="shared" si="7"/>
        <v>33</v>
      </c>
      <c r="J36" s="16">
        <v>4511</v>
      </c>
      <c r="K36" s="16">
        <v>4375</v>
      </c>
      <c r="L36" s="16">
        <f t="shared" si="8"/>
        <v>136</v>
      </c>
    </row>
    <row r="37" spans="1:12" s="18" customFormat="1" ht="15" customHeight="1">
      <c r="A37" s="80">
        <v>1995</v>
      </c>
      <c r="B37" s="81" t="s">
        <v>43</v>
      </c>
      <c r="C37" s="15">
        <f t="shared" si="2"/>
        <v>0.96509598603839442</v>
      </c>
      <c r="D37" s="15">
        <f t="shared" si="3"/>
        <v>0.97466402291253584</v>
      </c>
      <c r="E37" s="15">
        <f t="shared" si="4"/>
        <v>0.99018324607329844</v>
      </c>
      <c r="F37" s="16"/>
      <c r="G37" s="16"/>
      <c r="H37" s="16">
        <v>4584</v>
      </c>
      <c r="I37" s="16">
        <f t="shared" si="7"/>
        <v>45</v>
      </c>
      <c r="J37" s="16">
        <v>4539</v>
      </c>
      <c r="K37" s="16">
        <v>4424</v>
      </c>
      <c r="L37" s="16">
        <f t="shared" si="8"/>
        <v>115</v>
      </c>
    </row>
    <row r="38" spans="1:12" s="18" customFormat="1" ht="15" customHeight="1">
      <c r="A38" s="78">
        <v>1995</v>
      </c>
      <c r="B38" s="79" t="s">
        <v>44</v>
      </c>
      <c r="C38" s="15">
        <f t="shared" si="2"/>
        <v>0.96081540203850513</v>
      </c>
      <c r="D38" s="15">
        <f t="shared" si="3"/>
        <v>0.97382920110192839</v>
      </c>
      <c r="E38" s="15">
        <f t="shared" si="4"/>
        <v>0.98663646659116644</v>
      </c>
      <c r="F38" s="16"/>
      <c r="G38" s="16"/>
      <c r="H38" s="16">
        <v>4415</v>
      </c>
      <c r="I38" s="16">
        <f t="shared" si="7"/>
        <v>59</v>
      </c>
      <c r="J38" s="16">
        <v>4356</v>
      </c>
      <c r="K38" s="16">
        <v>4242</v>
      </c>
      <c r="L38" s="16">
        <f t="shared" si="8"/>
        <v>114</v>
      </c>
    </row>
    <row r="39" spans="1:12" s="18" customFormat="1" ht="15" customHeight="1">
      <c r="A39" s="80">
        <v>1995</v>
      </c>
      <c r="B39" s="81" t="s">
        <v>45</v>
      </c>
      <c r="C39" s="15">
        <f t="shared" si="2"/>
        <v>0.97621669235851138</v>
      </c>
      <c r="D39" s="15">
        <f t="shared" si="3"/>
        <v>0.97945205479452058</v>
      </c>
      <c r="E39" s="15">
        <f t="shared" si="4"/>
        <v>0.99669676282757103</v>
      </c>
      <c r="F39" s="16"/>
      <c r="G39" s="16"/>
      <c r="H39" s="16">
        <v>4541</v>
      </c>
      <c r="I39" s="16">
        <f t="shared" si="7"/>
        <v>15</v>
      </c>
      <c r="J39" s="16">
        <v>4526</v>
      </c>
      <c r="K39" s="16">
        <v>4433</v>
      </c>
      <c r="L39" s="16">
        <f t="shared" si="8"/>
        <v>93</v>
      </c>
    </row>
    <row r="40" spans="1:12" s="18" customFormat="1" ht="15" customHeight="1">
      <c r="A40" s="78">
        <v>1995</v>
      </c>
      <c r="B40" s="79" t="s">
        <v>46</v>
      </c>
      <c r="C40" s="15">
        <f t="shared" si="2"/>
        <v>0.95682326621923941</v>
      </c>
      <c r="D40" s="15">
        <f t="shared" si="3"/>
        <v>0.97072174307762138</v>
      </c>
      <c r="E40" s="15">
        <f t="shared" si="4"/>
        <v>0.9856823266219239</v>
      </c>
      <c r="F40" s="16"/>
      <c r="G40" s="16"/>
      <c r="H40" s="16">
        <v>4470</v>
      </c>
      <c r="I40" s="16">
        <f t="shared" si="7"/>
        <v>64</v>
      </c>
      <c r="J40" s="16">
        <v>4406</v>
      </c>
      <c r="K40" s="16">
        <v>4277</v>
      </c>
      <c r="L40" s="16">
        <f t="shared" si="8"/>
        <v>129</v>
      </c>
    </row>
    <row r="41" spans="1:12" s="18" customFormat="1" ht="15" customHeight="1">
      <c r="A41" s="80">
        <v>1995</v>
      </c>
      <c r="B41" s="81" t="s">
        <v>47</v>
      </c>
      <c r="C41" s="15">
        <f t="shared" si="2"/>
        <v>0.92881053336308861</v>
      </c>
      <c r="D41" s="15">
        <f t="shared" si="3"/>
        <v>0.9506624029237094</v>
      </c>
      <c r="E41" s="15">
        <f t="shared" si="4"/>
        <v>0.97701405936174957</v>
      </c>
      <c r="F41" s="16"/>
      <c r="G41" s="16"/>
      <c r="H41" s="16">
        <v>4481</v>
      </c>
      <c r="I41" s="16">
        <f t="shared" si="7"/>
        <v>103</v>
      </c>
      <c r="J41" s="16">
        <v>4378</v>
      </c>
      <c r="K41" s="16">
        <v>4162</v>
      </c>
      <c r="L41" s="16">
        <f t="shared" si="8"/>
        <v>216</v>
      </c>
    </row>
    <row r="42" spans="1:12" s="18" customFormat="1" ht="15" customHeight="1">
      <c r="A42" s="78">
        <v>1996</v>
      </c>
      <c r="B42" s="79" t="s">
        <v>36</v>
      </c>
      <c r="C42" s="15">
        <f t="shared" si="2"/>
        <v>0.95765116786727789</v>
      </c>
      <c r="D42" s="15">
        <f t="shared" si="3"/>
        <v>0.96693850562045403</v>
      </c>
      <c r="E42" s="15">
        <f t="shared" si="4"/>
        <v>0.99039511023793936</v>
      </c>
      <c r="F42" s="16"/>
      <c r="G42" s="16"/>
      <c r="H42" s="16">
        <v>4581</v>
      </c>
      <c r="I42" s="16">
        <f t="shared" ref="I42:I53" si="9">H42-J42</f>
        <v>44</v>
      </c>
      <c r="J42" s="16">
        <v>4537</v>
      </c>
      <c r="K42" s="16">
        <v>4387</v>
      </c>
      <c r="L42" s="16">
        <f t="shared" ref="L42:L53" si="10">J42-K42</f>
        <v>150</v>
      </c>
    </row>
    <row r="43" spans="1:12" s="18" customFormat="1" ht="15" customHeight="1">
      <c r="A43" s="80">
        <v>1996</v>
      </c>
      <c r="B43" s="81" t="s">
        <v>37</v>
      </c>
      <c r="C43" s="15">
        <f t="shared" si="2"/>
        <v>0.96383028054718289</v>
      </c>
      <c r="D43" s="15">
        <f t="shared" si="3"/>
        <v>0.97399250234301782</v>
      </c>
      <c r="E43" s="15">
        <f t="shared" si="4"/>
        <v>0.98956642708091813</v>
      </c>
      <c r="F43" s="16"/>
      <c r="G43" s="16"/>
      <c r="H43" s="16">
        <v>4313</v>
      </c>
      <c r="I43" s="16">
        <f t="shared" si="9"/>
        <v>45</v>
      </c>
      <c r="J43" s="16">
        <v>4268</v>
      </c>
      <c r="K43" s="16">
        <v>4157</v>
      </c>
      <c r="L43" s="16">
        <f t="shared" si="10"/>
        <v>111</v>
      </c>
    </row>
    <row r="44" spans="1:12" s="18" customFormat="1" ht="15" customHeight="1">
      <c r="A44" s="78">
        <v>1996</v>
      </c>
      <c r="B44" s="79" t="s">
        <v>38</v>
      </c>
      <c r="C44" s="15">
        <f t="shared" si="2"/>
        <v>0.95160937157871683</v>
      </c>
      <c r="D44" s="15">
        <f t="shared" si="3"/>
        <v>0.96513435487452814</v>
      </c>
      <c r="E44" s="15">
        <f t="shared" si="4"/>
        <v>0.98598642434858774</v>
      </c>
      <c r="F44" s="16"/>
      <c r="G44" s="16"/>
      <c r="H44" s="16">
        <v>4567</v>
      </c>
      <c r="I44" s="16">
        <f t="shared" si="9"/>
        <v>64</v>
      </c>
      <c r="J44" s="16">
        <v>4503</v>
      </c>
      <c r="K44" s="16">
        <v>4346</v>
      </c>
      <c r="L44" s="16">
        <f t="shared" si="10"/>
        <v>157</v>
      </c>
    </row>
    <row r="45" spans="1:12" s="18" customFormat="1" ht="15" customHeight="1">
      <c r="A45" s="80">
        <v>1996</v>
      </c>
      <c r="B45" s="81" t="s">
        <v>39</v>
      </c>
      <c r="C45" s="15">
        <f t="shared" si="2"/>
        <v>0.9615992771628642</v>
      </c>
      <c r="D45" s="15">
        <f t="shared" si="3"/>
        <v>0.97391901166781059</v>
      </c>
      <c r="E45" s="15">
        <f t="shared" si="4"/>
        <v>0.98735035012423766</v>
      </c>
      <c r="F45" s="16"/>
      <c r="G45" s="16"/>
      <c r="H45" s="16">
        <v>4427</v>
      </c>
      <c r="I45" s="16">
        <f t="shared" si="9"/>
        <v>56</v>
      </c>
      <c r="J45" s="16">
        <v>4371</v>
      </c>
      <c r="K45" s="16">
        <v>4257</v>
      </c>
      <c r="L45" s="16">
        <f t="shared" si="10"/>
        <v>114</v>
      </c>
    </row>
    <row r="46" spans="1:12" s="18" customFormat="1" ht="15" customHeight="1">
      <c r="A46" s="78">
        <v>1996</v>
      </c>
      <c r="B46" s="79" t="s">
        <v>40</v>
      </c>
      <c r="C46" s="15">
        <f t="shared" si="2"/>
        <v>0.94142167617376038</v>
      </c>
      <c r="D46" s="15">
        <f t="shared" si="3"/>
        <v>0.95567928730512253</v>
      </c>
      <c r="E46" s="15">
        <f t="shared" si="4"/>
        <v>0.98508117595436595</v>
      </c>
      <c r="F46" s="16"/>
      <c r="G46" s="16"/>
      <c r="H46" s="16">
        <v>4558</v>
      </c>
      <c r="I46" s="16">
        <f t="shared" si="9"/>
        <v>68</v>
      </c>
      <c r="J46" s="16">
        <v>4490</v>
      </c>
      <c r="K46" s="16">
        <v>4291</v>
      </c>
      <c r="L46" s="16">
        <f t="shared" si="10"/>
        <v>199</v>
      </c>
    </row>
    <row r="47" spans="1:12" s="18" customFormat="1" ht="15" customHeight="1">
      <c r="A47" s="80">
        <v>1996</v>
      </c>
      <c r="B47" s="81" t="s">
        <v>41</v>
      </c>
      <c r="C47" s="15">
        <f t="shared" si="2"/>
        <v>0.88737280296022203</v>
      </c>
      <c r="D47" s="15">
        <f t="shared" si="3"/>
        <v>0.91313660161827703</v>
      </c>
      <c r="E47" s="15">
        <f t="shared" si="4"/>
        <v>0.97178538390379277</v>
      </c>
      <c r="F47" s="16"/>
      <c r="G47" s="16"/>
      <c r="H47" s="16">
        <v>4324</v>
      </c>
      <c r="I47" s="16">
        <f t="shared" si="9"/>
        <v>122</v>
      </c>
      <c r="J47" s="16">
        <v>4202</v>
      </c>
      <c r="K47" s="16">
        <v>3837</v>
      </c>
      <c r="L47" s="16">
        <f t="shared" si="10"/>
        <v>365</v>
      </c>
    </row>
    <row r="48" spans="1:12" s="18" customFormat="1" ht="15" customHeight="1">
      <c r="A48" s="78">
        <v>1996</v>
      </c>
      <c r="B48" s="79" t="s">
        <v>42</v>
      </c>
      <c r="C48" s="15">
        <f t="shared" si="2"/>
        <v>0.93673647469458987</v>
      </c>
      <c r="D48" s="15">
        <f t="shared" si="3"/>
        <v>0.95105204872646731</v>
      </c>
      <c r="E48" s="15">
        <f t="shared" si="4"/>
        <v>0.98494764397905754</v>
      </c>
      <c r="F48" s="16"/>
      <c r="G48" s="16"/>
      <c r="H48" s="16">
        <v>4584</v>
      </c>
      <c r="I48" s="16">
        <f t="shared" si="9"/>
        <v>69</v>
      </c>
      <c r="J48" s="16">
        <v>4515</v>
      </c>
      <c r="K48" s="16">
        <v>4294</v>
      </c>
      <c r="L48" s="16">
        <f t="shared" si="10"/>
        <v>221</v>
      </c>
    </row>
    <row r="49" spans="1:12" s="18" customFormat="1" ht="15" customHeight="1">
      <c r="A49" s="80">
        <v>1996</v>
      </c>
      <c r="B49" s="81" t="s">
        <v>43</v>
      </c>
      <c r="C49" s="15">
        <f t="shared" si="2"/>
        <v>0.87565905096660812</v>
      </c>
      <c r="D49" s="15">
        <f t="shared" si="3"/>
        <v>0.92418270345467191</v>
      </c>
      <c r="E49" s="15">
        <f t="shared" si="4"/>
        <v>0.94749560632688923</v>
      </c>
      <c r="F49" s="16"/>
      <c r="G49" s="16"/>
      <c r="H49" s="16">
        <v>4552</v>
      </c>
      <c r="I49" s="16">
        <f t="shared" si="9"/>
        <v>239</v>
      </c>
      <c r="J49" s="16">
        <v>4313</v>
      </c>
      <c r="K49" s="16">
        <v>3986</v>
      </c>
      <c r="L49" s="16">
        <f t="shared" si="10"/>
        <v>327</v>
      </c>
    </row>
    <row r="50" spans="1:12" s="18" customFormat="1" ht="15" customHeight="1">
      <c r="A50" s="78">
        <v>1996</v>
      </c>
      <c r="B50" s="79" t="s">
        <v>44</v>
      </c>
      <c r="C50" s="15">
        <f t="shared" si="2"/>
        <v>0.86417657045840413</v>
      </c>
      <c r="D50" s="15">
        <f t="shared" si="3"/>
        <v>0.91443970357062654</v>
      </c>
      <c r="E50" s="15">
        <f t="shared" si="4"/>
        <v>0.94503395585738537</v>
      </c>
      <c r="F50" s="16"/>
      <c r="G50" s="16"/>
      <c r="H50" s="16">
        <v>4712</v>
      </c>
      <c r="I50" s="16">
        <f t="shared" si="9"/>
        <v>259</v>
      </c>
      <c r="J50" s="16">
        <v>4453</v>
      </c>
      <c r="K50" s="16">
        <v>4072</v>
      </c>
      <c r="L50" s="16">
        <f t="shared" si="10"/>
        <v>381</v>
      </c>
    </row>
    <row r="51" spans="1:12" s="18" customFormat="1" ht="15" customHeight="1">
      <c r="A51" s="80">
        <v>1996</v>
      </c>
      <c r="B51" s="81" t="s">
        <v>45</v>
      </c>
      <c r="C51" s="15">
        <f t="shared" si="2"/>
        <v>0.80095482923246419</v>
      </c>
      <c r="D51" s="15">
        <f t="shared" si="3"/>
        <v>0.87766599597585515</v>
      </c>
      <c r="E51" s="15">
        <f t="shared" si="4"/>
        <v>0.91259640102827766</v>
      </c>
      <c r="F51" s="16"/>
      <c r="G51" s="16"/>
      <c r="H51" s="16">
        <v>5446</v>
      </c>
      <c r="I51" s="16">
        <f t="shared" si="9"/>
        <v>476</v>
      </c>
      <c r="J51" s="16">
        <v>4970</v>
      </c>
      <c r="K51" s="16">
        <v>4362</v>
      </c>
      <c r="L51" s="16">
        <f t="shared" si="10"/>
        <v>608</v>
      </c>
    </row>
    <row r="52" spans="1:12" s="18" customFormat="1" ht="15" customHeight="1">
      <c r="A52" s="78">
        <v>1996</v>
      </c>
      <c r="B52" s="79" t="s">
        <v>46</v>
      </c>
      <c r="C52" s="15">
        <f t="shared" si="2"/>
        <v>0.86730841827104566</v>
      </c>
      <c r="D52" s="15">
        <f t="shared" si="3"/>
        <v>0.93603585251578736</v>
      </c>
      <c r="E52" s="15">
        <f t="shared" si="4"/>
        <v>0.9265760664401661</v>
      </c>
      <c r="F52" s="16"/>
      <c r="G52" s="16"/>
      <c r="H52" s="16">
        <v>5298</v>
      </c>
      <c r="I52" s="16">
        <f t="shared" si="9"/>
        <v>389</v>
      </c>
      <c r="J52" s="16">
        <v>4909</v>
      </c>
      <c r="K52" s="16">
        <v>4595</v>
      </c>
      <c r="L52" s="16">
        <f t="shared" si="10"/>
        <v>314</v>
      </c>
    </row>
    <row r="53" spans="1:12" s="18" customFormat="1" ht="15" customHeight="1">
      <c r="A53" s="80">
        <v>1996</v>
      </c>
      <c r="B53" s="81" t="s">
        <v>47</v>
      </c>
      <c r="C53" s="15">
        <f t="shared" si="2"/>
        <v>0.82300209803547586</v>
      </c>
      <c r="D53" s="15">
        <f t="shared" si="3"/>
        <v>0.90158796489761805</v>
      </c>
      <c r="E53" s="15">
        <f t="shared" si="4"/>
        <v>0.91283616250238409</v>
      </c>
      <c r="F53" s="16"/>
      <c r="G53" s="16"/>
      <c r="H53" s="16">
        <v>5243</v>
      </c>
      <c r="I53" s="16">
        <f t="shared" si="9"/>
        <v>457</v>
      </c>
      <c r="J53" s="16">
        <v>4786</v>
      </c>
      <c r="K53" s="16">
        <v>4315</v>
      </c>
      <c r="L53" s="16">
        <f t="shared" si="10"/>
        <v>471</v>
      </c>
    </row>
    <row r="54" spans="1:12" s="18" customFormat="1" ht="15" customHeight="1">
      <c r="A54" s="78">
        <v>1997</v>
      </c>
      <c r="B54" s="79" t="s">
        <v>36</v>
      </c>
      <c r="C54" s="15">
        <f t="shared" si="2"/>
        <v>0.8882397286091217</v>
      </c>
      <c r="D54" s="15">
        <f t="shared" si="3"/>
        <v>0.91817650496785508</v>
      </c>
      <c r="E54" s="15">
        <f t="shared" si="4"/>
        <v>0.96739540143234071</v>
      </c>
      <c r="F54" s="16"/>
      <c r="G54" s="16"/>
      <c r="H54" s="16">
        <v>5306</v>
      </c>
      <c r="I54" s="16">
        <f t="shared" ref="I54:I65" si="11">H54-J54</f>
        <v>173</v>
      </c>
      <c r="J54" s="16">
        <v>5133</v>
      </c>
      <c r="K54" s="16">
        <v>4713</v>
      </c>
      <c r="L54" s="16">
        <f t="shared" ref="L54:L65" si="12">J54-K54</f>
        <v>420</v>
      </c>
    </row>
    <row r="55" spans="1:12" s="18" customFormat="1" ht="15" customHeight="1">
      <c r="A55" s="80">
        <v>1997</v>
      </c>
      <c r="B55" s="81" t="s">
        <v>37</v>
      </c>
      <c r="C55" s="15">
        <f t="shared" si="2"/>
        <v>0.88329187396351572</v>
      </c>
      <c r="D55" s="15">
        <f t="shared" si="3"/>
        <v>0.90891638225255977</v>
      </c>
      <c r="E55" s="15">
        <f t="shared" si="4"/>
        <v>0.97180762852404645</v>
      </c>
      <c r="F55" s="16"/>
      <c r="G55" s="16"/>
      <c r="H55" s="16">
        <v>4824</v>
      </c>
      <c r="I55" s="16">
        <f t="shared" si="11"/>
        <v>136</v>
      </c>
      <c r="J55" s="16">
        <v>4688</v>
      </c>
      <c r="K55" s="16">
        <v>4261</v>
      </c>
      <c r="L55" s="16">
        <f t="shared" si="12"/>
        <v>427</v>
      </c>
    </row>
    <row r="56" spans="1:12" s="18" customFormat="1" ht="15" customHeight="1">
      <c r="A56" s="78">
        <v>1997</v>
      </c>
      <c r="B56" s="79" t="s">
        <v>38</v>
      </c>
      <c r="C56" s="15">
        <f t="shared" si="2"/>
        <v>0.87850826605151866</v>
      </c>
      <c r="D56" s="15">
        <f t="shared" si="3"/>
        <v>0.90477133240942387</v>
      </c>
      <c r="E56" s="15">
        <f t="shared" si="4"/>
        <v>0.97097270280661285</v>
      </c>
      <c r="F56" s="16"/>
      <c r="G56" s="16"/>
      <c r="H56" s="16">
        <v>5202</v>
      </c>
      <c r="I56" s="16">
        <f t="shared" si="11"/>
        <v>151</v>
      </c>
      <c r="J56" s="16">
        <v>5051</v>
      </c>
      <c r="K56" s="16">
        <v>4570</v>
      </c>
      <c r="L56" s="16">
        <f t="shared" si="12"/>
        <v>481</v>
      </c>
    </row>
    <row r="57" spans="1:12" s="18" customFormat="1" ht="15" customHeight="1">
      <c r="A57" s="80">
        <v>1997</v>
      </c>
      <c r="B57" s="81" t="s">
        <v>39</v>
      </c>
      <c r="C57" s="15">
        <f t="shared" si="2"/>
        <v>0.85866202629543698</v>
      </c>
      <c r="D57" s="15">
        <f t="shared" si="3"/>
        <v>0.90966816878328549</v>
      </c>
      <c r="E57" s="15">
        <f t="shared" si="4"/>
        <v>0.9439288476411446</v>
      </c>
      <c r="F57" s="16"/>
      <c r="G57" s="16"/>
      <c r="H57" s="16">
        <v>5172</v>
      </c>
      <c r="I57" s="16">
        <f t="shared" si="11"/>
        <v>290</v>
      </c>
      <c r="J57" s="16">
        <v>4882</v>
      </c>
      <c r="K57" s="16">
        <v>4441</v>
      </c>
      <c r="L57" s="16">
        <f t="shared" si="12"/>
        <v>441</v>
      </c>
    </row>
    <row r="58" spans="1:12" s="18" customFormat="1" ht="15" customHeight="1">
      <c r="A58" s="78">
        <v>1997</v>
      </c>
      <c r="B58" s="79" t="s">
        <v>40</v>
      </c>
      <c r="C58" s="15">
        <f t="shared" si="2"/>
        <v>0.91478458910609228</v>
      </c>
      <c r="D58" s="15">
        <f t="shared" si="3"/>
        <v>0.96207584830339321</v>
      </c>
      <c r="E58" s="15">
        <f t="shared" si="4"/>
        <v>0.95084456253558547</v>
      </c>
      <c r="F58" s="16"/>
      <c r="G58" s="16"/>
      <c r="H58" s="16">
        <v>5269</v>
      </c>
      <c r="I58" s="16">
        <f t="shared" si="11"/>
        <v>259</v>
      </c>
      <c r="J58" s="16">
        <v>5010</v>
      </c>
      <c r="K58" s="16">
        <v>4820</v>
      </c>
      <c r="L58" s="16">
        <f t="shared" si="12"/>
        <v>190</v>
      </c>
    </row>
    <row r="59" spans="1:12" s="18" customFormat="1" ht="15" customHeight="1">
      <c r="A59" s="80">
        <v>1997</v>
      </c>
      <c r="B59" s="81" t="s">
        <v>41</v>
      </c>
      <c r="C59" s="15">
        <f t="shared" si="2"/>
        <v>0.95273833671399599</v>
      </c>
      <c r="D59" s="15">
        <f t="shared" si="3"/>
        <v>0.96626208599053698</v>
      </c>
      <c r="E59" s="15">
        <f t="shared" si="4"/>
        <v>0.98600405679513181</v>
      </c>
      <c r="F59" s="16"/>
      <c r="G59" s="16"/>
      <c r="H59" s="16">
        <v>4930</v>
      </c>
      <c r="I59" s="16">
        <f t="shared" si="11"/>
        <v>69</v>
      </c>
      <c r="J59" s="16">
        <v>4861</v>
      </c>
      <c r="K59" s="16">
        <v>4697</v>
      </c>
      <c r="L59" s="16">
        <f t="shared" si="12"/>
        <v>164</v>
      </c>
    </row>
    <row r="60" spans="1:12" s="18" customFormat="1" ht="15" customHeight="1">
      <c r="A60" s="78">
        <v>1997</v>
      </c>
      <c r="B60" s="79" t="s">
        <v>42</v>
      </c>
      <c r="C60" s="15">
        <f t="shared" si="2"/>
        <v>0.9632825040128411</v>
      </c>
      <c r="D60" s="15">
        <f t="shared" si="3"/>
        <v>0.97403124365997162</v>
      </c>
      <c r="E60" s="15">
        <f t="shared" si="4"/>
        <v>0.9889646869983949</v>
      </c>
      <c r="F60" s="16"/>
      <c r="G60" s="16"/>
      <c r="H60" s="16">
        <v>4984</v>
      </c>
      <c r="I60" s="16">
        <f t="shared" si="11"/>
        <v>55</v>
      </c>
      <c r="J60" s="16">
        <v>4929</v>
      </c>
      <c r="K60" s="16">
        <v>4801</v>
      </c>
      <c r="L60" s="16">
        <f t="shared" si="12"/>
        <v>128</v>
      </c>
    </row>
    <row r="61" spans="1:12" s="18" customFormat="1" ht="15" customHeight="1">
      <c r="A61" s="80">
        <v>1997</v>
      </c>
      <c r="B61" s="81" t="s">
        <v>43</v>
      </c>
      <c r="C61" s="15">
        <f t="shared" si="2"/>
        <v>0.96191300584289119</v>
      </c>
      <c r="D61" s="15">
        <f t="shared" si="3"/>
        <v>0.98101964246303242</v>
      </c>
      <c r="E61" s="15">
        <f t="shared" si="4"/>
        <v>0.98052369616966029</v>
      </c>
      <c r="F61" s="16"/>
      <c r="G61" s="16"/>
      <c r="H61" s="16">
        <v>4621</v>
      </c>
      <c r="I61" s="16">
        <f t="shared" si="11"/>
        <v>90</v>
      </c>
      <c r="J61" s="16">
        <v>4531</v>
      </c>
      <c r="K61" s="16">
        <v>4445</v>
      </c>
      <c r="L61" s="16">
        <f t="shared" si="12"/>
        <v>86</v>
      </c>
    </row>
    <row r="62" spans="1:12" s="18" customFormat="1" ht="15" customHeight="1">
      <c r="A62" s="78">
        <v>1997</v>
      </c>
      <c r="B62" s="79" t="s">
        <v>44</v>
      </c>
      <c r="C62" s="15">
        <f t="shared" si="2"/>
        <v>0.96854663774403471</v>
      </c>
      <c r="D62" s="15">
        <f t="shared" si="3"/>
        <v>0.97895198421398821</v>
      </c>
      <c r="E62" s="15">
        <f t="shared" si="4"/>
        <v>0.98937093275488064</v>
      </c>
      <c r="F62" s="16"/>
      <c r="G62" s="16"/>
      <c r="H62" s="16">
        <v>4610</v>
      </c>
      <c r="I62" s="16">
        <f t="shared" si="11"/>
        <v>49</v>
      </c>
      <c r="J62" s="16">
        <v>4561</v>
      </c>
      <c r="K62" s="16">
        <v>4465</v>
      </c>
      <c r="L62" s="16">
        <f t="shared" si="12"/>
        <v>96</v>
      </c>
    </row>
    <row r="63" spans="1:12" s="18" customFormat="1" ht="15" customHeight="1">
      <c r="A63" s="80">
        <v>1997</v>
      </c>
      <c r="B63" s="81" t="s">
        <v>45</v>
      </c>
      <c r="C63" s="15">
        <f t="shared" si="2"/>
        <v>0.96041244706315598</v>
      </c>
      <c r="D63" s="15">
        <f t="shared" si="3"/>
        <v>0.9736792981146164</v>
      </c>
      <c r="E63" s="15">
        <f t="shared" si="4"/>
        <v>0.98637451666359788</v>
      </c>
      <c r="F63" s="16"/>
      <c r="G63" s="16"/>
      <c r="H63" s="16">
        <v>5431</v>
      </c>
      <c r="I63" s="16">
        <f t="shared" si="11"/>
        <v>74</v>
      </c>
      <c r="J63" s="16">
        <v>5357</v>
      </c>
      <c r="K63" s="16">
        <v>5216</v>
      </c>
      <c r="L63" s="16">
        <f t="shared" si="12"/>
        <v>141</v>
      </c>
    </row>
    <row r="64" spans="1:12" s="18" customFormat="1" ht="15" customHeight="1">
      <c r="A64" s="78">
        <v>1997</v>
      </c>
      <c r="B64" s="79" t="s">
        <v>46</v>
      </c>
      <c r="C64" s="15">
        <f t="shared" si="2"/>
        <v>0.93927203065134102</v>
      </c>
      <c r="D64" s="15">
        <f t="shared" si="3"/>
        <v>0.94762272902976419</v>
      </c>
      <c r="E64" s="15">
        <f t="shared" si="4"/>
        <v>0.9911877394636015</v>
      </c>
      <c r="F64" s="16"/>
      <c r="G64" s="16"/>
      <c r="H64" s="16">
        <v>5220</v>
      </c>
      <c r="I64" s="16">
        <f t="shared" si="11"/>
        <v>46</v>
      </c>
      <c r="J64" s="16">
        <v>5174</v>
      </c>
      <c r="K64" s="16">
        <v>4903</v>
      </c>
      <c r="L64" s="16">
        <f t="shared" si="12"/>
        <v>271</v>
      </c>
    </row>
    <row r="65" spans="1:12" s="18" customFormat="1" ht="15" customHeight="1">
      <c r="A65" s="80">
        <v>1997</v>
      </c>
      <c r="B65" s="81" t="s">
        <v>47</v>
      </c>
      <c r="C65" s="15">
        <f t="shared" si="2"/>
        <v>0.9530841121495327</v>
      </c>
      <c r="D65" s="15">
        <f t="shared" si="3"/>
        <v>0.96243865609664025</v>
      </c>
      <c r="E65" s="15">
        <f t="shared" si="4"/>
        <v>0.9902803738317757</v>
      </c>
      <c r="F65" s="16"/>
      <c r="G65" s="16"/>
      <c r="H65" s="16">
        <v>5350</v>
      </c>
      <c r="I65" s="16">
        <f t="shared" si="11"/>
        <v>52</v>
      </c>
      <c r="J65" s="16">
        <v>5298</v>
      </c>
      <c r="K65" s="16">
        <v>5099</v>
      </c>
      <c r="L65" s="16">
        <f t="shared" si="12"/>
        <v>199</v>
      </c>
    </row>
    <row r="66" spans="1:12" s="18" customFormat="1" ht="15" customHeight="1">
      <c r="A66" s="78">
        <v>1998</v>
      </c>
      <c r="B66" s="79" t="s">
        <v>36</v>
      </c>
      <c r="C66" s="15">
        <f t="shared" si="2"/>
        <v>0.95415896487985208</v>
      </c>
      <c r="D66" s="15">
        <f t="shared" si="3"/>
        <v>0.96001487818486142</v>
      </c>
      <c r="E66" s="15">
        <f t="shared" si="4"/>
        <v>0.99390018484288356</v>
      </c>
      <c r="F66" s="16"/>
      <c r="G66" s="16"/>
      <c r="H66" s="16">
        <v>5410</v>
      </c>
      <c r="I66" s="16">
        <f t="shared" ref="I66:I77" si="13">H66-J66</f>
        <v>33</v>
      </c>
      <c r="J66" s="16">
        <v>5377</v>
      </c>
      <c r="K66" s="16">
        <v>5162</v>
      </c>
      <c r="L66" s="16">
        <f t="shared" ref="L66:L77" si="14">J66-K66</f>
        <v>215</v>
      </c>
    </row>
    <row r="67" spans="1:12" s="18" customFormat="1" ht="15" customHeight="1">
      <c r="A67" s="80">
        <v>1998</v>
      </c>
      <c r="B67" s="81" t="s">
        <v>37</v>
      </c>
      <c r="C67" s="15">
        <f t="shared" si="2"/>
        <v>0.94590761750405183</v>
      </c>
      <c r="D67" s="15">
        <f t="shared" si="3"/>
        <v>0.95422031473533619</v>
      </c>
      <c r="E67" s="15">
        <f t="shared" si="4"/>
        <v>0.9912884927066451</v>
      </c>
      <c r="F67" s="16"/>
      <c r="G67" s="16"/>
      <c r="H67" s="16">
        <v>4936</v>
      </c>
      <c r="I67" s="16">
        <f t="shared" si="13"/>
        <v>43</v>
      </c>
      <c r="J67" s="16">
        <v>4893</v>
      </c>
      <c r="K67" s="16">
        <v>4669</v>
      </c>
      <c r="L67" s="16">
        <f t="shared" si="14"/>
        <v>224</v>
      </c>
    </row>
    <row r="68" spans="1:12" s="18" customFormat="1" ht="15" customHeight="1">
      <c r="A68" s="78">
        <v>1998</v>
      </c>
      <c r="B68" s="79" t="s">
        <v>38</v>
      </c>
      <c r="C68" s="15">
        <f t="shared" si="2"/>
        <v>0.96020633750921147</v>
      </c>
      <c r="D68" s="15">
        <f t="shared" si="3"/>
        <v>0.9684132292827945</v>
      </c>
      <c r="E68" s="15">
        <f t="shared" si="4"/>
        <v>0.99152542372881358</v>
      </c>
      <c r="F68" s="16"/>
      <c r="G68" s="16"/>
      <c r="H68" s="16">
        <v>5428</v>
      </c>
      <c r="I68" s="16">
        <f t="shared" si="13"/>
        <v>46</v>
      </c>
      <c r="J68" s="16">
        <v>5382</v>
      </c>
      <c r="K68" s="16">
        <v>5212</v>
      </c>
      <c r="L68" s="16">
        <f t="shared" si="14"/>
        <v>170</v>
      </c>
    </row>
    <row r="69" spans="1:12" s="18" customFormat="1" ht="15" customHeight="1">
      <c r="A69" s="80">
        <v>1998</v>
      </c>
      <c r="B69" s="81" t="s">
        <v>39</v>
      </c>
      <c r="C69" s="15">
        <f t="shared" si="2"/>
        <v>0.96697212676594124</v>
      </c>
      <c r="D69" s="15">
        <f t="shared" si="3"/>
        <v>0.97497593840230989</v>
      </c>
      <c r="E69" s="15">
        <f t="shared" si="4"/>
        <v>0.99179075983199694</v>
      </c>
      <c r="F69" s="16"/>
      <c r="G69" s="16"/>
      <c r="H69" s="16">
        <v>5238</v>
      </c>
      <c r="I69" s="16">
        <f t="shared" si="13"/>
        <v>43</v>
      </c>
      <c r="J69" s="16">
        <v>5195</v>
      </c>
      <c r="K69" s="16">
        <v>5065</v>
      </c>
      <c r="L69" s="16">
        <f t="shared" si="14"/>
        <v>130</v>
      </c>
    </row>
    <row r="70" spans="1:12" s="18" customFormat="1" ht="15" customHeight="1">
      <c r="A70" s="78">
        <v>1998</v>
      </c>
      <c r="B70" s="79" t="s">
        <v>40</v>
      </c>
      <c r="C70" s="15">
        <f t="shared" si="2"/>
        <v>0.98439284354777312</v>
      </c>
      <c r="D70" s="15">
        <f t="shared" si="3"/>
        <v>0.98739977090492559</v>
      </c>
      <c r="E70" s="15">
        <f t="shared" si="4"/>
        <v>0.99695470118005325</v>
      </c>
      <c r="F70" s="16"/>
      <c r="G70" s="16"/>
      <c r="H70" s="16">
        <v>5254</v>
      </c>
      <c r="I70" s="16">
        <f t="shared" si="13"/>
        <v>16</v>
      </c>
      <c r="J70" s="16">
        <v>5238</v>
      </c>
      <c r="K70" s="16">
        <v>5172</v>
      </c>
      <c r="L70" s="16">
        <f t="shared" si="14"/>
        <v>66</v>
      </c>
    </row>
    <row r="71" spans="1:12" s="18" customFormat="1" ht="15" customHeight="1">
      <c r="A71" s="80">
        <v>1998</v>
      </c>
      <c r="B71" s="81" t="s">
        <v>41</v>
      </c>
      <c r="C71" s="15">
        <f t="shared" ref="C71:C134" si="15">K71/H71</f>
        <v>0.97209302325581393</v>
      </c>
      <c r="D71" s="15">
        <f t="shared" ref="D71:D134" si="16">K71/J71</f>
        <v>0.97606538237011087</v>
      </c>
      <c r="E71" s="15">
        <f t="shared" ref="E71:E134" si="17">J71/H71</f>
        <v>0.99593023255813951</v>
      </c>
      <c r="F71" s="16"/>
      <c r="G71" s="16"/>
      <c r="H71" s="16">
        <v>5160</v>
      </c>
      <c r="I71" s="16">
        <f t="shared" si="13"/>
        <v>21</v>
      </c>
      <c r="J71" s="16">
        <v>5139</v>
      </c>
      <c r="K71" s="16">
        <v>5016</v>
      </c>
      <c r="L71" s="16">
        <f t="shared" si="14"/>
        <v>123</v>
      </c>
    </row>
    <row r="72" spans="1:12" s="18" customFormat="1" ht="15" customHeight="1">
      <c r="A72" s="78">
        <v>1998</v>
      </c>
      <c r="B72" s="79" t="s">
        <v>42</v>
      </c>
      <c r="C72" s="15">
        <f t="shared" si="15"/>
        <v>0.97688073394495412</v>
      </c>
      <c r="D72" s="15">
        <f t="shared" si="16"/>
        <v>0.98174442190669375</v>
      </c>
      <c r="E72" s="15">
        <f t="shared" si="17"/>
        <v>0.99504587155963298</v>
      </c>
      <c r="F72" s="16"/>
      <c r="G72" s="16"/>
      <c r="H72" s="16">
        <v>5450</v>
      </c>
      <c r="I72" s="16">
        <f t="shared" si="13"/>
        <v>27</v>
      </c>
      <c r="J72" s="16">
        <v>5423</v>
      </c>
      <c r="K72" s="16">
        <v>5324</v>
      </c>
      <c r="L72" s="16">
        <f t="shared" si="14"/>
        <v>99</v>
      </c>
    </row>
    <row r="73" spans="1:12" s="18" customFormat="1" ht="15" customHeight="1">
      <c r="A73" s="80">
        <v>1998</v>
      </c>
      <c r="B73" s="81" t="s">
        <v>43</v>
      </c>
      <c r="C73" s="15">
        <f t="shared" si="15"/>
        <v>0.97786946736684166</v>
      </c>
      <c r="D73" s="15">
        <f t="shared" si="16"/>
        <v>0.98118178396687994</v>
      </c>
      <c r="E73" s="15">
        <f t="shared" si="17"/>
        <v>0.99662415603900978</v>
      </c>
      <c r="F73" s="16"/>
      <c r="G73" s="16"/>
      <c r="H73" s="16">
        <v>5332</v>
      </c>
      <c r="I73" s="16">
        <f t="shared" si="13"/>
        <v>18</v>
      </c>
      <c r="J73" s="16">
        <v>5314</v>
      </c>
      <c r="K73" s="16">
        <v>5214</v>
      </c>
      <c r="L73" s="16">
        <f t="shared" si="14"/>
        <v>100</v>
      </c>
    </row>
    <row r="74" spans="1:12" s="18" customFormat="1" ht="15" customHeight="1">
      <c r="A74" s="78">
        <v>1998</v>
      </c>
      <c r="B74" s="79" t="s">
        <v>44</v>
      </c>
      <c r="C74" s="15">
        <f t="shared" si="15"/>
        <v>0.97959565705728191</v>
      </c>
      <c r="D74" s="15">
        <f t="shared" si="16"/>
        <v>0.98364661654135344</v>
      </c>
      <c r="E74" s="15">
        <f t="shared" si="17"/>
        <v>0.9958816922500936</v>
      </c>
      <c r="F74" s="16"/>
      <c r="G74" s="16"/>
      <c r="H74" s="16">
        <v>5342</v>
      </c>
      <c r="I74" s="16">
        <f t="shared" si="13"/>
        <v>22</v>
      </c>
      <c r="J74" s="16">
        <v>5320</v>
      </c>
      <c r="K74" s="16">
        <v>5233</v>
      </c>
      <c r="L74" s="16">
        <f t="shared" si="14"/>
        <v>87</v>
      </c>
    </row>
    <row r="75" spans="1:12" s="18" customFormat="1" ht="15" customHeight="1">
      <c r="A75" s="80">
        <v>1998</v>
      </c>
      <c r="B75" s="81" t="s">
        <v>45</v>
      </c>
      <c r="C75" s="15">
        <f t="shared" si="15"/>
        <v>0.98391866913123849</v>
      </c>
      <c r="D75" s="15">
        <f t="shared" si="16"/>
        <v>0.98738638471526619</v>
      </c>
      <c r="E75" s="15">
        <f t="shared" si="17"/>
        <v>0.99648798521256932</v>
      </c>
      <c r="F75" s="16"/>
      <c r="G75" s="16"/>
      <c r="H75" s="16">
        <v>5410</v>
      </c>
      <c r="I75" s="16">
        <f t="shared" si="13"/>
        <v>19</v>
      </c>
      <c r="J75" s="16">
        <v>5391</v>
      </c>
      <c r="K75" s="16">
        <v>5323</v>
      </c>
      <c r="L75" s="16">
        <f t="shared" si="14"/>
        <v>68</v>
      </c>
    </row>
    <row r="76" spans="1:12" s="18" customFormat="1" ht="15" customHeight="1">
      <c r="A76" s="78">
        <v>1998</v>
      </c>
      <c r="B76" s="79" t="s">
        <v>46</v>
      </c>
      <c r="C76" s="15">
        <f t="shared" si="15"/>
        <v>0.9864452080946926</v>
      </c>
      <c r="D76" s="15">
        <f t="shared" si="16"/>
        <v>0.99231803341655467</v>
      </c>
      <c r="E76" s="15">
        <f t="shared" si="17"/>
        <v>0.99408171057655592</v>
      </c>
      <c r="F76" s="16"/>
      <c r="G76" s="16"/>
      <c r="H76" s="16">
        <v>5238</v>
      </c>
      <c r="I76" s="16">
        <f t="shared" si="13"/>
        <v>31</v>
      </c>
      <c r="J76" s="16">
        <v>5207</v>
      </c>
      <c r="K76" s="16">
        <v>5167</v>
      </c>
      <c r="L76" s="16">
        <f t="shared" si="14"/>
        <v>40</v>
      </c>
    </row>
    <row r="77" spans="1:12" s="18" customFormat="1" ht="15" customHeight="1">
      <c r="A77" s="80">
        <v>1998</v>
      </c>
      <c r="B77" s="81" t="s">
        <v>47</v>
      </c>
      <c r="C77" s="15">
        <f t="shared" si="15"/>
        <v>0.91869767441860462</v>
      </c>
      <c r="D77" s="15">
        <f t="shared" si="16"/>
        <v>0.99196464443551624</v>
      </c>
      <c r="E77" s="15">
        <f t="shared" si="17"/>
        <v>0.92613953488372092</v>
      </c>
      <c r="F77" s="16"/>
      <c r="G77" s="16"/>
      <c r="H77" s="16">
        <v>5375</v>
      </c>
      <c r="I77" s="16">
        <f t="shared" si="13"/>
        <v>397</v>
      </c>
      <c r="J77" s="16">
        <v>4978</v>
      </c>
      <c r="K77" s="16">
        <v>4938</v>
      </c>
      <c r="L77" s="16">
        <f t="shared" si="14"/>
        <v>40</v>
      </c>
    </row>
    <row r="78" spans="1:12" s="18" customFormat="1" ht="15" customHeight="1">
      <c r="A78" s="78">
        <v>1999</v>
      </c>
      <c r="B78" s="79" t="s">
        <v>36</v>
      </c>
      <c r="C78" s="15">
        <f t="shared" si="15"/>
        <v>0.99010640283740903</v>
      </c>
      <c r="D78" s="15">
        <f t="shared" si="16"/>
        <v>0.99307245834113467</v>
      </c>
      <c r="E78" s="15">
        <f t="shared" si="17"/>
        <v>0.99701325368676497</v>
      </c>
      <c r="F78" s="16"/>
      <c r="G78" s="16"/>
      <c r="H78" s="16">
        <v>5357</v>
      </c>
      <c r="I78" s="16">
        <f t="shared" ref="I78:I89" si="18">H78-J78</f>
        <v>16</v>
      </c>
      <c r="J78" s="16">
        <v>5341</v>
      </c>
      <c r="K78" s="16">
        <v>5304</v>
      </c>
      <c r="L78" s="16">
        <f t="shared" ref="L78:L89" si="19">J78-K78</f>
        <v>37</v>
      </c>
    </row>
    <row r="79" spans="1:12" s="18" customFormat="1" ht="15" customHeight="1">
      <c r="A79" s="80">
        <v>1999</v>
      </c>
      <c r="B79" s="81" t="s">
        <v>37</v>
      </c>
      <c r="C79" s="15">
        <f t="shared" si="15"/>
        <v>0.98326612903225807</v>
      </c>
      <c r="D79" s="15">
        <f t="shared" si="16"/>
        <v>0.98644822006472488</v>
      </c>
      <c r="E79" s="15">
        <f t="shared" si="17"/>
        <v>0.99677419354838714</v>
      </c>
      <c r="F79" s="16"/>
      <c r="G79" s="16"/>
      <c r="H79" s="16">
        <v>4960</v>
      </c>
      <c r="I79" s="16">
        <f t="shared" si="18"/>
        <v>16</v>
      </c>
      <c r="J79" s="16">
        <v>4944</v>
      </c>
      <c r="K79" s="16">
        <v>4877</v>
      </c>
      <c r="L79" s="16">
        <f t="shared" si="19"/>
        <v>67</v>
      </c>
    </row>
    <row r="80" spans="1:12" s="18" customFormat="1" ht="15" customHeight="1">
      <c r="A80" s="78">
        <v>1999</v>
      </c>
      <c r="B80" s="79" t="s">
        <v>38</v>
      </c>
      <c r="C80" s="15">
        <f t="shared" si="15"/>
        <v>0.97451653714079156</v>
      </c>
      <c r="D80" s="15">
        <f t="shared" si="16"/>
        <v>0.98143429195485987</v>
      </c>
      <c r="E80" s="15">
        <f t="shared" si="17"/>
        <v>0.99295138261341043</v>
      </c>
      <c r="F80" s="16"/>
      <c r="G80" s="16"/>
      <c r="H80" s="16">
        <v>5533</v>
      </c>
      <c r="I80" s="16">
        <f t="shared" si="18"/>
        <v>39</v>
      </c>
      <c r="J80" s="16">
        <v>5494</v>
      </c>
      <c r="K80" s="16">
        <v>5392</v>
      </c>
      <c r="L80" s="16">
        <f t="shared" si="19"/>
        <v>102</v>
      </c>
    </row>
    <row r="81" spans="1:12" s="18" customFormat="1" ht="15" customHeight="1">
      <c r="A81" s="80">
        <v>1999</v>
      </c>
      <c r="B81" s="81" t="s">
        <v>39</v>
      </c>
      <c r="C81" s="15">
        <f t="shared" si="15"/>
        <v>0.96530028598665396</v>
      </c>
      <c r="D81" s="15">
        <f t="shared" si="16"/>
        <v>0.9749663007895244</v>
      </c>
      <c r="E81" s="15">
        <f t="shared" si="17"/>
        <v>0.99008579599618685</v>
      </c>
      <c r="F81" s="16"/>
      <c r="G81" s="16"/>
      <c r="H81" s="16">
        <v>5245</v>
      </c>
      <c r="I81" s="16">
        <f t="shared" si="18"/>
        <v>52</v>
      </c>
      <c r="J81" s="16">
        <v>5193</v>
      </c>
      <c r="K81" s="16">
        <v>5063</v>
      </c>
      <c r="L81" s="16">
        <f t="shared" si="19"/>
        <v>130</v>
      </c>
    </row>
    <row r="82" spans="1:12" s="18" customFormat="1" ht="15" customHeight="1">
      <c r="A82" s="78">
        <v>1999</v>
      </c>
      <c r="B82" s="79" t="s">
        <v>40</v>
      </c>
      <c r="C82" s="15">
        <f t="shared" si="15"/>
        <v>0.96544561933534745</v>
      </c>
      <c r="D82" s="15">
        <f t="shared" si="16"/>
        <v>0.97576335877862597</v>
      </c>
      <c r="E82" s="15">
        <f t="shared" si="17"/>
        <v>0.98942598187311182</v>
      </c>
      <c r="F82" s="16"/>
      <c r="G82" s="16"/>
      <c r="H82" s="16">
        <v>5296</v>
      </c>
      <c r="I82" s="16">
        <f t="shared" si="18"/>
        <v>56</v>
      </c>
      <c r="J82" s="16">
        <v>5240</v>
      </c>
      <c r="K82" s="16">
        <v>5113</v>
      </c>
      <c r="L82" s="16">
        <f t="shared" si="19"/>
        <v>127</v>
      </c>
    </row>
    <row r="83" spans="1:12" s="18" customFormat="1" ht="15" customHeight="1">
      <c r="A83" s="80">
        <v>1999</v>
      </c>
      <c r="B83" s="81" t="s">
        <v>41</v>
      </c>
      <c r="C83" s="15">
        <f t="shared" si="15"/>
        <v>0.97048611111111116</v>
      </c>
      <c r="D83" s="15">
        <f t="shared" si="16"/>
        <v>0.98031956352299299</v>
      </c>
      <c r="E83" s="15">
        <f t="shared" si="17"/>
        <v>0.98996913580246915</v>
      </c>
      <c r="F83" s="16"/>
      <c r="G83" s="16"/>
      <c r="H83" s="16">
        <v>5184</v>
      </c>
      <c r="I83" s="16">
        <f t="shared" si="18"/>
        <v>52</v>
      </c>
      <c r="J83" s="16">
        <v>5132</v>
      </c>
      <c r="K83" s="16">
        <v>5031</v>
      </c>
      <c r="L83" s="16">
        <f t="shared" si="19"/>
        <v>101</v>
      </c>
    </row>
    <row r="84" spans="1:12" s="18" customFormat="1" ht="15" customHeight="1">
      <c r="A84" s="78">
        <v>1999</v>
      </c>
      <c r="B84" s="79" t="s">
        <v>42</v>
      </c>
      <c r="C84" s="15">
        <f t="shared" si="15"/>
        <v>0.96339220014716709</v>
      </c>
      <c r="D84" s="15">
        <f t="shared" si="16"/>
        <v>0.97396317649246789</v>
      </c>
      <c r="E84" s="15">
        <f t="shared" si="17"/>
        <v>0.98914643119941137</v>
      </c>
      <c r="F84" s="16"/>
      <c r="G84" s="16"/>
      <c r="H84" s="16">
        <v>5436</v>
      </c>
      <c r="I84" s="16">
        <f t="shared" si="18"/>
        <v>59</v>
      </c>
      <c r="J84" s="16">
        <v>5377</v>
      </c>
      <c r="K84" s="16">
        <v>5237</v>
      </c>
      <c r="L84" s="16">
        <f t="shared" si="19"/>
        <v>140</v>
      </c>
    </row>
    <row r="85" spans="1:12" s="18" customFormat="1" ht="15" customHeight="1">
      <c r="A85" s="80">
        <v>1999</v>
      </c>
      <c r="B85" s="81" t="s">
        <v>43</v>
      </c>
      <c r="C85" s="15">
        <f t="shared" si="15"/>
        <v>0.97562790697674417</v>
      </c>
      <c r="D85" s="15">
        <f t="shared" si="16"/>
        <v>0.98165481093223517</v>
      </c>
      <c r="E85" s="15">
        <f t="shared" si="17"/>
        <v>0.99386046511627912</v>
      </c>
      <c r="F85" s="16"/>
      <c r="G85" s="16"/>
      <c r="H85" s="16">
        <v>5375</v>
      </c>
      <c r="I85" s="16">
        <f t="shared" si="18"/>
        <v>33</v>
      </c>
      <c r="J85" s="16">
        <v>5342</v>
      </c>
      <c r="K85" s="16">
        <v>5244</v>
      </c>
      <c r="L85" s="16">
        <f t="shared" si="19"/>
        <v>98</v>
      </c>
    </row>
    <row r="86" spans="1:12" s="18" customFormat="1" ht="15" customHeight="1">
      <c r="A86" s="78">
        <v>1999</v>
      </c>
      <c r="B86" s="79" t="s">
        <v>44</v>
      </c>
      <c r="C86" s="15">
        <f t="shared" si="15"/>
        <v>0.96405840509172591</v>
      </c>
      <c r="D86" s="15">
        <f t="shared" si="16"/>
        <v>0.97500946611132144</v>
      </c>
      <c r="E86" s="15">
        <f t="shared" si="17"/>
        <v>0.98876825159116433</v>
      </c>
      <c r="F86" s="16"/>
      <c r="G86" s="16"/>
      <c r="H86" s="16">
        <v>5342</v>
      </c>
      <c r="I86" s="16">
        <f t="shared" si="18"/>
        <v>60</v>
      </c>
      <c r="J86" s="16">
        <v>5282</v>
      </c>
      <c r="K86" s="16">
        <v>5150</v>
      </c>
      <c r="L86" s="16">
        <f t="shared" si="19"/>
        <v>132</v>
      </c>
    </row>
    <row r="87" spans="1:12" s="18" customFormat="1" ht="15" customHeight="1">
      <c r="A87" s="80">
        <v>1999</v>
      </c>
      <c r="B87" s="81" t="s">
        <v>45</v>
      </c>
      <c r="C87" s="15">
        <f t="shared" si="15"/>
        <v>0.98077282060854953</v>
      </c>
      <c r="D87" s="15">
        <f t="shared" si="16"/>
        <v>0.98629622676928852</v>
      </c>
      <c r="E87" s="15">
        <f t="shared" si="17"/>
        <v>0.99439985066268433</v>
      </c>
      <c r="F87" s="16"/>
      <c r="G87" s="16"/>
      <c r="H87" s="16">
        <v>5357</v>
      </c>
      <c r="I87" s="16">
        <f t="shared" si="18"/>
        <v>30</v>
      </c>
      <c r="J87" s="16">
        <v>5327</v>
      </c>
      <c r="K87" s="16">
        <v>5254</v>
      </c>
      <c r="L87" s="16">
        <f t="shared" si="19"/>
        <v>73</v>
      </c>
    </row>
    <row r="88" spans="1:12" s="18" customFormat="1" ht="15" customHeight="1">
      <c r="A88" s="78">
        <v>1999</v>
      </c>
      <c r="B88" s="79" t="s">
        <v>46</v>
      </c>
      <c r="C88" s="15">
        <f t="shared" si="15"/>
        <v>0.95937850992137774</v>
      </c>
      <c r="D88" s="15">
        <f t="shared" si="16"/>
        <v>0.97693480747235995</v>
      </c>
      <c r="E88" s="15">
        <f t="shared" si="17"/>
        <v>0.98202920254586301</v>
      </c>
      <c r="F88" s="16"/>
      <c r="G88" s="16"/>
      <c r="H88" s="16">
        <v>5342</v>
      </c>
      <c r="I88" s="16">
        <f t="shared" si="18"/>
        <v>96</v>
      </c>
      <c r="J88" s="16">
        <v>5246</v>
      </c>
      <c r="K88" s="16">
        <v>5125</v>
      </c>
      <c r="L88" s="16">
        <f t="shared" si="19"/>
        <v>121</v>
      </c>
    </row>
    <row r="89" spans="1:12" s="18" customFormat="1" ht="15" customHeight="1">
      <c r="A89" s="80">
        <v>1999</v>
      </c>
      <c r="B89" s="81" t="s">
        <v>47</v>
      </c>
      <c r="C89" s="15">
        <f t="shared" si="15"/>
        <v>0.97830521045800112</v>
      </c>
      <c r="D89" s="15">
        <f t="shared" si="16"/>
        <v>0.98524743230625589</v>
      </c>
      <c r="E89" s="15">
        <f t="shared" si="17"/>
        <v>0.9929538290376414</v>
      </c>
      <c r="F89" s="16"/>
      <c r="G89" s="16"/>
      <c r="H89" s="16">
        <v>5393</v>
      </c>
      <c r="I89" s="16">
        <f t="shared" si="18"/>
        <v>38</v>
      </c>
      <c r="J89" s="16">
        <v>5355</v>
      </c>
      <c r="K89" s="16">
        <v>5276</v>
      </c>
      <c r="L89" s="16">
        <f t="shared" si="19"/>
        <v>79</v>
      </c>
    </row>
    <row r="90" spans="1:12" s="18" customFormat="1" ht="15" customHeight="1">
      <c r="A90" s="78">
        <v>2000</v>
      </c>
      <c r="B90" s="79" t="s">
        <v>36</v>
      </c>
      <c r="C90" s="15">
        <f t="shared" si="15"/>
        <v>0.97953488372093023</v>
      </c>
      <c r="D90" s="15">
        <f t="shared" si="16"/>
        <v>0.98503274087932646</v>
      </c>
      <c r="E90" s="15">
        <f t="shared" si="17"/>
        <v>0.99441860465116283</v>
      </c>
      <c r="F90" s="16"/>
      <c r="G90" s="16"/>
      <c r="H90" s="16">
        <v>5375</v>
      </c>
      <c r="I90" s="16">
        <f t="shared" ref="I90:I101" si="20">H90-J90</f>
        <v>30</v>
      </c>
      <c r="J90" s="16">
        <v>5345</v>
      </c>
      <c r="K90" s="16">
        <v>5265</v>
      </c>
      <c r="L90" s="16">
        <f t="shared" ref="L90:L101" si="21">J90-K90</f>
        <v>80</v>
      </c>
    </row>
    <row r="91" spans="1:12" s="18" customFormat="1" ht="15" customHeight="1">
      <c r="A91" s="80">
        <v>2000</v>
      </c>
      <c r="B91" s="81" t="s">
        <v>37</v>
      </c>
      <c r="C91" s="15">
        <f t="shared" si="15"/>
        <v>0.97903319743739081</v>
      </c>
      <c r="D91" s="15">
        <f t="shared" si="16"/>
        <v>0.98515335026372342</v>
      </c>
      <c r="E91" s="15">
        <f t="shared" si="17"/>
        <v>0.99378761405552318</v>
      </c>
      <c r="F91" s="16"/>
      <c r="G91" s="16"/>
      <c r="H91" s="16">
        <v>5151</v>
      </c>
      <c r="I91" s="16">
        <f t="shared" si="20"/>
        <v>32</v>
      </c>
      <c r="J91" s="16">
        <v>5119</v>
      </c>
      <c r="K91" s="16">
        <v>5043</v>
      </c>
      <c r="L91" s="16">
        <f t="shared" si="21"/>
        <v>76</v>
      </c>
    </row>
    <row r="92" spans="1:12" s="18" customFormat="1" ht="15" customHeight="1">
      <c r="A92" s="78">
        <v>2000</v>
      </c>
      <c r="B92" s="79" t="s">
        <v>38</v>
      </c>
      <c r="C92" s="15">
        <f t="shared" si="15"/>
        <v>0.96764865353334539</v>
      </c>
      <c r="D92" s="15">
        <f t="shared" si="16"/>
        <v>0.97540535616687918</v>
      </c>
      <c r="E92" s="15">
        <f t="shared" si="17"/>
        <v>0.99204771371769385</v>
      </c>
      <c r="F92" s="16"/>
      <c r="G92" s="16"/>
      <c r="H92" s="16">
        <v>5533</v>
      </c>
      <c r="I92" s="16">
        <f t="shared" si="20"/>
        <v>44</v>
      </c>
      <c r="J92" s="16">
        <v>5489</v>
      </c>
      <c r="K92" s="16">
        <v>5354</v>
      </c>
      <c r="L92" s="16">
        <f t="shared" si="21"/>
        <v>135</v>
      </c>
    </row>
    <row r="93" spans="1:12" s="18" customFormat="1" ht="15" customHeight="1">
      <c r="A93" s="80">
        <v>2000</v>
      </c>
      <c r="B93" s="81" t="s">
        <v>39</v>
      </c>
      <c r="C93" s="15">
        <f t="shared" si="15"/>
        <v>0.97222222222222221</v>
      </c>
      <c r="D93" s="15">
        <f t="shared" si="16"/>
        <v>0.9769666211204372</v>
      </c>
      <c r="E93" s="15">
        <f t="shared" si="17"/>
        <v>0.99514374514374515</v>
      </c>
      <c r="F93" s="16"/>
      <c r="G93" s="16"/>
      <c r="H93" s="16">
        <v>5148</v>
      </c>
      <c r="I93" s="16">
        <f t="shared" si="20"/>
        <v>25</v>
      </c>
      <c r="J93" s="16">
        <v>5123</v>
      </c>
      <c r="K93" s="16">
        <v>5005</v>
      </c>
      <c r="L93" s="16">
        <f t="shared" si="21"/>
        <v>118</v>
      </c>
    </row>
    <row r="94" spans="1:12" s="18" customFormat="1" ht="15" customHeight="1">
      <c r="A94" s="78">
        <v>2000</v>
      </c>
      <c r="B94" s="79" t="s">
        <v>40</v>
      </c>
      <c r="C94" s="15">
        <f t="shared" si="15"/>
        <v>0.94976744186046513</v>
      </c>
      <c r="D94" s="15">
        <f t="shared" si="16"/>
        <v>0.96905846621108582</v>
      </c>
      <c r="E94" s="15">
        <f t="shared" si="17"/>
        <v>0.98009302325581393</v>
      </c>
      <c r="F94" s="16"/>
      <c r="G94" s="16"/>
      <c r="H94" s="16">
        <v>5375</v>
      </c>
      <c r="I94" s="16">
        <f t="shared" si="20"/>
        <v>107</v>
      </c>
      <c r="J94" s="16">
        <v>5268</v>
      </c>
      <c r="K94" s="16">
        <v>5105</v>
      </c>
      <c r="L94" s="16">
        <f t="shared" si="21"/>
        <v>163</v>
      </c>
    </row>
    <row r="95" spans="1:12" s="18" customFormat="1" ht="15" customHeight="1">
      <c r="A95" s="80">
        <v>2000</v>
      </c>
      <c r="B95" s="81" t="s">
        <v>41</v>
      </c>
      <c r="C95" s="15">
        <f t="shared" si="15"/>
        <v>0.87735486351403302</v>
      </c>
      <c r="D95" s="15">
        <f t="shared" si="16"/>
        <v>0.93199918317337149</v>
      </c>
      <c r="E95" s="15">
        <f t="shared" si="17"/>
        <v>0.94136870434448294</v>
      </c>
      <c r="F95" s="16"/>
      <c r="G95" s="16"/>
      <c r="H95" s="16">
        <v>5202</v>
      </c>
      <c r="I95" s="16">
        <f t="shared" si="20"/>
        <v>305</v>
      </c>
      <c r="J95" s="16">
        <v>4897</v>
      </c>
      <c r="K95" s="16">
        <v>4564</v>
      </c>
      <c r="L95" s="16">
        <f t="shared" si="21"/>
        <v>333</v>
      </c>
    </row>
    <row r="96" spans="1:12" s="18" customFormat="1" ht="15" customHeight="1">
      <c r="A96" s="78">
        <v>2000</v>
      </c>
      <c r="B96" s="79" t="s">
        <v>42</v>
      </c>
      <c r="C96" s="15">
        <f t="shared" si="15"/>
        <v>0.96467991169977929</v>
      </c>
      <c r="D96" s="15">
        <f t="shared" si="16"/>
        <v>0.97093130901684876</v>
      </c>
      <c r="E96" s="15">
        <f t="shared" si="17"/>
        <v>0.99356144223693887</v>
      </c>
      <c r="F96" s="16"/>
      <c r="G96" s="16"/>
      <c r="H96" s="16">
        <v>5436</v>
      </c>
      <c r="I96" s="16">
        <f t="shared" si="20"/>
        <v>35</v>
      </c>
      <c r="J96" s="16">
        <v>5401</v>
      </c>
      <c r="K96" s="16">
        <v>5244</v>
      </c>
      <c r="L96" s="16">
        <f t="shared" si="21"/>
        <v>157</v>
      </c>
    </row>
    <row r="97" spans="1:12" s="18" customFormat="1" ht="15" customHeight="1">
      <c r="A97" s="80">
        <v>2000</v>
      </c>
      <c r="B97" s="81" t="s">
        <v>43</v>
      </c>
      <c r="C97" s="15">
        <f t="shared" si="15"/>
        <v>0.97433076640997429</v>
      </c>
      <c r="D97" s="15">
        <f t="shared" si="16"/>
        <v>0.97953917050691242</v>
      </c>
      <c r="E97" s="15">
        <f t="shared" si="17"/>
        <v>0.99468280161349465</v>
      </c>
      <c r="F97" s="16"/>
      <c r="G97" s="16"/>
      <c r="H97" s="16">
        <v>5454</v>
      </c>
      <c r="I97" s="16">
        <f t="shared" si="20"/>
        <v>29</v>
      </c>
      <c r="J97" s="16">
        <v>5425</v>
      </c>
      <c r="K97" s="16">
        <v>5314</v>
      </c>
      <c r="L97" s="16">
        <f t="shared" si="21"/>
        <v>111</v>
      </c>
    </row>
    <row r="98" spans="1:12" s="18" customFormat="1" ht="15" customHeight="1">
      <c r="A98" s="78">
        <v>2000</v>
      </c>
      <c r="B98" s="79" t="s">
        <v>44</v>
      </c>
      <c r="C98" s="15">
        <f t="shared" si="15"/>
        <v>0.94440270473328325</v>
      </c>
      <c r="D98" s="15">
        <f t="shared" si="16"/>
        <v>0.95335608646188852</v>
      </c>
      <c r="E98" s="15">
        <f t="shared" si="17"/>
        <v>0.99060856498873029</v>
      </c>
      <c r="F98" s="16"/>
      <c r="G98" s="16"/>
      <c r="H98" s="16">
        <v>5324</v>
      </c>
      <c r="I98" s="16">
        <f t="shared" si="20"/>
        <v>50</v>
      </c>
      <c r="J98" s="16">
        <v>5274</v>
      </c>
      <c r="K98" s="16">
        <v>5028</v>
      </c>
      <c r="L98" s="16">
        <f t="shared" si="21"/>
        <v>246</v>
      </c>
    </row>
    <row r="99" spans="1:12" s="18" customFormat="1" ht="15" customHeight="1">
      <c r="A99" s="80">
        <v>2000</v>
      </c>
      <c r="B99" s="81" t="s">
        <v>45</v>
      </c>
      <c r="C99" s="15">
        <f t="shared" si="15"/>
        <v>0.98027906976744184</v>
      </c>
      <c r="D99" s="15">
        <f t="shared" si="16"/>
        <v>0.982839022570416</v>
      </c>
      <c r="E99" s="15">
        <f t="shared" si="17"/>
        <v>0.99739534883720926</v>
      </c>
      <c r="F99" s="16"/>
      <c r="G99" s="16"/>
      <c r="H99" s="16">
        <v>5375</v>
      </c>
      <c r="I99" s="16">
        <f t="shared" si="20"/>
        <v>14</v>
      </c>
      <c r="J99" s="16">
        <v>5361</v>
      </c>
      <c r="K99" s="16">
        <v>5269</v>
      </c>
      <c r="L99" s="16">
        <f t="shared" si="21"/>
        <v>92</v>
      </c>
    </row>
    <row r="100" spans="1:12" s="18" customFormat="1" ht="15" customHeight="1">
      <c r="A100" s="78">
        <v>2000</v>
      </c>
      <c r="B100" s="79" t="s">
        <v>46</v>
      </c>
      <c r="C100" s="15">
        <f t="shared" si="15"/>
        <v>0.9477697293175753</v>
      </c>
      <c r="D100" s="15">
        <f t="shared" si="16"/>
        <v>0.97528442526480974</v>
      </c>
      <c r="E100" s="15">
        <f t="shared" si="17"/>
        <v>0.97178802897445671</v>
      </c>
      <c r="F100" s="16"/>
      <c r="G100" s="16"/>
      <c r="H100" s="16">
        <v>5246</v>
      </c>
      <c r="I100" s="16">
        <f t="shared" si="20"/>
        <v>148</v>
      </c>
      <c r="J100" s="16">
        <v>5098</v>
      </c>
      <c r="K100" s="16">
        <v>4972</v>
      </c>
      <c r="L100" s="16">
        <f t="shared" si="21"/>
        <v>126</v>
      </c>
    </row>
    <row r="101" spans="1:12" s="18" customFormat="1" ht="15" customHeight="1">
      <c r="A101" s="80">
        <v>2000</v>
      </c>
      <c r="B101" s="81" t="s">
        <v>47</v>
      </c>
      <c r="C101" s="15">
        <f t="shared" si="15"/>
        <v>0.91114058355437666</v>
      </c>
      <c r="D101" s="15">
        <f t="shared" si="16"/>
        <v>0.95171185434395411</v>
      </c>
      <c r="E101" s="15">
        <f t="shared" si="17"/>
        <v>0.95737021599090566</v>
      </c>
      <c r="F101" s="16"/>
      <c r="G101" s="16"/>
      <c r="H101" s="16">
        <v>5278</v>
      </c>
      <c r="I101" s="16">
        <f t="shared" si="20"/>
        <v>225</v>
      </c>
      <c r="J101" s="16">
        <v>5053</v>
      </c>
      <c r="K101" s="16">
        <v>4809</v>
      </c>
      <c r="L101" s="16">
        <f t="shared" si="21"/>
        <v>244</v>
      </c>
    </row>
    <row r="102" spans="1:12" s="18" customFormat="1" ht="15" customHeight="1">
      <c r="A102" s="78">
        <v>2001</v>
      </c>
      <c r="B102" s="79" t="s">
        <v>36</v>
      </c>
      <c r="C102" s="15">
        <f t="shared" si="15"/>
        <v>0.9741784037558685</v>
      </c>
      <c r="D102" s="15">
        <f t="shared" si="16"/>
        <v>0.97770931496919178</v>
      </c>
      <c r="E102" s="15">
        <f t="shared" si="17"/>
        <v>0.99638858793788376</v>
      </c>
      <c r="F102" s="16"/>
      <c r="G102" s="16"/>
      <c r="H102" s="16">
        <v>5538</v>
      </c>
      <c r="I102" s="16">
        <f t="shared" ref="I102:I113" si="22">H102-J102</f>
        <v>20</v>
      </c>
      <c r="J102" s="16">
        <v>5518</v>
      </c>
      <c r="K102" s="16">
        <v>5395</v>
      </c>
      <c r="L102" s="16">
        <f t="shared" ref="L102:L113" si="23">J102-K102</f>
        <v>123</v>
      </c>
    </row>
    <row r="103" spans="1:12" s="18" customFormat="1" ht="15" customHeight="1">
      <c r="A103" s="80">
        <v>2001</v>
      </c>
      <c r="B103" s="81" t="s">
        <v>37</v>
      </c>
      <c r="C103" s="15">
        <f t="shared" si="15"/>
        <v>0.96557971014492749</v>
      </c>
      <c r="D103" s="15">
        <f t="shared" si="16"/>
        <v>0.97519821101849968</v>
      </c>
      <c r="E103" s="15">
        <f t="shared" si="17"/>
        <v>0.99013687600644118</v>
      </c>
      <c r="F103" s="16"/>
      <c r="G103" s="16"/>
      <c r="H103" s="16">
        <v>4968</v>
      </c>
      <c r="I103" s="16">
        <f t="shared" si="22"/>
        <v>49</v>
      </c>
      <c r="J103" s="16">
        <v>4919</v>
      </c>
      <c r="K103" s="16">
        <v>4797</v>
      </c>
      <c r="L103" s="16">
        <f t="shared" si="23"/>
        <v>122</v>
      </c>
    </row>
    <row r="104" spans="1:12" s="18" customFormat="1" ht="15" customHeight="1">
      <c r="A104" s="78">
        <v>2001</v>
      </c>
      <c r="B104" s="79" t="s">
        <v>38</v>
      </c>
      <c r="C104" s="15">
        <f t="shared" si="15"/>
        <v>0.96252036936447583</v>
      </c>
      <c r="D104" s="15">
        <f t="shared" si="16"/>
        <v>0.97380472614031877</v>
      </c>
      <c r="E104" s="15">
        <f t="shared" si="17"/>
        <v>0.98841209487597326</v>
      </c>
      <c r="F104" s="16"/>
      <c r="G104" s="16"/>
      <c r="H104" s="16">
        <v>5523</v>
      </c>
      <c r="I104" s="16">
        <f t="shared" si="22"/>
        <v>64</v>
      </c>
      <c r="J104" s="16">
        <v>5459</v>
      </c>
      <c r="K104" s="16">
        <v>5316</v>
      </c>
      <c r="L104" s="16">
        <f t="shared" si="23"/>
        <v>143</v>
      </c>
    </row>
    <row r="105" spans="1:12" s="18" customFormat="1" ht="15" customHeight="1">
      <c r="A105" s="80">
        <v>2001</v>
      </c>
      <c r="B105" s="81" t="s">
        <v>39</v>
      </c>
      <c r="C105" s="15">
        <f t="shared" si="15"/>
        <v>0.9656741892660724</v>
      </c>
      <c r="D105" s="15">
        <f t="shared" si="16"/>
        <v>0.9752920896380004</v>
      </c>
      <c r="E105" s="15">
        <f t="shared" si="17"/>
        <v>0.99013844111511473</v>
      </c>
      <c r="F105" s="16"/>
      <c r="G105" s="16"/>
      <c r="H105" s="16">
        <v>5273</v>
      </c>
      <c r="I105" s="16">
        <f t="shared" si="22"/>
        <v>52</v>
      </c>
      <c r="J105" s="16">
        <v>5221</v>
      </c>
      <c r="K105" s="16">
        <v>5092</v>
      </c>
      <c r="L105" s="16">
        <f t="shared" si="23"/>
        <v>129</v>
      </c>
    </row>
    <row r="106" spans="1:12" s="18" customFormat="1" ht="15" customHeight="1">
      <c r="A106" s="78">
        <v>2001</v>
      </c>
      <c r="B106" s="79" t="s">
        <v>40</v>
      </c>
      <c r="C106" s="15">
        <f t="shared" si="15"/>
        <v>0.95576739752144901</v>
      </c>
      <c r="D106" s="15">
        <f t="shared" si="16"/>
        <v>0.97207678883071558</v>
      </c>
      <c r="E106" s="15">
        <f t="shared" si="17"/>
        <v>0.98322211630123924</v>
      </c>
      <c r="F106" s="16"/>
      <c r="G106" s="16"/>
      <c r="H106" s="16">
        <v>5245</v>
      </c>
      <c r="I106" s="16">
        <f t="shared" si="22"/>
        <v>88</v>
      </c>
      <c r="J106" s="16">
        <v>5157</v>
      </c>
      <c r="K106" s="16">
        <v>5013</v>
      </c>
      <c r="L106" s="16">
        <f t="shared" si="23"/>
        <v>144</v>
      </c>
    </row>
    <row r="107" spans="1:12" s="18" customFormat="1" ht="15" customHeight="1">
      <c r="A107" s="80">
        <v>2001</v>
      </c>
      <c r="B107" s="81" t="s">
        <v>41</v>
      </c>
      <c r="C107" s="15">
        <f t="shared" si="15"/>
        <v>0.95623674571042994</v>
      </c>
      <c r="D107" s="15">
        <f t="shared" si="16"/>
        <v>0.96723868954758185</v>
      </c>
      <c r="E107" s="15">
        <f t="shared" si="17"/>
        <v>0.98862540967804124</v>
      </c>
      <c r="F107" s="16"/>
      <c r="G107" s="16"/>
      <c r="H107" s="16">
        <v>5187</v>
      </c>
      <c r="I107" s="16">
        <f t="shared" si="22"/>
        <v>59</v>
      </c>
      <c r="J107" s="16">
        <v>5128</v>
      </c>
      <c r="K107" s="16">
        <v>4960</v>
      </c>
      <c r="L107" s="16">
        <f t="shared" si="23"/>
        <v>168</v>
      </c>
    </row>
    <row r="108" spans="1:12" s="18" customFormat="1" ht="15" customHeight="1">
      <c r="A108" s="78">
        <v>2001</v>
      </c>
      <c r="B108" s="79" t="s">
        <v>42</v>
      </c>
      <c r="C108" s="15">
        <f t="shared" si="15"/>
        <v>0.90392931002068055</v>
      </c>
      <c r="D108" s="15">
        <f t="shared" si="16"/>
        <v>0.96720981693824182</v>
      </c>
      <c r="E108" s="15">
        <f t="shared" si="17"/>
        <v>0.93457416807670612</v>
      </c>
      <c r="F108" s="16"/>
      <c r="G108" s="16"/>
      <c r="H108" s="16">
        <v>5319</v>
      </c>
      <c r="I108" s="16">
        <f t="shared" si="22"/>
        <v>348</v>
      </c>
      <c r="J108" s="16">
        <v>4971</v>
      </c>
      <c r="K108" s="16">
        <v>4808</v>
      </c>
      <c r="L108" s="16">
        <f t="shared" si="23"/>
        <v>163</v>
      </c>
    </row>
    <row r="109" spans="1:12" s="18" customFormat="1" ht="15" customHeight="1">
      <c r="A109" s="80">
        <v>2001</v>
      </c>
      <c r="B109" s="81" t="s">
        <v>43</v>
      </c>
      <c r="C109" s="15">
        <f t="shared" si="15"/>
        <v>0.9652269399707174</v>
      </c>
      <c r="D109" s="15">
        <f t="shared" si="16"/>
        <v>0.97540225633438138</v>
      </c>
      <c r="E109" s="15">
        <f t="shared" si="17"/>
        <v>0.98956808199121526</v>
      </c>
      <c r="F109" s="16"/>
      <c r="G109" s="16"/>
      <c r="H109" s="16">
        <v>5464</v>
      </c>
      <c r="I109" s="16">
        <f t="shared" si="22"/>
        <v>57</v>
      </c>
      <c r="J109" s="16">
        <v>5407</v>
      </c>
      <c r="K109" s="16">
        <v>5274</v>
      </c>
      <c r="L109" s="16">
        <f t="shared" si="23"/>
        <v>133</v>
      </c>
    </row>
    <row r="110" spans="1:12" s="18" customFormat="1" ht="15" customHeight="1">
      <c r="A110" s="78">
        <v>2001</v>
      </c>
      <c r="B110" s="79" t="s">
        <v>44</v>
      </c>
      <c r="C110" s="15">
        <f t="shared" si="15"/>
        <v>0.96500570559147969</v>
      </c>
      <c r="D110" s="15">
        <f t="shared" si="16"/>
        <v>0.97464464079907798</v>
      </c>
      <c r="E110" s="15">
        <f t="shared" si="17"/>
        <v>0.9901103081019399</v>
      </c>
      <c r="F110" s="16"/>
      <c r="G110" s="16"/>
      <c r="H110" s="16">
        <v>5258</v>
      </c>
      <c r="I110" s="16">
        <f t="shared" si="22"/>
        <v>52</v>
      </c>
      <c r="J110" s="16">
        <v>5206</v>
      </c>
      <c r="K110" s="16">
        <v>5074</v>
      </c>
      <c r="L110" s="16">
        <f t="shared" si="23"/>
        <v>132</v>
      </c>
    </row>
    <row r="111" spans="1:12" s="18" customFormat="1" ht="15" customHeight="1">
      <c r="A111" s="80">
        <v>2001</v>
      </c>
      <c r="B111" s="81" t="s">
        <v>45</v>
      </c>
      <c r="C111" s="15">
        <f t="shared" si="15"/>
        <v>0.9857169016663615</v>
      </c>
      <c r="D111" s="15">
        <f t="shared" si="16"/>
        <v>0.9875252247294074</v>
      </c>
      <c r="E111" s="15">
        <f t="shared" si="17"/>
        <v>0.99816883354696939</v>
      </c>
      <c r="F111" s="16"/>
      <c r="G111" s="16"/>
      <c r="H111" s="16">
        <v>5461</v>
      </c>
      <c r="I111" s="16">
        <f t="shared" si="22"/>
        <v>10</v>
      </c>
      <c r="J111" s="16">
        <v>5451</v>
      </c>
      <c r="K111" s="16">
        <v>5383</v>
      </c>
      <c r="L111" s="16">
        <f t="shared" si="23"/>
        <v>68</v>
      </c>
    </row>
    <row r="112" spans="1:12" s="18" customFormat="1" ht="15" customHeight="1">
      <c r="A112" s="78">
        <v>2001</v>
      </c>
      <c r="B112" s="79" t="s">
        <v>46</v>
      </c>
      <c r="C112" s="15">
        <f t="shared" si="15"/>
        <v>0.97371406959152795</v>
      </c>
      <c r="D112" s="15">
        <f t="shared" si="16"/>
        <v>0.97666919575113809</v>
      </c>
      <c r="E112" s="15">
        <f t="shared" si="17"/>
        <v>0.99697428139183053</v>
      </c>
      <c r="F112" s="16"/>
      <c r="G112" s="16"/>
      <c r="H112" s="16">
        <v>5288</v>
      </c>
      <c r="I112" s="16">
        <f t="shared" si="22"/>
        <v>16</v>
      </c>
      <c r="J112" s="16">
        <v>5272</v>
      </c>
      <c r="K112" s="16">
        <v>5149</v>
      </c>
      <c r="L112" s="16">
        <f t="shared" si="23"/>
        <v>123</v>
      </c>
    </row>
    <row r="113" spans="1:12" s="18" customFormat="1" ht="15" customHeight="1">
      <c r="A113" s="80">
        <v>2001</v>
      </c>
      <c r="B113" s="81" t="s">
        <v>47</v>
      </c>
      <c r="C113" s="15">
        <f t="shared" si="15"/>
        <v>0.87308202311043759</v>
      </c>
      <c r="D113" s="15">
        <f t="shared" si="16"/>
        <v>0.9750370213666173</v>
      </c>
      <c r="E113" s="15">
        <f t="shared" si="17"/>
        <v>0.89543474142830082</v>
      </c>
      <c r="F113" s="16"/>
      <c r="G113" s="16"/>
      <c r="H113" s="16">
        <v>5279</v>
      </c>
      <c r="I113" s="16">
        <f t="shared" si="22"/>
        <v>552</v>
      </c>
      <c r="J113" s="16">
        <v>4727</v>
      </c>
      <c r="K113" s="16">
        <v>4609</v>
      </c>
      <c r="L113" s="16">
        <f t="shared" si="23"/>
        <v>118</v>
      </c>
    </row>
    <row r="114" spans="1:12" s="18" customFormat="1" ht="15" customHeight="1">
      <c r="A114" s="78">
        <v>2002</v>
      </c>
      <c r="B114" s="79" t="s">
        <v>36</v>
      </c>
      <c r="C114" s="15">
        <f t="shared" si="15"/>
        <v>0.95669651014069068</v>
      </c>
      <c r="D114" s="15">
        <f t="shared" si="16"/>
        <v>0.96712227558182495</v>
      </c>
      <c r="E114" s="15">
        <f t="shared" si="17"/>
        <v>0.98921980632194406</v>
      </c>
      <c r="F114" s="16"/>
      <c r="G114" s="16"/>
      <c r="H114" s="16">
        <v>5473</v>
      </c>
      <c r="I114" s="16">
        <f t="shared" ref="I114:I125" si="24">H114-J114</f>
        <v>59</v>
      </c>
      <c r="J114" s="16">
        <v>5414</v>
      </c>
      <c r="K114" s="16">
        <v>5236</v>
      </c>
      <c r="L114" s="16">
        <f t="shared" ref="L114:L125" si="25">J114-K114</f>
        <v>178</v>
      </c>
    </row>
    <row r="115" spans="1:12" s="18" customFormat="1" ht="15" customHeight="1">
      <c r="A115" s="80">
        <v>2002</v>
      </c>
      <c r="B115" s="81" t="s">
        <v>37</v>
      </c>
      <c r="C115" s="15">
        <f t="shared" si="15"/>
        <v>0.95297877196986991</v>
      </c>
      <c r="D115" s="15">
        <f t="shared" si="16"/>
        <v>0.9588883785025264</v>
      </c>
      <c r="E115" s="15">
        <f t="shared" si="17"/>
        <v>0.99383702351061398</v>
      </c>
      <c r="F115" s="16"/>
      <c r="G115" s="16"/>
      <c r="H115" s="16">
        <v>4381</v>
      </c>
      <c r="I115" s="16">
        <f t="shared" si="24"/>
        <v>27</v>
      </c>
      <c r="J115" s="16">
        <v>4354</v>
      </c>
      <c r="K115" s="16">
        <v>4175</v>
      </c>
      <c r="L115" s="16">
        <f t="shared" si="25"/>
        <v>179</v>
      </c>
    </row>
    <row r="116" spans="1:12" s="18" customFormat="1" ht="15" customHeight="1">
      <c r="A116" s="78">
        <v>2002</v>
      </c>
      <c r="B116" s="79" t="s">
        <v>38</v>
      </c>
      <c r="C116" s="15">
        <f t="shared" si="15"/>
        <v>0.94120180917510232</v>
      </c>
      <c r="D116" s="15">
        <f t="shared" si="16"/>
        <v>0.95602712754320718</v>
      </c>
      <c r="E116" s="15">
        <f t="shared" si="17"/>
        <v>0.98449278483738967</v>
      </c>
      <c r="F116" s="16"/>
      <c r="G116" s="16"/>
      <c r="H116" s="16">
        <v>4643</v>
      </c>
      <c r="I116" s="16">
        <f t="shared" si="24"/>
        <v>72</v>
      </c>
      <c r="J116" s="16">
        <v>4571</v>
      </c>
      <c r="K116" s="16">
        <v>4370</v>
      </c>
      <c r="L116" s="16">
        <f t="shared" si="25"/>
        <v>201</v>
      </c>
    </row>
    <row r="117" spans="1:12" s="18" customFormat="1" ht="15" customHeight="1">
      <c r="A117" s="80">
        <v>2002</v>
      </c>
      <c r="B117" s="81" t="s">
        <v>39</v>
      </c>
      <c r="C117" s="15">
        <f t="shared" si="15"/>
        <v>0.90724441435341907</v>
      </c>
      <c r="D117" s="15">
        <f t="shared" si="16"/>
        <v>0.94788964866776704</v>
      </c>
      <c r="E117" s="15">
        <f t="shared" si="17"/>
        <v>0.95712028887384337</v>
      </c>
      <c r="F117" s="16"/>
      <c r="G117" s="16"/>
      <c r="H117" s="16">
        <v>4431</v>
      </c>
      <c r="I117" s="16">
        <f t="shared" si="24"/>
        <v>190</v>
      </c>
      <c r="J117" s="16">
        <v>4241</v>
      </c>
      <c r="K117" s="16">
        <v>4020</v>
      </c>
      <c r="L117" s="16">
        <f t="shared" si="25"/>
        <v>221</v>
      </c>
    </row>
    <row r="118" spans="1:12" s="18" customFormat="1" ht="15" customHeight="1">
      <c r="A118" s="78">
        <v>2002</v>
      </c>
      <c r="B118" s="79" t="s">
        <v>40</v>
      </c>
      <c r="C118" s="15">
        <f t="shared" si="15"/>
        <v>0.93153980752405952</v>
      </c>
      <c r="D118" s="15">
        <f t="shared" si="16"/>
        <v>0.94288244410006639</v>
      </c>
      <c r="E118" s="15">
        <f t="shared" si="17"/>
        <v>0.98797025371828517</v>
      </c>
      <c r="F118" s="16"/>
      <c r="G118" s="16"/>
      <c r="H118" s="16">
        <v>4572</v>
      </c>
      <c r="I118" s="16">
        <f t="shared" si="24"/>
        <v>55</v>
      </c>
      <c r="J118" s="16">
        <v>4517</v>
      </c>
      <c r="K118" s="16">
        <v>4259</v>
      </c>
      <c r="L118" s="16">
        <f t="shared" si="25"/>
        <v>258</v>
      </c>
    </row>
    <row r="119" spans="1:12" s="18" customFormat="1" ht="15" customHeight="1">
      <c r="A119" s="80">
        <v>2002</v>
      </c>
      <c r="B119" s="81" t="s">
        <v>41</v>
      </c>
      <c r="C119" s="15">
        <f t="shared" si="15"/>
        <v>0.90249537892791132</v>
      </c>
      <c r="D119" s="15">
        <f t="shared" si="16"/>
        <v>0.91797884841363098</v>
      </c>
      <c r="E119" s="15">
        <f t="shared" si="17"/>
        <v>0.9831330868761553</v>
      </c>
      <c r="F119" s="16"/>
      <c r="G119" s="16"/>
      <c r="H119" s="16">
        <v>4328</v>
      </c>
      <c r="I119" s="16">
        <f t="shared" si="24"/>
        <v>73</v>
      </c>
      <c r="J119" s="16">
        <v>4255</v>
      </c>
      <c r="K119" s="16">
        <v>3906</v>
      </c>
      <c r="L119" s="16">
        <f t="shared" si="25"/>
        <v>349</v>
      </c>
    </row>
    <row r="120" spans="1:12" s="18" customFormat="1" ht="15" customHeight="1">
      <c r="A120" s="78">
        <v>2002</v>
      </c>
      <c r="B120" s="79" t="s">
        <v>42</v>
      </c>
      <c r="C120" s="15">
        <f t="shared" si="15"/>
        <v>0.87265999129299088</v>
      </c>
      <c r="D120" s="15">
        <f t="shared" si="16"/>
        <v>0.88950521411138228</v>
      </c>
      <c r="E120" s="15">
        <f t="shared" si="17"/>
        <v>0.98106225511536782</v>
      </c>
      <c r="F120" s="16"/>
      <c r="G120" s="16"/>
      <c r="H120" s="16">
        <v>4594</v>
      </c>
      <c r="I120" s="16">
        <f t="shared" si="24"/>
        <v>87</v>
      </c>
      <c r="J120" s="16">
        <v>4507</v>
      </c>
      <c r="K120" s="16">
        <v>4009</v>
      </c>
      <c r="L120" s="16">
        <f t="shared" si="25"/>
        <v>498</v>
      </c>
    </row>
    <row r="121" spans="1:12" s="18" customFormat="1" ht="15" customHeight="1">
      <c r="A121" s="80">
        <v>2002</v>
      </c>
      <c r="B121" s="81" t="s">
        <v>43</v>
      </c>
      <c r="C121" s="15">
        <f t="shared" si="15"/>
        <v>0.92244367417677642</v>
      </c>
      <c r="D121" s="15">
        <f t="shared" si="16"/>
        <v>0.94182702941827035</v>
      </c>
      <c r="E121" s="15">
        <f t="shared" si="17"/>
        <v>0.97941941074523398</v>
      </c>
      <c r="F121" s="16"/>
      <c r="G121" s="16"/>
      <c r="H121" s="16">
        <v>4616</v>
      </c>
      <c r="I121" s="16">
        <f t="shared" si="24"/>
        <v>95</v>
      </c>
      <c r="J121" s="16">
        <v>4521</v>
      </c>
      <c r="K121" s="16">
        <v>4258</v>
      </c>
      <c r="L121" s="16">
        <f t="shared" si="25"/>
        <v>263</v>
      </c>
    </row>
    <row r="122" spans="1:12" s="18" customFormat="1" ht="15" customHeight="1">
      <c r="A122" s="78">
        <v>2002</v>
      </c>
      <c r="B122" s="79" t="s">
        <v>44</v>
      </c>
      <c r="C122" s="15">
        <f t="shared" si="15"/>
        <v>0.96977272727272723</v>
      </c>
      <c r="D122" s="15">
        <f t="shared" si="16"/>
        <v>0.97420091324200908</v>
      </c>
      <c r="E122" s="15">
        <f t="shared" si="17"/>
        <v>0.99545454545454548</v>
      </c>
      <c r="F122" s="16"/>
      <c r="G122" s="16"/>
      <c r="H122" s="16">
        <v>4400</v>
      </c>
      <c r="I122" s="16">
        <f t="shared" si="24"/>
        <v>20</v>
      </c>
      <c r="J122" s="16">
        <v>4380</v>
      </c>
      <c r="K122" s="16">
        <v>4267</v>
      </c>
      <c r="L122" s="16">
        <f t="shared" si="25"/>
        <v>113</v>
      </c>
    </row>
    <row r="123" spans="1:12" s="18" customFormat="1" ht="15" customHeight="1">
      <c r="A123" s="80">
        <v>2002</v>
      </c>
      <c r="B123" s="81" t="s">
        <v>45</v>
      </c>
      <c r="C123" s="15">
        <f t="shared" si="15"/>
        <v>0.8590308370044053</v>
      </c>
      <c r="D123" s="15">
        <f t="shared" si="16"/>
        <v>0.89142857142857146</v>
      </c>
      <c r="E123" s="15">
        <f t="shared" si="17"/>
        <v>0.96365638766519823</v>
      </c>
      <c r="F123" s="16"/>
      <c r="G123" s="16"/>
      <c r="H123" s="16">
        <v>4540</v>
      </c>
      <c r="I123" s="16">
        <f t="shared" si="24"/>
        <v>165</v>
      </c>
      <c r="J123" s="16">
        <v>4375</v>
      </c>
      <c r="K123" s="16">
        <v>3900</v>
      </c>
      <c r="L123" s="16">
        <f t="shared" si="25"/>
        <v>475</v>
      </c>
    </row>
    <row r="124" spans="1:12" s="18" customFormat="1" ht="15" customHeight="1">
      <c r="A124" s="78">
        <v>2002</v>
      </c>
      <c r="B124" s="79" t="s">
        <v>46</v>
      </c>
      <c r="C124" s="15">
        <f t="shared" si="15"/>
        <v>0.90954207083239347</v>
      </c>
      <c r="D124" s="15">
        <f t="shared" si="16"/>
        <v>0.92583237657864526</v>
      </c>
      <c r="E124" s="15">
        <f t="shared" si="17"/>
        <v>0.98240469208211145</v>
      </c>
      <c r="F124" s="16"/>
      <c r="G124" s="16"/>
      <c r="H124" s="16">
        <v>4433</v>
      </c>
      <c r="I124" s="16">
        <f t="shared" si="24"/>
        <v>78</v>
      </c>
      <c r="J124" s="16">
        <v>4355</v>
      </c>
      <c r="K124" s="16">
        <v>4032</v>
      </c>
      <c r="L124" s="16">
        <f t="shared" si="25"/>
        <v>323</v>
      </c>
    </row>
    <row r="125" spans="1:12" s="18" customFormat="1" ht="15" customHeight="1">
      <c r="A125" s="80">
        <v>2002</v>
      </c>
      <c r="B125" s="81" t="s">
        <v>47</v>
      </c>
      <c r="C125" s="15">
        <f t="shared" si="15"/>
        <v>0.89489018377409235</v>
      </c>
      <c r="D125" s="15">
        <f t="shared" si="16"/>
        <v>0.91708773541570965</v>
      </c>
      <c r="E125" s="15">
        <f t="shared" si="17"/>
        <v>0.97579560735096371</v>
      </c>
      <c r="F125" s="16"/>
      <c r="G125" s="16"/>
      <c r="H125" s="16">
        <v>4462</v>
      </c>
      <c r="I125" s="16">
        <f t="shared" si="24"/>
        <v>108</v>
      </c>
      <c r="J125" s="16">
        <v>4354</v>
      </c>
      <c r="K125" s="16">
        <v>3993</v>
      </c>
      <c r="L125" s="16">
        <f t="shared" si="25"/>
        <v>361</v>
      </c>
    </row>
    <row r="126" spans="1:12" s="18" customFormat="1" ht="15" customHeight="1">
      <c r="A126" s="78">
        <v>2003</v>
      </c>
      <c r="B126" s="79" t="s">
        <v>36</v>
      </c>
      <c r="C126" s="15">
        <f t="shared" si="15"/>
        <v>0.91475770925110134</v>
      </c>
      <c r="D126" s="15">
        <f t="shared" si="16"/>
        <v>0.93451845184518456</v>
      </c>
      <c r="E126" s="15">
        <f t="shared" si="17"/>
        <v>0.97885462555066083</v>
      </c>
      <c r="F126" s="16"/>
      <c r="G126" s="16"/>
      <c r="H126" s="16">
        <v>4540</v>
      </c>
      <c r="I126" s="16">
        <f t="shared" ref="I126:I137" si="26">H126-J126</f>
        <v>96</v>
      </c>
      <c r="J126" s="16">
        <v>4444</v>
      </c>
      <c r="K126" s="16">
        <v>4153</v>
      </c>
      <c r="L126" s="16">
        <f t="shared" ref="L126:L137" si="27">J126-K126</f>
        <v>291</v>
      </c>
    </row>
    <row r="127" spans="1:12" s="18" customFormat="1" ht="15" customHeight="1">
      <c r="A127" s="80">
        <v>2003</v>
      </c>
      <c r="B127" s="81" t="s">
        <v>37</v>
      </c>
      <c r="C127" s="15">
        <f t="shared" si="15"/>
        <v>0.89085188770571155</v>
      </c>
      <c r="D127" s="15">
        <f t="shared" si="16"/>
        <v>0.94047010730710268</v>
      </c>
      <c r="E127" s="15">
        <f t="shared" si="17"/>
        <v>0.94724104549854793</v>
      </c>
      <c r="F127" s="16"/>
      <c r="G127" s="16"/>
      <c r="H127" s="16">
        <v>4132</v>
      </c>
      <c r="I127" s="16">
        <f t="shared" si="26"/>
        <v>218</v>
      </c>
      <c r="J127" s="16">
        <v>3914</v>
      </c>
      <c r="K127" s="16">
        <v>3681</v>
      </c>
      <c r="L127" s="16">
        <f t="shared" si="27"/>
        <v>233</v>
      </c>
    </row>
    <row r="128" spans="1:12" s="18" customFormat="1" ht="15" customHeight="1">
      <c r="A128" s="78">
        <v>2003</v>
      </c>
      <c r="B128" s="79" t="s">
        <v>38</v>
      </c>
      <c r="C128" s="15">
        <f t="shared" si="15"/>
        <v>0.86618607794548319</v>
      </c>
      <c r="D128" s="15">
        <f t="shared" si="16"/>
        <v>0.93347899975722259</v>
      </c>
      <c r="E128" s="15">
        <f t="shared" si="17"/>
        <v>0.92791169182248256</v>
      </c>
      <c r="F128" s="16"/>
      <c r="G128" s="16"/>
      <c r="H128" s="16">
        <v>4439</v>
      </c>
      <c r="I128" s="16">
        <f t="shared" si="26"/>
        <v>320</v>
      </c>
      <c r="J128" s="16">
        <v>4119</v>
      </c>
      <c r="K128" s="16">
        <v>3845</v>
      </c>
      <c r="L128" s="16">
        <f t="shared" si="27"/>
        <v>274</v>
      </c>
    </row>
    <row r="129" spans="1:12" s="18" customFormat="1" ht="15" customHeight="1">
      <c r="A129" s="80">
        <v>2003</v>
      </c>
      <c r="B129" s="81" t="s">
        <v>39</v>
      </c>
      <c r="C129" s="15">
        <f t="shared" si="15"/>
        <v>0.84444952032891729</v>
      </c>
      <c r="D129" s="15">
        <f t="shared" si="16"/>
        <v>0.91374196737518532</v>
      </c>
      <c r="E129" s="15">
        <f t="shared" si="17"/>
        <v>0.92416628597533124</v>
      </c>
      <c r="F129" s="16"/>
      <c r="G129" s="16"/>
      <c r="H129" s="16">
        <v>4378</v>
      </c>
      <c r="I129" s="16">
        <f t="shared" si="26"/>
        <v>332</v>
      </c>
      <c r="J129" s="16">
        <v>4046</v>
      </c>
      <c r="K129" s="16">
        <v>3697</v>
      </c>
      <c r="L129" s="16">
        <f t="shared" si="27"/>
        <v>349</v>
      </c>
    </row>
    <row r="130" spans="1:12" s="18" customFormat="1" ht="15" customHeight="1">
      <c r="A130" s="78">
        <v>2003</v>
      </c>
      <c r="B130" s="79" t="s">
        <v>40</v>
      </c>
      <c r="C130" s="15">
        <f t="shared" si="15"/>
        <v>0.49522964277790105</v>
      </c>
      <c r="D130" s="15">
        <f t="shared" si="16"/>
        <v>0.81608775137111522</v>
      </c>
      <c r="E130" s="15">
        <f t="shared" si="17"/>
        <v>0.60683381406700687</v>
      </c>
      <c r="F130" s="16"/>
      <c r="G130" s="16"/>
      <c r="H130" s="16">
        <v>4507</v>
      </c>
      <c r="I130" s="16">
        <f t="shared" si="26"/>
        <v>1772</v>
      </c>
      <c r="J130" s="16">
        <v>2735</v>
      </c>
      <c r="K130" s="16">
        <v>2232</v>
      </c>
      <c r="L130" s="16">
        <f t="shared" si="27"/>
        <v>503</v>
      </c>
    </row>
    <row r="131" spans="1:12" s="18" customFormat="1" ht="15" customHeight="1">
      <c r="A131" s="80">
        <v>2003</v>
      </c>
      <c r="B131" s="81" t="s">
        <v>41</v>
      </c>
      <c r="C131" s="15">
        <f t="shared" si="15"/>
        <v>0.65870221327967804</v>
      </c>
      <c r="D131" s="15">
        <f t="shared" si="16"/>
        <v>0.82853527364757984</v>
      </c>
      <c r="E131" s="15">
        <f t="shared" si="17"/>
        <v>0.79502012072434602</v>
      </c>
      <c r="F131" s="16"/>
      <c r="G131" s="16"/>
      <c r="H131" s="16">
        <v>3976</v>
      </c>
      <c r="I131" s="16">
        <f t="shared" si="26"/>
        <v>815</v>
      </c>
      <c r="J131" s="16">
        <v>3161</v>
      </c>
      <c r="K131" s="16">
        <v>2619</v>
      </c>
      <c r="L131" s="16">
        <f t="shared" si="27"/>
        <v>542</v>
      </c>
    </row>
    <row r="132" spans="1:12" s="18" customFormat="1" ht="15" customHeight="1">
      <c r="A132" s="78">
        <v>2003</v>
      </c>
      <c r="B132" s="79" t="s">
        <v>42</v>
      </c>
      <c r="C132" s="15">
        <f t="shared" si="15"/>
        <v>0.6766887934400625</v>
      </c>
      <c r="D132" s="15">
        <f t="shared" si="16"/>
        <v>0.79953863898500577</v>
      </c>
      <c r="E132" s="15">
        <f t="shared" si="17"/>
        <v>0.84634908238969153</v>
      </c>
      <c r="F132" s="16"/>
      <c r="G132" s="16"/>
      <c r="H132" s="16">
        <v>5122</v>
      </c>
      <c r="I132" s="16">
        <f t="shared" si="26"/>
        <v>787</v>
      </c>
      <c r="J132" s="16">
        <v>4335</v>
      </c>
      <c r="K132" s="16">
        <v>3466</v>
      </c>
      <c r="L132" s="16">
        <f t="shared" si="27"/>
        <v>869</v>
      </c>
    </row>
    <row r="133" spans="1:12" s="18" customFormat="1" ht="15" customHeight="1">
      <c r="A133" s="80">
        <v>2003</v>
      </c>
      <c r="B133" s="81" t="s">
        <v>43</v>
      </c>
      <c r="C133" s="15">
        <f t="shared" si="15"/>
        <v>0.72014340129957433</v>
      </c>
      <c r="D133" s="15">
        <f t="shared" si="16"/>
        <v>0.85638156141753263</v>
      </c>
      <c r="E133" s="15">
        <f t="shared" si="17"/>
        <v>0.84091418328478607</v>
      </c>
      <c r="F133" s="16"/>
      <c r="G133" s="16"/>
      <c r="H133" s="16">
        <v>4463</v>
      </c>
      <c r="I133" s="16">
        <f t="shared" si="26"/>
        <v>710</v>
      </c>
      <c r="J133" s="16">
        <v>3753</v>
      </c>
      <c r="K133" s="16">
        <v>3214</v>
      </c>
      <c r="L133" s="16">
        <f t="shared" si="27"/>
        <v>539</v>
      </c>
    </row>
    <row r="134" spans="1:12" s="18" customFormat="1" ht="15" customHeight="1">
      <c r="A134" s="78">
        <v>2003</v>
      </c>
      <c r="B134" s="79" t="s">
        <v>44</v>
      </c>
      <c r="C134" s="15">
        <f t="shared" si="15"/>
        <v>0.70623877917414724</v>
      </c>
      <c r="D134" s="15">
        <f t="shared" si="16"/>
        <v>0.85284552845528461</v>
      </c>
      <c r="E134" s="15">
        <f t="shared" si="17"/>
        <v>0.82809694793536803</v>
      </c>
      <c r="F134" s="16"/>
      <c r="G134" s="16"/>
      <c r="H134" s="16">
        <v>4456</v>
      </c>
      <c r="I134" s="16">
        <f t="shared" si="26"/>
        <v>766</v>
      </c>
      <c r="J134" s="16">
        <v>3690</v>
      </c>
      <c r="K134" s="16">
        <v>3147</v>
      </c>
      <c r="L134" s="16">
        <f t="shared" si="27"/>
        <v>543</v>
      </c>
    </row>
    <row r="135" spans="1:12" s="18" customFormat="1" ht="15" customHeight="1">
      <c r="A135" s="80">
        <v>2003</v>
      </c>
      <c r="B135" s="81" t="s">
        <v>45</v>
      </c>
      <c r="C135" s="15">
        <f t="shared" ref="C135:C198" si="28">K135/H135</f>
        <v>0.65066079295154189</v>
      </c>
      <c r="D135" s="15">
        <f t="shared" ref="D135:D198" si="29">K135/J135</f>
        <v>0.83164414414414412</v>
      </c>
      <c r="E135" s="15">
        <f t="shared" ref="E135:E198" si="30">J135/H135</f>
        <v>0.78237885462555068</v>
      </c>
      <c r="F135" s="16"/>
      <c r="G135" s="16"/>
      <c r="H135" s="16">
        <v>4540</v>
      </c>
      <c r="I135" s="16">
        <f t="shared" si="26"/>
        <v>988</v>
      </c>
      <c r="J135" s="16">
        <v>3552</v>
      </c>
      <c r="K135" s="16">
        <v>2954</v>
      </c>
      <c r="L135" s="16">
        <f t="shared" si="27"/>
        <v>598</v>
      </c>
    </row>
    <row r="136" spans="1:12" s="18" customFormat="1" ht="15" customHeight="1">
      <c r="A136" s="78">
        <v>2003</v>
      </c>
      <c r="B136" s="79" t="s">
        <v>46</v>
      </c>
      <c r="C136" s="15">
        <f t="shared" si="28"/>
        <v>0.65327210103329503</v>
      </c>
      <c r="D136" s="15">
        <f t="shared" si="29"/>
        <v>0.83284543325526927</v>
      </c>
      <c r="E136" s="15">
        <f t="shared" si="30"/>
        <v>0.78438576349024114</v>
      </c>
      <c r="F136" s="16"/>
      <c r="G136" s="16"/>
      <c r="H136" s="16">
        <v>4355</v>
      </c>
      <c r="I136" s="16">
        <f t="shared" si="26"/>
        <v>939</v>
      </c>
      <c r="J136" s="16">
        <v>3416</v>
      </c>
      <c r="K136" s="16">
        <v>2845</v>
      </c>
      <c r="L136" s="16">
        <f t="shared" si="27"/>
        <v>571</v>
      </c>
    </row>
    <row r="137" spans="1:12" s="18" customFormat="1" ht="15" customHeight="1">
      <c r="A137" s="80">
        <v>2003</v>
      </c>
      <c r="B137" s="81" t="s">
        <v>47</v>
      </c>
      <c r="C137" s="15">
        <f t="shared" si="28"/>
        <v>0.62617660242043927</v>
      </c>
      <c r="D137" s="15">
        <f t="shared" si="29"/>
        <v>0.79578467673027631</v>
      </c>
      <c r="E137" s="15">
        <f t="shared" si="30"/>
        <v>0.78686687584043025</v>
      </c>
      <c r="F137" s="16"/>
      <c r="G137" s="16"/>
      <c r="H137" s="16">
        <v>4462</v>
      </c>
      <c r="I137" s="16">
        <f t="shared" si="26"/>
        <v>951</v>
      </c>
      <c r="J137" s="16">
        <v>3511</v>
      </c>
      <c r="K137" s="16">
        <v>2794</v>
      </c>
      <c r="L137" s="16">
        <f t="shared" si="27"/>
        <v>717</v>
      </c>
    </row>
    <row r="138" spans="1:12" s="18" customFormat="1" ht="15" customHeight="1">
      <c r="A138" s="78">
        <v>2004</v>
      </c>
      <c r="B138" s="79" t="s">
        <v>36</v>
      </c>
      <c r="C138" s="15">
        <f t="shared" si="28"/>
        <v>0.54947974319238435</v>
      </c>
      <c r="D138" s="15">
        <f t="shared" si="29"/>
        <v>0.75280558083105853</v>
      </c>
      <c r="E138" s="15">
        <f t="shared" si="30"/>
        <v>0.72990923179101175</v>
      </c>
      <c r="F138" s="16"/>
      <c r="G138" s="16"/>
      <c r="H138" s="16">
        <v>4517</v>
      </c>
      <c r="I138" s="16">
        <f t="shared" ref="I138:I144" si="31">H138-J138</f>
        <v>1220</v>
      </c>
      <c r="J138" s="16">
        <v>3297</v>
      </c>
      <c r="K138" s="16">
        <v>2482</v>
      </c>
      <c r="L138" s="16">
        <f t="shared" ref="L138:L144" si="32">J138-K138</f>
        <v>815</v>
      </c>
    </row>
    <row r="139" spans="1:12" s="18" customFormat="1" ht="15" customHeight="1">
      <c r="A139" s="80">
        <v>2004</v>
      </c>
      <c r="B139" s="81" t="s">
        <v>37</v>
      </c>
      <c r="C139" s="15">
        <f t="shared" si="28"/>
        <v>0.47509487666034156</v>
      </c>
      <c r="D139" s="15">
        <f t="shared" si="29"/>
        <v>0.71484653818700927</v>
      </c>
      <c r="E139" s="15">
        <f t="shared" si="30"/>
        <v>0.66461100569259957</v>
      </c>
      <c r="F139" s="16"/>
      <c r="G139" s="16"/>
      <c r="H139" s="16">
        <v>4216</v>
      </c>
      <c r="I139" s="16">
        <f t="shared" si="31"/>
        <v>1414</v>
      </c>
      <c r="J139" s="16">
        <v>2802</v>
      </c>
      <c r="K139" s="16">
        <v>2003</v>
      </c>
      <c r="L139" s="16">
        <f t="shared" si="32"/>
        <v>799</v>
      </c>
    </row>
    <row r="140" spans="1:12" s="18" customFormat="1" ht="15" customHeight="1">
      <c r="A140" s="78">
        <v>2004</v>
      </c>
      <c r="B140" s="79" t="s">
        <v>38</v>
      </c>
      <c r="C140" s="15">
        <f t="shared" si="28"/>
        <v>0.55067128627111306</v>
      </c>
      <c r="D140" s="15">
        <f t="shared" si="29"/>
        <v>0.74552917033128119</v>
      </c>
      <c r="E140" s="15">
        <f t="shared" si="30"/>
        <v>0.73863144218276311</v>
      </c>
      <c r="F140" s="16"/>
      <c r="G140" s="16"/>
      <c r="H140" s="16">
        <v>4618</v>
      </c>
      <c r="I140" s="16">
        <f t="shared" si="31"/>
        <v>1207</v>
      </c>
      <c r="J140" s="16">
        <v>3411</v>
      </c>
      <c r="K140" s="16">
        <v>2543</v>
      </c>
      <c r="L140" s="16">
        <f t="shared" si="32"/>
        <v>868</v>
      </c>
    </row>
    <row r="141" spans="1:12" s="18" customFormat="1" ht="15" customHeight="1">
      <c r="A141" s="80">
        <v>2004</v>
      </c>
      <c r="B141" s="81" t="s">
        <v>39</v>
      </c>
      <c r="C141" s="15">
        <f t="shared" si="28"/>
        <v>0.64860465116279065</v>
      </c>
      <c r="D141" s="15">
        <f t="shared" si="29"/>
        <v>0.79936944683290345</v>
      </c>
      <c r="E141" s="15">
        <f t="shared" si="30"/>
        <v>0.81139534883720932</v>
      </c>
      <c r="F141" s="16"/>
      <c r="G141" s="16"/>
      <c r="H141" s="16">
        <v>4300</v>
      </c>
      <c r="I141" s="16">
        <f t="shared" si="31"/>
        <v>811</v>
      </c>
      <c r="J141" s="16">
        <v>3489</v>
      </c>
      <c r="K141" s="16">
        <v>2789</v>
      </c>
      <c r="L141" s="16">
        <f t="shared" si="32"/>
        <v>700</v>
      </c>
    </row>
    <row r="142" spans="1:12" s="18" customFormat="1" ht="15" customHeight="1">
      <c r="A142" s="78">
        <v>2004</v>
      </c>
      <c r="B142" s="79" t="s">
        <v>40</v>
      </c>
      <c r="C142" s="15">
        <f t="shared" si="28"/>
        <v>0.73038321167883213</v>
      </c>
      <c r="D142" s="15">
        <f t="shared" si="29"/>
        <v>0.77699587478767285</v>
      </c>
      <c r="E142" s="15">
        <f t="shared" si="30"/>
        <v>0.94000912408759119</v>
      </c>
      <c r="F142" s="16"/>
      <c r="G142" s="16"/>
      <c r="H142" s="16">
        <v>4384</v>
      </c>
      <c r="I142" s="16">
        <f t="shared" si="31"/>
        <v>263</v>
      </c>
      <c r="J142" s="16">
        <v>4121</v>
      </c>
      <c r="K142" s="16">
        <v>3202</v>
      </c>
      <c r="L142" s="16">
        <f t="shared" si="32"/>
        <v>919</v>
      </c>
    </row>
    <row r="143" spans="1:12" s="18" customFormat="1" ht="15" customHeight="1">
      <c r="A143" s="80">
        <v>2004</v>
      </c>
      <c r="B143" s="81" t="s">
        <v>41</v>
      </c>
      <c r="C143" s="15">
        <f t="shared" si="28"/>
        <v>0.81795340338053901</v>
      </c>
      <c r="D143" s="15">
        <f t="shared" si="29"/>
        <v>0.84358068315665491</v>
      </c>
      <c r="E143" s="15">
        <f t="shared" si="30"/>
        <v>0.96962083142987665</v>
      </c>
      <c r="F143" s="16"/>
      <c r="G143" s="16"/>
      <c r="H143" s="16">
        <v>4378</v>
      </c>
      <c r="I143" s="16">
        <f t="shared" si="31"/>
        <v>133</v>
      </c>
      <c r="J143" s="16">
        <v>4245</v>
      </c>
      <c r="K143" s="16">
        <v>3581</v>
      </c>
      <c r="L143" s="16">
        <f t="shared" si="32"/>
        <v>664</v>
      </c>
    </row>
    <row r="144" spans="1:12" s="18" customFormat="1" ht="15" customHeight="1">
      <c r="A144" s="78">
        <v>2004</v>
      </c>
      <c r="B144" s="79" t="s">
        <v>42</v>
      </c>
      <c r="C144" s="15">
        <f t="shared" si="28"/>
        <v>0.8448085012176223</v>
      </c>
      <c r="D144" s="15">
        <f t="shared" si="29"/>
        <v>0.87043795620437958</v>
      </c>
      <c r="E144" s="15">
        <f t="shared" si="30"/>
        <v>0.97055567854770863</v>
      </c>
      <c r="F144" s="16"/>
      <c r="G144" s="16"/>
      <c r="H144" s="16">
        <v>4517</v>
      </c>
      <c r="I144" s="16">
        <f t="shared" si="31"/>
        <v>133</v>
      </c>
      <c r="J144" s="16">
        <v>4384</v>
      </c>
      <c r="K144" s="16">
        <v>3816</v>
      </c>
      <c r="L144" s="16">
        <f t="shared" si="32"/>
        <v>568</v>
      </c>
    </row>
    <row r="145" spans="1:12" s="18" customFormat="1" ht="15" customHeight="1">
      <c r="A145" s="80">
        <v>2004</v>
      </c>
      <c r="B145" s="81" t="s">
        <v>43</v>
      </c>
      <c r="C145" s="15">
        <f t="shared" si="28"/>
        <v>0.85163603765127749</v>
      </c>
      <c r="D145" s="15">
        <f t="shared" si="29"/>
        <v>0.88372093023255816</v>
      </c>
      <c r="E145" s="15">
        <f t="shared" si="30"/>
        <v>0.96369341102644557</v>
      </c>
      <c r="F145" s="16"/>
      <c r="G145" s="16"/>
      <c r="H145" s="16">
        <v>4462</v>
      </c>
      <c r="I145" s="16">
        <f>H145-J145</f>
        <v>162</v>
      </c>
      <c r="J145" s="16">
        <v>4300</v>
      </c>
      <c r="K145" s="16">
        <v>3800</v>
      </c>
      <c r="L145" s="16">
        <f>J145-K145</f>
        <v>500</v>
      </c>
    </row>
    <row r="146" spans="1:12" s="18" customFormat="1" ht="15" customHeight="1">
      <c r="A146" s="78">
        <v>2004</v>
      </c>
      <c r="B146" s="79" t="s">
        <v>44</v>
      </c>
      <c r="C146" s="15">
        <f t="shared" si="28"/>
        <v>0.77221723518850982</v>
      </c>
      <c r="D146" s="15">
        <f t="shared" si="29"/>
        <v>0.8396778916544656</v>
      </c>
      <c r="E146" s="15">
        <f t="shared" si="30"/>
        <v>0.91965888689407538</v>
      </c>
      <c r="F146" s="16"/>
      <c r="G146" s="16"/>
      <c r="H146" s="16">
        <v>4456</v>
      </c>
      <c r="I146" s="16">
        <f>H146-J146</f>
        <v>358</v>
      </c>
      <c r="J146" s="16">
        <v>4098</v>
      </c>
      <c r="K146" s="16">
        <v>3441</v>
      </c>
      <c r="L146" s="16">
        <f>J146-K146</f>
        <v>657</v>
      </c>
    </row>
    <row r="147" spans="1:12" s="18" customFormat="1" ht="15" customHeight="1">
      <c r="A147" s="80">
        <v>2004</v>
      </c>
      <c r="B147" s="81" t="s">
        <v>45</v>
      </c>
      <c r="C147" s="15">
        <f t="shared" si="28"/>
        <v>0.78936697454381621</v>
      </c>
      <c r="D147" s="15">
        <f t="shared" si="29"/>
        <v>0.88551933282789996</v>
      </c>
      <c r="E147" s="15">
        <f t="shared" si="30"/>
        <v>0.8914169858076143</v>
      </c>
      <c r="F147" s="16"/>
      <c r="G147" s="16"/>
      <c r="H147" s="16">
        <v>4439</v>
      </c>
      <c r="I147" s="16">
        <f>H147-J147</f>
        <v>482</v>
      </c>
      <c r="J147" s="16">
        <v>3957</v>
      </c>
      <c r="K147" s="16">
        <v>3504</v>
      </c>
      <c r="L147" s="16">
        <f>J147-K147</f>
        <v>453</v>
      </c>
    </row>
    <row r="148" spans="1:12" s="18" customFormat="1" ht="15" customHeight="1">
      <c r="A148" s="78">
        <v>2004</v>
      </c>
      <c r="B148" s="79" t="s">
        <v>46</v>
      </c>
      <c r="C148" s="15">
        <f t="shared" si="28"/>
        <v>0.83774685816876127</v>
      </c>
      <c r="D148" s="15">
        <f t="shared" si="29"/>
        <v>0.87526377491207508</v>
      </c>
      <c r="E148" s="15">
        <f t="shared" si="30"/>
        <v>0.95713644524236985</v>
      </c>
      <c r="F148" s="16"/>
      <c r="G148" s="16"/>
      <c r="H148" s="16">
        <v>4456</v>
      </c>
      <c r="I148" s="16">
        <f>H148-J148</f>
        <v>191</v>
      </c>
      <c r="J148" s="16">
        <v>4265</v>
      </c>
      <c r="K148" s="16">
        <v>3733</v>
      </c>
      <c r="L148" s="16">
        <f>J148-K148</f>
        <v>532</v>
      </c>
    </row>
    <row r="149" spans="1:12" s="18" customFormat="1" ht="15" customHeight="1">
      <c r="A149" s="80">
        <v>2004</v>
      </c>
      <c r="B149" s="81" t="s">
        <v>47</v>
      </c>
      <c r="C149" s="15">
        <f t="shared" si="28"/>
        <v>0.7085841694537347</v>
      </c>
      <c r="D149" s="15">
        <f t="shared" si="29"/>
        <v>0.79909479507166203</v>
      </c>
      <c r="E149" s="15">
        <f t="shared" si="30"/>
        <v>0.88673355629877371</v>
      </c>
      <c r="F149" s="16"/>
      <c r="G149" s="16"/>
      <c r="H149" s="16">
        <v>4485</v>
      </c>
      <c r="I149" s="16">
        <f>H149-J149</f>
        <v>508</v>
      </c>
      <c r="J149" s="16">
        <v>3977</v>
      </c>
      <c r="K149" s="16">
        <v>3178</v>
      </c>
      <c r="L149" s="16">
        <f>J149-K149</f>
        <v>799</v>
      </c>
    </row>
    <row r="150" spans="1:12" s="18" customFormat="1" ht="15" customHeight="1">
      <c r="A150" s="78">
        <v>2005</v>
      </c>
      <c r="B150" s="79" t="s">
        <v>36</v>
      </c>
      <c r="C150" s="15">
        <f t="shared" si="28"/>
        <v>0.78046875000000004</v>
      </c>
      <c r="D150" s="15">
        <f t="shared" si="29"/>
        <v>0.84303797468354436</v>
      </c>
      <c r="E150" s="15">
        <f t="shared" si="30"/>
        <v>0.92578125</v>
      </c>
      <c r="F150" s="16"/>
      <c r="G150" s="16"/>
      <c r="H150" s="16">
        <v>3840</v>
      </c>
      <c r="I150" s="16">
        <v>285</v>
      </c>
      <c r="J150" s="16">
        <v>3555</v>
      </c>
      <c r="K150" s="16">
        <v>2997</v>
      </c>
      <c r="L150" s="16">
        <v>843</v>
      </c>
    </row>
    <row r="151" spans="1:12" s="18" customFormat="1" ht="15" customHeight="1">
      <c r="A151" s="80">
        <v>2005</v>
      </c>
      <c r="B151" s="81" t="s">
        <v>37</v>
      </c>
      <c r="C151" s="15">
        <f t="shared" si="28"/>
        <v>0.8061002178649237</v>
      </c>
      <c r="D151" s="15">
        <f t="shared" si="29"/>
        <v>0.84090909090909094</v>
      </c>
      <c r="E151" s="15">
        <f t="shared" si="30"/>
        <v>0.95860566448801743</v>
      </c>
      <c r="F151" s="16"/>
      <c r="G151" s="16"/>
      <c r="H151" s="16">
        <v>3672</v>
      </c>
      <c r="I151" s="16">
        <v>152</v>
      </c>
      <c r="J151" s="16">
        <v>3520</v>
      </c>
      <c r="K151" s="16">
        <v>2960</v>
      </c>
      <c r="L151" s="16">
        <v>712</v>
      </c>
    </row>
    <row r="152" spans="1:12" s="18" customFormat="1" ht="15" customHeight="1">
      <c r="A152" s="78">
        <v>2005</v>
      </c>
      <c r="B152" s="79" t="s">
        <v>38</v>
      </c>
      <c r="C152" s="15">
        <f t="shared" si="28"/>
        <v>0.83151779230210598</v>
      </c>
      <c r="D152" s="15">
        <f t="shared" si="29"/>
        <v>0.85660847880299251</v>
      </c>
      <c r="E152" s="15">
        <f t="shared" si="30"/>
        <v>0.97070927136286611</v>
      </c>
      <c r="F152" s="16"/>
      <c r="G152" s="16"/>
      <c r="H152" s="16">
        <v>4131</v>
      </c>
      <c r="I152" s="16">
        <v>121</v>
      </c>
      <c r="J152" s="16">
        <v>4010</v>
      </c>
      <c r="K152" s="16">
        <v>3435</v>
      </c>
      <c r="L152" s="16">
        <v>696</v>
      </c>
    </row>
    <row r="153" spans="1:12" s="18" customFormat="1" ht="15" customHeight="1">
      <c r="A153" s="80">
        <v>2005</v>
      </c>
      <c r="B153" s="81" t="s">
        <v>39</v>
      </c>
      <c r="C153" s="15">
        <f t="shared" si="28"/>
        <v>0.83362434522324769</v>
      </c>
      <c r="D153" s="15">
        <f t="shared" si="29"/>
        <v>0.85189905684425182</v>
      </c>
      <c r="E153" s="15">
        <f t="shared" si="30"/>
        <v>0.97854826640059867</v>
      </c>
      <c r="F153" s="16"/>
      <c r="G153" s="16"/>
      <c r="H153" s="16">
        <v>4009</v>
      </c>
      <c r="I153" s="16">
        <v>86</v>
      </c>
      <c r="J153" s="16">
        <v>3923</v>
      </c>
      <c r="K153" s="16">
        <v>3342</v>
      </c>
      <c r="L153" s="16">
        <v>667</v>
      </c>
    </row>
    <row r="154" spans="1:12" s="18" customFormat="1" ht="15" customHeight="1">
      <c r="A154" s="78">
        <v>2005</v>
      </c>
      <c r="B154" s="79" t="s">
        <v>40</v>
      </c>
      <c r="C154" s="15">
        <f t="shared" si="28"/>
        <v>0.85651750972762641</v>
      </c>
      <c r="D154" s="15">
        <f t="shared" si="29"/>
        <v>0.87113529557259461</v>
      </c>
      <c r="E154" s="15">
        <f t="shared" si="30"/>
        <v>0.9832198443579766</v>
      </c>
      <c r="F154" s="16"/>
      <c r="G154" s="16"/>
      <c r="H154" s="16">
        <v>4112</v>
      </c>
      <c r="I154" s="16">
        <v>69</v>
      </c>
      <c r="J154" s="16">
        <v>4043</v>
      </c>
      <c r="K154" s="16">
        <v>3522</v>
      </c>
      <c r="L154" s="16">
        <v>590</v>
      </c>
    </row>
    <row r="155" spans="1:12" s="18" customFormat="1" ht="15" customHeight="1">
      <c r="A155" s="80">
        <v>2005</v>
      </c>
      <c r="B155" s="81" t="s">
        <v>41</v>
      </c>
      <c r="C155" s="15">
        <f t="shared" si="28"/>
        <v>0.79346470441506611</v>
      </c>
      <c r="D155" s="15">
        <f t="shared" si="29"/>
        <v>0.83556606251641707</v>
      </c>
      <c r="E155" s="15">
        <f t="shared" si="30"/>
        <v>0.94961336991768519</v>
      </c>
      <c r="F155" s="16"/>
      <c r="G155" s="16"/>
      <c r="H155" s="16">
        <v>4009</v>
      </c>
      <c r="I155" s="16">
        <v>202</v>
      </c>
      <c r="J155" s="16">
        <v>3807</v>
      </c>
      <c r="K155" s="16">
        <v>3181</v>
      </c>
      <c r="L155" s="16">
        <v>828</v>
      </c>
    </row>
    <row r="156" spans="1:12" s="18" customFormat="1" ht="15" customHeight="1">
      <c r="A156" s="78">
        <v>2005</v>
      </c>
      <c r="B156" s="79" t="s">
        <v>42</v>
      </c>
      <c r="C156" s="15">
        <f t="shared" si="28"/>
        <v>0.83049610894941639</v>
      </c>
      <c r="D156" s="15">
        <f t="shared" si="29"/>
        <v>0.85955197583689902</v>
      </c>
      <c r="E156" s="15">
        <f t="shared" si="30"/>
        <v>0.96619649805447472</v>
      </c>
      <c r="F156" s="16"/>
      <c r="G156" s="16"/>
      <c r="H156" s="16">
        <v>4112</v>
      </c>
      <c r="I156" s="16">
        <f t="shared" ref="I156:I161" si="33">H156-J156</f>
        <v>139</v>
      </c>
      <c r="J156" s="16">
        <v>3973</v>
      </c>
      <c r="K156" s="16">
        <v>3415</v>
      </c>
      <c r="L156" s="16">
        <f t="shared" ref="L156:L161" si="34">J156-K156</f>
        <v>558</v>
      </c>
    </row>
    <row r="157" spans="1:12" s="18" customFormat="1" ht="15" customHeight="1">
      <c r="A157" s="80">
        <v>2005</v>
      </c>
      <c r="B157" s="81" t="s">
        <v>43</v>
      </c>
      <c r="C157" s="15">
        <f t="shared" si="28"/>
        <v>0.82293423271500843</v>
      </c>
      <c r="D157" s="15">
        <f t="shared" si="29"/>
        <v>0.87231869254341166</v>
      </c>
      <c r="E157" s="15">
        <f t="shared" si="30"/>
        <v>0.94338713562996868</v>
      </c>
      <c r="F157" s="16"/>
      <c r="G157" s="16"/>
      <c r="H157" s="16">
        <v>4151</v>
      </c>
      <c r="I157" s="16">
        <f t="shared" si="33"/>
        <v>235</v>
      </c>
      <c r="J157" s="16">
        <v>3916</v>
      </c>
      <c r="K157" s="16">
        <v>3416</v>
      </c>
      <c r="L157" s="16">
        <f t="shared" si="34"/>
        <v>500</v>
      </c>
    </row>
    <row r="158" spans="1:12" s="18" customFormat="1" ht="15" customHeight="1">
      <c r="A158" s="78">
        <v>2005</v>
      </c>
      <c r="B158" s="79" t="s">
        <v>44</v>
      </c>
      <c r="C158" s="15">
        <f t="shared" si="28"/>
        <v>0.88216403162055335</v>
      </c>
      <c r="D158" s="15">
        <f t="shared" si="29"/>
        <v>0.91004077471967382</v>
      </c>
      <c r="E158" s="15">
        <f t="shared" si="30"/>
        <v>0.96936758893280628</v>
      </c>
      <c r="F158" s="16"/>
      <c r="G158" s="16"/>
      <c r="H158" s="16">
        <v>4048</v>
      </c>
      <c r="I158" s="16">
        <f t="shared" si="33"/>
        <v>124</v>
      </c>
      <c r="J158" s="16">
        <v>3924</v>
      </c>
      <c r="K158" s="16">
        <v>3571</v>
      </c>
      <c r="L158" s="16">
        <f t="shared" si="34"/>
        <v>353</v>
      </c>
    </row>
    <row r="159" spans="1:12" s="18" customFormat="1" ht="15" customHeight="1">
      <c r="A159" s="80">
        <v>2005</v>
      </c>
      <c r="B159" s="81" t="s">
        <v>45</v>
      </c>
      <c r="C159" s="15">
        <f t="shared" si="28"/>
        <v>0.82503660322108341</v>
      </c>
      <c r="D159" s="15">
        <f t="shared" si="29"/>
        <v>0.8522813208974036</v>
      </c>
      <c r="E159" s="15">
        <f t="shared" si="30"/>
        <v>0.96803318692044904</v>
      </c>
      <c r="F159" s="16"/>
      <c r="G159" s="16"/>
      <c r="H159" s="16">
        <v>4098</v>
      </c>
      <c r="I159" s="16">
        <f t="shared" si="33"/>
        <v>131</v>
      </c>
      <c r="J159" s="16">
        <v>3967</v>
      </c>
      <c r="K159" s="16">
        <v>3381</v>
      </c>
      <c r="L159" s="16">
        <f t="shared" si="34"/>
        <v>586</v>
      </c>
    </row>
    <row r="160" spans="1:12" s="18" customFormat="1" ht="15" customHeight="1">
      <c r="A160" s="78">
        <v>2005</v>
      </c>
      <c r="B160" s="79" t="s">
        <v>46</v>
      </c>
      <c r="C160" s="15">
        <f t="shared" si="28"/>
        <v>0.82707509881422925</v>
      </c>
      <c r="D160" s="15">
        <f t="shared" si="29"/>
        <v>0.85039370078740162</v>
      </c>
      <c r="E160" s="15">
        <f t="shared" si="30"/>
        <v>0.97257905138339917</v>
      </c>
      <c r="F160" s="16"/>
      <c r="G160" s="16"/>
      <c r="H160" s="16">
        <v>4048</v>
      </c>
      <c r="I160" s="16">
        <f t="shared" si="33"/>
        <v>111</v>
      </c>
      <c r="J160" s="16">
        <v>3937</v>
      </c>
      <c r="K160" s="16">
        <v>3348</v>
      </c>
      <c r="L160" s="16">
        <f t="shared" si="34"/>
        <v>589</v>
      </c>
    </row>
    <row r="161" spans="1:12" s="18" customFormat="1" ht="15" customHeight="1">
      <c r="A161" s="80">
        <v>2005</v>
      </c>
      <c r="B161" s="81" t="s">
        <v>47</v>
      </c>
      <c r="C161" s="15">
        <f t="shared" si="28"/>
        <v>0.86514161220043573</v>
      </c>
      <c r="D161" s="15">
        <f t="shared" si="29"/>
        <v>0.88677981241625725</v>
      </c>
      <c r="E161" s="15">
        <f t="shared" si="30"/>
        <v>0.97559912854030506</v>
      </c>
      <c r="F161" s="16"/>
      <c r="G161" s="16"/>
      <c r="H161" s="16">
        <v>4590</v>
      </c>
      <c r="I161" s="16">
        <f t="shared" si="33"/>
        <v>112</v>
      </c>
      <c r="J161" s="16">
        <v>4478</v>
      </c>
      <c r="K161" s="16">
        <v>3971</v>
      </c>
      <c r="L161" s="16">
        <f t="shared" si="34"/>
        <v>507</v>
      </c>
    </row>
    <row r="162" spans="1:12" s="18" customFormat="1" ht="15" customHeight="1">
      <c r="A162" s="78">
        <v>2006</v>
      </c>
      <c r="B162" s="79" t="s">
        <v>36</v>
      </c>
      <c r="C162" s="15">
        <f t="shared" si="28"/>
        <v>0.86421075176697371</v>
      </c>
      <c r="D162" s="15">
        <f t="shared" si="29"/>
        <v>0.8905318914146988</v>
      </c>
      <c r="E162" s="15">
        <f t="shared" si="30"/>
        <v>0.97044334975369462</v>
      </c>
      <c r="F162" s="16"/>
      <c r="G162" s="16"/>
      <c r="H162" s="16">
        <v>4669</v>
      </c>
      <c r="I162" s="16">
        <f t="shared" ref="I162:I173" si="35">H162-J162</f>
        <v>138</v>
      </c>
      <c r="J162" s="16">
        <v>4531</v>
      </c>
      <c r="K162" s="16">
        <v>4035</v>
      </c>
      <c r="L162" s="16">
        <f t="shared" ref="L162:L173" si="36">J162-K162</f>
        <v>496</v>
      </c>
    </row>
    <row r="163" spans="1:12" s="18" customFormat="1" ht="15" customHeight="1">
      <c r="A163" s="80">
        <v>2006</v>
      </c>
      <c r="B163" s="81" t="s">
        <v>37</v>
      </c>
      <c r="C163" s="15">
        <f t="shared" si="28"/>
        <v>0.81687145557655949</v>
      </c>
      <c r="D163" s="15">
        <f t="shared" si="29"/>
        <v>0.84523227383863075</v>
      </c>
      <c r="E163" s="15">
        <f t="shared" si="30"/>
        <v>0.96644612476370506</v>
      </c>
      <c r="F163" s="16"/>
      <c r="G163" s="16"/>
      <c r="H163" s="16">
        <v>4232</v>
      </c>
      <c r="I163" s="16">
        <f t="shared" si="35"/>
        <v>142</v>
      </c>
      <c r="J163" s="16">
        <v>4090</v>
      </c>
      <c r="K163" s="16">
        <v>3457</v>
      </c>
      <c r="L163" s="16">
        <f t="shared" si="36"/>
        <v>633</v>
      </c>
    </row>
    <row r="164" spans="1:12" s="18" customFormat="1" ht="15" customHeight="1">
      <c r="A164" s="78">
        <v>2006</v>
      </c>
      <c r="B164" s="79" t="s">
        <v>38</v>
      </c>
      <c r="C164" s="15">
        <f t="shared" si="28"/>
        <v>0.8054755043227666</v>
      </c>
      <c r="D164" s="15">
        <f t="shared" si="29"/>
        <v>0.81793478260869568</v>
      </c>
      <c r="E164" s="15">
        <f t="shared" si="30"/>
        <v>0.98476739398929602</v>
      </c>
      <c r="F164" s="16"/>
      <c r="G164" s="16"/>
      <c r="H164" s="16">
        <v>4858</v>
      </c>
      <c r="I164" s="16">
        <f t="shared" si="35"/>
        <v>74</v>
      </c>
      <c r="J164" s="16">
        <v>4784</v>
      </c>
      <c r="K164" s="16">
        <v>3913</v>
      </c>
      <c r="L164" s="16">
        <f t="shared" si="36"/>
        <v>871</v>
      </c>
    </row>
    <row r="165" spans="1:12" s="18" customFormat="1" ht="15" customHeight="1">
      <c r="A165" s="80">
        <v>2006</v>
      </c>
      <c r="B165" s="81" t="s">
        <v>39</v>
      </c>
      <c r="C165" s="15">
        <f t="shared" si="28"/>
        <v>0.84536923704610367</v>
      </c>
      <c r="D165" s="15">
        <f t="shared" si="29"/>
        <v>0.86930983847283405</v>
      </c>
      <c r="E165" s="15">
        <f t="shared" si="30"/>
        <v>0.97246022031823742</v>
      </c>
      <c r="F165" s="16"/>
      <c r="G165" s="16"/>
      <c r="H165" s="16">
        <v>4902</v>
      </c>
      <c r="I165" s="16">
        <f t="shared" si="35"/>
        <v>135</v>
      </c>
      <c r="J165" s="16">
        <v>4767</v>
      </c>
      <c r="K165" s="16">
        <v>4144</v>
      </c>
      <c r="L165" s="16">
        <f t="shared" si="36"/>
        <v>623</v>
      </c>
    </row>
    <row r="166" spans="1:12" s="18" customFormat="1" ht="15" customHeight="1">
      <c r="A166" s="78">
        <v>2006</v>
      </c>
      <c r="B166" s="79" t="s">
        <v>40</v>
      </c>
      <c r="C166" s="15">
        <f t="shared" si="28"/>
        <v>0.80749607535321821</v>
      </c>
      <c r="D166" s="15">
        <f t="shared" si="29"/>
        <v>0.85764902042517721</v>
      </c>
      <c r="E166" s="15">
        <f t="shared" si="30"/>
        <v>0.94152276295133441</v>
      </c>
      <c r="F166" s="16"/>
      <c r="G166" s="16"/>
      <c r="H166" s="16">
        <v>5096</v>
      </c>
      <c r="I166" s="16">
        <f t="shared" si="35"/>
        <v>298</v>
      </c>
      <c r="J166" s="16">
        <v>4798</v>
      </c>
      <c r="K166" s="16">
        <v>4115</v>
      </c>
      <c r="L166" s="16">
        <f t="shared" si="36"/>
        <v>683</v>
      </c>
    </row>
    <row r="167" spans="1:12" s="18" customFormat="1" ht="15" customHeight="1">
      <c r="A167" s="80">
        <v>2006</v>
      </c>
      <c r="B167" s="81" t="s">
        <v>41</v>
      </c>
      <c r="C167" s="15">
        <f t="shared" si="28"/>
        <v>0.72020933977455714</v>
      </c>
      <c r="D167" s="15">
        <f t="shared" si="29"/>
        <v>0.76322525597269619</v>
      </c>
      <c r="E167" s="15">
        <f t="shared" si="30"/>
        <v>0.94363929146537839</v>
      </c>
      <c r="F167" s="16"/>
      <c r="G167" s="16"/>
      <c r="H167" s="16">
        <v>4968</v>
      </c>
      <c r="I167" s="16">
        <f t="shared" si="35"/>
        <v>280</v>
      </c>
      <c r="J167" s="16">
        <v>4688</v>
      </c>
      <c r="K167" s="16">
        <v>3578</v>
      </c>
      <c r="L167" s="16">
        <f t="shared" si="36"/>
        <v>1110</v>
      </c>
    </row>
    <row r="168" spans="1:12" s="18" customFormat="1" ht="15" customHeight="1">
      <c r="A168" s="78">
        <v>2006</v>
      </c>
      <c r="B168" s="79" t="s">
        <v>42</v>
      </c>
      <c r="C168" s="15">
        <f t="shared" si="28"/>
        <v>0.6880608661724541</v>
      </c>
      <c r="D168" s="15">
        <f t="shared" si="29"/>
        <v>0.72871900826446279</v>
      </c>
      <c r="E168" s="15">
        <f t="shared" si="30"/>
        <v>0.94420600858369097</v>
      </c>
      <c r="F168" s="16"/>
      <c r="G168" s="16"/>
      <c r="H168" s="16">
        <v>5126</v>
      </c>
      <c r="I168" s="16">
        <f t="shared" si="35"/>
        <v>286</v>
      </c>
      <c r="J168" s="16">
        <v>4840</v>
      </c>
      <c r="K168" s="16">
        <v>3527</v>
      </c>
      <c r="L168" s="16">
        <f t="shared" si="36"/>
        <v>1313</v>
      </c>
    </row>
    <row r="169" spans="1:12" s="18" customFormat="1" ht="15" customHeight="1">
      <c r="A169" s="80">
        <v>2006</v>
      </c>
      <c r="B169" s="81" t="s">
        <v>43</v>
      </c>
      <c r="C169" s="15">
        <f t="shared" si="28"/>
        <v>0.74611197511664074</v>
      </c>
      <c r="D169" s="15">
        <f t="shared" si="29"/>
        <v>0.7808748728382503</v>
      </c>
      <c r="E169" s="15">
        <f t="shared" si="30"/>
        <v>0.9554821150855366</v>
      </c>
      <c r="F169" s="16"/>
      <c r="G169" s="16"/>
      <c r="H169" s="16">
        <v>5144</v>
      </c>
      <c r="I169" s="16">
        <f t="shared" si="35"/>
        <v>229</v>
      </c>
      <c r="J169" s="16">
        <v>4915</v>
      </c>
      <c r="K169" s="16">
        <v>3838</v>
      </c>
      <c r="L169" s="16">
        <f t="shared" si="36"/>
        <v>1077</v>
      </c>
    </row>
    <row r="170" spans="1:12" s="18" customFormat="1" ht="15" customHeight="1">
      <c r="A170" s="78">
        <v>2006</v>
      </c>
      <c r="B170" s="79" t="s">
        <v>44</v>
      </c>
      <c r="C170" s="15">
        <f t="shared" si="28"/>
        <v>0.85654261704681878</v>
      </c>
      <c r="D170" s="15">
        <f t="shared" si="29"/>
        <v>0.87635619242579321</v>
      </c>
      <c r="E170" s="15">
        <f t="shared" si="30"/>
        <v>0.97739095638255302</v>
      </c>
      <c r="F170" s="16"/>
      <c r="G170" s="16"/>
      <c r="H170" s="16">
        <v>4998</v>
      </c>
      <c r="I170" s="16">
        <f t="shared" si="35"/>
        <v>113</v>
      </c>
      <c r="J170" s="16">
        <v>4885</v>
      </c>
      <c r="K170" s="16">
        <v>4281</v>
      </c>
      <c r="L170" s="16">
        <f t="shared" si="36"/>
        <v>604</v>
      </c>
    </row>
    <row r="171" spans="1:12" s="18" customFormat="1" ht="15" customHeight="1">
      <c r="A171" s="80">
        <v>2006</v>
      </c>
      <c r="B171" s="81" t="s">
        <v>45</v>
      </c>
      <c r="C171" s="15">
        <f t="shared" si="28"/>
        <v>0.86499215070643642</v>
      </c>
      <c r="D171" s="15">
        <f t="shared" si="29"/>
        <v>0.88978603148970525</v>
      </c>
      <c r="E171" s="15">
        <f t="shared" si="30"/>
        <v>0.97213500784929352</v>
      </c>
      <c r="F171" s="16"/>
      <c r="G171" s="16"/>
      <c r="H171" s="16">
        <v>5096</v>
      </c>
      <c r="I171" s="16">
        <f t="shared" si="35"/>
        <v>142</v>
      </c>
      <c r="J171" s="16">
        <v>4954</v>
      </c>
      <c r="K171" s="16">
        <v>4408</v>
      </c>
      <c r="L171" s="16">
        <f t="shared" si="36"/>
        <v>546</v>
      </c>
    </row>
    <row r="172" spans="1:12" s="18" customFormat="1" ht="15" customHeight="1">
      <c r="A172" s="78">
        <v>2006</v>
      </c>
      <c r="B172" s="79" t="s">
        <v>46</v>
      </c>
      <c r="C172" s="15">
        <f t="shared" si="28"/>
        <v>0.81818181818181823</v>
      </c>
      <c r="D172" s="15">
        <f t="shared" si="29"/>
        <v>0.84392350400987048</v>
      </c>
      <c r="E172" s="15">
        <f t="shared" si="30"/>
        <v>0.96949760765550241</v>
      </c>
      <c r="F172" s="16"/>
      <c r="G172" s="16"/>
      <c r="H172" s="16">
        <v>5016</v>
      </c>
      <c r="I172" s="16">
        <f t="shared" si="35"/>
        <v>153</v>
      </c>
      <c r="J172" s="16">
        <v>4863</v>
      </c>
      <c r="K172" s="16">
        <v>4104</v>
      </c>
      <c r="L172" s="16">
        <f t="shared" si="36"/>
        <v>759</v>
      </c>
    </row>
    <row r="173" spans="1:12" s="18" customFormat="1" ht="15" customHeight="1">
      <c r="A173" s="80">
        <v>2006</v>
      </c>
      <c r="B173" s="81" t="s">
        <v>47</v>
      </c>
      <c r="C173" s="15">
        <f t="shared" si="28"/>
        <v>0.83359840954274356</v>
      </c>
      <c r="D173" s="15">
        <f t="shared" si="29"/>
        <v>0.86417971970321517</v>
      </c>
      <c r="E173" s="15">
        <f t="shared" si="30"/>
        <v>0.96461232604373759</v>
      </c>
      <c r="F173" s="16"/>
      <c r="G173" s="16"/>
      <c r="H173" s="16">
        <v>5030</v>
      </c>
      <c r="I173" s="16">
        <f t="shared" si="35"/>
        <v>178</v>
      </c>
      <c r="J173" s="16">
        <v>4852</v>
      </c>
      <c r="K173" s="16">
        <v>4193</v>
      </c>
      <c r="L173" s="16">
        <f t="shared" si="36"/>
        <v>659</v>
      </c>
    </row>
    <row r="174" spans="1:12" s="18" customFormat="1" ht="15" customHeight="1">
      <c r="A174" s="78">
        <v>2007</v>
      </c>
      <c r="B174" s="79" t="s">
        <v>36</v>
      </c>
      <c r="C174" s="15">
        <f t="shared" si="28"/>
        <v>0.8322317262830482</v>
      </c>
      <c r="D174" s="15">
        <f t="shared" si="29"/>
        <v>0.87635619242579321</v>
      </c>
      <c r="E174" s="15">
        <f t="shared" si="30"/>
        <v>0.9496500777604977</v>
      </c>
      <c r="F174" s="16"/>
      <c r="G174" s="16"/>
      <c r="H174" s="16">
        <v>5144</v>
      </c>
      <c r="I174" s="16">
        <f t="shared" ref="I174:I184" si="37">H174-J174</f>
        <v>259</v>
      </c>
      <c r="J174" s="16">
        <v>4885</v>
      </c>
      <c r="K174" s="16">
        <v>4281</v>
      </c>
      <c r="L174" s="16">
        <f t="shared" ref="L174:L185" si="38">J174-K174</f>
        <v>604</v>
      </c>
    </row>
    <row r="175" spans="1:12" s="18" customFormat="1" ht="15" customHeight="1">
      <c r="A175" s="80">
        <v>2007</v>
      </c>
      <c r="B175" s="81" t="s">
        <v>37</v>
      </c>
      <c r="C175" s="15">
        <f t="shared" si="28"/>
        <v>0.86501495087569413</v>
      </c>
      <c r="D175" s="15">
        <f t="shared" si="29"/>
        <v>0.89463220675944333</v>
      </c>
      <c r="E175" s="15">
        <f t="shared" si="30"/>
        <v>0.96689448953438706</v>
      </c>
      <c r="F175" s="16"/>
      <c r="G175" s="16"/>
      <c r="H175" s="16">
        <v>4682</v>
      </c>
      <c r="I175" s="16">
        <f t="shared" si="37"/>
        <v>155</v>
      </c>
      <c r="J175" s="16">
        <v>4527</v>
      </c>
      <c r="K175" s="16">
        <v>4050</v>
      </c>
      <c r="L175" s="16">
        <f t="shared" si="38"/>
        <v>477</v>
      </c>
    </row>
    <row r="176" spans="1:12" s="18" customFormat="1" ht="15" customHeight="1">
      <c r="A176" s="78">
        <v>2007</v>
      </c>
      <c r="B176" s="79" t="s">
        <v>38</v>
      </c>
      <c r="C176" s="15">
        <f t="shared" si="28"/>
        <v>0.81009296148738374</v>
      </c>
      <c r="D176" s="15">
        <f t="shared" si="29"/>
        <v>0.83807654563297351</v>
      </c>
      <c r="E176" s="15">
        <f t="shared" si="30"/>
        <v>0.96660975147030925</v>
      </c>
      <c r="F176" s="16"/>
      <c r="G176" s="16"/>
      <c r="H176" s="16">
        <v>5271</v>
      </c>
      <c r="I176" s="16">
        <f t="shared" si="37"/>
        <v>176</v>
      </c>
      <c r="J176" s="16">
        <v>5095</v>
      </c>
      <c r="K176" s="16">
        <v>4270</v>
      </c>
      <c r="L176" s="16">
        <f t="shared" si="38"/>
        <v>825</v>
      </c>
    </row>
    <row r="177" spans="1:12" s="18" customFormat="1" ht="15" customHeight="1">
      <c r="A177" s="80">
        <v>2007</v>
      </c>
      <c r="B177" s="81" t="s">
        <v>39</v>
      </c>
      <c r="C177" s="15">
        <f t="shared" si="28"/>
        <v>0.81743321952199233</v>
      </c>
      <c r="D177" s="15">
        <f t="shared" si="29"/>
        <v>0.85057471264367812</v>
      </c>
      <c r="E177" s="15">
        <f t="shared" si="30"/>
        <v>0.96103635268126131</v>
      </c>
      <c r="F177" s="16"/>
      <c r="G177" s="16"/>
      <c r="H177" s="16">
        <v>4979</v>
      </c>
      <c r="I177" s="16">
        <f t="shared" si="37"/>
        <v>194</v>
      </c>
      <c r="J177" s="16">
        <v>4785</v>
      </c>
      <c r="K177" s="16">
        <v>4070</v>
      </c>
      <c r="L177" s="16">
        <f t="shared" si="38"/>
        <v>715</v>
      </c>
    </row>
    <row r="178" spans="1:12" s="18" customFormat="1" ht="15" customHeight="1">
      <c r="A178" s="78">
        <v>2007</v>
      </c>
      <c r="B178" s="79" t="s">
        <v>40</v>
      </c>
      <c r="C178" s="15">
        <f t="shared" si="28"/>
        <v>0.8255368098159509</v>
      </c>
      <c r="D178" s="15">
        <f t="shared" si="29"/>
        <v>0.85538339292808896</v>
      </c>
      <c r="E178" s="15">
        <f t="shared" si="30"/>
        <v>0.96510736196319014</v>
      </c>
      <c r="F178" s="16"/>
      <c r="G178" s="16"/>
      <c r="H178" s="16">
        <v>5216</v>
      </c>
      <c r="I178" s="16">
        <f t="shared" si="37"/>
        <v>182</v>
      </c>
      <c r="J178" s="16">
        <v>5034</v>
      </c>
      <c r="K178" s="16">
        <v>4306</v>
      </c>
      <c r="L178" s="16">
        <f t="shared" si="38"/>
        <v>728</v>
      </c>
    </row>
    <row r="179" spans="1:12" s="18" customFormat="1" ht="15" customHeight="1">
      <c r="A179" s="80">
        <v>2007</v>
      </c>
      <c r="B179" s="81" t="s">
        <v>41</v>
      </c>
      <c r="C179" s="15">
        <f t="shared" si="28"/>
        <v>0.84560710760118463</v>
      </c>
      <c r="D179" s="15">
        <f t="shared" si="29"/>
        <v>0.86788247213779124</v>
      </c>
      <c r="E179" s="15">
        <f t="shared" si="30"/>
        <v>0.9743336623889437</v>
      </c>
      <c r="F179" s="16"/>
      <c r="G179" s="16"/>
      <c r="H179" s="16">
        <v>5065</v>
      </c>
      <c r="I179" s="16">
        <f t="shared" si="37"/>
        <v>130</v>
      </c>
      <c r="J179" s="16">
        <v>4935</v>
      </c>
      <c r="K179" s="16">
        <v>4283</v>
      </c>
      <c r="L179" s="16">
        <f t="shared" si="38"/>
        <v>652</v>
      </c>
    </row>
    <row r="180" spans="1:12" s="18" customFormat="1" ht="15" customHeight="1">
      <c r="A180" s="78">
        <v>2007</v>
      </c>
      <c r="B180" s="79" t="s">
        <v>42</v>
      </c>
      <c r="C180" s="15">
        <f t="shared" si="28"/>
        <v>0.84336656441717794</v>
      </c>
      <c r="D180" s="15">
        <f t="shared" si="29"/>
        <v>0.88191659983961512</v>
      </c>
      <c r="E180" s="15">
        <f t="shared" si="30"/>
        <v>0.95628834355828218</v>
      </c>
      <c r="F180" s="16"/>
      <c r="G180" s="16"/>
      <c r="H180" s="16">
        <v>5216</v>
      </c>
      <c r="I180" s="16">
        <f t="shared" si="37"/>
        <v>228</v>
      </c>
      <c r="J180" s="16">
        <v>4988</v>
      </c>
      <c r="K180" s="16">
        <v>4399</v>
      </c>
      <c r="L180" s="16">
        <f t="shared" si="38"/>
        <v>589</v>
      </c>
    </row>
    <row r="181" spans="1:12" s="18" customFormat="1" ht="15" customHeight="1">
      <c r="A181" s="80">
        <v>2007</v>
      </c>
      <c r="B181" s="81" t="s">
        <v>43</v>
      </c>
      <c r="C181" s="15">
        <f t="shared" si="28"/>
        <v>0.84917472965281726</v>
      </c>
      <c r="D181" s="15">
        <f t="shared" si="29"/>
        <v>0.87200467562828754</v>
      </c>
      <c r="E181" s="15">
        <f t="shared" si="30"/>
        <v>0.97381900967558344</v>
      </c>
      <c r="F181" s="16"/>
      <c r="G181" s="16"/>
      <c r="H181" s="16">
        <v>5271</v>
      </c>
      <c r="I181" s="16">
        <f t="shared" si="37"/>
        <v>138</v>
      </c>
      <c r="J181" s="16">
        <v>5133</v>
      </c>
      <c r="K181" s="16">
        <v>4476</v>
      </c>
      <c r="L181" s="16">
        <f t="shared" si="38"/>
        <v>657</v>
      </c>
    </row>
    <row r="182" spans="1:12" s="18" customFormat="1" ht="15" customHeight="1">
      <c r="A182" s="78">
        <v>2007</v>
      </c>
      <c r="B182" s="79" t="s">
        <v>44</v>
      </c>
      <c r="C182" s="15">
        <f t="shared" si="28"/>
        <v>0.80118460019743332</v>
      </c>
      <c r="D182" s="15">
        <f t="shared" si="29"/>
        <v>0.8313870108584307</v>
      </c>
      <c r="E182" s="15">
        <f t="shared" si="30"/>
        <v>0.96367226061204347</v>
      </c>
      <c r="F182" s="16"/>
      <c r="G182" s="16"/>
      <c r="H182" s="16">
        <v>5065</v>
      </c>
      <c r="I182" s="16">
        <f t="shared" si="37"/>
        <v>184</v>
      </c>
      <c r="J182" s="16">
        <v>4881</v>
      </c>
      <c r="K182" s="16">
        <v>4058</v>
      </c>
      <c r="L182" s="16">
        <f t="shared" si="38"/>
        <v>823</v>
      </c>
    </row>
    <row r="183" spans="1:12" s="18" customFormat="1" ht="15" customHeight="1">
      <c r="A183" s="80">
        <v>2007</v>
      </c>
      <c r="B183" s="81" t="s">
        <v>45</v>
      </c>
      <c r="C183" s="15">
        <f t="shared" si="28"/>
        <v>0.80459115917283253</v>
      </c>
      <c r="D183" s="15">
        <f t="shared" si="29"/>
        <v>0.84549441786283897</v>
      </c>
      <c r="E183" s="15">
        <f t="shared" si="30"/>
        <v>0.95162208309618668</v>
      </c>
      <c r="F183" s="16"/>
      <c r="G183" s="16"/>
      <c r="H183" s="16">
        <v>5271</v>
      </c>
      <c r="I183" s="16">
        <f t="shared" si="37"/>
        <v>255</v>
      </c>
      <c r="J183" s="16">
        <v>5016</v>
      </c>
      <c r="K183" s="16">
        <v>4241</v>
      </c>
      <c r="L183" s="16">
        <f t="shared" si="38"/>
        <v>775</v>
      </c>
    </row>
    <row r="184" spans="1:12" s="18" customFormat="1" ht="15" customHeight="1">
      <c r="A184" s="78">
        <v>2007</v>
      </c>
      <c r="B184" s="79" t="s">
        <v>46</v>
      </c>
      <c r="C184" s="15">
        <f t="shared" si="28"/>
        <v>0.82814930015552102</v>
      </c>
      <c r="D184" s="15">
        <f t="shared" si="29"/>
        <v>0.856453558504222</v>
      </c>
      <c r="E184" s="15">
        <f t="shared" si="30"/>
        <v>0.96695178849144636</v>
      </c>
      <c r="F184" s="16"/>
      <c r="G184" s="16"/>
      <c r="H184" s="16">
        <v>5144</v>
      </c>
      <c r="I184" s="16">
        <f t="shared" si="37"/>
        <v>170</v>
      </c>
      <c r="J184" s="16">
        <v>4974</v>
      </c>
      <c r="K184" s="16">
        <v>4260</v>
      </c>
      <c r="L184" s="16">
        <f t="shared" si="38"/>
        <v>714</v>
      </c>
    </row>
    <row r="185" spans="1:12" s="18" customFormat="1" ht="15" customHeight="1">
      <c r="A185" s="80">
        <v>2007</v>
      </c>
      <c r="B185" s="81" t="s">
        <v>47</v>
      </c>
      <c r="C185" s="15">
        <f t="shared" si="28"/>
        <v>0.81282697151714789</v>
      </c>
      <c r="D185" s="15">
        <f t="shared" si="29"/>
        <v>0.8433856051467632</v>
      </c>
      <c r="E185" s="15">
        <f t="shared" si="30"/>
        <v>0.96376671187754315</v>
      </c>
      <c r="F185" s="16"/>
      <c r="G185" s="16"/>
      <c r="H185" s="16">
        <v>5161</v>
      </c>
      <c r="I185" s="16">
        <v>187</v>
      </c>
      <c r="J185" s="16">
        <v>4974</v>
      </c>
      <c r="K185" s="16">
        <v>4195</v>
      </c>
      <c r="L185" s="16">
        <f t="shared" si="38"/>
        <v>779</v>
      </c>
    </row>
    <row r="186" spans="1:12" s="18" customFormat="1" ht="15" customHeight="1">
      <c r="A186" s="78">
        <v>2008</v>
      </c>
      <c r="B186" s="79" t="s">
        <v>36</v>
      </c>
      <c r="C186" s="15">
        <f t="shared" si="28"/>
        <v>0.85221020679188009</v>
      </c>
      <c r="D186" s="15">
        <f t="shared" si="29"/>
        <v>0.88634569850039469</v>
      </c>
      <c r="E186" s="15">
        <f t="shared" si="30"/>
        <v>0.9614873837981408</v>
      </c>
      <c r="F186" s="16"/>
      <c r="G186" s="16"/>
      <c r="H186" s="16">
        <v>5271</v>
      </c>
      <c r="I186" s="16">
        <f>H186-J186</f>
        <v>203</v>
      </c>
      <c r="J186" s="16">
        <v>5068</v>
      </c>
      <c r="K186" s="16">
        <v>4492</v>
      </c>
      <c r="L186" s="16">
        <f t="shared" ref="L186:L197" si="39">J186-K186</f>
        <v>576</v>
      </c>
    </row>
    <row r="187" spans="1:12" s="18" customFormat="1" ht="15" customHeight="1">
      <c r="A187" s="80">
        <v>2008</v>
      </c>
      <c r="B187" s="81" t="s">
        <v>37</v>
      </c>
      <c r="C187" s="15">
        <f t="shared" si="28"/>
        <v>0.81076178960096734</v>
      </c>
      <c r="D187" s="15">
        <f t="shared" si="29"/>
        <v>0.84570107210426737</v>
      </c>
      <c r="E187" s="15">
        <f t="shared" si="30"/>
        <v>0.95868601370415152</v>
      </c>
      <c r="F187" s="16"/>
      <c r="G187" s="16"/>
      <c r="H187" s="16">
        <v>4962</v>
      </c>
      <c r="I187" s="16">
        <f t="shared" ref="I187:I197" si="40">H187-J187</f>
        <v>205</v>
      </c>
      <c r="J187" s="16">
        <v>4757</v>
      </c>
      <c r="K187" s="16">
        <v>4023</v>
      </c>
      <c r="L187" s="16">
        <f t="shared" si="39"/>
        <v>734</v>
      </c>
    </row>
    <row r="188" spans="1:12" s="18" customFormat="1" ht="15" customHeight="1">
      <c r="A188" s="78">
        <v>2008</v>
      </c>
      <c r="B188" s="79" t="s">
        <v>38</v>
      </c>
      <c r="C188" s="15">
        <f t="shared" si="28"/>
        <v>0.857699046135877</v>
      </c>
      <c r="D188" s="15">
        <f t="shared" si="29"/>
        <v>0.87212984956452888</v>
      </c>
      <c r="E188" s="15">
        <f t="shared" si="30"/>
        <v>0.98345337745766015</v>
      </c>
      <c r="F188" s="16"/>
      <c r="G188" s="16"/>
      <c r="H188" s="16">
        <v>5137</v>
      </c>
      <c r="I188" s="16">
        <f t="shared" si="40"/>
        <v>85</v>
      </c>
      <c r="J188" s="16">
        <v>5052</v>
      </c>
      <c r="K188" s="16">
        <v>4406</v>
      </c>
      <c r="L188" s="16">
        <f t="shared" si="39"/>
        <v>646</v>
      </c>
    </row>
    <row r="189" spans="1:12" s="18" customFormat="1" ht="15" customHeight="1">
      <c r="A189" s="80">
        <v>2008</v>
      </c>
      <c r="B189" s="81" t="s">
        <v>39</v>
      </c>
      <c r="C189" s="15">
        <f t="shared" si="28"/>
        <v>0.85911210216906553</v>
      </c>
      <c r="D189" s="15">
        <f t="shared" si="29"/>
        <v>0.88273276400749845</v>
      </c>
      <c r="E189" s="15">
        <f t="shared" si="30"/>
        <v>0.97324143523211026</v>
      </c>
      <c r="F189" s="16"/>
      <c r="G189" s="16"/>
      <c r="H189" s="16">
        <v>4933</v>
      </c>
      <c r="I189" s="16">
        <f t="shared" si="40"/>
        <v>132</v>
      </c>
      <c r="J189" s="16">
        <v>4801</v>
      </c>
      <c r="K189" s="16">
        <v>4238</v>
      </c>
      <c r="L189" s="16">
        <f t="shared" si="39"/>
        <v>563</v>
      </c>
    </row>
    <row r="190" spans="1:12" s="18" customFormat="1" ht="15" customHeight="1">
      <c r="A190" s="78">
        <v>2008</v>
      </c>
      <c r="B190" s="79" t="s">
        <v>40</v>
      </c>
      <c r="C190" s="15">
        <f t="shared" si="28"/>
        <v>0.90274757857284049</v>
      </c>
      <c r="D190" s="15">
        <f t="shared" si="29"/>
        <v>0.91670012043356086</v>
      </c>
      <c r="E190" s="15">
        <f t="shared" si="30"/>
        <v>0.98477960071160309</v>
      </c>
      <c r="F190" s="16"/>
      <c r="G190" s="16"/>
      <c r="H190" s="16">
        <v>5059</v>
      </c>
      <c r="I190" s="16">
        <f t="shared" si="40"/>
        <v>77</v>
      </c>
      <c r="J190" s="16">
        <v>4982</v>
      </c>
      <c r="K190" s="16">
        <v>4567</v>
      </c>
      <c r="L190" s="16">
        <f t="shared" si="39"/>
        <v>415</v>
      </c>
    </row>
    <row r="191" spans="1:12" s="18" customFormat="1" ht="15" customHeight="1">
      <c r="A191" s="80">
        <v>2008</v>
      </c>
      <c r="B191" s="81" t="s">
        <v>41</v>
      </c>
      <c r="C191" s="15">
        <f t="shared" si="28"/>
        <v>0.87711340206185562</v>
      </c>
      <c r="D191" s="15">
        <f t="shared" si="29"/>
        <v>0.90069870844802036</v>
      </c>
      <c r="E191" s="15">
        <f t="shared" si="30"/>
        <v>0.97381443298969073</v>
      </c>
      <c r="F191" s="16"/>
      <c r="G191" s="16"/>
      <c r="H191" s="16">
        <v>4850</v>
      </c>
      <c r="I191" s="16">
        <f t="shared" si="40"/>
        <v>127</v>
      </c>
      <c r="J191" s="16">
        <v>4723</v>
      </c>
      <c r="K191" s="16">
        <v>4254</v>
      </c>
      <c r="L191" s="16">
        <f t="shared" si="39"/>
        <v>469</v>
      </c>
    </row>
    <row r="192" spans="1:12" s="18" customFormat="1" ht="15" customHeight="1">
      <c r="A192" s="78">
        <v>2008</v>
      </c>
      <c r="B192" s="79" t="s">
        <v>42</v>
      </c>
      <c r="C192" s="15">
        <f t="shared" si="28"/>
        <v>0.86916256157635463</v>
      </c>
      <c r="D192" s="15">
        <f t="shared" si="29"/>
        <v>0.89165150596321008</v>
      </c>
      <c r="E192" s="15">
        <f t="shared" si="30"/>
        <v>0.97477832512315266</v>
      </c>
      <c r="F192" s="16"/>
      <c r="G192" s="16"/>
      <c r="H192" s="16">
        <v>5075</v>
      </c>
      <c r="I192" s="16">
        <f t="shared" si="40"/>
        <v>128</v>
      </c>
      <c r="J192" s="16">
        <v>4947</v>
      </c>
      <c r="K192" s="16">
        <v>4411</v>
      </c>
      <c r="L192" s="16">
        <f t="shared" si="39"/>
        <v>536</v>
      </c>
    </row>
    <row r="193" spans="1:12" s="18" customFormat="1" ht="15" customHeight="1">
      <c r="A193" s="80">
        <v>2008</v>
      </c>
      <c r="B193" s="81" t="s">
        <v>43</v>
      </c>
      <c r="C193" s="15">
        <f t="shared" si="28"/>
        <v>0.88418530351437696</v>
      </c>
      <c r="D193" s="15">
        <f t="shared" si="29"/>
        <v>0.90459652706843718</v>
      </c>
      <c r="E193" s="15">
        <f t="shared" si="30"/>
        <v>0.97743610223642174</v>
      </c>
      <c r="F193" s="16"/>
      <c r="G193" s="16"/>
      <c r="H193" s="16">
        <v>5008</v>
      </c>
      <c r="I193" s="16">
        <f t="shared" si="40"/>
        <v>113</v>
      </c>
      <c r="J193" s="16">
        <v>4895</v>
      </c>
      <c r="K193" s="16">
        <v>4428</v>
      </c>
      <c r="L193" s="16">
        <f t="shared" si="39"/>
        <v>467</v>
      </c>
    </row>
    <row r="194" spans="1:12" s="18" customFormat="1" ht="15" customHeight="1">
      <c r="A194" s="78">
        <v>2008</v>
      </c>
      <c r="B194" s="79" t="s">
        <v>44</v>
      </c>
      <c r="C194" s="15">
        <f t="shared" si="28"/>
        <v>0.87903877221324722</v>
      </c>
      <c r="D194" s="15">
        <f t="shared" si="29"/>
        <v>0.91932418162618801</v>
      </c>
      <c r="E194" s="15">
        <f t="shared" si="30"/>
        <v>0.95617932148626816</v>
      </c>
      <c r="F194" s="16"/>
      <c r="G194" s="16"/>
      <c r="H194" s="16">
        <v>4952</v>
      </c>
      <c r="I194" s="16">
        <f t="shared" si="40"/>
        <v>217</v>
      </c>
      <c r="J194" s="16">
        <v>4735</v>
      </c>
      <c r="K194" s="16">
        <v>4353</v>
      </c>
      <c r="L194" s="16">
        <f t="shared" si="39"/>
        <v>382</v>
      </c>
    </row>
    <row r="195" spans="1:12" s="18" customFormat="1" ht="15" customHeight="1">
      <c r="A195" s="80">
        <v>2008</v>
      </c>
      <c r="B195" s="81" t="s">
        <v>45</v>
      </c>
      <c r="C195" s="15">
        <f t="shared" si="28"/>
        <v>0.92157635467980292</v>
      </c>
      <c r="D195" s="15">
        <f t="shared" si="29"/>
        <v>0.934652278177458</v>
      </c>
      <c r="E195" s="15">
        <f t="shared" si="30"/>
        <v>0.98600985221674875</v>
      </c>
      <c r="F195" s="16"/>
      <c r="G195" s="16"/>
      <c r="H195" s="16">
        <v>5075</v>
      </c>
      <c r="I195" s="16">
        <f t="shared" si="40"/>
        <v>71</v>
      </c>
      <c r="J195" s="16">
        <v>5004</v>
      </c>
      <c r="K195" s="16">
        <v>4677</v>
      </c>
      <c r="L195" s="16">
        <f t="shared" si="39"/>
        <v>327</v>
      </c>
    </row>
    <row r="196" spans="1:12" s="18" customFormat="1" ht="15" customHeight="1">
      <c r="A196" s="78">
        <v>2008</v>
      </c>
      <c r="B196" s="79" t="s">
        <v>46</v>
      </c>
      <c r="C196" s="15">
        <f t="shared" si="28"/>
        <v>0.89334698055271233</v>
      </c>
      <c r="D196" s="15">
        <f t="shared" si="29"/>
        <v>0.91068447412353926</v>
      </c>
      <c r="E196" s="15">
        <f t="shared" si="30"/>
        <v>0.98096212896622315</v>
      </c>
      <c r="F196" s="16"/>
      <c r="G196" s="16"/>
      <c r="H196" s="16">
        <v>4885</v>
      </c>
      <c r="I196" s="16">
        <f t="shared" si="40"/>
        <v>93</v>
      </c>
      <c r="J196" s="16">
        <v>4792</v>
      </c>
      <c r="K196" s="16">
        <v>4364</v>
      </c>
      <c r="L196" s="16">
        <f t="shared" si="39"/>
        <v>428</v>
      </c>
    </row>
    <row r="197" spans="1:12" s="18" customFormat="1" ht="15" customHeight="1">
      <c r="A197" s="80">
        <v>2008</v>
      </c>
      <c r="B197" s="81" t="s">
        <v>47</v>
      </c>
      <c r="C197" s="15">
        <f t="shared" si="28"/>
        <v>0.87320859872611467</v>
      </c>
      <c r="D197" s="15">
        <f t="shared" si="29"/>
        <v>0.9030465212021408</v>
      </c>
      <c r="E197" s="15">
        <f t="shared" si="30"/>
        <v>0.96695859872611467</v>
      </c>
      <c r="F197" s="16"/>
      <c r="G197" s="16"/>
      <c r="H197" s="16">
        <v>5024</v>
      </c>
      <c r="I197" s="16">
        <f t="shared" si="40"/>
        <v>166</v>
      </c>
      <c r="J197" s="16">
        <v>4858</v>
      </c>
      <c r="K197" s="16">
        <v>4387</v>
      </c>
      <c r="L197" s="16">
        <f t="shared" si="39"/>
        <v>471</v>
      </c>
    </row>
    <row r="198" spans="1:12" s="18" customFormat="1" ht="15" customHeight="1">
      <c r="A198" s="78">
        <v>2009</v>
      </c>
      <c r="B198" s="79" t="s">
        <v>36</v>
      </c>
      <c r="C198" s="15">
        <f t="shared" si="28"/>
        <v>0.92745601897608221</v>
      </c>
      <c r="D198" s="15">
        <f t="shared" si="29"/>
        <v>0.94807031723580526</v>
      </c>
      <c r="E198" s="15">
        <f t="shared" si="30"/>
        <v>0.9782565724451473</v>
      </c>
      <c r="F198" s="16"/>
      <c r="G198" s="16"/>
      <c r="H198" s="16">
        <v>5059</v>
      </c>
      <c r="I198" s="16">
        <f>H198-J198</f>
        <v>110</v>
      </c>
      <c r="J198" s="16">
        <v>4949</v>
      </c>
      <c r="K198" s="16">
        <v>4692</v>
      </c>
      <c r="L198" s="16">
        <f t="shared" ref="L198:L209" si="41">J198-K198</f>
        <v>257</v>
      </c>
    </row>
    <row r="199" spans="1:12" s="18" customFormat="1" ht="15" customHeight="1">
      <c r="A199" s="80">
        <v>2009</v>
      </c>
      <c r="B199" s="81" t="s">
        <v>37</v>
      </c>
      <c r="C199" s="15">
        <f t="shared" ref="C199:C262" si="42">K199/H199</f>
        <v>0.91550825369244138</v>
      </c>
      <c r="D199" s="15">
        <f t="shared" ref="D199:D262" si="43">K199/J199</f>
        <v>0.92923280423280419</v>
      </c>
      <c r="E199" s="15">
        <f t="shared" ref="E199:E262" si="44">J199/H199</f>
        <v>0.98523023457862724</v>
      </c>
      <c r="F199" s="16"/>
      <c r="G199" s="16"/>
      <c r="H199" s="16">
        <v>4604</v>
      </c>
      <c r="I199" s="16">
        <f t="shared" ref="I199:I209" si="45">H199-J199</f>
        <v>68</v>
      </c>
      <c r="J199" s="16">
        <v>4536</v>
      </c>
      <c r="K199" s="16">
        <v>4215</v>
      </c>
      <c r="L199" s="16">
        <f t="shared" si="41"/>
        <v>321</v>
      </c>
    </row>
    <row r="200" spans="1:12" s="18" customFormat="1" ht="15" customHeight="1">
      <c r="A200" s="78">
        <v>2009</v>
      </c>
      <c r="B200" s="79" t="s">
        <v>38</v>
      </c>
      <c r="C200" s="15">
        <f t="shared" si="42"/>
        <v>0.9140127388535032</v>
      </c>
      <c r="D200" s="15">
        <f t="shared" si="43"/>
        <v>0.92936652499494032</v>
      </c>
      <c r="E200" s="15">
        <f t="shared" si="44"/>
        <v>0.98347929936305734</v>
      </c>
      <c r="F200" s="16"/>
      <c r="G200" s="16"/>
      <c r="H200" s="16">
        <v>5024</v>
      </c>
      <c r="I200" s="16">
        <f t="shared" si="45"/>
        <v>83</v>
      </c>
      <c r="J200" s="16">
        <v>4941</v>
      </c>
      <c r="K200" s="16">
        <v>4592</v>
      </c>
      <c r="L200" s="16">
        <f t="shared" si="41"/>
        <v>349</v>
      </c>
    </row>
    <row r="201" spans="1:12" s="18" customFormat="1" ht="15" customHeight="1">
      <c r="A201" s="80">
        <v>2009</v>
      </c>
      <c r="B201" s="81" t="s">
        <v>39</v>
      </c>
      <c r="C201" s="15">
        <f t="shared" si="42"/>
        <v>0.88577319587628867</v>
      </c>
      <c r="D201" s="15">
        <f t="shared" si="43"/>
        <v>0.91190829972405008</v>
      </c>
      <c r="E201" s="15">
        <f t="shared" si="44"/>
        <v>0.97134020618556705</v>
      </c>
      <c r="F201" s="16"/>
      <c r="G201" s="16"/>
      <c r="H201" s="16">
        <v>4850</v>
      </c>
      <c r="I201" s="16">
        <f t="shared" si="45"/>
        <v>139</v>
      </c>
      <c r="J201" s="16">
        <v>4711</v>
      </c>
      <c r="K201" s="16">
        <v>4296</v>
      </c>
      <c r="L201" s="16">
        <f t="shared" si="41"/>
        <v>415</v>
      </c>
    </row>
    <row r="202" spans="1:12" s="18" customFormat="1" ht="15" customHeight="1">
      <c r="A202" s="78">
        <v>2009</v>
      </c>
      <c r="B202" s="79" t="s">
        <v>40</v>
      </c>
      <c r="C202" s="15">
        <f t="shared" si="42"/>
        <v>0.91002622553964096</v>
      </c>
      <c r="D202" s="15">
        <f t="shared" si="43"/>
        <v>0.92647360854384886</v>
      </c>
      <c r="E202" s="15">
        <f t="shared" si="44"/>
        <v>0.98224732701230588</v>
      </c>
      <c r="F202" s="16"/>
      <c r="G202" s="16"/>
      <c r="H202" s="16">
        <v>4957</v>
      </c>
      <c r="I202" s="16">
        <f t="shared" si="45"/>
        <v>88</v>
      </c>
      <c r="J202" s="16">
        <v>4869</v>
      </c>
      <c r="K202" s="16">
        <v>4511</v>
      </c>
      <c r="L202" s="16">
        <f t="shared" si="41"/>
        <v>358</v>
      </c>
    </row>
    <row r="203" spans="1:12" s="18" customFormat="1" ht="15" customHeight="1">
      <c r="A203" s="80">
        <v>2009</v>
      </c>
      <c r="B203" s="81" t="s">
        <v>41</v>
      </c>
      <c r="C203" s="15">
        <f t="shared" si="42"/>
        <v>0.88107703814510097</v>
      </c>
      <c r="D203" s="15">
        <f t="shared" si="43"/>
        <v>0.89923664122137403</v>
      </c>
      <c r="E203" s="15">
        <f t="shared" si="44"/>
        <v>0.97980553477935672</v>
      </c>
      <c r="F203" s="16"/>
      <c r="G203" s="16"/>
      <c r="H203" s="16">
        <v>5348</v>
      </c>
      <c r="I203" s="16">
        <f t="shared" si="45"/>
        <v>108</v>
      </c>
      <c r="J203" s="16">
        <v>5240</v>
      </c>
      <c r="K203" s="16">
        <v>4712</v>
      </c>
      <c r="L203" s="16">
        <f t="shared" si="41"/>
        <v>528</v>
      </c>
    </row>
    <row r="204" spans="1:12" s="18" customFormat="1" ht="15" customHeight="1">
      <c r="A204" s="78">
        <v>2009</v>
      </c>
      <c r="B204" s="79" t="s">
        <v>42</v>
      </c>
      <c r="C204" s="15">
        <f t="shared" si="42"/>
        <v>0.88113374667847655</v>
      </c>
      <c r="D204" s="15">
        <f t="shared" si="43"/>
        <v>0.90403489640130863</v>
      </c>
      <c r="E204" s="15">
        <f t="shared" si="44"/>
        <v>0.97466784765279013</v>
      </c>
      <c r="F204" s="16"/>
      <c r="G204" s="16"/>
      <c r="H204" s="16">
        <v>5645</v>
      </c>
      <c r="I204" s="16">
        <f t="shared" si="45"/>
        <v>143</v>
      </c>
      <c r="J204" s="16">
        <v>5502</v>
      </c>
      <c r="K204" s="16">
        <v>4974</v>
      </c>
      <c r="L204" s="16">
        <f t="shared" si="41"/>
        <v>528</v>
      </c>
    </row>
    <row r="205" spans="1:12" s="18" customFormat="1" ht="15" customHeight="1">
      <c r="A205" s="80">
        <v>2009</v>
      </c>
      <c r="B205" s="81" t="s">
        <v>43</v>
      </c>
      <c r="C205" s="15">
        <f t="shared" si="42"/>
        <v>0.71085201793721975</v>
      </c>
      <c r="D205" s="15">
        <f t="shared" si="43"/>
        <v>0.74171813587871982</v>
      </c>
      <c r="E205" s="15">
        <f t="shared" si="44"/>
        <v>0.95838565022421529</v>
      </c>
      <c r="F205" s="16"/>
      <c r="G205" s="16"/>
      <c r="H205" s="16">
        <v>5575</v>
      </c>
      <c r="I205" s="16">
        <f t="shared" si="45"/>
        <v>232</v>
      </c>
      <c r="J205" s="16">
        <v>5343</v>
      </c>
      <c r="K205" s="16">
        <v>3963</v>
      </c>
      <c r="L205" s="16">
        <f t="shared" si="41"/>
        <v>1380</v>
      </c>
    </row>
    <row r="206" spans="1:12" s="18" customFormat="1" ht="15" customHeight="1">
      <c r="A206" s="78">
        <v>2009</v>
      </c>
      <c r="B206" s="79" t="s">
        <v>44</v>
      </c>
      <c r="C206" s="15">
        <f t="shared" si="42"/>
        <v>0.76080691642651299</v>
      </c>
      <c r="D206" s="15">
        <f t="shared" si="43"/>
        <v>0.78747203579418346</v>
      </c>
      <c r="E206" s="15">
        <f t="shared" si="44"/>
        <v>0.96613832853025938</v>
      </c>
      <c r="F206" s="16"/>
      <c r="G206" s="16"/>
      <c r="H206" s="16">
        <v>5552</v>
      </c>
      <c r="I206" s="16">
        <f t="shared" si="45"/>
        <v>188</v>
      </c>
      <c r="J206" s="16">
        <v>5364</v>
      </c>
      <c r="K206" s="16">
        <v>4224</v>
      </c>
      <c r="L206" s="16">
        <f t="shared" si="41"/>
        <v>1140</v>
      </c>
    </row>
    <row r="207" spans="1:12" s="18" customFormat="1" ht="15" customHeight="1">
      <c r="A207" s="80">
        <v>2009</v>
      </c>
      <c r="B207" s="81" t="s">
        <v>45</v>
      </c>
      <c r="C207" s="15">
        <f t="shared" si="42"/>
        <v>0.662356067316209</v>
      </c>
      <c r="D207" s="15">
        <f t="shared" si="43"/>
        <v>0.69240740740740736</v>
      </c>
      <c r="E207" s="15">
        <f t="shared" si="44"/>
        <v>0.95659875996457044</v>
      </c>
      <c r="F207" s="16"/>
      <c r="G207" s="16"/>
      <c r="H207" s="16">
        <v>5645</v>
      </c>
      <c r="I207" s="16">
        <f t="shared" si="45"/>
        <v>245</v>
      </c>
      <c r="J207" s="16">
        <v>5400</v>
      </c>
      <c r="K207" s="16">
        <v>3739</v>
      </c>
      <c r="L207" s="16">
        <f t="shared" si="41"/>
        <v>1661</v>
      </c>
    </row>
    <row r="208" spans="1:12" s="18" customFormat="1" ht="15" customHeight="1">
      <c r="A208" s="78">
        <v>2009</v>
      </c>
      <c r="B208" s="79" t="s">
        <v>46</v>
      </c>
      <c r="C208" s="15">
        <f t="shared" si="42"/>
        <v>0.86529347429821368</v>
      </c>
      <c r="D208" s="15">
        <f t="shared" si="43"/>
        <v>0.88152274837511602</v>
      </c>
      <c r="E208" s="15">
        <f t="shared" si="44"/>
        <v>0.98158950054684657</v>
      </c>
      <c r="F208" s="16"/>
      <c r="G208" s="16"/>
      <c r="H208" s="16">
        <v>5486</v>
      </c>
      <c r="I208" s="16">
        <f t="shared" si="45"/>
        <v>101</v>
      </c>
      <c r="J208" s="16">
        <v>5385</v>
      </c>
      <c r="K208" s="16">
        <v>4747</v>
      </c>
      <c r="L208" s="16">
        <f t="shared" si="41"/>
        <v>638</v>
      </c>
    </row>
    <row r="209" spans="1:12" s="18" customFormat="1" ht="15" customHeight="1">
      <c r="A209" s="80">
        <v>2009</v>
      </c>
      <c r="B209" s="81" t="s">
        <v>47</v>
      </c>
      <c r="C209" s="15">
        <f t="shared" si="42"/>
        <v>0.81801994301994307</v>
      </c>
      <c r="D209" s="15">
        <f t="shared" si="43"/>
        <v>0.86630209315481799</v>
      </c>
      <c r="E209" s="15">
        <f t="shared" si="44"/>
        <v>0.94426638176638178</v>
      </c>
      <c r="F209" s="16"/>
      <c r="G209" s="16"/>
      <c r="H209" s="16">
        <v>5616</v>
      </c>
      <c r="I209" s="16">
        <f t="shared" si="45"/>
        <v>313</v>
      </c>
      <c r="J209" s="16">
        <v>5303</v>
      </c>
      <c r="K209" s="16">
        <v>4594</v>
      </c>
      <c r="L209" s="16">
        <f t="shared" si="41"/>
        <v>709</v>
      </c>
    </row>
    <row r="210" spans="1:12" s="18" customFormat="1" ht="15" customHeight="1">
      <c r="A210" s="78">
        <v>2010</v>
      </c>
      <c r="B210" s="79" t="s">
        <v>36</v>
      </c>
      <c r="C210" s="15">
        <f t="shared" si="42"/>
        <v>0.82511210762331844</v>
      </c>
      <c r="D210" s="15">
        <f t="shared" si="43"/>
        <v>0.86776079984908505</v>
      </c>
      <c r="E210" s="15">
        <f t="shared" si="44"/>
        <v>0.95085201793721974</v>
      </c>
      <c r="F210" s="16"/>
      <c r="G210" s="16"/>
      <c r="H210" s="16">
        <v>5575</v>
      </c>
      <c r="I210" s="16">
        <f t="shared" ref="I210:I220" si="46">H210-J210</f>
        <v>274</v>
      </c>
      <c r="J210" s="16">
        <v>5301</v>
      </c>
      <c r="K210" s="16">
        <v>4600</v>
      </c>
      <c r="L210" s="16">
        <f t="shared" ref="L210:L221" si="47">J210-K210</f>
        <v>701</v>
      </c>
    </row>
    <row r="211" spans="1:12" s="18" customFormat="1" ht="15" customHeight="1">
      <c r="A211" s="80">
        <v>2010</v>
      </c>
      <c r="B211" s="81" t="s">
        <v>37</v>
      </c>
      <c r="C211" s="15">
        <f t="shared" si="42"/>
        <v>0.77152831652443754</v>
      </c>
      <c r="D211" s="15">
        <f t="shared" si="43"/>
        <v>0.81432958034800407</v>
      </c>
      <c r="E211" s="15">
        <f t="shared" si="44"/>
        <v>0.94743987587276957</v>
      </c>
      <c r="F211" s="16"/>
      <c r="G211" s="16"/>
      <c r="H211" s="16">
        <v>5156</v>
      </c>
      <c r="I211" s="16">
        <f t="shared" si="46"/>
        <v>271</v>
      </c>
      <c r="J211" s="16">
        <v>4885</v>
      </c>
      <c r="K211" s="16">
        <v>3978</v>
      </c>
      <c r="L211" s="16">
        <f t="shared" si="47"/>
        <v>907</v>
      </c>
    </row>
    <row r="212" spans="1:12" s="18" customFormat="1" ht="15" customHeight="1">
      <c r="A212" s="78">
        <v>2010</v>
      </c>
      <c r="B212" s="79" t="s">
        <v>38</v>
      </c>
      <c r="C212" s="15">
        <f t="shared" si="42"/>
        <v>0.81850158283503338</v>
      </c>
      <c r="D212" s="15">
        <f t="shared" si="43"/>
        <v>0.84973525652729598</v>
      </c>
      <c r="E212" s="15">
        <f t="shared" si="44"/>
        <v>0.96324305311290892</v>
      </c>
      <c r="F212" s="16"/>
      <c r="G212" s="16"/>
      <c r="H212" s="16">
        <v>5686</v>
      </c>
      <c r="I212" s="16">
        <f t="shared" si="46"/>
        <v>209</v>
      </c>
      <c r="J212" s="16">
        <v>5477</v>
      </c>
      <c r="K212" s="16">
        <v>4654</v>
      </c>
      <c r="L212" s="16">
        <f t="shared" si="47"/>
        <v>823</v>
      </c>
    </row>
    <row r="213" spans="1:12" s="18" customFormat="1" ht="15" customHeight="1">
      <c r="A213" s="80">
        <v>2010</v>
      </c>
      <c r="B213" s="81" t="s">
        <v>39</v>
      </c>
      <c r="C213" s="15">
        <f t="shared" si="42"/>
        <v>0.87860422405876948</v>
      </c>
      <c r="D213" s="15">
        <f t="shared" si="43"/>
        <v>0.89958631064309891</v>
      </c>
      <c r="E213" s="15">
        <f t="shared" si="44"/>
        <v>0.97667584940312213</v>
      </c>
      <c r="F213" s="16"/>
      <c r="G213" s="16"/>
      <c r="H213" s="16">
        <v>5445</v>
      </c>
      <c r="I213" s="16">
        <f t="shared" si="46"/>
        <v>127</v>
      </c>
      <c r="J213" s="16">
        <v>5318</v>
      </c>
      <c r="K213" s="16">
        <v>4784</v>
      </c>
      <c r="L213" s="16">
        <f t="shared" si="47"/>
        <v>534</v>
      </c>
    </row>
    <row r="214" spans="1:12" s="18" customFormat="1" ht="15" customHeight="1">
      <c r="A214" s="78">
        <v>2010</v>
      </c>
      <c r="B214" s="79" t="s">
        <v>40</v>
      </c>
      <c r="C214" s="15">
        <f t="shared" si="42"/>
        <v>0.79583637691745801</v>
      </c>
      <c r="D214" s="15">
        <f t="shared" si="43"/>
        <v>0.82678808575222917</v>
      </c>
      <c r="E214" s="15">
        <f t="shared" si="44"/>
        <v>0.962563915266618</v>
      </c>
      <c r="F214" s="16"/>
      <c r="G214" s="16"/>
      <c r="H214" s="16">
        <v>5476</v>
      </c>
      <c r="I214" s="16">
        <f t="shared" si="46"/>
        <v>205</v>
      </c>
      <c r="J214" s="16">
        <v>5271</v>
      </c>
      <c r="K214" s="16">
        <v>4358</v>
      </c>
      <c r="L214" s="16">
        <f t="shared" si="47"/>
        <v>913</v>
      </c>
    </row>
    <row r="215" spans="1:12" s="18" customFormat="1" ht="15" customHeight="1">
      <c r="A215" s="80">
        <v>2010</v>
      </c>
      <c r="B215" s="81" t="s">
        <v>41</v>
      </c>
      <c r="C215" s="15">
        <f t="shared" si="42"/>
        <v>0.82336857455340873</v>
      </c>
      <c r="D215" s="15">
        <f t="shared" si="43"/>
        <v>0.85194266314598266</v>
      </c>
      <c r="E215" s="15">
        <f t="shared" si="44"/>
        <v>0.96646008020415608</v>
      </c>
      <c r="F215" s="16"/>
      <c r="G215" s="16"/>
      <c r="H215" s="16">
        <v>5486</v>
      </c>
      <c r="I215" s="16">
        <f t="shared" si="46"/>
        <v>184</v>
      </c>
      <c r="J215" s="16">
        <v>5302</v>
      </c>
      <c r="K215" s="16">
        <v>4517</v>
      </c>
      <c r="L215" s="16">
        <f t="shared" si="47"/>
        <v>785</v>
      </c>
    </row>
    <row r="216" spans="1:12" s="18" customFormat="1" ht="15" customHeight="1">
      <c r="A216" s="78">
        <v>2010</v>
      </c>
      <c r="B216" s="79" t="s">
        <v>42</v>
      </c>
      <c r="C216" s="15">
        <f t="shared" si="42"/>
        <v>0.83029229406554472</v>
      </c>
      <c r="D216" s="15">
        <f t="shared" si="43"/>
        <v>0.87705838323353291</v>
      </c>
      <c r="E216" s="15">
        <f t="shared" si="44"/>
        <v>0.94667847652790083</v>
      </c>
      <c r="F216" s="16"/>
      <c r="G216" s="16"/>
      <c r="H216" s="16">
        <v>5645</v>
      </c>
      <c r="I216" s="16">
        <f t="shared" si="46"/>
        <v>301</v>
      </c>
      <c r="J216" s="16">
        <v>5344</v>
      </c>
      <c r="K216" s="16">
        <v>4687</v>
      </c>
      <c r="L216" s="16">
        <f t="shared" si="47"/>
        <v>657</v>
      </c>
    </row>
    <row r="217" spans="1:12" s="18" customFormat="1" ht="15" customHeight="1">
      <c r="A217" s="80">
        <v>2010</v>
      </c>
      <c r="B217" s="81" t="s">
        <v>43</v>
      </c>
      <c r="C217" s="15">
        <f t="shared" si="42"/>
        <v>0.80982905982905984</v>
      </c>
      <c r="D217" s="15">
        <f t="shared" si="43"/>
        <v>0.84803281745291814</v>
      </c>
      <c r="E217" s="15">
        <f t="shared" si="44"/>
        <v>0.95495014245014243</v>
      </c>
      <c r="F217" s="16"/>
      <c r="G217" s="16"/>
      <c r="H217" s="16">
        <v>5616</v>
      </c>
      <c r="I217" s="16">
        <f t="shared" si="46"/>
        <v>253</v>
      </c>
      <c r="J217" s="16">
        <v>5363</v>
      </c>
      <c r="K217" s="16">
        <v>4548</v>
      </c>
      <c r="L217" s="16">
        <f t="shared" si="47"/>
        <v>815</v>
      </c>
    </row>
    <row r="218" spans="1:12" s="18" customFormat="1" ht="15" customHeight="1">
      <c r="A218" s="78">
        <v>2010</v>
      </c>
      <c r="B218" s="79" t="s">
        <v>44</v>
      </c>
      <c r="C218" s="15">
        <f t="shared" si="42"/>
        <v>0.80273578113750899</v>
      </c>
      <c r="D218" s="15">
        <f t="shared" si="43"/>
        <v>0.85538933640199466</v>
      </c>
      <c r="E218" s="15">
        <f t="shared" si="44"/>
        <v>0.93844492440604754</v>
      </c>
      <c r="F218" s="16"/>
      <c r="G218" s="16"/>
      <c r="H218" s="16">
        <v>5556</v>
      </c>
      <c r="I218" s="16">
        <f t="shared" si="46"/>
        <v>342</v>
      </c>
      <c r="J218" s="16">
        <v>5214</v>
      </c>
      <c r="K218" s="16">
        <v>4460</v>
      </c>
      <c r="L218" s="16">
        <f t="shared" si="47"/>
        <v>754</v>
      </c>
    </row>
    <row r="219" spans="1:12" s="18" customFormat="1" ht="15" customHeight="1">
      <c r="A219" s="80">
        <v>2010</v>
      </c>
      <c r="B219" s="81" t="s">
        <v>45</v>
      </c>
      <c r="C219" s="15">
        <f t="shared" si="42"/>
        <v>0.88719346049046321</v>
      </c>
      <c r="D219" s="15">
        <f t="shared" si="43"/>
        <v>0.91666666666666663</v>
      </c>
      <c r="E219" s="15">
        <f t="shared" si="44"/>
        <v>0.96784741144414166</v>
      </c>
      <c r="F219" s="16"/>
      <c r="G219" s="16"/>
      <c r="H219" s="16">
        <v>5505</v>
      </c>
      <c r="I219" s="16">
        <f t="shared" si="46"/>
        <v>177</v>
      </c>
      <c r="J219" s="16">
        <v>5328</v>
      </c>
      <c r="K219" s="16">
        <v>4884</v>
      </c>
      <c r="L219" s="16">
        <f t="shared" si="47"/>
        <v>444</v>
      </c>
    </row>
    <row r="220" spans="1:12" s="18" customFormat="1" ht="15" customHeight="1">
      <c r="A220" s="78">
        <v>2010</v>
      </c>
      <c r="B220" s="79" t="s">
        <v>46</v>
      </c>
      <c r="C220" s="15">
        <f t="shared" si="42"/>
        <v>0.84287276704338321</v>
      </c>
      <c r="D220" s="15">
        <f t="shared" si="43"/>
        <v>0.885823754789272</v>
      </c>
      <c r="E220" s="15">
        <f t="shared" si="44"/>
        <v>0.95151294203426906</v>
      </c>
      <c r="F220" s="16"/>
      <c r="G220" s="16"/>
      <c r="H220" s="16">
        <v>5486</v>
      </c>
      <c r="I220" s="16">
        <f t="shared" si="46"/>
        <v>266</v>
      </c>
      <c r="J220" s="16">
        <v>5220</v>
      </c>
      <c r="K220" s="16">
        <v>4624</v>
      </c>
      <c r="L220" s="16">
        <f t="shared" si="47"/>
        <v>596</v>
      </c>
    </row>
    <row r="221" spans="1:12" s="18" customFormat="1" ht="15" customHeight="1">
      <c r="A221" s="80">
        <v>2010</v>
      </c>
      <c r="B221" s="81" t="s">
        <v>47</v>
      </c>
      <c r="C221" s="15">
        <f t="shared" si="42"/>
        <v>0.79713004484304928</v>
      </c>
      <c r="D221" s="15">
        <f t="shared" si="43"/>
        <v>0.87120172515193095</v>
      </c>
      <c r="E221" s="15">
        <f t="shared" si="44"/>
        <v>0.91497757847533634</v>
      </c>
      <c r="F221" s="16"/>
      <c r="G221" s="16"/>
      <c r="H221" s="16">
        <v>5575</v>
      </c>
      <c r="I221" s="16">
        <f>H221-J221</f>
        <v>474</v>
      </c>
      <c r="J221" s="16">
        <v>5101</v>
      </c>
      <c r="K221" s="16">
        <v>4444</v>
      </c>
      <c r="L221" s="16">
        <f t="shared" si="47"/>
        <v>657</v>
      </c>
    </row>
    <row r="222" spans="1:12" s="18" customFormat="1" ht="15" customHeight="1">
      <c r="A222" s="78">
        <v>2011</v>
      </c>
      <c r="B222" s="79" t="s">
        <v>36</v>
      </c>
      <c r="C222" s="15">
        <f t="shared" si="42"/>
        <v>0.7471509971509972</v>
      </c>
      <c r="D222" s="15">
        <f t="shared" si="43"/>
        <v>0.81889149102263858</v>
      </c>
      <c r="E222" s="15">
        <f t="shared" si="44"/>
        <v>0.91239316239316237</v>
      </c>
      <c r="F222" s="16"/>
      <c r="G222" s="16"/>
      <c r="H222" s="16">
        <v>5616</v>
      </c>
      <c r="I222" s="16">
        <f>H222-J222</f>
        <v>492</v>
      </c>
      <c r="J222" s="16">
        <v>5124</v>
      </c>
      <c r="K222" s="16">
        <v>4196</v>
      </c>
      <c r="L222" s="16">
        <f t="shared" ref="L222:L233" si="48">J222-K222</f>
        <v>928</v>
      </c>
    </row>
    <row r="223" spans="1:12" s="18" customFormat="1" ht="15" customHeight="1">
      <c r="A223" s="80">
        <v>2011</v>
      </c>
      <c r="B223" s="81" t="s">
        <v>37</v>
      </c>
      <c r="C223" s="15">
        <f t="shared" si="42"/>
        <v>0.79693560899922422</v>
      </c>
      <c r="D223" s="15">
        <f t="shared" si="43"/>
        <v>0.90129414345251146</v>
      </c>
      <c r="E223" s="15">
        <f t="shared" si="44"/>
        <v>0.88421256788207914</v>
      </c>
      <c r="F223" s="16"/>
      <c r="G223" s="16"/>
      <c r="H223" s="16">
        <v>5156</v>
      </c>
      <c r="I223" s="16">
        <f t="shared" ref="I223:I233" si="49">H223-J223</f>
        <v>597</v>
      </c>
      <c r="J223" s="16">
        <v>4559</v>
      </c>
      <c r="K223" s="16">
        <v>4109</v>
      </c>
      <c r="L223" s="16">
        <f t="shared" si="48"/>
        <v>450</v>
      </c>
    </row>
    <row r="224" spans="1:12" s="18" customFormat="1" ht="15" customHeight="1">
      <c r="A224" s="78">
        <v>2011</v>
      </c>
      <c r="B224" s="79" t="s">
        <v>38</v>
      </c>
      <c r="C224" s="15">
        <f t="shared" si="42"/>
        <v>0.83619430241051862</v>
      </c>
      <c r="D224" s="15">
        <f t="shared" si="43"/>
        <v>0.89398672393596257</v>
      </c>
      <c r="E224" s="15">
        <f t="shared" si="44"/>
        <v>0.93535427319211106</v>
      </c>
      <c r="F224" s="16"/>
      <c r="G224" s="16"/>
      <c r="H224" s="16">
        <v>5476</v>
      </c>
      <c r="I224" s="16">
        <f t="shared" si="49"/>
        <v>354</v>
      </c>
      <c r="J224" s="16">
        <v>5122</v>
      </c>
      <c r="K224" s="16">
        <v>4579</v>
      </c>
      <c r="L224" s="16">
        <f t="shared" si="48"/>
        <v>543</v>
      </c>
    </row>
    <row r="225" spans="1:12" s="18" customFormat="1" ht="15" customHeight="1">
      <c r="A225" s="80">
        <v>2011</v>
      </c>
      <c r="B225" s="81" t="s">
        <v>39</v>
      </c>
      <c r="C225" s="15">
        <f t="shared" si="42"/>
        <v>0.78418604651162793</v>
      </c>
      <c r="D225" s="15">
        <f t="shared" si="43"/>
        <v>0.83747268030995425</v>
      </c>
      <c r="E225" s="15">
        <f t="shared" si="44"/>
        <v>0.93637209302325586</v>
      </c>
      <c r="F225" s="16"/>
      <c r="G225" s="16"/>
      <c r="H225" s="16">
        <v>5375</v>
      </c>
      <c r="I225" s="16">
        <f t="shared" si="49"/>
        <v>342</v>
      </c>
      <c r="J225" s="16">
        <v>5033</v>
      </c>
      <c r="K225" s="16">
        <v>4215</v>
      </c>
      <c r="L225" s="16">
        <f t="shared" si="48"/>
        <v>818</v>
      </c>
    </row>
    <row r="226" spans="1:12" s="18" customFormat="1" ht="15" customHeight="1">
      <c r="A226" s="78">
        <v>2011</v>
      </c>
      <c r="B226" s="79" t="s">
        <v>40</v>
      </c>
      <c r="C226" s="15">
        <f t="shared" si="42"/>
        <v>0.72329059829059827</v>
      </c>
      <c r="D226" s="15">
        <f t="shared" si="43"/>
        <v>0.79976373301831072</v>
      </c>
      <c r="E226" s="15">
        <f t="shared" si="44"/>
        <v>0.90438034188034189</v>
      </c>
      <c r="F226" s="16"/>
      <c r="G226" s="16"/>
      <c r="H226" s="16">
        <v>5616</v>
      </c>
      <c r="I226" s="16">
        <f t="shared" si="49"/>
        <v>537</v>
      </c>
      <c r="J226" s="16">
        <v>5079</v>
      </c>
      <c r="K226" s="16">
        <v>4062</v>
      </c>
      <c r="L226" s="16">
        <f t="shared" si="48"/>
        <v>1017</v>
      </c>
    </row>
    <row r="227" spans="1:12" s="18" customFormat="1" ht="15" customHeight="1">
      <c r="A227" s="80">
        <v>2011</v>
      </c>
      <c r="B227" s="81" t="s">
        <v>41</v>
      </c>
      <c r="C227" s="15">
        <f t="shared" si="42"/>
        <v>0.67936565803864379</v>
      </c>
      <c r="D227" s="15">
        <f t="shared" si="43"/>
        <v>0.74450659208949266</v>
      </c>
      <c r="E227" s="15">
        <f t="shared" si="44"/>
        <v>0.9125045570543201</v>
      </c>
      <c r="F227" s="16"/>
      <c r="G227" s="16"/>
      <c r="H227" s="16">
        <v>5486</v>
      </c>
      <c r="I227" s="16">
        <f t="shared" si="49"/>
        <v>480</v>
      </c>
      <c r="J227" s="16">
        <v>5006</v>
      </c>
      <c r="K227" s="16">
        <v>3727</v>
      </c>
      <c r="L227" s="16">
        <f t="shared" si="48"/>
        <v>1279</v>
      </c>
    </row>
    <row r="228" spans="1:12" s="18" customFormat="1" ht="15" customHeight="1">
      <c r="A228" s="78">
        <v>2011</v>
      </c>
      <c r="B228" s="79" t="s">
        <v>42</v>
      </c>
      <c r="C228" s="15">
        <f t="shared" si="42"/>
        <v>0.66844729344729348</v>
      </c>
      <c r="D228" s="15">
        <f t="shared" si="43"/>
        <v>0.74513695911075828</v>
      </c>
      <c r="E228" s="15">
        <f t="shared" si="44"/>
        <v>0.89707977207977208</v>
      </c>
      <c r="F228" s="16"/>
      <c r="G228" s="16"/>
      <c r="H228" s="16">
        <v>5616</v>
      </c>
      <c r="I228" s="16">
        <f t="shared" si="49"/>
        <v>578</v>
      </c>
      <c r="J228" s="16">
        <v>5038</v>
      </c>
      <c r="K228" s="16">
        <v>3754</v>
      </c>
      <c r="L228" s="16">
        <f t="shared" si="48"/>
        <v>1284</v>
      </c>
    </row>
    <row r="229" spans="1:12" s="18" customFormat="1" ht="15" customHeight="1">
      <c r="A229" s="80">
        <v>2011</v>
      </c>
      <c r="B229" s="81" t="s">
        <v>43</v>
      </c>
      <c r="C229" s="15">
        <f t="shared" si="42"/>
        <v>0.68923672177277528</v>
      </c>
      <c r="D229" s="15">
        <f t="shared" si="43"/>
        <v>0.77313079502860527</v>
      </c>
      <c r="E229" s="15">
        <f t="shared" si="44"/>
        <v>0.89148786493141052</v>
      </c>
      <c r="F229" s="16"/>
      <c r="G229" s="16"/>
      <c r="H229" s="16">
        <v>5686</v>
      </c>
      <c r="I229" s="16">
        <f t="shared" si="49"/>
        <v>617</v>
      </c>
      <c r="J229" s="16">
        <v>5069</v>
      </c>
      <c r="K229" s="16">
        <v>3919</v>
      </c>
      <c r="L229" s="16">
        <f t="shared" si="48"/>
        <v>1150</v>
      </c>
    </row>
    <row r="230" spans="1:12" s="18" customFormat="1" ht="15" customHeight="1">
      <c r="A230" s="78">
        <v>2011</v>
      </c>
      <c r="B230" s="79" t="s">
        <v>44</v>
      </c>
      <c r="C230" s="15">
        <f t="shared" si="42"/>
        <v>0.82073434125269984</v>
      </c>
      <c r="D230" s="15">
        <f t="shared" si="43"/>
        <v>0.8784434598343287</v>
      </c>
      <c r="E230" s="15">
        <f t="shared" si="44"/>
        <v>0.93430525557955368</v>
      </c>
      <c r="F230" s="16"/>
      <c r="G230" s="16"/>
      <c r="H230" s="16">
        <v>5556</v>
      </c>
      <c r="I230" s="16">
        <f t="shared" si="49"/>
        <v>365</v>
      </c>
      <c r="J230" s="16">
        <v>5191</v>
      </c>
      <c r="K230" s="16">
        <v>4560</v>
      </c>
      <c r="L230" s="16">
        <f t="shared" si="48"/>
        <v>631</v>
      </c>
    </row>
    <row r="231" spans="1:12" s="18" customFormat="1" ht="15" customHeight="1">
      <c r="A231" s="80">
        <v>2011</v>
      </c>
      <c r="B231" s="81" t="s">
        <v>45</v>
      </c>
      <c r="C231" s="15">
        <f t="shared" si="42"/>
        <v>0.79946188340807178</v>
      </c>
      <c r="D231" s="15">
        <f t="shared" si="43"/>
        <v>0.87255285826155049</v>
      </c>
      <c r="E231" s="15">
        <f t="shared" si="44"/>
        <v>0.91623318385650221</v>
      </c>
      <c r="F231" s="16"/>
      <c r="G231" s="16"/>
      <c r="H231" s="16">
        <v>5575</v>
      </c>
      <c r="I231" s="16">
        <f t="shared" si="49"/>
        <v>467</v>
      </c>
      <c r="J231" s="16">
        <v>5108</v>
      </c>
      <c r="K231" s="16">
        <v>4457</v>
      </c>
      <c r="L231" s="16">
        <f t="shared" si="48"/>
        <v>651</v>
      </c>
    </row>
    <row r="232" spans="1:12" s="18" customFormat="1" ht="15" customHeight="1">
      <c r="A232" s="78">
        <v>2011</v>
      </c>
      <c r="B232" s="79" t="s">
        <v>46</v>
      </c>
      <c r="C232" s="15">
        <f t="shared" si="42"/>
        <v>0.82063434196135621</v>
      </c>
      <c r="D232" s="15">
        <f t="shared" si="43"/>
        <v>0.88153514783630316</v>
      </c>
      <c r="E232" s="15">
        <f t="shared" si="44"/>
        <v>0.93091505650747353</v>
      </c>
      <c r="F232" s="16"/>
      <c r="G232" s="16"/>
      <c r="H232" s="16">
        <v>5486</v>
      </c>
      <c r="I232" s="16">
        <f t="shared" si="49"/>
        <v>379</v>
      </c>
      <c r="J232" s="16">
        <v>5107</v>
      </c>
      <c r="K232" s="16">
        <v>4502</v>
      </c>
      <c r="L232" s="16">
        <f t="shared" si="48"/>
        <v>605</v>
      </c>
    </row>
    <row r="233" spans="1:12" s="18" customFormat="1" ht="15" customHeight="1">
      <c r="A233" s="80">
        <v>2011</v>
      </c>
      <c r="B233" s="81" t="s">
        <v>47</v>
      </c>
      <c r="C233" s="15">
        <f t="shared" si="42"/>
        <v>0.74708520179372195</v>
      </c>
      <c r="D233" s="15">
        <f t="shared" si="43"/>
        <v>0.84913353720693174</v>
      </c>
      <c r="E233" s="15">
        <f t="shared" si="44"/>
        <v>0.87982062780269055</v>
      </c>
      <c r="F233" s="16"/>
      <c r="G233" s="16"/>
      <c r="H233" s="16">
        <v>5575</v>
      </c>
      <c r="I233" s="16">
        <f t="shared" si="49"/>
        <v>670</v>
      </c>
      <c r="J233" s="16">
        <v>4905</v>
      </c>
      <c r="K233" s="16">
        <v>4165</v>
      </c>
      <c r="L233" s="16">
        <f t="shared" si="48"/>
        <v>740</v>
      </c>
    </row>
    <row r="234" spans="1:12" s="18" customFormat="1" ht="15" customHeight="1">
      <c r="A234" s="78">
        <v>2012</v>
      </c>
      <c r="B234" s="79" t="s">
        <v>36</v>
      </c>
      <c r="C234" s="15">
        <f t="shared" si="42"/>
        <v>0.69591980302497358</v>
      </c>
      <c r="D234" s="15">
        <f t="shared" si="43"/>
        <v>0.81403003497222792</v>
      </c>
      <c r="E234" s="15">
        <f t="shared" si="44"/>
        <v>0.85490678860358771</v>
      </c>
      <c r="F234" s="16"/>
      <c r="G234" s="16"/>
      <c r="H234" s="16">
        <v>5686</v>
      </c>
      <c r="I234" s="16">
        <f t="shared" ref="I234:I245" si="50">H234-J234</f>
        <v>825</v>
      </c>
      <c r="J234" s="16">
        <v>4861</v>
      </c>
      <c r="K234" s="16">
        <v>3957</v>
      </c>
      <c r="L234" s="16">
        <f t="shared" ref="L234:L245" si="51">J234-K234</f>
        <v>904</v>
      </c>
    </row>
    <row r="235" spans="1:12" s="18" customFormat="1" ht="15" customHeight="1">
      <c r="A235" s="80">
        <v>2012</v>
      </c>
      <c r="B235" s="81" t="s">
        <v>37</v>
      </c>
      <c r="C235" s="15">
        <f t="shared" si="42"/>
        <v>0.73416245627671983</v>
      </c>
      <c r="D235" s="15">
        <f t="shared" si="43"/>
        <v>0.7994075327972916</v>
      </c>
      <c r="E235" s="15">
        <f t="shared" si="44"/>
        <v>0.91838321026039638</v>
      </c>
      <c r="F235" s="16"/>
      <c r="G235" s="16"/>
      <c r="H235" s="16">
        <v>5146</v>
      </c>
      <c r="I235" s="16">
        <f t="shared" si="50"/>
        <v>420</v>
      </c>
      <c r="J235" s="16">
        <v>4726</v>
      </c>
      <c r="K235" s="16">
        <v>3778</v>
      </c>
      <c r="L235" s="16">
        <f t="shared" si="51"/>
        <v>948</v>
      </c>
    </row>
    <row r="236" spans="1:12" s="18" customFormat="1" ht="15" customHeight="1">
      <c r="A236" s="78">
        <v>2012</v>
      </c>
      <c r="B236" s="79" t="s">
        <v>38</v>
      </c>
      <c r="C236" s="15">
        <f t="shared" si="42"/>
        <v>0.76873021456208235</v>
      </c>
      <c r="D236" s="15">
        <f t="shared" si="43"/>
        <v>0.83051491544746348</v>
      </c>
      <c r="E236" s="15">
        <f t="shared" si="44"/>
        <v>0.92560675342947596</v>
      </c>
      <c r="F236" s="16"/>
      <c r="G236" s="16"/>
      <c r="H236" s="16">
        <v>5686</v>
      </c>
      <c r="I236" s="16">
        <f t="shared" si="50"/>
        <v>423</v>
      </c>
      <c r="J236" s="16">
        <v>5263</v>
      </c>
      <c r="K236" s="16">
        <v>4371</v>
      </c>
      <c r="L236" s="16">
        <f t="shared" si="51"/>
        <v>892</v>
      </c>
    </row>
    <row r="237" spans="1:12" s="18" customFormat="1" ht="15" customHeight="1">
      <c r="A237" s="80">
        <v>2012</v>
      </c>
      <c r="B237" s="81" t="s">
        <v>39</v>
      </c>
      <c r="C237" s="15">
        <f t="shared" si="42"/>
        <v>0.72932187201528176</v>
      </c>
      <c r="D237" s="15">
        <f t="shared" si="43"/>
        <v>0.80838450137624396</v>
      </c>
      <c r="E237" s="15">
        <f t="shared" si="44"/>
        <v>0.90219675262655208</v>
      </c>
      <c r="F237" s="16"/>
      <c r="G237" s="16"/>
      <c r="H237" s="16">
        <v>5235</v>
      </c>
      <c r="I237" s="16">
        <f t="shared" si="50"/>
        <v>512</v>
      </c>
      <c r="J237" s="16">
        <v>4723</v>
      </c>
      <c r="K237" s="16">
        <v>3818</v>
      </c>
      <c r="L237" s="16">
        <f t="shared" si="51"/>
        <v>905</v>
      </c>
    </row>
    <row r="238" spans="1:12" s="18" customFormat="1" ht="15" customHeight="1">
      <c r="A238" s="78">
        <v>2012</v>
      </c>
      <c r="B238" s="79" t="s">
        <v>40</v>
      </c>
      <c r="C238" s="15">
        <f t="shared" si="42"/>
        <v>0.64316239316239321</v>
      </c>
      <c r="D238" s="15">
        <f t="shared" si="43"/>
        <v>0.70768025078369901</v>
      </c>
      <c r="E238" s="15">
        <f t="shared" si="44"/>
        <v>0.90883190883190879</v>
      </c>
      <c r="F238" s="16"/>
      <c r="G238" s="16"/>
      <c r="H238" s="16">
        <v>5616</v>
      </c>
      <c r="I238" s="16">
        <f t="shared" si="50"/>
        <v>512</v>
      </c>
      <c r="J238" s="16">
        <v>5104</v>
      </c>
      <c r="K238" s="16">
        <v>3612</v>
      </c>
      <c r="L238" s="16">
        <f t="shared" si="51"/>
        <v>1492</v>
      </c>
    </row>
    <row r="239" spans="1:12" s="18" customFormat="1" ht="15" customHeight="1">
      <c r="A239" s="80">
        <v>2012</v>
      </c>
      <c r="B239" s="81" t="s">
        <v>41</v>
      </c>
      <c r="C239" s="15">
        <f t="shared" si="42"/>
        <v>0.77134986225895319</v>
      </c>
      <c r="D239" s="15">
        <f t="shared" si="43"/>
        <v>0.82111436950146632</v>
      </c>
      <c r="E239" s="15">
        <f t="shared" si="44"/>
        <v>0.93939393939393945</v>
      </c>
      <c r="F239" s="16"/>
      <c r="G239" s="16"/>
      <c r="H239" s="16">
        <v>5445</v>
      </c>
      <c r="I239" s="16">
        <f t="shared" si="50"/>
        <v>330</v>
      </c>
      <c r="J239" s="16">
        <v>5115</v>
      </c>
      <c r="K239" s="16">
        <v>4200</v>
      </c>
      <c r="L239" s="16">
        <f t="shared" si="51"/>
        <v>915</v>
      </c>
    </row>
    <row r="240" spans="1:12" s="18" customFormat="1" ht="15" customHeight="1">
      <c r="A240" s="78">
        <v>2012</v>
      </c>
      <c r="B240" s="79" t="s">
        <v>42</v>
      </c>
      <c r="C240" s="15">
        <f t="shared" si="42"/>
        <v>0.75712250712250717</v>
      </c>
      <c r="D240" s="15">
        <f t="shared" si="43"/>
        <v>0.81176021382206953</v>
      </c>
      <c r="E240" s="15">
        <f t="shared" si="44"/>
        <v>0.93269230769230771</v>
      </c>
      <c r="F240" s="16"/>
      <c r="G240" s="16"/>
      <c r="H240" s="16">
        <v>5616</v>
      </c>
      <c r="I240" s="16">
        <f t="shared" si="50"/>
        <v>378</v>
      </c>
      <c r="J240" s="16">
        <v>5238</v>
      </c>
      <c r="K240" s="16">
        <v>4252</v>
      </c>
      <c r="L240" s="16">
        <f t="shared" si="51"/>
        <v>986</v>
      </c>
    </row>
    <row r="241" spans="1:12" s="18" customFormat="1" ht="15" customHeight="1">
      <c r="A241" s="80">
        <v>2012</v>
      </c>
      <c r="B241" s="81" t="s">
        <v>43</v>
      </c>
      <c r="C241" s="15">
        <f t="shared" si="42"/>
        <v>0.79563841013014425</v>
      </c>
      <c r="D241" s="15">
        <f t="shared" si="43"/>
        <v>0.84355771023680781</v>
      </c>
      <c r="E241" s="15">
        <f t="shared" si="44"/>
        <v>0.94319380935631381</v>
      </c>
      <c r="F241" s="16"/>
      <c r="G241" s="16"/>
      <c r="H241" s="16">
        <v>5686</v>
      </c>
      <c r="I241" s="16">
        <f t="shared" si="50"/>
        <v>323</v>
      </c>
      <c r="J241" s="16">
        <v>5363</v>
      </c>
      <c r="K241" s="16">
        <v>4524</v>
      </c>
      <c r="L241" s="16">
        <f t="shared" si="51"/>
        <v>839</v>
      </c>
    </row>
    <row r="242" spans="1:12" s="18" customFormat="1" ht="15" customHeight="1">
      <c r="A242" s="78">
        <v>2012</v>
      </c>
      <c r="B242" s="79" t="s">
        <v>44</v>
      </c>
      <c r="C242" s="15">
        <f t="shared" si="42"/>
        <v>0.84372093023255812</v>
      </c>
      <c r="D242" s="15">
        <f t="shared" si="43"/>
        <v>0.88263915920591673</v>
      </c>
      <c r="E242" s="15">
        <f t="shared" si="44"/>
        <v>0.95590697674418601</v>
      </c>
      <c r="F242" s="16"/>
      <c r="G242" s="16"/>
      <c r="H242" s="16">
        <v>5375</v>
      </c>
      <c r="I242" s="16">
        <f t="shared" si="50"/>
        <v>237</v>
      </c>
      <c r="J242" s="16">
        <v>5138</v>
      </c>
      <c r="K242" s="16">
        <v>4535</v>
      </c>
      <c r="L242" s="16">
        <f t="shared" si="51"/>
        <v>603</v>
      </c>
    </row>
    <row r="243" spans="1:12" s="18" customFormat="1" ht="15" customHeight="1">
      <c r="A243" s="80">
        <v>2012</v>
      </c>
      <c r="B243" s="81" t="s">
        <v>45</v>
      </c>
      <c r="C243" s="15">
        <f t="shared" si="42"/>
        <v>0.84400281392894827</v>
      </c>
      <c r="D243" s="15">
        <f t="shared" si="43"/>
        <v>0.88575119970468807</v>
      </c>
      <c r="E243" s="15">
        <f t="shared" si="44"/>
        <v>0.95286669011607461</v>
      </c>
      <c r="F243" s="16"/>
      <c r="G243" s="16"/>
      <c r="H243" s="16">
        <v>5686</v>
      </c>
      <c r="I243" s="16">
        <f t="shared" si="50"/>
        <v>268</v>
      </c>
      <c r="J243" s="16">
        <v>5418</v>
      </c>
      <c r="K243" s="16">
        <v>4799</v>
      </c>
      <c r="L243" s="16">
        <f t="shared" si="51"/>
        <v>619</v>
      </c>
    </row>
    <row r="244" spans="1:12" s="18" customFormat="1" ht="15" customHeight="1">
      <c r="A244" s="78">
        <v>2012</v>
      </c>
      <c r="B244" s="79" t="s">
        <v>46</v>
      </c>
      <c r="C244" s="15">
        <f t="shared" si="42"/>
        <v>0.79857819905213268</v>
      </c>
      <c r="D244" s="15">
        <f t="shared" si="43"/>
        <v>0.8718407960199005</v>
      </c>
      <c r="E244" s="15">
        <f t="shared" si="44"/>
        <v>0.91596791833758662</v>
      </c>
      <c r="F244" s="16"/>
      <c r="G244" s="16"/>
      <c r="H244" s="16">
        <v>5486</v>
      </c>
      <c r="I244" s="16">
        <f t="shared" si="50"/>
        <v>461</v>
      </c>
      <c r="J244" s="16">
        <v>5025</v>
      </c>
      <c r="K244" s="16">
        <v>4381</v>
      </c>
      <c r="L244" s="16">
        <f t="shared" si="51"/>
        <v>644</v>
      </c>
    </row>
    <row r="245" spans="1:12" s="18" customFormat="1" ht="15" customHeight="1">
      <c r="A245" s="80">
        <v>2012</v>
      </c>
      <c r="B245" s="81" t="s">
        <v>47</v>
      </c>
      <c r="C245" s="15">
        <f t="shared" si="42"/>
        <v>0.79043238270469185</v>
      </c>
      <c r="D245" s="15">
        <f t="shared" si="43"/>
        <v>0.84884410195613513</v>
      </c>
      <c r="E245" s="15">
        <f t="shared" si="44"/>
        <v>0.9311867525298988</v>
      </c>
      <c r="F245" s="16"/>
      <c r="G245" s="16"/>
      <c r="H245" s="16">
        <v>5435</v>
      </c>
      <c r="I245" s="16">
        <f t="shared" si="50"/>
        <v>374</v>
      </c>
      <c r="J245" s="16">
        <v>5061</v>
      </c>
      <c r="K245" s="16">
        <v>4296</v>
      </c>
      <c r="L245" s="16">
        <f t="shared" si="51"/>
        <v>765</v>
      </c>
    </row>
    <row r="246" spans="1:12" s="18" customFormat="1" ht="15" customHeight="1">
      <c r="A246" s="78">
        <v>2013</v>
      </c>
      <c r="B246" s="79" t="s">
        <v>36</v>
      </c>
      <c r="C246" s="15">
        <f t="shared" si="42"/>
        <v>0.82763532763532766</v>
      </c>
      <c r="D246" s="15">
        <f t="shared" si="43"/>
        <v>0.89195931682978313</v>
      </c>
      <c r="E246" s="15">
        <f t="shared" si="44"/>
        <v>0.92788461538461542</v>
      </c>
      <c r="F246" s="16"/>
      <c r="G246" s="16"/>
      <c r="H246" s="16">
        <v>5616</v>
      </c>
      <c r="I246" s="16">
        <f t="shared" ref="I246:I257" si="52">H246-J246</f>
        <v>405</v>
      </c>
      <c r="J246" s="16">
        <v>5211</v>
      </c>
      <c r="K246" s="16">
        <v>4648</v>
      </c>
      <c r="L246" s="16">
        <f t="shared" ref="L246:L257" si="53">J246-K246</f>
        <v>563</v>
      </c>
    </row>
    <row r="247" spans="1:12" s="18" customFormat="1" ht="15" customHeight="1">
      <c r="A247" s="80">
        <v>2013</v>
      </c>
      <c r="B247" s="81" t="s">
        <v>37</v>
      </c>
      <c r="C247" s="15">
        <f t="shared" si="42"/>
        <v>0.8740396279822078</v>
      </c>
      <c r="D247" s="15">
        <f t="shared" si="43"/>
        <v>0.91841937539834284</v>
      </c>
      <c r="E247" s="15">
        <f t="shared" si="44"/>
        <v>0.95167812373635263</v>
      </c>
      <c r="F247" s="16"/>
      <c r="G247" s="16"/>
      <c r="H247" s="16">
        <v>4946</v>
      </c>
      <c r="I247" s="16">
        <f t="shared" si="52"/>
        <v>239</v>
      </c>
      <c r="J247" s="16">
        <v>4707</v>
      </c>
      <c r="K247" s="16">
        <v>4323</v>
      </c>
      <c r="L247" s="16">
        <f t="shared" si="53"/>
        <v>384</v>
      </c>
    </row>
    <row r="248" spans="1:12" s="18" customFormat="1" ht="15" customHeight="1">
      <c r="A248" s="78">
        <v>2013</v>
      </c>
      <c r="B248" s="79" t="s">
        <v>38</v>
      </c>
      <c r="C248" s="15">
        <f t="shared" si="42"/>
        <v>0.83754969280809544</v>
      </c>
      <c r="D248" s="15">
        <f t="shared" si="43"/>
        <v>0.88386727688787181</v>
      </c>
      <c r="E248" s="15">
        <f t="shared" si="44"/>
        <v>0.94759667509938561</v>
      </c>
      <c r="F248" s="16"/>
      <c r="G248" s="16"/>
      <c r="H248" s="16">
        <v>5534</v>
      </c>
      <c r="I248" s="16">
        <f t="shared" si="52"/>
        <v>290</v>
      </c>
      <c r="J248" s="16">
        <v>5244</v>
      </c>
      <c r="K248" s="16">
        <v>4635</v>
      </c>
      <c r="L248" s="16">
        <f t="shared" si="53"/>
        <v>609</v>
      </c>
    </row>
    <row r="249" spans="1:12" s="18" customFormat="1" ht="15" customHeight="1">
      <c r="A249" s="80">
        <v>2013</v>
      </c>
      <c r="B249" s="81" t="s">
        <v>39</v>
      </c>
      <c r="C249" s="15">
        <f t="shared" si="42"/>
        <v>0.77880354505169869</v>
      </c>
      <c r="D249" s="15">
        <f t="shared" si="43"/>
        <v>0.85143318530480416</v>
      </c>
      <c r="E249" s="15">
        <f t="shared" si="44"/>
        <v>0.91469719350073853</v>
      </c>
      <c r="F249" s="16"/>
      <c r="G249" s="16"/>
      <c r="H249" s="16">
        <v>5416</v>
      </c>
      <c r="I249" s="16">
        <f t="shared" si="52"/>
        <v>462</v>
      </c>
      <c r="J249" s="16">
        <v>4954</v>
      </c>
      <c r="K249" s="16">
        <v>4218</v>
      </c>
      <c r="L249" s="16">
        <f t="shared" si="53"/>
        <v>736</v>
      </c>
    </row>
    <row r="250" spans="1:12" s="18" customFormat="1" ht="15" customHeight="1">
      <c r="A250" s="78">
        <v>2013</v>
      </c>
      <c r="B250" s="79" t="s">
        <v>40</v>
      </c>
      <c r="C250" s="15">
        <f t="shared" si="42"/>
        <v>0.72775237425255013</v>
      </c>
      <c r="D250" s="15">
        <f t="shared" si="43"/>
        <v>0.81200941915227631</v>
      </c>
      <c r="E250" s="15">
        <f t="shared" si="44"/>
        <v>0.89623637003165668</v>
      </c>
      <c r="F250" s="16"/>
      <c r="G250" s="16"/>
      <c r="H250" s="16">
        <v>5686</v>
      </c>
      <c r="I250" s="16">
        <f t="shared" si="52"/>
        <v>590</v>
      </c>
      <c r="J250" s="16">
        <v>5096</v>
      </c>
      <c r="K250" s="16">
        <v>4138</v>
      </c>
      <c r="L250" s="16">
        <f t="shared" si="53"/>
        <v>958</v>
      </c>
    </row>
    <row r="251" spans="1:12" s="18" customFormat="1" ht="15" customHeight="1">
      <c r="A251" s="80">
        <v>2013</v>
      </c>
      <c r="B251" s="81" t="s">
        <v>41</v>
      </c>
      <c r="C251" s="15">
        <f t="shared" si="42"/>
        <v>0.74043355325164939</v>
      </c>
      <c r="D251" s="15">
        <f t="shared" si="43"/>
        <v>0.81561461794019929</v>
      </c>
      <c r="E251" s="15">
        <f t="shared" si="44"/>
        <v>0.90782280867106502</v>
      </c>
      <c r="F251" s="16"/>
      <c r="G251" s="16"/>
      <c r="H251" s="16">
        <v>5305</v>
      </c>
      <c r="I251" s="16">
        <f t="shared" si="52"/>
        <v>489</v>
      </c>
      <c r="J251" s="16">
        <v>4816</v>
      </c>
      <c r="K251" s="16">
        <v>3928</v>
      </c>
      <c r="L251" s="16">
        <f t="shared" si="53"/>
        <v>888</v>
      </c>
    </row>
    <row r="252" spans="1:12" s="18" customFormat="1" ht="15" customHeight="1">
      <c r="A252" s="78">
        <v>2013</v>
      </c>
      <c r="B252" s="79" t="s">
        <v>42</v>
      </c>
      <c r="C252" s="15">
        <f t="shared" si="42"/>
        <v>0.65353499824129446</v>
      </c>
      <c r="D252" s="15">
        <f t="shared" si="43"/>
        <v>0.77063459145582747</v>
      </c>
      <c r="E252" s="15">
        <f t="shared" si="44"/>
        <v>0.84804783679212103</v>
      </c>
      <c r="F252" s="16"/>
      <c r="G252" s="16"/>
      <c r="H252" s="16">
        <v>5686</v>
      </c>
      <c r="I252" s="16">
        <f t="shared" si="52"/>
        <v>864</v>
      </c>
      <c r="J252" s="16">
        <v>4822</v>
      </c>
      <c r="K252" s="16">
        <v>3716</v>
      </c>
      <c r="L252" s="16">
        <f t="shared" si="53"/>
        <v>1106</v>
      </c>
    </row>
    <row r="253" spans="1:12" s="18" customFormat="1" ht="15" customHeight="1">
      <c r="A253" s="80">
        <v>2013</v>
      </c>
      <c r="B253" s="81" t="s">
        <v>43</v>
      </c>
      <c r="C253" s="15">
        <f t="shared" si="42"/>
        <v>0.68563839878580912</v>
      </c>
      <c r="D253" s="15">
        <f t="shared" si="43"/>
        <v>0.76535366370182123</v>
      </c>
      <c r="E253" s="15">
        <f t="shared" si="44"/>
        <v>0.89584519066590784</v>
      </c>
      <c r="F253" s="16"/>
      <c r="G253" s="16"/>
      <c r="H253" s="16">
        <v>5271</v>
      </c>
      <c r="I253" s="16">
        <f t="shared" si="52"/>
        <v>549</v>
      </c>
      <c r="J253" s="16">
        <v>4722</v>
      </c>
      <c r="K253" s="16">
        <v>3614</v>
      </c>
      <c r="L253" s="16">
        <f t="shared" si="53"/>
        <v>1108</v>
      </c>
    </row>
    <row r="254" spans="1:12" s="18" customFormat="1" ht="15" customHeight="1">
      <c r="A254" s="78">
        <v>2013</v>
      </c>
      <c r="B254" s="79" t="s">
        <v>44</v>
      </c>
      <c r="C254" s="15">
        <f t="shared" si="42"/>
        <v>0.6796498905908096</v>
      </c>
      <c r="D254" s="15">
        <f t="shared" si="43"/>
        <v>0.74969828626599078</v>
      </c>
      <c r="E254" s="15">
        <f t="shared" si="44"/>
        <v>0.90656455142231951</v>
      </c>
      <c r="F254" s="16"/>
      <c r="G254" s="16"/>
      <c r="H254" s="16">
        <v>4570</v>
      </c>
      <c r="I254" s="16">
        <f t="shared" si="52"/>
        <v>427</v>
      </c>
      <c r="J254" s="16">
        <v>4143</v>
      </c>
      <c r="K254" s="16">
        <v>3106</v>
      </c>
      <c r="L254" s="16">
        <f t="shared" si="53"/>
        <v>1037</v>
      </c>
    </row>
    <row r="255" spans="1:12" s="18" customFormat="1" ht="15" customHeight="1">
      <c r="A255" s="80">
        <v>2013</v>
      </c>
      <c r="B255" s="81" t="s">
        <v>45</v>
      </c>
      <c r="C255" s="15">
        <f t="shared" si="42"/>
        <v>0.67843551797040169</v>
      </c>
      <c r="D255" s="15">
        <f t="shared" si="43"/>
        <v>0.71918422232182877</v>
      </c>
      <c r="E255" s="15">
        <f t="shared" si="44"/>
        <v>0.94334038054968283</v>
      </c>
      <c r="F255" s="16"/>
      <c r="G255" s="16"/>
      <c r="H255" s="16">
        <v>4730</v>
      </c>
      <c r="I255" s="16">
        <f t="shared" si="52"/>
        <v>268</v>
      </c>
      <c r="J255" s="16">
        <v>4462</v>
      </c>
      <c r="K255" s="16">
        <v>3209</v>
      </c>
      <c r="L255" s="16">
        <f t="shared" si="53"/>
        <v>1253</v>
      </c>
    </row>
    <row r="256" spans="1:12" s="18" customFormat="1" ht="15" customHeight="1">
      <c r="A256" s="78">
        <v>2013</v>
      </c>
      <c r="B256" s="79" t="s">
        <v>46</v>
      </c>
      <c r="C256" s="15">
        <f t="shared" si="42"/>
        <v>0.66083150984682715</v>
      </c>
      <c r="D256" s="15">
        <f t="shared" si="43"/>
        <v>0.70908664005635125</v>
      </c>
      <c r="E256" s="15">
        <f t="shared" si="44"/>
        <v>0.93194748358862145</v>
      </c>
      <c r="F256" s="16"/>
      <c r="G256" s="16"/>
      <c r="H256" s="16">
        <v>4570</v>
      </c>
      <c r="I256" s="16">
        <f t="shared" si="52"/>
        <v>311</v>
      </c>
      <c r="J256" s="16">
        <v>4259</v>
      </c>
      <c r="K256" s="16">
        <v>3020</v>
      </c>
      <c r="L256" s="16">
        <f t="shared" si="53"/>
        <v>1239</v>
      </c>
    </row>
    <row r="257" spans="1:13" s="18" customFormat="1" ht="15" customHeight="1">
      <c r="A257" s="80">
        <v>2013</v>
      </c>
      <c r="B257" s="81" t="s">
        <v>47</v>
      </c>
      <c r="C257" s="15">
        <f t="shared" si="42"/>
        <v>0.66567036720751493</v>
      </c>
      <c r="D257" s="15">
        <f t="shared" si="43"/>
        <v>0.72192637184533459</v>
      </c>
      <c r="E257" s="15">
        <f t="shared" si="44"/>
        <v>0.92207514944491886</v>
      </c>
      <c r="F257" s="16"/>
      <c r="G257" s="16"/>
      <c r="H257" s="16">
        <v>4684</v>
      </c>
      <c r="I257" s="16">
        <f t="shared" si="52"/>
        <v>365</v>
      </c>
      <c r="J257" s="16">
        <v>4319</v>
      </c>
      <c r="K257" s="16">
        <v>3118</v>
      </c>
      <c r="L257" s="16">
        <f t="shared" si="53"/>
        <v>1201</v>
      </c>
    </row>
    <row r="258" spans="1:13" s="18" customFormat="1" ht="15" customHeight="1">
      <c r="A258" s="78">
        <v>2014</v>
      </c>
      <c r="B258" s="79" t="s">
        <v>36</v>
      </c>
      <c r="C258" s="15">
        <f t="shared" si="42"/>
        <v>0.75602536997885839</v>
      </c>
      <c r="D258" s="15">
        <f t="shared" si="43"/>
        <v>0.81662480018269012</v>
      </c>
      <c r="E258" s="15">
        <f t="shared" si="44"/>
        <v>0.92579281183932349</v>
      </c>
      <c r="F258" s="16"/>
      <c r="G258" s="16"/>
      <c r="H258" s="16">
        <v>4730</v>
      </c>
      <c r="I258" s="16">
        <f t="shared" ref="I258:I266" si="54">H258-J258</f>
        <v>351</v>
      </c>
      <c r="J258" s="16">
        <v>4379</v>
      </c>
      <c r="K258" s="16">
        <v>3576</v>
      </c>
      <c r="L258" s="16">
        <f t="shared" ref="L258:L269" si="55">J258-K258</f>
        <v>803</v>
      </c>
    </row>
    <row r="259" spans="1:13" s="18" customFormat="1" ht="15" customHeight="1">
      <c r="A259" s="80">
        <v>2014</v>
      </c>
      <c r="B259" s="81" t="s">
        <v>37</v>
      </c>
      <c r="C259" s="15">
        <f t="shared" si="42"/>
        <v>0.73510242085661082</v>
      </c>
      <c r="D259" s="15">
        <f t="shared" si="43"/>
        <v>0.77118437118437122</v>
      </c>
      <c r="E259" s="15">
        <f t="shared" si="44"/>
        <v>0.95321229050279332</v>
      </c>
      <c r="F259" s="16"/>
      <c r="G259" s="16"/>
      <c r="H259" s="16">
        <v>4296</v>
      </c>
      <c r="I259" s="16">
        <f t="shared" si="54"/>
        <v>201</v>
      </c>
      <c r="J259" s="16">
        <v>4095</v>
      </c>
      <c r="K259" s="16">
        <v>3158</v>
      </c>
      <c r="L259" s="16">
        <f t="shared" si="55"/>
        <v>937</v>
      </c>
    </row>
    <row r="260" spans="1:13" s="18" customFormat="1" ht="15" customHeight="1">
      <c r="A260" s="78">
        <v>2014</v>
      </c>
      <c r="B260" s="79" t="s">
        <v>38</v>
      </c>
      <c r="C260" s="15">
        <f t="shared" si="42"/>
        <v>0.6650106458481192</v>
      </c>
      <c r="D260" s="15">
        <f t="shared" si="43"/>
        <v>0.70743676859192151</v>
      </c>
      <c r="E260" s="15">
        <f t="shared" si="44"/>
        <v>0.94002838892831797</v>
      </c>
      <c r="F260" s="16"/>
      <c r="G260" s="16"/>
      <c r="H260" s="16">
        <v>5636</v>
      </c>
      <c r="I260" s="16">
        <f t="shared" si="54"/>
        <v>338</v>
      </c>
      <c r="J260" s="16">
        <v>5298</v>
      </c>
      <c r="K260" s="16">
        <v>3748</v>
      </c>
      <c r="L260" s="16">
        <f t="shared" si="55"/>
        <v>1550</v>
      </c>
    </row>
    <row r="261" spans="1:13" s="18" customFormat="1" ht="15" customHeight="1">
      <c r="A261" s="80">
        <v>2014</v>
      </c>
      <c r="B261" s="81" t="s">
        <v>39</v>
      </c>
      <c r="C261" s="15">
        <f t="shared" si="42"/>
        <v>0.41089787525702537</v>
      </c>
      <c r="D261" s="15">
        <f t="shared" si="43"/>
        <v>0.53706606942889135</v>
      </c>
      <c r="E261" s="15">
        <f t="shared" si="44"/>
        <v>0.76507882111034953</v>
      </c>
      <c r="F261" s="16"/>
      <c r="G261" s="16"/>
      <c r="H261" s="16">
        <v>5836</v>
      </c>
      <c r="I261" s="16">
        <f t="shared" si="54"/>
        <v>1371</v>
      </c>
      <c r="J261" s="16">
        <v>4465</v>
      </c>
      <c r="K261" s="16">
        <v>2398</v>
      </c>
      <c r="L261" s="16">
        <f t="shared" si="55"/>
        <v>2067</v>
      </c>
    </row>
    <row r="262" spans="1:13" s="18" customFormat="1" ht="15" customHeight="1">
      <c r="A262" s="78">
        <v>2014</v>
      </c>
      <c r="B262" s="79" t="s">
        <v>40</v>
      </c>
      <c r="C262" s="15">
        <f t="shared" si="42"/>
        <v>0.49420636380356814</v>
      </c>
      <c r="D262" s="15">
        <f t="shared" si="43"/>
        <v>0.58235804074555697</v>
      </c>
      <c r="E262" s="15">
        <f t="shared" si="44"/>
        <v>0.84862975905830418</v>
      </c>
      <c r="F262" s="16"/>
      <c r="G262" s="16"/>
      <c r="H262" s="16">
        <v>5437</v>
      </c>
      <c r="I262" s="16">
        <f t="shared" si="54"/>
        <v>823</v>
      </c>
      <c r="J262" s="16">
        <v>4614</v>
      </c>
      <c r="K262" s="16">
        <v>2687</v>
      </c>
      <c r="L262" s="16">
        <f t="shared" si="55"/>
        <v>1927</v>
      </c>
      <c r="M262" s="18" t="s">
        <v>72</v>
      </c>
    </row>
    <row r="263" spans="1:13" s="18" customFormat="1" ht="15" customHeight="1">
      <c r="A263" s="80">
        <v>2014</v>
      </c>
      <c r="B263" s="81" t="s">
        <v>41</v>
      </c>
      <c r="C263" s="15">
        <f t="shared" ref="C263:C326" si="56">K263/H263</f>
        <v>0.52949326999208235</v>
      </c>
      <c r="D263" s="15">
        <f t="shared" ref="D263:D326" si="57">K263/J263</f>
        <v>0.59669863930403744</v>
      </c>
      <c r="E263" s="15">
        <f t="shared" ref="E263:E326" si="58">J263/H263</f>
        <v>0.88737133808392721</v>
      </c>
      <c r="F263" s="16"/>
      <c r="G263" s="16"/>
      <c r="H263" s="16">
        <v>5052</v>
      </c>
      <c r="I263" s="16">
        <f t="shared" si="54"/>
        <v>569</v>
      </c>
      <c r="J263" s="16">
        <v>4483</v>
      </c>
      <c r="K263" s="16">
        <v>2675</v>
      </c>
      <c r="L263" s="16">
        <f t="shared" si="55"/>
        <v>1808</v>
      </c>
    </row>
    <row r="264" spans="1:13" s="18" customFormat="1" ht="15" customHeight="1">
      <c r="A264" s="78">
        <v>2014</v>
      </c>
      <c r="B264" s="79" t="s">
        <v>42</v>
      </c>
      <c r="C264" s="15">
        <f t="shared" si="56"/>
        <v>0.53285498489425986</v>
      </c>
      <c r="D264" s="15">
        <f t="shared" si="57"/>
        <v>0.59966000849978751</v>
      </c>
      <c r="E264" s="15">
        <f t="shared" si="58"/>
        <v>0.88859516616314205</v>
      </c>
      <c r="F264" s="16"/>
      <c r="G264" s="16"/>
      <c r="H264" s="16">
        <v>5296</v>
      </c>
      <c r="I264" s="16">
        <f t="shared" si="54"/>
        <v>590</v>
      </c>
      <c r="J264" s="16">
        <v>4706</v>
      </c>
      <c r="K264" s="16">
        <v>2822</v>
      </c>
      <c r="L264" s="16">
        <f t="shared" si="55"/>
        <v>1884</v>
      </c>
    </row>
    <row r="265" spans="1:13" s="18" customFormat="1" ht="15" customHeight="1">
      <c r="A265" s="80">
        <v>2014</v>
      </c>
      <c r="B265" s="81" t="s">
        <v>43</v>
      </c>
      <c r="C265" s="15">
        <f t="shared" si="56"/>
        <v>0.70477290223248656</v>
      </c>
      <c r="D265" s="15">
        <f t="shared" si="57"/>
        <v>0.77322635135135132</v>
      </c>
      <c r="E265" s="15">
        <f t="shared" si="58"/>
        <v>0.91147036181678209</v>
      </c>
      <c r="F265" s="16"/>
      <c r="G265" s="16"/>
      <c r="H265" s="16">
        <v>5196</v>
      </c>
      <c r="I265" s="16">
        <f t="shared" si="54"/>
        <v>460</v>
      </c>
      <c r="J265" s="16">
        <v>4736</v>
      </c>
      <c r="K265" s="16">
        <v>3662</v>
      </c>
      <c r="L265" s="16">
        <f t="shared" si="55"/>
        <v>1074</v>
      </c>
    </row>
    <row r="266" spans="1:13" s="18" customFormat="1" ht="15" customHeight="1">
      <c r="A266" s="78">
        <v>2014</v>
      </c>
      <c r="B266" s="79" t="s">
        <v>44</v>
      </c>
      <c r="C266" s="15">
        <f t="shared" si="56"/>
        <v>0.76632970451010884</v>
      </c>
      <c r="D266" s="15">
        <f t="shared" si="57"/>
        <v>0.7928399034593725</v>
      </c>
      <c r="E266" s="15">
        <f t="shared" si="58"/>
        <v>0.96656298600311041</v>
      </c>
      <c r="F266" s="16"/>
      <c r="G266" s="16"/>
      <c r="H266" s="16">
        <v>5144</v>
      </c>
      <c r="I266" s="16">
        <f t="shared" si="54"/>
        <v>172</v>
      </c>
      <c r="J266" s="16">
        <v>4972</v>
      </c>
      <c r="K266" s="16">
        <v>3942</v>
      </c>
      <c r="L266" s="16">
        <f t="shared" si="55"/>
        <v>1030</v>
      </c>
    </row>
    <row r="267" spans="1:13" s="18" customFormat="1" ht="15" customHeight="1">
      <c r="A267" s="80">
        <v>2014</v>
      </c>
      <c r="B267" s="81" t="s">
        <v>45</v>
      </c>
      <c r="C267" s="15">
        <f t="shared" si="56"/>
        <v>0.78593155893536126</v>
      </c>
      <c r="D267" s="15">
        <f t="shared" si="57"/>
        <v>0.80979431929480905</v>
      </c>
      <c r="E267" s="15">
        <f t="shared" si="58"/>
        <v>0.97053231939163498</v>
      </c>
      <c r="F267" s="16"/>
      <c r="G267" s="16"/>
      <c r="H267" s="16">
        <v>5260</v>
      </c>
      <c r="I267" s="16">
        <f>H267-J267</f>
        <v>155</v>
      </c>
      <c r="J267" s="16">
        <v>5105</v>
      </c>
      <c r="K267" s="16">
        <v>4134</v>
      </c>
      <c r="L267" s="16">
        <f t="shared" si="55"/>
        <v>971</v>
      </c>
    </row>
    <row r="268" spans="1:13" s="18" customFormat="1" ht="15" customHeight="1">
      <c r="A268" s="78">
        <v>2014</v>
      </c>
      <c r="B268" s="79" t="s">
        <v>46</v>
      </c>
      <c r="C268" s="15">
        <f t="shared" si="56"/>
        <v>0.77232854864433809</v>
      </c>
      <c r="D268" s="15">
        <f t="shared" si="57"/>
        <v>0.80290155440414512</v>
      </c>
      <c r="E268" s="15">
        <f t="shared" si="58"/>
        <v>0.96192185007974484</v>
      </c>
      <c r="F268" s="16"/>
      <c r="G268" s="16"/>
      <c r="H268" s="16">
        <v>5016</v>
      </c>
      <c r="I268" s="16">
        <f>H268-J268</f>
        <v>191</v>
      </c>
      <c r="J268" s="16">
        <v>4825</v>
      </c>
      <c r="K268" s="16">
        <v>3874</v>
      </c>
      <c r="L268" s="16">
        <f t="shared" si="55"/>
        <v>951</v>
      </c>
    </row>
    <row r="269" spans="1:13" s="18" customFormat="1" ht="15" customHeight="1">
      <c r="A269" s="80">
        <v>2014</v>
      </c>
      <c r="B269" s="81" t="s">
        <v>47</v>
      </c>
      <c r="C269" s="15">
        <f t="shared" si="56"/>
        <v>0.75487139516757595</v>
      </c>
      <c r="D269" s="15">
        <f t="shared" si="57"/>
        <v>0.82478177560144772</v>
      </c>
      <c r="E269" s="15">
        <f t="shared" si="58"/>
        <v>0.9152377240841777</v>
      </c>
      <c r="F269" s="16"/>
      <c r="G269" s="16"/>
      <c r="H269" s="16">
        <v>5132</v>
      </c>
      <c r="I269" s="16">
        <f>H269-J269</f>
        <v>435</v>
      </c>
      <c r="J269" s="16">
        <v>4697</v>
      </c>
      <c r="K269" s="16">
        <v>3874</v>
      </c>
      <c r="L269" s="16">
        <f t="shared" si="55"/>
        <v>823</v>
      </c>
    </row>
    <row r="270" spans="1:13" s="18" customFormat="1" ht="15" customHeight="1">
      <c r="A270" s="78">
        <v>2015</v>
      </c>
      <c r="B270" s="79" t="s">
        <v>36</v>
      </c>
      <c r="C270" s="15">
        <f t="shared" si="56"/>
        <v>0.80950570342205319</v>
      </c>
      <c r="D270" s="15">
        <f t="shared" si="57"/>
        <v>0.86246708527445815</v>
      </c>
      <c r="E270" s="15">
        <f t="shared" si="58"/>
        <v>0.93859315589353609</v>
      </c>
      <c r="F270" s="16"/>
      <c r="G270" s="16"/>
      <c r="H270" s="16">
        <v>5260</v>
      </c>
      <c r="I270" s="16">
        <f>+H270-J270</f>
        <v>323</v>
      </c>
      <c r="J270" s="16">
        <v>4937</v>
      </c>
      <c r="K270" s="16">
        <v>4258</v>
      </c>
      <c r="L270" s="16">
        <f t="shared" ref="L270:L281" si="59">J270-K270</f>
        <v>679</v>
      </c>
    </row>
    <row r="271" spans="1:13" s="18" customFormat="1" ht="15" customHeight="1">
      <c r="A271" s="80">
        <v>2015</v>
      </c>
      <c r="B271" s="81" t="s">
        <v>37</v>
      </c>
      <c r="C271" s="15">
        <f t="shared" si="56"/>
        <v>0.83805841924398627</v>
      </c>
      <c r="D271" s="15">
        <f t="shared" si="57"/>
        <v>0.85947136563876647</v>
      </c>
      <c r="E271" s="15">
        <f t="shared" si="58"/>
        <v>0.97508591065292094</v>
      </c>
      <c r="F271" s="16"/>
      <c r="G271" s="16"/>
      <c r="H271" s="16">
        <v>4656</v>
      </c>
      <c r="I271" s="16">
        <f t="shared" ref="I271:I281" si="60">H271-J271</f>
        <v>116</v>
      </c>
      <c r="J271" s="16">
        <v>4540</v>
      </c>
      <c r="K271" s="16">
        <v>3902</v>
      </c>
      <c r="L271" s="16">
        <f t="shared" si="59"/>
        <v>638</v>
      </c>
    </row>
    <row r="272" spans="1:13" s="18" customFormat="1" ht="15" customHeight="1">
      <c r="A272" s="78">
        <v>2015</v>
      </c>
      <c r="B272" s="79" t="s">
        <v>38</v>
      </c>
      <c r="C272" s="15">
        <f t="shared" si="56"/>
        <v>0.72642244738893214</v>
      </c>
      <c r="D272" s="15">
        <f t="shared" si="57"/>
        <v>0.77731442869057543</v>
      </c>
      <c r="E272" s="15">
        <f t="shared" si="58"/>
        <v>0.93452844894777864</v>
      </c>
      <c r="F272" s="16"/>
      <c r="G272" s="16"/>
      <c r="H272" s="16">
        <v>5132</v>
      </c>
      <c r="I272" s="16">
        <f t="shared" si="60"/>
        <v>336</v>
      </c>
      <c r="J272" s="16">
        <v>4796</v>
      </c>
      <c r="K272" s="16">
        <v>3728</v>
      </c>
      <c r="L272" s="16">
        <f t="shared" si="59"/>
        <v>1068</v>
      </c>
    </row>
    <row r="273" spans="1:12" s="18" customFormat="1" ht="15" customHeight="1">
      <c r="A273" s="80">
        <v>2015</v>
      </c>
      <c r="B273" s="81" t="s">
        <v>39</v>
      </c>
      <c r="C273" s="15">
        <f t="shared" si="56"/>
        <v>0.76535087719298245</v>
      </c>
      <c r="D273" s="15">
        <f t="shared" si="57"/>
        <v>0.79301797149349307</v>
      </c>
      <c r="E273" s="15">
        <f t="shared" si="58"/>
        <v>0.9651116427432217</v>
      </c>
      <c r="F273" s="16"/>
      <c r="G273" s="16"/>
      <c r="H273" s="16">
        <v>5016</v>
      </c>
      <c r="I273" s="16">
        <f t="shared" si="60"/>
        <v>175</v>
      </c>
      <c r="J273" s="16">
        <v>4841</v>
      </c>
      <c r="K273" s="16">
        <v>3839</v>
      </c>
      <c r="L273" s="16">
        <f t="shared" si="59"/>
        <v>1002</v>
      </c>
    </row>
    <row r="274" spans="1:12" s="18" customFormat="1" ht="15" customHeight="1">
      <c r="A274" s="78">
        <v>2015</v>
      </c>
      <c r="B274" s="79" t="s">
        <v>40</v>
      </c>
      <c r="C274" s="15">
        <f t="shared" si="56"/>
        <v>0.74142634450506628</v>
      </c>
      <c r="D274" s="15">
        <f t="shared" si="57"/>
        <v>0.79155398377366337</v>
      </c>
      <c r="E274" s="15">
        <f t="shared" si="58"/>
        <v>0.93667186282151205</v>
      </c>
      <c r="F274" s="16"/>
      <c r="G274" s="16"/>
      <c r="H274" s="16">
        <v>5132</v>
      </c>
      <c r="I274" s="16">
        <f t="shared" si="60"/>
        <v>325</v>
      </c>
      <c r="J274" s="16">
        <v>4807</v>
      </c>
      <c r="K274" s="16">
        <v>3805</v>
      </c>
      <c r="L274" s="16">
        <f t="shared" si="59"/>
        <v>1002</v>
      </c>
    </row>
    <row r="275" spans="1:12" s="18" customFormat="1" ht="15" customHeight="1">
      <c r="A275" s="80">
        <v>2015</v>
      </c>
      <c r="B275" s="81" t="s">
        <v>41</v>
      </c>
      <c r="C275" s="15">
        <f t="shared" si="56"/>
        <v>0.7488188976377953</v>
      </c>
      <c r="D275" s="15">
        <f t="shared" si="57"/>
        <v>0.82177576150356446</v>
      </c>
      <c r="E275" s="15">
        <f t="shared" si="58"/>
        <v>0.91122047244094484</v>
      </c>
      <c r="F275" s="16"/>
      <c r="G275" s="16"/>
      <c r="H275" s="16">
        <v>5080</v>
      </c>
      <c r="I275" s="16">
        <f t="shared" si="60"/>
        <v>451</v>
      </c>
      <c r="J275" s="16">
        <v>4629</v>
      </c>
      <c r="K275" s="16">
        <v>3804</v>
      </c>
      <c r="L275" s="16">
        <f t="shared" si="59"/>
        <v>825</v>
      </c>
    </row>
    <row r="276" spans="1:12" s="18" customFormat="1" ht="15" customHeight="1">
      <c r="A276" s="78">
        <v>2015</v>
      </c>
      <c r="B276" s="79" t="s">
        <v>42</v>
      </c>
      <c r="C276" s="15">
        <f t="shared" si="56"/>
        <v>0.81711026615969584</v>
      </c>
      <c r="D276" s="15">
        <f t="shared" si="57"/>
        <v>0.85159500693481271</v>
      </c>
      <c r="E276" s="15">
        <f t="shared" si="58"/>
        <v>0.95950570342205321</v>
      </c>
      <c r="F276" s="16"/>
      <c r="G276" s="16"/>
      <c r="H276" s="16">
        <v>5260</v>
      </c>
      <c r="I276" s="16">
        <f t="shared" si="60"/>
        <v>213</v>
      </c>
      <c r="J276" s="16">
        <v>5047</v>
      </c>
      <c r="K276" s="16">
        <v>4298</v>
      </c>
      <c r="L276" s="16">
        <f t="shared" si="59"/>
        <v>749</v>
      </c>
    </row>
    <row r="277" spans="1:12" s="18" customFormat="1" ht="15" customHeight="1">
      <c r="A277" s="80">
        <v>2015</v>
      </c>
      <c r="B277" s="81" t="s">
        <v>43</v>
      </c>
      <c r="C277" s="15">
        <f t="shared" si="56"/>
        <v>0.83647919876733434</v>
      </c>
      <c r="D277" s="15">
        <f t="shared" si="57"/>
        <v>0.85290652003142187</v>
      </c>
      <c r="E277" s="15">
        <f t="shared" si="58"/>
        <v>0.98073959938366717</v>
      </c>
      <c r="F277" s="16"/>
      <c r="G277" s="16"/>
      <c r="H277" s="16">
        <v>5192</v>
      </c>
      <c r="I277" s="16">
        <f t="shared" si="60"/>
        <v>100</v>
      </c>
      <c r="J277" s="16">
        <v>5092</v>
      </c>
      <c r="K277" s="16">
        <v>4343</v>
      </c>
      <c r="L277" s="16">
        <f t="shared" si="59"/>
        <v>749</v>
      </c>
    </row>
    <row r="278" spans="1:12" s="18" customFormat="1" ht="15" customHeight="1">
      <c r="A278" s="78">
        <v>2015</v>
      </c>
      <c r="B278" s="79" t="s">
        <v>44</v>
      </c>
      <c r="C278" s="15">
        <f t="shared" si="56"/>
        <v>0.90007776049766719</v>
      </c>
      <c r="D278" s="15">
        <f t="shared" si="57"/>
        <v>0.9179222839016653</v>
      </c>
      <c r="E278" s="15">
        <f t="shared" si="58"/>
        <v>0.98055987558320368</v>
      </c>
      <c r="F278" s="16"/>
      <c r="G278" s="16"/>
      <c r="H278" s="16">
        <v>5144</v>
      </c>
      <c r="I278" s="16">
        <f t="shared" si="60"/>
        <v>100</v>
      </c>
      <c r="J278" s="16">
        <v>5044</v>
      </c>
      <c r="K278" s="16">
        <v>4630</v>
      </c>
      <c r="L278" s="16">
        <f t="shared" si="59"/>
        <v>414</v>
      </c>
    </row>
    <row r="279" spans="1:12" s="18" customFormat="1" ht="15" customHeight="1">
      <c r="A279" s="80">
        <v>2015</v>
      </c>
      <c r="B279" s="81" t="s">
        <v>45</v>
      </c>
      <c r="C279" s="15">
        <f t="shared" si="56"/>
        <v>0.9226224509243377</v>
      </c>
      <c r="D279" s="15">
        <f t="shared" si="57"/>
        <v>0.93491695635380456</v>
      </c>
      <c r="E279" s="15">
        <f t="shared" si="58"/>
        <v>0.98684962835906231</v>
      </c>
      <c r="F279" s="16"/>
      <c r="G279" s="16"/>
      <c r="H279" s="16">
        <v>5247</v>
      </c>
      <c r="I279" s="16">
        <f t="shared" si="60"/>
        <v>69</v>
      </c>
      <c r="J279" s="16">
        <v>5178</v>
      </c>
      <c r="K279" s="16">
        <v>4841</v>
      </c>
      <c r="L279" s="16">
        <f t="shared" si="59"/>
        <v>337</v>
      </c>
    </row>
    <row r="280" spans="1:12" s="18" customFormat="1" ht="15" customHeight="1">
      <c r="A280" s="78">
        <v>2015</v>
      </c>
      <c r="B280" s="79" t="s">
        <v>46</v>
      </c>
      <c r="C280" s="15">
        <f t="shared" si="56"/>
        <v>0.8422540900828116</v>
      </c>
      <c r="D280" s="15">
        <f t="shared" si="57"/>
        <v>0.86838817159516868</v>
      </c>
      <c r="E280" s="15">
        <f t="shared" si="58"/>
        <v>0.96990506968289236</v>
      </c>
      <c r="F280" s="16"/>
      <c r="G280" s="16"/>
      <c r="H280" s="16">
        <v>4951</v>
      </c>
      <c r="I280" s="16">
        <f t="shared" si="60"/>
        <v>149</v>
      </c>
      <c r="J280" s="16">
        <v>4802</v>
      </c>
      <c r="K280" s="16">
        <v>4170</v>
      </c>
      <c r="L280" s="16">
        <f t="shared" si="59"/>
        <v>632</v>
      </c>
    </row>
    <row r="281" spans="1:12" s="18" customFormat="1" ht="15" customHeight="1">
      <c r="A281" s="80">
        <v>2015</v>
      </c>
      <c r="B281" s="81" t="s">
        <v>47</v>
      </c>
      <c r="C281" s="15">
        <f t="shared" si="56"/>
        <v>0.77391643889105821</v>
      </c>
      <c r="D281" s="15">
        <f t="shared" si="57"/>
        <v>0.81900826446280994</v>
      </c>
      <c r="E281" s="15">
        <f t="shared" si="58"/>
        <v>0.94494338149160484</v>
      </c>
      <c r="F281" s="16"/>
      <c r="G281" s="16"/>
      <c r="H281" s="16">
        <v>5122</v>
      </c>
      <c r="I281" s="16">
        <f t="shared" si="60"/>
        <v>282</v>
      </c>
      <c r="J281" s="16">
        <v>4840</v>
      </c>
      <c r="K281" s="16">
        <v>3964</v>
      </c>
      <c r="L281" s="16">
        <f t="shared" si="59"/>
        <v>876</v>
      </c>
    </row>
    <row r="282" spans="1:12" s="18" customFormat="1" ht="15" customHeight="1">
      <c r="A282" s="78">
        <v>2016</v>
      </c>
      <c r="B282" s="79" t="s">
        <v>36</v>
      </c>
      <c r="C282" s="15">
        <f t="shared" si="56"/>
        <v>0.76230932612473445</v>
      </c>
      <c r="D282" s="15">
        <f t="shared" si="57"/>
        <v>0.79741466370430214</v>
      </c>
      <c r="E282" s="15">
        <f t="shared" si="58"/>
        <v>0.95597605715389067</v>
      </c>
      <c r="F282" s="16"/>
      <c r="G282" s="16"/>
      <c r="H282" s="16">
        <v>5179</v>
      </c>
      <c r="I282" s="16">
        <f>+H282-J282</f>
        <v>228</v>
      </c>
      <c r="J282" s="16">
        <v>4951</v>
      </c>
      <c r="K282" s="16">
        <v>3948</v>
      </c>
      <c r="L282" s="16">
        <f t="shared" ref="L282:L293" si="61">J282-K282</f>
        <v>1003</v>
      </c>
    </row>
    <row r="283" spans="1:12" s="18" customFormat="1" ht="15" customHeight="1">
      <c r="A283" s="80">
        <v>2016</v>
      </c>
      <c r="B283" s="81" t="s">
        <v>37</v>
      </c>
      <c r="C283" s="15">
        <f t="shared" si="56"/>
        <v>0.85661002900953165</v>
      </c>
      <c r="D283" s="15">
        <f t="shared" si="57"/>
        <v>0.89499891751461358</v>
      </c>
      <c r="E283" s="15">
        <f t="shared" si="58"/>
        <v>0.95710733526730207</v>
      </c>
      <c r="F283" s="16"/>
      <c r="G283" s="16"/>
      <c r="H283" s="16">
        <v>4826</v>
      </c>
      <c r="I283" s="16">
        <f t="shared" ref="I283:I293" si="62">H283-J283</f>
        <v>207</v>
      </c>
      <c r="J283" s="16">
        <v>4619</v>
      </c>
      <c r="K283" s="16">
        <v>4134</v>
      </c>
      <c r="L283" s="16">
        <f t="shared" si="61"/>
        <v>485</v>
      </c>
    </row>
    <row r="284" spans="1:12" s="18" customFormat="1" ht="15" customHeight="1">
      <c r="A284" s="78">
        <v>2016</v>
      </c>
      <c r="B284" s="79" t="s">
        <v>38</v>
      </c>
      <c r="C284" s="15">
        <f t="shared" si="56"/>
        <v>0.88265895953757223</v>
      </c>
      <c r="D284" s="15">
        <f t="shared" si="57"/>
        <v>0.90892857142857142</v>
      </c>
      <c r="E284" s="15">
        <f t="shared" si="58"/>
        <v>0.97109826589595372</v>
      </c>
      <c r="F284" s="16"/>
      <c r="G284" s="16"/>
      <c r="H284" s="16">
        <v>5190</v>
      </c>
      <c r="I284" s="16">
        <f t="shared" si="62"/>
        <v>150</v>
      </c>
      <c r="J284" s="16">
        <v>5040</v>
      </c>
      <c r="K284" s="16">
        <v>4581</v>
      </c>
      <c r="L284" s="16">
        <f t="shared" si="61"/>
        <v>459</v>
      </c>
    </row>
    <row r="285" spans="1:12" s="18" customFormat="1" ht="15" customHeight="1">
      <c r="A285" s="80">
        <v>2016</v>
      </c>
      <c r="B285" s="81" t="s">
        <v>39</v>
      </c>
      <c r="C285" s="15">
        <f t="shared" si="56"/>
        <v>0.78762805358550037</v>
      </c>
      <c r="D285" s="15">
        <f t="shared" si="57"/>
        <v>0.81909444785904528</v>
      </c>
      <c r="E285" s="15">
        <f t="shared" si="58"/>
        <v>0.96158392434988182</v>
      </c>
      <c r="F285" s="16"/>
      <c r="G285" s="16"/>
      <c r="H285" s="16">
        <v>5076</v>
      </c>
      <c r="I285" s="16">
        <f t="shared" si="62"/>
        <v>195</v>
      </c>
      <c r="J285" s="16">
        <v>4881</v>
      </c>
      <c r="K285" s="16">
        <v>3998</v>
      </c>
      <c r="L285" s="16">
        <f t="shared" si="61"/>
        <v>883</v>
      </c>
    </row>
    <row r="286" spans="1:12" s="18" customFormat="1" ht="15" customHeight="1">
      <c r="A286" s="78">
        <v>2016</v>
      </c>
      <c r="B286" s="79" t="s">
        <v>40</v>
      </c>
      <c r="C286" s="15">
        <f t="shared" si="56"/>
        <v>0.70019267822736031</v>
      </c>
      <c r="D286" s="15">
        <f t="shared" si="57"/>
        <v>0.7313342724894345</v>
      </c>
      <c r="E286" s="15">
        <f t="shared" si="58"/>
        <v>0.95741811175337188</v>
      </c>
      <c r="F286" s="16"/>
      <c r="G286" s="16"/>
      <c r="H286" s="16">
        <v>5190</v>
      </c>
      <c r="I286" s="16">
        <f t="shared" si="62"/>
        <v>221</v>
      </c>
      <c r="J286" s="16">
        <v>4969</v>
      </c>
      <c r="K286" s="16">
        <v>3634</v>
      </c>
      <c r="L286" s="16">
        <f t="shared" si="61"/>
        <v>1335</v>
      </c>
    </row>
    <row r="287" spans="1:12" s="18" customFormat="1" ht="15" customHeight="1">
      <c r="A287" s="80">
        <v>2016</v>
      </c>
      <c r="B287" s="81" t="s">
        <v>41</v>
      </c>
      <c r="C287" s="15">
        <f t="shared" si="56"/>
        <v>0.80011980830670926</v>
      </c>
      <c r="D287" s="15">
        <f t="shared" si="57"/>
        <v>0.82669692593356714</v>
      </c>
      <c r="E287" s="15">
        <f t="shared" si="58"/>
        <v>0.96785143769968052</v>
      </c>
      <c r="F287" s="16"/>
      <c r="G287" s="16"/>
      <c r="H287" s="16">
        <v>5008</v>
      </c>
      <c r="I287" s="16">
        <f t="shared" si="62"/>
        <v>161</v>
      </c>
      <c r="J287" s="16">
        <v>4847</v>
      </c>
      <c r="K287" s="16">
        <v>4007</v>
      </c>
      <c r="L287" s="16">
        <f t="shared" si="61"/>
        <v>840</v>
      </c>
    </row>
    <row r="288" spans="1:12" s="18" customFormat="1" ht="15" customHeight="1">
      <c r="A288" s="78">
        <v>2016</v>
      </c>
      <c r="B288" s="79" t="s">
        <v>42</v>
      </c>
      <c r="C288" s="15">
        <f t="shared" si="56"/>
        <v>0.81745411948457636</v>
      </c>
      <c r="D288" s="15">
        <f t="shared" si="57"/>
        <v>0.84330312185297085</v>
      </c>
      <c r="E288" s="15">
        <f t="shared" si="58"/>
        <v>0.96934791097227646</v>
      </c>
      <c r="F288" s="16"/>
      <c r="G288" s="16"/>
      <c r="H288" s="16">
        <v>5122</v>
      </c>
      <c r="I288" s="16">
        <f t="shared" si="62"/>
        <v>157</v>
      </c>
      <c r="J288" s="16">
        <v>4965</v>
      </c>
      <c r="K288" s="16">
        <v>4187</v>
      </c>
      <c r="L288" s="16">
        <f t="shared" si="61"/>
        <v>778</v>
      </c>
    </row>
    <row r="289" spans="1:12" s="18" customFormat="1" ht="15" customHeight="1">
      <c r="A289" s="80">
        <v>2016</v>
      </c>
      <c r="B289" s="81" t="s">
        <v>43</v>
      </c>
      <c r="C289" s="15">
        <f t="shared" si="56"/>
        <v>0.82236591860022823</v>
      </c>
      <c r="D289" s="15">
        <f t="shared" si="57"/>
        <v>0.85725614591593968</v>
      </c>
      <c r="E289" s="15">
        <f t="shared" si="58"/>
        <v>0.95930011411182958</v>
      </c>
      <c r="F289" s="16"/>
      <c r="G289" s="16"/>
      <c r="H289" s="16">
        <v>5258</v>
      </c>
      <c r="I289" s="16">
        <f t="shared" si="62"/>
        <v>214</v>
      </c>
      <c r="J289" s="16">
        <v>5044</v>
      </c>
      <c r="K289" s="16">
        <v>4324</v>
      </c>
      <c r="L289" s="16">
        <f t="shared" si="61"/>
        <v>720</v>
      </c>
    </row>
    <row r="290" spans="1:12" s="18" customFormat="1" ht="15" customHeight="1">
      <c r="A290" s="78">
        <v>2016</v>
      </c>
      <c r="B290" s="79" t="s">
        <v>44</v>
      </c>
      <c r="C290" s="15">
        <f t="shared" si="56"/>
        <v>0.84117418351477447</v>
      </c>
      <c r="D290" s="15">
        <f t="shared" si="57"/>
        <v>0.87431804404930291</v>
      </c>
      <c r="E290" s="15">
        <f t="shared" si="58"/>
        <v>0.96209175738724728</v>
      </c>
      <c r="F290" s="16"/>
      <c r="G290" s="16"/>
      <c r="H290" s="16">
        <v>5144</v>
      </c>
      <c r="I290" s="16">
        <f t="shared" si="62"/>
        <v>195</v>
      </c>
      <c r="J290" s="16">
        <v>4949</v>
      </c>
      <c r="K290" s="16">
        <v>4327</v>
      </c>
      <c r="L290" s="16">
        <f t="shared" si="61"/>
        <v>622</v>
      </c>
    </row>
    <row r="291" spans="1:12" s="18" customFormat="1" ht="15" customHeight="1">
      <c r="A291" s="80">
        <v>2016</v>
      </c>
      <c r="B291" s="81" t="s">
        <v>45</v>
      </c>
      <c r="C291" s="15">
        <f t="shared" si="56"/>
        <v>0.8229387912724464</v>
      </c>
      <c r="D291" s="15">
        <f t="shared" si="57"/>
        <v>0.85120830836828443</v>
      </c>
      <c r="E291" s="15">
        <f t="shared" si="58"/>
        <v>0.96678895539679477</v>
      </c>
      <c r="F291" s="16"/>
      <c r="G291" s="16"/>
      <c r="H291" s="16">
        <v>5179</v>
      </c>
      <c r="I291" s="16">
        <f t="shared" si="62"/>
        <v>172</v>
      </c>
      <c r="J291" s="16">
        <v>5007</v>
      </c>
      <c r="K291" s="16">
        <v>4262</v>
      </c>
      <c r="L291" s="16">
        <f t="shared" si="61"/>
        <v>745</v>
      </c>
    </row>
    <row r="292" spans="1:12" s="18" customFormat="1" ht="15" customHeight="1">
      <c r="A292" s="78">
        <v>2016</v>
      </c>
      <c r="B292" s="79" t="s">
        <v>46</v>
      </c>
      <c r="C292" s="15">
        <f t="shared" si="56"/>
        <v>0.87115839243498816</v>
      </c>
      <c r="D292" s="15">
        <f t="shared" si="57"/>
        <v>0.88973843058350099</v>
      </c>
      <c r="E292" s="15">
        <f t="shared" si="58"/>
        <v>0.97911741528762808</v>
      </c>
      <c r="F292" s="16"/>
      <c r="G292" s="16"/>
      <c r="H292" s="16">
        <v>5076</v>
      </c>
      <c r="I292" s="16">
        <f t="shared" si="62"/>
        <v>106</v>
      </c>
      <c r="J292" s="16">
        <v>4970</v>
      </c>
      <c r="K292" s="16">
        <v>4422</v>
      </c>
      <c r="L292" s="16">
        <f t="shared" si="61"/>
        <v>548</v>
      </c>
    </row>
    <row r="293" spans="1:12" s="18" customFormat="1" ht="15" customHeight="1">
      <c r="A293" s="80">
        <v>2016</v>
      </c>
      <c r="B293" s="81" t="s">
        <v>47</v>
      </c>
      <c r="C293" s="15">
        <f t="shared" si="56"/>
        <v>0.81448412698412698</v>
      </c>
      <c r="D293" s="15">
        <f t="shared" si="57"/>
        <v>0.86239495798319332</v>
      </c>
      <c r="E293" s="15">
        <f t="shared" si="58"/>
        <v>0.94444444444444442</v>
      </c>
      <c r="F293" s="16"/>
      <c r="G293" s="16"/>
      <c r="H293" s="16">
        <v>5040</v>
      </c>
      <c r="I293" s="16">
        <f t="shared" si="62"/>
        <v>280</v>
      </c>
      <c r="J293" s="16">
        <v>4760</v>
      </c>
      <c r="K293" s="16">
        <v>4105</v>
      </c>
      <c r="L293" s="16">
        <f t="shared" si="61"/>
        <v>655</v>
      </c>
    </row>
    <row r="294" spans="1:12" s="18" customFormat="1" ht="15" customHeight="1">
      <c r="A294" s="78">
        <v>2017</v>
      </c>
      <c r="B294" s="79" t="s">
        <v>36</v>
      </c>
      <c r="C294" s="15">
        <f t="shared" si="56"/>
        <v>0.90478071908336621</v>
      </c>
      <c r="D294" s="15">
        <f t="shared" si="57"/>
        <v>0.93412196614317766</v>
      </c>
      <c r="E294" s="15">
        <f t="shared" si="58"/>
        <v>0.96858949032003161</v>
      </c>
      <c r="F294" s="16"/>
      <c r="G294" s="16"/>
      <c r="H294" s="16">
        <v>5062</v>
      </c>
      <c r="I294" s="16">
        <f>+H294-J294</f>
        <v>159</v>
      </c>
      <c r="J294" s="16">
        <v>4903</v>
      </c>
      <c r="K294" s="16">
        <v>4580</v>
      </c>
      <c r="L294" s="16">
        <f t="shared" ref="L294:L305" si="63">J294-K294</f>
        <v>323</v>
      </c>
    </row>
    <row r="295" spans="1:12" s="18" customFormat="1" ht="15" customHeight="1">
      <c r="A295" s="80">
        <v>2017</v>
      </c>
      <c r="B295" s="81" t="s">
        <v>37</v>
      </c>
      <c r="C295" s="15">
        <f t="shared" si="56"/>
        <v>0.90427426536064115</v>
      </c>
      <c r="D295" s="15">
        <f t="shared" si="57"/>
        <v>0.9318651066758431</v>
      </c>
      <c r="E295" s="15">
        <f t="shared" si="58"/>
        <v>0.97039180765805877</v>
      </c>
      <c r="F295" s="16"/>
      <c r="G295" s="16"/>
      <c r="H295" s="16">
        <v>4492</v>
      </c>
      <c r="I295" s="16">
        <f t="shared" ref="I295:I305" si="64">H295-J295</f>
        <v>133</v>
      </c>
      <c r="J295" s="16">
        <v>4359</v>
      </c>
      <c r="K295" s="16">
        <v>4062</v>
      </c>
      <c r="L295" s="16">
        <f t="shared" si="63"/>
        <v>297</v>
      </c>
    </row>
    <row r="296" spans="1:12" s="18" customFormat="1" ht="15" customHeight="1">
      <c r="A296" s="78">
        <v>2017</v>
      </c>
      <c r="B296" s="79" t="s">
        <v>38</v>
      </c>
      <c r="C296" s="15">
        <f t="shared" si="56"/>
        <v>0.87356775977874357</v>
      </c>
      <c r="D296" s="15">
        <f t="shared" si="57"/>
        <v>0.89532293986636968</v>
      </c>
      <c r="E296" s="15">
        <f t="shared" si="58"/>
        <v>0.97570130383247733</v>
      </c>
      <c r="F296" s="16"/>
      <c r="G296" s="16"/>
      <c r="H296" s="16">
        <v>5062</v>
      </c>
      <c r="I296" s="16">
        <f t="shared" si="64"/>
        <v>123</v>
      </c>
      <c r="J296" s="16">
        <v>4939</v>
      </c>
      <c r="K296" s="16">
        <v>4422</v>
      </c>
      <c r="L296" s="16">
        <f t="shared" si="63"/>
        <v>517</v>
      </c>
    </row>
    <row r="297" spans="1:12" s="18" customFormat="1" ht="15" customHeight="1">
      <c r="A297" s="80">
        <v>2017</v>
      </c>
      <c r="B297" s="81" t="s">
        <v>39</v>
      </c>
      <c r="C297" s="15">
        <f t="shared" si="56"/>
        <v>0.82538686741948974</v>
      </c>
      <c r="D297" s="15">
        <f t="shared" si="57"/>
        <v>0.87789145907473309</v>
      </c>
      <c r="E297" s="15">
        <f t="shared" si="58"/>
        <v>0.94019238812212469</v>
      </c>
      <c r="F297" s="16"/>
      <c r="G297" s="16"/>
      <c r="H297" s="16">
        <v>4782</v>
      </c>
      <c r="I297" s="16">
        <f t="shared" si="64"/>
        <v>286</v>
      </c>
      <c r="J297" s="16">
        <v>4496</v>
      </c>
      <c r="K297" s="16">
        <v>3947</v>
      </c>
      <c r="L297" s="16">
        <f t="shared" si="63"/>
        <v>549</v>
      </c>
    </row>
    <row r="298" spans="1:12" s="18" customFormat="1" ht="15" customHeight="1">
      <c r="A298" s="78">
        <v>2017</v>
      </c>
      <c r="B298" s="79" t="s">
        <v>40</v>
      </c>
      <c r="C298" s="15">
        <f t="shared" si="56"/>
        <v>0.81264728986645718</v>
      </c>
      <c r="D298" s="15">
        <f t="shared" si="57"/>
        <v>0.85478206982028504</v>
      </c>
      <c r="E298" s="15">
        <f t="shared" si="58"/>
        <v>0.9507069913589945</v>
      </c>
      <c r="F298" s="16"/>
      <c r="G298" s="16"/>
      <c r="H298" s="16">
        <v>5092</v>
      </c>
      <c r="I298" s="16">
        <f t="shared" si="64"/>
        <v>251</v>
      </c>
      <c r="J298" s="16">
        <v>4841</v>
      </c>
      <c r="K298" s="16">
        <v>4138</v>
      </c>
      <c r="L298" s="16">
        <f t="shared" si="63"/>
        <v>703</v>
      </c>
    </row>
    <row r="299" spans="1:12" s="18" customFormat="1" ht="15" customHeight="1">
      <c r="A299" s="80">
        <v>2017</v>
      </c>
      <c r="B299" s="81" t="s">
        <v>41</v>
      </c>
      <c r="C299" s="15">
        <f t="shared" si="56"/>
        <v>0.78333333333333333</v>
      </c>
      <c r="D299" s="15">
        <f t="shared" si="57"/>
        <v>0.82876566815381347</v>
      </c>
      <c r="E299" s="15">
        <f t="shared" si="58"/>
        <v>0.94518072289156629</v>
      </c>
      <c r="F299" s="16"/>
      <c r="G299" s="16"/>
      <c r="H299" s="16">
        <v>4980</v>
      </c>
      <c r="I299" s="16">
        <f t="shared" si="64"/>
        <v>273</v>
      </c>
      <c r="J299" s="16">
        <v>4707</v>
      </c>
      <c r="K299" s="16">
        <v>3901</v>
      </c>
      <c r="L299" s="16">
        <f t="shared" si="63"/>
        <v>806</v>
      </c>
    </row>
    <row r="300" spans="1:12" s="18" customFormat="1" ht="15" customHeight="1">
      <c r="A300" s="78">
        <v>2017</v>
      </c>
      <c r="B300" s="79" t="s">
        <v>42</v>
      </c>
      <c r="C300" s="15">
        <f t="shared" si="56"/>
        <v>0.77871362940275646</v>
      </c>
      <c r="D300" s="15">
        <f t="shared" si="57"/>
        <v>0.83807169344870214</v>
      </c>
      <c r="E300" s="15">
        <f t="shared" si="58"/>
        <v>0.92917304747320062</v>
      </c>
      <c r="F300" s="16"/>
      <c r="G300" s="16"/>
      <c r="H300" s="16">
        <v>5224</v>
      </c>
      <c r="I300" s="16">
        <f t="shared" si="64"/>
        <v>370</v>
      </c>
      <c r="J300" s="16">
        <v>4854</v>
      </c>
      <c r="K300" s="16">
        <v>4068</v>
      </c>
      <c r="L300" s="16">
        <f t="shared" si="63"/>
        <v>786</v>
      </c>
    </row>
    <row r="301" spans="1:12" s="18" customFormat="1" ht="15" customHeight="1">
      <c r="A301" s="80">
        <v>2017</v>
      </c>
      <c r="B301" s="81" t="s">
        <v>43</v>
      </c>
      <c r="C301" s="15">
        <f t="shared" si="56"/>
        <v>0.669283799310609</v>
      </c>
      <c r="D301" s="15">
        <f t="shared" si="57"/>
        <v>0.74855429428143072</v>
      </c>
      <c r="E301" s="15">
        <f t="shared" si="58"/>
        <v>0.89410187667560326</v>
      </c>
      <c r="F301" s="16"/>
      <c r="G301" s="16"/>
      <c r="H301" s="16">
        <v>5222</v>
      </c>
      <c r="I301" s="16">
        <f t="shared" si="64"/>
        <v>553</v>
      </c>
      <c r="J301" s="16">
        <v>4669</v>
      </c>
      <c r="K301" s="16">
        <v>3495</v>
      </c>
      <c r="L301" s="16">
        <f t="shared" si="63"/>
        <v>1174</v>
      </c>
    </row>
    <row r="302" spans="1:12" s="18" customFormat="1" ht="15" customHeight="1">
      <c r="A302" s="78">
        <v>2017</v>
      </c>
      <c r="B302" s="79" t="s">
        <v>44</v>
      </c>
      <c r="C302" s="15">
        <f t="shared" si="56"/>
        <v>0.65593490182204139</v>
      </c>
      <c r="D302" s="15">
        <f t="shared" si="57"/>
        <v>0.72634671890303626</v>
      </c>
      <c r="E302" s="15">
        <f t="shared" si="58"/>
        <v>0.90306032195294539</v>
      </c>
      <c r="F302" s="16"/>
      <c r="G302" s="16"/>
      <c r="H302" s="16">
        <v>5653</v>
      </c>
      <c r="I302" s="16">
        <f t="shared" si="64"/>
        <v>548</v>
      </c>
      <c r="J302" s="16">
        <v>5105</v>
      </c>
      <c r="K302" s="16">
        <v>3708</v>
      </c>
      <c r="L302" s="16">
        <f t="shared" si="63"/>
        <v>1397</v>
      </c>
    </row>
    <row r="303" spans="1:12" s="18" customFormat="1" ht="15" customHeight="1">
      <c r="A303" s="80">
        <v>2017</v>
      </c>
      <c r="B303" s="81" t="s">
        <v>45</v>
      </c>
      <c r="C303" s="15">
        <f t="shared" si="56"/>
        <v>0.67883336176019105</v>
      </c>
      <c r="D303" s="15">
        <f t="shared" si="57"/>
        <v>0.7535024611889436</v>
      </c>
      <c r="E303" s="15">
        <f t="shared" si="58"/>
        <v>0.90090397407470579</v>
      </c>
      <c r="F303" s="16"/>
      <c r="G303" s="16"/>
      <c r="H303" s="16">
        <v>5863</v>
      </c>
      <c r="I303" s="16">
        <f t="shared" si="64"/>
        <v>581</v>
      </c>
      <c r="J303" s="16">
        <v>5282</v>
      </c>
      <c r="K303" s="16">
        <v>3980</v>
      </c>
      <c r="L303" s="16">
        <f t="shared" si="63"/>
        <v>1302</v>
      </c>
    </row>
    <row r="304" spans="1:12" s="18" customFormat="1" ht="15" customHeight="1">
      <c r="A304" s="78">
        <v>2017</v>
      </c>
      <c r="B304" s="79" t="s">
        <v>46</v>
      </c>
      <c r="C304" s="15">
        <f t="shared" si="56"/>
        <v>0.56582827406764957</v>
      </c>
      <c r="D304" s="15">
        <f t="shared" si="57"/>
        <v>0.76988435213594519</v>
      </c>
      <c r="E304" s="15">
        <f t="shared" si="58"/>
        <v>0.73495229835212494</v>
      </c>
      <c r="F304" s="16"/>
      <c r="G304" s="16"/>
      <c r="H304" s="16">
        <v>5765</v>
      </c>
      <c r="I304" s="16">
        <f t="shared" si="64"/>
        <v>1528</v>
      </c>
      <c r="J304" s="16">
        <v>4237</v>
      </c>
      <c r="K304" s="16">
        <v>3262</v>
      </c>
      <c r="L304" s="16">
        <f t="shared" si="63"/>
        <v>975</v>
      </c>
    </row>
    <row r="305" spans="1:12" s="18" customFormat="1" ht="15" customHeight="1">
      <c r="A305" s="80">
        <v>2017</v>
      </c>
      <c r="B305" s="81" t="s">
        <v>47</v>
      </c>
      <c r="C305" s="15">
        <f t="shared" si="56"/>
        <v>0.51217391304347826</v>
      </c>
      <c r="D305" s="15">
        <f t="shared" si="57"/>
        <v>0.72269938650306753</v>
      </c>
      <c r="E305" s="15">
        <f t="shared" si="58"/>
        <v>0.70869565217391306</v>
      </c>
      <c r="F305" s="16"/>
      <c r="G305" s="16"/>
      <c r="H305" s="16">
        <v>5750</v>
      </c>
      <c r="I305" s="16">
        <f t="shared" si="64"/>
        <v>1675</v>
      </c>
      <c r="J305" s="16">
        <v>4075</v>
      </c>
      <c r="K305" s="16">
        <v>2945</v>
      </c>
      <c r="L305" s="16">
        <f t="shared" si="63"/>
        <v>1130</v>
      </c>
    </row>
    <row r="306" spans="1:12" s="18" customFormat="1" ht="15" customHeight="1">
      <c r="A306" s="78">
        <v>2018</v>
      </c>
      <c r="B306" s="79" t="s">
        <v>36</v>
      </c>
      <c r="C306" s="15">
        <f t="shared" si="56"/>
        <v>0.55917266187050363</v>
      </c>
      <c r="D306" s="15">
        <f t="shared" si="57"/>
        <v>0.69459338695263628</v>
      </c>
      <c r="E306" s="15">
        <f t="shared" si="58"/>
        <v>0.80503597122302162</v>
      </c>
      <c r="F306" s="16"/>
      <c r="G306" s="16"/>
      <c r="H306" s="16">
        <v>5560</v>
      </c>
      <c r="I306" s="16">
        <f>+H306-J306</f>
        <v>1084</v>
      </c>
      <c r="J306" s="16">
        <v>4476</v>
      </c>
      <c r="K306" s="16">
        <v>3109</v>
      </c>
      <c r="L306" s="16">
        <f t="shared" ref="L306:L317" si="65">J306-K306</f>
        <v>1367</v>
      </c>
    </row>
    <row r="307" spans="1:12" s="18" customFormat="1" ht="15" customHeight="1">
      <c r="A307" s="80">
        <v>2018</v>
      </c>
      <c r="B307" s="81" t="s">
        <v>37</v>
      </c>
      <c r="C307" s="15">
        <f t="shared" si="56"/>
        <v>0.74564705882352944</v>
      </c>
      <c r="D307" s="15">
        <f t="shared" si="57"/>
        <v>0.79324155193992496</v>
      </c>
      <c r="E307" s="15">
        <f t="shared" si="58"/>
        <v>0.94</v>
      </c>
      <c r="F307" s="16"/>
      <c r="G307" s="16"/>
      <c r="H307" s="16">
        <v>4250</v>
      </c>
      <c r="I307" s="16">
        <f t="shared" ref="I307:I317" si="66">H307-J307</f>
        <v>255</v>
      </c>
      <c r="J307" s="16">
        <v>3995</v>
      </c>
      <c r="K307" s="16">
        <v>3169</v>
      </c>
      <c r="L307" s="16">
        <f t="shared" si="65"/>
        <v>826</v>
      </c>
    </row>
    <row r="308" spans="1:12" s="18" customFormat="1" ht="15" customHeight="1">
      <c r="A308" s="78">
        <v>2018</v>
      </c>
      <c r="B308" s="79" t="s">
        <v>38</v>
      </c>
      <c r="C308" s="15">
        <f t="shared" si="56"/>
        <v>0.29546253957087582</v>
      </c>
      <c r="D308" s="15">
        <f t="shared" si="57"/>
        <v>0.46293744833287409</v>
      </c>
      <c r="E308" s="15">
        <f t="shared" si="58"/>
        <v>0.63823425958494551</v>
      </c>
      <c r="F308" s="16"/>
      <c r="G308" s="16"/>
      <c r="H308" s="16">
        <v>5686</v>
      </c>
      <c r="I308" s="16">
        <f t="shared" si="66"/>
        <v>2057</v>
      </c>
      <c r="J308" s="16">
        <v>3629</v>
      </c>
      <c r="K308" s="16">
        <v>1680</v>
      </c>
      <c r="L308" s="16">
        <f t="shared" si="65"/>
        <v>1949</v>
      </c>
    </row>
    <row r="309" spans="1:12" s="18" customFormat="1" ht="15" customHeight="1">
      <c r="A309" s="80">
        <v>2018</v>
      </c>
      <c r="B309" s="81" t="s">
        <v>39</v>
      </c>
      <c r="C309" s="15">
        <f t="shared" si="56"/>
        <v>0.3856543164811097</v>
      </c>
      <c r="D309" s="15">
        <f t="shared" si="57"/>
        <v>0.53848114169215089</v>
      </c>
      <c r="E309" s="15">
        <f t="shared" si="58"/>
        <v>0.71618908559956196</v>
      </c>
      <c r="F309" s="16"/>
      <c r="G309" s="16"/>
      <c r="H309" s="16">
        <v>5479</v>
      </c>
      <c r="I309" s="16">
        <f t="shared" si="66"/>
        <v>1555</v>
      </c>
      <c r="J309" s="16">
        <v>3924</v>
      </c>
      <c r="K309" s="16">
        <v>2113</v>
      </c>
      <c r="L309" s="16">
        <f t="shared" si="65"/>
        <v>1811</v>
      </c>
    </row>
    <row r="310" spans="1:12" s="18" customFormat="1" ht="15" customHeight="1">
      <c r="A310" s="78">
        <v>2018</v>
      </c>
      <c r="B310" s="79" t="s">
        <v>40</v>
      </c>
      <c r="C310" s="15">
        <f t="shared" si="56"/>
        <v>0.40318825004477882</v>
      </c>
      <c r="D310" s="15">
        <f t="shared" si="57"/>
        <v>0.60413311862587227</v>
      </c>
      <c r="E310" s="15">
        <f t="shared" si="58"/>
        <v>0.66738312735088667</v>
      </c>
      <c r="F310" s="16"/>
      <c r="G310" s="16"/>
      <c r="H310" s="16">
        <v>5583</v>
      </c>
      <c r="I310" s="16">
        <f t="shared" si="66"/>
        <v>1857</v>
      </c>
      <c r="J310" s="16">
        <v>3726</v>
      </c>
      <c r="K310" s="16">
        <v>2251</v>
      </c>
      <c r="L310" s="16">
        <f t="shared" si="65"/>
        <v>1475</v>
      </c>
    </row>
    <row r="311" spans="1:12" s="18" customFormat="1" ht="15" customHeight="1">
      <c r="A311" s="80">
        <v>2018</v>
      </c>
      <c r="B311" s="81" t="s">
        <v>41</v>
      </c>
      <c r="C311" s="15">
        <f t="shared" si="56"/>
        <v>0.59479956663055256</v>
      </c>
      <c r="D311" s="15">
        <f t="shared" si="57"/>
        <v>0.73317307692307687</v>
      </c>
      <c r="E311" s="15">
        <f t="shared" si="58"/>
        <v>0.81126760563380285</v>
      </c>
      <c r="F311" s="16"/>
      <c r="G311" s="16"/>
      <c r="H311" s="16">
        <v>4615</v>
      </c>
      <c r="I311" s="16">
        <f t="shared" si="66"/>
        <v>871</v>
      </c>
      <c r="J311" s="16">
        <v>3744</v>
      </c>
      <c r="K311" s="16">
        <v>2745</v>
      </c>
      <c r="L311" s="16">
        <f t="shared" si="65"/>
        <v>999</v>
      </c>
    </row>
    <row r="312" spans="1:12" s="18" customFormat="1" ht="15" customHeight="1">
      <c r="A312" s="78">
        <v>2018</v>
      </c>
      <c r="B312" s="79" t="s">
        <v>42</v>
      </c>
      <c r="C312" s="15">
        <f t="shared" si="56"/>
        <v>0.6841326854003803</v>
      </c>
      <c r="D312" s="15">
        <f t="shared" si="57"/>
        <v>0.76295947219604143</v>
      </c>
      <c r="E312" s="15">
        <f t="shared" si="58"/>
        <v>0.89668286499049232</v>
      </c>
      <c r="F312" s="16"/>
      <c r="G312" s="16"/>
      <c r="H312" s="16">
        <v>4733</v>
      </c>
      <c r="I312" s="16">
        <f t="shared" si="66"/>
        <v>489</v>
      </c>
      <c r="J312" s="16">
        <v>4244</v>
      </c>
      <c r="K312" s="16">
        <v>3238</v>
      </c>
      <c r="L312" s="16">
        <f t="shared" si="65"/>
        <v>1006</v>
      </c>
    </row>
    <row r="313" spans="1:12" s="18" customFormat="1" ht="15" customHeight="1">
      <c r="A313" s="80">
        <v>2018</v>
      </c>
      <c r="B313" s="81" t="s">
        <v>43</v>
      </c>
      <c r="C313" s="15">
        <f t="shared" si="56"/>
        <v>0.76067839195979903</v>
      </c>
      <c r="D313" s="15">
        <f t="shared" si="57"/>
        <v>0.82343608340888486</v>
      </c>
      <c r="E313" s="15">
        <f t="shared" si="58"/>
        <v>0.92378559463986598</v>
      </c>
      <c r="F313" s="16"/>
      <c r="G313" s="16"/>
      <c r="H313" s="16">
        <v>4776</v>
      </c>
      <c r="I313" s="16">
        <f t="shared" si="66"/>
        <v>364</v>
      </c>
      <c r="J313" s="16">
        <v>4412</v>
      </c>
      <c r="K313" s="16">
        <v>3633</v>
      </c>
      <c r="L313" s="16">
        <f t="shared" si="65"/>
        <v>779</v>
      </c>
    </row>
    <row r="314" spans="1:12" s="18" customFormat="1" ht="15" customHeight="1">
      <c r="A314" s="78">
        <v>2018</v>
      </c>
      <c r="B314" s="79" t="s">
        <v>44</v>
      </c>
      <c r="C314" s="15">
        <f t="shared" si="56"/>
        <v>0.79826652221018424</v>
      </c>
      <c r="D314" s="15">
        <f t="shared" si="57"/>
        <v>0.90294117647058825</v>
      </c>
      <c r="E314" s="15">
        <f t="shared" si="58"/>
        <v>0.88407367280606719</v>
      </c>
      <c r="F314" s="16"/>
      <c r="G314" s="16"/>
      <c r="H314" s="16">
        <v>4615</v>
      </c>
      <c r="I314" s="16">
        <f t="shared" si="66"/>
        <v>535</v>
      </c>
      <c r="J314" s="16">
        <v>4080</v>
      </c>
      <c r="K314" s="16">
        <v>3684</v>
      </c>
      <c r="L314" s="16">
        <f t="shared" si="65"/>
        <v>396</v>
      </c>
    </row>
    <row r="315" spans="1:12" s="18" customFormat="1" ht="15" customHeight="1">
      <c r="A315" s="80">
        <v>2018</v>
      </c>
      <c r="B315" s="81" t="s">
        <v>45</v>
      </c>
      <c r="C315" s="15">
        <f t="shared" si="56"/>
        <v>0.86578726968174202</v>
      </c>
      <c r="D315" s="15">
        <f t="shared" si="57"/>
        <v>0.92257920571173579</v>
      </c>
      <c r="E315" s="15">
        <f t="shared" si="58"/>
        <v>0.93844221105527637</v>
      </c>
      <c r="F315" s="16"/>
      <c r="G315" s="16"/>
      <c r="H315" s="16">
        <v>4776</v>
      </c>
      <c r="I315" s="16">
        <f t="shared" si="66"/>
        <v>294</v>
      </c>
      <c r="J315" s="16">
        <v>4482</v>
      </c>
      <c r="K315" s="16">
        <v>4135</v>
      </c>
      <c r="L315" s="16">
        <f t="shared" si="65"/>
        <v>347</v>
      </c>
    </row>
    <row r="316" spans="1:12" s="18" customFormat="1" ht="15" customHeight="1">
      <c r="A316" s="78">
        <v>2018</v>
      </c>
      <c r="B316" s="79" t="s">
        <v>46</v>
      </c>
      <c r="C316" s="15">
        <f t="shared" si="56"/>
        <v>0.79046587215601305</v>
      </c>
      <c r="D316" s="15">
        <f t="shared" si="57"/>
        <v>0.90972568578553614</v>
      </c>
      <c r="E316" s="15">
        <f t="shared" si="58"/>
        <v>0.86890574214517879</v>
      </c>
      <c r="F316" s="16"/>
      <c r="G316" s="16"/>
      <c r="H316" s="16">
        <v>4615</v>
      </c>
      <c r="I316" s="16">
        <f t="shared" si="66"/>
        <v>605</v>
      </c>
      <c r="J316" s="16">
        <v>4010</v>
      </c>
      <c r="K316" s="16">
        <v>3648</v>
      </c>
      <c r="L316" s="16">
        <f t="shared" si="65"/>
        <v>362</v>
      </c>
    </row>
    <row r="317" spans="1:12" s="18" customFormat="1" ht="15" customHeight="1">
      <c r="A317" s="80">
        <v>2018</v>
      </c>
      <c r="B317" s="81" t="s">
        <v>47</v>
      </c>
      <c r="C317" s="15">
        <f t="shared" si="56"/>
        <v>0.69553502694380287</v>
      </c>
      <c r="D317" s="15">
        <f t="shared" si="57"/>
        <v>0.84144353899883584</v>
      </c>
      <c r="E317" s="15">
        <f t="shared" si="58"/>
        <v>0.82659738260200155</v>
      </c>
      <c r="F317" s="16"/>
      <c r="G317" s="16"/>
      <c r="H317" s="16">
        <v>5196</v>
      </c>
      <c r="I317" s="16">
        <f t="shared" si="66"/>
        <v>901</v>
      </c>
      <c r="J317" s="16">
        <v>4295</v>
      </c>
      <c r="K317" s="16">
        <v>3614</v>
      </c>
      <c r="L317" s="16">
        <f t="shared" si="65"/>
        <v>681</v>
      </c>
    </row>
    <row r="318" spans="1:12" s="18" customFormat="1" ht="15" customHeight="1">
      <c r="A318" s="78">
        <v>2019</v>
      </c>
      <c r="B318" s="79" t="s">
        <v>36</v>
      </c>
      <c r="C318" s="15">
        <f t="shared" si="56"/>
        <v>0.75076713262870776</v>
      </c>
      <c r="D318" s="15">
        <f t="shared" si="57"/>
        <v>0.86812536960378472</v>
      </c>
      <c r="E318" s="15">
        <f t="shared" si="58"/>
        <v>0.86481418342993521</v>
      </c>
      <c r="F318" s="16"/>
      <c r="G318" s="16"/>
      <c r="H318" s="16">
        <v>5866</v>
      </c>
      <c r="I318" s="16">
        <f>+H318-J318</f>
        <v>793</v>
      </c>
      <c r="J318" s="16">
        <v>5073</v>
      </c>
      <c r="K318" s="16">
        <v>4404</v>
      </c>
      <c r="L318" s="16">
        <f t="shared" ref="L318:L333" si="67">J318-K318</f>
        <v>669</v>
      </c>
    </row>
    <row r="319" spans="1:12" s="18" customFormat="1" ht="15" customHeight="1">
      <c r="A319" s="80">
        <v>2019</v>
      </c>
      <c r="B319" s="81" t="s">
        <v>37</v>
      </c>
      <c r="C319" s="15">
        <f t="shared" si="56"/>
        <v>0.68011958146487295</v>
      </c>
      <c r="D319" s="15">
        <f t="shared" si="57"/>
        <v>0.83390607101947312</v>
      </c>
      <c r="E319" s="15">
        <f t="shared" si="58"/>
        <v>0.8155829596412556</v>
      </c>
      <c r="F319" s="16"/>
      <c r="G319" s="16"/>
      <c r="H319" s="16">
        <v>5352</v>
      </c>
      <c r="I319" s="16">
        <f t="shared" ref="I319:I329" si="68">H319-J319</f>
        <v>987</v>
      </c>
      <c r="J319" s="16">
        <v>4365</v>
      </c>
      <c r="K319" s="16">
        <v>3640</v>
      </c>
      <c r="L319" s="16">
        <f t="shared" si="67"/>
        <v>725</v>
      </c>
    </row>
    <row r="320" spans="1:12" s="18" customFormat="1" ht="15" customHeight="1">
      <c r="A320" s="78">
        <v>2019</v>
      </c>
      <c r="B320" s="79" t="s">
        <v>38</v>
      </c>
      <c r="C320" s="15">
        <f t="shared" si="56"/>
        <v>0.68999646518204316</v>
      </c>
      <c r="D320" s="15">
        <f t="shared" si="57"/>
        <v>0.83490162532078704</v>
      </c>
      <c r="E320" s="15">
        <f t="shared" si="58"/>
        <v>0.82644043831742664</v>
      </c>
      <c r="F320" s="16"/>
      <c r="G320" s="16"/>
      <c r="H320" s="16">
        <v>5658</v>
      </c>
      <c r="I320" s="16">
        <f t="shared" si="68"/>
        <v>982</v>
      </c>
      <c r="J320" s="16">
        <v>4676</v>
      </c>
      <c r="K320" s="16">
        <v>3904</v>
      </c>
      <c r="L320" s="16">
        <f t="shared" si="67"/>
        <v>772</v>
      </c>
    </row>
    <row r="321" spans="1:12" s="18" customFormat="1" ht="15" customHeight="1">
      <c r="A321" s="80">
        <v>2019</v>
      </c>
      <c r="B321" s="81" t="s">
        <v>39</v>
      </c>
      <c r="C321" s="15">
        <f t="shared" si="56"/>
        <v>0.83441324694024477</v>
      </c>
      <c r="D321" s="15">
        <f t="shared" si="57"/>
        <v>0.89967009509023865</v>
      </c>
      <c r="E321" s="15">
        <f t="shared" si="58"/>
        <v>0.92746580273578116</v>
      </c>
      <c r="F321" s="16"/>
      <c r="G321" s="16"/>
      <c r="H321" s="16">
        <v>5556</v>
      </c>
      <c r="I321" s="16">
        <f t="shared" si="68"/>
        <v>403</v>
      </c>
      <c r="J321" s="16">
        <v>5153</v>
      </c>
      <c r="K321" s="16">
        <v>4636</v>
      </c>
      <c r="L321" s="16">
        <f t="shared" si="67"/>
        <v>517</v>
      </c>
    </row>
    <row r="322" spans="1:12" s="18" customFormat="1" ht="15" customHeight="1">
      <c r="A322" s="78">
        <v>2019</v>
      </c>
      <c r="B322" s="79" t="s">
        <v>40</v>
      </c>
      <c r="C322" s="15">
        <f t="shared" si="56"/>
        <v>0.75269003818118707</v>
      </c>
      <c r="D322" s="15">
        <f t="shared" si="57"/>
        <v>0.88347932369117943</v>
      </c>
      <c r="E322" s="15">
        <f t="shared" si="58"/>
        <v>0.85196112460951057</v>
      </c>
      <c r="F322" s="16"/>
      <c r="G322" s="16"/>
      <c r="H322" s="16">
        <v>5762</v>
      </c>
      <c r="I322" s="16">
        <f t="shared" si="68"/>
        <v>853</v>
      </c>
      <c r="J322" s="16">
        <v>4909</v>
      </c>
      <c r="K322" s="16">
        <v>4337</v>
      </c>
      <c r="L322" s="16">
        <f t="shared" si="67"/>
        <v>572</v>
      </c>
    </row>
    <row r="323" spans="1:12" s="18" customFormat="1" ht="15" customHeight="1">
      <c r="A323" s="80">
        <v>2019</v>
      </c>
      <c r="B323" s="81" t="s">
        <v>41</v>
      </c>
      <c r="C323" s="15">
        <f t="shared" si="56"/>
        <v>0.77512839325018346</v>
      </c>
      <c r="D323" s="15">
        <f t="shared" si="57"/>
        <v>0.86297733306105784</v>
      </c>
      <c r="E323" s="15">
        <f t="shared" si="58"/>
        <v>0.89820249449743217</v>
      </c>
      <c r="F323" s="16"/>
      <c r="G323" s="16"/>
      <c r="H323" s="16">
        <v>5452</v>
      </c>
      <c r="I323" s="16">
        <f t="shared" si="68"/>
        <v>555</v>
      </c>
      <c r="J323" s="16">
        <v>4897</v>
      </c>
      <c r="K323" s="16">
        <v>4226</v>
      </c>
      <c r="L323" s="16">
        <f t="shared" si="67"/>
        <v>671</v>
      </c>
    </row>
    <row r="324" spans="1:12" s="18" customFormat="1" ht="15" customHeight="1">
      <c r="A324" s="78">
        <v>2019</v>
      </c>
      <c r="B324" s="79" t="s">
        <v>42</v>
      </c>
      <c r="C324" s="15">
        <f t="shared" si="56"/>
        <v>0.5406888720666162</v>
      </c>
      <c r="D324" s="15">
        <f t="shared" si="57"/>
        <v>0.6598152424942263</v>
      </c>
      <c r="E324" s="15">
        <f t="shared" si="58"/>
        <v>0.81945495836487514</v>
      </c>
      <c r="F324" s="16">
        <v>183</v>
      </c>
      <c r="G324" s="16" t="s">
        <v>102</v>
      </c>
      <c r="H324" s="16">
        <v>5284</v>
      </c>
      <c r="I324" s="16">
        <f t="shared" si="68"/>
        <v>954</v>
      </c>
      <c r="J324" s="16">
        <v>4330</v>
      </c>
      <c r="K324" s="16">
        <v>2857</v>
      </c>
      <c r="L324" s="16">
        <f t="shared" si="67"/>
        <v>1473</v>
      </c>
    </row>
    <row r="325" spans="1:12" s="18" customFormat="1" ht="15" customHeight="1">
      <c r="A325" s="80">
        <v>2019</v>
      </c>
      <c r="B325" s="81" t="s">
        <v>43</v>
      </c>
      <c r="C325" s="15">
        <f t="shared" si="56"/>
        <v>0.69177688326624498</v>
      </c>
      <c r="D325" s="15">
        <f t="shared" si="57"/>
        <v>0.75819327731092434</v>
      </c>
      <c r="E325" s="15">
        <f t="shared" si="58"/>
        <v>0.91240176346559321</v>
      </c>
      <c r="F325" s="16">
        <v>183</v>
      </c>
      <c r="G325" s="16" t="s">
        <v>102</v>
      </c>
      <c r="H325" s="16">
        <v>5217</v>
      </c>
      <c r="I325" s="16">
        <f t="shared" si="68"/>
        <v>457</v>
      </c>
      <c r="J325" s="16">
        <v>4760</v>
      </c>
      <c r="K325" s="16">
        <v>3609</v>
      </c>
      <c r="L325" s="16">
        <f t="shared" si="67"/>
        <v>1151</v>
      </c>
    </row>
    <row r="326" spans="1:12" s="18" customFormat="1" ht="15" customHeight="1">
      <c r="A326" s="78">
        <v>2019</v>
      </c>
      <c r="B326" s="79" t="s">
        <v>44</v>
      </c>
      <c r="C326" s="15">
        <f t="shared" si="56"/>
        <v>0.72463485881207401</v>
      </c>
      <c r="D326" s="15">
        <f t="shared" si="57"/>
        <v>0.79457612641469144</v>
      </c>
      <c r="E326" s="15">
        <f t="shared" si="58"/>
        <v>0.91197663096397275</v>
      </c>
      <c r="F326" s="16">
        <v>183</v>
      </c>
      <c r="G326" s="16" t="s">
        <v>102</v>
      </c>
      <c r="H326" s="16">
        <v>5135</v>
      </c>
      <c r="I326" s="16">
        <f t="shared" si="68"/>
        <v>452</v>
      </c>
      <c r="J326" s="16">
        <v>4683</v>
      </c>
      <c r="K326" s="16">
        <v>3721</v>
      </c>
      <c r="L326" s="16">
        <f t="shared" si="67"/>
        <v>962</v>
      </c>
    </row>
    <row r="327" spans="1:12" s="18" customFormat="1" ht="15" customHeight="1">
      <c r="A327" s="80">
        <v>2019</v>
      </c>
      <c r="B327" s="81" t="s">
        <v>45</v>
      </c>
      <c r="C327" s="15">
        <f t="shared" ref="C327:C333" si="69">K327/H327</f>
        <v>0.67431365174877778</v>
      </c>
      <c r="D327" s="15">
        <f t="shared" ref="D327:D333" si="70">K327/J327</f>
        <v>0.72503032753740393</v>
      </c>
      <c r="E327" s="15">
        <f t="shared" ref="E327:E333" si="71">J327/H327</f>
        <v>0.930048890560361</v>
      </c>
      <c r="F327" s="16">
        <v>183</v>
      </c>
      <c r="G327" s="16" t="s">
        <v>102</v>
      </c>
      <c r="H327" s="16">
        <v>5318</v>
      </c>
      <c r="I327" s="16">
        <f t="shared" si="68"/>
        <v>372</v>
      </c>
      <c r="J327" s="16">
        <v>4946</v>
      </c>
      <c r="K327" s="16">
        <v>3586</v>
      </c>
      <c r="L327" s="16">
        <f t="shared" si="67"/>
        <v>1360</v>
      </c>
    </row>
    <row r="328" spans="1:12" s="18" customFormat="1" ht="15" customHeight="1">
      <c r="A328" s="78">
        <v>2019</v>
      </c>
      <c r="B328" s="79" t="s">
        <v>46</v>
      </c>
      <c r="C328" s="15">
        <f t="shared" si="69"/>
        <v>0.62142161635832527</v>
      </c>
      <c r="D328" s="15">
        <f t="shared" si="70"/>
        <v>0.68038379530916848</v>
      </c>
      <c r="E328" s="15">
        <f t="shared" si="71"/>
        <v>0.91333982473222974</v>
      </c>
      <c r="F328" s="16">
        <v>183</v>
      </c>
      <c r="G328" s="16" t="s">
        <v>102</v>
      </c>
      <c r="H328" s="16">
        <v>5135</v>
      </c>
      <c r="I328" s="16">
        <f t="shared" si="68"/>
        <v>445</v>
      </c>
      <c r="J328" s="16">
        <v>4690</v>
      </c>
      <c r="K328" s="16">
        <v>3191</v>
      </c>
      <c r="L328" s="16">
        <f t="shared" si="67"/>
        <v>1499</v>
      </c>
    </row>
    <row r="329" spans="1:12" s="18" customFormat="1" ht="15" customHeight="1">
      <c r="A329" s="80">
        <v>2019</v>
      </c>
      <c r="B329" s="81" t="s">
        <v>47</v>
      </c>
      <c r="C329" s="15">
        <f t="shared" si="69"/>
        <v>0.65103868877453785</v>
      </c>
      <c r="D329" s="15">
        <f t="shared" si="70"/>
        <v>0.69459129727531521</v>
      </c>
      <c r="E329" s="15">
        <f t="shared" si="71"/>
        <v>0.9372975033352392</v>
      </c>
      <c r="F329" s="16">
        <v>183</v>
      </c>
      <c r="G329" s="16" t="s">
        <v>102</v>
      </c>
      <c r="H329" s="16">
        <v>5247</v>
      </c>
      <c r="I329" s="16">
        <f t="shared" si="68"/>
        <v>329</v>
      </c>
      <c r="J329" s="16">
        <v>4918</v>
      </c>
      <c r="K329" s="16">
        <v>3416</v>
      </c>
      <c r="L329" s="16">
        <f t="shared" si="67"/>
        <v>1502</v>
      </c>
    </row>
    <row r="330" spans="1:12" s="18" customFormat="1" ht="15" customHeight="1">
      <c r="A330" s="78">
        <v>2020</v>
      </c>
      <c r="B330" s="79" t="s">
        <v>36</v>
      </c>
      <c r="C330" s="15">
        <f t="shared" si="69"/>
        <v>0.79428356525009403</v>
      </c>
      <c r="D330" s="15">
        <f t="shared" si="70"/>
        <v>0.82921083627797409</v>
      </c>
      <c r="E330" s="15">
        <f t="shared" si="71"/>
        <v>0.957878901842798</v>
      </c>
      <c r="F330" s="16">
        <v>183</v>
      </c>
      <c r="G330" s="16" t="s">
        <v>102</v>
      </c>
      <c r="H330" s="16">
        <v>5318</v>
      </c>
      <c r="I330" s="16">
        <f>+H330-J330</f>
        <v>224</v>
      </c>
      <c r="J330" s="16">
        <v>5094</v>
      </c>
      <c r="K330" s="16">
        <v>4224</v>
      </c>
      <c r="L330" s="16">
        <f t="shared" si="67"/>
        <v>870</v>
      </c>
    </row>
    <row r="331" spans="1:12" s="18" customFormat="1" ht="15" customHeight="1">
      <c r="A331" s="80">
        <v>2020</v>
      </c>
      <c r="B331" s="81" t="s">
        <v>37</v>
      </c>
      <c r="C331" s="15">
        <f t="shared" si="69"/>
        <v>0.74964146691251787</v>
      </c>
      <c r="D331" s="15">
        <f t="shared" si="70"/>
        <v>0.79925731760594143</v>
      </c>
      <c r="E331" s="15">
        <f t="shared" si="71"/>
        <v>0.93792255685310388</v>
      </c>
      <c r="F331" s="16">
        <v>183</v>
      </c>
      <c r="G331" s="16" t="s">
        <v>102</v>
      </c>
      <c r="H331" s="16">
        <v>4881</v>
      </c>
      <c r="I331" s="16">
        <f>H331-J331</f>
        <v>303</v>
      </c>
      <c r="J331" s="16">
        <v>4578</v>
      </c>
      <c r="K331" s="16">
        <v>3659</v>
      </c>
      <c r="L331" s="16">
        <f t="shared" si="67"/>
        <v>919</v>
      </c>
    </row>
    <row r="332" spans="1:12" s="18" customFormat="1" ht="15" customHeight="1">
      <c r="A332" s="78">
        <v>2020</v>
      </c>
      <c r="B332" s="79" t="s">
        <v>38</v>
      </c>
      <c r="C332" s="15">
        <f t="shared" si="69"/>
        <v>0.61111111111111116</v>
      </c>
      <c r="D332" s="15">
        <f t="shared" si="70"/>
        <v>0.70967741935483875</v>
      </c>
      <c r="E332" s="15">
        <f t="shared" si="71"/>
        <v>0.86111111111111116</v>
      </c>
      <c r="F332" s="16">
        <v>183</v>
      </c>
      <c r="G332" s="16" t="s">
        <v>102</v>
      </c>
      <c r="H332" s="16">
        <v>4608</v>
      </c>
      <c r="I332" s="16">
        <f>H332-J332</f>
        <v>640</v>
      </c>
      <c r="J332" s="16">
        <v>3968</v>
      </c>
      <c r="K332" s="16">
        <v>2816</v>
      </c>
      <c r="L332" s="16">
        <f t="shared" si="67"/>
        <v>1152</v>
      </c>
    </row>
    <row r="333" spans="1:12" s="18" customFormat="1" ht="15" customHeight="1">
      <c r="A333" s="84">
        <v>2020</v>
      </c>
      <c r="B333" s="85" t="s">
        <v>39</v>
      </c>
      <c r="C333" s="15">
        <f t="shared" si="69"/>
        <v>0.8</v>
      </c>
      <c r="D333" s="15">
        <f t="shared" si="70"/>
        <v>0.90444145356662176</v>
      </c>
      <c r="E333" s="15">
        <f t="shared" si="71"/>
        <v>0.88452380952380949</v>
      </c>
      <c r="F333" s="16">
        <v>183</v>
      </c>
      <c r="G333" s="16" t="s">
        <v>102</v>
      </c>
      <c r="H333" s="16">
        <v>3360</v>
      </c>
      <c r="I333" s="16">
        <f>H333-J333</f>
        <v>388</v>
      </c>
      <c r="J333" s="16">
        <v>2972</v>
      </c>
      <c r="K333" s="16">
        <v>2688</v>
      </c>
      <c r="L333" s="16">
        <f t="shared" si="67"/>
        <v>284</v>
      </c>
    </row>
    <row r="334" spans="1:12" s="18" customFormat="1" ht="15" customHeight="1">
      <c r="A334" s="84">
        <v>2020</v>
      </c>
      <c r="B334" s="85" t="s">
        <v>40</v>
      </c>
      <c r="C334" s="15">
        <f t="shared" ref="C334:C339" si="72">K334/H334</f>
        <v>0.88594470046082952</v>
      </c>
      <c r="D334" s="15">
        <f t="shared" ref="D334:D339" si="73">K334/J334</f>
        <v>0.91547619047619044</v>
      </c>
      <c r="E334" s="15">
        <f t="shared" ref="E334:E339" si="74">J334/H334</f>
        <v>0.967741935483871</v>
      </c>
      <c r="F334" s="16">
        <v>183</v>
      </c>
      <c r="G334" s="16" t="s">
        <v>102</v>
      </c>
      <c r="H334" s="16">
        <v>3472</v>
      </c>
      <c r="I334" s="16">
        <f t="shared" ref="I334:I339" si="75">H334-J334</f>
        <v>112</v>
      </c>
      <c r="J334" s="16">
        <v>3360</v>
      </c>
      <c r="K334" s="16">
        <v>3076</v>
      </c>
      <c r="L334" s="16">
        <f t="shared" ref="L334:L339" si="76">J334-K334</f>
        <v>284</v>
      </c>
    </row>
    <row r="335" spans="1:12" s="18" customFormat="1" ht="15" customHeight="1">
      <c r="A335" s="84">
        <v>2020</v>
      </c>
      <c r="B335" s="85" t="s">
        <v>41</v>
      </c>
      <c r="C335" s="15">
        <f t="shared" si="72"/>
        <v>0.81964285714285712</v>
      </c>
      <c r="D335" s="15">
        <f t="shared" si="73"/>
        <v>0.86278195488721809</v>
      </c>
      <c r="E335" s="15">
        <f t="shared" si="74"/>
        <v>0.95</v>
      </c>
      <c r="F335" s="16">
        <v>183</v>
      </c>
      <c r="G335" s="16" t="s">
        <v>102</v>
      </c>
      <c r="H335" s="16">
        <v>3360</v>
      </c>
      <c r="I335" s="16">
        <f t="shared" si="75"/>
        <v>168</v>
      </c>
      <c r="J335" s="16">
        <v>3192</v>
      </c>
      <c r="K335" s="16">
        <v>2754</v>
      </c>
      <c r="L335" s="16">
        <f t="shared" si="76"/>
        <v>438</v>
      </c>
    </row>
    <row r="336" spans="1:12" s="18" customFormat="1" ht="15" customHeight="1">
      <c r="A336" s="84">
        <v>2020</v>
      </c>
      <c r="B336" s="18" t="s">
        <v>42</v>
      </c>
      <c r="C336" s="15">
        <f t="shared" si="72"/>
        <v>0.7589285714285714</v>
      </c>
      <c r="D336" s="15">
        <f t="shared" si="73"/>
        <v>0.91239612188365649</v>
      </c>
      <c r="E336" s="15">
        <f t="shared" si="74"/>
        <v>0.83179723502304148</v>
      </c>
      <c r="F336" s="16">
        <v>183</v>
      </c>
      <c r="G336" s="16" t="s">
        <v>102</v>
      </c>
      <c r="H336" s="16">
        <v>3472</v>
      </c>
      <c r="I336" s="16">
        <f t="shared" si="75"/>
        <v>584</v>
      </c>
      <c r="J336" s="16">
        <v>2888</v>
      </c>
      <c r="K336" s="16">
        <v>2635</v>
      </c>
      <c r="L336" s="16">
        <f t="shared" si="76"/>
        <v>253</v>
      </c>
    </row>
    <row r="337" spans="1:12" s="18" customFormat="1" ht="15" customHeight="1">
      <c r="A337" s="18">
        <v>2020</v>
      </c>
      <c r="B337" s="18" t="s">
        <v>43</v>
      </c>
      <c r="C337" s="15">
        <f t="shared" si="72"/>
        <v>0.92050691244239635</v>
      </c>
      <c r="D337" s="15">
        <f t="shared" si="73"/>
        <v>0.93861967694566817</v>
      </c>
      <c r="E337" s="15">
        <f t="shared" si="74"/>
        <v>0.98070276497695852</v>
      </c>
      <c r="F337" s="16">
        <v>183</v>
      </c>
      <c r="G337" s="16" t="s">
        <v>102</v>
      </c>
      <c r="H337" s="16">
        <v>3472</v>
      </c>
      <c r="I337" s="16">
        <f t="shared" si="75"/>
        <v>67</v>
      </c>
      <c r="J337" s="16">
        <v>3405</v>
      </c>
      <c r="K337" s="16">
        <v>3196</v>
      </c>
      <c r="L337" s="16">
        <f t="shared" si="76"/>
        <v>209</v>
      </c>
    </row>
    <row r="338" spans="1:12" s="18" customFormat="1" ht="15" customHeight="1">
      <c r="A338" s="18">
        <v>2020</v>
      </c>
      <c r="B338" s="18" t="s">
        <v>44</v>
      </c>
      <c r="C338" s="15">
        <f t="shared" si="72"/>
        <v>0.91428571428571426</v>
      </c>
      <c r="D338" s="15">
        <f t="shared" si="73"/>
        <v>0.93203883495145634</v>
      </c>
      <c r="E338" s="15">
        <f t="shared" si="74"/>
        <v>0.98095238095238091</v>
      </c>
      <c r="F338" s="16">
        <v>183</v>
      </c>
      <c r="G338" s="16" t="s">
        <v>102</v>
      </c>
      <c r="H338" s="16">
        <v>3360</v>
      </c>
      <c r="I338" s="16">
        <f t="shared" si="75"/>
        <v>64</v>
      </c>
      <c r="J338" s="16">
        <v>3296</v>
      </c>
      <c r="K338" s="16">
        <v>3072</v>
      </c>
      <c r="L338" s="16">
        <f t="shared" si="76"/>
        <v>224</v>
      </c>
    </row>
    <row r="339" spans="1:12" s="18" customFormat="1" ht="15" customHeight="1">
      <c r="A339" s="18">
        <v>2020</v>
      </c>
      <c r="B339" s="18" t="s">
        <v>45</v>
      </c>
      <c r="C339" s="15">
        <f t="shared" si="72"/>
        <v>0.88248847926267282</v>
      </c>
      <c r="D339" s="15">
        <f t="shared" si="73"/>
        <v>0.9159940209267563</v>
      </c>
      <c r="E339" s="15">
        <f t="shared" si="74"/>
        <v>0.96342165898617516</v>
      </c>
      <c r="F339" s="16">
        <v>112</v>
      </c>
      <c r="G339" s="16" t="s">
        <v>102</v>
      </c>
      <c r="H339" s="16">
        <v>3472</v>
      </c>
      <c r="I339" s="16">
        <f t="shared" si="75"/>
        <v>127</v>
      </c>
      <c r="J339" s="16">
        <v>3345</v>
      </c>
      <c r="K339" s="16">
        <v>3064</v>
      </c>
      <c r="L339" s="16">
        <f t="shared" si="76"/>
        <v>281</v>
      </c>
    </row>
    <row r="340" spans="1:12" s="18" customFormat="1" ht="15" customHeight="1">
      <c r="A340" s="84">
        <v>2020</v>
      </c>
      <c r="B340" s="85" t="s">
        <v>46</v>
      </c>
      <c r="C340" s="15">
        <f t="shared" ref="C340:C352" si="77">K340/H340</f>
        <v>0.84851190476190474</v>
      </c>
      <c r="D340" s="15">
        <f t="shared" ref="D340:D352" si="78">K340/J340</f>
        <v>0.88238935314144229</v>
      </c>
      <c r="E340" s="15">
        <f t="shared" ref="E340:E352" si="79">J340/H340</f>
        <v>0.96160714285714288</v>
      </c>
      <c r="F340" s="16">
        <v>112</v>
      </c>
      <c r="G340" s="16" t="s">
        <v>102</v>
      </c>
      <c r="H340" s="16">
        <v>3360</v>
      </c>
      <c r="I340" s="16">
        <f t="shared" ref="I340:I356" si="80">H340-J340</f>
        <v>129</v>
      </c>
      <c r="J340" s="16">
        <v>3231</v>
      </c>
      <c r="K340" s="16">
        <v>2851</v>
      </c>
      <c r="L340" s="16">
        <f t="shared" ref="L340:L352" si="81">J340-K340</f>
        <v>380</v>
      </c>
    </row>
    <row r="341" spans="1:12" s="18" customFormat="1" ht="15" customHeight="1">
      <c r="A341" s="18">
        <v>2020</v>
      </c>
      <c r="B341" s="18" t="s">
        <v>47</v>
      </c>
      <c r="C341" s="15">
        <f t="shared" si="77"/>
        <v>0.79205069124423966</v>
      </c>
      <c r="D341" s="15">
        <f t="shared" si="78"/>
        <v>0.83867032631899974</v>
      </c>
      <c r="E341" s="15">
        <f t="shared" si="79"/>
        <v>0.94441244239631339</v>
      </c>
      <c r="F341" s="16">
        <v>112</v>
      </c>
      <c r="G341" s="16" t="s">
        <v>102</v>
      </c>
      <c r="H341" s="16">
        <v>3472</v>
      </c>
      <c r="I341" s="16">
        <f t="shared" si="80"/>
        <v>193</v>
      </c>
      <c r="J341" s="16">
        <v>3279</v>
      </c>
      <c r="K341" s="16">
        <v>2750</v>
      </c>
      <c r="L341" s="16">
        <f t="shared" si="81"/>
        <v>529</v>
      </c>
    </row>
    <row r="342" spans="1:12" s="18" customFormat="1" ht="15" customHeight="1">
      <c r="A342" s="18">
        <v>2021</v>
      </c>
      <c r="B342" s="18" t="s">
        <v>36</v>
      </c>
      <c r="C342" s="15">
        <f t="shared" si="77"/>
        <v>0.8482142857142857</v>
      </c>
      <c r="D342" s="15">
        <f t="shared" si="78"/>
        <v>0.89188370684433682</v>
      </c>
      <c r="E342" s="15">
        <f t="shared" si="79"/>
        <v>0.95103686635944695</v>
      </c>
      <c r="F342" s="16">
        <v>112</v>
      </c>
      <c r="G342" s="16" t="s">
        <v>102</v>
      </c>
      <c r="H342" s="16">
        <v>3472</v>
      </c>
      <c r="I342" s="16">
        <f t="shared" si="80"/>
        <v>170</v>
      </c>
      <c r="J342" s="16">
        <v>3302</v>
      </c>
      <c r="K342" s="16">
        <v>2945</v>
      </c>
      <c r="L342" s="16">
        <f t="shared" si="81"/>
        <v>357</v>
      </c>
    </row>
    <row r="343" spans="1:12" s="18" customFormat="1" ht="15" customHeight="1">
      <c r="A343" s="18">
        <v>2021</v>
      </c>
      <c r="B343" s="18" t="s">
        <v>37</v>
      </c>
      <c r="C343" s="15">
        <f t="shared" si="77"/>
        <v>0.87340561224489799</v>
      </c>
      <c r="D343" s="15">
        <f t="shared" si="78"/>
        <v>0.90039447731755429</v>
      </c>
      <c r="E343" s="15">
        <f t="shared" si="79"/>
        <v>0.97002551020408168</v>
      </c>
      <c r="F343" s="16">
        <v>112</v>
      </c>
      <c r="G343" s="16" t="s">
        <v>102</v>
      </c>
      <c r="H343" s="16">
        <v>3136</v>
      </c>
      <c r="I343" s="16">
        <f t="shared" si="80"/>
        <v>94</v>
      </c>
      <c r="J343" s="16">
        <v>3042</v>
      </c>
      <c r="K343" s="16">
        <v>2739</v>
      </c>
      <c r="L343" s="16">
        <f t="shared" si="81"/>
        <v>303</v>
      </c>
    </row>
    <row r="344" spans="1:12" s="18" customFormat="1" ht="15" customHeight="1">
      <c r="A344" s="18">
        <v>2021</v>
      </c>
      <c r="B344" s="18" t="s">
        <v>38</v>
      </c>
      <c r="C344" s="15">
        <f t="shared" si="77"/>
        <v>0.83957373271889402</v>
      </c>
      <c r="D344" s="15">
        <f t="shared" si="78"/>
        <v>0.87197128327849238</v>
      </c>
      <c r="E344" s="15">
        <f t="shared" si="79"/>
        <v>0.96284562211981561</v>
      </c>
      <c r="F344" s="16">
        <v>112</v>
      </c>
      <c r="G344" s="16" t="s">
        <v>102</v>
      </c>
      <c r="H344" s="16">
        <v>3472</v>
      </c>
      <c r="I344" s="16">
        <f t="shared" si="80"/>
        <v>129</v>
      </c>
      <c r="J344" s="16">
        <v>3343</v>
      </c>
      <c r="K344" s="16">
        <v>2915</v>
      </c>
      <c r="L344" s="16">
        <f t="shared" si="81"/>
        <v>428</v>
      </c>
    </row>
    <row r="345" spans="1:12" s="18" customFormat="1" ht="15" customHeight="1">
      <c r="A345" s="18">
        <v>2021</v>
      </c>
      <c r="B345" s="18" t="s">
        <v>39</v>
      </c>
      <c r="C345" s="15">
        <f t="shared" si="77"/>
        <v>0.85446428571428568</v>
      </c>
      <c r="D345" s="15">
        <f t="shared" si="78"/>
        <v>0.91374920432845319</v>
      </c>
      <c r="E345" s="15">
        <f t="shared" si="79"/>
        <v>0.93511904761904763</v>
      </c>
      <c r="F345" s="16">
        <v>112</v>
      </c>
      <c r="G345" s="16" t="s">
        <v>102</v>
      </c>
      <c r="H345" s="16">
        <v>3360</v>
      </c>
      <c r="I345" s="16">
        <f t="shared" si="80"/>
        <v>218</v>
      </c>
      <c r="J345" s="16">
        <v>3142</v>
      </c>
      <c r="K345" s="16">
        <v>2871</v>
      </c>
      <c r="L345" s="16">
        <f t="shared" si="81"/>
        <v>271</v>
      </c>
    </row>
    <row r="346" spans="1:12" s="18" customFormat="1" ht="15" customHeight="1">
      <c r="A346" s="18">
        <v>2021</v>
      </c>
      <c r="B346" s="18" t="s">
        <v>40</v>
      </c>
      <c r="C346" s="15">
        <f t="shared" si="77"/>
        <v>0.90351382488479259</v>
      </c>
      <c r="D346" s="15">
        <f t="shared" si="78"/>
        <v>0.92810650887573964</v>
      </c>
      <c r="E346" s="15">
        <f t="shared" si="79"/>
        <v>0.97350230414746541</v>
      </c>
      <c r="F346" s="16">
        <v>112</v>
      </c>
      <c r="G346" s="16" t="s">
        <v>102</v>
      </c>
      <c r="H346" s="16">
        <v>3472</v>
      </c>
      <c r="I346" s="16">
        <f t="shared" si="80"/>
        <v>92</v>
      </c>
      <c r="J346" s="16">
        <v>3380</v>
      </c>
      <c r="K346" s="16">
        <v>3137</v>
      </c>
      <c r="L346" s="16">
        <f t="shared" si="81"/>
        <v>243</v>
      </c>
    </row>
    <row r="347" spans="1:12" s="18" customFormat="1" ht="15" customHeight="1">
      <c r="A347" s="18">
        <v>2021</v>
      </c>
      <c r="B347" s="18" t="s">
        <v>41</v>
      </c>
      <c r="C347" s="15">
        <f t="shared" si="77"/>
        <v>0.89821428571428574</v>
      </c>
      <c r="D347" s="15">
        <f t="shared" si="78"/>
        <v>0.92321810951361272</v>
      </c>
      <c r="E347" s="15">
        <f t="shared" si="79"/>
        <v>0.97291666666666665</v>
      </c>
      <c r="F347" s="16">
        <v>112</v>
      </c>
      <c r="G347" s="16" t="s">
        <v>102</v>
      </c>
      <c r="H347" s="16">
        <v>3360</v>
      </c>
      <c r="I347" s="16">
        <f t="shared" si="80"/>
        <v>91</v>
      </c>
      <c r="J347" s="16">
        <v>3269</v>
      </c>
      <c r="K347" s="16">
        <v>3018</v>
      </c>
      <c r="L347" s="16">
        <f t="shared" si="81"/>
        <v>251</v>
      </c>
    </row>
    <row r="348" spans="1:12" s="18" customFormat="1" ht="15" customHeight="1">
      <c r="A348" s="18">
        <v>2021</v>
      </c>
      <c r="B348" s="18" t="s">
        <v>42</v>
      </c>
      <c r="C348" s="15">
        <f t="shared" si="77"/>
        <v>0.89141705069124422</v>
      </c>
      <c r="D348" s="15">
        <f t="shared" si="78"/>
        <v>0.92720191731575796</v>
      </c>
      <c r="E348" s="15">
        <f t="shared" si="79"/>
        <v>0.96140552995391704</v>
      </c>
      <c r="F348" s="16">
        <v>112</v>
      </c>
      <c r="G348" s="16" t="s">
        <v>102</v>
      </c>
      <c r="H348" s="16">
        <v>3472</v>
      </c>
      <c r="I348" s="16">
        <f t="shared" si="80"/>
        <v>134</v>
      </c>
      <c r="J348" s="16">
        <v>3338</v>
      </c>
      <c r="K348" s="16">
        <v>3095</v>
      </c>
      <c r="L348" s="16">
        <f t="shared" si="81"/>
        <v>243</v>
      </c>
    </row>
    <row r="349" spans="1:12" s="18" customFormat="1" ht="15" customHeight="1">
      <c r="A349" s="18">
        <v>2021</v>
      </c>
      <c r="B349" s="18" t="s">
        <v>43</v>
      </c>
      <c r="C349" s="15">
        <f t="shared" si="77"/>
        <v>0.85829493087557607</v>
      </c>
      <c r="D349" s="15">
        <f t="shared" si="78"/>
        <v>0.8858501783590963</v>
      </c>
      <c r="E349" s="15">
        <f t="shared" si="79"/>
        <v>0.96889400921658986</v>
      </c>
      <c r="F349" s="16">
        <v>112</v>
      </c>
      <c r="G349" s="16" t="s">
        <v>102</v>
      </c>
      <c r="H349" s="16">
        <v>3472</v>
      </c>
      <c r="I349" s="16">
        <f t="shared" si="80"/>
        <v>108</v>
      </c>
      <c r="J349" s="16">
        <v>3364</v>
      </c>
      <c r="K349" s="16">
        <v>2980</v>
      </c>
      <c r="L349" s="16">
        <f t="shared" si="81"/>
        <v>384</v>
      </c>
    </row>
    <row r="350" spans="1:12" s="18" customFormat="1" ht="15" customHeight="1">
      <c r="A350" s="18">
        <v>2021</v>
      </c>
      <c r="B350" s="18" t="s">
        <v>44</v>
      </c>
      <c r="C350" s="15">
        <f t="shared" si="77"/>
        <v>0.75089285714285714</v>
      </c>
      <c r="D350" s="15">
        <f t="shared" si="78"/>
        <v>0.79589905362776026</v>
      </c>
      <c r="E350" s="15">
        <f t="shared" si="79"/>
        <v>0.94345238095238093</v>
      </c>
      <c r="F350" s="16">
        <v>112</v>
      </c>
      <c r="G350" s="16" t="s">
        <v>102</v>
      </c>
      <c r="H350" s="16">
        <v>3360</v>
      </c>
      <c r="I350" s="16">
        <f t="shared" si="80"/>
        <v>190</v>
      </c>
      <c r="J350" s="16">
        <v>3170</v>
      </c>
      <c r="K350" s="16">
        <v>2523</v>
      </c>
      <c r="L350" s="16">
        <f t="shared" si="81"/>
        <v>647</v>
      </c>
    </row>
    <row r="351" spans="1:12" s="18" customFormat="1" ht="15" customHeight="1">
      <c r="A351" s="18">
        <v>2021</v>
      </c>
      <c r="B351" s="18" t="s">
        <v>45</v>
      </c>
      <c r="C351" s="15">
        <f t="shared" si="77"/>
        <v>0.77937788018433185</v>
      </c>
      <c r="D351" s="15">
        <f t="shared" si="78"/>
        <v>0.80848521063639078</v>
      </c>
      <c r="E351" s="15">
        <f t="shared" si="79"/>
        <v>0.96399769585253459</v>
      </c>
      <c r="F351" s="16">
        <v>112</v>
      </c>
      <c r="G351" s="16" t="s">
        <v>102</v>
      </c>
      <c r="H351" s="16">
        <v>3472</v>
      </c>
      <c r="I351" s="16">
        <f t="shared" si="80"/>
        <v>125</v>
      </c>
      <c r="J351" s="16">
        <v>3347</v>
      </c>
      <c r="K351" s="16">
        <v>2706</v>
      </c>
      <c r="L351" s="16">
        <f t="shared" si="81"/>
        <v>641</v>
      </c>
    </row>
    <row r="352" spans="1:12" s="18" customFormat="1" ht="15" customHeight="1">
      <c r="A352" s="18">
        <v>2021</v>
      </c>
      <c r="B352" s="18" t="s">
        <v>46</v>
      </c>
      <c r="C352" s="15">
        <f t="shared" si="77"/>
        <v>0.78914002205071665</v>
      </c>
      <c r="D352" s="15">
        <f t="shared" si="78"/>
        <v>0.81381466742467312</v>
      </c>
      <c r="E352" s="15">
        <f t="shared" si="79"/>
        <v>0.9696802646085998</v>
      </c>
      <c r="F352" s="16">
        <v>112</v>
      </c>
      <c r="G352" s="16" t="s">
        <v>102</v>
      </c>
      <c r="H352" s="16">
        <v>3628</v>
      </c>
      <c r="I352" s="16">
        <f t="shared" si="80"/>
        <v>110</v>
      </c>
      <c r="J352" s="16">
        <v>3518</v>
      </c>
      <c r="K352" s="16">
        <v>2863</v>
      </c>
      <c r="L352" s="16">
        <f t="shared" si="81"/>
        <v>655</v>
      </c>
    </row>
    <row r="353" spans="1:13" s="18" customFormat="1" ht="15" customHeight="1">
      <c r="A353" s="18">
        <v>2021</v>
      </c>
      <c r="B353" s="18" t="s">
        <v>47</v>
      </c>
      <c r="C353" s="15">
        <f t="shared" ref="C353:C359" si="82">K353/H353</f>
        <v>0.78153153153153154</v>
      </c>
      <c r="D353" s="15">
        <f t="shared" ref="D353:D359" si="83">K353/J353</f>
        <v>0.81608654750705545</v>
      </c>
      <c r="E353" s="15">
        <f t="shared" ref="E353:E359" si="84">J353/H353</f>
        <v>0.95765765765765765</v>
      </c>
      <c r="F353" s="16">
        <v>112</v>
      </c>
      <c r="G353" s="16" t="s">
        <v>102</v>
      </c>
      <c r="H353" s="16">
        <v>4440</v>
      </c>
      <c r="I353" s="16">
        <f t="shared" si="80"/>
        <v>188</v>
      </c>
      <c r="J353" s="16">
        <v>4252</v>
      </c>
      <c r="K353" s="16">
        <v>3470</v>
      </c>
      <c r="L353" s="16">
        <f t="shared" ref="L353:L359" si="85">J353-K353</f>
        <v>782</v>
      </c>
    </row>
    <row r="354" spans="1:13" s="18" customFormat="1" ht="15" customHeight="1">
      <c r="A354" s="18">
        <v>2022</v>
      </c>
      <c r="B354" s="18" t="s">
        <v>36</v>
      </c>
      <c r="C354" s="15">
        <f t="shared" si="82"/>
        <v>0.77916194790486981</v>
      </c>
      <c r="D354" s="15">
        <f t="shared" si="83"/>
        <v>0.82533589251439543</v>
      </c>
      <c r="E354" s="15">
        <f t="shared" si="84"/>
        <v>0.94405436013590038</v>
      </c>
      <c r="F354" s="26">
        <v>153</v>
      </c>
      <c r="G354" s="26" t="s">
        <v>102</v>
      </c>
      <c r="H354" s="16">
        <v>4415</v>
      </c>
      <c r="I354" s="16">
        <f t="shared" si="80"/>
        <v>247</v>
      </c>
      <c r="J354" s="16">
        <v>4168</v>
      </c>
      <c r="K354" s="16">
        <v>3440</v>
      </c>
      <c r="L354" s="16">
        <f t="shared" si="85"/>
        <v>728</v>
      </c>
    </row>
    <row r="355" spans="1:13" s="18" customFormat="1" ht="15" customHeight="1">
      <c r="A355" s="18">
        <v>2022</v>
      </c>
      <c r="B355" s="18" t="s">
        <v>37</v>
      </c>
      <c r="C355" s="15">
        <f t="shared" si="82"/>
        <v>0.79068602904356533</v>
      </c>
      <c r="D355" s="15">
        <f t="shared" si="83"/>
        <v>0.82089940213153101</v>
      </c>
      <c r="E355" s="15">
        <f t="shared" si="84"/>
        <v>0.96319479218828241</v>
      </c>
      <c r="F355" s="26">
        <v>153</v>
      </c>
      <c r="G355" s="26" t="s">
        <v>102</v>
      </c>
      <c r="H355" s="16">
        <v>3994</v>
      </c>
      <c r="I355" s="16">
        <f t="shared" si="80"/>
        <v>147</v>
      </c>
      <c r="J355" s="16">
        <v>3847</v>
      </c>
      <c r="K355" s="16">
        <v>3158</v>
      </c>
      <c r="L355" s="16">
        <f t="shared" si="85"/>
        <v>689</v>
      </c>
    </row>
    <row r="356" spans="1:13" s="18" customFormat="1" ht="15" customHeight="1">
      <c r="A356" s="18">
        <v>2022</v>
      </c>
      <c r="B356" s="18" t="s">
        <v>38</v>
      </c>
      <c r="C356" s="15">
        <f t="shared" si="82"/>
        <v>0.78505096262740659</v>
      </c>
      <c r="D356" s="15">
        <f t="shared" si="83"/>
        <v>0.84207968901846453</v>
      </c>
      <c r="E356" s="15">
        <f t="shared" si="84"/>
        <v>0.93227633069082672</v>
      </c>
      <c r="F356" s="26">
        <v>153</v>
      </c>
      <c r="G356" s="26" t="s">
        <v>102</v>
      </c>
      <c r="H356" s="16">
        <v>4415</v>
      </c>
      <c r="I356" s="16">
        <f t="shared" si="80"/>
        <v>299</v>
      </c>
      <c r="J356" s="16">
        <v>4116</v>
      </c>
      <c r="K356" s="16">
        <v>3466</v>
      </c>
      <c r="L356" s="16">
        <f t="shared" si="85"/>
        <v>650</v>
      </c>
    </row>
    <row r="357" spans="1:13" s="18" customFormat="1" ht="15" customHeight="1">
      <c r="A357" s="18">
        <v>2022</v>
      </c>
      <c r="B357" s="18" t="s">
        <v>39</v>
      </c>
      <c r="C357" s="15">
        <f t="shared" si="82"/>
        <v>0.79900568181818177</v>
      </c>
      <c r="D357" s="15">
        <f t="shared" si="83"/>
        <v>0.82761157430112797</v>
      </c>
      <c r="E357" s="15">
        <f t="shared" si="84"/>
        <v>0.96543560606060608</v>
      </c>
      <c r="F357" s="26">
        <v>153</v>
      </c>
      <c r="G357" s="26" t="s">
        <v>102</v>
      </c>
      <c r="H357" s="16">
        <v>4224</v>
      </c>
      <c r="I357" s="16">
        <f t="shared" ref="I357:I365" si="86">H357-J357</f>
        <v>146</v>
      </c>
      <c r="J357" s="16">
        <v>4078</v>
      </c>
      <c r="K357" s="16">
        <v>3375</v>
      </c>
      <c r="L357" s="16">
        <f t="shared" si="85"/>
        <v>703</v>
      </c>
    </row>
    <row r="358" spans="1:13" s="18" customFormat="1" ht="15" customHeight="1">
      <c r="A358" s="18">
        <v>2022</v>
      </c>
      <c r="B358" s="18" t="s">
        <v>40</v>
      </c>
      <c r="C358" s="15">
        <f t="shared" si="82"/>
        <v>0.69956591272561119</v>
      </c>
      <c r="D358" s="15">
        <f t="shared" si="83"/>
        <v>0.72404823835422083</v>
      </c>
      <c r="E358" s="15">
        <f t="shared" si="84"/>
        <v>0.96618688599497371</v>
      </c>
      <c r="F358" s="26">
        <v>153</v>
      </c>
      <c r="G358" s="26" t="s">
        <v>102</v>
      </c>
      <c r="H358" s="16">
        <v>4377</v>
      </c>
      <c r="I358" s="16">
        <f t="shared" si="86"/>
        <v>148</v>
      </c>
      <c r="J358" s="16">
        <v>4229</v>
      </c>
      <c r="K358" s="16">
        <v>3062</v>
      </c>
      <c r="L358" s="16">
        <f t="shared" si="85"/>
        <v>1167</v>
      </c>
    </row>
    <row r="359" spans="1:13" s="18" customFormat="1" ht="15" customHeight="1">
      <c r="A359" s="18">
        <v>2022</v>
      </c>
      <c r="B359" s="18" t="s">
        <v>41</v>
      </c>
      <c r="C359" s="15">
        <f t="shared" si="82"/>
        <v>0.69474425152510555</v>
      </c>
      <c r="D359" s="15">
        <f t="shared" si="83"/>
        <v>0.72166707287350718</v>
      </c>
      <c r="E359" s="15">
        <f t="shared" si="84"/>
        <v>0.96269357109338338</v>
      </c>
      <c r="F359" s="26">
        <v>153</v>
      </c>
      <c r="G359" s="26" t="s">
        <v>102</v>
      </c>
      <c r="H359" s="16">
        <v>4262</v>
      </c>
      <c r="I359" s="16">
        <f t="shared" si="86"/>
        <v>159</v>
      </c>
      <c r="J359" s="16">
        <v>4103</v>
      </c>
      <c r="K359" s="16">
        <v>2961</v>
      </c>
      <c r="L359" s="16">
        <f t="shared" si="85"/>
        <v>1142</v>
      </c>
    </row>
    <row r="360" spans="1:13" s="18" customFormat="1" ht="15" customHeight="1">
      <c r="A360" s="18">
        <v>2022</v>
      </c>
      <c r="B360" s="21" t="s">
        <v>42</v>
      </c>
      <c r="C360" s="15">
        <f t="shared" ref="C360:C365" si="87">K360/H360</f>
        <v>0.57667044167610415</v>
      </c>
      <c r="D360" s="15">
        <f t="shared" ref="D360:D365" si="88">K360/J360</f>
        <v>0.59863625675993415</v>
      </c>
      <c r="E360" s="15">
        <f t="shared" ref="E360:E365" si="89">J360/H360</f>
        <v>0.96330690826727072</v>
      </c>
      <c r="F360" s="26">
        <v>153</v>
      </c>
      <c r="G360" s="26" t="s">
        <v>102</v>
      </c>
      <c r="H360" s="16">
        <v>4415</v>
      </c>
      <c r="I360" s="16">
        <f t="shared" si="86"/>
        <v>162</v>
      </c>
      <c r="J360" s="16">
        <v>4253</v>
      </c>
      <c r="K360" s="16">
        <v>2546</v>
      </c>
      <c r="L360" s="16">
        <f t="shared" ref="L360:L365" si="90">J360-K360</f>
        <v>1707</v>
      </c>
    </row>
    <row r="361" spans="1:13" s="18" customFormat="1" ht="15" customHeight="1">
      <c r="A361" s="18">
        <v>2022</v>
      </c>
      <c r="B361" s="21" t="s">
        <v>43</v>
      </c>
      <c r="C361" s="15">
        <f t="shared" si="87"/>
        <v>0.62250168425780372</v>
      </c>
      <c r="D361" s="15">
        <f t="shared" si="88"/>
        <v>0.64963674712913055</v>
      </c>
      <c r="E361" s="15">
        <f t="shared" si="89"/>
        <v>0.95823040646754998</v>
      </c>
      <c r="F361" s="26">
        <v>153</v>
      </c>
      <c r="G361" s="26" t="s">
        <v>102</v>
      </c>
      <c r="H361" s="16">
        <v>4453</v>
      </c>
      <c r="I361" s="16">
        <f t="shared" si="86"/>
        <v>186</v>
      </c>
      <c r="J361" s="16">
        <v>4267</v>
      </c>
      <c r="K361" s="16">
        <v>2772</v>
      </c>
      <c r="L361" s="16">
        <f t="shared" si="90"/>
        <v>1495</v>
      </c>
    </row>
    <row r="362" spans="1:13" s="18" customFormat="1" ht="15" customHeight="1">
      <c r="A362" s="88">
        <v>2022</v>
      </c>
      <c r="B362" s="89" t="s">
        <v>44</v>
      </c>
      <c r="C362" s="15">
        <f t="shared" si="87"/>
        <v>0.66920239741816501</v>
      </c>
      <c r="D362" s="15">
        <f t="shared" si="88"/>
        <v>0.70086914534041522</v>
      </c>
      <c r="E362" s="15">
        <f t="shared" si="89"/>
        <v>0.95481788842784698</v>
      </c>
      <c r="F362" s="26">
        <v>153</v>
      </c>
      <c r="G362" s="26" t="s">
        <v>102</v>
      </c>
      <c r="H362" s="16">
        <v>4338</v>
      </c>
      <c r="I362" s="16">
        <f t="shared" si="86"/>
        <v>196</v>
      </c>
      <c r="J362" s="16">
        <v>4142</v>
      </c>
      <c r="K362" s="16">
        <v>2903</v>
      </c>
      <c r="L362" s="16">
        <f t="shared" si="90"/>
        <v>1239</v>
      </c>
    </row>
    <row r="363" spans="1:13" s="18" customFormat="1" ht="15" customHeight="1">
      <c r="A363" s="18">
        <v>2022</v>
      </c>
      <c r="B363" s="18" t="s">
        <v>45</v>
      </c>
      <c r="C363" s="15">
        <f t="shared" si="87"/>
        <v>0.71507352941176472</v>
      </c>
      <c r="D363" s="15">
        <f t="shared" si="88"/>
        <v>0.74042350701879611</v>
      </c>
      <c r="E363" s="15">
        <f t="shared" si="89"/>
        <v>0.96576286764705888</v>
      </c>
      <c r="F363" s="26">
        <v>153</v>
      </c>
      <c r="G363" s="26" t="s">
        <v>102</v>
      </c>
      <c r="H363" s="16">
        <v>4352</v>
      </c>
      <c r="I363" s="16">
        <f t="shared" si="86"/>
        <v>149</v>
      </c>
      <c r="J363" s="16">
        <v>4203</v>
      </c>
      <c r="K363" s="16">
        <v>3112</v>
      </c>
      <c r="L363" s="16">
        <f t="shared" si="90"/>
        <v>1091</v>
      </c>
    </row>
    <row r="364" spans="1:13" s="18" customFormat="1" ht="15" customHeight="1">
      <c r="A364" s="18">
        <v>2022</v>
      </c>
      <c r="B364" s="18" t="s">
        <v>46</v>
      </c>
      <c r="C364" s="15">
        <f t="shared" si="87"/>
        <v>0.62395348837209297</v>
      </c>
      <c r="D364" s="15">
        <f t="shared" si="88"/>
        <v>0.65970002458814847</v>
      </c>
      <c r="E364" s="15">
        <f t="shared" si="89"/>
        <v>0.94581395348837205</v>
      </c>
      <c r="F364" s="26">
        <v>153</v>
      </c>
      <c r="G364" s="26" t="s">
        <v>102</v>
      </c>
      <c r="H364" s="16">
        <v>4300</v>
      </c>
      <c r="I364" s="16">
        <f t="shared" si="86"/>
        <v>233</v>
      </c>
      <c r="J364" s="16">
        <v>4067</v>
      </c>
      <c r="K364" s="16">
        <v>2683</v>
      </c>
      <c r="L364" s="16">
        <f t="shared" si="90"/>
        <v>1384</v>
      </c>
    </row>
    <row r="365" spans="1:13" s="18" customFormat="1" ht="15" customHeight="1">
      <c r="A365" s="18">
        <v>2022</v>
      </c>
      <c r="B365" s="18" t="s">
        <v>47</v>
      </c>
      <c r="C365" s="15">
        <f t="shared" si="87"/>
        <v>0.66902050113895217</v>
      </c>
      <c r="D365" s="15">
        <f t="shared" si="88"/>
        <v>0.71932402645113891</v>
      </c>
      <c r="E365" s="15">
        <f t="shared" si="89"/>
        <v>0.93006833712984049</v>
      </c>
      <c r="F365" s="26">
        <v>153</v>
      </c>
      <c r="G365" s="26" t="s">
        <v>102</v>
      </c>
      <c r="H365" s="16">
        <v>4390</v>
      </c>
      <c r="I365" s="16">
        <f t="shared" si="86"/>
        <v>307</v>
      </c>
      <c r="J365" s="16">
        <v>4083</v>
      </c>
      <c r="K365" s="16">
        <v>2937</v>
      </c>
      <c r="L365" s="16">
        <f t="shared" si="90"/>
        <v>1146</v>
      </c>
    </row>
    <row r="366" spans="1:13" s="18" customFormat="1" ht="15" customHeight="1">
      <c r="A366" s="18">
        <v>2023</v>
      </c>
      <c r="B366" s="21" t="s">
        <v>36</v>
      </c>
      <c r="C366" s="15">
        <f t="shared" ref="C366:C371" si="91">K366/H366</f>
        <v>0.69144397035706262</v>
      </c>
      <c r="D366" s="15">
        <f t="shared" ref="D366:D371" si="92">K366/J366</f>
        <v>0.73819228002877013</v>
      </c>
      <c r="E366" s="15">
        <f t="shared" ref="E366:E371" si="93">J366/H366</f>
        <v>0.93667190657983379</v>
      </c>
      <c r="F366" s="26">
        <v>153</v>
      </c>
      <c r="G366" s="26" t="s">
        <v>102</v>
      </c>
      <c r="H366" s="16">
        <v>4453</v>
      </c>
      <c r="I366" s="16">
        <f t="shared" ref="I366:I371" si="94">H366-J366</f>
        <v>282</v>
      </c>
      <c r="J366" s="16">
        <v>4171</v>
      </c>
      <c r="K366" s="16">
        <v>3079</v>
      </c>
      <c r="L366" s="16">
        <f t="shared" ref="L366:L371" si="95">J366-K366</f>
        <v>1092</v>
      </c>
    </row>
    <row r="367" spans="1:13" s="18" customFormat="1" ht="15" customHeight="1">
      <c r="A367" s="18">
        <v>2023</v>
      </c>
      <c r="B367" s="21" t="s">
        <v>37</v>
      </c>
      <c r="C367" s="15">
        <f t="shared" si="91"/>
        <v>0.58133487431378217</v>
      </c>
      <c r="D367" s="15">
        <f t="shared" si="92"/>
        <v>0.66380732431540745</v>
      </c>
      <c r="E367" s="15">
        <f t="shared" si="93"/>
        <v>0.87575845131464891</v>
      </c>
      <c r="F367" s="26">
        <v>153</v>
      </c>
      <c r="G367" s="26" t="s">
        <v>102</v>
      </c>
      <c r="H367" s="16">
        <v>3461</v>
      </c>
      <c r="I367" s="16">
        <f t="shared" si="94"/>
        <v>430</v>
      </c>
      <c r="J367" s="16">
        <v>3031</v>
      </c>
      <c r="K367" s="16">
        <v>2012</v>
      </c>
      <c r="L367" s="16">
        <f t="shared" si="95"/>
        <v>1019</v>
      </c>
    </row>
    <row r="368" spans="1:13" s="18" customFormat="1" ht="15" customHeight="1">
      <c r="A368" s="18">
        <v>2023</v>
      </c>
      <c r="B368" s="18" t="s">
        <v>38</v>
      </c>
      <c r="C368" s="15">
        <f t="shared" si="91"/>
        <v>0.56661991584852733</v>
      </c>
      <c r="D368" s="15">
        <f t="shared" si="92"/>
        <v>0.62558067513161975</v>
      </c>
      <c r="E368" s="15">
        <f t="shared" si="93"/>
        <v>0.90575035063113607</v>
      </c>
      <c r="F368" s="26">
        <v>115</v>
      </c>
      <c r="G368" s="26" t="s">
        <v>102</v>
      </c>
      <c r="H368" s="16">
        <v>3565</v>
      </c>
      <c r="I368" s="16">
        <f t="shared" si="94"/>
        <v>336</v>
      </c>
      <c r="J368" s="16">
        <v>3229</v>
      </c>
      <c r="K368" s="16">
        <v>2020</v>
      </c>
      <c r="L368" s="16">
        <f t="shared" si="95"/>
        <v>1209</v>
      </c>
      <c r="M368" s="18" t="s">
        <v>127</v>
      </c>
    </row>
    <row r="369" spans="1:15" s="18" customFormat="1" ht="15" customHeight="1">
      <c r="A369" s="18">
        <v>2023</v>
      </c>
      <c r="B369" s="18" t="s">
        <v>39</v>
      </c>
      <c r="C369" s="15">
        <f t="shared" si="91"/>
        <v>0.59971014492753627</v>
      </c>
      <c r="D369" s="15">
        <f t="shared" si="92"/>
        <v>0.65703397904096539</v>
      </c>
      <c r="E369" s="15">
        <f t="shared" si="93"/>
        <v>0.9127536231884058</v>
      </c>
      <c r="F369" s="26">
        <v>115</v>
      </c>
      <c r="G369" s="26" t="s">
        <v>102</v>
      </c>
      <c r="H369" s="16">
        <v>3450</v>
      </c>
      <c r="I369" s="16">
        <f t="shared" si="94"/>
        <v>301</v>
      </c>
      <c r="J369" s="16">
        <v>3149</v>
      </c>
      <c r="K369" s="16">
        <v>2069</v>
      </c>
      <c r="L369" s="16">
        <f t="shared" si="95"/>
        <v>1080</v>
      </c>
    </row>
    <row r="370" spans="1:15" s="18" customFormat="1" ht="15" customHeight="1">
      <c r="A370" s="18">
        <v>2023</v>
      </c>
      <c r="B370" s="18" t="s">
        <v>40</v>
      </c>
      <c r="C370" s="15">
        <f t="shared" si="91"/>
        <v>0.63197755960729318</v>
      </c>
      <c r="D370" s="15">
        <f t="shared" si="92"/>
        <v>0.67596759675967599</v>
      </c>
      <c r="E370" s="15">
        <f t="shared" si="93"/>
        <v>0.93492286115007017</v>
      </c>
      <c r="F370" s="26">
        <v>115</v>
      </c>
      <c r="G370" s="26" t="s">
        <v>102</v>
      </c>
      <c r="H370" s="16">
        <v>3565</v>
      </c>
      <c r="I370" s="16">
        <f t="shared" si="94"/>
        <v>232</v>
      </c>
      <c r="J370" s="16">
        <v>3333</v>
      </c>
      <c r="K370" s="16">
        <v>2253</v>
      </c>
      <c r="L370" s="16">
        <f t="shared" si="95"/>
        <v>1080</v>
      </c>
    </row>
    <row r="371" spans="1:15" s="18" customFormat="1" ht="15" customHeight="1">
      <c r="A371" s="18">
        <v>2023</v>
      </c>
      <c r="B371" s="18" t="s">
        <v>41</v>
      </c>
      <c r="C371" s="15">
        <f t="shared" si="91"/>
        <v>0.58324175824175828</v>
      </c>
      <c r="D371" s="15">
        <f t="shared" si="92"/>
        <v>0.61181556195965414</v>
      </c>
      <c r="E371" s="15">
        <f t="shared" si="93"/>
        <v>0.95329670329670335</v>
      </c>
      <c r="F371" s="26">
        <v>115</v>
      </c>
      <c r="G371" s="26" t="s">
        <v>102</v>
      </c>
      <c r="H371" s="16">
        <v>3640</v>
      </c>
      <c r="I371" s="16">
        <f t="shared" si="94"/>
        <v>170</v>
      </c>
      <c r="J371" s="16">
        <v>3470</v>
      </c>
      <c r="K371" s="16">
        <v>2123</v>
      </c>
      <c r="L371" s="16">
        <f t="shared" si="95"/>
        <v>1347</v>
      </c>
    </row>
    <row r="372" spans="1:15" s="18" customFormat="1" ht="15" customHeight="1">
      <c r="A372" s="18">
        <v>2023</v>
      </c>
      <c r="B372" s="18" t="s">
        <v>42</v>
      </c>
      <c r="C372" s="15">
        <f t="shared" ref="C372:C377" si="96">K372/H372</f>
        <v>0.51730460692184277</v>
      </c>
      <c r="D372" s="15">
        <f t="shared" ref="D372:D377" si="97">K372/J372</f>
        <v>0.5407283181600383</v>
      </c>
      <c r="E372" s="15">
        <f t="shared" ref="E372:E377" si="98">J372/H372</f>
        <v>0.95668118267247304</v>
      </c>
      <c r="F372" s="26">
        <v>115</v>
      </c>
      <c r="G372" s="26" t="s">
        <v>102</v>
      </c>
      <c r="H372" s="16">
        <v>4363</v>
      </c>
      <c r="I372" s="16">
        <f t="shared" ref="I372:I385" si="99">H372-J372</f>
        <v>189</v>
      </c>
      <c r="J372" s="16">
        <v>4174</v>
      </c>
      <c r="K372" s="16">
        <v>2257</v>
      </c>
      <c r="L372" s="16">
        <f t="shared" ref="L372:L377" si="100">J372-K372</f>
        <v>1917</v>
      </c>
    </row>
    <row r="373" spans="1:15" s="18" customFormat="1" ht="15" customHeight="1">
      <c r="A373" s="18">
        <v>2023</v>
      </c>
      <c r="B373" s="18" t="s">
        <v>43</v>
      </c>
      <c r="C373" s="15">
        <f t="shared" si="96"/>
        <v>0.6278118609406953</v>
      </c>
      <c r="D373" s="15">
        <f t="shared" si="97"/>
        <v>0.67324561403508776</v>
      </c>
      <c r="E373" s="15">
        <f t="shared" si="98"/>
        <v>0.93251533742331283</v>
      </c>
      <c r="F373" s="26">
        <v>115</v>
      </c>
      <c r="G373" s="26" t="s">
        <v>102</v>
      </c>
      <c r="H373" s="16">
        <v>4401</v>
      </c>
      <c r="I373" s="16">
        <f t="shared" si="99"/>
        <v>297</v>
      </c>
      <c r="J373" s="16">
        <v>4104</v>
      </c>
      <c r="K373" s="16">
        <v>2763</v>
      </c>
      <c r="L373" s="16">
        <f t="shared" si="100"/>
        <v>1341</v>
      </c>
    </row>
    <row r="374" spans="1:15" s="18" customFormat="1" ht="15" customHeight="1">
      <c r="A374" s="167">
        <v>2023</v>
      </c>
      <c r="B374" s="167" t="s">
        <v>44</v>
      </c>
      <c r="C374" s="169">
        <f t="shared" si="96"/>
        <v>0.653954802259887</v>
      </c>
      <c r="D374" s="169">
        <f t="shared" si="97"/>
        <v>0.70471841704718419</v>
      </c>
      <c r="E374" s="169">
        <f t="shared" si="98"/>
        <v>0.92796610169491522</v>
      </c>
      <c r="F374" s="171">
        <v>115</v>
      </c>
      <c r="G374" s="171" t="s">
        <v>102</v>
      </c>
      <c r="H374" s="168">
        <v>4248</v>
      </c>
      <c r="I374" s="16">
        <f t="shared" si="99"/>
        <v>306</v>
      </c>
      <c r="J374" s="168">
        <v>3942</v>
      </c>
      <c r="K374" s="168">
        <v>2778</v>
      </c>
      <c r="L374" s="168">
        <f t="shared" si="100"/>
        <v>1164</v>
      </c>
      <c r="M374" s="167"/>
    </row>
    <row r="375" spans="1:15" s="18" customFormat="1" ht="15" customHeight="1">
      <c r="A375" s="18">
        <v>2023</v>
      </c>
      <c r="B375" s="18" t="s">
        <v>45</v>
      </c>
      <c r="C375" s="15">
        <f t="shared" si="96"/>
        <v>0.62890173410404626</v>
      </c>
      <c r="D375" s="15">
        <f t="shared" si="97"/>
        <v>0.66503667481662587</v>
      </c>
      <c r="E375" s="15">
        <f t="shared" si="98"/>
        <v>0.94566473988439304</v>
      </c>
      <c r="F375" s="26">
        <v>115</v>
      </c>
      <c r="G375" s="26" t="s">
        <v>102</v>
      </c>
      <c r="H375" s="16">
        <v>4325</v>
      </c>
      <c r="I375" s="16">
        <f t="shared" si="99"/>
        <v>235</v>
      </c>
      <c r="J375" s="16">
        <v>4090</v>
      </c>
      <c r="K375" s="16">
        <v>2720</v>
      </c>
      <c r="L375" s="16">
        <f t="shared" si="100"/>
        <v>1370</v>
      </c>
    </row>
    <row r="376" spans="1:15" s="18" customFormat="1" ht="15" customHeight="1">
      <c r="A376" s="18">
        <v>2023</v>
      </c>
      <c r="B376" s="18" t="s">
        <v>46</v>
      </c>
      <c r="C376" s="15">
        <f t="shared" si="96"/>
        <v>0.62547080979284364</v>
      </c>
      <c r="D376" s="15">
        <f t="shared" si="97"/>
        <v>0.6480487804878049</v>
      </c>
      <c r="E376" s="15">
        <f t="shared" si="98"/>
        <v>0.96516007532956682</v>
      </c>
      <c r="F376" s="26">
        <v>115</v>
      </c>
      <c r="G376" s="26" t="s">
        <v>102</v>
      </c>
      <c r="H376" s="16">
        <v>4248</v>
      </c>
      <c r="I376" s="16">
        <f t="shared" si="99"/>
        <v>148</v>
      </c>
      <c r="J376" s="16">
        <v>4100</v>
      </c>
      <c r="K376" s="16">
        <v>2657</v>
      </c>
      <c r="L376" s="16">
        <f t="shared" si="100"/>
        <v>1443</v>
      </c>
    </row>
    <row r="377" spans="1:15" s="18" customFormat="1" ht="15" customHeight="1">
      <c r="A377" s="18">
        <v>2023</v>
      </c>
      <c r="B377" s="18" t="s">
        <v>47</v>
      </c>
      <c r="C377" s="15">
        <f t="shared" si="96"/>
        <v>0.65498076100897817</v>
      </c>
      <c r="D377" s="15">
        <f t="shared" si="97"/>
        <v>0.71521942110177406</v>
      </c>
      <c r="E377" s="15">
        <f t="shared" si="98"/>
        <v>0.91577597263787947</v>
      </c>
      <c r="F377" s="26">
        <f>151+22</f>
        <v>173</v>
      </c>
      <c r="G377" s="26">
        <v>7</v>
      </c>
      <c r="H377" s="16">
        <v>4678</v>
      </c>
      <c r="I377" s="16">
        <f t="shared" si="99"/>
        <v>394</v>
      </c>
      <c r="J377" s="16">
        <v>4284</v>
      </c>
      <c r="K377" s="16">
        <v>3064</v>
      </c>
      <c r="L377" s="16">
        <f t="shared" si="100"/>
        <v>1220</v>
      </c>
      <c r="M377" s="205" t="s">
        <v>164</v>
      </c>
    </row>
    <row r="378" spans="1:15" s="18" customFormat="1" ht="15" customHeight="1">
      <c r="A378" s="18">
        <v>2024</v>
      </c>
      <c r="B378" s="18" t="s">
        <v>36</v>
      </c>
      <c r="C378" s="208">
        <f t="shared" ref="C378:C383" si="101">K378/H378</f>
        <v>0.72709398348407395</v>
      </c>
      <c r="D378" s="208">
        <f t="shared" ref="D378:D383" si="102">K378/J378</f>
        <v>0.76121860848085632</v>
      </c>
      <c r="E378" s="208">
        <f t="shared" ref="E378:E383" si="103">J378/H378</f>
        <v>0.9551710578057413</v>
      </c>
      <c r="F378" s="209">
        <f t="shared" ref="F378:F383" si="104">151 + 22</f>
        <v>173</v>
      </c>
      <c r="G378" s="209">
        <v>7</v>
      </c>
      <c r="H378" s="16">
        <v>5086</v>
      </c>
      <c r="I378" s="16">
        <f t="shared" si="99"/>
        <v>228</v>
      </c>
      <c r="J378" s="16">
        <v>4858</v>
      </c>
      <c r="K378" s="16">
        <v>3698</v>
      </c>
      <c r="L378" s="16">
        <f t="shared" ref="L378:L383" si="105">J378-K378</f>
        <v>1160</v>
      </c>
    </row>
    <row r="379" spans="1:15" s="18" customFormat="1" ht="15" customHeight="1">
      <c r="A379" s="18">
        <v>2024</v>
      </c>
      <c r="B379" s="18" t="s">
        <v>37</v>
      </c>
      <c r="C379" s="208">
        <f t="shared" si="101"/>
        <v>0.61977021461088233</v>
      </c>
      <c r="D379" s="208">
        <f t="shared" si="102"/>
        <v>0.67445152158527955</v>
      </c>
      <c r="E379" s="208">
        <f t="shared" si="103"/>
        <v>0.91892477780186432</v>
      </c>
      <c r="F379" s="209">
        <f t="shared" si="104"/>
        <v>173</v>
      </c>
      <c r="G379" s="209">
        <f>7 - 2</f>
        <v>5</v>
      </c>
      <c r="H379" s="217">
        <v>4613</v>
      </c>
      <c r="I379" s="16">
        <f t="shared" si="99"/>
        <v>374</v>
      </c>
      <c r="J379" s="217">
        <v>4239</v>
      </c>
      <c r="K379" s="217">
        <v>2859</v>
      </c>
      <c r="L379" s="217">
        <f t="shared" si="105"/>
        <v>1380</v>
      </c>
      <c r="M379" s="216"/>
    </row>
    <row r="380" spans="1:15" s="18" customFormat="1" ht="15" customHeight="1">
      <c r="A380" s="18">
        <v>2024</v>
      </c>
      <c r="B380" s="18" t="s">
        <v>38</v>
      </c>
      <c r="C380" s="208">
        <f t="shared" si="101"/>
        <v>0.62100364225010118</v>
      </c>
      <c r="D380" s="208">
        <f t="shared" si="102"/>
        <v>0.64231896190874838</v>
      </c>
      <c r="E380" s="208">
        <f t="shared" si="103"/>
        <v>0.9668150546337515</v>
      </c>
      <c r="F380" s="209">
        <f t="shared" si="104"/>
        <v>173</v>
      </c>
      <c r="G380" s="209">
        <f>7 - 2</f>
        <v>5</v>
      </c>
      <c r="H380" s="217">
        <v>4942</v>
      </c>
      <c r="I380" s="16">
        <f t="shared" si="99"/>
        <v>164</v>
      </c>
      <c r="J380" s="217">
        <v>4778</v>
      </c>
      <c r="K380" s="217">
        <v>3069</v>
      </c>
      <c r="L380" s="217">
        <f t="shared" si="105"/>
        <v>1709</v>
      </c>
      <c r="M380" s="216"/>
    </row>
    <row r="381" spans="1:15" s="18" customFormat="1" ht="15" customHeight="1">
      <c r="A381" s="18">
        <v>2024</v>
      </c>
      <c r="B381" s="18" t="s">
        <v>39</v>
      </c>
      <c r="C381" s="208">
        <f t="shared" si="101"/>
        <v>0.58462181362306731</v>
      </c>
      <c r="D381" s="208">
        <f t="shared" si="102"/>
        <v>0.61011774967291754</v>
      </c>
      <c r="E381" s="208">
        <f t="shared" si="103"/>
        <v>0.95821145006268282</v>
      </c>
      <c r="F381" s="209">
        <f t="shared" si="104"/>
        <v>173</v>
      </c>
      <c r="G381" s="209">
        <f>7 - 2</f>
        <v>5</v>
      </c>
      <c r="H381" s="217">
        <v>4786</v>
      </c>
      <c r="I381" s="16">
        <f t="shared" si="99"/>
        <v>200</v>
      </c>
      <c r="J381" s="217">
        <v>4586</v>
      </c>
      <c r="K381" s="217">
        <v>2798</v>
      </c>
      <c r="L381" s="217">
        <f t="shared" si="105"/>
        <v>1788</v>
      </c>
      <c r="M381" s="216"/>
    </row>
    <row r="382" spans="1:15" s="18" customFormat="1" ht="15" customHeight="1">
      <c r="A382" s="18">
        <v>2024</v>
      </c>
      <c r="B382" s="18" t="s">
        <v>40</v>
      </c>
      <c r="C382" s="208">
        <f t="shared" si="101"/>
        <v>0.492810188989318</v>
      </c>
      <c r="D382" s="208">
        <f t="shared" si="102"/>
        <v>0.61845836555813349</v>
      </c>
      <c r="E382" s="208">
        <f t="shared" si="103"/>
        <v>0.79683648315529987</v>
      </c>
      <c r="F382" s="209">
        <f t="shared" si="104"/>
        <v>173</v>
      </c>
      <c r="G382" s="209">
        <f>7 - 2</f>
        <v>5</v>
      </c>
      <c r="H382" s="217">
        <v>4868</v>
      </c>
      <c r="I382" s="16">
        <f t="shared" si="99"/>
        <v>989</v>
      </c>
      <c r="J382" s="217">
        <v>3879</v>
      </c>
      <c r="K382" s="217">
        <v>2399</v>
      </c>
      <c r="L382" s="217">
        <f t="shared" si="105"/>
        <v>1480</v>
      </c>
      <c r="M382" s="216" t="s">
        <v>171</v>
      </c>
    </row>
    <row r="383" spans="1:15" s="18" customFormat="1" ht="15" customHeight="1">
      <c r="A383" s="18">
        <v>2024</v>
      </c>
      <c r="B383" s="18" t="s">
        <v>41</v>
      </c>
      <c r="C383" s="208">
        <f t="shared" si="101"/>
        <v>0.50817103201253633</v>
      </c>
      <c r="D383" s="208">
        <f t="shared" si="102"/>
        <v>0.5802658486707567</v>
      </c>
      <c r="E383" s="208">
        <f t="shared" si="103"/>
        <v>0.87575554063129613</v>
      </c>
      <c r="F383" s="209">
        <f t="shared" si="104"/>
        <v>173</v>
      </c>
      <c r="G383" s="209">
        <f>7 - 2</f>
        <v>5</v>
      </c>
      <c r="H383" s="217">
        <v>4467</v>
      </c>
      <c r="I383" s="16">
        <f t="shared" si="99"/>
        <v>555</v>
      </c>
      <c r="J383" s="217">
        <v>3912</v>
      </c>
      <c r="K383" s="217">
        <v>2270</v>
      </c>
      <c r="L383" s="217">
        <f t="shared" si="105"/>
        <v>1642</v>
      </c>
      <c r="M383" s="216" t="s">
        <v>171</v>
      </c>
    </row>
    <row r="384" spans="1:15" s="18" customFormat="1" ht="15" customHeight="1">
      <c r="A384" s="18">
        <v>2024</v>
      </c>
      <c r="B384" s="18" t="s">
        <v>42</v>
      </c>
      <c r="C384" s="208">
        <f>K384/H384</f>
        <v>0.44694208181449979</v>
      </c>
      <c r="D384" s="208">
        <f>K384/J384</f>
        <v>0.52373042240151879</v>
      </c>
      <c r="E384" s="208">
        <f>J384/H384</f>
        <v>0.85338193600648038</v>
      </c>
      <c r="F384" s="209">
        <v>166</v>
      </c>
      <c r="G384" s="209">
        <v>5</v>
      </c>
      <c r="H384" s="217">
        <v>4938</v>
      </c>
      <c r="I384" s="16">
        <f t="shared" si="99"/>
        <v>724</v>
      </c>
      <c r="J384" s="217">
        <v>4214</v>
      </c>
      <c r="K384" s="217">
        <v>2207</v>
      </c>
      <c r="L384" s="217">
        <f>J384-K384</f>
        <v>2007</v>
      </c>
      <c r="M384" s="216" t="s">
        <v>185</v>
      </c>
      <c r="O384" s="18" t="s">
        <v>174</v>
      </c>
    </row>
    <row r="385" spans="1:13" s="18" customFormat="1" ht="15" customHeight="1">
      <c r="A385" s="18">
        <v>2024</v>
      </c>
      <c r="B385" s="18" t="s">
        <v>43</v>
      </c>
      <c r="C385" s="208">
        <f>K385/H385</f>
        <v>0.40099700897308077</v>
      </c>
      <c r="D385" s="208">
        <f>K385/J385</f>
        <v>0.46028839551384754</v>
      </c>
      <c r="E385" s="208">
        <f>J385/H385</f>
        <v>0.87118644067796613</v>
      </c>
      <c r="F385" s="209">
        <v>166</v>
      </c>
      <c r="G385" s="209">
        <v>5</v>
      </c>
      <c r="H385" s="217">
        <v>5015</v>
      </c>
      <c r="I385" s="16">
        <f t="shared" si="99"/>
        <v>646</v>
      </c>
      <c r="J385" s="217">
        <v>4369</v>
      </c>
      <c r="K385" s="217">
        <v>2011</v>
      </c>
      <c r="L385" s="217">
        <f>J385-K385</f>
        <v>2358</v>
      </c>
      <c r="M385" s="216"/>
    </row>
    <row r="386" spans="1:13" s="18" customFormat="1" ht="15" customHeight="1">
      <c r="A386" s="18">
        <v>2024</v>
      </c>
      <c r="B386" s="18" t="s">
        <v>44</v>
      </c>
      <c r="C386" s="208">
        <f>K386/H386</f>
        <v>0.42738070431339864</v>
      </c>
      <c r="D386" s="208">
        <f>K386/J386</f>
        <v>0.48258823529411765</v>
      </c>
      <c r="E386" s="208">
        <f>J386/H386</f>
        <v>0.88560116690977286</v>
      </c>
      <c r="F386" s="209">
        <v>173</v>
      </c>
      <c r="G386" s="209">
        <v>5</v>
      </c>
      <c r="H386" s="217">
        <v>4799</v>
      </c>
      <c r="I386" s="217"/>
      <c r="J386" s="217">
        <v>4250</v>
      </c>
      <c r="K386" s="217">
        <v>2051</v>
      </c>
      <c r="L386" s="217">
        <f>J386-K386</f>
        <v>2199</v>
      </c>
      <c r="M386" s="216"/>
    </row>
    <row r="387" spans="1:13" s="18" customFormat="1" ht="15" customHeight="1">
      <c r="A387" s="2" t="s">
        <v>152</v>
      </c>
      <c r="B387" s="2"/>
      <c r="C387" s="140">
        <f>+SM[[#Totals],[Trenes Puntuales]]/SM[[#Totals],[Trenes Programados]]</f>
        <v>0.80838989566592545</v>
      </c>
      <c r="D387" s="140">
        <f>+SM[[#Totals],[Trenes Puntuales]]/SM[[#Totals],[Trenes Corridos]]</f>
        <v>0.85849592033333721</v>
      </c>
      <c r="E387" s="140">
        <f>+SM[[#Totals],[Trenes Corridos]]/SM[[#Totals],[Trenes Programados]]</f>
        <v>0.94163510451167143</v>
      </c>
      <c r="F387" s="141"/>
      <c r="G387" s="141"/>
      <c r="H387" s="141">
        <f>SUBTOTAL(109,SM[Trenes Programados])</f>
        <v>1829987</v>
      </c>
      <c r="I387" s="141">
        <f>SUBTOTAL(109,SM[Trenes Cancelados])</f>
        <v>106258</v>
      </c>
      <c r="J387" s="141">
        <f>SUBTOTAL(109,SM[Trenes Corridos])</f>
        <v>1723180</v>
      </c>
      <c r="K387" s="141">
        <f>SUBTOTAL(109,SM[Trenes Puntuales])</f>
        <v>1479343</v>
      </c>
      <c r="L387" s="141">
        <f>SUBTOTAL(109,SM[Trenes Atrasados])</f>
        <v>244752</v>
      </c>
      <c r="M387" s="2">
        <f>SUBTOTAL(103,SM[Observaciones])</f>
        <v>6</v>
      </c>
    </row>
    <row r="388" spans="1:13" s="18" customFormat="1" ht="15" customHeight="1">
      <c r="A388" s="2"/>
      <c r="B388" s="2"/>
      <c r="C388" s="140"/>
      <c r="D388" s="140"/>
      <c r="E388" s="140"/>
      <c r="F388" s="141"/>
      <c r="G388" s="141"/>
      <c r="H388" s="141"/>
      <c r="I388" s="141"/>
      <c r="J388" s="141"/>
      <c r="K388" s="141"/>
      <c r="L388" s="141"/>
      <c r="M388" s="2"/>
    </row>
    <row r="389" spans="1:13" s="18" customFormat="1" ht="15" customHeight="1">
      <c r="A389" s="2"/>
      <c r="B389" s="2"/>
      <c r="C389" s="140"/>
      <c r="D389" s="140"/>
      <c r="E389" s="140"/>
      <c r="F389" s="141"/>
      <c r="G389" s="141"/>
      <c r="H389" s="141"/>
      <c r="I389" s="141"/>
      <c r="J389" s="141"/>
      <c r="K389" s="141"/>
      <c r="L389" s="141"/>
      <c r="M389" s="2"/>
    </row>
    <row r="390" spans="1:13" s="18" customFormat="1" ht="15" customHeight="1">
      <c r="A390" s="2"/>
      <c r="B390" s="2"/>
      <c r="C390" s="140"/>
      <c r="D390" s="140"/>
      <c r="E390" s="140"/>
      <c r="F390" s="141"/>
      <c r="G390" s="141"/>
      <c r="H390" s="141"/>
      <c r="I390" s="141"/>
      <c r="J390" s="141"/>
      <c r="K390" s="141"/>
      <c r="L390" s="141"/>
      <c r="M390" s="2"/>
    </row>
    <row r="391" spans="1:13" s="18" customFormat="1" ht="15" customHeight="1">
      <c r="A391" s="2"/>
      <c r="B391" s="2"/>
      <c r="C391" s="140"/>
      <c r="D391" s="140"/>
      <c r="E391" s="140"/>
      <c r="F391" s="141"/>
      <c r="G391" s="141"/>
      <c r="H391" s="141"/>
      <c r="I391" s="141"/>
      <c r="J391" s="141"/>
      <c r="K391" s="141"/>
      <c r="L391" s="141"/>
      <c r="M391" s="2"/>
    </row>
    <row r="392" spans="1:13" s="18" customFormat="1" ht="15" customHeight="1">
      <c r="A392" s="2"/>
      <c r="B392" s="2"/>
      <c r="C392" s="140"/>
      <c r="D392" s="140"/>
      <c r="E392" s="140"/>
      <c r="F392" s="141"/>
      <c r="G392" s="141"/>
      <c r="H392" s="141"/>
      <c r="I392" s="141"/>
      <c r="J392" s="141"/>
      <c r="K392" s="141"/>
      <c r="L392" s="141"/>
      <c r="M392" s="2"/>
    </row>
    <row r="393" spans="1:13" s="18" customFormat="1" ht="15" customHeight="1">
      <c r="A393" s="2"/>
      <c r="B393" s="2"/>
      <c r="C393" s="140"/>
      <c r="D393" s="140"/>
      <c r="E393" s="140"/>
      <c r="F393" s="141"/>
      <c r="G393" s="141"/>
      <c r="H393" s="141"/>
      <c r="I393" s="141"/>
      <c r="J393" s="141"/>
      <c r="K393" s="141"/>
      <c r="L393" s="141"/>
      <c r="M393" s="2"/>
    </row>
    <row r="394" spans="1:13" s="74" customFormat="1" ht="45" customHeight="1">
      <c r="A394" s="18"/>
      <c r="B394" s="18"/>
      <c r="C394" s="18"/>
      <c r="D394" s="18"/>
      <c r="E394" s="18"/>
      <c r="F394" s="18"/>
      <c r="G394" s="18"/>
      <c r="H394" s="18"/>
      <c r="I394" s="18"/>
      <c r="J394" s="18"/>
      <c r="K394" s="18"/>
      <c r="L394" s="18"/>
      <c r="M394" s="18"/>
    </row>
    <row r="395" spans="1:13" s="18" customFormat="1" ht="38.25">
      <c r="A395" s="193" t="s">
        <v>107</v>
      </c>
      <c r="B395" s="194" t="s">
        <v>116</v>
      </c>
      <c r="C395" s="194" t="s">
        <v>117</v>
      </c>
      <c r="D395" s="194" t="s">
        <v>118</v>
      </c>
      <c r="E395" s="194" t="s">
        <v>120</v>
      </c>
      <c r="F395" s="194" t="s">
        <v>119</v>
      </c>
      <c r="G395" s="74"/>
      <c r="H395" s="74"/>
      <c r="I395" s="74"/>
      <c r="J395" s="74"/>
      <c r="K395" s="74"/>
      <c r="L395" s="74"/>
      <c r="M395" s="74"/>
    </row>
    <row r="396" spans="1:13" s="18" customFormat="1" ht="15" customHeight="1">
      <c r="A396" s="192">
        <v>1993</v>
      </c>
      <c r="B396" s="186">
        <v>42744</v>
      </c>
      <c r="C396" s="186">
        <v>1701</v>
      </c>
      <c r="D396" s="186">
        <v>41043</v>
      </c>
      <c r="E396" s="186">
        <v>35606</v>
      </c>
      <c r="F396" s="186">
        <v>5437</v>
      </c>
    </row>
    <row r="397" spans="1:13" s="18" customFormat="1" ht="15" customHeight="1">
      <c r="A397" s="192">
        <v>1994</v>
      </c>
      <c r="B397" s="186">
        <v>43815</v>
      </c>
      <c r="C397" s="186">
        <v>1248</v>
      </c>
      <c r="D397" s="186">
        <v>42567</v>
      </c>
      <c r="E397" s="186">
        <v>38653</v>
      </c>
      <c r="F397" s="186">
        <v>3914</v>
      </c>
    </row>
    <row r="398" spans="1:13" s="18" customFormat="1" ht="15" customHeight="1">
      <c r="A398" s="192">
        <v>1995</v>
      </c>
      <c r="B398" s="186">
        <v>51877</v>
      </c>
      <c r="C398" s="186">
        <v>650</v>
      </c>
      <c r="D398" s="186">
        <v>51227</v>
      </c>
      <c r="E398" s="186">
        <v>48614</v>
      </c>
      <c r="F398" s="186">
        <v>2613</v>
      </c>
    </row>
    <row r="399" spans="1:13" s="18" customFormat="1" ht="15" customHeight="1">
      <c r="A399" s="192">
        <v>1996</v>
      </c>
      <c r="B399" s="186">
        <v>56605</v>
      </c>
      <c r="C399" s="186">
        <v>2288</v>
      </c>
      <c r="D399" s="186">
        <v>54317</v>
      </c>
      <c r="E399" s="186">
        <v>50899</v>
      </c>
      <c r="F399" s="186">
        <v>3418</v>
      </c>
    </row>
    <row r="400" spans="1:13" s="18" customFormat="1" ht="15" customHeight="1">
      <c r="A400" s="192">
        <v>1997</v>
      </c>
      <c r="B400" s="186">
        <v>60919</v>
      </c>
      <c r="C400" s="186">
        <v>1444</v>
      </c>
      <c r="D400" s="186">
        <v>59475</v>
      </c>
      <c r="E400" s="186">
        <v>56431</v>
      </c>
      <c r="F400" s="186">
        <v>3044</v>
      </c>
    </row>
    <row r="401" spans="1:6" s="18" customFormat="1" ht="15" customHeight="1">
      <c r="A401" s="192">
        <v>1998</v>
      </c>
      <c r="B401" s="186">
        <v>63573</v>
      </c>
      <c r="C401" s="186">
        <v>716</v>
      </c>
      <c r="D401" s="186">
        <v>62857</v>
      </c>
      <c r="E401" s="186">
        <v>61495</v>
      </c>
      <c r="F401" s="186">
        <v>1362</v>
      </c>
    </row>
    <row r="402" spans="1:6" s="18" customFormat="1" ht="15" customHeight="1">
      <c r="A402" s="192">
        <v>1999</v>
      </c>
      <c r="B402" s="186">
        <v>63820</v>
      </c>
      <c r="C402" s="186">
        <v>547</v>
      </c>
      <c r="D402" s="186">
        <v>63273</v>
      </c>
      <c r="E402" s="186">
        <v>62066</v>
      </c>
      <c r="F402" s="186">
        <v>1207</v>
      </c>
    </row>
    <row r="403" spans="1:6" s="18" customFormat="1" ht="15" customHeight="1">
      <c r="A403" s="192">
        <v>2000</v>
      </c>
      <c r="B403" s="186">
        <v>63897</v>
      </c>
      <c r="C403" s="186">
        <v>1044</v>
      </c>
      <c r="D403" s="186">
        <v>62853</v>
      </c>
      <c r="E403" s="186">
        <v>60972</v>
      </c>
      <c r="F403" s="186">
        <v>1881</v>
      </c>
    </row>
    <row r="404" spans="1:6" s="18" customFormat="1" ht="15" customHeight="1">
      <c r="A404" s="192">
        <v>2001</v>
      </c>
      <c r="B404" s="186">
        <v>63803</v>
      </c>
      <c r="C404" s="186">
        <v>1367</v>
      </c>
      <c r="D404" s="186">
        <v>62436</v>
      </c>
      <c r="E404" s="186">
        <v>60870</v>
      </c>
      <c r="F404" s="186">
        <v>1566</v>
      </c>
    </row>
    <row r="405" spans="1:6" s="18" customFormat="1" ht="15" customHeight="1">
      <c r="A405" s="192">
        <v>2002</v>
      </c>
      <c r="B405" s="186">
        <v>54873</v>
      </c>
      <c r="C405" s="186">
        <v>1029</v>
      </c>
      <c r="D405" s="186">
        <v>53844</v>
      </c>
      <c r="E405" s="186">
        <v>50425</v>
      </c>
      <c r="F405" s="186">
        <v>3419</v>
      </c>
    </row>
    <row r="406" spans="1:6" s="18" customFormat="1" ht="15" customHeight="1">
      <c r="A406" s="192">
        <v>2003</v>
      </c>
      <c r="B406" s="186">
        <v>53370</v>
      </c>
      <c r="C406" s="186">
        <v>8694</v>
      </c>
      <c r="D406" s="186">
        <v>44676</v>
      </c>
      <c r="E406" s="186">
        <v>38647</v>
      </c>
      <c r="F406" s="186">
        <v>6029</v>
      </c>
    </row>
    <row r="407" spans="1:6" s="18" customFormat="1" ht="15" customHeight="1">
      <c r="A407" s="192">
        <v>2004</v>
      </c>
      <c r="B407" s="186">
        <v>53228</v>
      </c>
      <c r="C407" s="186">
        <v>6882</v>
      </c>
      <c r="D407" s="186">
        <v>46346</v>
      </c>
      <c r="E407" s="186">
        <v>38072</v>
      </c>
      <c r="F407" s="186">
        <v>8274</v>
      </c>
    </row>
    <row r="408" spans="1:6" s="18" customFormat="1" ht="15" customHeight="1">
      <c r="A408" s="192">
        <v>2005</v>
      </c>
      <c r="B408" s="186">
        <v>48820</v>
      </c>
      <c r="C408" s="186">
        <v>1767</v>
      </c>
      <c r="D408" s="186">
        <v>47053</v>
      </c>
      <c r="E408" s="186">
        <v>40539</v>
      </c>
      <c r="F408" s="186">
        <v>7429</v>
      </c>
    </row>
    <row r="409" spans="1:6" s="18" customFormat="1" ht="15" customHeight="1">
      <c r="A409" s="192">
        <v>2006</v>
      </c>
      <c r="B409" s="186">
        <v>59135</v>
      </c>
      <c r="C409" s="186">
        <v>2168</v>
      </c>
      <c r="D409" s="186">
        <v>56967</v>
      </c>
      <c r="E409" s="186">
        <v>47593</v>
      </c>
      <c r="F409" s="186">
        <v>9374</v>
      </c>
    </row>
    <row r="410" spans="1:6" s="18" customFormat="1" ht="15" customHeight="1">
      <c r="A410" s="192">
        <v>2007</v>
      </c>
      <c r="B410" s="186">
        <v>61485</v>
      </c>
      <c r="C410" s="186">
        <v>2258</v>
      </c>
      <c r="D410" s="186">
        <v>59227</v>
      </c>
      <c r="E410" s="186">
        <v>50889</v>
      </c>
      <c r="F410" s="186">
        <v>8338</v>
      </c>
    </row>
    <row r="411" spans="1:6" s="18" customFormat="1" ht="15" customHeight="1">
      <c r="A411" s="192">
        <v>2008</v>
      </c>
      <c r="B411" s="186">
        <v>60231</v>
      </c>
      <c r="C411" s="186">
        <v>1617</v>
      </c>
      <c r="D411" s="186">
        <v>58614</v>
      </c>
      <c r="E411" s="186">
        <v>52600</v>
      </c>
      <c r="F411" s="186">
        <v>6014</v>
      </c>
    </row>
    <row r="412" spans="1:6" s="18" customFormat="1" ht="15" customHeight="1">
      <c r="A412" s="192">
        <v>2009</v>
      </c>
      <c r="B412" s="186">
        <v>63361</v>
      </c>
      <c r="C412" s="186">
        <v>1818</v>
      </c>
      <c r="D412" s="186">
        <v>61543</v>
      </c>
      <c r="E412" s="186">
        <v>53259</v>
      </c>
      <c r="F412" s="186">
        <v>8284</v>
      </c>
    </row>
    <row r="413" spans="1:6" s="18" customFormat="1" ht="15" customHeight="1">
      <c r="A413" s="192">
        <v>2010</v>
      </c>
      <c r="B413" s="186">
        <v>66207</v>
      </c>
      <c r="C413" s="186">
        <v>3083</v>
      </c>
      <c r="D413" s="186">
        <v>63124</v>
      </c>
      <c r="E413" s="186">
        <v>54538</v>
      </c>
      <c r="F413" s="186">
        <v>8586</v>
      </c>
    </row>
    <row r="414" spans="1:6" s="18" customFormat="1" ht="15" customHeight="1">
      <c r="A414" s="192">
        <v>2011</v>
      </c>
      <c r="B414" s="186">
        <v>66219</v>
      </c>
      <c r="C414" s="186">
        <v>5878</v>
      </c>
      <c r="D414" s="186">
        <v>60341</v>
      </c>
      <c r="E414" s="186">
        <v>50245</v>
      </c>
      <c r="F414" s="186">
        <v>10096</v>
      </c>
    </row>
    <row r="415" spans="1:6" s="18" customFormat="1" ht="15" customHeight="1">
      <c r="A415" s="192">
        <v>2012</v>
      </c>
      <c r="B415" s="186">
        <v>66098</v>
      </c>
      <c r="C415" s="186">
        <v>5063</v>
      </c>
      <c r="D415" s="186">
        <v>61035</v>
      </c>
      <c r="E415" s="186">
        <v>50523</v>
      </c>
      <c r="F415" s="186">
        <v>10512</v>
      </c>
    </row>
    <row r="416" spans="1:6" s="18" customFormat="1" ht="15" customHeight="1">
      <c r="A416" s="192">
        <v>2013</v>
      </c>
      <c r="B416" s="186">
        <v>62014</v>
      </c>
      <c r="C416" s="186">
        <v>5259</v>
      </c>
      <c r="D416" s="186">
        <v>56755</v>
      </c>
      <c r="E416" s="186">
        <v>45673</v>
      </c>
      <c r="F416" s="186">
        <v>11082</v>
      </c>
    </row>
    <row r="417" spans="1:6" s="18" customFormat="1" ht="15" customHeight="1">
      <c r="A417" s="192">
        <v>2014</v>
      </c>
      <c r="B417" s="186">
        <v>62031</v>
      </c>
      <c r="C417" s="186">
        <v>5656</v>
      </c>
      <c r="D417" s="186">
        <v>56375</v>
      </c>
      <c r="E417" s="186">
        <v>40550</v>
      </c>
      <c r="F417" s="186">
        <v>15825</v>
      </c>
    </row>
    <row r="418" spans="1:6" s="18" customFormat="1" ht="15" customHeight="1">
      <c r="A418" s="192">
        <v>2015</v>
      </c>
      <c r="B418" s="186">
        <v>61192</v>
      </c>
      <c r="C418" s="186">
        <v>2639</v>
      </c>
      <c r="D418" s="186">
        <v>58553</v>
      </c>
      <c r="E418" s="186">
        <v>49582</v>
      </c>
      <c r="F418" s="186">
        <v>8971</v>
      </c>
    </row>
    <row r="419" spans="1:6" s="18" customFormat="1" ht="15" customHeight="1">
      <c r="A419" s="192">
        <v>2016</v>
      </c>
      <c r="B419" s="186">
        <v>61288</v>
      </c>
      <c r="C419" s="186">
        <v>2286</v>
      </c>
      <c r="D419" s="186">
        <v>59002</v>
      </c>
      <c r="E419" s="186">
        <v>49929</v>
      </c>
      <c r="F419" s="186">
        <v>9073</v>
      </c>
    </row>
    <row r="420" spans="1:6" s="18" customFormat="1" ht="15" customHeight="1">
      <c r="A420" s="192">
        <v>2017</v>
      </c>
      <c r="B420" s="186">
        <v>62947</v>
      </c>
      <c r="C420" s="186">
        <v>6480</v>
      </c>
      <c r="D420" s="186">
        <v>56467</v>
      </c>
      <c r="E420" s="186">
        <v>46508</v>
      </c>
      <c r="F420" s="186">
        <v>9959</v>
      </c>
    </row>
    <row r="421" spans="1:6" s="18" customFormat="1" ht="15" customHeight="1">
      <c r="A421" s="192">
        <v>2018</v>
      </c>
      <c r="B421" s="186">
        <v>59884</v>
      </c>
      <c r="C421" s="186">
        <v>10867</v>
      </c>
      <c r="D421" s="186">
        <v>49017</v>
      </c>
      <c r="E421" s="186">
        <v>37019</v>
      </c>
      <c r="F421" s="186">
        <v>11998</v>
      </c>
    </row>
    <row r="422" spans="1:6" s="18" customFormat="1" ht="15" customHeight="1">
      <c r="A422" s="192">
        <v>2019</v>
      </c>
      <c r="B422" s="186">
        <v>64982</v>
      </c>
      <c r="C422" s="186">
        <v>7582</v>
      </c>
      <c r="D422" s="186">
        <v>57400</v>
      </c>
      <c r="E422" s="186">
        <v>45527</v>
      </c>
      <c r="F422" s="186">
        <v>11873</v>
      </c>
    </row>
    <row r="423" spans="1:6" s="18" customFormat="1" ht="15" customHeight="1">
      <c r="A423" s="192">
        <v>2020</v>
      </c>
      <c r="B423" s="186">
        <v>45607</v>
      </c>
      <c r="C423" s="186">
        <v>2999</v>
      </c>
      <c r="D423" s="186">
        <v>42608</v>
      </c>
      <c r="E423" s="186">
        <v>36785</v>
      </c>
      <c r="F423" s="186">
        <v>5823</v>
      </c>
    </row>
    <row r="424" spans="1:6" s="18" customFormat="1" ht="15" customHeight="1">
      <c r="A424" s="192">
        <v>2021</v>
      </c>
      <c r="B424" s="186">
        <v>42116</v>
      </c>
      <c r="C424" s="186">
        <v>1649</v>
      </c>
      <c r="D424" s="186">
        <v>40467</v>
      </c>
      <c r="E424" s="186">
        <v>35262</v>
      </c>
      <c r="F424" s="186">
        <v>5205</v>
      </c>
    </row>
    <row r="425" spans="1:6" s="18" customFormat="1" ht="15" customHeight="1">
      <c r="A425" s="192">
        <v>2022</v>
      </c>
      <c r="B425" s="186">
        <v>51935</v>
      </c>
      <c r="C425" s="186">
        <v>2379</v>
      </c>
      <c r="D425" s="186">
        <v>49556</v>
      </c>
      <c r="E425" s="186">
        <v>36415</v>
      </c>
      <c r="F425" s="186">
        <v>13141</v>
      </c>
    </row>
    <row r="426" spans="1:6" s="18" customFormat="1" ht="15" customHeight="1">
      <c r="A426" s="192">
        <v>2023</v>
      </c>
      <c r="B426" s="186">
        <v>48397</v>
      </c>
      <c r="C426" s="186">
        <v>3320</v>
      </c>
      <c r="D426" s="186">
        <v>45077</v>
      </c>
      <c r="E426" s="186">
        <v>29795</v>
      </c>
      <c r="F426" s="186">
        <v>15282</v>
      </c>
    </row>
    <row r="427" spans="1:6" s="18" customFormat="1" ht="15" customHeight="1">
      <c r="A427" s="192">
        <v>2024</v>
      </c>
      <c r="B427" s="186">
        <v>43514</v>
      </c>
      <c r="C427" s="186">
        <v>3880</v>
      </c>
      <c r="D427" s="186">
        <v>39085</v>
      </c>
      <c r="E427" s="186">
        <v>23362</v>
      </c>
      <c r="F427" s="186">
        <v>15723</v>
      </c>
    </row>
    <row r="428" spans="1:6" s="18" customFormat="1" ht="15" customHeight="1"/>
    <row r="429" spans="1:6" s="18" customFormat="1" ht="15" customHeight="1"/>
    <row r="430" spans="1:6" s="18" customFormat="1" ht="15" customHeight="1"/>
    <row r="431" spans="1:6" s="18" customFormat="1" ht="15" customHeight="1"/>
    <row r="432" spans="1:6" s="18" customFormat="1" ht="15" customHeight="1"/>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5" customHeight="1"/>
    <row r="658" s="18" customFormat="1" ht="15" customHeight="1"/>
    <row r="659" s="18" customFormat="1" ht="15" customHeight="1"/>
    <row r="660" s="18" customFormat="1" ht="15" customHeight="1"/>
    <row r="661" s="18" customFormat="1" ht="15" customHeight="1"/>
    <row r="662" s="18" customFormat="1" ht="15" customHeight="1"/>
    <row r="663" s="18" customFormat="1" ht="15" customHeight="1"/>
    <row r="664" s="18" customFormat="1" ht="15" customHeight="1"/>
    <row r="665" s="18" customFormat="1" ht="15" customHeight="1"/>
    <row r="666" s="18" customFormat="1" ht="15" customHeight="1"/>
    <row r="667" s="18" customFormat="1" ht="12.75"/>
    <row r="668" s="18" customFormat="1" ht="12.75"/>
    <row r="669" s="18" customFormat="1" ht="12.75"/>
    <row r="670" s="18" customFormat="1" ht="12.75"/>
    <row r="671" s="18" customFormat="1" ht="12.75"/>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pans="1:13" s="18" customFormat="1" ht="12.75"/>
    <row r="706" spans="1:13" s="18" customFormat="1" ht="12.75"/>
    <row r="707" spans="1:13" s="18" customFormat="1" ht="12.75"/>
    <row r="708" spans="1:13" s="18" customFormat="1" ht="12.75"/>
    <row r="709" spans="1:13" s="18" customFormat="1" ht="12.75"/>
    <row r="710" spans="1:13" s="18" customFormat="1" ht="12.75"/>
    <row r="711" spans="1:13" s="18" customFormat="1" ht="12.75"/>
    <row r="712" spans="1:13" s="18" customFormat="1" ht="12.75"/>
    <row r="713" spans="1:13" s="18" customFormat="1" ht="12.75"/>
    <row r="714" spans="1:13" s="18" customFormat="1" ht="12.75"/>
    <row r="715" spans="1:13" s="18" customFormat="1" ht="12.75"/>
    <row r="716" spans="1:13" s="18" customFormat="1" ht="12.75"/>
    <row r="717" spans="1:13" s="18" customFormat="1" ht="12.75"/>
    <row r="718" spans="1:13" s="18" customFormat="1" ht="12.75"/>
    <row r="719" spans="1:13" s="18" customFormat="1" ht="12.75"/>
    <row r="720" spans="1:13">
      <c r="A720" s="18"/>
      <c r="B720" s="18"/>
      <c r="C720" s="18"/>
      <c r="D720" s="18"/>
      <c r="E720" s="18"/>
      <c r="F720" s="18"/>
      <c r="G720" s="18"/>
      <c r="H720" s="18"/>
      <c r="I720" s="18"/>
      <c r="J720" s="18"/>
      <c r="K720" s="18"/>
      <c r="L720" s="18"/>
      <c r="M720" s="18"/>
    </row>
  </sheetData>
  <phoneticPr fontId="0" type="noConversion"/>
  <printOptions horizontalCentered="1"/>
  <pageMargins left="0.39370078740157483" right="0.39370078740157483" top="1.3779527559055118" bottom="0.39370078740157483" header="0.59055118110236227" footer="0"/>
  <pageSetup paperSize="9" scale="28" orientation="portrait" horizontalDpi="4294967292" r:id="rId2"/>
  <headerFooter alignWithMargins="0">
    <oddHeader>&amp;C&amp;14Cumplimiento del Servicio de Trenes
Línea San Martín</oddHeader>
  </headerFooter>
  <ignoredErrors>
    <ignoredError sqref="I115:J330" calculatedColumn="1"/>
    <ignoredError sqref="G353:G355 G342:G352 G324:G326 G327:G341 G356:G376" numberStoredAsText="1"/>
  </ignoredErrors>
  <legacyDrawing r:id="rId3"/>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Z720"/>
  <sheetViews>
    <sheetView showGridLines="0" zoomScale="80" zoomScaleNormal="80" workbookViewId="0">
      <pane ySplit="5" topLeftCell="A376" activePane="bottomLeft" state="frozen"/>
      <selection activeCell="G390" sqref="G390"/>
      <selection pane="bottomLeft" activeCell="D418" sqref="D418"/>
    </sheetView>
  </sheetViews>
  <sheetFormatPr baseColWidth="10" defaultColWidth="11.5546875" defaultRowHeight="15"/>
  <cols>
    <col min="1"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54" width="8.77734375" style="46" customWidth="1"/>
    <col min="55" max="55" width="25.77734375" style="46" customWidth="1"/>
    <col min="56" max="68" width="8.77734375" style="46" customWidth="1"/>
    <col min="69" max="69" width="25.77734375" style="46" customWidth="1"/>
    <col min="70" max="82" width="8.77734375" style="46" customWidth="1"/>
    <col min="83" max="83" width="25.77734375" style="46" customWidth="1"/>
    <col min="84" max="84" width="8.77734375" style="46" customWidth="1"/>
    <col min="85" max="16384" width="11.5546875" style="46"/>
  </cols>
  <sheetData>
    <row r="1" spans="1:13" s="36" customFormat="1" ht="30">
      <c r="A1" s="113" t="s">
        <v>7</v>
      </c>
    </row>
    <row r="2" spans="1:13" s="36" customFormat="1" ht="29.25">
      <c r="A2" s="115" t="s">
        <v>2</v>
      </c>
    </row>
    <row r="3" spans="1:13" s="4" customFormat="1" ht="29.25">
      <c r="A3" s="116" t="s">
        <v>22</v>
      </c>
      <c r="B3" s="8"/>
      <c r="C3" s="8"/>
      <c r="D3" s="8"/>
      <c r="E3" s="8"/>
      <c r="F3" s="8"/>
      <c r="G3" s="8"/>
      <c r="H3" s="8"/>
      <c r="I3" s="8"/>
      <c r="J3" s="8"/>
      <c r="K3" s="8"/>
    </row>
    <row r="4" spans="1:13" s="1" customFormat="1" ht="12.75">
      <c r="B4" s="38"/>
      <c r="C4" s="39"/>
      <c r="D4" s="39"/>
      <c r="E4" s="39"/>
      <c r="F4" s="39"/>
      <c r="G4" s="39"/>
      <c r="H4" s="39"/>
      <c r="I4" s="39"/>
      <c r="J4" s="39"/>
      <c r="K4" s="39"/>
      <c r="L4" s="39"/>
    </row>
    <row r="5" spans="1:13" s="65" customFormat="1" ht="45" customHeight="1">
      <c r="A5" s="12" t="s">
        <v>32</v>
      </c>
      <c r="B5" s="12" t="s">
        <v>31</v>
      </c>
      <c r="C5" s="12" t="s">
        <v>8</v>
      </c>
      <c r="D5" s="12" t="s">
        <v>10</v>
      </c>
      <c r="E5" s="12" t="s">
        <v>9</v>
      </c>
      <c r="F5" s="12" t="s">
        <v>99</v>
      </c>
      <c r="G5" s="12" t="s">
        <v>98</v>
      </c>
      <c r="H5" s="12" t="s">
        <v>52</v>
      </c>
      <c r="I5" s="12" t="s">
        <v>53</v>
      </c>
      <c r="J5" s="12" t="s">
        <v>27</v>
      </c>
      <c r="K5" s="12" t="s">
        <v>54</v>
      </c>
      <c r="L5" s="12" t="s">
        <v>55</v>
      </c>
      <c r="M5" s="12" t="s">
        <v>34</v>
      </c>
    </row>
    <row r="6" spans="1:13" s="18" customFormat="1" ht="15" customHeight="1">
      <c r="A6" s="82">
        <v>1993</v>
      </c>
      <c r="B6" s="83" t="s">
        <v>36</v>
      </c>
      <c r="C6" s="15">
        <f>K6/H6</f>
        <v>0.80222602739726023</v>
      </c>
      <c r="D6" s="15">
        <f>K6/J6</f>
        <v>0.94423916694659049</v>
      </c>
      <c r="E6" s="15">
        <f>J6/H6</f>
        <v>0.84960045662100458</v>
      </c>
      <c r="F6" s="16"/>
      <c r="G6" s="16"/>
      <c r="H6" s="16">
        <v>3504</v>
      </c>
      <c r="I6" s="16">
        <f t="shared" ref="I6:I17" si="0">H6-J6</f>
        <v>527</v>
      </c>
      <c r="J6" s="16">
        <v>2977</v>
      </c>
      <c r="K6" s="16">
        <v>2811</v>
      </c>
      <c r="L6" s="16">
        <f t="shared" ref="L6:L17" si="1">J6-K6</f>
        <v>166</v>
      </c>
    </row>
    <row r="7" spans="1:13" s="18" customFormat="1" ht="15" customHeight="1">
      <c r="A7" s="82">
        <v>1993</v>
      </c>
      <c r="B7" s="83" t="s">
        <v>37</v>
      </c>
      <c r="C7" s="15">
        <f t="shared" ref="C7:C70" si="2">K7/H7</f>
        <v>0.89221364221364219</v>
      </c>
      <c r="D7" s="15">
        <f t="shared" ref="D7:D70" si="3">K7/J7</f>
        <v>0.96251301631377995</v>
      </c>
      <c r="E7" s="15">
        <f t="shared" ref="E7:E70" si="4">J7/H7</f>
        <v>0.92696267696267698</v>
      </c>
      <c r="F7" s="16"/>
      <c r="G7" s="16"/>
      <c r="H7" s="16">
        <v>3108</v>
      </c>
      <c r="I7" s="16">
        <f t="shared" si="0"/>
        <v>227</v>
      </c>
      <c r="J7" s="16">
        <v>2881</v>
      </c>
      <c r="K7" s="16">
        <v>2773</v>
      </c>
      <c r="L7" s="16">
        <f t="shared" si="1"/>
        <v>108</v>
      </c>
    </row>
    <row r="8" spans="1:13" s="18" customFormat="1" ht="15" customHeight="1">
      <c r="A8" s="82">
        <v>1993</v>
      </c>
      <c r="B8" s="83" t="s">
        <v>38</v>
      </c>
      <c r="C8" s="15">
        <f t="shared" si="2"/>
        <v>0.92718867379370129</v>
      </c>
      <c r="D8" s="15">
        <f t="shared" si="3"/>
        <v>0.9756764974156279</v>
      </c>
      <c r="E8" s="15">
        <f t="shared" si="4"/>
        <v>0.95030338052585961</v>
      </c>
      <c r="F8" s="16"/>
      <c r="G8" s="16"/>
      <c r="H8" s="16">
        <v>3461</v>
      </c>
      <c r="I8" s="16">
        <f t="shared" si="0"/>
        <v>172</v>
      </c>
      <c r="J8" s="16">
        <v>3289</v>
      </c>
      <c r="K8" s="16">
        <v>3209</v>
      </c>
      <c r="L8" s="16">
        <f t="shared" si="1"/>
        <v>80</v>
      </c>
    </row>
    <row r="9" spans="1:13" s="18" customFormat="1" ht="15" customHeight="1">
      <c r="A9" s="82">
        <v>1993</v>
      </c>
      <c r="B9" s="83" t="s">
        <v>39</v>
      </c>
      <c r="C9" s="15">
        <f t="shared" si="2"/>
        <v>0.85922330097087374</v>
      </c>
      <c r="D9" s="15">
        <f t="shared" si="3"/>
        <v>0.95675675675675675</v>
      </c>
      <c r="E9" s="15">
        <f t="shared" si="4"/>
        <v>0.89805825242718451</v>
      </c>
      <c r="F9" s="16"/>
      <c r="G9" s="16"/>
      <c r="H9" s="16">
        <v>3296</v>
      </c>
      <c r="I9" s="16">
        <f t="shared" si="0"/>
        <v>336</v>
      </c>
      <c r="J9" s="16">
        <v>2960</v>
      </c>
      <c r="K9" s="16">
        <v>2832</v>
      </c>
      <c r="L9" s="16">
        <f t="shared" si="1"/>
        <v>128</v>
      </c>
    </row>
    <row r="10" spans="1:13" s="18" customFormat="1" ht="15" customHeight="1">
      <c r="A10" s="82">
        <v>1993</v>
      </c>
      <c r="B10" s="83" t="s">
        <v>40</v>
      </c>
      <c r="C10" s="15">
        <f t="shared" si="2"/>
        <v>0.89900512511305397</v>
      </c>
      <c r="D10" s="15">
        <f t="shared" si="3"/>
        <v>0.96504854368932036</v>
      </c>
      <c r="E10" s="15">
        <f t="shared" si="4"/>
        <v>0.93156466686765149</v>
      </c>
      <c r="F10" s="16"/>
      <c r="G10" s="16"/>
      <c r="H10" s="16">
        <v>3317</v>
      </c>
      <c r="I10" s="16">
        <f t="shared" si="0"/>
        <v>227</v>
      </c>
      <c r="J10" s="16">
        <v>3090</v>
      </c>
      <c r="K10" s="16">
        <v>2982</v>
      </c>
      <c r="L10" s="16">
        <f t="shared" si="1"/>
        <v>108</v>
      </c>
    </row>
    <row r="11" spans="1:13" s="18" customFormat="1" ht="15" customHeight="1">
      <c r="A11" s="82">
        <v>1993</v>
      </c>
      <c r="B11" s="83" t="s">
        <v>41</v>
      </c>
      <c r="C11" s="15">
        <f t="shared" si="2"/>
        <v>0.74855929632999696</v>
      </c>
      <c r="D11" s="15">
        <f t="shared" si="3"/>
        <v>0.92296185489902771</v>
      </c>
      <c r="E11" s="15">
        <f t="shared" si="4"/>
        <v>0.81104033970276013</v>
      </c>
      <c r="F11" s="16"/>
      <c r="G11" s="16"/>
      <c r="H11" s="16">
        <v>3297</v>
      </c>
      <c r="I11" s="16">
        <f t="shared" si="0"/>
        <v>623</v>
      </c>
      <c r="J11" s="16">
        <v>2674</v>
      </c>
      <c r="K11" s="16">
        <v>2468</v>
      </c>
      <c r="L11" s="16">
        <f t="shared" si="1"/>
        <v>206</v>
      </c>
    </row>
    <row r="12" spans="1:13" s="18" customFormat="1" ht="15" customHeight="1">
      <c r="A12" s="82">
        <v>1993</v>
      </c>
      <c r="B12" s="83" t="s">
        <v>42</v>
      </c>
      <c r="C12" s="15">
        <f t="shared" si="2"/>
        <v>0.79671939074399534</v>
      </c>
      <c r="D12" s="15">
        <f t="shared" si="3"/>
        <v>0.90878717006348142</v>
      </c>
      <c r="E12" s="15">
        <f t="shared" si="4"/>
        <v>0.8766842413591095</v>
      </c>
      <c r="F12" s="16"/>
      <c r="G12" s="16"/>
      <c r="H12" s="16">
        <v>3414</v>
      </c>
      <c r="I12" s="16">
        <f t="shared" si="0"/>
        <v>421</v>
      </c>
      <c r="J12" s="16">
        <v>2993</v>
      </c>
      <c r="K12" s="16">
        <v>2720</v>
      </c>
      <c r="L12" s="16">
        <f t="shared" si="1"/>
        <v>273</v>
      </c>
    </row>
    <row r="13" spans="1:13" s="18" customFormat="1" ht="15" customHeight="1">
      <c r="A13" s="82">
        <v>1993</v>
      </c>
      <c r="B13" s="83" t="s">
        <v>43</v>
      </c>
      <c r="C13" s="15">
        <f t="shared" si="2"/>
        <v>0.81660692951015534</v>
      </c>
      <c r="D13" s="15">
        <f t="shared" si="3"/>
        <v>0.9395189003436426</v>
      </c>
      <c r="E13" s="15">
        <f t="shared" si="4"/>
        <v>0.86917562724014341</v>
      </c>
      <c r="F13" s="16"/>
      <c r="G13" s="16"/>
      <c r="H13" s="16">
        <v>3348</v>
      </c>
      <c r="I13" s="16">
        <f t="shared" si="0"/>
        <v>438</v>
      </c>
      <c r="J13" s="16">
        <v>2910</v>
      </c>
      <c r="K13" s="16">
        <v>2734</v>
      </c>
      <c r="L13" s="16">
        <f t="shared" si="1"/>
        <v>176</v>
      </c>
    </row>
    <row r="14" spans="1:13" s="18" customFormat="1" ht="15" customHeight="1">
      <c r="A14" s="82">
        <v>1993</v>
      </c>
      <c r="B14" s="83" t="s">
        <v>44</v>
      </c>
      <c r="C14" s="15">
        <f t="shared" si="2"/>
        <v>0.81730148482892184</v>
      </c>
      <c r="D14" s="15">
        <f t="shared" si="3"/>
        <v>0.91507047343693526</v>
      </c>
      <c r="E14" s="15">
        <f t="shared" si="4"/>
        <v>0.89315687540348609</v>
      </c>
      <c r="F14" s="16"/>
      <c r="G14" s="16"/>
      <c r="H14" s="16">
        <v>3098</v>
      </c>
      <c r="I14" s="16">
        <f t="shared" si="0"/>
        <v>331</v>
      </c>
      <c r="J14" s="16">
        <v>2767</v>
      </c>
      <c r="K14" s="16">
        <v>2532</v>
      </c>
      <c r="L14" s="16">
        <f t="shared" si="1"/>
        <v>235</v>
      </c>
    </row>
    <row r="15" spans="1:13" s="18" customFormat="1" ht="15" customHeight="1">
      <c r="A15" s="82">
        <v>1993</v>
      </c>
      <c r="B15" s="83" t="s">
        <v>45</v>
      </c>
      <c r="C15" s="15">
        <f t="shared" si="2"/>
        <v>0.86561898652982683</v>
      </c>
      <c r="D15" s="15">
        <f t="shared" si="3"/>
        <v>0.95777146912704048</v>
      </c>
      <c r="E15" s="15">
        <f t="shared" si="4"/>
        <v>0.90378447722899291</v>
      </c>
      <c r="F15" s="16"/>
      <c r="G15" s="16"/>
      <c r="H15" s="16">
        <v>3118</v>
      </c>
      <c r="I15" s="16">
        <f t="shared" si="0"/>
        <v>300</v>
      </c>
      <c r="J15" s="16">
        <v>2818</v>
      </c>
      <c r="K15" s="16">
        <v>2699</v>
      </c>
      <c r="L15" s="16">
        <f t="shared" si="1"/>
        <v>119</v>
      </c>
    </row>
    <row r="16" spans="1:13" s="18" customFormat="1" ht="15" customHeight="1">
      <c r="A16" s="82">
        <v>1993</v>
      </c>
      <c r="B16" s="83" t="s">
        <v>46</v>
      </c>
      <c r="C16" s="15">
        <f t="shared" si="2"/>
        <v>0.88554801163918528</v>
      </c>
      <c r="D16" s="15">
        <f t="shared" si="3"/>
        <v>0.96818663838812302</v>
      </c>
      <c r="E16" s="15">
        <f t="shared" si="4"/>
        <v>0.91464597478176524</v>
      </c>
      <c r="F16" s="16"/>
      <c r="G16" s="16"/>
      <c r="H16" s="16">
        <v>3093</v>
      </c>
      <c r="I16" s="16">
        <f t="shared" si="0"/>
        <v>264</v>
      </c>
      <c r="J16" s="16">
        <v>2829</v>
      </c>
      <c r="K16" s="16">
        <v>2739</v>
      </c>
      <c r="L16" s="16">
        <f t="shared" si="1"/>
        <v>90</v>
      </c>
    </row>
    <row r="17" spans="1:12" s="18" customFormat="1" ht="15" customHeight="1">
      <c r="A17" s="82">
        <v>1993</v>
      </c>
      <c r="B17" s="83" t="s">
        <v>47</v>
      </c>
      <c r="C17" s="15">
        <f t="shared" si="2"/>
        <v>0.87816455696202533</v>
      </c>
      <c r="D17" s="15">
        <f t="shared" si="3"/>
        <v>0.97163865546218486</v>
      </c>
      <c r="E17" s="15">
        <f t="shared" si="4"/>
        <v>0.90379746835443042</v>
      </c>
      <c r="F17" s="16"/>
      <c r="G17" s="16"/>
      <c r="H17" s="16">
        <v>3160</v>
      </c>
      <c r="I17" s="16">
        <f t="shared" si="0"/>
        <v>304</v>
      </c>
      <c r="J17" s="16">
        <v>2856</v>
      </c>
      <c r="K17" s="16">
        <v>2775</v>
      </c>
      <c r="L17" s="16">
        <f t="shared" si="1"/>
        <v>81</v>
      </c>
    </row>
    <row r="18" spans="1:12" s="18" customFormat="1" ht="15" customHeight="1">
      <c r="A18" s="82">
        <v>1994</v>
      </c>
      <c r="B18" s="83" t="s">
        <v>36</v>
      </c>
      <c r="C18" s="15">
        <f t="shared" si="2"/>
        <v>0.85397946084724008</v>
      </c>
      <c r="D18" s="15">
        <f t="shared" si="3"/>
        <v>0.94529307282415631</v>
      </c>
      <c r="E18" s="15">
        <f t="shared" si="4"/>
        <v>0.90340179717586655</v>
      </c>
      <c r="F18" s="16"/>
      <c r="G18" s="16"/>
      <c r="H18" s="16">
        <v>3116</v>
      </c>
      <c r="I18" s="16">
        <f>275+26</f>
        <v>301</v>
      </c>
      <c r="J18" s="16">
        <v>2815</v>
      </c>
      <c r="K18" s="16">
        <v>2661</v>
      </c>
      <c r="L18" s="16">
        <f t="shared" ref="L18:L29" si="5">J18-K18</f>
        <v>154</v>
      </c>
    </row>
    <row r="19" spans="1:12" s="18" customFormat="1" ht="15" customHeight="1">
      <c r="A19" s="82">
        <v>1994</v>
      </c>
      <c r="B19" s="83" t="s">
        <v>37</v>
      </c>
      <c r="C19" s="15">
        <f t="shared" si="2"/>
        <v>0.88664812239221136</v>
      </c>
      <c r="D19" s="15">
        <f t="shared" si="3"/>
        <v>0.97254004576659037</v>
      </c>
      <c r="E19" s="15">
        <f t="shared" si="4"/>
        <v>0.91168289290681503</v>
      </c>
      <c r="F19" s="16"/>
      <c r="G19" s="16"/>
      <c r="H19" s="16">
        <v>2876</v>
      </c>
      <c r="I19" s="16">
        <v>254</v>
      </c>
      <c r="J19" s="16">
        <v>2622</v>
      </c>
      <c r="K19" s="16">
        <v>2550</v>
      </c>
      <c r="L19" s="16">
        <f t="shared" si="5"/>
        <v>72</v>
      </c>
    </row>
    <row r="20" spans="1:12" s="18" customFormat="1" ht="15" customHeight="1">
      <c r="A20" s="82">
        <v>1994</v>
      </c>
      <c r="B20" s="83" t="s">
        <v>38</v>
      </c>
      <c r="C20" s="15">
        <f t="shared" si="2"/>
        <v>0.79893849516078674</v>
      </c>
      <c r="D20" s="15">
        <f t="shared" si="3"/>
        <v>0.95806813927368029</v>
      </c>
      <c r="E20" s="15">
        <f t="shared" si="4"/>
        <v>0.83390571339369346</v>
      </c>
      <c r="F20" s="16"/>
      <c r="G20" s="16"/>
      <c r="H20" s="16">
        <v>3203</v>
      </c>
      <c r="I20" s="16">
        <v>532</v>
      </c>
      <c r="J20" s="16">
        <v>2671</v>
      </c>
      <c r="K20" s="16">
        <v>2559</v>
      </c>
      <c r="L20" s="16">
        <f t="shared" si="5"/>
        <v>112</v>
      </c>
    </row>
    <row r="21" spans="1:12" s="18" customFormat="1" ht="15" customHeight="1">
      <c r="A21" s="82">
        <v>1994</v>
      </c>
      <c r="B21" s="83" t="s">
        <v>39</v>
      </c>
      <c r="C21" s="15">
        <f t="shared" si="2"/>
        <v>0.8110898661567878</v>
      </c>
      <c r="D21" s="15">
        <f t="shared" si="3"/>
        <v>0.91147400085947572</v>
      </c>
      <c r="E21" s="15">
        <f t="shared" si="4"/>
        <v>0.88986615678776293</v>
      </c>
      <c r="F21" s="16"/>
      <c r="G21" s="16"/>
      <c r="H21" s="16">
        <v>2615</v>
      </c>
      <c r="I21" s="16">
        <v>288</v>
      </c>
      <c r="J21" s="16">
        <v>2327</v>
      </c>
      <c r="K21" s="16">
        <v>2121</v>
      </c>
      <c r="L21" s="16">
        <f t="shared" si="5"/>
        <v>206</v>
      </c>
    </row>
    <row r="22" spans="1:12" s="18" customFormat="1" ht="15" customHeight="1">
      <c r="A22" s="82">
        <v>1994</v>
      </c>
      <c r="B22" s="83" t="s">
        <v>40</v>
      </c>
      <c r="C22" s="15">
        <f t="shared" si="2"/>
        <v>0.89234042553191484</v>
      </c>
      <c r="D22" s="15">
        <f t="shared" si="3"/>
        <v>0.96591432519576237</v>
      </c>
      <c r="E22" s="15">
        <f t="shared" si="4"/>
        <v>0.92382978723404252</v>
      </c>
      <c r="F22" s="16"/>
      <c r="G22" s="16"/>
      <c r="H22" s="16">
        <v>2350</v>
      </c>
      <c r="I22" s="16">
        <v>179</v>
      </c>
      <c r="J22" s="16">
        <v>2171</v>
      </c>
      <c r="K22" s="16">
        <v>2097</v>
      </c>
      <c r="L22" s="16">
        <f t="shared" si="5"/>
        <v>74</v>
      </c>
    </row>
    <row r="23" spans="1:12" s="18" customFormat="1" ht="15" customHeight="1">
      <c r="A23" s="82">
        <v>1994</v>
      </c>
      <c r="B23" s="83" t="s">
        <v>41</v>
      </c>
      <c r="C23" s="15">
        <f t="shared" si="2"/>
        <v>0.93061840120663653</v>
      </c>
      <c r="D23" s="15">
        <f t="shared" si="3"/>
        <v>0.97742574257425741</v>
      </c>
      <c r="E23" s="15">
        <f t="shared" si="4"/>
        <v>0.95211161387631971</v>
      </c>
      <c r="F23" s="16"/>
      <c r="G23" s="16"/>
      <c r="H23" s="16">
        <v>2652</v>
      </c>
      <c r="I23" s="16">
        <f t="shared" ref="I23:I29" si="6">H23-J23</f>
        <v>127</v>
      </c>
      <c r="J23" s="16">
        <v>2525</v>
      </c>
      <c r="K23" s="16">
        <v>2468</v>
      </c>
      <c r="L23" s="16">
        <f t="shared" si="5"/>
        <v>57</v>
      </c>
    </row>
    <row r="24" spans="1:12" s="18" customFormat="1" ht="15" customHeight="1">
      <c r="A24" s="82">
        <v>1994</v>
      </c>
      <c r="B24" s="83" t="s">
        <v>42</v>
      </c>
      <c r="C24" s="15">
        <f t="shared" si="2"/>
        <v>0.92700729927007297</v>
      </c>
      <c r="D24" s="15">
        <f t="shared" si="3"/>
        <v>0.97355308547336139</v>
      </c>
      <c r="E24" s="15">
        <f t="shared" si="4"/>
        <v>0.95218978102189777</v>
      </c>
      <c r="F24" s="16"/>
      <c r="G24" s="16"/>
      <c r="H24" s="16">
        <v>2740</v>
      </c>
      <c r="I24" s="16">
        <f t="shared" si="6"/>
        <v>131</v>
      </c>
      <c r="J24" s="16">
        <v>2609</v>
      </c>
      <c r="K24" s="16">
        <v>2540</v>
      </c>
      <c r="L24" s="16">
        <f t="shared" si="5"/>
        <v>69</v>
      </c>
    </row>
    <row r="25" spans="1:12" s="18" customFormat="1" ht="15" customHeight="1">
      <c r="A25" s="82">
        <v>1994</v>
      </c>
      <c r="B25" s="83" t="s">
        <v>43</v>
      </c>
      <c r="C25" s="15">
        <f t="shared" si="2"/>
        <v>0.94546767786204411</v>
      </c>
      <c r="D25" s="15">
        <f t="shared" si="3"/>
        <v>0.96427255985267035</v>
      </c>
      <c r="E25" s="15">
        <f t="shared" si="4"/>
        <v>0.98049837486457203</v>
      </c>
      <c r="F25" s="16"/>
      <c r="G25" s="16"/>
      <c r="H25" s="16">
        <v>2769</v>
      </c>
      <c r="I25" s="16">
        <f t="shared" si="6"/>
        <v>54</v>
      </c>
      <c r="J25" s="16">
        <v>2715</v>
      </c>
      <c r="K25" s="16">
        <v>2618</v>
      </c>
      <c r="L25" s="16">
        <f t="shared" si="5"/>
        <v>97</v>
      </c>
    </row>
    <row r="26" spans="1:12" s="18" customFormat="1" ht="15" customHeight="1">
      <c r="A26" s="82">
        <v>1994</v>
      </c>
      <c r="B26" s="83" t="s">
        <v>44</v>
      </c>
      <c r="C26" s="15">
        <f t="shared" si="2"/>
        <v>0.94970414201183428</v>
      </c>
      <c r="D26" s="15">
        <f t="shared" si="3"/>
        <v>0.97052154195011342</v>
      </c>
      <c r="E26" s="15">
        <f t="shared" si="4"/>
        <v>0.97855029585798814</v>
      </c>
      <c r="F26" s="16"/>
      <c r="G26" s="16"/>
      <c r="H26" s="16">
        <v>2704</v>
      </c>
      <c r="I26" s="16">
        <f t="shared" si="6"/>
        <v>58</v>
      </c>
      <c r="J26" s="16">
        <v>2646</v>
      </c>
      <c r="K26" s="16">
        <v>2568</v>
      </c>
      <c r="L26" s="16">
        <f t="shared" si="5"/>
        <v>78</v>
      </c>
    </row>
    <row r="27" spans="1:12" s="18" customFormat="1" ht="15" customHeight="1">
      <c r="A27" s="82">
        <v>1994</v>
      </c>
      <c r="B27" s="83" t="s">
        <v>45</v>
      </c>
      <c r="C27" s="15">
        <f t="shared" si="2"/>
        <v>0.98029916089018609</v>
      </c>
      <c r="D27" s="15">
        <f t="shared" si="3"/>
        <v>0.98786764705882357</v>
      </c>
      <c r="E27" s="15">
        <f t="shared" si="4"/>
        <v>0.99233856256840569</v>
      </c>
      <c r="F27" s="16"/>
      <c r="G27" s="16"/>
      <c r="H27" s="16">
        <v>2741</v>
      </c>
      <c r="I27" s="16">
        <f t="shared" si="6"/>
        <v>21</v>
      </c>
      <c r="J27" s="16">
        <v>2720</v>
      </c>
      <c r="K27" s="16">
        <v>2687</v>
      </c>
      <c r="L27" s="16">
        <f t="shared" si="5"/>
        <v>33</v>
      </c>
    </row>
    <row r="28" spans="1:12" s="18" customFormat="1" ht="15" customHeight="1">
      <c r="A28" s="82">
        <v>1994</v>
      </c>
      <c r="B28" s="83" t="s">
        <v>46</v>
      </c>
      <c r="C28" s="15">
        <f t="shared" si="2"/>
        <v>0.93676035502958577</v>
      </c>
      <c r="D28" s="15">
        <f t="shared" si="3"/>
        <v>0.94797904191616766</v>
      </c>
      <c r="E28" s="15">
        <f t="shared" si="4"/>
        <v>0.98816568047337283</v>
      </c>
      <c r="F28" s="16"/>
      <c r="G28" s="16"/>
      <c r="H28" s="16">
        <v>2704</v>
      </c>
      <c r="I28" s="16">
        <f t="shared" si="6"/>
        <v>32</v>
      </c>
      <c r="J28" s="16">
        <v>2672</v>
      </c>
      <c r="K28" s="16">
        <v>2533</v>
      </c>
      <c r="L28" s="16">
        <f t="shared" si="5"/>
        <v>139</v>
      </c>
    </row>
    <row r="29" spans="1:12" s="18" customFormat="1" ht="15" customHeight="1">
      <c r="A29" s="82">
        <v>1994</v>
      </c>
      <c r="B29" s="83" t="s">
        <v>47</v>
      </c>
      <c r="C29" s="15">
        <f t="shared" si="2"/>
        <v>0.95710059171597628</v>
      </c>
      <c r="D29" s="15">
        <f t="shared" si="3"/>
        <v>0.97513187641296162</v>
      </c>
      <c r="E29" s="15">
        <f t="shared" si="4"/>
        <v>0.98150887573964496</v>
      </c>
      <c r="F29" s="16"/>
      <c r="G29" s="16"/>
      <c r="H29" s="16">
        <v>2704</v>
      </c>
      <c r="I29" s="16">
        <f t="shared" si="6"/>
        <v>50</v>
      </c>
      <c r="J29" s="16">
        <v>2654</v>
      </c>
      <c r="K29" s="16">
        <v>2588</v>
      </c>
      <c r="L29" s="16">
        <f t="shared" si="5"/>
        <v>66</v>
      </c>
    </row>
    <row r="30" spans="1:12" s="18" customFormat="1" ht="15" customHeight="1">
      <c r="A30" s="82">
        <v>1995</v>
      </c>
      <c r="B30" s="83" t="s">
        <v>36</v>
      </c>
      <c r="C30" s="15">
        <f t="shared" si="2"/>
        <v>0.96782544378698221</v>
      </c>
      <c r="D30" s="15">
        <f t="shared" si="3"/>
        <v>0.97795216741405078</v>
      </c>
      <c r="E30" s="15">
        <f t="shared" si="4"/>
        <v>0.98964497041420119</v>
      </c>
      <c r="F30" s="16"/>
      <c r="G30" s="16"/>
      <c r="H30" s="16">
        <v>2704</v>
      </c>
      <c r="I30" s="16">
        <f t="shared" ref="I30:I41" si="7">H30-J30</f>
        <v>28</v>
      </c>
      <c r="J30" s="16">
        <v>2676</v>
      </c>
      <c r="K30" s="16">
        <v>2617</v>
      </c>
      <c r="L30" s="16">
        <f t="shared" ref="L30:L41" si="8">J30-K30</f>
        <v>59</v>
      </c>
    </row>
    <row r="31" spans="1:12" s="18" customFormat="1" ht="15" customHeight="1">
      <c r="A31" s="82">
        <v>1995</v>
      </c>
      <c r="B31" s="83" t="s">
        <v>37</v>
      </c>
      <c r="C31" s="15">
        <f t="shared" si="2"/>
        <v>0.97575516693163755</v>
      </c>
      <c r="D31" s="15">
        <f t="shared" si="3"/>
        <v>0.98713309207880984</v>
      </c>
      <c r="E31" s="15">
        <f t="shared" si="4"/>
        <v>0.98847376788553254</v>
      </c>
      <c r="F31" s="16"/>
      <c r="G31" s="16"/>
      <c r="H31" s="16">
        <v>2516</v>
      </c>
      <c r="I31" s="16">
        <f t="shared" si="7"/>
        <v>29</v>
      </c>
      <c r="J31" s="16">
        <v>2487</v>
      </c>
      <c r="K31" s="16">
        <v>2455</v>
      </c>
      <c r="L31" s="16">
        <f t="shared" si="8"/>
        <v>32</v>
      </c>
    </row>
    <row r="32" spans="1:12" s="18" customFormat="1" ht="15" customHeight="1">
      <c r="A32" s="82">
        <v>1995</v>
      </c>
      <c r="B32" s="83" t="s">
        <v>38</v>
      </c>
      <c r="C32" s="15">
        <f t="shared" si="2"/>
        <v>0.95913107511045659</v>
      </c>
      <c r="D32" s="15">
        <f t="shared" si="3"/>
        <v>0.98413298073290523</v>
      </c>
      <c r="E32" s="15">
        <f t="shared" si="4"/>
        <v>0.97459499263622973</v>
      </c>
      <c r="F32" s="16"/>
      <c r="G32" s="16"/>
      <c r="H32" s="16">
        <v>2716</v>
      </c>
      <c r="I32" s="16">
        <f t="shared" si="7"/>
        <v>69</v>
      </c>
      <c r="J32" s="16">
        <v>2647</v>
      </c>
      <c r="K32" s="16">
        <v>2605</v>
      </c>
      <c r="L32" s="16">
        <f t="shared" si="8"/>
        <v>42</v>
      </c>
    </row>
    <row r="33" spans="1:12" s="18" customFormat="1" ht="15" customHeight="1">
      <c r="A33" s="82">
        <v>1995</v>
      </c>
      <c r="B33" s="83" t="s">
        <v>39</v>
      </c>
      <c r="C33" s="15">
        <f t="shared" si="2"/>
        <v>0.95901145268233878</v>
      </c>
      <c r="D33" s="15">
        <f t="shared" si="3"/>
        <v>0.97249388753056232</v>
      </c>
      <c r="E33" s="15">
        <f t="shared" si="4"/>
        <v>0.98613622664255574</v>
      </c>
      <c r="F33" s="16"/>
      <c r="G33" s="16"/>
      <c r="H33" s="16">
        <v>3318</v>
      </c>
      <c r="I33" s="16">
        <f t="shared" si="7"/>
        <v>46</v>
      </c>
      <c r="J33" s="16">
        <v>3272</v>
      </c>
      <c r="K33" s="16">
        <v>3182</v>
      </c>
      <c r="L33" s="16">
        <f t="shared" si="8"/>
        <v>90</v>
      </c>
    </row>
    <row r="34" spans="1:12" s="18" customFormat="1" ht="15" customHeight="1">
      <c r="A34" s="82">
        <v>1995</v>
      </c>
      <c r="B34" s="83" t="s">
        <v>40</v>
      </c>
      <c r="C34" s="15">
        <f t="shared" si="2"/>
        <v>0.97502937720329019</v>
      </c>
      <c r="D34" s="15">
        <f t="shared" si="3"/>
        <v>0.98079196217494091</v>
      </c>
      <c r="E34" s="15">
        <f t="shared" si="4"/>
        <v>0.99412455934195065</v>
      </c>
      <c r="F34" s="16"/>
      <c r="G34" s="16"/>
      <c r="H34" s="16">
        <v>3404</v>
      </c>
      <c r="I34" s="16">
        <f t="shared" si="7"/>
        <v>20</v>
      </c>
      <c r="J34" s="16">
        <v>3384</v>
      </c>
      <c r="K34" s="16">
        <v>3319</v>
      </c>
      <c r="L34" s="16">
        <f t="shared" si="8"/>
        <v>65</v>
      </c>
    </row>
    <row r="35" spans="1:12" s="18" customFormat="1" ht="15" customHeight="1">
      <c r="A35" s="82">
        <v>1995</v>
      </c>
      <c r="B35" s="83" t="s">
        <v>41</v>
      </c>
      <c r="C35" s="15">
        <f t="shared" si="2"/>
        <v>0.95711678832116787</v>
      </c>
      <c r="D35" s="15">
        <f t="shared" si="3"/>
        <v>0.97009864364981502</v>
      </c>
      <c r="E35" s="15">
        <f t="shared" si="4"/>
        <v>0.98661800486618001</v>
      </c>
      <c r="F35" s="16"/>
      <c r="G35" s="16"/>
      <c r="H35" s="16">
        <v>3288</v>
      </c>
      <c r="I35" s="16">
        <f t="shared" si="7"/>
        <v>44</v>
      </c>
      <c r="J35" s="16">
        <v>3244</v>
      </c>
      <c r="K35" s="16">
        <v>3147</v>
      </c>
      <c r="L35" s="16">
        <f t="shared" si="8"/>
        <v>97</v>
      </c>
    </row>
    <row r="36" spans="1:12" s="18" customFormat="1" ht="15" customHeight="1">
      <c r="A36" s="82">
        <v>1995</v>
      </c>
      <c r="B36" s="83" t="s">
        <v>42</v>
      </c>
      <c r="C36" s="15">
        <f t="shared" si="2"/>
        <v>0.95131195335276963</v>
      </c>
      <c r="D36" s="15">
        <f t="shared" si="3"/>
        <v>0.96452852497783037</v>
      </c>
      <c r="E36" s="15">
        <f t="shared" si="4"/>
        <v>0.98629737609329449</v>
      </c>
      <c r="F36" s="16"/>
      <c r="G36" s="16"/>
      <c r="H36" s="16">
        <v>3430</v>
      </c>
      <c r="I36" s="16">
        <f t="shared" si="7"/>
        <v>47</v>
      </c>
      <c r="J36" s="16">
        <v>3383</v>
      </c>
      <c r="K36" s="16">
        <v>3263</v>
      </c>
      <c r="L36" s="16">
        <f t="shared" si="8"/>
        <v>120</v>
      </c>
    </row>
    <row r="37" spans="1:12" s="18" customFormat="1" ht="15" customHeight="1">
      <c r="A37" s="82">
        <v>1995</v>
      </c>
      <c r="B37" s="83" t="s">
        <v>43</v>
      </c>
      <c r="C37" s="15">
        <f t="shared" si="2"/>
        <v>0.93456861609727848</v>
      </c>
      <c r="D37" s="15">
        <f t="shared" si="3"/>
        <v>0.96243291592128799</v>
      </c>
      <c r="E37" s="15">
        <f t="shared" si="4"/>
        <v>0.97104806022003476</v>
      </c>
      <c r="F37" s="16"/>
      <c r="G37" s="16"/>
      <c r="H37" s="16">
        <v>3454</v>
      </c>
      <c r="I37" s="16">
        <f t="shared" si="7"/>
        <v>100</v>
      </c>
      <c r="J37" s="16">
        <v>3354</v>
      </c>
      <c r="K37" s="16">
        <v>3228</v>
      </c>
      <c r="L37" s="16">
        <f t="shared" si="8"/>
        <v>126</v>
      </c>
    </row>
    <row r="38" spans="1:12" s="18" customFormat="1" ht="15" customHeight="1">
      <c r="A38" s="82">
        <v>1995</v>
      </c>
      <c r="B38" s="83" t="s">
        <v>44</v>
      </c>
      <c r="C38" s="15">
        <f t="shared" si="2"/>
        <v>0.91775754126351738</v>
      </c>
      <c r="D38" s="15">
        <f t="shared" si="3"/>
        <v>0.96010717475439122</v>
      </c>
      <c r="E38" s="15">
        <f t="shared" si="4"/>
        <v>0.9558907228229937</v>
      </c>
      <c r="F38" s="16"/>
      <c r="G38" s="16"/>
      <c r="H38" s="16">
        <v>3514</v>
      </c>
      <c r="I38" s="16">
        <f t="shared" si="7"/>
        <v>155</v>
      </c>
      <c r="J38" s="16">
        <v>3359</v>
      </c>
      <c r="K38" s="16">
        <v>3225</v>
      </c>
      <c r="L38" s="16">
        <f t="shared" si="8"/>
        <v>134</v>
      </c>
    </row>
    <row r="39" spans="1:12" s="18" customFormat="1" ht="15" customHeight="1">
      <c r="A39" s="82">
        <v>1995</v>
      </c>
      <c r="B39" s="83" t="s">
        <v>45</v>
      </c>
      <c r="C39" s="15">
        <f t="shared" si="2"/>
        <v>0.94595328625746877</v>
      </c>
      <c r="D39" s="15">
        <f t="shared" si="3"/>
        <v>0.964552755469399</v>
      </c>
      <c r="E39" s="15">
        <f t="shared" si="4"/>
        <v>0.98071700162954911</v>
      </c>
      <c r="F39" s="16"/>
      <c r="G39" s="16"/>
      <c r="H39" s="16">
        <v>3682</v>
      </c>
      <c r="I39" s="16">
        <f t="shared" si="7"/>
        <v>71</v>
      </c>
      <c r="J39" s="16">
        <v>3611</v>
      </c>
      <c r="K39" s="16">
        <v>3483</v>
      </c>
      <c r="L39" s="16">
        <f t="shared" si="8"/>
        <v>128</v>
      </c>
    </row>
    <row r="40" spans="1:12" s="18" customFormat="1" ht="15" customHeight="1">
      <c r="A40" s="82">
        <v>1995</v>
      </c>
      <c r="B40" s="83" t="s">
        <v>46</v>
      </c>
      <c r="C40" s="15">
        <f t="shared" si="2"/>
        <v>0.93974918211559433</v>
      </c>
      <c r="D40" s="15">
        <f t="shared" si="3"/>
        <v>0.96825842696629216</v>
      </c>
      <c r="E40" s="15">
        <f t="shared" si="4"/>
        <v>0.9705561613958561</v>
      </c>
      <c r="F40" s="16"/>
      <c r="G40" s="16"/>
      <c r="H40" s="16">
        <v>3668</v>
      </c>
      <c r="I40" s="16">
        <f t="shared" si="7"/>
        <v>108</v>
      </c>
      <c r="J40" s="16">
        <v>3560</v>
      </c>
      <c r="K40" s="16">
        <v>3447</v>
      </c>
      <c r="L40" s="16">
        <f t="shared" si="8"/>
        <v>113</v>
      </c>
    </row>
    <row r="41" spans="1:12" s="18" customFormat="1" ht="15" customHeight="1">
      <c r="A41" s="82">
        <v>1995</v>
      </c>
      <c r="B41" s="83" t="s">
        <v>47</v>
      </c>
      <c r="C41" s="15">
        <f t="shared" si="2"/>
        <v>0.8109823399558499</v>
      </c>
      <c r="D41" s="15">
        <f t="shared" si="3"/>
        <v>0.87184811628596859</v>
      </c>
      <c r="E41" s="15">
        <f t="shared" si="4"/>
        <v>0.93018763796909487</v>
      </c>
      <c r="F41" s="16"/>
      <c r="G41" s="16"/>
      <c r="H41" s="16">
        <v>3624</v>
      </c>
      <c r="I41" s="16">
        <f t="shared" si="7"/>
        <v>253</v>
      </c>
      <c r="J41" s="16">
        <v>3371</v>
      </c>
      <c r="K41" s="16">
        <v>2939</v>
      </c>
      <c r="L41" s="16">
        <f t="shared" si="8"/>
        <v>432</v>
      </c>
    </row>
    <row r="42" spans="1:12" s="18" customFormat="1" ht="15" customHeight="1">
      <c r="A42" s="82">
        <v>1996</v>
      </c>
      <c r="B42" s="83" t="s">
        <v>36</v>
      </c>
      <c r="C42" s="15">
        <f t="shared" si="2"/>
        <v>0.83315508021390372</v>
      </c>
      <c r="D42" s="15">
        <f t="shared" si="3"/>
        <v>0.91271236086701812</v>
      </c>
      <c r="E42" s="15">
        <f t="shared" si="4"/>
        <v>0.91283422459893049</v>
      </c>
      <c r="F42" s="16"/>
      <c r="G42" s="16"/>
      <c r="H42" s="16">
        <v>3740</v>
      </c>
      <c r="I42" s="16">
        <f t="shared" ref="I42:I53" si="9">H42-J42</f>
        <v>326</v>
      </c>
      <c r="J42" s="16">
        <v>3414</v>
      </c>
      <c r="K42" s="16">
        <v>3116</v>
      </c>
      <c r="L42" s="16">
        <f t="shared" ref="L42:L53" si="10">J42-K42</f>
        <v>298</v>
      </c>
    </row>
    <row r="43" spans="1:12" s="18" customFormat="1" ht="15" customHeight="1">
      <c r="A43" s="82">
        <v>1996</v>
      </c>
      <c r="B43" s="83" t="s">
        <v>37</v>
      </c>
      <c r="C43" s="15">
        <f t="shared" si="2"/>
        <v>0.78259637188208619</v>
      </c>
      <c r="D43" s="15">
        <f t="shared" si="3"/>
        <v>0.8563895781637717</v>
      </c>
      <c r="E43" s="15">
        <f t="shared" si="4"/>
        <v>0.91383219954648531</v>
      </c>
      <c r="F43" s="16"/>
      <c r="G43" s="16"/>
      <c r="H43" s="16">
        <v>3528</v>
      </c>
      <c r="I43" s="16">
        <f t="shared" si="9"/>
        <v>304</v>
      </c>
      <c r="J43" s="16">
        <v>3224</v>
      </c>
      <c r="K43" s="16">
        <v>2761</v>
      </c>
      <c r="L43" s="16">
        <f t="shared" si="10"/>
        <v>463</v>
      </c>
    </row>
    <row r="44" spans="1:12" s="18" customFormat="1" ht="15" customHeight="1">
      <c r="A44" s="82">
        <v>1996</v>
      </c>
      <c r="B44" s="83" t="s">
        <v>38</v>
      </c>
      <c r="C44" s="15">
        <f t="shared" si="2"/>
        <v>0.71711229946524069</v>
      </c>
      <c r="D44" s="15">
        <f t="shared" si="3"/>
        <v>0.78859159070861506</v>
      </c>
      <c r="E44" s="15">
        <f t="shared" si="4"/>
        <v>0.90935828877005342</v>
      </c>
      <c r="F44" s="16"/>
      <c r="G44" s="16"/>
      <c r="H44" s="16">
        <v>3740</v>
      </c>
      <c r="I44" s="16">
        <f t="shared" si="9"/>
        <v>339</v>
      </c>
      <c r="J44" s="16">
        <v>3401</v>
      </c>
      <c r="K44" s="16">
        <v>2682</v>
      </c>
      <c r="L44" s="16">
        <f t="shared" si="10"/>
        <v>719</v>
      </c>
    </row>
    <row r="45" spans="1:12" s="18" customFormat="1" ht="15" customHeight="1">
      <c r="A45" s="82">
        <v>1996</v>
      </c>
      <c r="B45" s="83" t="s">
        <v>39</v>
      </c>
      <c r="C45" s="15">
        <f t="shared" si="2"/>
        <v>0.77368421052631575</v>
      </c>
      <c r="D45" s="15">
        <f t="shared" si="3"/>
        <v>0.85152439024390247</v>
      </c>
      <c r="E45" s="15">
        <f t="shared" si="4"/>
        <v>0.90858725761772852</v>
      </c>
      <c r="F45" s="16"/>
      <c r="G45" s="16"/>
      <c r="H45" s="16">
        <v>3610</v>
      </c>
      <c r="I45" s="16">
        <f t="shared" si="9"/>
        <v>330</v>
      </c>
      <c r="J45" s="16">
        <v>3280</v>
      </c>
      <c r="K45" s="16">
        <v>2793</v>
      </c>
      <c r="L45" s="16">
        <f t="shared" si="10"/>
        <v>487</v>
      </c>
    </row>
    <row r="46" spans="1:12" s="18" customFormat="1" ht="15" customHeight="1">
      <c r="A46" s="82">
        <v>1996</v>
      </c>
      <c r="B46" s="83" t="s">
        <v>40</v>
      </c>
      <c r="C46" s="15">
        <f t="shared" si="2"/>
        <v>0.82428028245518736</v>
      </c>
      <c r="D46" s="15">
        <f t="shared" si="3"/>
        <v>0.90273646638905414</v>
      </c>
      <c r="E46" s="15">
        <f t="shared" si="4"/>
        <v>0.91309071156979904</v>
      </c>
      <c r="F46" s="16"/>
      <c r="G46" s="16"/>
      <c r="H46" s="16">
        <v>3682</v>
      </c>
      <c r="I46" s="16">
        <f t="shared" si="9"/>
        <v>320</v>
      </c>
      <c r="J46" s="16">
        <v>3362</v>
      </c>
      <c r="K46" s="16">
        <v>3035</v>
      </c>
      <c r="L46" s="16">
        <f t="shared" si="10"/>
        <v>327</v>
      </c>
    </row>
    <row r="47" spans="1:12" s="18" customFormat="1" ht="15" customHeight="1">
      <c r="A47" s="82">
        <v>1996</v>
      </c>
      <c r="B47" s="83" t="s">
        <v>41</v>
      </c>
      <c r="C47" s="15">
        <f t="shared" si="2"/>
        <v>0.88469493278179934</v>
      </c>
      <c r="D47" s="15">
        <f t="shared" si="3"/>
        <v>0.96150604102275916</v>
      </c>
      <c r="E47" s="15">
        <f t="shared" si="4"/>
        <v>0.92011375387797312</v>
      </c>
      <c r="F47" s="16"/>
      <c r="G47" s="16"/>
      <c r="H47" s="16">
        <v>3868</v>
      </c>
      <c r="I47" s="16">
        <f t="shared" si="9"/>
        <v>309</v>
      </c>
      <c r="J47" s="16">
        <v>3559</v>
      </c>
      <c r="K47" s="16">
        <v>3422</v>
      </c>
      <c r="L47" s="16">
        <f t="shared" si="10"/>
        <v>137</v>
      </c>
    </row>
    <row r="48" spans="1:12" s="18" customFormat="1" ht="15" customHeight="1">
      <c r="A48" s="82">
        <v>1996</v>
      </c>
      <c r="B48" s="83" t="s">
        <v>42</v>
      </c>
      <c r="C48" s="15">
        <f t="shared" si="2"/>
        <v>0.88999762413875028</v>
      </c>
      <c r="D48" s="15">
        <f t="shared" si="3"/>
        <v>0.96596183599793706</v>
      </c>
      <c r="E48" s="15">
        <f t="shared" si="4"/>
        <v>0.92135899263483012</v>
      </c>
      <c r="F48" s="16"/>
      <c r="G48" s="16"/>
      <c r="H48" s="16">
        <v>4209</v>
      </c>
      <c r="I48" s="16">
        <f t="shared" si="9"/>
        <v>331</v>
      </c>
      <c r="J48" s="16">
        <v>3878</v>
      </c>
      <c r="K48" s="16">
        <v>3746</v>
      </c>
      <c r="L48" s="16">
        <f t="shared" si="10"/>
        <v>132</v>
      </c>
    </row>
    <row r="49" spans="1:12" s="18" customFormat="1" ht="15" customHeight="1">
      <c r="A49" s="82">
        <v>1996</v>
      </c>
      <c r="B49" s="83" t="s">
        <v>43</v>
      </c>
      <c r="C49" s="15">
        <f t="shared" si="2"/>
        <v>0.85927654609101511</v>
      </c>
      <c r="D49" s="15">
        <f t="shared" si="3"/>
        <v>0.96869244935543275</v>
      </c>
      <c r="E49" s="15">
        <f t="shared" si="4"/>
        <v>0.88704784130688452</v>
      </c>
      <c r="F49" s="16"/>
      <c r="G49" s="16"/>
      <c r="H49" s="16">
        <v>4285</v>
      </c>
      <c r="I49" s="16">
        <f t="shared" si="9"/>
        <v>484</v>
      </c>
      <c r="J49" s="16">
        <v>3801</v>
      </c>
      <c r="K49" s="16">
        <v>3682</v>
      </c>
      <c r="L49" s="16">
        <f t="shared" si="10"/>
        <v>119</v>
      </c>
    </row>
    <row r="50" spans="1:12" s="18" customFormat="1" ht="15" customHeight="1">
      <c r="A50" s="82">
        <v>1996</v>
      </c>
      <c r="B50" s="83" t="s">
        <v>44</v>
      </c>
      <c r="C50" s="15">
        <f t="shared" si="2"/>
        <v>0.87123221605980228</v>
      </c>
      <c r="D50" s="15">
        <f t="shared" si="3"/>
        <v>0.97149771443936539</v>
      </c>
      <c r="E50" s="15">
        <f t="shared" si="4"/>
        <v>0.89679286231010369</v>
      </c>
      <c r="F50" s="16"/>
      <c r="G50" s="16"/>
      <c r="H50" s="16">
        <v>4147</v>
      </c>
      <c r="I50" s="16">
        <f t="shared" si="9"/>
        <v>428</v>
      </c>
      <c r="J50" s="16">
        <v>3719</v>
      </c>
      <c r="K50" s="16">
        <v>3613</v>
      </c>
      <c r="L50" s="16">
        <f t="shared" si="10"/>
        <v>106</v>
      </c>
    </row>
    <row r="51" spans="1:12" s="18" customFormat="1" ht="15" customHeight="1">
      <c r="A51" s="82">
        <v>1996</v>
      </c>
      <c r="B51" s="83" t="s">
        <v>45</v>
      </c>
      <c r="C51" s="15">
        <f t="shared" si="2"/>
        <v>0.86631139944392954</v>
      </c>
      <c r="D51" s="15">
        <f t="shared" si="3"/>
        <v>0.98550342646283606</v>
      </c>
      <c r="E51" s="15">
        <f t="shared" si="4"/>
        <v>0.87905468025949951</v>
      </c>
      <c r="F51" s="16"/>
      <c r="G51" s="16"/>
      <c r="H51" s="16">
        <v>4316</v>
      </c>
      <c r="I51" s="16">
        <f t="shared" si="9"/>
        <v>522</v>
      </c>
      <c r="J51" s="16">
        <v>3794</v>
      </c>
      <c r="K51" s="16">
        <v>3739</v>
      </c>
      <c r="L51" s="16">
        <f t="shared" si="10"/>
        <v>55</v>
      </c>
    </row>
    <row r="52" spans="1:12" s="18" customFormat="1" ht="15" customHeight="1">
      <c r="A52" s="82">
        <v>1996</v>
      </c>
      <c r="B52" s="83" t="s">
        <v>46</v>
      </c>
      <c r="C52" s="15">
        <f t="shared" si="2"/>
        <v>0.915692007797271</v>
      </c>
      <c r="D52" s="15">
        <f t="shared" si="3"/>
        <v>0.97231565329883574</v>
      </c>
      <c r="E52" s="15">
        <f t="shared" si="4"/>
        <v>0.94176413255360625</v>
      </c>
      <c r="F52" s="16"/>
      <c r="G52" s="16"/>
      <c r="H52" s="16">
        <v>4104</v>
      </c>
      <c r="I52" s="16">
        <f t="shared" si="9"/>
        <v>239</v>
      </c>
      <c r="J52" s="16">
        <v>3865</v>
      </c>
      <c r="K52" s="16">
        <v>3758</v>
      </c>
      <c r="L52" s="16">
        <f t="shared" si="10"/>
        <v>107</v>
      </c>
    </row>
    <row r="53" spans="1:12" s="18" customFormat="1" ht="15" customHeight="1">
      <c r="A53" s="82">
        <v>1996</v>
      </c>
      <c r="B53" s="83" t="s">
        <v>47</v>
      </c>
      <c r="C53" s="15">
        <f t="shared" si="2"/>
        <v>0.91427889207258839</v>
      </c>
      <c r="D53" s="15">
        <f t="shared" si="3"/>
        <v>0.96961256014180808</v>
      </c>
      <c r="E53" s="15">
        <f t="shared" si="4"/>
        <v>0.94293218720152816</v>
      </c>
      <c r="F53" s="16"/>
      <c r="G53" s="16"/>
      <c r="H53" s="16">
        <v>4188</v>
      </c>
      <c r="I53" s="16">
        <f t="shared" si="9"/>
        <v>239</v>
      </c>
      <c r="J53" s="16">
        <v>3949</v>
      </c>
      <c r="K53" s="16">
        <v>3829</v>
      </c>
      <c r="L53" s="16">
        <f t="shared" si="10"/>
        <v>120</v>
      </c>
    </row>
    <row r="54" spans="1:12" s="18" customFormat="1" ht="15" customHeight="1">
      <c r="A54" s="82">
        <v>1997</v>
      </c>
      <c r="B54" s="83" t="s">
        <v>36</v>
      </c>
      <c r="C54" s="15">
        <f t="shared" si="2"/>
        <v>0.94860255802936999</v>
      </c>
      <c r="D54" s="15">
        <f t="shared" si="3"/>
        <v>0.9933035714285714</v>
      </c>
      <c r="E54" s="15">
        <f t="shared" si="4"/>
        <v>0.95499763145428707</v>
      </c>
      <c r="F54" s="16"/>
      <c r="G54" s="16"/>
      <c r="H54" s="16">
        <v>4222</v>
      </c>
      <c r="I54" s="16">
        <f t="shared" ref="I54:I65" si="11">H54-J54</f>
        <v>190</v>
      </c>
      <c r="J54" s="16">
        <v>4032</v>
      </c>
      <c r="K54" s="16">
        <v>4005</v>
      </c>
      <c r="L54" s="16">
        <f t="shared" ref="L54:L65" si="12">J54-K54</f>
        <v>27</v>
      </c>
    </row>
    <row r="55" spans="1:12" s="18" customFormat="1" ht="15" customHeight="1">
      <c r="A55" s="82">
        <v>1997</v>
      </c>
      <c r="B55" s="83" t="s">
        <v>37</v>
      </c>
      <c r="C55" s="15">
        <f t="shared" si="2"/>
        <v>0.94325313807531386</v>
      </c>
      <c r="D55" s="15">
        <f t="shared" si="3"/>
        <v>0.98984632272228323</v>
      </c>
      <c r="E55" s="15">
        <f t="shared" si="4"/>
        <v>0.95292887029288698</v>
      </c>
      <c r="F55" s="16"/>
      <c r="G55" s="16"/>
      <c r="H55" s="16">
        <v>3824</v>
      </c>
      <c r="I55" s="16">
        <f t="shared" si="11"/>
        <v>180</v>
      </c>
      <c r="J55" s="16">
        <v>3644</v>
      </c>
      <c r="K55" s="16">
        <v>3607</v>
      </c>
      <c r="L55" s="16">
        <f t="shared" si="12"/>
        <v>37</v>
      </c>
    </row>
    <row r="56" spans="1:12" s="18" customFormat="1" ht="15" customHeight="1">
      <c r="A56" s="82">
        <v>1997</v>
      </c>
      <c r="B56" s="83" t="s">
        <v>38</v>
      </c>
      <c r="C56" s="15">
        <f t="shared" si="2"/>
        <v>0.93528841492971404</v>
      </c>
      <c r="D56" s="15">
        <f t="shared" si="3"/>
        <v>0.98822023047375163</v>
      </c>
      <c r="E56" s="15">
        <f t="shared" si="4"/>
        <v>0.94643722733882696</v>
      </c>
      <c r="F56" s="16"/>
      <c r="G56" s="16"/>
      <c r="H56" s="16">
        <v>4126</v>
      </c>
      <c r="I56" s="16">
        <f t="shared" si="11"/>
        <v>221</v>
      </c>
      <c r="J56" s="16">
        <v>3905</v>
      </c>
      <c r="K56" s="16">
        <v>3859</v>
      </c>
      <c r="L56" s="16">
        <f t="shared" si="12"/>
        <v>46</v>
      </c>
    </row>
    <row r="57" spans="1:12" s="18" customFormat="1" ht="15" customHeight="1">
      <c r="A57" s="82">
        <v>1997</v>
      </c>
      <c r="B57" s="83" t="s">
        <v>39</v>
      </c>
      <c r="C57" s="15">
        <f t="shared" si="2"/>
        <v>0.91321118611378982</v>
      </c>
      <c r="D57" s="15">
        <f t="shared" si="3"/>
        <v>0.98364061282783688</v>
      </c>
      <c r="E57" s="15">
        <f t="shared" si="4"/>
        <v>0.92839922854387658</v>
      </c>
      <c r="F57" s="16"/>
      <c r="G57" s="16"/>
      <c r="H57" s="16">
        <v>4148</v>
      </c>
      <c r="I57" s="16">
        <f t="shared" si="11"/>
        <v>297</v>
      </c>
      <c r="J57" s="16">
        <v>3851</v>
      </c>
      <c r="K57" s="16">
        <v>3788</v>
      </c>
      <c r="L57" s="16">
        <f t="shared" si="12"/>
        <v>63</v>
      </c>
    </row>
    <row r="58" spans="1:12" s="18" customFormat="1" ht="15" customHeight="1">
      <c r="A58" s="82">
        <v>1997</v>
      </c>
      <c r="B58" s="83" t="s">
        <v>40</v>
      </c>
      <c r="C58" s="15">
        <f t="shared" si="2"/>
        <v>0.9190520882214922</v>
      </c>
      <c r="D58" s="15">
        <f t="shared" si="3"/>
        <v>0.98964123294593231</v>
      </c>
      <c r="E58" s="15">
        <f t="shared" si="4"/>
        <v>0.92867198498357584</v>
      </c>
      <c r="F58" s="16"/>
      <c r="G58" s="16"/>
      <c r="H58" s="16">
        <v>4262</v>
      </c>
      <c r="I58" s="16">
        <f t="shared" si="11"/>
        <v>304</v>
      </c>
      <c r="J58" s="16">
        <v>3958</v>
      </c>
      <c r="K58" s="16">
        <v>3917</v>
      </c>
      <c r="L58" s="16">
        <f t="shared" si="12"/>
        <v>41</v>
      </c>
    </row>
    <row r="59" spans="1:12" s="18" customFormat="1" ht="15" customHeight="1">
      <c r="A59" s="82">
        <v>1997</v>
      </c>
      <c r="B59" s="83" t="s">
        <v>41</v>
      </c>
      <c r="C59" s="15">
        <f t="shared" si="2"/>
        <v>0.95792322834645671</v>
      </c>
      <c r="D59" s="15">
        <f t="shared" si="3"/>
        <v>0.99108961303462317</v>
      </c>
      <c r="E59" s="15">
        <f t="shared" si="4"/>
        <v>0.96653543307086609</v>
      </c>
      <c r="F59" s="16"/>
      <c r="G59" s="16"/>
      <c r="H59" s="16">
        <v>4064</v>
      </c>
      <c r="I59" s="16">
        <f t="shared" si="11"/>
        <v>136</v>
      </c>
      <c r="J59" s="16">
        <v>3928</v>
      </c>
      <c r="K59" s="16">
        <v>3893</v>
      </c>
      <c r="L59" s="16">
        <f t="shared" si="12"/>
        <v>35</v>
      </c>
    </row>
    <row r="60" spans="1:12" s="18" customFormat="1" ht="15" customHeight="1">
      <c r="A60" s="82">
        <v>1997</v>
      </c>
      <c r="B60" s="83" t="s">
        <v>42</v>
      </c>
      <c r="C60" s="15">
        <f t="shared" si="2"/>
        <v>0.97623514696685432</v>
      </c>
      <c r="D60" s="15">
        <f t="shared" si="3"/>
        <v>0.98485804416403788</v>
      </c>
      <c r="E60" s="15">
        <f t="shared" si="4"/>
        <v>0.9912445278298937</v>
      </c>
      <c r="F60" s="16"/>
      <c r="G60" s="16"/>
      <c r="H60" s="16">
        <v>4797</v>
      </c>
      <c r="I60" s="16">
        <f t="shared" si="11"/>
        <v>42</v>
      </c>
      <c r="J60" s="16">
        <v>4755</v>
      </c>
      <c r="K60" s="16">
        <v>4683</v>
      </c>
      <c r="L60" s="16">
        <f t="shared" si="12"/>
        <v>72</v>
      </c>
    </row>
    <row r="61" spans="1:12" s="18" customFormat="1" ht="15" customHeight="1">
      <c r="A61" s="82">
        <v>1997</v>
      </c>
      <c r="B61" s="83" t="s">
        <v>43</v>
      </c>
      <c r="C61" s="15">
        <f t="shared" si="2"/>
        <v>0.98234042553191492</v>
      </c>
      <c r="D61" s="15">
        <f t="shared" si="3"/>
        <v>0.98801626364219985</v>
      </c>
      <c r="E61" s="15">
        <f t="shared" si="4"/>
        <v>0.99425531914893617</v>
      </c>
      <c r="F61" s="16"/>
      <c r="G61" s="16"/>
      <c r="H61" s="16">
        <v>4700</v>
      </c>
      <c r="I61" s="16">
        <f t="shared" si="11"/>
        <v>27</v>
      </c>
      <c r="J61" s="16">
        <v>4673</v>
      </c>
      <c r="K61" s="16">
        <v>4617</v>
      </c>
      <c r="L61" s="16">
        <f t="shared" si="12"/>
        <v>56</v>
      </c>
    </row>
    <row r="62" spans="1:12" s="18" customFormat="1" ht="15" customHeight="1">
      <c r="A62" s="82">
        <v>1997</v>
      </c>
      <c r="B62" s="83" t="s">
        <v>44</v>
      </c>
      <c r="C62" s="15">
        <f t="shared" si="2"/>
        <v>0.97629218282785135</v>
      </c>
      <c r="D62" s="15">
        <f t="shared" si="3"/>
        <v>0.98470486859112449</v>
      </c>
      <c r="E62" s="15">
        <f t="shared" si="4"/>
        <v>0.99145664246048693</v>
      </c>
      <c r="F62" s="16"/>
      <c r="G62" s="16"/>
      <c r="H62" s="16">
        <v>4682</v>
      </c>
      <c r="I62" s="16">
        <f t="shared" si="11"/>
        <v>40</v>
      </c>
      <c r="J62" s="16">
        <v>4642</v>
      </c>
      <c r="K62" s="16">
        <v>4571</v>
      </c>
      <c r="L62" s="16">
        <f t="shared" si="12"/>
        <v>71</v>
      </c>
    </row>
    <row r="63" spans="1:12" s="18" customFormat="1" ht="15" customHeight="1">
      <c r="A63" s="82">
        <v>1997</v>
      </c>
      <c r="B63" s="83" t="s">
        <v>45</v>
      </c>
      <c r="C63" s="15">
        <f t="shared" si="2"/>
        <v>0.97917955060812201</v>
      </c>
      <c r="D63" s="15">
        <f t="shared" si="3"/>
        <v>0.98466003316749584</v>
      </c>
      <c r="E63" s="15">
        <f t="shared" si="4"/>
        <v>0.99443413729128016</v>
      </c>
      <c r="F63" s="16"/>
      <c r="G63" s="16"/>
      <c r="H63" s="16">
        <v>4851</v>
      </c>
      <c r="I63" s="16">
        <f t="shared" si="11"/>
        <v>27</v>
      </c>
      <c r="J63" s="16">
        <v>4824</v>
      </c>
      <c r="K63" s="16">
        <v>4750</v>
      </c>
      <c r="L63" s="16">
        <f t="shared" si="12"/>
        <v>74</v>
      </c>
    </row>
    <row r="64" spans="1:12" s="18" customFormat="1" ht="15" customHeight="1">
      <c r="A64" s="82">
        <v>1997</v>
      </c>
      <c r="B64" s="83" t="s">
        <v>46</v>
      </c>
      <c r="C64" s="15">
        <f t="shared" si="2"/>
        <v>0.97557251908396947</v>
      </c>
      <c r="D64" s="15">
        <f t="shared" si="3"/>
        <v>0.98502532481832195</v>
      </c>
      <c r="E64" s="15">
        <f t="shared" si="4"/>
        <v>0.99040348964013081</v>
      </c>
      <c r="F64" s="16"/>
      <c r="G64" s="16"/>
      <c r="H64" s="16">
        <v>4585</v>
      </c>
      <c r="I64" s="16">
        <f t="shared" si="11"/>
        <v>44</v>
      </c>
      <c r="J64" s="16">
        <v>4541</v>
      </c>
      <c r="K64" s="16">
        <v>4473</v>
      </c>
      <c r="L64" s="16">
        <f t="shared" si="12"/>
        <v>68</v>
      </c>
    </row>
    <row r="65" spans="1:12" s="18" customFormat="1" ht="15" customHeight="1">
      <c r="A65" s="82">
        <v>1997</v>
      </c>
      <c r="B65" s="83" t="s">
        <v>47</v>
      </c>
      <c r="C65" s="15">
        <f t="shared" si="2"/>
        <v>0.97659709044908283</v>
      </c>
      <c r="D65" s="15">
        <f t="shared" si="3"/>
        <v>0.98364833297940113</v>
      </c>
      <c r="E65" s="15">
        <f t="shared" si="4"/>
        <v>0.99283154121863804</v>
      </c>
      <c r="F65" s="16"/>
      <c r="G65" s="16"/>
      <c r="H65" s="16">
        <v>4743</v>
      </c>
      <c r="I65" s="16">
        <f t="shared" si="11"/>
        <v>34</v>
      </c>
      <c r="J65" s="16">
        <v>4709</v>
      </c>
      <c r="K65" s="16">
        <v>4632</v>
      </c>
      <c r="L65" s="16">
        <f t="shared" si="12"/>
        <v>77</v>
      </c>
    </row>
    <row r="66" spans="1:12" s="18" customFormat="1" ht="15" customHeight="1">
      <c r="A66" s="82">
        <v>1998</v>
      </c>
      <c r="B66" s="83" t="s">
        <v>36</v>
      </c>
      <c r="C66" s="15">
        <f t="shared" si="2"/>
        <v>0.93058477071939416</v>
      </c>
      <c r="D66" s="15">
        <f t="shared" si="3"/>
        <v>0.97102721685689197</v>
      </c>
      <c r="E66" s="15">
        <f t="shared" si="4"/>
        <v>0.95835086243163647</v>
      </c>
      <c r="F66" s="16"/>
      <c r="G66" s="16"/>
      <c r="H66" s="16">
        <v>4754</v>
      </c>
      <c r="I66" s="16">
        <f t="shared" ref="I66:I77" si="13">H66-J66</f>
        <v>198</v>
      </c>
      <c r="J66" s="16">
        <v>4556</v>
      </c>
      <c r="K66" s="16">
        <v>4424</v>
      </c>
      <c r="L66" s="16">
        <f t="shared" ref="L66:L77" si="14">J66-K66</f>
        <v>132</v>
      </c>
    </row>
    <row r="67" spans="1:12" s="18" customFormat="1" ht="15" customHeight="1">
      <c r="A67" s="82">
        <v>1998</v>
      </c>
      <c r="B67" s="83" t="s">
        <v>37</v>
      </c>
      <c r="C67" s="15">
        <f t="shared" si="2"/>
        <v>0.91689686924493552</v>
      </c>
      <c r="D67" s="15">
        <f t="shared" si="3"/>
        <v>0.98006889763779526</v>
      </c>
      <c r="E67" s="15">
        <f t="shared" si="4"/>
        <v>0.9355432780847146</v>
      </c>
      <c r="F67" s="16"/>
      <c r="G67" s="16"/>
      <c r="H67" s="16">
        <v>4344</v>
      </c>
      <c r="I67" s="16">
        <f t="shared" si="13"/>
        <v>280</v>
      </c>
      <c r="J67" s="16">
        <v>4064</v>
      </c>
      <c r="K67" s="16">
        <v>3983</v>
      </c>
      <c r="L67" s="16">
        <f t="shared" si="14"/>
        <v>81</v>
      </c>
    </row>
    <row r="68" spans="1:12" s="18" customFormat="1" ht="15" customHeight="1">
      <c r="A68" s="82">
        <v>1998</v>
      </c>
      <c r="B68" s="83" t="s">
        <v>38</v>
      </c>
      <c r="C68" s="15">
        <f t="shared" si="2"/>
        <v>0.91327913279132789</v>
      </c>
      <c r="D68" s="15">
        <f t="shared" si="3"/>
        <v>0.97659384752563527</v>
      </c>
      <c r="E68" s="15">
        <f t="shared" si="4"/>
        <v>0.9351678132165937</v>
      </c>
      <c r="F68" s="16"/>
      <c r="G68" s="16"/>
      <c r="H68" s="16">
        <v>4797</v>
      </c>
      <c r="I68" s="16">
        <f t="shared" si="13"/>
        <v>311</v>
      </c>
      <c r="J68" s="16">
        <v>4486</v>
      </c>
      <c r="K68" s="16">
        <v>4381</v>
      </c>
      <c r="L68" s="16">
        <f t="shared" si="14"/>
        <v>105</v>
      </c>
    </row>
    <row r="69" spans="1:12" s="18" customFormat="1" ht="15" customHeight="1">
      <c r="A69" s="82">
        <v>1998</v>
      </c>
      <c r="B69" s="83" t="s">
        <v>39</v>
      </c>
      <c r="C69" s="15">
        <f t="shared" si="2"/>
        <v>0.91897147796024203</v>
      </c>
      <c r="D69" s="15">
        <f t="shared" si="3"/>
        <v>0.98199030247056107</v>
      </c>
      <c r="E69" s="15">
        <f t="shared" si="4"/>
        <v>0.93582541054451163</v>
      </c>
      <c r="F69" s="16"/>
      <c r="G69" s="16"/>
      <c r="H69" s="16">
        <v>4628</v>
      </c>
      <c r="I69" s="16">
        <f t="shared" si="13"/>
        <v>297</v>
      </c>
      <c r="J69" s="16">
        <v>4331</v>
      </c>
      <c r="K69" s="16">
        <v>4253</v>
      </c>
      <c r="L69" s="16">
        <f t="shared" si="14"/>
        <v>78</v>
      </c>
    </row>
    <row r="70" spans="1:12" s="18" customFormat="1" ht="15" customHeight="1">
      <c r="A70" s="82">
        <v>1998</v>
      </c>
      <c r="B70" s="83" t="s">
        <v>40</v>
      </c>
      <c r="C70" s="15">
        <f t="shared" si="2"/>
        <v>0.93671975893241499</v>
      </c>
      <c r="D70" s="15">
        <f t="shared" si="3"/>
        <v>0.9821710674791243</v>
      </c>
      <c r="E70" s="15">
        <f t="shared" si="4"/>
        <v>0.95372363323288856</v>
      </c>
      <c r="F70" s="16"/>
      <c r="G70" s="16"/>
      <c r="H70" s="16">
        <v>4646</v>
      </c>
      <c r="I70" s="16">
        <f t="shared" si="13"/>
        <v>215</v>
      </c>
      <c r="J70" s="16">
        <v>4431</v>
      </c>
      <c r="K70" s="16">
        <v>4352</v>
      </c>
      <c r="L70" s="16">
        <f t="shared" si="14"/>
        <v>79</v>
      </c>
    </row>
    <row r="71" spans="1:12" s="18" customFormat="1" ht="15" customHeight="1">
      <c r="A71" s="82">
        <v>1998</v>
      </c>
      <c r="B71" s="83" t="s">
        <v>41</v>
      </c>
      <c r="C71" s="15">
        <f t="shared" ref="C71:C134" si="15">K71/H71</f>
        <v>0.98578924355050279</v>
      </c>
      <c r="D71" s="15">
        <f t="shared" ref="D71:D134" si="16">K71/J71</f>
        <v>0.99186097668279805</v>
      </c>
      <c r="E71" s="15">
        <f t="shared" ref="E71:E134" si="17">J71/H71</f>
        <v>0.99387844337560127</v>
      </c>
      <c r="F71" s="16"/>
      <c r="G71" s="16"/>
      <c r="H71" s="16">
        <v>4574</v>
      </c>
      <c r="I71" s="16">
        <f t="shared" si="13"/>
        <v>28</v>
      </c>
      <c r="J71" s="16">
        <v>4546</v>
      </c>
      <c r="K71" s="16">
        <v>4509</v>
      </c>
      <c r="L71" s="16">
        <f t="shared" si="14"/>
        <v>37</v>
      </c>
    </row>
    <row r="72" spans="1:12" s="18" customFormat="1" ht="15" customHeight="1">
      <c r="A72" s="82">
        <v>1998</v>
      </c>
      <c r="B72" s="83" t="s">
        <v>42</v>
      </c>
      <c r="C72" s="15">
        <f t="shared" si="15"/>
        <v>0.98415676464456947</v>
      </c>
      <c r="D72" s="15">
        <f t="shared" si="16"/>
        <v>0.9884840871021775</v>
      </c>
      <c r="E72" s="15">
        <f t="shared" si="17"/>
        <v>0.99562226391494679</v>
      </c>
      <c r="F72" s="16"/>
      <c r="G72" s="16"/>
      <c r="H72" s="16">
        <v>4797</v>
      </c>
      <c r="I72" s="16">
        <f t="shared" si="13"/>
        <v>21</v>
      </c>
      <c r="J72" s="16">
        <v>4776</v>
      </c>
      <c r="K72" s="16">
        <v>4721</v>
      </c>
      <c r="L72" s="16">
        <f t="shared" si="14"/>
        <v>55</v>
      </c>
    </row>
    <row r="73" spans="1:12" s="18" customFormat="1" ht="15" customHeight="1">
      <c r="A73" s="82">
        <v>1998</v>
      </c>
      <c r="B73" s="83" t="s">
        <v>43</v>
      </c>
      <c r="C73" s="15">
        <f t="shared" si="15"/>
        <v>0.98085106382978726</v>
      </c>
      <c r="D73" s="15">
        <f t="shared" si="16"/>
        <v>0.98715203426124198</v>
      </c>
      <c r="E73" s="15">
        <f t="shared" si="17"/>
        <v>0.99361702127659579</v>
      </c>
      <c r="F73" s="16"/>
      <c r="G73" s="16"/>
      <c r="H73" s="16">
        <v>4700</v>
      </c>
      <c r="I73" s="16">
        <f t="shared" si="13"/>
        <v>30</v>
      </c>
      <c r="J73" s="16">
        <v>4670</v>
      </c>
      <c r="K73" s="16">
        <v>4610</v>
      </c>
      <c r="L73" s="16">
        <f t="shared" si="14"/>
        <v>60</v>
      </c>
    </row>
    <row r="74" spans="1:12" s="18" customFormat="1" ht="15" customHeight="1">
      <c r="A74" s="82">
        <v>1998</v>
      </c>
      <c r="B74" s="83" t="s">
        <v>44</v>
      </c>
      <c r="C74" s="15">
        <f t="shared" si="15"/>
        <v>0.97415634344297308</v>
      </c>
      <c r="D74" s="15">
        <f t="shared" si="16"/>
        <v>0.98255062473071952</v>
      </c>
      <c r="E74" s="15">
        <f t="shared" si="17"/>
        <v>0.99145664246048693</v>
      </c>
      <c r="F74" s="16"/>
      <c r="G74" s="16"/>
      <c r="H74" s="16">
        <v>4682</v>
      </c>
      <c r="I74" s="16">
        <f t="shared" si="13"/>
        <v>40</v>
      </c>
      <c r="J74" s="16">
        <v>4642</v>
      </c>
      <c r="K74" s="16">
        <v>4561</v>
      </c>
      <c r="L74" s="16">
        <f t="shared" si="14"/>
        <v>81</v>
      </c>
    </row>
    <row r="75" spans="1:12" s="18" customFormat="1" ht="15" customHeight="1">
      <c r="A75" s="82">
        <v>1998</v>
      </c>
      <c r="B75" s="83" t="s">
        <v>45</v>
      </c>
      <c r="C75" s="15">
        <f t="shared" si="15"/>
        <v>0.97370635254522508</v>
      </c>
      <c r="D75" s="15">
        <f t="shared" si="16"/>
        <v>0.98720409468969927</v>
      </c>
      <c r="E75" s="15">
        <f t="shared" si="17"/>
        <v>0.98632730332351704</v>
      </c>
      <c r="F75" s="16"/>
      <c r="G75" s="16"/>
      <c r="H75" s="16">
        <v>4754</v>
      </c>
      <c r="I75" s="16">
        <f t="shared" si="13"/>
        <v>65</v>
      </c>
      <c r="J75" s="16">
        <v>4689</v>
      </c>
      <c r="K75" s="16">
        <v>4629</v>
      </c>
      <c r="L75" s="16">
        <f t="shared" si="14"/>
        <v>60</v>
      </c>
    </row>
    <row r="76" spans="1:12" s="18" customFormat="1" ht="15" customHeight="1">
      <c r="A76" s="82">
        <v>1998</v>
      </c>
      <c r="B76" s="83" t="s">
        <v>46</v>
      </c>
      <c r="C76" s="15">
        <f t="shared" si="15"/>
        <v>0.97882454624027659</v>
      </c>
      <c r="D76" s="15">
        <f t="shared" si="16"/>
        <v>0.98649825783972123</v>
      </c>
      <c r="E76" s="15">
        <f t="shared" si="17"/>
        <v>0.99222126188418325</v>
      </c>
      <c r="F76" s="16"/>
      <c r="G76" s="16"/>
      <c r="H76" s="16">
        <v>4628</v>
      </c>
      <c r="I76" s="16">
        <f t="shared" si="13"/>
        <v>36</v>
      </c>
      <c r="J76" s="16">
        <v>4592</v>
      </c>
      <c r="K76" s="16">
        <v>4530</v>
      </c>
      <c r="L76" s="16">
        <f t="shared" si="14"/>
        <v>62</v>
      </c>
    </row>
    <row r="77" spans="1:12" s="18" customFormat="1" ht="15" customHeight="1">
      <c r="A77" s="82">
        <v>1998</v>
      </c>
      <c r="B77" s="83" t="s">
        <v>47</v>
      </c>
      <c r="C77" s="15">
        <f t="shared" si="15"/>
        <v>0.93991144845034791</v>
      </c>
      <c r="D77" s="15">
        <f t="shared" si="16"/>
        <v>0.98150594451783357</v>
      </c>
      <c r="E77" s="15">
        <f t="shared" si="17"/>
        <v>0.95762175838077168</v>
      </c>
      <c r="F77" s="16"/>
      <c r="G77" s="16"/>
      <c r="H77" s="16">
        <v>4743</v>
      </c>
      <c r="I77" s="16">
        <f t="shared" si="13"/>
        <v>201</v>
      </c>
      <c r="J77" s="16">
        <v>4542</v>
      </c>
      <c r="K77" s="16">
        <v>4458</v>
      </c>
      <c r="L77" s="16">
        <f t="shared" si="14"/>
        <v>84</v>
      </c>
    </row>
    <row r="78" spans="1:12" s="18" customFormat="1" ht="15" customHeight="1">
      <c r="A78" s="82">
        <v>1999</v>
      </c>
      <c r="B78" s="83" t="s">
        <v>36</v>
      </c>
      <c r="C78" s="15">
        <f t="shared" si="15"/>
        <v>0.98127659574468085</v>
      </c>
      <c r="D78" s="15">
        <f t="shared" si="16"/>
        <v>0.98631308810949525</v>
      </c>
      <c r="E78" s="15">
        <f t="shared" si="17"/>
        <v>0.99489361702127654</v>
      </c>
      <c r="F78" s="16"/>
      <c r="G78" s="16"/>
      <c r="H78" s="16">
        <v>4700</v>
      </c>
      <c r="I78" s="16">
        <f t="shared" ref="I78:I89" si="18">H78-J78</f>
        <v>24</v>
      </c>
      <c r="J78" s="16">
        <v>4676</v>
      </c>
      <c r="K78" s="16">
        <v>4612</v>
      </c>
      <c r="L78" s="16">
        <f t="shared" ref="L78:L89" si="19">J78-K78</f>
        <v>64</v>
      </c>
    </row>
    <row r="79" spans="1:12" s="18" customFormat="1" ht="15" customHeight="1">
      <c r="A79" s="82">
        <v>1999</v>
      </c>
      <c r="B79" s="83" t="s">
        <v>37</v>
      </c>
      <c r="C79" s="15">
        <f t="shared" si="15"/>
        <v>0.98526703499079193</v>
      </c>
      <c r="D79" s="15">
        <f t="shared" si="16"/>
        <v>0.99234871319267326</v>
      </c>
      <c r="E79" s="15">
        <f t="shared" si="17"/>
        <v>0.99286372007366486</v>
      </c>
      <c r="F79" s="16"/>
      <c r="G79" s="16"/>
      <c r="H79" s="16">
        <v>4344</v>
      </c>
      <c r="I79" s="16">
        <f t="shared" si="18"/>
        <v>31</v>
      </c>
      <c r="J79" s="16">
        <v>4313</v>
      </c>
      <c r="K79" s="16">
        <v>4280</v>
      </c>
      <c r="L79" s="16">
        <f t="shared" si="19"/>
        <v>33</v>
      </c>
    </row>
    <row r="80" spans="1:12" s="18" customFormat="1" ht="15" customHeight="1">
      <c r="A80" s="82">
        <v>1999</v>
      </c>
      <c r="B80" s="83" t="s">
        <v>38</v>
      </c>
      <c r="C80" s="15">
        <f t="shared" si="15"/>
        <v>0.98103483817769532</v>
      </c>
      <c r="D80" s="15">
        <f t="shared" si="16"/>
        <v>0.99083905892150737</v>
      </c>
      <c r="E80" s="15">
        <f t="shared" si="17"/>
        <v>0.99010513296227587</v>
      </c>
      <c r="F80" s="16"/>
      <c r="G80" s="16"/>
      <c r="H80" s="16">
        <v>4851</v>
      </c>
      <c r="I80" s="16">
        <f t="shared" si="18"/>
        <v>48</v>
      </c>
      <c r="J80" s="16">
        <v>4803</v>
      </c>
      <c r="K80" s="16">
        <v>4759</v>
      </c>
      <c r="L80" s="16">
        <f t="shared" si="19"/>
        <v>44</v>
      </c>
    </row>
    <row r="81" spans="1:12" s="18" customFormat="1" ht="15" customHeight="1">
      <c r="A81" s="82">
        <v>1999</v>
      </c>
      <c r="B81" s="83" t="s">
        <v>39</v>
      </c>
      <c r="C81" s="15">
        <f t="shared" si="15"/>
        <v>0.98919619706136563</v>
      </c>
      <c r="D81" s="15">
        <f t="shared" si="16"/>
        <v>0.99327402907355178</v>
      </c>
      <c r="E81" s="15">
        <f t="shared" si="17"/>
        <v>0.99589455488331891</v>
      </c>
      <c r="F81" s="16"/>
      <c r="G81" s="16"/>
      <c r="H81" s="16">
        <v>4628</v>
      </c>
      <c r="I81" s="16">
        <f t="shared" si="18"/>
        <v>19</v>
      </c>
      <c r="J81" s="16">
        <v>4609</v>
      </c>
      <c r="K81" s="16">
        <v>4578</v>
      </c>
      <c r="L81" s="16">
        <f t="shared" si="19"/>
        <v>31</v>
      </c>
    </row>
    <row r="82" spans="1:12" s="18" customFormat="1" ht="15" customHeight="1">
      <c r="A82" s="82">
        <v>1999</v>
      </c>
      <c r="B82" s="83" t="s">
        <v>40</v>
      </c>
      <c r="C82" s="15">
        <f t="shared" si="15"/>
        <v>0.98123267221155897</v>
      </c>
      <c r="D82" s="15">
        <f t="shared" si="16"/>
        <v>0.99052744886975241</v>
      </c>
      <c r="E82" s="15">
        <f t="shared" si="17"/>
        <v>0.99061633610577948</v>
      </c>
      <c r="F82" s="16"/>
      <c r="G82" s="16"/>
      <c r="H82" s="16">
        <v>4689</v>
      </c>
      <c r="I82" s="16">
        <f t="shared" si="18"/>
        <v>44</v>
      </c>
      <c r="J82" s="16">
        <v>4645</v>
      </c>
      <c r="K82" s="16">
        <v>4601</v>
      </c>
      <c r="L82" s="16">
        <f t="shared" si="19"/>
        <v>44</v>
      </c>
    </row>
    <row r="83" spans="1:12" s="18" customFormat="1" ht="15" customHeight="1">
      <c r="A83" s="82">
        <v>1999</v>
      </c>
      <c r="B83" s="83" t="s">
        <v>41</v>
      </c>
      <c r="C83" s="15">
        <f t="shared" si="15"/>
        <v>0.9889429455992923</v>
      </c>
      <c r="D83" s="15">
        <f t="shared" si="16"/>
        <v>0.9942196531791907</v>
      </c>
      <c r="E83" s="15">
        <f t="shared" si="17"/>
        <v>0.99469261388766028</v>
      </c>
      <c r="F83" s="16"/>
      <c r="G83" s="16"/>
      <c r="H83" s="16">
        <v>4522</v>
      </c>
      <c r="I83" s="16">
        <f t="shared" si="18"/>
        <v>24</v>
      </c>
      <c r="J83" s="16">
        <v>4498</v>
      </c>
      <c r="K83" s="16">
        <v>4472</v>
      </c>
      <c r="L83" s="16">
        <f t="shared" si="19"/>
        <v>26</v>
      </c>
    </row>
    <row r="84" spans="1:12" s="18" customFormat="1" ht="15" customHeight="1">
      <c r="A84" s="82">
        <v>1999</v>
      </c>
      <c r="B84" s="83" t="s">
        <v>42</v>
      </c>
      <c r="C84" s="15">
        <f t="shared" si="15"/>
        <v>0.96870981568795544</v>
      </c>
      <c r="D84" s="15">
        <f t="shared" si="16"/>
        <v>0.98646879092099515</v>
      </c>
      <c r="E84" s="15">
        <f t="shared" si="17"/>
        <v>0.98199742820402913</v>
      </c>
      <c r="F84" s="16"/>
      <c r="G84" s="16"/>
      <c r="H84" s="16">
        <v>4666</v>
      </c>
      <c r="I84" s="16">
        <f t="shared" si="18"/>
        <v>84</v>
      </c>
      <c r="J84" s="16">
        <v>4582</v>
      </c>
      <c r="K84" s="16">
        <v>4520</v>
      </c>
      <c r="L84" s="16">
        <f t="shared" si="19"/>
        <v>62</v>
      </c>
    </row>
    <row r="85" spans="1:12" s="18" customFormat="1" ht="15" customHeight="1">
      <c r="A85" s="82">
        <v>1999</v>
      </c>
      <c r="B85" s="83" t="s">
        <v>43</v>
      </c>
      <c r="C85" s="15">
        <f t="shared" si="15"/>
        <v>0.946520618556701</v>
      </c>
      <c r="D85" s="15">
        <f t="shared" si="16"/>
        <v>0.97586359610274576</v>
      </c>
      <c r="E85" s="15">
        <f t="shared" si="17"/>
        <v>0.96993127147766323</v>
      </c>
      <c r="F85" s="16"/>
      <c r="G85" s="16"/>
      <c r="H85" s="16">
        <v>4656</v>
      </c>
      <c r="I85" s="16">
        <f t="shared" si="18"/>
        <v>140</v>
      </c>
      <c r="J85" s="16">
        <v>4516</v>
      </c>
      <c r="K85" s="16">
        <v>4407</v>
      </c>
      <c r="L85" s="16">
        <f t="shared" si="19"/>
        <v>109</v>
      </c>
    </row>
    <row r="86" spans="1:12" s="18" customFormat="1" ht="15" customHeight="1">
      <c r="A86" s="82">
        <v>1999</v>
      </c>
      <c r="B86" s="83" t="s">
        <v>44</v>
      </c>
      <c r="C86" s="15">
        <f t="shared" si="15"/>
        <v>0.95974760661444736</v>
      </c>
      <c r="D86" s="15">
        <f t="shared" si="16"/>
        <v>0.98547810545129577</v>
      </c>
      <c r="E86" s="15">
        <f t="shared" si="17"/>
        <v>0.97389033942558745</v>
      </c>
      <c r="F86" s="16"/>
      <c r="G86" s="16"/>
      <c r="H86" s="16">
        <v>4596</v>
      </c>
      <c r="I86" s="16">
        <f t="shared" si="18"/>
        <v>120</v>
      </c>
      <c r="J86" s="16">
        <v>4476</v>
      </c>
      <c r="K86" s="16">
        <v>4411</v>
      </c>
      <c r="L86" s="16">
        <f t="shared" si="19"/>
        <v>65</v>
      </c>
    </row>
    <row r="87" spans="1:12" s="18" customFormat="1" ht="15" customHeight="1">
      <c r="A87" s="82">
        <v>1999</v>
      </c>
      <c r="B87" s="83" t="s">
        <v>45</v>
      </c>
      <c r="C87" s="15">
        <f t="shared" si="15"/>
        <v>0.94515499674831993</v>
      </c>
      <c r="D87" s="15">
        <f t="shared" si="16"/>
        <v>0.97234611953612848</v>
      </c>
      <c r="E87" s="15">
        <f t="shared" si="17"/>
        <v>0.97203555170171252</v>
      </c>
      <c r="F87" s="16"/>
      <c r="G87" s="16"/>
      <c r="H87" s="16">
        <v>4613</v>
      </c>
      <c r="I87" s="16">
        <f t="shared" si="18"/>
        <v>129</v>
      </c>
      <c r="J87" s="16">
        <v>4484</v>
      </c>
      <c r="K87" s="16">
        <v>4360</v>
      </c>
      <c r="L87" s="16">
        <f t="shared" si="19"/>
        <v>124</v>
      </c>
    </row>
    <row r="88" spans="1:12" s="18" customFormat="1" ht="15" customHeight="1">
      <c r="A88" s="82">
        <v>1999</v>
      </c>
      <c r="B88" s="83" t="s">
        <v>46</v>
      </c>
      <c r="C88" s="15">
        <f t="shared" si="15"/>
        <v>0.96583986074847694</v>
      </c>
      <c r="D88" s="15">
        <f t="shared" si="16"/>
        <v>0.97753798722748297</v>
      </c>
      <c r="E88" s="15">
        <f t="shared" si="17"/>
        <v>0.98803307223672754</v>
      </c>
      <c r="F88" s="16"/>
      <c r="G88" s="16"/>
      <c r="H88" s="16">
        <v>4596</v>
      </c>
      <c r="I88" s="16">
        <f t="shared" si="18"/>
        <v>55</v>
      </c>
      <c r="J88" s="16">
        <v>4541</v>
      </c>
      <c r="K88" s="16">
        <v>4439</v>
      </c>
      <c r="L88" s="16">
        <f t="shared" si="19"/>
        <v>102</v>
      </c>
    </row>
    <row r="89" spans="1:12" s="18" customFormat="1" ht="15" customHeight="1">
      <c r="A89" s="82">
        <v>1999</v>
      </c>
      <c r="B89" s="83" t="s">
        <v>47</v>
      </c>
      <c r="C89" s="15">
        <f t="shared" si="15"/>
        <v>0.97212172802723984</v>
      </c>
      <c r="D89" s="15">
        <f t="shared" si="16"/>
        <v>0.98299978480740258</v>
      </c>
      <c r="E89" s="15">
        <f t="shared" si="17"/>
        <v>0.98893381570546923</v>
      </c>
      <c r="F89" s="16"/>
      <c r="G89" s="16"/>
      <c r="H89" s="16">
        <v>4699</v>
      </c>
      <c r="I89" s="16">
        <f t="shared" si="18"/>
        <v>52</v>
      </c>
      <c r="J89" s="16">
        <v>4647</v>
      </c>
      <c r="K89" s="16">
        <v>4568</v>
      </c>
      <c r="L89" s="16">
        <f t="shared" si="19"/>
        <v>79</v>
      </c>
    </row>
    <row r="90" spans="1:12" s="18" customFormat="1" ht="15" customHeight="1">
      <c r="A90" s="82">
        <v>2000</v>
      </c>
      <c r="B90" s="83" t="s">
        <v>36</v>
      </c>
      <c r="C90" s="15">
        <f t="shared" si="15"/>
        <v>0.95897766323024058</v>
      </c>
      <c r="D90" s="15">
        <f t="shared" si="16"/>
        <v>0.96540540540540543</v>
      </c>
      <c r="E90" s="15">
        <f t="shared" si="17"/>
        <v>0.99334192439862545</v>
      </c>
      <c r="F90" s="16"/>
      <c r="G90" s="16"/>
      <c r="H90" s="16">
        <v>4656</v>
      </c>
      <c r="I90" s="16">
        <f t="shared" ref="I90:I101" si="20">H90-J90</f>
        <v>31</v>
      </c>
      <c r="J90" s="16">
        <v>4625</v>
      </c>
      <c r="K90" s="16">
        <v>4465</v>
      </c>
      <c r="L90" s="16">
        <f t="shared" ref="L90:L101" si="21">J90-K90</f>
        <v>160</v>
      </c>
    </row>
    <row r="91" spans="1:12" s="18" customFormat="1" ht="15" customHeight="1">
      <c r="A91" s="82">
        <v>2000</v>
      </c>
      <c r="B91" s="83" t="s">
        <v>37</v>
      </c>
      <c r="C91" s="15">
        <f t="shared" si="15"/>
        <v>0.97516930022573367</v>
      </c>
      <c r="D91" s="15">
        <f t="shared" si="16"/>
        <v>0.98450319051959889</v>
      </c>
      <c r="E91" s="15">
        <f t="shared" si="17"/>
        <v>0.99051918735891653</v>
      </c>
      <c r="F91" s="16"/>
      <c r="G91" s="16"/>
      <c r="H91" s="16">
        <v>4430</v>
      </c>
      <c r="I91" s="16">
        <f t="shared" si="20"/>
        <v>42</v>
      </c>
      <c r="J91" s="16">
        <v>4388</v>
      </c>
      <c r="K91" s="16">
        <v>4320</v>
      </c>
      <c r="L91" s="16">
        <f t="shared" si="21"/>
        <v>68</v>
      </c>
    </row>
    <row r="92" spans="1:12" s="18" customFormat="1" ht="15" customHeight="1">
      <c r="A92" s="82">
        <v>2000</v>
      </c>
      <c r="B92" s="83" t="s">
        <v>38</v>
      </c>
      <c r="C92" s="15">
        <f t="shared" si="15"/>
        <v>0.98992020159596805</v>
      </c>
      <c r="D92" s="15">
        <f t="shared" si="16"/>
        <v>0.99221216585981897</v>
      </c>
      <c r="E92" s="15">
        <f t="shared" si="17"/>
        <v>0.99769004619907597</v>
      </c>
      <c r="F92" s="16"/>
      <c r="G92" s="16"/>
      <c r="H92" s="16">
        <v>4762</v>
      </c>
      <c r="I92" s="16">
        <f t="shared" si="20"/>
        <v>11</v>
      </c>
      <c r="J92" s="16">
        <v>4751</v>
      </c>
      <c r="K92" s="16">
        <v>4714</v>
      </c>
      <c r="L92" s="16">
        <f t="shared" si="21"/>
        <v>37</v>
      </c>
    </row>
    <row r="93" spans="1:12" s="18" customFormat="1" ht="15" customHeight="1">
      <c r="A93" s="82">
        <v>2000</v>
      </c>
      <c r="B93" s="83" t="s">
        <v>39</v>
      </c>
      <c r="C93" s="15">
        <f t="shared" si="15"/>
        <v>0.97661344726782096</v>
      </c>
      <c r="D93" s="15">
        <f t="shared" si="16"/>
        <v>0.98592508513053345</v>
      </c>
      <c r="E93" s="15">
        <f t="shared" si="17"/>
        <v>0.99055543062738927</v>
      </c>
      <c r="F93" s="16"/>
      <c r="G93" s="16"/>
      <c r="H93" s="16">
        <v>4447</v>
      </c>
      <c r="I93" s="16">
        <f t="shared" si="20"/>
        <v>42</v>
      </c>
      <c r="J93" s="16">
        <v>4405</v>
      </c>
      <c r="K93" s="16">
        <v>4343</v>
      </c>
      <c r="L93" s="16">
        <f t="shared" si="21"/>
        <v>62</v>
      </c>
    </row>
    <row r="94" spans="1:12" s="18" customFormat="1" ht="15" customHeight="1">
      <c r="A94" s="82">
        <v>2000</v>
      </c>
      <c r="B94" s="83" t="s">
        <v>40</v>
      </c>
      <c r="C94" s="15">
        <f t="shared" si="15"/>
        <v>0.95133207468009229</v>
      </c>
      <c r="D94" s="15">
        <f t="shared" si="16"/>
        <v>0.97150814053127676</v>
      </c>
      <c r="E94" s="15">
        <f t="shared" si="17"/>
        <v>0.9792322215229704</v>
      </c>
      <c r="F94" s="16"/>
      <c r="G94" s="16"/>
      <c r="H94" s="16">
        <v>4767</v>
      </c>
      <c r="I94" s="16">
        <f t="shared" si="20"/>
        <v>99</v>
      </c>
      <c r="J94" s="16">
        <v>4668</v>
      </c>
      <c r="K94" s="16">
        <v>4535</v>
      </c>
      <c r="L94" s="16">
        <f t="shared" si="21"/>
        <v>133</v>
      </c>
    </row>
    <row r="95" spans="1:12" s="18" customFormat="1" ht="15" customHeight="1">
      <c r="A95" s="82">
        <v>2000</v>
      </c>
      <c r="B95" s="83" t="s">
        <v>41</v>
      </c>
      <c r="C95" s="15">
        <f t="shared" si="15"/>
        <v>0.96716033483580166</v>
      </c>
      <c r="D95" s="15">
        <f t="shared" si="16"/>
        <v>0.99054737304902174</v>
      </c>
      <c r="E95" s="15">
        <f t="shared" si="17"/>
        <v>0.97638978321528225</v>
      </c>
      <c r="F95" s="16"/>
      <c r="G95" s="16"/>
      <c r="H95" s="16">
        <v>4659</v>
      </c>
      <c r="I95" s="16">
        <f t="shared" si="20"/>
        <v>110</v>
      </c>
      <c r="J95" s="16">
        <v>4549</v>
      </c>
      <c r="K95" s="16">
        <v>4506</v>
      </c>
      <c r="L95" s="16">
        <f t="shared" si="21"/>
        <v>43</v>
      </c>
    </row>
    <row r="96" spans="1:12" s="18" customFormat="1" ht="15" customHeight="1">
      <c r="A96" s="82">
        <v>2000</v>
      </c>
      <c r="B96" s="83" t="s">
        <v>42</v>
      </c>
      <c r="C96" s="15">
        <f t="shared" si="15"/>
        <v>0.98101001669449084</v>
      </c>
      <c r="D96" s="15">
        <f t="shared" si="16"/>
        <v>0.98781256566505571</v>
      </c>
      <c r="E96" s="15">
        <f t="shared" si="17"/>
        <v>0.99311352253756258</v>
      </c>
      <c r="F96" s="16"/>
      <c r="G96" s="16"/>
      <c r="H96" s="16">
        <v>4792</v>
      </c>
      <c r="I96" s="16">
        <f t="shared" si="20"/>
        <v>33</v>
      </c>
      <c r="J96" s="16">
        <v>4759</v>
      </c>
      <c r="K96" s="16">
        <v>4701</v>
      </c>
      <c r="L96" s="16">
        <f t="shared" si="21"/>
        <v>58</v>
      </c>
    </row>
    <row r="97" spans="1:12" s="18" customFormat="1" ht="15" customHeight="1">
      <c r="A97" s="82">
        <v>2000</v>
      </c>
      <c r="B97" s="83" t="s">
        <v>43</v>
      </c>
      <c r="C97" s="15">
        <f t="shared" si="15"/>
        <v>0.98409419541417065</v>
      </c>
      <c r="D97" s="15">
        <f t="shared" si="16"/>
        <v>0.98838174273858925</v>
      </c>
      <c r="E97" s="15">
        <f t="shared" si="17"/>
        <v>0.99566205329477375</v>
      </c>
      <c r="F97" s="16"/>
      <c r="G97" s="16"/>
      <c r="H97" s="16">
        <v>4841</v>
      </c>
      <c r="I97" s="16">
        <f t="shared" si="20"/>
        <v>21</v>
      </c>
      <c r="J97" s="16">
        <v>4820</v>
      </c>
      <c r="K97" s="16">
        <v>4764</v>
      </c>
      <c r="L97" s="16">
        <f t="shared" si="21"/>
        <v>56</v>
      </c>
    </row>
    <row r="98" spans="1:12" s="18" customFormat="1" ht="15" customHeight="1">
      <c r="A98" s="82">
        <v>2000</v>
      </c>
      <c r="B98" s="83" t="s">
        <v>44</v>
      </c>
      <c r="C98" s="15">
        <f t="shared" si="15"/>
        <v>0.97991023723017734</v>
      </c>
      <c r="D98" s="15">
        <f t="shared" si="16"/>
        <v>0.9909228441754917</v>
      </c>
      <c r="E98" s="15">
        <f t="shared" si="17"/>
        <v>0.98888651421243856</v>
      </c>
      <c r="F98" s="16"/>
      <c r="G98" s="16"/>
      <c r="H98" s="16">
        <v>4679</v>
      </c>
      <c r="I98" s="16">
        <f t="shared" si="20"/>
        <v>52</v>
      </c>
      <c r="J98" s="16">
        <v>4627</v>
      </c>
      <c r="K98" s="16">
        <v>4585</v>
      </c>
      <c r="L98" s="16">
        <f t="shared" si="21"/>
        <v>42</v>
      </c>
    </row>
    <row r="99" spans="1:12" s="18" customFormat="1" ht="15" customHeight="1">
      <c r="A99" s="82">
        <v>2000</v>
      </c>
      <c r="B99" s="83" t="s">
        <v>45</v>
      </c>
      <c r="C99" s="15">
        <f t="shared" si="15"/>
        <v>0.98557089084065241</v>
      </c>
      <c r="D99" s="15">
        <f t="shared" si="16"/>
        <v>0.99221052631578943</v>
      </c>
      <c r="E99" s="15">
        <f t="shared" si="17"/>
        <v>0.99330823923044753</v>
      </c>
      <c r="F99" s="16"/>
      <c r="G99" s="16"/>
      <c r="H99" s="16">
        <v>4782</v>
      </c>
      <c r="I99" s="16">
        <f t="shared" si="20"/>
        <v>32</v>
      </c>
      <c r="J99" s="16">
        <v>4750</v>
      </c>
      <c r="K99" s="16">
        <v>4713</v>
      </c>
      <c r="L99" s="16">
        <f t="shared" si="21"/>
        <v>37</v>
      </c>
    </row>
    <row r="100" spans="1:12" s="18" customFormat="1" ht="15" customHeight="1">
      <c r="A100" s="82">
        <v>2000</v>
      </c>
      <c r="B100" s="83" t="s">
        <v>46</v>
      </c>
      <c r="C100" s="15">
        <f t="shared" si="15"/>
        <v>0.9634329963432996</v>
      </c>
      <c r="D100" s="15">
        <f t="shared" si="16"/>
        <v>0.99268617021276595</v>
      </c>
      <c r="E100" s="15">
        <f t="shared" si="17"/>
        <v>0.97053129705312968</v>
      </c>
      <c r="F100" s="16"/>
      <c r="G100" s="16"/>
      <c r="H100" s="16">
        <v>4649</v>
      </c>
      <c r="I100" s="16">
        <f t="shared" si="20"/>
        <v>137</v>
      </c>
      <c r="J100" s="16">
        <v>4512</v>
      </c>
      <c r="K100" s="16">
        <v>4479</v>
      </c>
      <c r="L100" s="16">
        <f t="shared" si="21"/>
        <v>33</v>
      </c>
    </row>
    <row r="101" spans="1:12" s="18" customFormat="1" ht="15" customHeight="1">
      <c r="A101" s="82">
        <v>2000</v>
      </c>
      <c r="B101" s="83" t="s">
        <v>47</v>
      </c>
      <c r="C101" s="15">
        <f t="shared" si="15"/>
        <v>0.97026101839965773</v>
      </c>
      <c r="D101" s="15">
        <f t="shared" si="16"/>
        <v>0.98266522210184182</v>
      </c>
      <c r="E101" s="15">
        <f t="shared" si="17"/>
        <v>0.98737697903294819</v>
      </c>
      <c r="F101" s="16"/>
      <c r="G101" s="16"/>
      <c r="H101" s="16">
        <v>4674</v>
      </c>
      <c r="I101" s="16">
        <f t="shared" si="20"/>
        <v>59</v>
      </c>
      <c r="J101" s="16">
        <v>4615</v>
      </c>
      <c r="K101" s="16">
        <v>4535</v>
      </c>
      <c r="L101" s="16">
        <f t="shared" si="21"/>
        <v>80</v>
      </c>
    </row>
    <row r="102" spans="1:12" s="18" customFormat="1" ht="15" customHeight="1">
      <c r="A102" s="82">
        <v>2001</v>
      </c>
      <c r="B102" s="83" t="s">
        <v>36</v>
      </c>
      <c r="C102" s="15">
        <f t="shared" si="15"/>
        <v>0.98657302210287134</v>
      </c>
      <c r="D102" s="15">
        <f t="shared" si="16"/>
        <v>0.99355107135427501</v>
      </c>
      <c r="E102" s="15">
        <f t="shared" si="17"/>
        <v>0.99297665771534804</v>
      </c>
      <c r="F102" s="16"/>
      <c r="G102" s="16"/>
      <c r="H102" s="16">
        <v>4841</v>
      </c>
      <c r="I102" s="16">
        <f t="shared" ref="I102:I113" si="22">H102-J102</f>
        <v>34</v>
      </c>
      <c r="J102" s="16">
        <v>4807</v>
      </c>
      <c r="K102" s="16">
        <v>4776</v>
      </c>
      <c r="L102" s="16">
        <f t="shared" ref="L102:L113" si="23">J102-K102</f>
        <v>31</v>
      </c>
    </row>
    <row r="103" spans="1:12" s="18" customFormat="1" ht="15" customHeight="1">
      <c r="A103" s="82">
        <v>2001</v>
      </c>
      <c r="B103" s="83" t="s">
        <v>37</v>
      </c>
      <c r="C103" s="15">
        <f t="shared" si="15"/>
        <v>0.98745437956204385</v>
      </c>
      <c r="D103" s="15">
        <f t="shared" si="16"/>
        <v>0.99357355978884554</v>
      </c>
      <c r="E103" s="15">
        <f t="shared" si="17"/>
        <v>0.99384124087591241</v>
      </c>
      <c r="F103" s="16"/>
      <c r="G103" s="16"/>
      <c r="H103" s="16">
        <v>4384</v>
      </c>
      <c r="I103" s="16">
        <f t="shared" si="22"/>
        <v>27</v>
      </c>
      <c r="J103" s="16">
        <v>4357</v>
      </c>
      <c r="K103" s="16">
        <v>4329</v>
      </c>
      <c r="L103" s="16">
        <f t="shared" si="23"/>
        <v>28</v>
      </c>
    </row>
    <row r="104" spans="1:12" s="18" customFormat="1" ht="15" customHeight="1">
      <c r="A104" s="82">
        <v>2001</v>
      </c>
      <c r="B104" s="83" t="s">
        <v>38</v>
      </c>
      <c r="C104" s="15">
        <f t="shared" si="15"/>
        <v>0.98185941043083902</v>
      </c>
      <c r="D104" s="15">
        <f t="shared" si="16"/>
        <v>0.98920041536863967</v>
      </c>
      <c r="E104" s="15">
        <f t="shared" si="17"/>
        <v>0.99257884972170685</v>
      </c>
      <c r="F104" s="16"/>
      <c r="G104" s="16"/>
      <c r="H104" s="16">
        <v>4851</v>
      </c>
      <c r="I104" s="16">
        <f t="shared" si="22"/>
        <v>36</v>
      </c>
      <c r="J104" s="16">
        <v>4815</v>
      </c>
      <c r="K104" s="16">
        <v>4763</v>
      </c>
      <c r="L104" s="16">
        <f t="shared" si="23"/>
        <v>52</v>
      </c>
    </row>
    <row r="105" spans="1:12" s="18" customFormat="1" ht="15" customHeight="1">
      <c r="A105" s="82">
        <v>2001</v>
      </c>
      <c r="B105" s="83" t="s">
        <v>39</v>
      </c>
      <c r="C105" s="15">
        <f t="shared" si="15"/>
        <v>0.98571742474181501</v>
      </c>
      <c r="D105" s="15">
        <f t="shared" si="16"/>
        <v>0.99006841756786579</v>
      </c>
      <c r="E105" s="15">
        <f t="shared" si="17"/>
        <v>0.99560536145902001</v>
      </c>
      <c r="F105" s="16"/>
      <c r="G105" s="16"/>
      <c r="H105" s="16">
        <v>4551</v>
      </c>
      <c r="I105" s="16">
        <f t="shared" si="22"/>
        <v>20</v>
      </c>
      <c r="J105" s="16">
        <v>4531</v>
      </c>
      <c r="K105" s="16">
        <v>4486</v>
      </c>
      <c r="L105" s="16">
        <f t="shared" si="23"/>
        <v>45</v>
      </c>
    </row>
    <row r="106" spans="1:12" s="18" customFormat="1" ht="15" customHeight="1">
      <c r="A106" s="82">
        <v>2001</v>
      </c>
      <c r="B106" s="83" t="s">
        <v>40</v>
      </c>
      <c r="C106" s="15">
        <f t="shared" si="15"/>
        <v>0.97156001672940195</v>
      </c>
      <c r="D106" s="15">
        <f t="shared" si="16"/>
        <v>0.98767006802721091</v>
      </c>
      <c r="E106" s="15">
        <f t="shared" si="17"/>
        <v>0.98368883312421584</v>
      </c>
      <c r="F106" s="16"/>
      <c r="G106" s="16"/>
      <c r="H106" s="16">
        <v>4782</v>
      </c>
      <c r="I106" s="16">
        <f t="shared" si="22"/>
        <v>78</v>
      </c>
      <c r="J106" s="16">
        <v>4704</v>
      </c>
      <c r="K106" s="16">
        <v>4646</v>
      </c>
      <c r="L106" s="16">
        <f t="shared" si="23"/>
        <v>58</v>
      </c>
    </row>
    <row r="107" spans="1:12" s="18" customFormat="1" ht="15" customHeight="1">
      <c r="A107" s="82">
        <v>2001</v>
      </c>
      <c r="B107" s="83" t="s">
        <v>41</v>
      </c>
      <c r="C107" s="15">
        <f t="shared" si="15"/>
        <v>0.98701298701298701</v>
      </c>
      <c r="D107" s="15">
        <f t="shared" si="16"/>
        <v>0.99368054042275</v>
      </c>
      <c r="E107" s="15">
        <f t="shared" si="17"/>
        <v>0.99329004329004333</v>
      </c>
      <c r="F107" s="16"/>
      <c r="G107" s="16"/>
      <c r="H107" s="16">
        <v>4620</v>
      </c>
      <c r="I107" s="16">
        <f t="shared" si="22"/>
        <v>31</v>
      </c>
      <c r="J107" s="16">
        <v>4589</v>
      </c>
      <c r="K107" s="16">
        <v>4560</v>
      </c>
      <c r="L107" s="16">
        <f t="shared" si="23"/>
        <v>29</v>
      </c>
    </row>
    <row r="108" spans="1:12" s="18" customFormat="1" ht="15" customHeight="1">
      <c r="A108" s="82">
        <v>2001</v>
      </c>
      <c r="B108" s="83" t="s">
        <v>42</v>
      </c>
      <c r="C108" s="15">
        <f t="shared" si="15"/>
        <v>0.97044439719328091</v>
      </c>
      <c r="D108" s="15">
        <f t="shared" si="16"/>
        <v>0.99002169197396961</v>
      </c>
      <c r="E108" s="15">
        <f t="shared" si="17"/>
        <v>0.98022538805018078</v>
      </c>
      <c r="F108" s="16"/>
      <c r="G108" s="16"/>
      <c r="H108" s="16">
        <v>4703</v>
      </c>
      <c r="I108" s="16">
        <f t="shared" si="22"/>
        <v>93</v>
      </c>
      <c r="J108" s="16">
        <v>4610</v>
      </c>
      <c r="K108" s="16">
        <v>4564</v>
      </c>
      <c r="L108" s="16">
        <f t="shared" si="23"/>
        <v>46</v>
      </c>
    </row>
    <row r="109" spans="1:12" s="18" customFormat="1" ht="15" customHeight="1">
      <c r="A109" s="82">
        <v>2001</v>
      </c>
      <c r="B109" s="83" t="s">
        <v>43</v>
      </c>
      <c r="C109" s="15">
        <f t="shared" si="15"/>
        <v>0.9797562487089444</v>
      </c>
      <c r="D109" s="15">
        <f t="shared" si="16"/>
        <v>0.99101546176347677</v>
      </c>
      <c r="E109" s="15">
        <f t="shared" si="17"/>
        <v>0.98863871101012191</v>
      </c>
      <c r="F109" s="16"/>
      <c r="G109" s="16"/>
      <c r="H109" s="16">
        <v>4841</v>
      </c>
      <c r="I109" s="16">
        <f t="shared" si="22"/>
        <v>55</v>
      </c>
      <c r="J109" s="16">
        <v>4786</v>
      </c>
      <c r="K109" s="16">
        <v>4743</v>
      </c>
      <c r="L109" s="16">
        <f t="shared" si="23"/>
        <v>43</v>
      </c>
    </row>
    <row r="110" spans="1:12" s="18" customFormat="1" ht="15" customHeight="1">
      <c r="A110" s="82">
        <v>2001</v>
      </c>
      <c r="B110" s="83" t="s">
        <v>44</v>
      </c>
      <c r="C110" s="15">
        <f t="shared" si="15"/>
        <v>0.98008658008658012</v>
      </c>
      <c r="D110" s="15">
        <f t="shared" si="16"/>
        <v>0.98886219698624156</v>
      </c>
      <c r="E110" s="15">
        <f t="shared" si="17"/>
        <v>0.99112554112554108</v>
      </c>
      <c r="F110" s="16"/>
      <c r="G110" s="16"/>
      <c r="H110" s="16">
        <v>4620</v>
      </c>
      <c r="I110" s="16">
        <f t="shared" si="22"/>
        <v>41</v>
      </c>
      <c r="J110" s="16">
        <v>4579</v>
      </c>
      <c r="K110" s="16">
        <v>4528</v>
      </c>
      <c r="L110" s="16">
        <f t="shared" si="23"/>
        <v>51</v>
      </c>
    </row>
    <row r="111" spans="1:12" s="18" customFormat="1" ht="15" customHeight="1">
      <c r="A111" s="82">
        <v>2001</v>
      </c>
      <c r="B111" s="83" t="s">
        <v>45</v>
      </c>
      <c r="C111" s="15">
        <f t="shared" si="15"/>
        <v>0.98636645321214622</v>
      </c>
      <c r="D111" s="15">
        <f t="shared" si="16"/>
        <v>0.99354972950478571</v>
      </c>
      <c r="E111" s="15">
        <f t="shared" si="17"/>
        <v>0.99277008882462303</v>
      </c>
      <c r="F111" s="16"/>
      <c r="G111" s="16"/>
      <c r="H111" s="16">
        <v>4841</v>
      </c>
      <c r="I111" s="16">
        <f t="shared" si="22"/>
        <v>35</v>
      </c>
      <c r="J111" s="16">
        <v>4806</v>
      </c>
      <c r="K111" s="16">
        <v>4775</v>
      </c>
      <c r="L111" s="16">
        <f t="shared" si="23"/>
        <v>31</v>
      </c>
    </row>
    <row r="112" spans="1:12" s="18" customFormat="1" ht="15" customHeight="1">
      <c r="A112" s="82">
        <v>2001</v>
      </c>
      <c r="B112" s="83" t="s">
        <v>46</v>
      </c>
      <c r="C112" s="15">
        <f t="shared" si="15"/>
        <v>0.98643493005510807</v>
      </c>
      <c r="D112" s="15">
        <f t="shared" si="16"/>
        <v>0.99232409381663111</v>
      </c>
      <c r="E112" s="15">
        <f t="shared" si="17"/>
        <v>0.99406528189910981</v>
      </c>
      <c r="F112" s="16"/>
      <c r="G112" s="16"/>
      <c r="H112" s="16">
        <v>4718</v>
      </c>
      <c r="I112" s="16">
        <f t="shared" si="22"/>
        <v>28</v>
      </c>
      <c r="J112" s="16">
        <v>4690</v>
      </c>
      <c r="K112" s="16">
        <v>4654</v>
      </c>
      <c r="L112" s="16">
        <f t="shared" si="23"/>
        <v>36</v>
      </c>
    </row>
    <row r="113" spans="1:12" s="18" customFormat="1" ht="15" customHeight="1">
      <c r="A113" s="82">
        <v>2001</v>
      </c>
      <c r="B113" s="83" t="s">
        <v>47</v>
      </c>
      <c r="C113" s="15">
        <f t="shared" si="15"/>
        <v>0.91093379340090574</v>
      </c>
      <c r="D113" s="15">
        <f t="shared" si="16"/>
        <v>0.98992266229200843</v>
      </c>
      <c r="E113" s="15">
        <f t="shared" si="17"/>
        <v>0.92020703040759111</v>
      </c>
      <c r="F113" s="16"/>
      <c r="G113" s="16"/>
      <c r="H113" s="16">
        <v>4637</v>
      </c>
      <c r="I113" s="16">
        <f t="shared" si="22"/>
        <v>370</v>
      </c>
      <c r="J113" s="16">
        <v>4267</v>
      </c>
      <c r="K113" s="16">
        <v>4224</v>
      </c>
      <c r="L113" s="16">
        <f t="shared" si="23"/>
        <v>43</v>
      </c>
    </row>
    <row r="114" spans="1:12" s="18" customFormat="1" ht="15" customHeight="1">
      <c r="A114" s="82">
        <v>2002</v>
      </c>
      <c r="B114" s="83" t="s">
        <v>36</v>
      </c>
      <c r="C114" s="15">
        <f t="shared" si="15"/>
        <v>0.83179406563175473</v>
      </c>
      <c r="D114" s="15">
        <f t="shared" si="16"/>
        <v>0.99389528058229626</v>
      </c>
      <c r="E114" s="15">
        <f t="shared" si="17"/>
        <v>0.8369031243859304</v>
      </c>
      <c r="F114" s="16"/>
      <c r="G114" s="16"/>
      <c r="H114" s="16">
        <v>5089</v>
      </c>
      <c r="I114" s="16">
        <f t="shared" ref="I114:I125" si="24">H114-J114</f>
        <v>830</v>
      </c>
      <c r="J114" s="16">
        <v>4259</v>
      </c>
      <c r="K114" s="16">
        <v>4233</v>
      </c>
      <c r="L114" s="16">
        <f t="shared" ref="L114:L125" si="25">J114-K114</f>
        <v>26</v>
      </c>
    </row>
    <row r="115" spans="1:12" s="18" customFormat="1" ht="15" customHeight="1">
      <c r="A115" s="82">
        <v>2002</v>
      </c>
      <c r="B115" s="83" t="s">
        <v>37</v>
      </c>
      <c r="C115" s="15">
        <f t="shared" si="15"/>
        <v>0.72368421052631582</v>
      </c>
      <c r="D115" s="15">
        <f t="shared" si="16"/>
        <v>0.98880047155909223</v>
      </c>
      <c r="E115" s="15">
        <f t="shared" si="17"/>
        <v>0.73188093183779124</v>
      </c>
      <c r="F115" s="16"/>
      <c r="G115" s="16"/>
      <c r="H115" s="16">
        <v>4636</v>
      </c>
      <c r="I115" s="16">
        <f t="shared" si="24"/>
        <v>1243</v>
      </c>
      <c r="J115" s="16">
        <v>3393</v>
      </c>
      <c r="K115" s="16">
        <v>3355</v>
      </c>
      <c r="L115" s="16">
        <f t="shared" si="25"/>
        <v>38</v>
      </c>
    </row>
    <row r="116" spans="1:12" s="18" customFormat="1" ht="15" customHeight="1">
      <c r="A116" s="82">
        <v>2002</v>
      </c>
      <c r="B116" s="83" t="s">
        <v>38</v>
      </c>
      <c r="C116" s="15">
        <f t="shared" si="15"/>
        <v>0.72859450726979003</v>
      </c>
      <c r="D116" s="15">
        <f t="shared" si="16"/>
        <v>0.98176870748299316</v>
      </c>
      <c r="E116" s="15">
        <f t="shared" si="17"/>
        <v>0.74212439418416798</v>
      </c>
      <c r="F116" s="16"/>
      <c r="G116" s="16"/>
      <c r="H116" s="16">
        <v>4952</v>
      </c>
      <c r="I116" s="16">
        <f t="shared" si="24"/>
        <v>1277</v>
      </c>
      <c r="J116" s="16">
        <v>3675</v>
      </c>
      <c r="K116" s="16">
        <v>3608</v>
      </c>
      <c r="L116" s="16">
        <f t="shared" si="25"/>
        <v>67</v>
      </c>
    </row>
    <row r="117" spans="1:12" s="18" customFormat="1" ht="15" customHeight="1">
      <c r="A117" s="82">
        <v>2002</v>
      </c>
      <c r="B117" s="83" t="s">
        <v>39</v>
      </c>
      <c r="C117" s="15">
        <f t="shared" si="15"/>
        <v>0.68722109533468556</v>
      </c>
      <c r="D117" s="15">
        <f t="shared" si="16"/>
        <v>0.97608758282915586</v>
      </c>
      <c r="E117" s="15">
        <f t="shared" si="17"/>
        <v>0.70405679513184583</v>
      </c>
      <c r="F117" s="16"/>
      <c r="G117" s="16"/>
      <c r="H117" s="16">
        <v>4930</v>
      </c>
      <c r="I117" s="16">
        <f t="shared" si="24"/>
        <v>1459</v>
      </c>
      <c r="J117" s="16">
        <v>3471</v>
      </c>
      <c r="K117" s="16">
        <v>3388</v>
      </c>
      <c r="L117" s="16">
        <f t="shared" si="25"/>
        <v>83</v>
      </c>
    </row>
    <row r="118" spans="1:12" s="18" customFormat="1" ht="15" customHeight="1">
      <c r="A118" s="82">
        <v>2002</v>
      </c>
      <c r="B118" s="83" t="s">
        <v>40</v>
      </c>
      <c r="C118" s="15">
        <f t="shared" si="15"/>
        <v>0.71378022410064867</v>
      </c>
      <c r="D118" s="15">
        <f t="shared" si="16"/>
        <v>0.9734584450402145</v>
      </c>
      <c r="E118" s="15">
        <f t="shared" si="17"/>
        <v>0.73324159622567331</v>
      </c>
      <c r="F118" s="16"/>
      <c r="G118" s="16"/>
      <c r="H118" s="16">
        <v>5087</v>
      </c>
      <c r="I118" s="16">
        <f t="shared" si="24"/>
        <v>1357</v>
      </c>
      <c r="J118" s="16">
        <v>3730</v>
      </c>
      <c r="K118" s="16">
        <v>3631</v>
      </c>
      <c r="L118" s="16">
        <f t="shared" si="25"/>
        <v>99</v>
      </c>
    </row>
    <row r="119" spans="1:12" s="18" customFormat="1" ht="15" customHeight="1">
      <c r="A119" s="82">
        <v>2002</v>
      </c>
      <c r="B119" s="83" t="s">
        <v>41</v>
      </c>
      <c r="C119" s="15">
        <f t="shared" si="15"/>
        <v>0.73312564901349953</v>
      </c>
      <c r="D119" s="15">
        <f t="shared" si="16"/>
        <v>0.98962713765068688</v>
      </c>
      <c r="E119" s="15">
        <f t="shared" si="17"/>
        <v>0.74080996884735206</v>
      </c>
      <c r="F119" s="16"/>
      <c r="G119" s="16"/>
      <c r="H119" s="16">
        <v>4815</v>
      </c>
      <c r="I119" s="16">
        <f t="shared" si="24"/>
        <v>1248</v>
      </c>
      <c r="J119" s="16">
        <v>3567</v>
      </c>
      <c r="K119" s="16">
        <v>3530</v>
      </c>
      <c r="L119" s="16">
        <f t="shared" si="25"/>
        <v>37</v>
      </c>
    </row>
    <row r="120" spans="1:12" s="18" customFormat="1" ht="15" customHeight="1">
      <c r="A120" s="82">
        <v>2002</v>
      </c>
      <c r="B120" s="83" t="s">
        <v>42</v>
      </c>
      <c r="C120" s="15">
        <f t="shared" si="15"/>
        <v>0.72476525821596249</v>
      </c>
      <c r="D120" s="15">
        <f t="shared" si="16"/>
        <v>0.98484848484848486</v>
      </c>
      <c r="E120" s="15">
        <f t="shared" si="17"/>
        <v>0.7359154929577465</v>
      </c>
      <c r="F120" s="16"/>
      <c r="G120" s="16"/>
      <c r="H120" s="16">
        <v>5112</v>
      </c>
      <c r="I120" s="16">
        <f t="shared" si="24"/>
        <v>1350</v>
      </c>
      <c r="J120" s="16">
        <v>3762</v>
      </c>
      <c r="K120" s="16">
        <v>3705</v>
      </c>
      <c r="L120" s="16">
        <f t="shared" si="25"/>
        <v>57</v>
      </c>
    </row>
    <row r="121" spans="1:12" s="18" customFormat="1" ht="15" customHeight="1">
      <c r="A121" s="82">
        <v>2002</v>
      </c>
      <c r="B121" s="83" t="s">
        <v>43</v>
      </c>
      <c r="C121" s="15">
        <f t="shared" si="15"/>
        <v>0.72705743043220838</v>
      </c>
      <c r="D121" s="15">
        <f t="shared" si="16"/>
        <v>0.98450026723677175</v>
      </c>
      <c r="E121" s="15">
        <f t="shared" si="17"/>
        <v>0.73850404578646145</v>
      </c>
      <c r="F121" s="16"/>
      <c r="G121" s="16"/>
      <c r="H121" s="16">
        <v>5067</v>
      </c>
      <c r="I121" s="16">
        <f t="shared" si="24"/>
        <v>1325</v>
      </c>
      <c r="J121" s="16">
        <v>3742</v>
      </c>
      <c r="K121" s="16">
        <v>3684</v>
      </c>
      <c r="L121" s="16">
        <f t="shared" si="25"/>
        <v>58</v>
      </c>
    </row>
    <row r="122" spans="1:12" s="18" customFormat="1" ht="15" customHeight="1">
      <c r="A122" s="82">
        <v>2002</v>
      </c>
      <c r="B122" s="83" t="s">
        <v>44</v>
      </c>
      <c r="C122" s="15">
        <f t="shared" si="15"/>
        <v>0.84694793536804314</v>
      </c>
      <c r="D122" s="15">
        <f t="shared" si="16"/>
        <v>0.98847564169722368</v>
      </c>
      <c r="E122" s="15">
        <f t="shared" si="17"/>
        <v>0.85682226211849188</v>
      </c>
      <c r="F122" s="16"/>
      <c r="G122" s="16"/>
      <c r="H122" s="16">
        <v>4456</v>
      </c>
      <c r="I122" s="16">
        <f t="shared" si="24"/>
        <v>638</v>
      </c>
      <c r="J122" s="16">
        <v>3818</v>
      </c>
      <c r="K122" s="16">
        <v>3774</v>
      </c>
      <c r="L122" s="16">
        <f t="shared" si="25"/>
        <v>44</v>
      </c>
    </row>
    <row r="123" spans="1:12" s="18" customFormat="1" ht="15" customHeight="1">
      <c r="A123" s="82">
        <v>2002</v>
      </c>
      <c r="B123" s="83" t="s">
        <v>45</v>
      </c>
      <c r="C123" s="15">
        <f t="shared" si="15"/>
        <v>0.97950325536532434</v>
      </c>
      <c r="D123" s="15">
        <f t="shared" si="16"/>
        <v>0.98401162790697672</v>
      </c>
      <c r="E123" s="15">
        <f t="shared" si="17"/>
        <v>0.99541837472871952</v>
      </c>
      <c r="F123" s="16"/>
      <c r="G123" s="16"/>
      <c r="H123" s="16">
        <v>4147</v>
      </c>
      <c r="I123" s="16">
        <f t="shared" si="24"/>
        <v>19</v>
      </c>
      <c r="J123" s="16">
        <v>4128</v>
      </c>
      <c r="K123" s="16">
        <v>4062</v>
      </c>
      <c r="L123" s="16">
        <f t="shared" si="25"/>
        <v>66</v>
      </c>
    </row>
    <row r="124" spans="1:12" s="18" customFormat="1" ht="15" customHeight="1">
      <c r="A124" s="82">
        <v>2002</v>
      </c>
      <c r="B124" s="83" t="s">
        <v>46</v>
      </c>
      <c r="C124" s="15">
        <f t="shared" si="15"/>
        <v>0.96443670728674458</v>
      </c>
      <c r="D124" s="15">
        <f t="shared" si="16"/>
        <v>0.97022767075306482</v>
      </c>
      <c r="E124" s="15">
        <f t="shared" si="17"/>
        <v>0.99403133548868439</v>
      </c>
      <c r="F124" s="16"/>
      <c r="G124" s="16"/>
      <c r="H124" s="16">
        <v>4021</v>
      </c>
      <c r="I124" s="16">
        <f t="shared" si="24"/>
        <v>24</v>
      </c>
      <c r="J124" s="16">
        <v>3997</v>
      </c>
      <c r="K124" s="16">
        <v>3878</v>
      </c>
      <c r="L124" s="16">
        <f t="shared" si="25"/>
        <v>119</v>
      </c>
    </row>
    <row r="125" spans="1:12" s="18" customFormat="1" ht="15" customHeight="1">
      <c r="A125" s="82">
        <v>2002</v>
      </c>
      <c r="B125" s="83" t="s">
        <v>47</v>
      </c>
      <c r="C125" s="15">
        <f t="shared" si="15"/>
        <v>0.960693359375</v>
      </c>
      <c r="D125" s="15">
        <f t="shared" si="16"/>
        <v>0.97376886909180893</v>
      </c>
      <c r="E125" s="15">
        <f t="shared" si="17"/>
        <v>0.986572265625</v>
      </c>
      <c r="F125" s="16"/>
      <c r="G125" s="16"/>
      <c r="H125" s="16">
        <v>4096</v>
      </c>
      <c r="I125" s="16">
        <f t="shared" si="24"/>
        <v>55</v>
      </c>
      <c r="J125" s="16">
        <v>4041</v>
      </c>
      <c r="K125" s="16">
        <v>3935</v>
      </c>
      <c r="L125" s="16">
        <f t="shared" si="25"/>
        <v>106</v>
      </c>
    </row>
    <row r="126" spans="1:12" s="18" customFormat="1" ht="15" customHeight="1">
      <c r="A126" s="82">
        <v>2003</v>
      </c>
      <c r="B126" s="83" t="s">
        <v>36</v>
      </c>
      <c r="C126" s="15">
        <f t="shared" si="15"/>
        <v>0.96672293224017358</v>
      </c>
      <c r="D126" s="15">
        <f t="shared" si="16"/>
        <v>0.97164323800290842</v>
      </c>
      <c r="E126" s="15">
        <f t="shared" si="17"/>
        <v>0.99493609838437425</v>
      </c>
      <c r="F126" s="16"/>
      <c r="G126" s="16"/>
      <c r="H126" s="16">
        <v>4147</v>
      </c>
      <c r="I126" s="16">
        <f t="shared" ref="I126:I137" si="26">H126-J126</f>
        <v>21</v>
      </c>
      <c r="J126" s="16">
        <v>4126</v>
      </c>
      <c r="K126" s="16">
        <v>4009</v>
      </c>
      <c r="L126" s="16">
        <f t="shared" ref="L126:L137" si="27">J126-K126</f>
        <v>117</v>
      </c>
    </row>
    <row r="127" spans="1:12" s="18" customFormat="1" ht="15" customHeight="1">
      <c r="A127" s="82">
        <v>2003</v>
      </c>
      <c r="B127" s="83" t="s">
        <v>37</v>
      </c>
      <c r="C127" s="15">
        <f t="shared" si="15"/>
        <v>0.96382978723404256</v>
      </c>
      <c r="D127" s="15">
        <f t="shared" si="16"/>
        <v>0.97367006985491666</v>
      </c>
      <c r="E127" s="15">
        <f t="shared" si="17"/>
        <v>0.98989361702127665</v>
      </c>
      <c r="F127" s="16"/>
      <c r="G127" s="16"/>
      <c r="H127" s="16">
        <v>3760</v>
      </c>
      <c r="I127" s="16">
        <f t="shared" si="26"/>
        <v>38</v>
      </c>
      <c r="J127" s="16">
        <v>3722</v>
      </c>
      <c r="K127" s="16">
        <v>3624</v>
      </c>
      <c r="L127" s="16">
        <f t="shared" si="27"/>
        <v>98</v>
      </c>
    </row>
    <row r="128" spans="1:12" s="18" customFormat="1" ht="15" customHeight="1">
      <c r="A128" s="82">
        <v>2003</v>
      </c>
      <c r="B128" s="83" t="s">
        <v>38</v>
      </c>
      <c r="C128" s="15">
        <f t="shared" si="15"/>
        <v>0.92988929889298888</v>
      </c>
      <c r="D128" s="15">
        <f t="shared" si="16"/>
        <v>0.96873398257303944</v>
      </c>
      <c r="E128" s="15">
        <f t="shared" si="17"/>
        <v>0.95990159901599015</v>
      </c>
      <c r="F128" s="16"/>
      <c r="G128" s="16"/>
      <c r="H128" s="16">
        <v>4065</v>
      </c>
      <c r="I128" s="16">
        <f t="shared" si="26"/>
        <v>163</v>
      </c>
      <c r="J128" s="16">
        <v>3902</v>
      </c>
      <c r="K128" s="16">
        <v>3780</v>
      </c>
      <c r="L128" s="16">
        <f t="shared" si="27"/>
        <v>122</v>
      </c>
    </row>
    <row r="129" spans="1:12" s="18" customFormat="1" ht="15" customHeight="1">
      <c r="A129" s="82">
        <v>2003</v>
      </c>
      <c r="B129" s="83" t="s">
        <v>39</v>
      </c>
      <c r="C129" s="15">
        <f t="shared" si="15"/>
        <v>0.96450887278180453</v>
      </c>
      <c r="D129" s="15">
        <f t="shared" si="16"/>
        <v>0.96838143036386448</v>
      </c>
      <c r="E129" s="15">
        <f t="shared" si="17"/>
        <v>0.99600099975006251</v>
      </c>
      <c r="F129" s="16"/>
      <c r="G129" s="16"/>
      <c r="H129" s="16">
        <v>4001</v>
      </c>
      <c r="I129" s="16">
        <f t="shared" si="26"/>
        <v>16</v>
      </c>
      <c r="J129" s="16">
        <v>3985</v>
      </c>
      <c r="K129" s="16">
        <v>3859</v>
      </c>
      <c r="L129" s="16">
        <f t="shared" si="27"/>
        <v>126</v>
      </c>
    </row>
    <row r="130" spans="1:12" s="18" customFormat="1" ht="15" customHeight="1">
      <c r="A130" s="82">
        <v>2003</v>
      </c>
      <c r="B130" s="83" t="s">
        <v>40</v>
      </c>
      <c r="C130" s="15">
        <f t="shared" si="15"/>
        <v>0.95553935860058314</v>
      </c>
      <c r="D130" s="15">
        <f t="shared" si="16"/>
        <v>0.95880058508044852</v>
      </c>
      <c r="E130" s="15">
        <f t="shared" si="17"/>
        <v>0.99659863945578231</v>
      </c>
      <c r="F130" s="16"/>
      <c r="G130" s="16"/>
      <c r="H130" s="16">
        <v>4116</v>
      </c>
      <c r="I130" s="16">
        <f t="shared" si="26"/>
        <v>14</v>
      </c>
      <c r="J130" s="16">
        <v>4102</v>
      </c>
      <c r="K130" s="16">
        <v>3933</v>
      </c>
      <c r="L130" s="16">
        <f t="shared" si="27"/>
        <v>169</v>
      </c>
    </row>
    <row r="131" spans="1:12" s="18" customFormat="1" ht="15" customHeight="1">
      <c r="A131" s="82">
        <v>2003</v>
      </c>
      <c r="B131" s="83" t="s">
        <v>41</v>
      </c>
      <c r="C131" s="15">
        <f t="shared" si="15"/>
        <v>0.96683544303797464</v>
      </c>
      <c r="D131" s="15">
        <f t="shared" si="16"/>
        <v>0.97027439024390238</v>
      </c>
      <c r="E131" s="15">
        <f t="shared" si="17"/>
        <v>0.9964556962025316</v>
      </c>
      <c r="F131" s="16"/>
      <c r="G131" s="16"/>
      <c r="H131" s="16">
        <v>3950</v>
      </c>
      <c r="I131" s="16">
        <f t="shared" si="26"/>
        <v>14</v>
      </c>
      <c r="J131" s="16">
        <v>3936</v>
      </c>
      <c r="K131" s="16">
        <v>3819</v>
      </c>
      <c r="L131" s="16">
        <f t="shared" si="27"/>
        <v>117</v>
      </c>
    </row>
    <row r="132" spans="1:12" s="18" customFormat="1" ht="15" customHeight="1">
      <c r="A132" s="82">
        <v>2003</v>
      </c>
      <c r="B132" s="83" t="s">
        <v>42</v>
      </c>
      <c r="C132" s="15">
        <f t="shared" si="15"/>
        <v>0.94670846394984332</v>
      </c>
      <c r="D132" s="15">
        <f t="shared" si="16"/>
        <v>0.95314396698227721</v>
      </c>
      <c r="E132" s="15">
        <f t="shared" si="17"/>
        <v>0.99324813117916566</v>
      </c>
      <c r="F132" s="16"/>
      <c r="G132" s="16"/>
      <c r="H132" s="16">
        <v>4147</v>
      </c>
      <c r="I132" s="16">
        <f t="shared" si="26"/>
        <v>28</v>
      </c>
      <c r="J132" s="16">
        <v>4119</v>
      </c>
      <c r="K132" s="16">
        <v>3926</v>
      </c>
      <c r="L132" s="16">
        <f t="shared" si="27"/>
        <v>193</v>
      </c>
    </row>
    <row r="133" spans="1:12" s="18" customFormat="1" ht="15" customHeight="1">
      <c r="A133" s="82">
        <v>2003</v>
      </c>
      <c r="B133" s="83" t="s">
        <v>43</v>
      </c>
      <c r="C133" s="15">
        <f t="shared" si="15"/>
        <v>0.9456334563345633</v>
      </c>
      <c r="D133" s="15">
        <f t="shared" si="16"/>
        <v>0.95836449763151332</v>
      </c>
      <c r="E133" s="15">
        <f t="shared" si="17"/>
        <v>0.98671586715867154</v>
      </c>
      <c r="F133" s="16"/>
      <c r="G133" s="16"/>
      <c r="H133" s="16">
        <v>4065</v>
      </c>
      <c r="I133" s="16">
        <f t="shared" si="26"/>
        <v>54</v>
      </c>
      <c r="J133" s="16">
        <v>4011</v>
      </c>
      <c r="K133" s="16">
        <v>3844</v>
      </c>
      <c r="L133" s="16">
        <f t="shared" si="27"/>
        <v>167</v>
      </c>
    </row>
    <row r="134" spans="1:12" s="18" customFormat="1" ht="15" customHeight="1">
      <c r="A134" s="82">
        <v>2003</v>
      </c>
      <c r="B134" s="83" t="s">
        <v>44</v>
      </c>
      <c r="C134" s="15">
        <f t="shared" si="15"/>
        <v>0.96079812206572768</v>
      </c>
      <c r="D134" s="15">
        <f t="shared" si="16"/>
        <v>0.96784109718609601</v>
      </c>
      <c r="E134" s="15">
        <f t="shared" si="17"/>
        <v>0.99272300469483565</v>
      </c>
      <c r="F134" s="16"/>
      <c r="G134" s="16"/>
      <c r="H134" s="16">
        <v>4260</v>
      </c>
      <c r="I134" s="16">
        <f t="shared" si="26"/>
        <v>31</v>
      </c>
      <c r="J134" s="16">
        <v>4229</v>
      </c>
      <c r="K134" s="16">
        <v>4093</v>
      </c>
      <c r="L134" s="16">
        <f t="shared" si="27"/>
        <v>136</v>
      </c>
    </row>
    <row r="135" spans="1:12" s="18" customFormat="1" ht="15" customHeight="1">
      <c r="A135" s="82">
        <v>2003</v>
      </c>
      <c r="B135" s="83" t="s">
        <v>45</v>
      </c>
      <c r="C135" s="15">
        <f t="shared" ref="C135:C198" si="28">K135/H135</f>
        <v>0.96537365768134997</v>
      </c>
      <c r="D135" s="15">
        <f t="shared" ref="D135:D198" si="29">K135/J135</f>
        <v>0.97305058537662914</v>
      </c>
      <c r="E135" s="15">
        <f t="shared" ref="E135:E198" si="30">J135/H135</f>
        <v>0.99211045364891515</v>
      </c>
      <c r="F135" s="16"/>
      <c r="G135" s="16"/>
      <c r="H135" s="16">
        <v>4563</v>
      </c>
      <c r="I135" s="16">
        <f t="shared" si="26"/>
        <v>36</v>
      </c>
      <c r="J135" s="16">
        <v>4527</v>
      </c>
      <c r="K135" s="16">
        <v>4405</v>
      </c>
      <c r="L135" s="16">
        <f t="shared" si="27"/>
        <v>122</v>
      </c>
    </row>
    <row r="136" spans="1:12" s="18" customFormat="1" ht="15" customHeight="1">
      <c r="A136" s="82">
        <v>2003</v>
      </c>
      <c r="B136" s="83" t="s">
        <v>46</v>
      </c>
      <c r="C136" s="15">
        <f t="shared" si="28"/>
        <v>0.95881006864988561</v>
      </c>
      <c r="D136" s="15">
        <f t="shared" si="29"/>
        <v>0.9730608453320948</v>
      </c>
      <c r="E136" s="15">
        <f t="shared" si="30"/>
        <v>0.98535469107551488</v>
      </c>
      <c r="F136" s="16"/>
      <c r="G136" s="16"/>
      <c r="H136" s="16">
        <v>4370</v>
      </c>
      <c r="I136" s="16">
        <f t="shared" si="26"/>
        <v>64</v>
      </c>
      <c r="J136" s="16">
        <v>4306</v>
      </c>
      <c r="K136" s="16">
        <v>4190</v>
      </c>
      <c r="L136" s="16">
        <f t="shared" si="27"/>
        <v>116</v>
      </c>
    </row>
    <row r="137" spans="1:12" s="18" customFormat="1" ht="15" customHeight="1">
      <c r="A137" s="82">
        <v>2003</v>
      </c>
      <c r="B137" s="83" t="s">
        <v>47</v>
      </c>
      <c r="C137" s="15">
        <f t="shared" si="28"/>
        <v>0.96611721611721613</v>
      </c>
      <c r="D137" s="15">
        <f t="shared" si="29"/>
        <v>0.97639981490050898</v>
      </c>
      <c r="E137" s="15">
        <f t="shared" si="30"/>
        <v>0.98946886446886451</v>
      </c>
      <c r="F137" s="16"/>
      <c r="G137" s="16"/>
      <c r="H137" s="16">
        <v>4368</v>
      </c>
      <c r="I137" s="16">
        <f t="shared" si="26"/>
        <v>46</v>
      </c>
      <c r="J137" s="16">
        <v>4322</v>
      </c>
      <c r="K137" s="16">
        <v>4220</v>
      </c>
      <c r="L137" s="16">
        <f t="shared" si="27"/>
        <v>102</v>
      </c>
    </row>
    <row r="138" spans="1:12" s="18" customFormat="1" ht="15" customHeight="1">
      <c r="A138" s="82">
        <v>2004</v>
      </c>
      <c r="B138" s="83" t="s">
        <v>36</v>
      </c>
      <c r="C138" s="15">
        <f t="shared" si="28"/>
        <v>0.97910592808551988</v>
      </c>
      <c r="D138" s="15">
        <f t="shared" si="29"/>
        <v>0.98196881091617938</v>
      </c>
      <c r="E138" s="15">
        <f t="shared" si="30"/>
        <v>0.99708454810495628</v>
      </c>
      <c r="F138" s="16"/>
      <c r="G138" s="16"/>
      <c r="H138" s="16">
        <v>4116</v>
      </c>
      <c r="I138" s="16">
        <f t="shared" ref="I138:I144" si="31">H138-J138</f>
        <v>12</v>
      </c>
      <c r="J138" s="16">
        <v>4104</v>
      </c>
      <c r="K138" s="16">
        <v>4030</v>
      </c>
      <c r="L138" s="16">
        <f t="shared" ref="L138:L144" si="32">J138-K138</f>
        <v>74</v>
      </c>
    </row>
    <row r="139" spans="1:12" s="18" customFormat="1" ht="15" customHeight="1">
      <c r="A139" s="82">
        <v>2004</v>
      </c>
      <c r="B139" s="83" t="s">
        <v>37</v>
      </c>
      <c r="C139" s="15">
        <f t="shared" si="28"/>
        <v>0.95797665369649809</v>
      </c>
      <c r="D139" s="15">
        <f t="shared" si="29"/>
        <v>0.97312252964426882</v>
      </c>
      <c r="E139" s="15">
        <f t="shared" si="30"/>
        <v>0.98443579766536971</v>
      </c>
      <c r="F139" s="16"/>
      <c r="G139" s="16"/>
      <c r="H139" s="16">
        <v>3855</v>
      </c>
      <c r="I139" s="16">
        <f t="shared" si="31"/>
        <v>60</v>
      </c>
      <c r="J139" s="16">
        <v>3795</v>
      </c>
      <c r="K139" s="16">
        <v>3693</v>
      </c>
      <c r="L139" s="16">
        <f t="shared" si="32"/>
        <v>102</v>
      </c>
    </row>
    <row r="140" spans="1:12" s="18" customFormat="1" ht="15" customHeight="1">
      <c r="A140" s="82">
        <v>2004</v>
      </c>
      <c r="B140" s="83" t="s">
        <v>38</v>
      </c>
      <c r="C140" s="15">
        <f t="shared" si="28"/>
        <v>0.93434125269978396</v>
      </c>
      <c r="D140" s="15">
        <f t="shared" si="29"/>
        <v>0.94392319441413919</v>
      </c>
      <c r="E140" s="15">
        <f t="shared" si="30"/>
        <v>0.98984881209503239</v>
      </c>
      <c r="F140" s="16"/>
      <c r="G140" s="16"/>
      <c r="H140" s="16">
        <v>4630</v>
      </c>
      <c r="I140" s="16">
        <f t="shared" si="31"/>
        <v>47</v>
      </c>
      <c r="J140" s="16">
        <v>4583</v>
      </c>
      <c r="K140" s="16">
        <v>4326</v>
      </c>
      <c r="L140" s="16">
        <f t="shared" si="32"/>
        <v>257</v>
      </c>
    </row>
    <row r="141" spans="1:12" s="18" customFormat="1" ht="15" customHeight="1">
      <c r="A141" s="82">
        <v>2004</v>
      </c>
      <c r="B141" s="83" t="s">
        <v>39</v>
      </c>
      <c r="C141" s="15">
        <f t="shared" si="28"/>
        <v>0.94323950161513614</v>
      </c>
      <c r="D141" s="15">
        <f t="shared" si="29"/>
        <v>0.9502556950255695</v>
      </c>
      <c r="E141" s="15">
        <f t="shared" si="30"/>
        <v>0.99261652053530225</v>
      </c>
      <c r="F141" s="16"/>
      <c r="G141" s="16"/>
      <c r="H141" s="16">
        <v>4334</v>
      </c>
      <c r="I141" s="16">
        <f t="shared" si="31"/>
        <v>32</v>
      </c>
      <c r="J141" s="16">
        <v>4302</v>
      </c>
      <c r="K141" s="16">
        <v>4088</v>
      </c>
      <c r="L141" s="16">
        <f t="shared" si="32"/>
        <v>214</v>
      </c>
    </row>
    <row r="142" spans="1:12" s="18" customFormat="1" ht="15" customHeight="1">
      <c r="A142" s="82">
        <v>2004</v>
      </c>
      <c r="B142" s="83" t="s">
        <v>40</v>
      </c>
      <c r="C142" s="15">
        <f t="shared" si="28"/>
        <v>0.92052382027545721</v>
      </c>
      <c r="D142" s="15">
        <f t="shared" si="29"/>
        <v>0.94005072630850817</v>
      </c>
      <c r="E142" s="15">
        <f t="shared" si="30"/>
        <v>0.97922781666290359</v>
      </c>
      <c r="F142" s="16"/>
      <c r="G142" s="16"/>
      <c r="H142" s="16">
        <v>4429</v>
      </c>
      <c r="I142" s="16">
        <f t="shared" si="31"/>
        <v>92</v>
      </c>
      <c r="J142" s="16">
        <v>4337</v>
      </c>
      <c r="K142" s="16">
        <v>4077</v>
      </c>
      <c r="L142" s="16">
        <f t="shared" si="32"/>
        <v>260</v>
      </c>
    </row>
    <row r="143" spans="1:12" s="18" customFormat="1" ht="15" customHeight="1">
      <c r="A143" s="82">
        <v>2004</v>
      </c>
      <c r="B143" s="83" t="s">
        <v>41</v>
      </c>
      <c r="C143" s="15">
        <f t="shared" si="28"/>
        <v>0.92092706203135655</v>
      </c>
      <c r="D143" s="15">
        <f t="shared" si="29"/>
        <v>0.93537964458804523</v>
      </c>
      <c r="E143" s="15">
        <f t="shared" si="30"/>
        <v>0.98454896614405818</v>
      </c>
      <c r="F143" s="16"/>
      <c r="G143" s="16"/>
      <c r="H143" s="16">
        <v>4401</v>
      </c>
      <c r="I143" s="16">
        <f t="shared" si="31"/>
        <v>68</v>
      </c>
      <c r="J143" s="16">
        <v>4333</v>
      </c>
      <c r="K143" s="16">
        <v>4053</v>
      </c>
      <c r="L143" s="16">
        <f t="shared" si="32"/>
        <v>280</v>
      </c>
    </row>
    <row r="144" spans="1:12" s="18" customFormat="1" ht="15" customHeight="1">
      <c r="A144" s="82">
        <v>2004</v>
      </c>
      <c r="B144" s="83" t="s">
        <v>42</v>
      </c>
      <c r="C144" s="15">
        <f t="shared" si="28"/>
        <v>0.94593998234774934</v>
      </c>
      <c r="D144" s="15">
        <f t="shared" si="29"/>
        <v>0.95330220146764511</v>
      </c>
      <c r="E144" s="15">
        <f t="shared" si="30"/>
        <v>0.99227714033539272</v>
      </c>
      <c r="F144" s="16"/>
      <c r="G144" s="16"/>
      <c r="H144" s="16">
        <v>4532</v>
      </c>
      <c r="I144" s="16">
        <f t="shared" si="31"/>
        <v>35</v>
      </c>
      <c r="J144" s="16">
        <v>4497</v>
      </c>
      <c r="K144" s="16">
        <v>4287</v>
      </c>
      <c r="L144" s="16">
        <f t="shared" si="32"/>
        <v>210</v>
      </c>
    </row>
    <row r="145" spans="1:12" s="18" customFormat="1" ht="15" customHeight="1">
      <c r="A145" s="82">
        <v>2004</v>
      </c>
      <c r="B145" s="83" t="s">
        <v>43</v>
      </c>
      <c r="C145" s="15">
        <f t="shared" si="28"/>
        <v>0.94172597864768681</v>
      </c>
      <c r="D145" s="15">
        <f t="shared" si="29"/>
        <v>0.94530029024335793</v>
      </c>
      <c r="E145" s="15">
        <f t="shared" si="30"/>
        <v>0.99621886120996439</v>
      </c>
      <c r="F145" s="16"/>
      <c r="G145" s="16"/>
      <c r="H145" s="16">
        <v>4496</v>
      </c>
      <c r="I145" s="16">
        <f>H145-J145</f>
        <v>17</v>
      </c>
      <c r="J145" s="16">
        <v>4479</v>
      </c>
      <c r="K145" s="16">
        <v>4234</v>
      </c>
      <c r="L145" s="16">
        <f>J145-K145</f>
        <v>245</v>
      </c>
    </row>
    <row r="146" spans="1:12" s="18" customFormat="1" ht="15" customHeight="1">
      <c r="A146" s="82">
        <v>2004</v>
      </c>
      <c r="B146" s="83" t="s">
        <v>44</v>
      </c>
      <c r="C146" s="15">
        <f t="shared" si="28"/>
        <v>0.94046553267681288</v>
      </c>
      <c r="D146" s="15">
        <f t="shared" si="29"/>
        <v>0.94767704104645922</v>
      </c>
      <c r="E146" s="15">
        <f t="shared" si="30"/>
        <v>0.99239033124440468</v>
      </c>
      <c r="F146" s="16"/>
      <c r="G146" s="16"/>
      <c r="H146" s="16">
        <v>4468</v>
      </c>
      <c r="I146" s="16">
        <f>H146-J146</f>
        <v>34</v>
      </c>
      <c r="J146" s="16">
        <v>4434</v>
      </c>
      <c r="K146" s="16">
        <v>4202</v>
      </c>
      <c r="L146" s="16">
        <f>J146-K146</f>
        <v>232</v>
      </c>
    </row>
    <row r="147" spans="1:12" s="18" customFormat="1" ht="15" customHeight="1">
      <c r="A147" s="82">
        <v>2004</v>
      </c>
      <c r="B147" s="83" t="s">
        <v>45</v>
      </c>
      <c r="C147" s="15">
        <f t="shared" si="28"/>
        <v>0.93594624860022402</v>
      </c>
      <c r="D147" s="15">
        <f t="shared" si="29"/>
        <v>0.94568906992532242</v>
      </c>
      <c r="E147" s="15">
        <f t="shared" si="30"/>
        <v>0.98969764837625984</v>
      </c>
      <c r="F147" s="16"/>
      <c r="G147" s="16"/>
      <c r="H147" s="16">
        <v>4465</v>
      </c>
      <c r="I147" s="16">
        <f>H147-J147</f>
        <v>46</v>
      </c>
      <c r="J147" s="16">
        <v>4419</v>
      </c>
      <c r="K147" s="16">
        <v>4179</v>
      </c>
      <c r="L147" s="16">
        <f>J147-K147</f>
        <v>240</v>
      </c>
    </row>
    <row r="148" spans="1:12" s="18" customFormat="1" ht="15" customHeight="1">
      <c r="A148" s="82">
        <v>2004</v>
      </c>
      <c r="B148" s="83" t="s">
        <v>46</v>
      </c>
      <c r="C148" s="15">
        <f t="shared" si="28"/>
        <v>0.94717994628469115</v>
      </c>
      <c r="D148" s="15">
        <f t="shared" si="29"/>
        <v>0.95508914466260442</v>
      </c>
      <c r="E148" s="15">
        <f t="shared" si="30"/>
        <v>0.99171888988361678</v>
      </c>
      <c r="F148" s="16"/>
      <c r="G148" s="16"/>
      <c r="H148" s="16">
        <v>4468</v>
      </c>
      <c r="I148" s="16">
        <f>H148-J148</f>
        <v>37</v>
      </c>
      <c r="J148" s="16">
        <v>4431</v>
      </c>
      <c r="K148" s="16">
        <v>4232</v>
      </c>
      <c r="L148" s="16">
        <f>J148-K148</f>
        <v>199</v>
      </c>
    </row>
    <row r="149" spans="1:12" s="18" customFormat="1" ht="15" customHeight="1">
      <c r="A149" s="82">
        <v>2004</v>
      </c>
      <c r="B149" s="83" t="s">
        <v>47</v>
      </c>
      <c r="C149" s="15">
        <f t="shared" si="28"/>
        <v>0.94367130550033129</v>
      </c>
      <c r="D149" s="15">
        <f t="shared" si="29"/>
        <v>0.95314591700133866</v>
      </c>
      <c r="E149" s="15">
        <f t="shared" si="30"/>
        <v>0.99005964214711728</v>
      </c>
      <c r="F149" s="16"/>
      <c r="G149" s="16"/>
      <c r="H149" s="16">
        <v>4527</v>
      </c>
      <c r="I149" s="16">
        <f>H149-J149</f>
        <v>45</v>
      </c>
      <c r="J149" s="16">
        <v>4482</v>
      </c>
      <c r="K149" s="16">
        <v>4272</v>
      </c>
      <c r="L149" s="16">
        <f>J149-K149</f>
        <v>210</v>
      </c>
    </row>
    <row r="150" spans="1:12" s="18" customFormat="1" ht="15" customHeight="1">
      <c r="A150" s="82">
        <v>2005</v>
      </c>
      <c r="B150" s="83" t="s">
        <v>36</v>
      </c>
      <c r="C150" s="15">
        <f t="shared" si="28"/>
        <v>0.92593416370106763</v>
      </c>
      <c r="D150" s="15">
        <f t="shared" si="29"/>
        <v>0.9495894160583942</v>
      </c>
      <c r="E150" s="15">
        <f t="shared" si="30"/>
        <v>0.97508896797153022</v>
      </c>
      <c r="F150" s="16"/>
      <c r="G150" s="16"/>
      <c r="H150" s="16">
        <v>4496</v>
      </c>
      <c r="I150" s="16">
        <v>112</v>
      </c>
      <c r="J150" s="16">
        <v>4384</v>
      </c>
      <c r="K150" s="16">
        <v>4163</v>
      </c>
      <c r="L150" s="16">
        <v>333</v>
      </c>
    </row>
    <row r="151" spans="1:12" s="18" customFormat="1" ht="15" customHeight="1">
      <c r="A151" s="82">
        <v>2005</v>
      </c>
      <c r="B151" s="83" t="s">
        <v>37</v>
      </c>
      <c r="C151" s="15">
        <f t="shared" si="28"/>
        <v>0.95970077220077221</v>
      </c>
      <c r="D151" s="15">
        <f t="shared" si="29"/>
        <v>0.96342054263565891</v>
      </c>
      <c r="E151" s="15">
        <f t="shared" si="30"/>
        <v>0.99613899613899615</v>
      </c>
      <c r="F151" s="16"/>
      <c r="G151" s="16"/>
      <c r="H151" s="16">
        <v>4144</v>
      </c>
      <c r="I151" s="16">
        <v>16</v>
      </c>
      <c r="J151" s="16">
        <v>4128</v>
      </c>
      <c r="K151" s="16">
        <v>3977</v>
      </c>
      <c r="L151" s="16">
        <v>167</v>
      </c>
    </row>
    <row r="152" spans="1:12" s="18" customFormat="1" ht="15" customHeight="1">
      <c r="A152" s="82">
        <v>2005</v>
      </c>
      <c r="B152" s="83" t="s">
        <v>38</v>
      </c>
      <c r="C152" s="15">
        <f t="shared" si="28"/>
        <v>0.95244356782818318</v>
      </c>
      <c r="D152" s="15">
        <f t="shared" si="29"/>
        <v>0.9576906126046717</v>
      </c>
      <c r="E152" s="15">
        <f t="shared" si="30"/>
        <v>0.99452114836730221</v>
      </c>
      <c r="F152" s="16"/>
      <c r="G152" s="16"/>
      <c r="H152" s="16">
        <v>4563</v>
      </c>
      <c r="I152" s="16">
        <v>25</v>
      </c>
      <c r="J152" s="16">
        <v>4538</v>
      </c>
      <c r="K152" s="16">
        <v>4346</v>
      </c>
      <c r="L152" s="16">
        <v>217</v>
      </c>
    </row>
    <row r="153" spans="1:12" s="18" customFormat="1" ht="15" customHeight="1">
      <c r="A153" s="82">
        <v>2005</v>
      </c>
      <c r="B153" s="83" t="s">
        <v>39</v>
      </c>
      <c r="C153" s="15">
        <f t="shared" si="28"/>
        <v>0.92638036809815949</v>
      </c>
      <c r="D153" s="15">
        <f t="shared" si="29"/>
        <v>0.93831990794016107</v>
      </c>
      <c r="E153" s="15">
        <f t="shared" si="30"/>
        <v>0.98727561917745965</v>
      </c>
      <c r="F153" s="16"/>
      <c r="G153" s="16"/>
      <c r="H153" s="16">
        <v>4401</v>
      </c>
      <c r="I153" s="16">
        <v>56</v>
      </c>
      <c r="J153" s="16">
        <v>4345</v>
      </c>
      <c r="K153" s="16">
        <v>4077</v>
      </c>
      <c r="L153" s="16">
        <v>324</v>
      </c>
    </row>
    <row r="154" spans="1:12" s="18" customFormat="1" ht="15" customHeight="1">
      <c r="A154" s="82">
        <v>2005</v>
      </c>
      <c r="B154" s="83" t="s">
        <v>40</v>
      </c>
      <c r="C154" s="15">
        <f t="shared" si="28"/>
        <v>0.90591637010676151</v>
      </c>
      <c r="D154" s="15">
        <f t="shared" si="29"/>
        <v>0.91858367162832655</v>
      </c>
      <c r="E154" s="15">
        <f t="shared" si="30"/>
        <v>0.98620996441281139</v>
      </c>
      <c r="F154" s="16"/>
      <c r="G154" s="16"/>
      <c r="H154" s="16">
        <v>4496</v>
      </c>
      <c r="I154" s="16">
        <v>62</v>
      </c>
      <c r="J154" s="16">
        <v>4434</v>
      </c>
      <c r="K154" s="16">
        <v>4073</v>
      </c>
      <c r="L154" s="16">
        <v>423</v>
      </c>
    </row>
    <row r="155" spans="1:12" s="18" customFormat="1" ht="15" customHeight="1">
      <c r="A155" s="82">
        <v>2005</v>
      </c>
      <c r="B155" s="83" t="s">
        <v>41</v>
      </c>
      <c r="C155" s="15">
        <f t="shared" si="28"/>
        <v>0.89138832083617359</v>
      </c>
      <c r="D155" s="15">
        <f t="shared" si="29"/>
        <v>0.94895984518626031</v>
      </c>
      <c r="E155" s="15">
        <f t="shared" si="30"/>
        <v>0.93933197000681667</v>
      </c>
      <c r="F155" s="16"/>
      <c r="G155" s="16"/>
      <c r="H155" s="16">
        <v>4401</v>
      </c>
      <c r="I155" s="16">
        <v>267</v>
      </c>
      <c r="J155" s="16">
        <v>4134</v>
      </c>
      <c r="K155" s="16">
        <v>3923</v>
      </c>
      <c r="L155" s="16">
        <v>478</v>
      </c>
    </row>
    <row r="156" spans="1:12" s="18" customFormat="1" ht="15" customHeight="1">
      <c r="A156" s="82">
        <v>2005</v>
      </c>
      <c r="B156" s="83" t="s">
        <v>42</v>
      </c>
      <c r="C156" s="15">
        <f t="shared" si="28"/>
        <v>0.92949288256227758</v>
      </c>
      <c r="D156" s="15">
        <f t="shared" si="29"/>
        <v>0.94291516245487361</v>
      </c>
      <c r="E156" s="15">
        <f t="shared" si="30"/>
        <v>0.98576512455516019</v>
      </c>
      <c r="F156" s="16"/>
      <c r="G156" s="16"/>
      <c r="H156" s="16">
        <v>4496</v>
      </c>
      <c r="I156" s="16">
        <f t="shared" ref="I156:I161" si="33">H156-J156</f>
        <v>64</v>
      </c>
      <c r="J156" s="16">
        <v>4432</v>
      </c>
      <c r="K156" s="16">
        <v>4179</v>
      </c>
      <c r="L156" s="16">
        <f t="shared" ref="L156:L161" si="34">J156-K156</f>
        <v>253</v>
      </c>
    </row>
    <row r="157" spans="1:12" s="18" customFormat="1" ht="15" customHeight="1">
      <c r="A157" s="82">
        <v>2005</v>
      </c>
      <c r="B157" s="83" t="s">
        <v>43</v>
      </c>
      <c r="C157" s="15">
        <f t="shared" si="28"/>
        <v>0.90802348336594907</v>
      </c>
      <c r="D157" s="15">
        <f t="shared" si="29"/>
        <v>0.94202571621926456</v>
      </c>
      <c r="E157" s="15">
        <f t="shared" si="30"/>
        <v>0.96390519678190911</v>
      </c>
      <c r="F157" s="16"/>
      <c r="G157" s="16"/>
      <c r="H157" s="16">
        <v>4599</v>
      </c>
      <c r="I157" s="16">
        <f t="shared" si="33"/>
        <v>166</v>
      </c>
      <c r="J157" s="16">
        <v>4433</v>
      </c>
      <c r="K157" s="16">
        <v>4176</v>
      </c>
      <c r="L157" s="16">
        <f t="shared" si="34"/>
        <v>257</v>
      </c>
    </row>
    <row r="158" spans="1:12" s="18" customFormat="1" ht="15" customHeight="1">
      <c r="A158" s="82">
        <v>2005</v>
      </c>
      <c r="B158" s="83" t="s">
        <v>44</v>
      </c>
      <c r="C158" s="15">
        <f t="shared" si="28"/>
        <v>0.93597063621533438</v>
      </c>
      <c r="D158" s="15">
        <f t="shared" si="29"/>
        <v>0.94541709577754895</v>
      </c>
      <c r="E158" s="15">
        <f t="shared" si="30"/>
        <v>0.9900081566068516</v>
      </c>
      <c r="F158" s="16"/>
      <c r="G158" s="16"/>
      <c r="H158" s="16">
        <v>4904</v>
      </c>
      <c r="I158" s="16">
        <f t="shared" si="33"/>
        <v>49</v>
      </c>
      <c r="J158" s="16">
        <v>4855</v>
      </c>
      <c r="K158" s="16">
        <v>4590</v>
      </c>
      <c r="L158" s="16">
        <f t="shared" si="34"/>
        <v>265</v>
      </c>
    </row>
    <row r="159" spans="1:12" s="18" customFormat="1" ht="15" customHeight="1">
      <c r="A159" s="82">
        <v>2005</v>
      </c>
      <c r="B159" s="83" t="s">
        <v>45</v>
      </c>
      <c r="C159" s="15">
        <f t="shared" si="28"/>
        <v>0.93846153846153846</v>
      </c>
      <c r="D159" s="15">
        <f t="shared" si="29"/>
        <v>0.94427244582043346</v>
      </c>
      <c r="E159" s="15">
        <f t="shared" si="30"/>
        <v>0.99384615384615382</v>
      </c>
      <c r="F159" s="16"/>
      <c r="G159" s="16"/>
      <c r="H159" s="16">
        <v>4875</v>
      </c>
      <c r="I159" s="16">
        <f t="shared" si="33"/>
        <v>30</v>
      </c>
      <c r="J159" s="16">
        <v>4845</v>
      </c>
      <c r="K159" s="16">
        <v>4575</v>
      </c>
      <c r="L159" s="16">
        <f t="shared" si="34"/>
        <v>270</v>
      </c>
    </row>
    <row r="160" spans="1:12" s="18" customFormat="1" ht="15" customHeight="1">
      <c r="A160" s="82">
        <v>2005</v>
      </c>
      <c r="B160" s="83" t="s">
        <v>46</v>
      </c>
      <c r="C160" s="15">
        <f t="shared" si="28"/>
        <v>0.93372756933115819</v>
      </c>
      <c r="D160" s="15">
        <f t="shared" si="29"/>
        <v>0.94140625</v>
      </c>
      <c r="E160" s="15">
        <f t="shared" si="30"/>
        <v>0.99184339314845027</v>
      </c>
      <c r="F160" s="16"/>
      <c r="G160" s="16"/>
      <c r="H160" s="16">
        <v>4904</v>
      </c>
      <c r="I160" s="16">
        <f t="shared" si="33"/>
        <v>40</v>
      </c>
      <c r="J160" s="16">
        <v>4864</v>
      </c>
      <c r="K160" s="16">
        <v>4579</v>
      </c>
      <c r="L160" s="16">
        <f t="shared" si="34"/>
        <v>285</v>
      </c>
    </row>
    <row r="161" spans="1:12" s="18" customFormat="1" ht="15" customHeight="1">
      <c r="A161" s="82">
        <v>2005</v>
      </c>
      <c r="B161" s="83" t="s">
        <v>47</v>
      </c>
      <c r="C161" s="15">
        <f t="shared" si="28"/>
        <v>0.92177419354838708</v>
      </c>
      <c r="D161" s="15">
        <f t="shared" si="29"/>
        <v>0.94462809917355373</v>
      </c>
      <c r="E161" s="15">
        <f t="shared" si="30"/>
        <v>0.97580645161290325</v>
      </c>
      <c r="F161" s="16"/>
      <c r="G161" s="16"/>
      <c r="H161" s="16">
        <v>4960</v>
      </c>
      <c r="I161" s="16">
        <f t="shared" si="33"/>
        <v>120</v>
      </c>
      <c r="J161" s="16">
        <v>4840</v>
      </c>
      <c r="K161" s="16">
        <v>4572</v>
      </c>
      <c r="L161" s="16">
        <f t="shared" si="34"/>
        <v>268</v>
      </c>
    </row>
    <row r="162" spans="1:12" s="18" customFormat="1" ht="15" customHeight="1">
      <c r="A162" s="82">
        <v>2006</v>
      </c>
      <c r="B162" s="83" t="s">
        <v>36</v>
      </c>
      <c r="C162" s="15">
        <f t="shared" si="28"/>
        <v>0.95239047809561916</v>
      </c>
      <c r="D162" s="15">
        <f t="shared" si="29"/>
        <v>0.96181818181818179</v>
      </c>
      <c r="E162" s="15">
        <f t="shared" si="30"/>
        <v>0.99019803960792163</v>
      </c>
      <c r="F162" s="16"/>
      <c r="G162" s="16"/>
      <c r="H162" s="16">
        <v>4999</v>
      </c>
      <c r="I162" s="16">
        <f t="shared" ref="I162:I173" si="35">H162-J162</f>
        <v>49</v>
      </c>
      <c r="J162" s="16">
        <v>4950</v>
      </c>
      <c r="K162" s="16">
        <v>4761</v>
      </c>
      <c r="L162" s="16">
        <f t="shared" ref="L162:L173" si="36">J162-K162</f>
        <v>189</v>
      </c>
    </row>
    <row r="163" spans="1:12" s="18" customFormat="1" ht="15" customHeight="1">
      <c r="A163" s="82">
        <v>2006</v>
      </c>
      <c r="B163" s="83" t="s">
        <v>37</v>
      </c>
      <c r="C163" s="15">
        <f t="shared" si="28"/>
        <v>0.95202464788732399</v>
      </c>
      <c r="D163" s="15">
        <f t="shared" si="29"/>
        <v>0.96154701044676594</v>
      </c>
      <c r="E163" s="15">
        <f t="shared" si="30"/>
        <v>0.9900968309859155</v>
      </c>
      <c r="F163" s="16"/>
      <c r="G163" s="16"/>
      <c r="H163" s="16">
        <v>4544</v>
      </c>
      <c r="I163" s="16">
        <f t="shared" si="35"/>
        <v>45</v>
      </c>
      <c r="J163" s="16">
        <v>4499</v>
      </c>
      <c r="K163" s="16">
        <v>4326</v>
      </c>
      <c r="L163" s="16">
        <f t="shared" si="36"/>
        <v>173</v>
      </c>
    </row>
    <row r="164" spans="1:12" s="18" customFormat="1" ht="15" customHeight="1">
      <c r="A164" s="82">
        <v>2006</v>
      </c>
      <c r="B164" s="83" t="s">
        <v>38</v>
      </c>
      <c r="C164" s="15">
        <f t="shared" si="28"/>
        <v>0.92958591718343664</v>
      </c>
      <c r="D164" s="15">
        <f t="shared" si="29"/>
        <v>0.94106925880923453</v>
      </c>
      <c r="E164" s="15">
        <f t="shared" si="30"/>
        <v>0.9877975595119024</v>
      </c>
      <c r="F164" s="16"/>
      <c r="G164" s="16"/>
      <c r="H164" s="16">
        <v>4999</v>
      </c>
      <c r="I164" s="16">
        <f t="shared" si="35"/>
        <v>61</v>
      </c>
      <c r="J164" s="16">
        <v>4938</v>
      </c>
      <c r="K164" s="16">
        <v>4647</v>
      </c>
      <c r="L164" s="16">
        <f t="shared" si="36"/>
        <v>291</v>
      </c>
    </row>
    <row r="165" spans="1:12" s="18" customFormat="1" ht="15" customHeight="1">
      <c r="A165" s="82">
        <v>2006</v>
      </c>
      <c r="B165" s="83" t="s">
        <v>39</v>
      </c>
      <c r="C165" s="15">
        <f t="shared" si="28"/>
        <v>0.9056443024494143</v>
      </c>
      <c r="D165" s="15">
        <f t="shared" si="29"/>
        <v>0.91657684845871956</v>
      </c>
      <c r="E165" s="15">
        <f t="shared" si="30"/>
        <v>0.98807241746538876</v>
      </c>
      <c r="F165" s="16"/>
      <c r="G165" s="16"/>
      <c r="H165" s="16">
        <v>4695</v>
      </c>
      <c r="I165" s="16">
        <f t="shared" si="35"/>
        <v>56</v>
      </c>
      <c r="J165" s="16">
        <v>4639</v>
      </c>
      <c r="K165" s="16">
        <v>4252</v>
      </c>
      <c r="L165" s="16">
        <f t="shared" si="36"/>
        <v>387</v>
      </c>
    </row>
    <row r="166" spans="1:12" s="18" customFormat="1" ht="15" customHeight="1">
      <c r="A166" s="82">
        <v>2006</v>
      </c>
      <c r="B166" s="83" t="s">
        <v>40</v>
      </c>
      <c r="C166" s="15">
        <f t="shared" si="28"/>
        <v>0.91107041107041109</v>
      </c>
      <c r="D166" s="15">
        <f t="shared" si="29"/>
        <v>0.92366412213740456</v>
      </c>
      <c r="E166" s="15">
        <f t="shared" si="30"/>
        <v>0.98636548636548638</v>
      </c>
      <c r="F166" s="16"/>
      <c r="G166" s="16"/>
      <c r="H166" s="16">
        <v>4914</v>
      </c>
      <c r="I166" s="16">
        <f t="shared" si="35"/>
        <v>67</v>
      </c>
      <c r="J166" s="16">
        <v>4847</v>
      </c>
      <c r="K166" s="16">
        <v>4477</v>
      </c>
      <c r="L166" s="16">
        <f t="shared" si="36"/>
        <v>370</v>
      </c>
    </row>
    <row r="167" spans="1:12" s="18" customFormat="1" ht="15" customHeight="1">
      <c r="A167" s="82">
        <v>2006</v>
      </c>
      <c r="B167" s="83" t="s">
        <v>41</v>
      </c>
      <c r="C167" s="15">
        <f t="shared" si="28"/>
        <v>0.93753890848723798</v>
      </c>
      <c r="D167" s="15">
        <f t="shared" si="29"/>
        <v>0.94657448145820244</v>
      </c>
      <c r="E167" s="15">
        <f t="shared" si="30"/>
        <v>0.99045445113093999</v>
      </c>
      <c r="F167" s="16"/>
      <c r="G167" s="16"/>
      <c r="H167" s="16">
        <v>4819</v>
      </c>
      <c r="I167" s="16">
        <f t="shared" si="35"/>
        <v>46</v>
      </c>
      <c r="J167" s="16">
        <v>4773</v>
      </c>
      <c r="K167" s="16">
        <v>4518</v>
      </c>
      <c r="L167" s="16">
        <f t="shared" si="36"/>
        <v>255</v>
      </c>
    </row>
    <row r="168" spans="1:12" s="18" customFormat="1" ht="15" customHeight="1">
      <c r="A168" s="82">
        <v>2006</v>
      </c>
      <c r="B168" s="83" t="s">
        <v>42</v>
      </c>
      <c r="C168" s="15">
        <f t="shared" si="28"/>
        <v>0.94254032258064513</v>
      </c>
      <c r="D168" s="15">
        <f t="shared" si="29"/>
        <v>0.9494313566206336</v>
      </c>
      <c r="E168" s="15">
        <f t="shared" si="30"/>
        <v>0.99274193548387102</v>
      </c>
      <c r="F168" s="16"/>
      <c r="G168" s="16"/>
      <c r="H168" s="16">
        <v>4960</v>
      </c>
      <c r="I168" s="16">
        <f t="shared" si="35"/>
        <v>36</v>
      </c>
      <c r="J168" s="16">
        <v>4924</v>
      </c>
      <c r="K168" s="16">
        <v>4675</v>
      </c>
      <c r="L168" s="16">
        <f t="shared" si="36"/>
        <v>249</v>
      </c>
    </row>
    <row r="169" spans="1:12" s="18" customFormat="1" ht="15" customHeight="1">
      <c r="A169" s="82">
        <v>2006</v>
      </c>
      <c r="B169" s="83" t="s">
        <v>43</v>
      </c>
      <c r="C169" s="15">
        <f t="shared" si="28"/>
        <v>0.93858771754350867</v>
      </c>
      <c r="D169" s="15">
        <f t="shared" si="29"/>
        <v>0.95307739183424744</v>
      </c>
      <c r="E169" s="15">
        <f t="shared" si="30"/>
        <v>0.98479695939187839</v>
      </c>
      <c r="F169" s="16"/>
      <c r="G169" s="16"/>
      <c r="H169" s="16">
        <v>4999</v>
      </c>
      <c r="I169" s="16">
        <f t="shared" si="35"/>
        <v>76</v>
      </c>
      <c r="J169" s="16">
        <v>4923</v>
      </c>
      <c r="K169" s="16">
        <v>4692</v>
      </c>
      <c r="L169" s="16">
        <f t="shared" si="36"/>
        <v>231</v>
      </c>
    </row>
    <row r="170" spans="1:12" s="18" customFormat="1" ht="15" customHeight="1">
      <c r="A170" s="82">
        <v>2006</v>
      </c>
      <c r="B170" s="83" t="s">
        <v>44</v>
      </c>
      <c r="C170" s="15">
        <f t="shared" si="28"/>
        <v>0.91880781089414187</v>
      </c>
      <c r="D170" s="15">
        <f t="shared" si="29"/>
        <v>0.94105263157894736</v>
      </c>
      <c r="E170" s="15">
        <f t="shared" si="30"/>
        <v>0.97636176772867422</v>
      </c>
      <c r="F170" s="16"/>
      <c r="G170" s="16"/>
      <c r="H170" s="16">
        <v>4865</v>
      </c>
      <c r="I170" s="16">
        <f t="shared" si="35"/>
        <v>115</v>
      </c>
      <c r="J170" s="16">
        <v>4750</v>
      </c>
      <c r="K170" s="16">
        <v>4470</v>
      </c>
      <c r="L170" s="16">
        <f t="shared" si="36"/>
        <v>280</v>
      </c>
    </row>
    <row r="171" spans="1:12" s="18" customFormat="1" ht="15" customHeight="1">
      <c r="A171" s="82">
        <v>2006</v>
      </c>
      <c r="B171" s="83" t="s">
        <v>45</v>
      </c>
      <c r="C171" s="15">
        <f t="shared" si="28"/>
        <v>0.88949938949938945</v>
      </c>
      <c r="D171" s="15">
        <f t="shared" si="29"/>
        <v>0.91520100502512558</v>
      </c>
      <c r="E171" s="15">
        <f t="shared" si="30"/>
        <v>0.97191697191697191</v>
      </c>
      <c r="F171" s="16"/>
      <c r="G171" s="16"/>
      <c r="H171" s="16">
        <v>4914</v>
      </c>
      <c r="I171" s="16">
        <f t="shared" si="35"/>
        <v>138</v>
      </c>
      <c r="J171" s="16">
        <v>4776</v>
      </c>
      <c r="K171" s="16">
        <v>4371</v>
      </c>
      <c r="L171" s="16">
        <f t="shared" si="36"/>
        <v>405</v>
      </c>
    </row>
    <row r="172" spans="1:12" s="18" customFormat="1" ht="15" customHeight="1">
      <c r="A172" s="82">
        <v>2006</v>
      </c>
      <c r="B172" s="83" t="s">
        <v>46</v>
      </c>
      <c r="C172" s="15">
        <f t="shared" si="28"/>
        <v>0.90334420880913535</v>
      </c>
      <c r="D172" s="15">
        <f t="shared" si="29"/>
        <v>0.92061512884455532</v>
      </c>
      <c r="E172" s="15">
        <f t="shared" si="30"/>
        <v>0.98123980424143553</v>
      </c>
      <c r="F172" s="16"/>
      <c r="G172" s="16"/>
      <c r="H172" s="16">
        <v>4904</v>
      </c>
      <c r="I172" s="16">
        <f t="shared" si="35"/>
        <v>92</v>
      </c>
      <c r="J172" s="16">
        <v>4812</v>
      </c>
      <c r="K172" s="16">
        <v>4430</v>
      </c>
      <c r="L172" s="16">
        <f t="shared" si="36"/>
        <v>382</v>
      </c>
    </row>
    <row r="173" spans="1:12" s="18" customFormat="1" ht="15" customHeight="1">
      <c r="A173" s="82">
        <v>2006</v>
      </c>
      <c r="B173" s="83" t="s">
        <v>47</v>
      </c>
      <c r="C173" s="15">
        <f t="shared" si="28"/>
        <v>0.88267223382045934</v>
      </c>
      <c r="D173" s="15">
        <f t="shared" si="29"/>
        <v>0.92113289760348582</v>
      </c>
      <c r="E173" s="15">
        <f t="shared" si="30"/>
        <v>0.95824634655532359</v>
      </c>
      <c r="F173" s="16"/>
      <c r="G173" s="16"/>
      <c r="H173" s="16">
        <v>4790</v>
      </c>
      <c r="I173" s="16">
        <f t="shared" si="35"/>
        <v>200</v>
      </c>
      <c r="J173" s="16">
        <v>4590</v>
      </c>
      <c r="K173" s="16">
        <v>4228</v>
      </c>
      <c r="L173" s="16">
        <f t="shared" si="36"/>
        <v>362</v>
      </c>
    </row>
    <row r="174" spans="1:12" s="18" customFormat="1" ht="15" customHeight="1">
      <c r="A174" s="82">
        <v>2007</v>
      </c>
      <c r="B174" s="83" t="s">
        <v>36</v>
      </c>
      <c r="C174" s="15">
        <f t="shared" si="28"/>
        <v>0.9079815963192639</v>
      </c>
      <c r="D174" s="15">
        <f t="shared" si="29"/>
        <v>0.9308859721082855</v>
      </c>
      <c r="E174" s="15">
        <f t="shared" si="30"/>
        <v>0.97539507901580313</v>
      </c>
      <c r="F174" s="16"/>
      <c r="G174" s="16"/>
      <c r="H174" s="16">
        <v>4999</v>
      </c>
      <c r="I174" s="16">
        <f t="shared" ref="I174:I184" si="37">H174-J174</f>
        <v>123</v>
      </c>
      <c r="J174" s="16">
        <v>4876</v>
      </c>
      <c r="K174" s="16">
        <v>4539</v>
      </c>
      <c r="L174" s="16">
        <f t="shared" ref="L174:L185" si="38">J174-K174</f>
        <v>337</v>
      </c>
    </row>
    <row r="175" spans="1:12" s="18" customFormat="1" ht="15" customHeight="1">
      <c r="A175" s="82">
        <v>2007</v>
      </c>
      <c r="B175" s="83" t="s">
        <v>37</v>
      </c>
      <c r="C175" s="15">
        <f t="shared" si="28"/>
        <v>0.91153169014084512</v>
      </c>
      <c r="D175" s="15">
        <f t="shared" si="29"/>
        <v>0.9212633451957295</v>
      </c>
      <c r="E175" s="15">
        <f t="shared" si="30"/>
        <v>0.98943661971830987</v>
      </c>
      <c r="F175" s="16"/>
      <c r="G175" s="16"/>
      <c r="H175" s="16">
        <v>4544</v>
      </c>
      <c r="I175" s="16">
        <f t="shared" si="37"/>
        <v>48</v>
      </c>
      <c r="J175" s="16">
        <v>4496</v>
      </c>
      <c r="K175" s="16">
        <v>4142</v>
      </c>
      <c r="L175" s="16">
        <f t="shared" si="38"/>
        <v>354</v>
      </c>
    </row>
    <row r="176" spans="1:12" s="18" customFormat="1" ht="15" customHeight="1">
      <c r="A176" s="82">
        <v>2007</v>
      </c>
      <c r="B176" s="83" t="s">
        <v>38</v>
      </c>
      <c r="C176" s="15">
        <f t="shared" si="28"/>
        <v>0.87817563512702546</v>
      </c>
      <c r="D176" s="15">
        <f t="shared" si="29"/>
        <v>0.89848546868604173</v>
      </c>
      <c r="E176" s="15">
        <f t="shared" si="30"/>
        <v>0.97739547909581914</v>
      </c>
      <c r="F176" s="16"/>
      <c r="G176" s="16"/>
      <c r="H176" s="16">
        <v>4999</v>
      </c>
      <c r="I176" s="16">
        <f t="shared" si="37"/>
        <v>113</v>
      </c>
      <c r="J176" s="16">
        <v>4886</v>
      </c>
      <c r="K176" s="16">
        <v>4390</v>
      </c>
      <c r="L176" s="16">
        <f t="shared" si="38"/>
        <v>496</v>
      </c>
    </row>
    <row r="177" spans="1:12" s="18" customFormat="1" ht="15" customHeight="1">
      <c r="A177" s="82">
        <v>2007</v>
      </c>
      <c r="B177" s="83" t="s">
        <v>39</v>
      </c>
      <c r="C177" s="15">
        <f t="shared" si="28"/>
        <v>0.87782318778231883</v>
      </c>
      <c r="D177" s="15">
        <f t="shared" si="29"/>
        <v>0.90890868596881957</v>
      </c>
      <c r="E177" s="15">
        <f t="shared" si="30"/>
        <v>0.9657990965799097</v>
      </c>
      <c r="F177" s="16"/>
      <c r="G177" s="16"/>
      <c r="H177" s="16">
        <v>4649</v>
      </c>
      <c r="I177" s="16">
        <f t="shared" si="37"/>
        <v>159</v>
      </c>
      <c r="J177" s="16">
        <v>4490</v>
      </c>
      <c r="K177" s="16">
        <v>4081</v>
      </c>
      <c r="L177" s="16">
        <f t="shared" si="38"/>
        <v>409</v>
      </c>
    </row>
    <row r="178" spans="1:12" s="18" customFormat="1" ht="15" customHeight="1">
      <c r="A178" s="82">
        <v>2007</v>
      </c>
      <c r="B178" s="83" t="s">
        <v>40</v>
      </c>
      <c r="C178" s="15">
        <f t="shared" si="28"/>
        <v>0.87321937321937326</v>
      </c>
      <c r="D178" s="15">
        <f t="shared" si="29"/>
        <v>0.91473033468343634</v>
      </c>
      <c r="E178" s="15">
        <f t="shared" si="30"/>
        <v>0.95461945461945463</v>
      </c>
      <c r="F178" s="16"/>
      <c r="G178" s="16"/>
      <c r="H178" s="16">
        <v>4914</v>
      </c>
      <c r="I178" s="16">
        <f t="shared" si="37"/>
        <v>223</v>
      </c>
      <c r="J178" s="16">
        <v>4691</v>
      </c>
      <c r="K178" s="16">
        <v>4291</v>
      </c>
      <c r="L178" s="16">
        <f t="shared" si="38"/>
        <v>400</v>
      </c>
    </row>
    <row r="179" spans="1:12" s="18" customFormat="1" ht="15" customHeight="1">
      <c r="A179" s="82">
        <v>2007</v>
      </c>
      <c r="B179" s="83" t="s">
        <v>41</v>
      </c>
      <c r="C179" s="15">
        <f t="shared" si="28"/>
        <v>0.90271966527196656</v>
      </c>
      <c r="D179" s="15">
        <f t="shared" si="29"/>
        <v>0.93015736150032335</v>
      </c>
      <c r="E179" s="15">
        <f t="shared" si="30"/>
        <v>0.97050209205020921</v>
      </c>
      <c r="F179" s="16"/>
      <c r="G179" s="16"/>
      <c r="H179" s="16">
        <v>4780</v>
      </c>
      <c r="I179" s="16">
        <f t="shared" si="37"/>
        <v>141</v>
      </c>
      <c r="J179" s="16">
        <v>4639</v>
      </c>
      <c r="K179" s="16">
        <v>4315</v>
      </c>
      <c r="L179" s="16">
        <f t="shared" si="38"/>
        <v>324</v>
      </c>
    </row>
    <row r="180" spans="1:12" s="18" customFormat="1" ht="15" customHeight="1">
      <c r="A180" s="82">
        <v>2007</v>
      </c>
      <c r="B180" s="83" t="s">
        <v>42</v>
      </c>
      <c r="C180" s="15">
        <f t="shared" si="28"/>
        <v>0.92592592592592593</v>
      </c>
      <c r="D180" s="15">
        <f t="shared" si="29"/>
        <v>0.94261446032732543</v>
      </c>
      <c r="E180" s="15">
        <f t="shared" si="30"/>
        <v>0.98229548229548225</v>
      </c>
      <c r="F180" s="16"/>
      <c r="G180" s="16"/>
      <c r="H180" s="16">
        <v>4914</v>
      </c>
      <c r="I180" s="16">
        <f t="shared" si="37"/>
        <v>87</v>
      </c>
      <c r="J180" s="16">
        <v>4827</v>
      </c>
      <c r="K180" s="16">
        <v>4550</v>
      </c>
      <c r="L180" s="16">
        <f t="shared" si="38"/>
        <v>277</v>
      </c>
    </row>
    <row r="181" spans="1:12" s="18" customFormat="1" ht="15" customHeight="1">
      <c r="A181" s="82">
        <v>2007</v>
      </c>
      <c r="B181" s="83" t="s">
        <v>43</v>
      </c>
      <c r="C181" s="15">
        <f t="shared" si="28"/>
        <v>0.93978795759151834</v>
      </c>
      <c r="D181" s="15">
        <f t="shared" si="29"/>
        <v>0.95507216914006909</v>
      </c>
      <c r="E181" s="15">
        <f t="shared" si="30"/>
        <v>0.98399679935987194</v>
      </c>
      <c r="F181" s="16"/>
      <c r="G181" s="16"/>
      <c r="H181" s="16">
        <v>4999</v>
      </c>
      <c r="I181" s="16">
        <f t="shared" si="37"/>
        <v>80</v>
      </c>
      <c r="J181" s="16">
        <v>4919</v>
      </c>
      <c r="K181" s="16">
        <v>4698</v>
      </c>
      <c r="L181" s="16">
        <f t="shared" si="38"/>
        <v>221</v>
      </c>
    </row>
    <row r="182" spans="1:12" s="18" customFormat="1" ht="15" customHeight="1">
      <c r="A182" s="82">
        <v>2007</v>
      </c>
      <c r="B182" s="83" t="s">
        <v>44</v>
      </c>
      <c r="C182" s="15">
        <f t="shared" si="28"/>
        <v>0.92573221757322177</v>
      </c>
      <c r="D182" s="15">
        <f t="shared" si="29"/>
        <v>0.93789741415854178</v>
      </c>
      <c r="E182" s="15">
        <f t="shared" si="30"/>
        <v>0.98702928870292883</v>
      </c>
      <c r="F182" s="16"/>
      <c r="G182" s="16"/>
      <c r="H182" s="16">
        <v>4780</v>
      </c>
      <c r="I182" s="16">
        <f t="shared" si="37"/>
        <v>62</v>
      </c>
      <c r="J182" s="16">
        <v>4718</v>
      </c>
      <c r="K182" s="16">
        <v>4425</v>
      </c>
      <c r="L182" s="16">
        <f t="shared" si="38"/>
        <v>293</v>
      </c>
    </row>
    <row r="183" spans="1:12" s="18" customFormat="1" ht="15" customHeight="1">
      <c r="A183" s="82">
        <v>2007</v>
      </c>
      <c r="B183" s="83" t="s">
        <v>45</v>
      </c>
      <c r="C183" s="15">
        <f t="shared" si="28"/>
        <v>0.90278055611122221</v>
      </c>
      <c r="D183" s="15">
        <f t="shared" si="29"/>
        <v>0.93186041709684075</v>
      </c>
      <c r="E183" s="15">
        <f t="shared" si="30"/>
        <v>0.96879375875175033</v>
      </c>
      <c r="F183" s="16"/>
      <c r="G183" s="16"/>
      <c r="H183" s="16">
        <v>4999</v>
      </c>
      <c r="I183" s="16">
        <f t="shared" si="37"/>
        <v>156</v>
      </c>
      <c r="J183" s="16">
        <v>4843</v>
      </c>
      <c r="K183" s="16">
        <v>4513</v>
      </c>
      <c r="L183" s="16">
        <f t="shared" si="38"/>
        <v>330</v>
      </c>
    </row>
    <row r="184" spans="1:12" s="18" customFormat="1" ht="15" customHeight="1">
      <c r="A184" s="82">
        <v>2007</v>
      </c>
      <c r="B184" s="83" t="s">
        <v>46</v>
      </c>
      <c r="C184" s="15">
        <f t="shared" si="28"/>
        <v>0.90130505709624797</v>
      </c>
      <c r="D184" s="15">
        <f t="shared" si="29"/>
        <v>0.92217817650740663</v>
      </c>
      <c r="E184" s="15">
        <f t="shared" si="30"/>
        <v>0.97736541598694948</v>
      </c>
      <c r="F184" s="16"/>
      <c r="G184" s="16"/>
      <c r="H184" s="16">
        <v>4904</v>
      </c>
      <c r="I184" s="16">
        <f t="shared" si="37"/>
        <v>111</v>
      </c>
      <c r="J184" s="16">
        <v>4793</v>
      </c>
      <c r="K184" s="16">
        <v>4420</v>
      </c>
      <c r="L184" s="16">
        <f t="shared" si="38"/>
        <v>373</v>
      </c>
    </row>
    <row r="185" spans="1:12" s="18" customFormat="1" ht="15" customHeight="1">
      <c r="A185" s="82">
        <v>2007</v>
      </c>
      <c r="B185" s="83" t="s">
        <v>47</v>
      </c>
      <c r="C185" s="15">
        <f t="shared" si="28"/>
        <v>0.92255125284738038</v>
      </c>
      <c r="D185" s="15">
        <f t="shared" si="29"/>
        <v>0.94666383340416493</v>
      </c>
      <c r="E185" s="15">
        <f t="shared" si="30"/>
        <v>0.97452888796852355</v>
      </c>
      <c r="F185" s="16"/>
      <c r="G185" s="16"/>
      <c r="H185" s="16">
        <v>4829</v>
      </c>
      <c r="I185" s="16">
        <v>123</v>
      </c>
      <c r="J185" s="16">
        <v>4706</v>
      </c>
      <c r="K185" s="16">
        <v>4455</v>
      </c>
      <c r="L185" s="16">
        <f t="shared" si="38"/>
        <v>251</v>
      </c>
    </row>
    <row r="186" spans="1:12" s="18" customFormat="1" ht="15" customHeight="1">
      <c r="A186" s="82">
        <v>2008</v>
      </c>
      <c r="B186" s="83" t="s">
        <v>36</v>
      </c>
      <c r="C186" s="15">
        <f t="shared" si="28"/>
        <v>0.95759151830366074</v>
      </c>
      <c r="D186" s="15">
        <f t="shared" si="29"/>
        <v>0.96902834008097161</v>
      </c>
      <c r="E186" s="15">
        <f t="shared" si="30"/>
        <v>0.98819763952790562</v>
      </c>
      <c r="F186" s="16"/>
      <c r="G186" s="16"/>
      <c r="H186" s="16">
        <v>4999</v>
      </c>
      <c r="I186" s="16">
        <f>H186-J186</f>
        <v>59</v>
      </c>
      <c r="J186" s="16">
        <v>4940</v>
      </c>
      <c r="K186" s="16">
        <v>4787</v>
      </c>
      <c r="L186" s="16">
        <f t="shared" ref="L186:L197" si="39">J186-K186</f>
        <v>153</v>
      </c>
    </row>
    <row r="187" spans="1:12" s="18" customFormat="1" ht="15" customHeight="1">
      <c r="A187" s="82">
        <v>2008</v>
      </c>
      <c r="B187" s="83" t="s">
        <v>37</v>
      </c>
      <c r="C187" s="15">
        <f t="shared" si="28"/>
        <v>0.93839966130397967</v>
      </c>
      <c r="D187" s="15">
        <f t="shared" si="29"/>
        <v>0.96160520607375266</v>
      </c>
      <c r="E187" s="15">
        <f t="shared" si="30"/>
        <v>0.9758679085520745</v>
      </c>
      <c r="F187" s="16"/>
      <c r="G187" s="16"/>
      <c r="H187" s="16">
        <v>4724</v>
      </c>
      <c r="I187" s="16">
        <f t="shared" ref="I187:I197" si="40">H187-J187</f>
        <v>114</v>
      </c>
      <c r="J187" s="16">
        <v>4610</v>
      </c>
      <c r="K187" s="16">
        <v>4433</v>
      </c>
      <c r="L187" s="16">
        <f t="shared" si="39"/>
        <v>177</v>
      </c>
    </row>
    <row r="188" spans="1:12" s="18" customFormat="1" ht="15" customHeight="1">
      <c r="A188" s="82">
        <v>2008</v>
      </c>
      <c r="B188" s="83" t="s">
        <v>38</v>
      </c>
      <c r="C188" s="15">
        <f t="shared" si="28"/>
        <v>0.87578288100208768</v>
      </c>
      <c r="D188" s="15">
        <f t="shared" si="29"/>
        <v>0.91533929740344755</v>
      </c>
      <c r="E188" s="15">
        <f t="shared" si="30"/>
        <v>0.95678496868475993</v>
      </c>
      <c r="F188" s="16"/>
      <c r="G188" s="16"/>
      <c r="H188" s="16">
        <v>4790</v>
      </c>
      <c r="I188" s="16">
        <f t="shared" si="40"/>
        <v>207</v>
      </c>
      <c r="J188" s="16">
        <v>4583</v>
      </c>
      <c r="K188" s="16">
        <v>4195</v>
      </c>
      <c r="L188" s="16">
        <f t="shared" si="39"/>
        <v>388</v>
      </c>
    </row>
    <row r="189" spans="1:12" s="18" customFormat="1" ht="15" customHeight="1">
      <c r="A189" s="82">
        <v>2008</v>
      </c>
      <c r="B189" s="83" t="s">
        <v>39</v>
      </c>
      <c r="C189" s="15">
        <f t="shared" si="28"/>
        <v>0.90724216642456945</v>
      </c>
      <c r="D189" s="15">
        <f t="shared" si="29"/>
        <v>0.92372702302979082</v>
      </c>
      <c r="E189" s="15">
        <f t="shared" si="30"/>
        <v>0.98215397385349656</v>
      </c>
      <c r="F189" s="16"/>
      <c r="G189" s="16"/>
      <c r="H189" s="16">
        <v>4819</v>
      </c>
      <c r="I189" s="16">
        <f t="shared" si="40"/>
        <v>86</v>
      </c>
      <c r="J189" s="16">
        <v>4733</v>
      </c>
      <c r="K189" s="16">
        <v>4372</v>
      </c>
      <c r="L189" s="16">
        <f t="shared" si="39"/>
        <v>361</v>
      </c>
    </row>
    <row r="190" spans="1:12" s="18" customFormat="1" ht="15" customHeight="1">
      <c r="A190" s="82">
        <v>2008</v>
      </c>
      <c r="B190" s="83" t="s">
        <v>40</v>
      </c>
      <c r="C190" s="15">
        <f t="shared" si="28"/>
        <v>0.90544354838709673</v>
      </c>
      <c r="D190" s="15">
        <f t="shared" si="29"/>
        <v>0.92369395310571778</v>
      </c>
      <c r="E190" s="15">
        <f t="shared" si="30"/>
        <v>0.98024193548387095</v>
      </c>
      <c r="F190" s="16"/>
      <c r="G190" s="16"/>
      <c r="H190" s="16">
        <v>4960</v>
      </c>
      <c r="I190" s="16">
        <f t="shared" si="40"/>
        <v>98</v>
      </c>
      <c r="J190" s="16">
        <v>4862</v>
      </c>
      <c r="K190" s="16">
        <v>4491</v>
      </c>
      <c r="L190" s="16">
        <f t="shared" si="39"/>
        <v>371</v>
      </c>
    </row>
    <row r="191" spans="1:12" s="18" customFormat="1" ht="15" customHeight="1">
      <c r="A191" s="82">
        <v>2008</v>
      </c>
      <c r="B191" s="83" t="s">
        <v>41</v>
      </c>
      <c r="C191" s="15">
        <f t="shared" si="28"/>
        <v>0.8983945923109421</v>
      </c>
      <c r="D191" s="15">
        <f t="shared" si="29"/>
        <v>0.91917008861033067</v>
      </c>
      <c r="E191" s="15">
        <f t="shared" si="30"/>
        <v>0.97739754964089565</v>
      </c>
      <c r="F191" s="16"/>
      <c r="G191" s="16"/>
      <c r="H191" s="16">
        <v>4734</v>
      </c>
      <c r="I191" s="16">
        <f t="shared" si="40"/>
        <v>107</v>
      </c>
      <c r="J191" s="16">
        <v>4627</v>
      </c>
      <c r="K191" s="16">
        <v>4253</v>
      </c>
      <c r="L191" s="16">
        <f t="shared" si="39"/>
        <v>374</v>
      </c>
    </row>
    <row r="192" spans="1:12" s="18" customFormat="1" ht="15" customHeight="1">
      <c r="A192" s="82">
        <v>2008</v>
      </c>
      <c r="B192" s="83" t="s">
        <v>42</v>
      </c>
      <c r="C192" s="15">
        <f t="shared" si="28"/>
        <v>0.90058011602320465</v>
      </c>
      <c r="D192" s="15">
        <f t="shared" si="29"/>
        <v>0.92519523222359223</v>
      </c>
      <c r="E192" s="15">
        <f t="shared" si="30"/>
        <v>0.97339467893578713</v>
      </c>
      <c r="F192" s="16"/>
      <c r="G192" s="16"/>
      <c r="H192" s="16">
        <v>4999</v>
      </c>
      <c r="I192" s="16">
        <f t="shared" si="40"/>
        <v>133</v>
      </c>
      <c r="J192" s="16">
        <v>4866</v>
      </c>
      <c r="K192" s="16">
        <v>4502</v>
      </c>
      <c r="L192" s="16">
        <f t="shared" si="39"/>
        <v>364</v>
      </c>
    </row>
    <row r="193" spans="1:12" s="18" customFormat="1" ht="15" customHeight="1">
      <c r="A193" s="82">
        <v>2008</v>
      </c>
      <c r="B193" s="83" t="s">
        <v>43</v>
      </c>
      <c r="C193" s="15">
        <f t="shared" si="28"/>
        <v>0.904126213592233</v>
      </c>
      <c r="D193" s="15">
        <f t="shared" si="29"/>
        <v>0.93047460449625308</v>
      </c>
      <c r="E193" s="15">
        <f t="shared" si="30"/>
        <v>0.97168284789644011</v>
      </c>
      <c r="F193" s="16"/>
      <c r="G193" s="16"/>
      <c r="H193" s="16">
        <v>4944</v>
      </c>
      <c r="I193" s="16">
        <f t="shared" si="40"/>
        <v>140</v>
      </c>
      <c r="J193" s="16">
        <v>4804</v>
      </c>
      <c r="K193" s="16">
        <v>4470</v>
      </c>
      <c r="L193" s="16">
        <f t="shared" si="39"/>
        <v>334</v>
      </c>
    </row>
    <row r="194" spans="1:12" s="18" customFormat="1" ht="15" customHeight="1">
      <c r="A194" s="82">
        <v>2008</v>
      </c>
      <c r="B194" s="83" t="s">
        <v>44</v>
      </c>
      <c r="C194" s="15">
        <f t="shared" si="28"/>
        <v>0.8731668648434403</v>
      </c>
      <c r="D194" s="15">
        <f t="shared" si="29"/>
        <v>0.90472279260780286</v>
      </c>
      <c r="E194" s="15">
        <f t="shared" si="30"/>
        <v>0.96512088783194605</v>
      </c>
      <c r="F194" s="16"/>
      <c r="G194" s="16"/>
      <c r="H194" s="16">
        <v>5046</v>
      </c>
      <c r="I194" s="16">
        <f t="shared" si="40"/>
        <v>176</v>
      </c>
      <c r="J194" s="16">
        <v>4870</v>
      </c>
      <c r="K194" s="16">
        <v>4406</v>
      </c>
      <c r="L194" s="16">
        <f t="shared" si="39"/>
        <v>464</v>
      </c>
    </row>
    <row r="195" spans="1:12" s="18" customFormat="1" ht="15" customHeight="1">
      <c r="A195" s="82">
        <v>2008</v>
      </c>
      <c r="B195" s="83" t="s">
        <v>45</v>
      </c>
      <c r="C195" s="15">
        <f t="shared" si="28"/>
        <v>0.8</v>
      </c>
      <c r="D195" s="15">
        <f t="shared" si="29"/>
        <v>0.83434588902389628</v>
      </c>
      <c r="E195" s="15">
        <f t="shared" si="30"/>
        <v>0.9588349514563107</v>
      </c>
      <c r="F195" s="16"/>
      <c r="G195" s="16"/>
      <c r="H195" s="16">
        <v>5150</v>
      </c>
      <c r="I195" s="16">
        <f t="shared" si="40"/>
        <v>212</v>
      </c>
      <c r="J195" s="16">
        <v>4938</v>
      </c>
      <c r="K195" s="16">
        <v>4120</v>
      </c>
      <c r="L195" s="16">
        <f t="shared" si="39"/>
        <v>818</v>
      </c>
    </row>
    <row r="196" spans="1:12" s="18" customFormat="1" ht="15" customHeight="1">
      <c r="A196" s="82">
        <v>2008</v>
      </c>
      <c r="B196" s="83" t="s">
        <v>46</v>
      </c>
      <c r="C196" s="15">
        <f t="shared" si="28"/>
        <v>0.92222222222222228</v>
      </c>
      <c r="D196" s="15">
        <f t="shared" si="29"/>
        <v>0.93545081967213117</v>
      </c>
      <c r="E196" s="15">
        <f t="shared" si="30"/>
        <v>0.98585858585858588</v>
      </c>
      <c r="F196" s="16"/>
      <c r="G196" s="16"/>
      <c r="H196" s="16">
        <v>4950</v>
      </c>
      <c r="I196" s="16">
        <f t="shared" si="40"/>
        <v>70</v>
      </c>
      <c r="J196" s="16">
        <v>4880</v>
      </c>
      <c r="K196" s="16">
        <v>4565</v>
      </c>
      <c r="L196" s="16">
        <f t="shared" si="39"/>
        <v>315</v>
      </c>
    </row>
    <row r="197" spans="1:12" s="18" customFormat="1" ht="15" customHeight="1">
      <c r="A197" s="82">
        <v>2008</v>
      </c>
      <c r="B197" s="83" t="s">
        <v>47</v>
      </c>
      <c r="C197" s="15">
        <f t="shared" si="28"/>
        <v>0.9317957815888035</v>
      </c>
      <c r="D197" s="15">
        <f t="shared" si="29"/>
        <v>0.94862532610876982</v>
      </c>
      <c r="E197" s="15">
        <f t="shared" si="30"/>
        <v>0.98225901833234774</v>
      </c>
      <c r="F197" s="16"/>
      <c r="G197" s="16"/>
      <c r="H197" s="16">
        <v>5073</v>
      </c>
      <c r="I197" s="16">
        <f t="shared" si="40"/>
        <v>90</v>
      </c>
      <c r="J197" s="16">
        <v>4983</v>
      </c>
      <c r="K197" s="16">
        <v>4727</v>
      </c>
      <c r="L197" s="16">
        <f t="shared" si="39"/>
        <v>256</v>
      </c>
    </row>
    <row r="198" spans="1:12" s="18" customFormat="1" ht="15" customHeight="1">
      <c r="A198" s="82">
        <v>2009</v>
      </c>
      <c r="B198" s="83" t="s">
        <v>36</v>
      </c>
      <c r="C198" s="15">
        <f t="shared" si="28"/>
        <v>0.94406548431105053</v>
      </c>
      <c r="D198" s="15">
        <f t="shared" si="29"/>
        <v>0.96398009950248753</v>
      </c>
      <c r="E198" s="15">
        <f t="shared" si="30"/>
        <v>0.97934125901383751</v>
      </c>
      <c r="F198" s="16"/>
      <c r="G198" s="16"/>
      <c r="H198" s="16">
        <v>5131</v>
      </c>
      <c r="I198" s="16">
        <f>H198-J198</f>
        <v>106</v>
      </c>
      <c r="J198" s="16">
        <v>5025</v>
      </c>
      <c r="K198" s="16">
        <v>4844</v>
      </c>
      <c r="L198" s="16">
        <f t="shared" ref="L198:L209" si="41">J198-K198</f>
        <v>181</v>
      </c>
    </row>
    <row r="199" spans="1:12" s="18" customFormat="1" ht="15" customHeight="1">
      <c r="A199" s="82">
        <v>2009</v>
      </c>
      <c r="B199" s="83" t="s">
        <v>37</v>
      </c>
      <c r="C199" s="15">
        <f t="shared" ref="C199:C262" si="42">K199/H199</f>
        <v>0.9122544833475662</v>
      </c>
      <c r="D199" s="15">
        <f t="shared" ref="D199:D262" si="43">K199/J199</f>
        <v>0.93113968184789719</v>
      </c>
      <c r="E199" s="15">
        <f t="shared" ref="E199:E262" si="44">J199/H199</f>
        <v>0.97971818958155421</v>
      </c>
      <c r="F199" s="16"/>
      <c r="G199" s="16"/>
      <c r="H199" s="16">
        <v>4684</v>
      </c>
      <c r="I199" s="16">
        <f t="shared" ref="I199:I209" si="45">H199-J199</f>
        <v>95</v>
      </c>
      <c r="J199" s="16">
        <v>4589</v>
      </c>
      <c r="K199" s="16">
        <v>4273</v>
      </c>
      <c r="L199" s="16">
        <f t="shared" si="41"/>
        <v>316</v>
      </c>
    </row>
    <row r="200" spans="1:12" s="18" customFormat="1" ht="15" customHeight="1">
      <c r="A200" s="82">
        <v>2009</v>
      </c>
      <c r="B200" s="83" t="s">
        <v>38</v>
      </c>
      <c r="C200" s="15">
        <f t="shared" si="42"/>
        <v>0.90104474669820622</v>
      </c>
      <c r="D200" s="15">
        <f t="shared" si="43"/>
        <v>0.93266680269332791</v>
      </c>
      <c r="E200" s="15">
        <f t="shared" si="44"/>
        <v>0.9660950128129312</v>
      </c>
      <c r="F200" s="16"/>
      <c r="G200" s="16"/>
      <c r="H200" s="16">
        <v>5073</v>
      </c>
      <c r="I200" s="16">
        <f t="shared" si="45"/>
        <v>172</v>
      </c>
      <c r="J200" s="16">
        <v>4901</v>
      </c>
      <c r="K200" s="16">
        <v>4571</v>
      </c>
      <c r="L200" s="16">
        <f t="shared" si="41"/>
        <v>330</v>
      </c>
    </row>
    <row r="201" spans="1:12" s="18" customFormat="1" ht="15" customHeight="1">
      <c r="A201" s="82">
        <v>2009</v>
      </c>
      <c r="B201" s="83" t="s">
        <v>39</v>
      </c>
      <c r="C201" s="15">
        <f t="shared" si="42"/>
        <v>0.9174161896974653</v>
      </c>
      <c r="D201" s="15">
        <f t="shared" si="43"/>
        <v>0.94167016365925305</v>
      </c>
      <c r="E201" s="15">
        <f t="shared" si="44"/>
        <v>0.97424366312346689</v>
      </c>
      <c r="F201" s="16"/>
      <c r="G201" s="16"/>
      <c r="H201" s="16">
        <v>4892</v>
      </c>
      <c r="I201" s="16">
        <f t="shared" si="45"/>
        <v>126</v>
      </c>
      <c r="J201" s="16">
        <v>4766</v>
      </c>
      <c r="K201" s="16">
        <v>4488</v>
      </c>
      <c r="L201" s="16">
        <f t="shared" si="41"/>
        <v>278</v>
      </c>
    </row>
    <row r="202" spans="1:12" s="18" customFormat="1" ht="15" customHeight="1">
      <c r="A202" s="82">
        <v>2009</v>
      </c>
      <c r="B202" s="83" t="s">
        <v>40</v>
      </c>
      <c r="C202" s="15">
        <f t="shared" si="42"/>
        <v>0.93289129997990761</v>
      </c>
      <c r="D202" s="15">
        <f t="shared" si="43"/>
        <v>0.94793793385055125</v>
      </c>
      <c r="E202" s="15">
        <f t="shared" si="44"/>
        <v>0.98412698412698407</v>
      </c>
      <c r="F202" s="16"/>
      <c r="G202" s="16"/>
      <c r="H202" s="16">
        <v>4977</v>
      </c>
      <c r="I202" s="16">
        <f t="shared" si="45"/>
        <v>79</v>
      </c>
      <c r="J202" s="16">
        <v>4898</v>
      </c>
      <c r="K202" s="16">
        <v>4643</v>
      </c>
      <c r="L202" s="16">
        <f t="shared" si="41"/>
        <v>255</v>
      </c>
    </row>
    <row r="203" spans="1:12" s="18" customFormat="1" ht="15" customHeight="1">
      <c r="A203" s="82">
        <v>2009</v>
      </c>
      <c r="B203" s="83" t="s">
        <v>41</v>
      </c>
      <c r="C203" s="15">
        <f t="shared" si="42"/>
        <v>0.83839806802173478</v>
      </c>
      <c r="D203" s="15">
        <f t="shared" si="43"/>
        <v>0.88751597784405623</v>
      </c>
      <c r="E203" s="15">
        <f t="shared" si="44"/>
        <v>0.94465687261018316</v>
      </c>
      <c r="F203" s="16"/>
      <c r="G203" s="16"/>
      <c r="H203" s="16">
        <v>4969</v>
      </c>
      <c r="I203" s="16">
        <f t="shared" si="45"/>
        <v>275</v>
      </c>
      <c r="J203" s="16">
        <v>4694</v>
      </c>
      <c r="K203" s="16">
        <v>4166</v>
      </c>
      <c r="L203" s="16">
        <f t="shared" si="41"/>
        <v>528</v>
      </c>
    </row>
    <row r="204" spans="1:12" s="18" customFormat="1" ht="15" customHeight="1">
      <c r="A204" s="82">
        <v>2009</v>
      </c>
      <c r="B204" s="83" t="s">
        <v>42</v>
      </c>
      <c r="C204" s="15">
        <f t="shared" si="42"/>
        <v>0.88</v>
      </c>
      <c r="D204" s="15">
        <f t="shared" si="43"/>
        <v>0.90876278323641468</v>
      </c>
      <c r="E204" s="15">
        <f t="shared" si="44"/>
        <v>0.96834951456310681</v>
      </c>
      <c r="F204" s="16"/>
      <c r="G204" s="16"/>
      <c r="H204" s="16">
        <v>5150</v>
      </c>
      <c r="I204" s="16">
        <f t="shared" si="45"/>
        <v>163</v>
      </c>
      <c r="J204" s="16">
        <v>4987</v>
      </c>
      <c r="K204" s="16">
        <v>4532</v>
      </c>
      <c r="L204" s="16">
        <f t="shared" si="41"/>
        <v>455</v>
      </c>
    </row>
    <row r="205" spans="1:12" s="18" customFormat="1" ht="15" customHeight="1">
      <c r="A205" s="82">
        <v>2009</v>
      </c>
      <c r="B205" s="83" t="s">
        <v>43</v>
      </c>
      <c r="C205" s="15">
        <f t="shared" si="42"/>
        <v>0.87870993272655318</v>
      </c>
      <c r="D205" s="15">
        <f t="shared" si="43"/>
        <v>0.90521810028536487</v>
      </c>
      <c r="E205" s="15">
        <f t="shared" si="44"/>
        <v>0.97071626434507319</v>
      </c>
      <c r="F205" s="16"/>
      <c r="G205" s="16"/>
      <c r="H205" s="16">
        <v>5054</v>
      </c>
      <c r="I205" s="16">
        <f t="shared" si="45"/>
        <v>148</v>
      </c>
      <c r="J205" s="16">
        <v>4906</v>
      </c>
      <c r="K205" s="16">
        <v>4441</v>
      </c>
      <c r="L205" s="16">
        <f t="shared" si="41"/>
        <v>465</v>
      </c>
    </row>
    <row r="206" spans="1:12" s="18" customFormat="1" ht="15" customHeight="1">
      <c r="A206" s="82">
        <v>2009</v>
      </c>
      <c r="B206" s="83" t="s">
        <v>44</v>
      </c>
      <c r="C206" s="15">
        <f t="shared" si="42"/>
        <v>0.89331241419886254</v>
      </c>
      <c r="D206" s="15">
        <f t="shared" si="43"/>
        <v>0.92845495311863024</v>
      </c>
      <c r="E206" s="15">
        <f t="shared" si="44"/>
        <v>0.96214944106687583</v>
      </c>
      <c r="F206" s="16"/>
      <c r="G206" s="16"/>
      <c r="H206" s="16">
        <v>5099</v>
      </c>
      <c r="I206" s="16">
        <f t="shared" si="45"/>
        <v>193</v>
      </c>
      <c r="J206" s="16">
        <v>4906</v>
      </c>
      <c r="K206" s="16">
        <v>4555</v>
      </c>
      <c r="L206" s="16">
        <f t="shared" si="41"/>
        <v>351</v>
      </c>
    </row>
    <row r="207" spans="1:12" s="18" customFormat="1" ht="15" customHeight="1">
      <c r="A207" s="82">
        <v>2009</v>
      </c>
      <c r="B207" s="83" t="s">
        <v>45</v>
      </c>
      <c r="C207" s="15">
        <f t="shared" si="42"/>
        <v>0.88423309296433439</v>
      </c>
      <c r="D207" s="15">
        <f t="shared" si="43"/>
        <v>0.91122715404699739</v>
      </c>
      <c r="E207" s="15">
        <f t="shared" si="44"/>
        <v>0.97037614500097447</v>
      </c>
      <c r="F207" s="16"/>
      <c r="G207" s="16"/>
      <c r="H207" s="16">
        <v>5131</v>
      </c>
      <c r="I207" s="16">
        <f t="shared" si="45"/>
        <v>152</v>
      </c>
      <c r="J207" s="16">
        <v>4979</v>
      </c>
      <c r="K207" s="16">
        <v>4537</v>
      </c>
      <c r="L207" s="16">
        <f t="shared" si="41"/>
        <v>442</v>
      </c>
    </row>
    <row r="208" spans="1:12" s="18" customFormat="1" ht="15" customHeight="1">
      <c r="A208" s="82">
        <v>2009</v>
      </c>
      <c r="B208" s="83" t="s">
        <v>46</v>
      </c>
      <c r="C208" s="15">
        <f t="shared" si="42"/>
        <v>0.91648218957536731</v>
      </c>
      <c r="D208" s="15">
        <f t="shared" si="43"/>
        <v>0.93357933579335795</v>
      </c>
      <c r="E208" s="15">
        <f t="shared" si="44"/>
        <v>0.9816864560273697</v>
      </c>
      <c r="F208" s="16"/>
      <c r="G208" s="16"/>
      <c r="H208" s="16">
        <v>4969</v>
      </c>
      <c r="I208" s="16">
        <f t="shared" si="45"/>
        <v>91</v>
      </c>
      <c r="J208" s="16">
        <v>4878</v>
      </c>
      <c r="K208" s="16">
        <v>4554</v>
      </c>
      <c r="L208" s="16">
        <f t="shared" si="41"/>
        <v>324</v>
      </c>
    </row>
    <row r="209" spans="1:12" s="18" customFormat="1" ht="15" customHeight="1">
      <c r="A209" s="82">
        <v>2009</v>
      </c>
      <c r="B209" s="83" t="s">
        <v>47</v>
      </c>
      <c r="C209" s="15">
        <f t="shared" si="42"/>
        <v>0.93416124581115711</v>
      </c>
      <c r="D209" s="15">
        <f t="shared" si="43"/>
        <v>0.95718036760250458</v>
      </c>
      <c r="E209" s="15">
        <f t="shared" si="44"/>
        <v>0.97595111373940469</v>
      </c>
      <c r="F209" s="16"/>
      <c r="G209" s="16"/>
      <c r="H209" s="16">
        <v>5073</v>
      </c>
      <c r="I209" s="16">
        <f t="shared" si="45"/>
        <v>122</v>
      </c>
      <c r="J209" s="16">
        <v>4951</v>
      </c>
      <c r="K209" s="16">
        <v>4739</v>
      </c>
      <c r="L209" s="16">
        <f t="shared" si="41"/>
        <v>212</v>
      </c>
    </row>
    <row r="210" spans="1:12" s="18" customFormat="1" ht="15" customHeight="1">
      <c r="A210" s="82">
        <v>2010</v>
      </c>
      <c r="B210" s="83" t="s">
        <v>36</v>
      </c>
      <c r="C210" s="15">
        <f t="shared" si="42"/>
        <v>0.86901464186782751</v>
      </c>
      <c r="D210" s="15">
        <f t="shared" si="43"/>
        <v>0.92677780122388687</v>
      </c>
      <c r="E210" s="15">
        <f t="shared" si="44"/>
        <v>0.93767313019390586</v>
      </c>
      <c r="F210" s="16"/>
      <c r="G210" s="16"/>
      <c r="H210" s="16">
        <v>5054</v>
      </c>
      <c r="I210" s="16">
        <f t="shared" ref="I210:I220" si="46">H210-J210</f>
        <v>315</v>
      </c>
      <c r="J210" s="16">
        <v>4739</v>
      </c>
      <c r="K210" s="16">
        <v>4392</v>
      </c>
      <c r="L210" s="16">
        <f t="shared" ref="L210:L221" si="47">J210-K210</f>
        <v>347</v>
      </c>
    </row>
    <row r="211" spans="1:12" s="18" customFormat="1" ht="15" customHeight="1">
      <c r="A211" s="82">
        <v>2010</v>
      </c>
      <c r="B211" s="83" t="s">
        <v>37</v>
      </c>
      <c r="C211" s="15">
        <f t="shared" si="42"/>
        <v>0.84372331340734419</v>
      </c>
      <c r="D211" s="15">
        <f t="shared" si="43"/>
        <v>0.87939474855362709</v>
      </c>
      <c r="E211" s="15">
        <f t="shared" si="44"/>
        <v>0.95943637916310842</v>
      </c>
      <c r="F211" s="16"/>
      <c r="G211" s="16"/>
      <c r="H211" s="16">
        <v>4684</v>
      </c>
      <c r="I211" s="16">
        <f t="shared" si="46"/>
        <v>190</v>
      </c>
      <c r="J211" s="16">
        <v>4494</v>
      </c>
      <c r="K211" s="16">
        <v>3952</v>
      </c>
      <c r="L211" s="16">
        <f t="shared" si="47"/>
        <v>542</v>
      </c>
    </row>
    <row r="212" spans="1:12" s="18" customFormat="1" ht="15" customHeight="1">
      <c r="A212" s="82">
        <v>2010</v>
      </c>
      <c r="B212" s="83" t="s">
        <v>38</v>
      </c>
      <c r="C212" s="15">
        <f t="shared" si="42"/>
        <v>0.75747572815533981</v>
      </c>
      <c r="D212" s="15">
        <f t="shared" si="43"/>
        <v>0.81423502400333958</v>
      </c>
      <c r="E212" s="15">
        <f t="shared" si="44"/>
        <v>0.93029126213592228</v>
      </c>
      <c r="F212" s="16"/>
      <c r="G212" s="16"/>
      <c r="H212" s="16">
        <v>5150</v>
      </c>
      <c r="I212" s="16">
        <f t="shared" si="46"/>
        <v>359</v>
      </c>
      <c r="J212" s="16">
        <v>4791</v>
      </c>
      <c r="K212" s="16">
        <v>3901</v>
      </c>
      <c r="L212" s="16">
        <f t="shared" si="47"/>
        <v>890</v>
      </c>
    </row>
    <row r="213" spans="1:12" s="18" customFormat="1" ht="15" customHeight="1">
      <c r="A213" s="82">
        <v>2010</v>
      </c>
      <c r="B213" s="83" t="s">
        <v>39</v>
      </c>
      <c r="C213" s="15">
        <f t="shared" si="42"/>
        <v>0.76776011269873212</v>
      </c>
      <c r="D213" s="15">
        <f t="shared" si="43"/>
        <v>0.81972496776966053</v>
      </c>
      <c r="E213" s="15">
        <f t="shared" si="44"/>
        <v>0.93660696317166436</v>
      </c>
      <c r="F213" s="16"/>
      <c r="G213" s="16"/>
      <c r="H213" s="16">
        <v>4969</v>
      </c>
      <c r="I213" s="16">
        <f t="shared" si="46"/>
        <v>315</v>
      </c>
      <c r="J213" s="16">
        <v>4654</v>
      </c>
      <c r="K213" s="16">
        <v>3815</v>
      </c>
      <c r="L213" s="16">
        <f t="shared" si="47"/>
        <v>839</v>
      </c>
    </row>
    <row r="214" spans="1:12" s="18" customFormat="1" ht="15" customHeight="1">
      <c r="A214" s="82">
        <v>2010</v>
      </c>
      <c r="B214" s="83" t="s">
        <v>40</v>
      </c>
      <c r="C214" s="15">
        <f t="shared" si="42"/>
        <v>0.80504167513722302</v>
      </c>
      <c r="D214" s="15">
        <f t="shared" si="43"/>
        <v>0.8405858628741244</v>
      </c>
      <c r="E214" s="15">
        <f t="shared" si="44"/>
        <v>0.95771498272006506</v>
      </c>
      <c r="F214" s="16"/>
      <c r="G214" s="16"/>
      <c r="H214" s="16">
        <v>4919</v>
      </c>
      <c r="I214" s="16">
        <f t="shared" si="46"/>
        <v>208</v>
      </c>
      <c r="J214" s="16">
        <v>4711</v>
      </c>
      <c r="K214" s="16">
        <v>3960</v>
      </c>
      <c r="L214" s="16">
        <f t="shared" si="47"/>
        <v>751</v>
      </c>
    </row>
    <row r="215" spans="1:12" s="18" customFormat="1" ht="15" customHeight="1">
      <c r="A215" s="82">
        <v>2010</v>
      </c>
      <c r="B215" s="83" t="s">
        <v>41</v>
      </c>
      <c r="C215" s="15">
        <f t="shared" si="42"/>
        <v>0.83940430670154964</v>
      </c>
      <c r="D215" s="15">
        <f t="shared" si="43"/>
        <v>0.87570858702498422</v>
      </c>
      <c r="E215" s="15">
        <f t="shared" si="44"/>
        <v>0.95854296639162806</v>
      </c>
      <c r="F215" s="16"/>
      <c r="G215" s="16"/>
      <c r="H215" s="16">
        <v>4969</v>
      </c>
      <c r="I215" s="16">
        <f t="shared" si="46"/>
        <v>206</v>
      </c>
      <c r="J215" s="16">
        <v>4763</v>
      </c>
      <c r="K215" s="16">
        <v>4171</v>
      </c>
      <c r="L215" s="16">
        <f t="shared" si="47"/>
        <v>592</v>
      </c>
    </row>
    <row r="216" spans="1:12" s="18" customFormat="1" ht="15" customHeight="1">
      <c r="A216" s="82">
        <v>2010</v>
      </c>
      <c r="B216" s="83" t="s">
        <v>42</v>
      </c>
      <c r="C216" s="15">
        <f t="shared" si="42"/>
        <v>0.83728943338437978</v>
      </c>
      <c r="D216" s="15">
        <f t="shared" si="43"/>
        <v>0.86613861386138613</v>
      </c>
      <c r="E216" s="15">
        <f t="shared" si="44"/>
        <v>0.96669218989280248</v>
      </c>
      <c r="F216" s="16"/>
      <c r="G216" s="16"/>
      <c r="H216" s="16">
        <v>5224</v>
      </c>
      <c r="I216" s="16">
        <f t="shared" si="46"/>
        <v>174</v>
      </c>
      <c r="J216" s="16">
        <v>5050</v>
      </c>
      <c r="K216" s="16">
        <v>4374</v>
      </c>
      <c r="L216" s="16">
        <f t="shared" si="47"/>
        <v>676</v>
      </c>
    </row>
    <row r="217" spans="1:12" s="18" customFormat="1" ht="15" customHeight="1">
      <c r="A217" s="82">
        <v>2010</v>
      </c>
      <c r="B217" s="83" t="s">
        <v>43</v>
      </c>
      <c r="C217" s="15">
        <f t="shared" si="42"/>
        <v>0.86102897693672387</v>
      </c>
      <c r="D217" s="15">
        <f t="shared" si="43"/>
        <v>0.88546523413744171</v>
      </c>
      <c r="E217" s="15">
        <f t="shared" si="44"/>
        <v>0.97240291740587426</v>
      </c>
      <c r="F217" s="16"/>
      <c r="G217" s="16"/>
      <c r="H217" s="16">
        <v>5073</v>
      </c>
      <c r="I217" s="16">
        <f t="shared" si="46"/>
        <v>140</v>
      </c>
      <c r="J217" s="16">
        <v>4933</v>
      </c>
      <c r="K217" s="16">
        <v>4368</v>
      </c>
      <c r="L217" s="16">
        <f t="shared" si="47"/>
        <v>565</v>
      </c>
    </row>
    <row r="218" spans="1:12" s="18" customFormat="1" ht="15" customHeight="1">
      <c r="A218" s="82">
        <v>2010</v>
      </c>
      <c r="B218" s="83" t="s">
        <v>44</v>
      </c>
      <c r="C218" s="15">
        <f t="shared" si="42"/>
        <v>0.89694807768529528</v>
      </c>
      <c r="D218" s="15">
        <f t="shared" si="43"/>
        <v>0.91842532467532467</v>
      </c>
      <c r="E218" s="15">
        <f t="shared" si="44"/>
        <v>0.97661514070550937</v>
      </c>
      <c r="F218" s="16"/>
      <c r="G218" s="16"/>
      <c r="H218" s="16">
        <v>5046</v>
      </c>
      <c r="I218" s="16">
        <f t="shared" si="46"/>
        <v>118</v>
      </c>
      <c r="J218" s="16">
        <v>4928</v>
      </c>
      <c r="K218" s="16">
        <v>4526</v>
      </c>
      <c r="L218" s="16">
        <f t="shared" si="47"/>
        <v>402</v>
      </c>
    </row>
    <row r="219" spans="1:12" s="18" customFormat="1" ht="15" customHeight="1">
      <c r="A219" s="82">
        <v>2010</v>
      </c>
      <c r="B219" s="83" t="s">
        <v>45</v>
      </c>
      <c r="C219" s="15">
        <f t="shared" si="42"/>
        <v>0.8503114325899136</v>
      </c>
      <c r="D219" s="15">
        <f t="shared" si="43"/>
        <v>0.89263868382197853</v>
      </c>
      <c r="E219" s="15">
        <f t="shared" si="44"/>
        <v>0.95258187663250959</v>
      </c>
      <c r="F219" s="16"/>
      <c r="G219" s="16"/>
      <c r="H219" s="16">
        <v>4977</v>
      </c>
      <c r="I219" s="16">
        <f t="shared" si="46"/>
        <v>236</v>
      </c>
      <c r="J219" s="16">
        <v>4741</v>
      </c>
      <c r="K219" s="16">
        <v>4232</v>
      </c>
      <c r="L219" s="16">
        <f t="shared" si="47"/>
        <v>509</v>
      </c>
    </row>
    <row r="220" spans="1:12" s="18" customFormat="1" ht="15" customHeight="1">
      <c r="A220" s="82">
        <v>2010</v>
      </c>
      <c r="B220" s="83" t="s">
        <v>46</v>
      </c>
      <c r="C220" s="15">
        <f t="shared" si="42"/>
        <v>0.87361642181525456</v>
      </c>
      <c r="D220" s="15">
        <f t="shared" si="43"/>
        <v>0.90324594257178525</v>
      </c>
      <c r="E220" s="15">
        <f t="shared" si="44"/>
        <v>0.96719661903803578</v>
      </c>
      <c r="F220" s="16"/>
      <c r="G220" s="16"/>
      <c r="H220" s="16">
        <v>4969</v>
      </c>
      <c r="I220" s="16">
        <f t="shared" si="46"/>
        <v>163</v>
      </c>
      <c r="J220" s="16">
        <v>4806</v>
      </c>
      <c r="K220" s="16">
        <v>4341</v>
      </c>
      <c r="L220" s="16">
        <f t="shared" si="47"/>
        <v>465</v>
      </c>
    </row>
    <row r="221" spans="1:12" s="18" customFormat="1" ht="15" customHeight="1">
      <c r="A221" s="82">
        <v>2010</v>
      </c>
      <c r="B221" s="83" t="s">
        <v>47</v>
      </c>
      <c r="C221" s="15">
        <f t="shared" si="42"/>
        <v>0.90416339355852315</v>
      </c>
      <c r="D221" s="15">
        <f t="shared" si="43"/>
        <v>0.93387423935091274</v>
      </c>
      <c r="E221" s="15">
        <f t="shared" si="44"/>
        <v>0.96818538884524741</v>
      </c>
      <c r="F221" s="16"/>
      <c r="G221" s="16"/>
      <c r="H221" s="16">
        <v>5092</v>
      </c>
      <c r="I221" s="16">
        <f>H221-J221</f>
        <v>162</v>
      </c>
      <c r="J221" s="16">
        <v>4930</v>
      </c>
      <c r="K221" s="16">
        <v>4604</v>
      </c>
      <c r="L221" s="16">
        <f t="shared" si="47"/>
        <v>326</v>
      </c>
    </row>
    <row r="222" spans="1:12" s="18" customFormat="1" ht="15" customHeight="1">
      <c r="A222" s="82">
        <v>2011</v>
      </c>
      <c r="B222" s="83" t="s">
        <v>36</v>
      </c>
      <c r="C222" s="15">
        <f t="shared" si="42"/>
        <v>0.87975556869702343</v>
      </c>
      <c r="D222" s="15">
        <f t="shared" si="43"/>
        <v>0.91774624717252729</v>
      </c>
      <c r="E222" s="15">
        <f t="shared" si="44"/>
        <v>0.95860437610881133</v>
      </c>
      <c r="F222" s="16"/>
      <c r="G222" s="16"/>
      <c r="H222" s="16">
        <v>5073</v>
      </c>
      <c r="I222" s="16">
        <f>H222-J222</f>
        <v>210</v>
      </c>
      <c r="J222" s="16">
        <v>4863</v>
      </c>
      <c r="K222" s="16">
        <v>4463</v>
      </c>
      <c r="L222" s="16">
        <f t="shared" ref="L222:L233" si="48">J222-K222</f>
        <v>400</v>
      </c>
    </row>
    <row r="223" spans="1:12" s="18" customFormat="1" ht="15" customHeight="1">
      <c r="A223" s="82">
        <v>2011</v>
      </c>
      <c r="B223" s="83" t="s">
        <v>37</v>
      </c>
      <c r="C223" s="15">
        <f t="shared" si="42"/>
        <v>0.89325362937660124</v>
      </c>
      <c r="D223" s="15">
        <f t="shared" si="43"/>
        <v>0.93895870736086173</v>
      </c>
      <c r="E223" s="15">
        <f t="shared" si="44"/>
        <v>0.95132365499573013</v>
      </c>
      <c r="F223" s="16"/>
      <c r="G223" s="16"/>
      <c r="H223" s="16">
        <v>4684</v>
      </c>
      <c r="I223" s="16">
        <f t="shared" ref="I223:I233" si="49">H223-J223</f>
        <v>228</v>
      </c>
      <c r="J223" s="16">
        <v>4456</v>
      </c>
      <c r="K223" s="16">
        <v>4184</v>
      </c>
      <c r="L223" s="16">
        <f t="shared" si="48"/>
        <v>272</v>
      </c>
    </row>
    <row r="224" spans="1:12" s="18" customFormat="1" ht="15" customHeight="1">
      <c r="A224" s="82">
        <v>2011</v>
      </c>
      <c r="B224" s="83" t="s">
        <v>38</v>
      </c>
      <c r="C224" s="15">
        <f t="shared" si="42"/>
        <v>0.86663956088635896</v>
      </c>
      <c r="D224" s="15">
        <f t="shared" si="43"/>
        <v>0.90088757396449703</v>
      </c>
      <c r="E224" s="15">
        <f t="shared" si="44"/>
        <v>0.96198414311851999</v>
      </c>
      <c r="F224" s="16"/>
      <c r="G224" s="16"/>
      <c r="H224" s="16">
        <v>4919</v>
      </c>
      <c r="I224" s="16">
        <f t="shared" si="49"/>
        <v>187</v>
      </c>
      <c r="J224" s="16">
        <v>4732</v>
      </c>
      <c r="K224" s="16">
        <v>4263</v>
      </c>
      <c r="L224" s="16">
        <f t="shared" si="48"/>
        <v>469</v>
      </c>
    </row>
    <row r="225" spans="1:12" s="18" customFormat="1" ht="15" customHeight="1">
      <c r="A225" s="82">
        <v>2011</v>
      </c>
      <c r="B225" s="83" t="s">
        <v>39</v>
      </c>
      <c r="C225" s="15">
        <f t="shared" si="42"/>
        <v>0.7471381847914963</v>
      </c>
      <c r="D225" s="15">
        <f t="shared" si="43"/>
        <v>0.85297549591598598</v>
      </c>
      <c r="E225" s="15">
        <f t="shared" si="44"/>
        <v>0.87591986917416187</v>
      </c>
      <c r="F225" s="16"/>
      <c r="G225" s="16"/>
      <c r="H225" s="16">
        <v>4892</v>
      </c>
      <c r="I225" s="16">
        <f t="shared" si="49"/>
        <v>607</v>
      </c>
      <c r="J225" s="16">
        <v>4285</v>
      </c>
      <c r="K225" s="16">
        <v>3655</v>
      </c>
      <c r="L225" s="16">
        <f t="shared" si="48"/>
        <v>630</v>
      </c>
    </row>
    <row r="226" spans="1:12" s="18" customFormat="1" ht="15" customHeight="1">
      <c r="A226" s="82">
        <v>2011</v>
      </c>
      <c r="B226" s="83" t="s">
        <v>40</v>
      </c>
      <c r="C226" s="15">
        <f t="shared" si="42"/>
        <v>0.84565345949142523</v>
      </c>
      <c r="D226" s="15">
        <f t="shared" si="43"/>
        <v>0.90012589173310953</v>
      </c>
      <c r="E226" s="15">
        <f t="shared" si="44"/>
        <v>0.93948354031145276</v>
      </c>
      <c r="F226" s="16"/>
      <c r="G226" s="16"/>
      <c r="H226" s="16">
        <v>5073</v>
      </c>
      <c r="I226" s="16">
        <f t="shared" si="49"/>
        <v>307</v>
      </c>
      <c r="J226" s="16">
        <v>4766</v>
      </c>
      <c r="K226" s="16">
        <v>4290</v>
      </c>
      <c r="L226" s="16">
        <f t="shared" si="48"/>
        <v>476</v>
      </c>
    </row>
    <row r="227" spans="1:12" s="18" customFormat="1" ht="15" customHeight="1">
      <c r="A227" s="82">
        <v>2011</v>
      </c>
      <c r="B227" s="83" t="s">
        <v>41</v>
      </c>
      <c r="C227" s="15">
        <f t="shared" si="42"/>
        <v>0.88589253370899579</v>
      </c>
      <c r="D227" s="15">
        <f t="shared" si="43"/>
        <v>0.92576235541535223</v>
      </c>
      <c r="E227" s="15">
        <f t="shared" si="44"/>
        <v>0.95693298450392428</v>
      </c>
      <c r="F227" s="16"/>
      <c r="G227" s="16"/>
      <c r="H227" s="16">
        <v>4969</v>
      </c>
      <c r="I227" s="16">
        <f t="shared" si="49"/>
        <v>214</v>
      </c>
      <c r="J227" s="16">
        <v>4755</v>
      </c>
      <c r="K227" s="16">
        <v>4402</v>
      </c>
      <c r="L227" s="16">
        <f t="shared" si="48"/>
        <v>353</v>
      </c>
    </row>
    <row r="228" spans="1:12" s="18" customFormat="1" ht="15" customHeight="1">
      <c r="A228" s="82">
        <v>2011</v>
      </c>
      <c r="B228" s="83" t="s">
        <v>42</v>
      </c>
      <c r="C228" s="15">
        <f t="shared" si="42"/>
        <v>0.87443327419672778</v>
      </c>
      <c r="D228" s="15">
        <f t="shared" si="43"/>
        <v>0.91861669082625808</v>
      </c>
      <c r="E228" s="15">
        <f t="shared" si="44"/>
        <v>0.95190222747880937</v>
      </c>
      <c r="F228" s="16"/>
      <c r="G228" s="16"/>
      <c r="H228" s="16">
        <v>5073</v>
      </c>
      <c r="I228" s="16">
        <f t="shared" si="49"/>
        <v>244</v>
      </c>
      <c r="J228" s="16">
        <v>4829</v>
      </c>
      <c r="K228" s="16">
        <v>4436</v>
      </c>
      <c r="L228" s="16">
        <f t="shared" si="48"/>
        <v>393</v>
      </c>
    </row>
    <row r="229" spans="1:12" s="18" customFormat="1" ht="15" customHeight="1">
      <c r="A229" s="82">
        <v>2011</v>
      </c>
      <c r="B229" s="83" t="s">
        <v>43</v>
      </c>
      <c r="C229" s="15">
        <f t="shared" si="42"/>
        <v>0.85766990291262135</v>
      </c>
      <c r="D229" s="15">
        <f t="shared" si="43"/>
        <v>0.89831197884889158</v>
      </c>
      <c r="E229" s="15">
        <f t="shared" si="44"/>
        <v>0.95475728155339801</v>
      </c>
      <c r="F229" s="16"/>
      <c r="G229" s="16"/>
      <c r="H229" s="16">
        <v>5150</v>
      </c>
      <c r="I229" s="16">
        <f t="shared" si="49"/>
        <v>233</v>
      </c>
      <c r="J229" s="16">
        <v>4917</v>
      </c>
      <c r="K229" s="16">
        <v>4417</v>
      </c>
      <c r="L229" s="16">
        <f t="shared" si="48"/>
        <v>500</v>
      </c>
    </row>
    <row r="230" spans="1:12" s="18" customFormat="1" ht="15" customHeight="1">
      <c r="A230" s="82">
        <v>2011</v>
      </c>
      <c r="B230" s="83" t="s">
        <v>44</v>
      </c>
      <c r="C230" s="15">
        <f t="shared" si="42"/>
        <v>0.86127625842251287</v>
      </c>
      <c r="D230" s="15">
        <f t="shared" si="43"/>
        <v>0.91514002947989048</v>
      </c>
      <c r="E230" s="15">
        <f t="shared" si="44"/>
        <v>0.94114149821640902</v>
      </c>
      <c r="F230" s="16"/>
      <c r="G230" s="16"/>
      <c r="H230" s="16">
        <v>5046</v>
      </c>
      <c r="I230" s="16">
        <f t="shared" si="49"/>
        <v>297</v>
      </c>
      <c r="J230" s="16">
        <v>4749</v>
      </c>
      <c r="K230" s="16">
        <v>4346</v>
      </c>
      <c r="L230" s="16">
        <f t="shared" si="48"/>
        <v>403</v>
      </c>
    </row>
    <row r="231" spans="1:12" s="18" customFormat="1" ht="15" customHeight="1">
      <c r="A231" s="82">
        <v>2011</v>
      </c>
      <c r="B231" s="83" t="s">
        <v>45</v>
      </c>
      <c r="C231" s="15">
        <f t="shared" si="42"/>
        <v>0.88603086664028496</v>
      </c>
      <c r="D231" s="15">
        <f t="shared" si="43"/>
        <v>0.92007396753647008</v>
      </c>
      <c r="E231" s="15">
        <f t="shared" si="44"/>
        <v>0.96299960427384246</v>
      </c>
      <c r="F231" s="16"/>
      <c r="G231" s="16"/>
      <c r="H231" s="16">
        <v>5054</v>
      </c>
      <c r="I231" s="16">
        <f t="shared" si="49"/>
        <v>187</v>
      </c>
      <c r="J231" s="16">
        <v>4867</v>
      </c>
      <c r="K231" s="16">
        <v>4478</v>
      </c>
      <c r="L231" s="16">
        <f t="shared" si="48"/>
        <v>389</v>
      </c>
    </row>
    <row r="232" spans="1:12" s="18" customFormat="1" ht="15" customHeight="1">
      <c r="A232" s="82">
        <v>2011</v>
      </c>
      <c r="B232" s="83" t="s">
        <v>46</v>
      </c>
      <c r="C232" s="15">
        <f t="shared" si="42"/>
        <v>0.85711410746629102</v>
      </c>
      <c r="D232" s="15">
        <f t="shared" si="43"/>
        <v>0.89985210226072254</v>
      </c>
      <c r="E232" s="15">
        <f t="shared" si="44"/>
        <v>0.95250553431273899</v>
      </c>
      <c r="F232" s="16"/>
      <c r="G232" s="16"/>
      <c r="H232" s="16">
        <v>4969</v>
      </c>
      <c r="I232" s="16">
        <f t="shared" si="49"/>
        <v>236</v>
      </c>
      <c r="J232" s="16">
        <v>4733</v>
      </c>
      <c r="K232" s="16">
        <v>4259</v>
      </c>
      <c r="L232" s="16">
        <f t="shared" si="48"/>
        <v>474</v>
      </c>
    </row>
    <row r="233" spans="1:12" s="18" customFormat="1" ht="15" customHeight="1">
      <c r="A233" s="82">
        <v>2011</v>
      </c>
      <c r="B233" s="83" t="s">
        <v>47</v>
      </c>
      <c r="C233" s="15">
        <f t="shared" si="42"/>
        <v>0.86644242184408393</v>
      </c>
      <c r="D233" s="15">
        <f t="shared" si="43"/>
        <v>0.90926079734219267</v>
      </c>
      <c r="E233" s="15">
        <f t="shared" si="44"/>
        <v>0.95290858725761773</v>
      </c>
      <c r="F233" s="16"/>
      <c r="G233" s="16"/>
      <c r="H233" s="16">
        <v>5054</v>
      </c>
      <c r="I233" s="16">
        <f t="shared" si="49"/>
        <v>238</v>
      </c>
      <c r="J233" s="16">
        <v>4816</v>
      </c>
      <c r="K233" s="16">
        <v>4379</v>
      </c>
      <c r="L233" s="16">
        <f t="shared" si="48"/>
        <v>437</v>
      </c>
    </row>
    <row r="234" spans="1:12" s="18" customFormat="1" ht="15" customHeight="1">
      <c r="A234" s="82">
        <v>2012</v>
      </c>
      <c r="B234" s="83" t="s">
        <v>36</v>
      </c>
      <c r="C234" s="15">
        <f t="shared" si="42"/>
        <v>0.90543689320388354</v>
      </c>
      <c r="D234" s="15">
        <f t="shared" si="43"/>
        <v>0.94087974172719935</v>
      </c>
      <c r="E234" s="15">
        <f t="shared" si="44"/>
        <v>0.9623300970873786</v>
      </c>
      <c r="F234" s="16"/>
      <c r="G234" s="16"/>
      <c r="H234" s="16">
        <v>5150</v>
      </c>
      <c r="I234" s="16">
        <f t="shared" ref="I234:I245" si="50">H234-J234</f>
        <v>194</v>
      </c>
      <c r="J234" s="16">
        <v>4956</v>
      </c>
      <c r="K234" s="16">
        <v>4663</v>
      </c>
      <c r="L234" s="16">
        <f t="shared" ref="L234:L245" si="51">J234-K234</f>
        <v>293</v>
      </c>
    </row>
    <row r="235" spans="1:12" s="18" customFormat="1" ht="15" customHeight="1">
      <c r="A235" s="82">
        <v>2012</v>
      </c>
      <c r="B235" s="83" t="s">
        <v>37</v>
      </c>
      <c r="C235" s="15">
        <f t="shared" si="42"/>
        <v>0.91152352179542517</v>
      </c>
      <c r="D235" s="15">
        <f t="shared" si="43"/>
        <v>0.93368700265251992</v>
      </c>
      <c r="E235" s="15">
        <f t="shared" si="44"/>
        <v>0.97626240828657751</v>
      </c>
      <c r="F235" s="16"/>
      <c r="G235" s="16"/>
      <c r="H235" s="16">
        <v>4634</v>
      </c>
      <c r="I235" s="16">
        <f t="shared" si="50"/>
        <v>110</v>
      </c>
      <c r="J235" s="16">
        <v>4524</v>
      </c>
      <c r="K235" s="16">
        <v>4224</v>
      </c>
      <c r="L235" s="16">
        <f t="shared" si="51"/>
        <v>300</v>
      </c>
    </row>
    <row r="236" spans="1:12" s="18" customFormat="1" ht="15" customHeight="1">
      <c r="A236" s="82">
        <v>2012</v>
      </c>
      <c r="B236" s="83" t="s">
        <v>38</v>
      </c>
      <c r="C236" s="15">
        <f t="shared" si="42"/>
        <v>0.92349514563106794</v>
      </c>
      <c r="D236" s="15">
        <f t="shared" si="43"/>
        <v>0.94402540690750303</v>
      </c>
      <c r="E236" s="15">
        <f t="shared" si="44"/>
        <v>0.97825242718446603</v>
      </c>
      <c r="F236" s="16"/>
      <c r="G236" s="16"/>
      <c r="H236" s="16">
        <v>5150</v>
      </c>
      <c r="I236" s="16">
        <f t="shared" si="50"/>
        <v>112</v>
      </c>
      <c r="J236" s="16">
        <v>5038</v>
      </c>
      <c r="K236" s="16">
        <v>4756</v>
      </c>
      <c r="L236" s="16">
        <f t="shared" si="51"/>
        <v>282</v>
      </c>
    </row>
    <row r="237" spans="1:12" s="18" customFormat="1" ht="15" customHeight="1">
      <c r="A237" s="82">
        <v>2012</v>
      </c>
      <c r="B237" s="83" t="s">
        <v>39</v>
      </c>
      <c r="C237" s="15">
        <f t="shared" si="42"/>
        <v>0.85183621781342334</v>
      </c>
      <c r="D237" s="15">
        <f t="shared" si="43"/>
        <v>0.89988851727982166</v>
      </c>
      <c r="E237" s="15">
        <f t="shared" si="44"/>
        <v>0.94660194174757284</v>
      </c>
      <c r="F237" s="16"/>
      <c r="G237" s="16"/>
      <c r="H237" s="16">
        <v>4738</v>
      </c>
      <c r="I237" s="16">
        <f t="shared" si="50"/>
        <v>253</v>
      </c>
      <c r="J237" s="16">
        <v>4485</v>
      </c>
      <c r="K237" s="16">
        <v>4036</v>
      </c>
      <c r="L237" s="16">
        <f t="shared" si="51"/>
        <v>449</v>
      </c>
    </row>
    <row r="238" spans="1:12" s="18" customFormat="1" ht="15" customHeight="1">
      <c r="A238" s="82">
        <v>2012</v>
      </c>
      <c r="B238" s="83" t="s">
        <v>40</v>
      </c>
      <c r="C238" s="15">
        <f t="shared" si="42"/>
        <v>0.85669229252907553</v>
      </c>
      <c r="D238" s="15">
        <f t="shared" si="43"/>
        <v>0.89167008617152232</v>
      </c>
      <c r="E238" s="15">
        <f t="shared" si="44"/>
        <v>0.96077271831263555</v>
      </c>
      <c r="F238" s="16"/>
      <c r="G238" s="16"/>
      <c r="H238" s="16">
        <v>5073</v>
      </c>
      <c r="I238" s="16">
        <f t="shared" si="50"/>
        <v>199</v>
      </c>
      <c r="J238" s="16">
        <v>4874</v>
      </c>
      <c r="K238" s="16">
        <v>4346</v>
      </c>
      <c r="L238" s="16">
        <f t="shared" si="51"/>
        <v>528</v>
      </c>
    </row>
    <row r="239" spans="1:12" s="18" customFormat="1" ht="15" customHeight="1">
      <c r="A239" s="82">
        <v>2012</v>
      </c>
      <c r="B239" s="83" t="s">
        <v>41</v>
      </c>
      <c r="C239" s="15">
        <f t="shared" si="42"/>
        <v>0.87515151515151512</v>
      </c>
      <c r="D239" s="15">
        <f t="shared" si="43"/>
        <v>0.91238416175231674</v>
      </c>
      <c r="E239" s="15">
        <f t="shared" si="44"/>
        <v>0.95919191919191915</v>
      </c>
      <c r="F239" s="16"/>
      <c r="G239" s="16"/>
      <c r="H239" s="16">
        <v>4950</v>
      </c>
      <c r="I239" s="16">
        <f t="shared" si="50"/>
        <v>202</v>
      </c>
      <c r="J239" s="16">
        <v>4748</v>
      </c>
      <c r="K239" s="16">
        <v>4332</v>
      </c>
      <c r="L239" s="16">
        <f t="shared" si="51"/>
        <v>416</v>
      </c>
    </row>
    <row r="240" spans="1:12" s="18" customFormat="1" ht="15" customHeight="1">
      <c r="A240" s="82">
        <v>2012</v>
      </c>
      <c r="B240" s="83" t="s">
        <v>42</v>
      </c>
      <c r="C240" s="15">
        <f t="shared" si="42"/>
        <v>0.85905775675142915</v>
      </c>
      <c r="D240" s="15">
        <f t="shared" si="43"/>
        <v>0.91535391724427639</v>
      </c>
      <c r="E240" s="15">
        <f t="shared" si="44"/>
        <v>0.93849793021880545</v>
      </c>
      <c r="F240" s="16"/>
      <c r="G240" s="16"/>
      <c r="H240" s="16">
        <v>5073</v>
      </c>
      <c r="I240" s="16">
        <f t="shared" si="50"/>
        <v>312</v>
      </c>
      <c r="J240" s="16">
        <v>4761</v>
      </c>
      <c r="K240" s="16">
        <v>4358</v>
      </c>
      <c r="L240" s="16">
        <f t="shared" si="51"/>
        <v>403</v>
      </c>
    </row>
    <row r="241" spans="1:13" s="18" customFormat="1" ht="15" customHeight="1">
      <c r="A241" s="82">
        <v>2012</v>
      </c>
      <c r="B241" s="83" t="s">
        <v>43</v>
      </c>
      <c r="C241" s="15">
        <f t="shared" si="42"/>
        <v>0.84815533980582525</v>
      </c>
      <c r="D241" s="15">
        <f t="shared" si="43"/>
        <v>0.89526542324246772</v>
      </c>
      <c r="E241" s="15">
        <f t="shared" si="44"/>
        <v>0.94737864077669898</v>
      </c>
      <c r="F241" s="16"/>
      <c r="G241" s="16"/>
      <c r="H241" s="16">
        <v>5150</v>
      </c>
      <c r="I241" s="16">
        <f t="shared" si="50"/>
        <v>271</v>
      </c>
      <c r="J241" s="16">
        <v>4879</v>
      </c>
      <c r="K241" s="16">
        <v>4368</v>
      </c>
      <c r="L241" s="16">
        <f t="shared" si="51"/>
        <v>511</v>
      </c>
    </row>
    <row r="242" spans="1:13" s="18" customFormat="1" ht="15" customHeight="1">
      <c r="A242" s="82">
        <v>2012</v>
      </c>
      <c r="B242" s="83" t="s">
        <v>44</v>
      </c>
      <c r="C242" s="15">
        <f t="shared" si="42"/>
        <v>0.87502565154935363</v>
      </c>
      <c r="D242" s="15">
        <f t="shared" si="43"/>
        <v>0.91777873439517865</v>
      </c>
      <c r="E242" s="15">
        <f t="shared" si="44"/>
        <v>0.95341678637389693</v>
      </c>
      <c r="F242" s="16"/>
      <c r="G242" s="16"/>
      <c r="H242" s="16">
        <v>4873</v>
      </c>
      <c r="I242" s="16">
        <f t="shared" si="50"/>
        <v>227</v>
      </c>
      <c r="J242" s="16">
        <v>4646</v>
      </c>
      <c r="K242" s="16">
        <v>4264</v>
      </c>
      <c r="L242" s="16">
        <f t="shared" si="51"/>
        <v>382</v>
      </c>
    </row>
    <row r="243" spans="1:13" s="18" customFormat="1" ht="15" customHeight="1">
      <c r="A243" s="82">
        <v>2012</v>
      </c>
      <c r="B243" s="83" t="s">
        <v>45</v>
      </c>
      <c r="C243" s="15">
        <f t="shared" si="42"/>
        <v>0.8584466019417476</v>
      </c>
      <c r="D243" s="15">
        <f t="shared" si="43"/>
        <v>0.90557148709545265</v>
      </c>
      <c r="E243" s="15">
        <f t="shared" si="44"/>
        <v>0.94796116504854366</v>
      </c>
      <c r="F243" s="16"/>
      <c r="G243" s="16"/>
      <c r="H243" s="16">
        <v>5150</v>
      </c>
      <c r="I243" s="16">
        <f t="shared" si="50"/>
        <v>268</v>
      </c>
      <c r="J243" s="16">
        <v>4882</v>
      </c>
      <c r="K243" s="16">
        <v>4421</v>
      </c>
      <c r="L243" s="16">
        <f t="shared" si="51"/>
        <v>461</v>
      </c>
    </row>
    <row r="244" spans="1:13" s="18" customFormat="1" ht="15" customHeight="1">
      <c r="A244" s="82">
        <v>2012</v>
      </c>
      <c r="B244" s="83" t="s">
        <v>46</v>
      </c>
      <c r="C244" s="15">
        <f t="shared" si="42"/>
        <v>0.8645602736969209</v>
      </c>
      <c r="D244" s="15">
        <f t="shared" si="43"/>
        <v>0.89912097111762246</v>
      </c>
      <c r="E244" s="15">
        <f t="shared" si="44"/>
        <v>0.96156168243107265</v>
      </c>
      <c r="F244" s="16"/>
      <c r="G244" s="16"/>
      <c r="H244" s="16">
        <v>4969</v>
      </c>
      <c r="I244" s="16">
        <f t="shared" si="50"/>
        <v>191</v>
      </c>
      <c r="J244" s="16">
        <v>4778</v>
      </c>
      <c r="K244" s="16">
        <v>4296</v>
      </c>
      <c r="L244" s="16">
        <f t="shared" si="51"/>
        <v>482</v>
      </c>
    </row>
    <row r="245" spans="1:13" s="18" customFormat="1" ht="15" customHeight="1">
      <c r="A245" s="82">
        <v>2012</v>
      </c>
      <c r="B245" s="83" t="s">
        <v>47</v>
      </c>
      <c r="C245" s="15">
        <f t="shared" si="42"/>
        <v>0.79508030087416137</v>
      </c>
      <c r="D245" s="15">
        <f t="shared" si="43"/>
        <v>0.86622369878183836</v>
      </c>
      <c r="E245" s="15">
        <f t="shared" si="44"/>
        <v>0.91786948566781867</v>
      </c>
      <c r="F245" s="16"/>
      <c r="G245" s="16"/>
      <c r="H245" s="16">
        <v>4919</v>
      </c>
      <c r="I245" s="16">
        <f t="shared" si="50"/>
        <v>404</v>
      </c>
      <c r="J245" s="16">
        <v>4515</v>
      </c>
      <c r="K245" s="16">
        <v>3911</v>
      </c>
      <c r="L245" s="16">
        <f t="shared" si="51"/>
        <v>604</v>
      </c>
    </row>
    <row r="246" spans="1:13" s="18" customFormat="1" ht="15" customHeight="1">
      <c r="A246" s="82">
        <v>2013</v>
      </c>
      <c r="B246" s="83" t="s">
        <v>36</v>
      </c>
      <c r="C246" s="15">
        <f t="shared" si="42"/>
        <v>0.90183323477232402</v>
      </c>
      <c r="D246" s="15">
        <f t="shared" si="43"/>
        <v>0.92761557177615572</v>
      </c>
      <c r="E246" s="15">
        <f t="shared" si="44"/>
        <v>0.97220579538734475</v>
      </c>
      <c r="F246" s="16"/>
      <c r="G246" s="16"/>
      <c r="H246" s="16">
        <v>5073</v>
      </c>
      <c r="I246" s="16">
        <f t="shared" ref="I246:I257" si="52">H246-J246</f>
        <v>141</v>
      </c>
      <c r="J246" s="16">
        <v>4932</v>
      </c>
      <c r="K246" s="16">
        <v>4575</v>
      </c>
      <c r="L246" s="16">
        <f t="shared" ref="L246:L257" si="53">J246-K246</f>
        <v>357</v>
      </c>
    </row>
    <row r="247" spans="1:13" s="18" customFormat="1" ht="15" customHeight="1">
      <c r="A247" s="82">
        <v>2013</v>
      </c>
      <c r="B247" s="83" t="s">
        <v>37</v>
      </c>
      <c r="C247" s="15">
        <f t="shared" si="42"/>
        <v>0.90074107343364029</v>
      </c>
      <c r="D247" s="15">
        <f t="shared" si="43"/>
        <v>0.92547300415320721</v>
      </c>
      <c r="E247" s="15">
        <f t="shared" si="44"/>
        <v>0.97327644284751857</v>
      </c>
      <c r="F247" s="16"/>
      <c r="G247" s="16"/>
      <c r="H247" s="16">
        <v>4453</v>
      </c>
      <c r="I247" s="16">
        <f t="shared" si="52"/>
        <v>119</v>
      </c>
      <c r="J247" s="16">
        <v>4334</v>
      </c>
      <c r="K247" s="16">
        <v>4011</v>
      </c>
      <c r="L247" s="16">
        <f t="shared" si="53"/>
        <v>323</v>
      </c>
    </row>
    <row r="248" spans="1:13" s="18" customFormat="1" ht="15" customHeight="1">
      <c r="A248" s="82">
        <v>2013</v>
      </c>
      <c r="B248" s="83" t="s">
        <v>38</v>
      </c>
      <c r="C248" s="15">
        <f t="shared" si="42"/>
        <v>0.92125049465769693</v>
      </c>
      <c r="D248" s="15">
        <f t="shared" si="43"/>
        <v>0.93269230769230771</v>
      </c>
      <c r="E248" s="15">
        <f t="shared" si="44"/>
        <v>0.98773248911753064</v>
      </c>
      <c r="F248" s="16"/>
      <c r="G248" s="16"/>
      <c r="H248" s="16">
        <v>5054</v>
      </c>
      <c r="I248" s="16">
        <f t="shared" si="52"/>
        <v>62</v>
      </c>
      <c r="J248" s="16">
        <v>4992</v>
      </c>
      <c r="K248" s="16">
        <v>4656</v>
      </c>
      <c r="L248" s="16">
        <f t="shared" si="53"/>
        <v>336</v>
      </c>
    </row>
    <row r="249" spans="1:13" s="18" customFormat="1" ht="15" customHeight="1">
      <c r="A249" s="82">
        <v>2013</v>
      </c>
      <c r="B249" s="83" t="s">
        <v>39</v>
      </c>
      <c r="C249" s="15">
        <f t="shared" si="42"/>
        <v>0.88225674570727719</v>
      </c>
      <c r="D249" s="15">
        <f t="shared" si="43"/>
        <v>0.92618025751072963</v>
      </c>
      <c r="E249" s="15">
        <f t="shared" si="44"/>
        <v>0.9525756336876533</v>
      </c>
      <c r="F249" s="16"/>
      <c r="G249" s="16"/>
      <c r="H249" s="16">
        <v>4892</v>
      </c>
      <c r="I249" s="16">
        <f t="shared" si="52"/>
        <v>232</v>
      </c>
      <c r="J249" s="16">
        <v>4660</v>
      </c>
      <c r="K249" s="16">
        <v>4316</v>
      </c>
      <c r="L249" s="16">
        <f t="shared" si="53"/>
        <v>344</v>
      </c>
    </row>
    <row r="250" spans="1:13" s="18" customFormat="1" ht="15" customHeight="1">
      <c r="A250" s="82">
        <v>2013</v>
      </c>
      <c r="B250" s="83" t="s">
        <v>40</v>
      </c>
      <c r="C250" s="15">
        <f t="shared" si="42"/>
        <v>0.87117046347211313</v>
      </c>
      <c r="D250" s="15">
        <f t="shared" si="43"/>
        <v>0.90623084780388152</v>
      </c>
      <c r="E250" s="15">
        <f t="shared" si="44"/>
        <v>0.96131186174391203</v>
      </c>
      <c r="F250" s="16"/>
      <c r="G250" s="16"/>
      <c r="H250" s="16">
        <v>5092</v>
      </c>
      <c r="I250" s="16">
        <f t="shared" si="52"/>
        <v>197</v>
      </c>
      <c r="J250" s="16">
        <v>4895</v>
      </c>
      <c r="K250" s="16">
        <v>4436</v>
      </c>
      <c r="L250" s="16">
        <f t="shared" si="53"/>
        <v>459</v>
      </c>
    </row>
    <row r="251" spans="1:13" s="18" customFormat="1" ht="15" customHeight="1">
      <c r="A251" s="82">
        <v>2013</v>
      </c>
      <c r="B251" s="83" t="s">
        <v>41</v>
      </c>
      <c r="C251" s="15">
        <f t="shared" si="42"/>
        <v>0.86780650542118432</v>
      </c>
      <c r="D251" s="15">
        <f t="shared" si="43"/>
        <v>0.89179344332547672</v>
      </c>
      <c r="E251" s="15">
        <f t="shared" si="44"/>
        <v>0.97310258548790662</v>
      </c>
      <c r="F251" s="16"/>
      <c r="G251" s="16"/>
      <c r="H251" s="16">
        <v>4796</v>
      </c>
      <c r="I251" s="16">
        <f t="shared" si="52"/>
        <v>129</v>
      </c>
      <c r="J251" s="16">
        <v>4667</v>
      </c>
      <c r="K251" s="16">
        <v>4162</v>
      </c>
      <c r="L251" s="16">
        <f t="shared" si="53"/>
        <v>505</v>
      </c>
    </row>
    <row r="252" spans="1:13" s="18" customFormat="1" ht="15" customHeight="1">
      <c r="A252" s="82">
        <v>2013</v>
      </c>
      <c r="B252" s="83" t="s">
        <v>42</v>
      </c>
      <c r="C252" s="15">
        <f t="shared" si="42"/>
        <v>0.85262135922330096</v>
      </c>
      <c r="D252" s="15">
        <f t="shared" si="43"/>
        <v>0.88154988958040559</v>
      </c>
      <c r="E252" s="15">
        <f t="shared" si="44"/>
        <v>0.96718446601941743</v>
      </c>
      <c r="F252" s="16"/>
      <c r="G252" s="16"/>
      <c r="H252" s="16">
        <v>5150</v>
      </c>
      <c r="I252" s="16">
        <f t="shared" si="52"/>
        <v>169</v>
      </c>
      <c r="J252" s="16">
        <v>4981</v>
      </c>
      <c r="K252" s="16">
        <v>4391</v>
      </c>
      <c r="L252" s="16">
        <f t="shared" si="53"/>
        <v>590</v>
      </c>
    </row>
    <row r="253" spans="1:13" s="18" customFormat="1" ht="15" customHeight="1">
      <c r="A253" s="82">
        <v>2013</v>
      </c>
      <c r="B253" s="83" t="s">
        <v>43</v>
      </c>
      <c r="C253" s="15">
        <f t="shared" si="42"/>
        <v>0.81290196842720719</v>
      </c>
      <c r="D253" s="15">
        <f t="shared" si="43"/>
        <v>0.86571191365711919</v>
      </c>
      <c r="E253" s="15">
        <f t="shared" si="44"/>
        <v>0.93899824595595405</v>
      </c>
      <c r="F253" s="16"/>
      <c r="G253" s="16"/>
      <c r="H253" s="16">
        <v>5131</v>
      </c>
      <c r="I253" s="16">
        <f t="shared" si="52"/>
        <v>313</v>
      </c>
      <c r="J253" s="16">
        <v>4818</v>
      </c>
      <c r="K253" s="16">
        <v>4171</v>
      </c>
      <c r="L253" s="16">
        <f t="shared" si="53"/>
        <v>647</v>
      </c>
    </row>
    <row r="254" spans="1:13" s="18" customFormat="1" ht="15" customHeight="1">
      <c r="A254" s="82">
        <v>2013</v>
      </c>
      <c r="B254" s="83" t="s">
        <v>44</v>
      </c>
      <c r="C254" s="15">
        <f t="shared" si="42"/>
        <v>0.82249949688066004</v>
      </c>
      <c r="D254" s="15">
        <f t="shared" si="43"/>
        <v>0.8642419116092197</v>
      </c>
      <c r="E254" s="15">
        <f t="shared" si="44"/>
        <v>0.9517005433688871</v>
      </c>
      <c r="F254" s="16"/>
      <c r="G254" s="16"/>
      <c r="H254" s="16">
        <v>4969</v>
      </c>
      <c r="I254" s="16">
        <f t="shared" si="52"/>
        <v>240</v>
      </c>
      <c r="J254" s="16">
        <v>4729</v>
      </c>
      <c r="K254" s="16">
        <v>4087</v>
      </c>
      <c r="L254" s="16">
        <f t="shared" si="53"/>
        <v>642</v>
      </c>
    </row>
    <row r="255" spans="1:13" s="18" customFormat="1" ht="15" customHeight="1">
      <c r="A255" s="82">
        <v>2013</v>
      </c>
      <c r="B255" s="83" t="s">
        <v>45</v>
      </c>
      <c r="C255" s="15">
        <f t="shared" si="42"/>
        <v>0.6285436893203884</v>
      </c>
      <c r="D255" s="15">
        <f t="shared" si="43"/>
        <v>0.70354270810693331</v>
      </c>
      <c r="E255" s="15">
        <f t="shared" si="44"/>
        <v>0.89339805825242713</v>
      </c>
      <c r="F255" s="16"/>
      <c r="G255" s="16"/>
      <c r="H255" s="16">
        <v>5150</v>
      </c>
      <c r="I255" s="16">
        <f t="shared" si="52"/>
        <v>549</v>
      </c>
      <c r="J255" s="16">
        <v>4601</v>
      </c>
      <c r="K255" s="16">
        <v>3237</v>
      </c>
      <c r="L255" s="16">
        <f t="shared" si="53"/>
        <v>1364</v>
      </c>
      <c r="M255" s="18" t="s">
        <v>75</v>
      </c>
    </row>
    <row r="256" spans="1:13" s="18" customFormat="1" ht="15" customHeight="1">
      <c r="A256" s="82">
        <v>2013</v>
      </c>
      <c r="B256" s="83" t="s">
        <v>46</v>
      </c>
      <c r="C256" s="15">
        <f t="shared" si="42"/>
        <v>0.57131313131313133</v>
      </c>
      <c r="D256" s="15">
        <f t="shared" si="43"/>
        <v>0.65691056910569101</v>
      </c>
      <c r="E256" s="15">
        <f t="shared" si="44"/>
        <v>0.86969696969696975</v>
      </c>
      <c r="F256" s="16"/>
      <c r="G256" s="16"/>
      <c r="H256" s="16">
        <v>4950</v>
      </c>
      <c r="I256" s="16">
        <f t="shared" si="52"/>
        <v>645</v>
      </c>
      <c r="J256" s="16">
        <v>4305</v>
      </c>
      <c r="K256" s="16">
        <v>2828</v>
      </c>
      <c r="L256" s="16">
        <f t="shared" si="53"/>
        <v>1477</v>
      </c>
      <c r="M256" s="18" t="s">
        <v>75</v>
      </c>
    </row>
    <row r="257" spans="1:13" s="18" customFormat="1" ht="15" customHeight="1">
      <c r="A257" s="82">
        <v>2013</v>
      </c>
      <c r="B257" s="83" t="s">
        <v>47</v>
      </c>
      <c r="C257" s="15">
        <f t="shared" si="42"/>
        <v>0.6288192391090085</v>
      </c>
      <c r="D257" s="15">
        <f t="shared" si="43"/>
        <v>0.71078431372549022</v>
      </c>
      <c r="E257" s="15">
        <f t="shared" si="44"/>
        <v>0.88468361916026017</v>
      </c>
      <c r="F257" s="16"/>
      <c r="G257" s="16"/>
      <c r="H257" s="16">
        <v>5073</v>
      </c>
      <c r="I257" s="16">
        <f t="shared" si="52"/>
        <v>585</v>
      </c>
      <c r="J257" s="16">
        <v>4488</v>
      </c>
      <c r="K257" s="16">
        <v>3190</v>
      </c>
      <c r="L257" s="16">
        <f t="shared" si="53"/>
        <v>1298</v>
      </c>
      <c r="M257" s="18" t="s">
        <v>75</v>
      </c>
    </row>
    <row r="258" spans="1:13" s="18" customFormat="1" ht="15" customHeight="1">
      <c r="A258" s="82">
        <v>2014</v>
      </c>
      <c r="B258" s="83" t="s">
        <v>36</v>
      </c>
      <c r="C258" s="15">
        <f t="shared" si="42"/>
        <v>0.80252427184466024</v>
      </c>
      <c r="D258" s="15">
        <f t="shared" si="43"/>
        <v>0.8605038517593171</v>
      </c>
      <c r="E258" s="15">
        <f t="shared" si="44"/>
        <v>0.93262135922330092</v>
      </c>
      <c r="F258" s="16"/>
      <c r="G258" s="16"/>
      <c r="H258" s="16">
        <v>5150</v>
      </c>
      <c r="I258" s="16">
        <f t="shared" ref="I258:I266" si="54">H258-J258</f>
        <v>347</v>
      </c>
      <c r="J258" s="16">
        <v>4803</v>
      </c>
      <c r="K258" s="16">
        <v>4133</v>
      </c>
      <c r="L258" s="16">
        <f t="shared" ref="L258:L269" si="55">J258-K258</f>
        <v>670</v>
      </c>
    </row>
    <row r="259" spans="1:13" s="18" customFormat="1" ht="15" customHeight="1">
      <c r="A259" s="82">
        <v>2014</v>
      </c>
      <c r="B259" s="83" t="s">
        <v>37</v>
      </c>
      <c r="C259" s="15">
        <f t="shared" si="42"/>
        <v>0.74338172502134925</v>
      </c>
      <c r="D259" s="15">
        <f t="shared" si="43"/>
        <v>0.80378578024007385</v>
      </c>
      <c r="E259" s="15">
        <f t="shared" si="44"/>
        <v>0.92485055508112723</v>
      </c>
      <c r="F259" s="16"/>
      <c r="G259" s="16"/>
      <c r="H259" s="16">
        <v>4684</v>
      </c>
      <c r="I259" s="16">
        <f t="shared" si="54"/>
        <v>352</v>
      </c>
      <c r="J259" s="16">
        <v>4332</v>
      </c>
      <c r="K259" s="16">
        <v>3482</v>
      </c>
      <c r="L259" s="16">
        <f t="shared" si="55"/>
        <v>850</v>
      </c>
    </row>
    <row r="260" spans="1:13" s="18" customFormat="1" ht="15" customHeight="1">
      <c r="A260" s="82">
        <v>2014</v>
      </c>
      <c r="B260" s="83" t="s">
        <v>38</v>
      </c>
      <c r="C260" s="15">
        <f t="shared" si="42"/>
        <v>0.78081632653061228</v>
      </c>
      <c r="D260" s="15">
        <f t="shared" si="43"/>
        <v>0.81892123287671237</v>
      </c>
      <c r="E260" s="15">
        <f t="shared" si="44"/>
        <v>0.95346938775510204</v>
      </c>
      <c r="F260" s="16"/>
      <c r="G260" s="16"/>
      <c r="H260" s="16">
        <v>4900</v>
      </c>
      <c r="I260" s="16">
        <f t="shared" si="54"/>
        <v>228</v>
      </c>
      <c r="J260" s="16">
        <v>4672</v>
      </c>
      <c r="K260" s="16">
        <v>3826</v>
      </c>
      <c r="L260" s="16">
        <f t="shared" si="55"/>
        <v>846</v>
      </c>
    </row>
    <row r="261" spans="1:13" s="18" customFormat="1" ht="15" customHeight="1">
      <c r="A261" s="82">
        <v>2014</v>
      </c>
      <c r="B261" s="83" t="s">
        <v>39</v>
      </c>
      <c r="C261" s="15">
        <f t="shared" si="42"/>
        <v>0.53642520008208494</v>
      </c>
      <c r="D261" s="15">
        <f t="shared" si="43"/>
        <v>0.70801733477789819</v>
      </c>
      <c r="E261" s="15">
        <f t="shared" si="44"/>
        <v>0.75764416170736715</v>
      </c>
      <c r="F261" s="16"/>
      <c r="G261" s="16"/>
      <c r="H261" s="16">
        <v>4873</v>
      </c>
      <c r="I261" s="16">
        <f t="shared" si="54"/>
        <v>1181</v>
      </c>
      <c r="J261" s="16">
        <v>3692</v>
      </c>
      <c r="K261" s="16">
        <v>2614</v>
      </c>
      <c r="L261" s="16">
        <f t="shared" si="55"/>
        <v>1078</v>
      </c>
    </row>
    <row r="262" spans="1:13" s="18" customFormat="1" ht="15" customHeight="1">
      <c r="A262" s="82">
        <v>2014</v>
      </c>
      <c r="B262" s="83" t="s">
        <v>40</v>
      </c>
      <c r="C262" s="15">
        <f t="shared" si="42"/>
        <v>0.68698060941828254</v>
      </c>
      <c r="D262" s="15">
        <f t="shared" si="43"/>
        <v>0.75396308360477737</v>
      </c>
      <c r="E262" s="15">
        <f t="shared" si="44"/>
        <v>0.91115947764147209</v>
      </c>
      <c r="F262" s="16"/>
      <c r="G262" s="16"/>
      <c r="H262" s="16">
        <v>5054</v>
      </c>
      <c r="I262" s="16">
        <f t="shared" si="54"/>
        <v>449</v>
      </c>
      <c r="J262" s="16">
        <v>4605</v>
      </c>
      <c r="K262" s="16">
        <v>3472</v>
      </c>
      <c r="L262" s="16">
        <f t="shared" si="55"/>
        <v>1133</v>
      </c>
    </row>
    <row r="263" spans="1:13" s="18" customFormat="1" ht="15" customHeight="1">
      <c r="A263" s="82">
        <v>2014</v>
      </c>
      <c r="B263" s="83" t="s">
        <v>41</v>
      </c>
      <c r="C263" s="15">
        <f t="shared" ref="C263:C326" si="56">K263/H263</f>
        <v>0.68560915780866716</v>
      </c>
      <c r="D263" s="15">
        <f t="shared" ref="D263:D326" si="57">K263/J263</f>
        <v>0.78676988036593953</v>
      </c>
      <c r="E263" s="15">
        <f t="shared" ref="E263:E326" si="58">J263/H263</f>
        <v>0.8714227309893704</v>
      </c>
      <c r="F263" s="16"/>
      <c r="G263" s="16"/>
      <c r="H263" s="16">
        <v>4892</v>
      </c>
      <c r="I263" s="16">
        <f t="shared" si="54"/>
        <v>629</v>
      </c>
      <c r="J263" s="16">
        <v>4263</v>
      </c>
      <c r="K263" s="16">
        <v>3354</v>
      </c>
      <c r="L263" s="16">
        <f t="shared" si="55"/>
        <v>909</v>
      </c>
    </row>
    <row r="264" spans="1:13" s="18" customFormat="1" ht="15" customHeight="1">
      <c r="A264" s="82">
        <v>2014</v>
      </c>
      <c r="B264" s="83" t="s">
        <v>42</v>
      </c>
      <c r="C264" s="15">
        <f t="shared" si="56"/>
        <v>0.6827184466019417</v>
      </c>
      <c r="D264" s="15">
        <f t="shared" si="57"/>
        <v>0.7901123595505618</v>
      </c>
      <c r="E264" s="15">
        <f t="shared" si="58"/>
        <v>0.86407766990291257</v>
      </c>
      <c r="F264" s="16"/>
      <c r="G264" s="16"/>
      <c r="H264" s="16">
        <v>5150</v>
      </c>
      <c r="I264" s="16">
        <f t="shared" si="54"/>
        <v>700</v>
      </c>
      <c r="J264" s="16">
        <v>4450</v>
      </c>
      <c r="K264" s="16">
        <v>3516</v>
      </c>
      <c r="L264" s="16">
        <f t="shared" si="55"/>
        <v>934</v>
      </c>
    </row>
    <row r="265" spans="1:13" s="18" customFormat="1" ht="15" customHeight="1">
      <c r="A265" s="82">
        <v>2014</v>
      </c>
      <c r="B265" s="83" t="s">
        <v>43</v>
      </c>
      <c r="C265" s="15">
        <f t="shared" si="56"/>
        <v>0.75069252077562332</v>
      </c>
      <c r="D265" s="15">
        <f t="shared" si="57"/>
        <v>0.84367356015121187</v>
      </c>
      <c r="E265" s="15">
        <f t="shared" si="58"/>
        <v>0.88979026513652548</v>
      </c>
      <c r="F265" s="16"/>
      <c r="G265" s="16"/>
      <c r="H265" s="16">
        <v>5054</v>
      </c>
      <c r="I265" s="16">
        <f t="shared" si="54"/>
        <v>557</v>
      </c>
      <c r="J265" s="16">
        <v>4497</v>
      </c>
      <c r="K265" s="16">
        <v>3794</v>
      </c>
      <c r="L265" s="16">
        <f t="shared" si="55"/>
        <v>703</v>
      </c>
    </row>
    <row r="266" spans="1:13" s="18" customFormat="1" ht="15" customHeight="1">
      <c r="A266" s="82">
        <v>2014</v>
      </c>
      <c r="B266" s="83" t="s">
        <v>44</v>
      </c>
      <c r="C266" s="15">
        <f t="shared" si="56"/>
        <v>0.7782401902497027</v>
      </c>
      <c r="D266" s="15">
        <f t="shared" si="57"/>
        <v>0.8262150220913107</v>
      </c>
      <c r="E266" s="15">
        <f t="shared" si="58"/>
        <v>0.94193420531113758</v>
      </c>
      <c r="F266" s="16"/>
      <c r="G266" s="16"/>
      <c r="H266" s="16">
        <v>5046</v>
      </c>
      <c r="I266" s="16">
        <f t="shared" si="54"/>
        <v>293</v>
      </c>
      <c r="J266" s="16">
        <v>4753</v>
      </c>
      <c r="K266" s="16">
        <v>3927</v>
      </c>
      <c r="L266" s="16">
        <f t="shared" si="55"/>
        <v>826</v>
      </c>
    </row>
    <row r="267" spans="1:13" s="18" customFormat="1" ht="15" customHeight="1">
      <c r="A267" s="82">
        <v>2014</v>
      </c>
      <c r="B267" s="83" t="s">
        <v>45</v>
      </c>
      <c r="C267" s="15">
        <f t="shared" si="56"/>
        <v>0.74718446601941746</v>
      </c>
      <c r="D267" s="15">
        <f t="shared" si="57"/>
        <v>0.83074265975820383</v>
      </c>
      <c r="E267" s="15">
        <f t="shared" si="58"/>
        <v>0.89941747572815534</v>
      </c>
      <c r="F267" s="16"/>
      <c r="G267" s="16"/>
      <c r="H267" s="16">
        <v>5150</v>
      </c>
      <c r="I267" s="16">
        <f>H267-J267</f>
        <v>518</v>
      </c>
      <c r="J267" s="16">
        <v>4632</v>
      </c>
      <c r="K267" s="16">
        <v>3848</v>
      </c>
      <c r="L267" s="16">
        <f t="shared" si="55"/>
        <v>784</v>
      </c>
    </row>
    <row r="268" spans="1:13" s="18" customFormat="1" ht="15" customHeight="1">
      <c r="A268" s="82">
        <v>2014</v>
      </c>
      <c r="B268" s="83" t="s">
        <v>46</v>
      </c>
      <c r="C268" s="15">
        <f t="shared" si="56"/>
        <v>0.76626308229017037</v>
      </c>
      <c r="D268" s="15">
        <f t="shared" si="57"/>
        <v>0.83273862622658346</v>
      </c>
      <c r="E268" s="15">
        <f t="shared" si="58"/>
        <v>0.92017237841165611</v>
      </c>
      <c r="F268" s="16"/>
      <c r="G268" s="16"/>
      <c r="H268" s="16">
        <v>4873</v>
      </c>
      <c r="I268" s="16">
        <f>H268-J268</f>
        <v>389</v>
      </c>
      <c r="J268" s="16">
        <v>4484</v>
      </c>
      <c r="K268" s="16">
        <v>3734</v>
      </c>
      <c r="L268" s="16">
        <f t="shared" si="55"/>
        <v>750</v>
      </c>
    </row>
    <row r="269" spans="1:13" s="18" customFormat="1" ht="15" customHeight="1">
      <c r="A269" s="82">
        <v>2014</v>
      </c>
      <c r="B269" s="83" t="s">
        <v>47</v>
      </c>
      <c r="C269" s="15">
        <f t="shared" si="56"/>
        <v>0.75980784627702158</v>
      </c>
      <c r="D269" s="15">
        <f t="shared" si="57"/>
        <v>0.83593922043602731</v>
      </c>
      <c r="E269" s="15">
        <f t="shared" si="58"/>
        <v>0.90892714171337075</v>
      </c>
      <c r="F269" s="16"/>
      <c r="G269" s="16"/>
      <c r="H269" s="16">
        <v>4996</v>
      </c>
      <c r="I269" s="16">
        <f>H269-J269</f>
        <v>455</v>
      </c>
      <c r="J269" s="16">
        <v>4541</v>
      </c>
      <c r="K269" s="16">
        <v>3796</v>
      </c>
      <c r="L269" s="16">
        <f t="shared" si="55"/>
        <v>745</v>
      </c>
    </row>
    <row r="270" spans="1:13" s="18" customFormat="1" ht="15" customHeight="1">
      <c r="A270" s="82">
        <v>2015</v>
      </c>
      <c r="B270" s="83" t="s">
        <v>36</v>
      </c>
      <c r="C270" s="15">
        <f t="shared" si="56"/>
        <v>0.74702786981095304</v>
      </c>
      <c r="D270" s="15">
        <f t="shared" si="57"/>
        <v>0.83836395450568679</v>
      </c>
      <c r="E270" s="15">
        <f t="shared" si="58"/>
        <v>0.89105437536542587</v>
      </c>
      <c r="F270" s="16"/>
      <c r="G270" s="16"/>
      <c r="H270" s="16">
        <v>5131</v>
      </c>
      <c r="I270" s="16">
        <f>+H270-J270</f>
        <v>559</v>
      </c>
      <c r="J270" s="16">
        <v>4572</v>
      </c>
      <c r="K270" s="16">
        <v>3833</v>
      </c>
      <c r="L270" s="16">
        <f t="shared" ref="L270:L281" si="59">J270-K270</f>
        <v>739</v>
      </c>
    </row>
    <row r="271" spans="1:13" s="18" customFormat="1" ht="15" customHeight="1">
      <c r="A271" s="82">
        <v>2015</v>
      </c>
      <c r="B271" s="83" t="s">
        <v>37</v>
      </c>
      <c r="C271" s="15">
        <f t="shared" si="56"/>
        <v>0.79271523178807946</v>
      </c>
      <c r="D271" s="15">
        <f t="shared" si="57"/>
        <v>0.86239193083573484</v>
      </c>
      <c r="E271" s="15">
        <f t="shared" si="58"/>
        <v>0.91920529801324502</v>
      </c>
      <c r="F271" s="16"/>
      <c r="G271" s="16"/>
      <c r="H271" s="16">
        <v>4530</v>
      </c>
      <c r="I271" s="16">
        <f t="shared" ref="I271:I281" si="60">H271-J271</f>
        <v>366</v>
      </c>
      <c r="J271" s="16">
        <v>4164</v>
      </c>
      <c r="K271" s="16">
        <v>3591</v>
      </c>
      <c r="L271" s="16">
        <f t="shared" si="59"/>
        <v>573</v>
      </c>
    </row>
    <row r="272" spans="1:13" s="18" customFormat="1" ht="15" customHeight="1">
      <c r="A272" s="82">
        <v>2015</v>
      </c>
      <c r="B272" s="83" t="s">
        <v>38</v>
      </c>
      <c r="C272" s="15">
        <f t="shared" si="56"/>
        <v>0.64571657325860687</v>
      </c>
      <c r="D272" s="15">
        <f t="shared" si="57"/>
        <v>0.77529440038452291</v>
      </c>
      <c r="E272" s="15">
        <f t="shared" si="58"/>
        <v>0.8328662930344275</v>
      </c>
      <c r="F272" s="16"/>
      <c r="G272" s="16"/>
      <c r="H272" s="16">
        <v>4996</v>
      </c>
      <c r="I272" s="16">
        <f t="shared" si="60"/>
        <v>835</v>
      </c>
      <c r="J272" s="16">
        <v>4161</v>
      </c>
      <c r="K272" s="16">
        <v>3226</v>
      </c>
      <c r="L272" s="16">
        <f t="shared" si="59"/>
        <v>935</v>
      </c>
    </row>
    <row r="273" spans="1:12" s="18" customFormat="1" ht="15" customHeight="1">
      <c r="A273" s="82">
        <v>2015</v>
      </c>
      <c r="B273" s="83" t="s">
        <v>39</v>
      </c>
      <c r="C273" s="15">
        <f t="shared" si="56"/>
        <v>0.74223221586263288</v>
      </c>
      <c r="D273" s="15">
        <f t="shared" si="57"/>
        <v>0.80260831122900089</v>
      </c>
      <c r="E273" s="15">
        <f t="shared" si="58"/>
        <v>0.92477514309076048</v>
      </c>
      <c r="F273" s="16"/>
      <c r="G273" s="16"/>
      <c r="H273" s="16">
        <v>4892</v>
      </c>
      <c r="I273" s="16">
        <f t="shared" si="60"/>
        <v>368</v>
      </c>
      <c r="J273" s="16">
        <v>4524</v>
      </c>
      <c r="K273" s="16">
        <v>3631</v>
      </c>
      <c r="L273" s="16">
        <f t="shared" si="59"/>
        <v>893</v>
      </c>
    </row>
    <row r="274" spans="1:12" s="18" customFormat="1" ht="15" customHeight="1">
      <c r="A274" s="82">
        <v>2015</v>
      </c>
      <c r="B274" s="83" t="s">
        <v>40</v>
      </c>
      <c r="C274" s="15">
        <f t="shared" si="56"/>
        <v>0.69097850110508341</v>
      </c>
      <c r="D274" s="15">
        <f t="shared" si="57"/>
        <v>0.78141331515564649</v>
      </c>
      <c r="E274" s="15">
        <f t="shared" si="58"/>
        <v>0.88426763110307416</v>
      </c>
      <c r="F274" s="16"/>
      <c r="G274" s="16"/>
      <c r="H274" s="16">
        <v>4977</v>
      </c>
      <c r="I274" s="16">
        <f t="shared" si="60"/>
        <v>576</v>
      </c>
      <c r="J274" s="16">
        <v>4401</v>
      </c>
      <c r="K274" s="16">
        <v>3439</v>
      </c>
      <c r="L274" s="16">
        <f t="shared" si="59"/>
        <v>962</v>
      </c>
    </row>
    <row r="275" spans="1:12" s="18" customFormat="1" ht="15" customHeight="1">
      <c r="A275" s="82">
        <v>2015</v>
      </c>
      <c r="B275" s="83" t="s">
        <v>41</v>
      </c>
      <c r="C275" s="15">
        <f t="shared" si="56"/>
        <v>0.72193263833199683</v>
      </c>
      <c r="D275" s="15">
        <f t="shared" si="57"/>
        <v>0.81915377616014562</v>
      </c>
      <c r="E275" s="15">
        <f t="shared" si="58"/>
        <v>0.88131515637530067</v>
      </c>
      <c r="F275" s="16"/>
      <c r="G275" s="16"/>
      <c r="H275" s="16">
        <v>4988</v>
      </c>
      <c r="I275" s="16">
        <f t="shared" si="60"/>
        <v>592</v>
      </c>
      <c r="J275" s="16">
        <v>4396</v>
      </c>
      <c r="K275" s="16">
        <v>3601</v>
      </c>
      <c r="L275" s="16">
        <f t="shared" si="59"/>
        <v>795</v>
      </c>
    </row>
    <row r="276" spans="1:12" s="18" customFormat="1" ht="15" customHeight="1">
      <c r="A276" s="82">
        <v>2015</v>
      </c>
      <c r="B276" s="83" t="s">
        <v>42</v>
      </c>
      <c r="C276" s="15">
        <f t="shared" si="56"/>
        <v>0.61922330097087375</v>
      </c>
      <c r="D276" s="15">
        <f t="shared" si="57"/>
        <v>0.73142201834862386</v>
      </c>
      <c r="E276" s="15">
        <f t="shared" si="58"/>
        <v>0.84660194174757286</v>
      </c>
      <c r="F276" s="16"/>
      <c r="G276" s="16"/>
      <c r="H276" s="16">
        <v>5150</v>
      </c>
      <c r="I276" s="16">
        <f t="shared" si="60"/>
        <v>790</v>
      </c>
      <c r="J276" s="16">
        <v>4360</v>
      </c>
      <c r="K276" s="16">
        <v>3189</v>
      </c>
      <c r="L276" s="16">
        <f t="shared" si="59"/>
        <v>1171</v>
      </c>
    </row>
    <row r="277" spans="1:12" s="18" customFormat="1" ht="15" customHeight="1">
      <c r="A277" s="82">
        <v>2015</v>
      </c>
      <c r="B277" s="83" t="s">
        <v>43</v>
      </c>
      <c r="C277" s="15">
        <f t="shared" si="56"/>
        <v>0.68440838939453896</v>
      </c>
      <c r="D277" s="15">
        <f t="shared" si="57"/>
        <v>0.79884526558891455</v>
      </c>
      <c r="E277" s="15">
        <f t="shared" si="58"/>
        <v>0.85674713098535815</v>
      </c>
      <c r="F277" s="16"/>
      <c r="G277" s="16"/>
      <c r="H277" s="16">
        <v>5054</v>
      </c>
      <c r="I277" s="16">
        <f t="shared" si="60"/>
        <v>724</v>
      </c>
      <c r="J277" s="16">
        <v>4330</v>
      </c>
      <c r="K277" s="16">
        <v>3459</v>
      </c>
      <c r="L277" s="16">
        <f t="shared" si="59"/>
        <v>871</v>
      </c>
    </row>
    <row r="278" spans="1:12" s="18" customFormat="1" ht="15" customHeight="1">
      <c r="A278" s="82">
        <v>2015</v>
      </c>
      <c r="B278" s="83" t="s">
        <v>44</v>
      </c>
      <c r="C278" s="15">
        <f t="shared" si="56"/>
        <v>0.79825604439159725</v>
      </c>
      <c r="D278" s="15">
        <f t="shared" si="57"/>
        <v>0.86979054199956818</v>
      </c>
      <c r="E278" s="15">
        <f t="shared" si="58"/>
        <v>0.91775663892191839</v>
      </c>
      <c r="F278" s="16"/>
      <c r="G278" s="16"/>
      <c r="H278" s="16">
        <v>5046</v>
      </c>
      <c r="I278" s="16">
        <f t="shared" si="60"/>
        <v>415</v>
      </c>
      <c r="J278" s="16">
        <v>4631</v>
      </c>
      <c r="K278" s="16">
        <v>4028</v>
      </c>
      <c r="L278" s="16">
        <f t="shared" si="59"/>
        <v>603</v>
      </c>
    </row>
    <row r="279" spans="1:12" s="18" customFormat="1" ht="15" customHeight="1">
      <c r="A279" s="82">
        <v>2015</v>
      </c>
      <c r="B279" s="83" t="s">
        <v>45</v>
      </c>
      <c r="C279" s="15">
        <f t="shared" si="56"/>
        <v>0.84681348664977585</v>
      </c>
      <c r="D279" s="15">
        <f t="shared" si="57"/>
        <v>0.88402848423194302</v>
      </c>
      <c r="E279" s="15">
        <f t="shared" si="58"/>
        <v>0.95790294289612166</v>
      </c>
      <c r="F279" s="16"/>
      <c r="G279" s="16"/>
      <c r="H279" s="16">
        <v>5131</v>
      </c>
      <c r="I279" s="16">
        <f t="shared" si="60"/>
        <v>216</v>
      </c>
      <c r="J279" s="16">
        <v>4915</v>
      </c>
      <c r="K279" s="16">
        <v>4345</v>
      </c>
      <c r="L279" s="16">
        <f t="shared" si="59"/>
        <v>570</v>
      </c>
    </row>
    <row r="280" spans="1:12" s="18" customFormat="1" ht="15" customHeight="1">
      <c r="A280" s="82">
        <v>2015</v>
      </c>
      <c r="B280" s="83" t="s">
        <v>46</v>
      </c>
      <c r="C280" s="15">
        <f t="shared" si="56"/>
        <v>0.81071136549468525</v>
      </c>
      <c r="D280" s="15">
        <f t="shared" si="57"/>
        <v>0.85327022375215145</v>
      </c>
      <c r="E280" s="15">
        <f t="shared" si="58"/>
        <v>0.95012264922322154</v>
      </c>
      <c r="F280" s="16"/>
      <c r="G280" s="16"/>
      <c r="H280" s="16">
        <v>4892</v>
      </c>
      <c r="I280" s="16">
        <f t="shared" si="60"/>
        <v>244</v>
      </c>
      <c r="J280" s="16">
        <v>4648</v>
      </c>
      <c r="K280" s="16">
        <v>3966</v>
      </c>
      <c r="L280" s="16">
        <f t="shared" si="59"/>
        <v>682</v>
      </c>
    </row>
    <row r="281" spans="1:12" s="18" customFormat="1" ht="15" customHeight="1">
      <c r="A281" s="82">
        <v>2015</v>
      </c>
      <c r="B281" s="83" t="s">
        <v>47</v>
      </c>
      <c r="C281" s="15">
        <f t="shared" si="56"/>
        <v>0.78943154523618897</v>
      </c>
      <c r="D281" s="15">
        <f t="shared" si="57"/>
        <v>0.83754512635379064</v>
      </c>
      <c r="E281" s="15">
        <f t="shared" si="58"/>
        <v>0.94255404323458769</v>
      </c>
      <c r="F281" s="16"/>
      <c r="G281" s="16"/>
      <c r="H281" s="16">
        <v>4996</v>
      </c>
      <c r="I281" s="16">
        <f t="shared" si="60"/>
        <v>287</v>
      </c>
      <c r="J281" s="16">
        <v>4709</v>
      </c>
      <c r="K281" s="16">
        <v>3944</v>
      </c>
      <c r="L281" s="16">
        <f t="shared" si="59"/>
        <v>765</v>
      </c>
    </row>
    <row r="282" spans="1:12" s="18" customFormat="1" ht="15" customHeight="1">
      <c r="A282" s="82">
        <v>2016</v>
      </c>
      <c r="B282" s="83" t="s">
        <v>36</v>
      </c>
      <c r="C282" s="15">
        <f t="shared" si="56"/>
        <v>0.67510882469331224</v>
      </c>
      <c r="D282" s="15">
        <f t="shared" si="57"/>
        <v>0.74808156106117074</v>
      </c>
      <c r="E282" s="15">
        <f t="shared" si="58"/>
        <v>0.90245350217649389</v>
      </c>
      <c r="F282" s="16"/>
      <c r="G282" s="16"/>
      <c r="H282" s="16">
        <v>5054</v>
      </c>
      <c r="I282" s="16">
        <f>+H282-J282</f>
        <v>493</v>
      </c>
      <c r="J282" s="16">
        <v>4561</v>
      </c>
      <c r="K282" s="16">
        <v>3412</v>
      </c>
      <c r="L282" s="16">
        <f t="shared" ref="L282:L293" si="61">J282-K282</f>
        <v>1149</v>
      </c>
    </row>
    <row r="283" spans="1:12" s="18" customFormat="1" ht="15" customHeight="1">
      <c r="A283" s="82">
        <v>2016</v>
      </c>
      <c r="B283" s="83" t="s">
        <v>37</v>
      </c>
      <c r="C283" s="15">
        <f t="shared" si="56"/>
        <v>0.55890469114837615</v>
      </c>
      <c r="D283" s="15">
        <f t="shared" si="57"/>
        <v>0.6490017254128666</v>
      </c>
      <c r="E283" s="15">
        <f t="shared" si="58"/>
        <v>0.86117597113139466</v>
      </c>
      <c r="F283" s="16"/>
      <c r="G283" s="16"/>
      <c r="H283" s="16">
        <v>4711</v>
      </c>
      <c r="I283" s="16">
        <f t="shared" ref="I283:I293" si="62">H283-J283</f>
        <v>654</v>
      </c>
      <c r="J283" s="16">
        <v>4057</v>
      </c>
      <c r="K283" s="16">
        <v>2633</v>
      </c>
      <c r="L283" s="16">
        <f t="shared" si="61"/>
        <v>1424</v>
      </c>
    </row>
    <row r="284" spans="1:12" s="18" customFormat="1" ht="15" customHeight="1">
      <c r="A284" s="82">
        <v>2016</v>
      </c>
      <c r="B284" s="83" t="s">
        <v>38</v>
      </c>
      <c r="C284" s="15">
        <f t="shared" si="56"/>
        <v>0.5162625665286813</v>
      </c>
      <c r="D284" s="15">
        <f t="shared" si="57"/>
        <v>0.5909296028880866</v>
      </c>
      <c r="E284" s="15">
        <f t="shared" si="58"/>
        <v>0.87364478612260987</v>
      </c>
      <c r="F284" s="16"/>
      <c r="G284" s="16"/>
      <c r="H284" s="16">
        <v>5073</v>
      </c>
      <c r="I284" s="16">
        <f t="shared" si="62"/>
        <v>641</v>
      </c>
      <c r="J284" s="16">
        <v>4432</v>
      </c>
      <c r="K284" s="16">
        <v>2619</v>
      </c>
      <c r="L284" s="16">
        <f t="shared" si="61"/>
        <v>1813</v>
      </c>
    </row>
    <row r="285" spans="1:12" s="18" customFormat="1" ht="15" customHeight="1">
      <c r="A285" s="82">
        <v>2016</v>
      </c>
      <c r="B285" s="83" t="s">
        <v>39</v>
      </c>
      <c r="C285" s="15">
        <f t="shared" si="56"/>
        <v>0.36667337492453211</v>
      </c>
      <c r="D285" s="15">
        <f t="shared" si="57"/>
        <v>0.49754232659748771</v>
      </c>
      <c r="E285" s="15">
        <f t="shared" si="58"/>
        <v>0.73696920909639763</v>
      </c>
      <c r="F285" s="16"/>
      <c r="G285" s="16"/>
      <c r="H285" s="16">
        <v>4969</v>
      </c>
      <c r="I285" s="16">
        <f t="shared" si="62"/>
        <v>1307</v>
      </c>
      <c r="J285" s="16">
        <v>3662</v>
      </c>
      <c r="K285" s="16">
        <v>1822</v>
      </c>
      <c r="L285" s="16">
        <f t="shared" si="61"/>
        <v>1840</v>
      </c>
    </row>
    <row r="286" spans="1:12" s="18" customFormat="1" ht="15" customHeight="1">
      <c r="A286" s="82">
        <v>2016</v>
      </c>
      <c r="B286" s="83" t="s">
        <v>40</v>
      </c>
      <c r="C286" s="15">
        <f t="shared" si="56"/>
        <v>0.41237926276365072</v>
      </c>
      <c r="D286" s="15">
        <f t="shared" si="57"/>
        <v>0.53572343149807944</v>
      </c>
      <c r="E286" s="15">
        <f t="shared" si="58"/>
        <v>0.76976148235757935</v>
      </c>
      <c r="F286" s="16"/>
      <c r="G286" s="16"/>
      <c r="H286" s="16">
        <v>5073</v>
      </c>
      <c r="I286" s="16">
        <f t="shared" si="62"/>
        <v>1168</v>
      </c>
      <c r="J286" s="16">
        <v>3905</v>
      </c>
      <c r="K286" s="16">
        <v>2092</v>
      </c>
      <c r="L286" s="16">
        <f t="shared" si="61"/>
        <v>1813</v>
      </c>
    </row>
    <row r="287" spans="1:12" s="18" customFormat="1" ht="15" customHeight="1">
      <c r="A287" s="82">
        <v>2016</v>
      </c>
      <c r="B287" s="83" t="s">
        <v>41</v>
      </c>
      <c r="C287" s="15">
        <f t="shared" si="56"/>
        <v>0.56520850367947673</v>
      </c>
      <c r="D287" s="15">
        <f t="shared" si="57"/>
        <v>0.65723793677204656</v>
      </c>
      <c r="E287" s="15">
        <f t="shared" si="58"/>
        <v>0.85997547015535569</v>
      </c>
      <c r="F287" s="16"/>
      <c r="G287" s="16"/>
      <c r="H287" s="16">
        <v>4892</v>
      </c>
      <c r="I287" s="16">
        <f t="shared" si="62"/>
        <v>685</v>
      </c>
      <c r="J287" s="16">
        <v>4207</v>
      </c>
      <c r="K287" s="16">
        <v>2765</v>
      </c>
      <c r="L287" s="16">
        <f t="shared" si="61"/>
        <v>1442</v>
      </c>
    </row>
    <row r="288" spans="1:12" s="18" customFormat="1" ht="15" customHeight="1">
      <c r="A288" s="82">
        <v>2016</v>
      </c>
      <c r="B288" s="83" t="s">
        <v>42</v>
      </c>
      <c r="C288" s="15">
        <f t="shared" si="56"/>
        <v>0.56545236188951165</v>
      </c>
      <c r="D288" s="15">
        <f t="shared" si="57"/>
        <v>0.6586616927022616</v>
      </c>
      <c r="E288" s="15">
        <f t="shared" si="58"/>
        <v>0.85848678943154522</v>
      </c>
      <c r="F288" s="16"/>
      <c r="G288" s="16"/>
      <c r="H288" s="16">
        <v>4996</v>
      </c>
      <c r="I288" s="16">
        <f t="shared" si="62"/>
        <v>707</v>
      </c>
      <c r="J288" s="16">
        <v>4289</v>
      </c>
      <c r="K288" s="16">
        <v>2825</v>
      </c>
      <c r="L288" s="16">
        <f t="shared" si="61"/>
        <v>1464</v>
      </c>
    </row>
    <row r="289" spans="1:12" s="18" customFormat="1" ht="15" customHeight="1">
      <c r="A289" s="82">
        <v>2016</v>
      </c>
      <c r="B289" s="83" t="s">
        <v>43</v>
      </c>
      <c r="C289" s="15">
        <f t="shared" si="56"/>
        <v>0.65956125827814571</v>
      </c>
      <c r="D289" s="15">
        <f t="shared" si="57"/>
        <v>0.71473424534649022</v>
      </c>
      <c r="E289" s="15">
        <f t="shared" si="58"/>
        <v>0.92280629139072845</v>
      </c>
      <c r="F289" s="16"/>
      <c r="G289" s="16"/>
      <c r="H289" s="16">
        <v>4832</v>
      </c>
      <c r="I289" s="16">
        <f t="shared" si="62"/>
        <v>373</v>
      </c>
      <c r="J289" s="16">
        <v>4459</v>
      </c>
      <c r="K289" s="16">
        <v>3187</v>
      </c>
      <c r="L289" s="16">
        <f t="shared" si="61"/>
        <v>1272</v>
      </c>
    </row>
    <row r="290" spans="1:12" s="18" customFormat="1" ht="15" customHeight="1">
      <c r="A290" s="82">
        <v>2016</v>
      </c>
      <c r="B290" s="83" t="s">
        <v>44</v>
      </c>
      <c r="C290" s="15">
        <f t="shared" si="56"/>
        <v>0.76547085201793719</v>
      </c>
      <c r="D290" s="15">
        <f t="shared" si="57"/>
        <v>0.78573072497123131</v>
      </c>
      <c r="E290" s="15">
        <f t="shared" si="58"/>
        <v>0.97421524663677128</v>
      </c>
      <c r="F290" s="16"/>
      <c r="G290" s="16"/>
      <c r="H290" s="16">
        <v>4460</v>
      </c>
      <c r="I290" s="16">
        <f t="shared" si="62"/>
        <v>115</v>
      </c>
      <c r="J290" s="16">
        <v>4345</v>
      </c>
      <c r="K290" s="16">
        <v>3414</v>
      </c>
      <c r="L290" s="16">
        <f t="shared" si="61"/>
        <v>931</v>
      </c>
    </row>
    <row r="291" spans="1:12" s="18" customFormat="1" ht="15" customHeight="1">
      <c r="A291" s="82">
        <v>2016</v>
      </c>
      <c r="B291" s="83" t="s">
        <v>45</v>
      </c>
      <c r="C291" s="15">
        <f t="shared" si="56"/>
        <v>0.77585441633377716</v>
      </c>
      <c r="D291" s="15">
        <f t="shared" si="57"/>
        <v>0.80627306273062727</v>
      </c>
      <c r="E291" s="15">
        <f t="shared" si="58"/>
        <v>0.96227252552152687</v>
      </c>
      <c r="F291" s="16"/>
      <c r="G291" s="16"/>
      <c r="H291" s="16">
        <v>4506</v>
      </c>
      <c r="I291" s="16">
        <f t="shared" si="62"/>
        <v>170</v>
      </c>
      <c r="J291" s="16">
        <v>4336</v>
      </c>
      <c r="K291" s="16">
        <v>3496</v>
      </c>
      <c r="L291" s="16">
        <f t="shared" si="61"/>
        <v>840</v>
      </c>
    </row>
    <row r="292" spans="1:12" s="18" customFormat="1" ht="15" customHeight="1">
      <c r="A292" s="82">
        <v>2016</v>
      </c>
      <c r="B292" s="83" t="s">
        <v>46</v>
      </c>
      <c r="C292" s="15">
        <f t="shared" si="56"/>
        <v>0.73961407491486941</v>
      </c>
      <c r="D292" s="15">
        <f t="shared" si="57"/>
        <v>0.77350427350427353</v>
      </c>
      <c r="E292" s="15">
        <f t="shared" si="58"/>
        <v>0.95618615209988644</v>
      </c>
      <c r="F292" s="16"/>
      <c r="G292" s="16"/>
      <c r="H292" s="16">
        <v>4405</v>
      </c>
      <c r="I292" s="16">
        <f t="shared" si="62"/>
        <v>193</v>
      </c>
      <c r="J292" s="16">
        <v>4212</v>
      </c>
      <c r="K292" s="16">
        <v>3258</v>
      </c>
      <c r="L292" s="16">
        <f t="shared" si="61"/>
        <v>954</v>
      </c>
    </row>
    <row r="293" spans="1:12" s="18" customFormat="1" ht="15" customHeight="1">
      <c r="A293" s="82">
        <v>2016</v>
      </c>
      <c r="B293" s="83" t="s">
        <v>47</v>
      </c>
      <c r="C293" s="15">
        <f t="shared" si="56"/>
        <v>0.59476253883710606</v>
      </c>
      <c r="D293" s="15">
        <f t="shared" si="57"/>
        <v>0.6917914300464636</v>
      </c>
      <c r="E293" s="15">
        <f t="shared" si="58"/>
        <v>0.85974256546826455</v>
      </c>
      <c r="F293" s="16"/>
      <c r="G293" s="16"/>
      <c r="H293" s="16">
        <v>4506</v>
      </c>
      <c r="I293" s="16">
        <f t="shared" si="62"/>
        <v>632</v>
      </c>
      <c r="J293" s="16">
        <v>3874</v>
      </c>
      <c r="K293" s="16">
        <v>2680</v>
      </c>
      <c r="L293" s="16">
        <f t="shared" si="61"/>
        <v>1194</v>
      </c>
    </row>
    <row r="294" spans="1:12" s="18" customFormat="1" ht="15" customHeight="1">
      <c r="A294" s="82">
        <v>2017</v>
      </c>
      <c r="B294" s="83" t="s">
        <v>36</v>
      </c>
      <c r="C294" s="15">
        <f t="shared" si="56"/>
        <v>0.5851786888840167</v>
      </c>
      <c r="D294" s="15">
        <f t="shared" si="57"/>
        <v>0.63775388291517321</v>
      </c>
      <c r="E294" s="15">
        <f t="shared" si="58"/>
        <v>0.91756193817145359</v>
      </c>
      <c r="F294" s="16"/>
      <c r="G294" s="16"/>
      <c r="H294" s="16">
        <v>4561</v>
      </c>
      <c r="I294" s="16">
        <f>+H294-J294</f>
        <v>376</v>
      </c>
      <c r="J294" s="16">
        <v>4185</v>
      </c>
      <c r="K294" s="16">
        <v>2669</v>
      </c>
      <c r="L294" s="16">
        <f t="shared" ref="L294:L305" si="63">J294-K294</f>
        <v>1516</v>
      </c>
    </row>
    <row r="295" spans="1:12" s="18" customFormat="1" ht="15" customHeight="1">
      <c r="A295" s="82">
        <v>2017</v>
      </c>
      <c r="B295" s="83" t="s">
        <v>37</v>
      </c>
      <c r="C295" s="15">
        <f t="shared" si="56"/>
        <v>0.57602773650321937</v>
      </c>
      <c r="D295" s="15">
        <f t="shared" si="57"/>
        <v>0.63103635377102552</v>
      </c>
      <c r="E295" s="15">
        <f t="shared" si="58"/>
        <v>0.91282813273897967</v>
      </c>
      <c r="F295" s="16"/>
      <c r="G295" s="16"/>
      <c r="H295" s="16">
        <v>4038</v>
      </c>
      <c r="I295" s="16">
        <f t="shared" ref="I295:I305" si="64">H295-J295</f>
        <v>352</v>
      </c>
      <c r="J295" s="16">
        <v>3686</v>
      </c>
      <c r="K295" s="16">
        <v>2326</v>
      </c>
      <c r="L295" s="16">
        <f t="shared" si="63"/>
        <v>1360</v>
      </c>
    </row>
    <row r="296" spans="1:12" s="18" customFormat="1" ht="15" customHeight="1">
      <c r="A296" s="82">
        <v>2017</v>
      </c>
      <c r="B296" s="83" t="s">
        <v>38</v>
      </c>
      <c r="C296" s="15">
        <f t="shared" si="56"/>
        <v>0.44924358693269018</v>
      </c>
      <c r="D296" s="15">
        <f t="shared" si="57"/>
        <v>0.5020828228375398</v>
      </c>
      <c r="E296" s="15">
        <f t="shared" si="58"/>
        <v>0.89475992106994084</v>
      </c>
      <c r="F296" s="16"/>
      <c r="G296" s="16"/>
      <c r="H296" s="16">
        <v>4561</v>
      </c>
      <c r="I296" s="16">
        <f t="shared" si="64"/>
        <v>480</v>
      </c>
      <c r="J296" s="16">
        <v>4081</v>
      </c>
      <c r="K296" s="16">
        <v>2049</v>
      </c>
      <c r="L296" s="16">
        <f t="shared" si="63"/>
        <v>2032</v>
      </c>
    </row>
    <row r="297" spans="1:12" s="18" customFormat="1" ht="15" customHeight="1">
      <c r="A297" s="82">
        <v>2017</v>
      </c>
      <c r="B297" s="83" t="s">
        <v>39</v>
      </c>
      <c r="C297" s="15">
        <f t="shared" si="56"/>
        <v>0.3690557451649602</v>
      </c>
      <c r="D297" s="15">
        <f t="shared" si="57"/>
        <v>0.44462719298245612</v>
      </c>
      <c r="E297" s="15">
        <f t="shared" si="58"/>
        <v>0.83003412969283275</v>
      </c>
      <c r="F297" s="16"/>
      <c r="G297" s="16"/>
      <c r="H297" s="16">
        <v>4395</v>
      </c>
      <c r="I297" s="16">
        <f t="shared" si="64"/>
        <v>747</v>
      </c>
      <c r="J297" s="16">
        <v>3648</v>
      </c>
      <c r="K297" s="16">
        <v>1622</v>
      </c>
      <c r="L297" s="16">
        <f t="shared" si="63"/>
        <v>2026</v>
      </c>
    </row>
    <row r="298" spans="1:12" s="18" customFormat="1" ht="15" customHeight="1">
      <c r="A298" s="82">
        <v>2017</v>
      </c>
      <c r="B298" s="83" t="s">
        <v>40</v>
      </c>
      <c r="C298" s="15">
        <f t="shared" si="56"/>
        <v>0.44944057420308214</v>
      </c>
      <c r="D298" s="15">
        <f t="shared" si="57"/>
        <v>0.51901511457825455</v>
      </c>
      <c r="E298" s="15">
        <f t="shared" si="58"/>
        <v>0.86594891281401731</v>
      </c>
      <c r="F298" s="16"/>
      <c r="G298" s="16"/>
      <c r="H298" s="16">
        <v>4737</v>
      </c>
      <c r="I298" s="16">
        <f t="shared" si="64"/>
        <v>635</v>
      </c>
      <c r="J298" s="16">
        <v>4102</v>
      </c>
      <c r="K298" s="16">
        <v>2129</v>
      </c>
      <c r="L298" s="16">
        <f t="shared" si="63"/>
        <v>1973</v>
      </c>
    </row>
    <row r="299" spans="1:12" s="18" customFormat="1" ht="15" customHeight="1">
      <c r="A299" s="82">
        <v>2017</v>
      </c>
      <c r="B299" s="83" t="s">
        <v>41</v>
      </c>
      <c r="C299" s="15">
        <f t="shared" si="56"/>
        <v>0.40699453551912568</v>
      </c>
      <c r="D299" s="15">
        <f t="shared" si="57"/>
        <v>0.49892818863879956</v>
      </c>
      <c r="E299" s="15">
        <f t="shared" si="58"/>
        <v>0.81573770491803277</v>
      </c>
      <c r="F299" s="16"/>
      <c r="G299" s="16"/>
      <c r="H299" s="16">
        <v>4575</v>
      </c>
      <c r="I299" s="16">
        <f t="shared" si="64"/>
        <v>843</v>
      </c>
      <c r="J299" s="16">
        <v>3732</v>
      </c>
      <c r="K299" s="16">
        <v>1862</v>
      </c>
      <c r="L299" s="16">
        <f t="shared" si="63"/>
        <v>1870</v>
      </c>
    </row>
    <row r="300" spans="1:12" s="18" customFormat="1" ht="15" customHeight="1">
      <c r="A300" s="82">
        <v>2017</v>
      </c>
      <c r="B300" s="83" t="s">
        <v>42</v>
      </c>
      <c r="C300" s="15">
        <f t="shared" si="56"/>
        <v>0.56850886339937434</v>
      </c>
      <c r="D300" s="15">
        <f t="shared" si="57"/>
        <v>0.63043478260869568</v>
      </c>
      <c r="E300" s="15">
        <f t="shared" si="58"/>
        <v>0.90177267987486964</v>
      </c>
      <c r="F300" s="16"/>
      <c r="G300" s="16"/>
      <c r="H300" s="16">
        <v>4795</v>
      </c>
      <c r="I300" s="16">
        <f t="shared" si="64"/>
        <v>471</v>
      </c>
      <c r="J300" s="16">
        <v>4324</v>
      </c>
      <c r="K300" s="16">
        <v>2726</v>
      </c>
      <c r="L300" s="16">
        <f t="shared" si="63"/>
        <v>1598</v>
      </c>
    </row>
    <row r="301" spans="1:12" s="18" customFormat="1" ht="15" customHeight="1">
      <c r="A301" s="82">
        <v>2017</v>
      </c>
      <c r="B301" s="83" t="s">
        <v>43</v>
      </c>
      <c r="C301" s="15">
        <f t="shared" si="56"/>
        <v>0.49645685702375991</v>
      </c>
      <c r="D301" s="15">
        <f t="shared" si="57"/>
        <v>0.53721244925575107</v>
      </c>
      <c r="E301" s="15">
        <f t="shared" si="58"/>
        <v>0.92413505627344728</v>
      </c>
      <c r="F301" s="16"/>
      <c r="G301" s="16"/>
      <c r="H301" s="16">
        <v>4798</v>
      </c>
      <c r="I301" s="16">
        <f t="shared" si="64"/>
        <v>364</v>
      </c>
      <c r="J301" s="16">
        <v>4434</v>
      </c>
      <c r="K301" s="16">
        <v>2382</v>
      </c>
      <c r="L301" s="16">
        <f t="shared" si="63"/>
        <v>2052</v>
      </c>
    </row>
    <row r="302" spans="1:12" s="18" customFormat="1" ht="15" customHeight="1">
      <c r="A302" s="82">
        <v>2017</v>
      </c>
      <c r="B302" s="83" t="s">
        <v>44</v>
      </c>
      <c r="C302" s="15">
        <f t="shared" si="56"/>
        <v>0.46173523768919206</v>
      </c>
      <c r="D302" s="15">
        <f t="shared" si="57"/>
        <v>0.5084507042253521</v>
      </c>
      <c r="E302" s="15">
        <f t="shared" si="58"/>
        <v>0.90812193562140264</v>
      </c>
      <c r="F302" s="16"/>
      <c r="G302" s="16"/>
      <c r="H302" s="16">
        <v>4691</v>
      </c>
      <c r="I302" s="16">
        <f t="shared" si="64"/>
        <v>431</v>
      </c>
      <c r="J302" s="16">
        <v>4260</v>
      </c>
      <c r="K302" s="16">
        <v>2166</v>
      </c>
      <c r="L302" s="16">
        <f t="shared" si="63"/>
        <v>2094</v>
      </c>
    </row>
    <row r="303" spans="1:12" s="18" customFormat="1" ht="15" customHeight="1">
      <c r="A303" s="82">
        <v>2017</v>
      </c>
      <c r="B303" s="83" t="s">
        <v>45</v>
      </c>
      <c r="C303" s="15">
        <f t="shared" si="56"/>
        <v>0.43234114418408276</v>
      </c>
      <c r="D303" s="15">
        <f t="shared" si="57"/>
        <v>0.4717806956922368</v>
      </c>
      <c r="E303" s="15">
        <f t="shared" si="58"/>
        <v>0.91640278657378083</v>
      </c>
      <c r="F303" s="16"/>
      <c r="G303" s="16"/>
      <c r="H303" s="16">
        <v>4737</v>
      </c>
      <c r="I303" s="16">
        <f t="shared" si="64"/>
        <v>396</v>
      </c>
      <c r="J303" s="16">
        <v>4341</v>
      </c>
      <c r="K303" s="16">
        <v>2048</v>
      </c>
      <c r="L303" s="16">
        <f t="shared" si="63"/>
        <v>2293</v>
      </c>
    </row>
    <row r="304" spans="1:12" s="18" customFormat="1" ht="15" customHeight="1">
      <c r="A304" s="82">
        <v>2017</v>
      </c>
      <c r="B304" s="83" t="s">
        <v>46</v>
      </c>
      <c r="C304" s="15">
        <f t="shared" si="56"/>
        <v>0.50399309302827544</v>
      </c>
      <c r="D304" s="15">
        <f t="shared" si="57"/>
        <v>0.55279356060606055</v>
      </c>
      <c r="E304" s="15">
        <f t="shared" si="58"/>
        <v>0.91172026764515435</v>
      </c>
      <c r="F304" s="16"/>
      <c r="G304" s="16"/>
      <c r="H304" s="16">
        <v>4633</v>
      </c>
      <c r="I304" s="16">
        <f t="shared" si="64"/>
        <v>409</v>
      </c>
      <c r="J304" s="16">
        <v>4224</v>
      </c>
      <c r="K304" s="16">
        <v>2335</v>
      </c>
      <c r="L304" s="16">
        <f t="shared" si="63"/>
        <v>1889</v>
      </c>
    </row>
    <row r="305" spans="1:13" s="18" customFormat="1" ht="15" customHeight="1">
      <c r="A305" s="82">
        <v>2017</v>
      </c>
      <c r="B305" s="83" t="s">
        <v>47</v>
      </c>
      <c r="C305" s="15">
        <f t="shared" si="56"/>
        <v>0.57992724160068476</v>
      </c>
      <c r="D305" s="15">
        <f t="shared" si="57"/>
        <v>0.64894636015325668</v>
      </c>
      <c r="E305" s="15">
        <f t="shared" si="58"/>
        <v>0.89364433982452385</v>
      </c>
      <c r="F305" s="16"/>
      <c r="G305" s="16"/>
      <c r="H305" s="16">
        <v>4673</v>
      </c>
      <c r="I305" s="16">
        <f t="shared" si="64"/>
        <v>497</v>
      </c>
      <c r="J305" s="16">
        <v>4176</v>
      </c>
      <c r="K305" s="16">
        <v>2710</v>
      </c>
      <c r="L305" s="16">
        <f t="shared" si="63"/>
        <v>1466</v>
      </c>
    </row>
    <row r="306" spans="1:13" s="18" customFormat="1" ht="15" customHeight="1">
      <c r="A306" s="82">
        <v>2018</v>
      </c>
      <c r="B306" s="83" t="s">
        <v>36</v>
      </c>
      <c r="C306" s="15">
        <f t="shared" si="56"/>
        <v>0.63130471029595669</v>
      </c>
      <c r="D306" s="15">
        <f t="shared" si="57"/>
        <v>0.66425438596491226</v>
      </c>
      <c r="E306" s="15">
        <f t="shared" si="58"/>
        <v>0.95039599833263855</v>
      </c>
      <c r="F306" s="16"/>
      <c r="G306" s="16"/>
      <c r="H306" s="16">
        <v>4798</v>
      </c>
      <c r="I306" s="16">
        <f t="shared" ref="I306:I314" si="65">+H306-J306</f>
        <v>238</v>
      </c>
      <c r="J306" s="16">
        <v>4560</v>
      </c>
      <c r="K306" s="16">
        <v>3029</v>
      </c>
      <c r="L306" s="16">
        <f t="shared" ref="L306:L317" si="66">J306-K306</f>
        <v>1531</v>
      </c>
    </row>
    <row r="307" spans="1:13" s="18" customFormat="1" ht="15" customHeight="1">
      <c r="A307" s="82">
        <v>2018</v>
      </c>
      <c r="B307" s="83" t="s">
        <v>37</v>
      </c>
      <c r="C307" s="15">
        <f t="shared" si="56"/>
        <v>0.67161716171617158</v>
      </c>
      <c r="D307" s="15">
        <f t="shared" si="57"/>
        <v>0.69538686844032216</v>
      </c>
      <c r="E307" s="15">
        <f t="shared" si="58"/>
        <v>0.96581801037246584</v>
      </c>
      <c r="F307" s="16"/>
      <c r="G307" s="16"/>
      <c r="H307" s="16">
        <v>4242</v>
      </c>
      <c r="I307" s="16">
        <f t="shared" si="65"/>
        <v>145</v>
      </c>
      <c r="J307" s="16">
        <v>4097</v>
      </c>
      <c r="K307" s="16">
        <v>2849</v>
      </c>
      <c r="L307" s="16">
        <f t="shared" si="66"/>
        <v>1248</v>
      </c>
    </row>
    <row r="308" spans="1:13" s="18" customFormat="1" ht="15" customHeight="1">
      <c r="A308" s="82">
        <v>2018</v>
      </c>
      <c r="B308" s="83" t="s">
        <v>38</v>
      </c>
      <c r="C308" s="15">
        <f t="shared" si="56"/>
        <v>0.63985644922947016</v>
      </c>
      <c r="D308" s="15">
        <f t="shared" si="57"/>
        <v>0.66644678979771332</v>
      </c>
      <c r="E308" s="15">
        <f t="shared" si="58"/>
        <v>0.9601013299556681</v>
      </c>
      <c r="F308" s="16"/>
      <c r="G308" s="16"/>
      <c r="H308" s="16">
        <v>4737</v>
      </c>
      <c r="I308" s="16">
        <f t="shared" si="65"/>
        <v>189</v>
      </c>
      <c r="J308" s="16">
        <v>4548</v>
      </c>
      <c r="K308" s="16">
        <v>3031</v>
      </c>
      <c r="L308" s="16">
        <f t="shared" si="66"/>
        <v>1517</v>
      </c>
    </row>
    <row r="309" spans="1:13" s="18" customFormat="1" ht="15" customHeight="1">
      <c r="A309" s="82">
        <v>2018</v>
      </c>
      <c r="B309" s="83" t="s">
        <v>39</v>
      </c>
      <c r="C309" s="15">
        <f t="shared" si="56"/>
        <v>0.55468066491688539</v>
      </c>
      <c r="D309" s="15">
        <f t="shared" si="57"/>
        <v>0.60976196201009858</v>
      </c>
      <c r="E309" s="15">
        <f t="shared" si="58"/>
        <v>0.90966754155730534</v>
      </c>
      <c r="F309" s="16"/>
      <c r="G309" s="16"/>
      <c r="H309" s="16">
        <v>4572</v>
      </c>
      <c r="I309" s="16">
        <f t="shared" si="65"/>
        <v>413</v>
      </c>
      <c r="J309" s="16">
        <v>4159</v>
      </c>
      <c r="K309" s="16">
        <v>2536</v>
      </c>
      <c r="L309" s="16">
        <f t="shared" si="66"/>
        <v>1623</v>
      </c>
    </row>
    <row r="310" spans="1:13" s="18" customFormat="1" ht="15" customHeight="1">
      <c r="A310" s="82">
        <v>2018</v>
      </c>
      <c r="B310" s="83" t="s">
        <v>40</v>
      </c>
      <c r="C310" s="15">
        <f t="shared" si="56"/>
        <v>0.39413130673421998</v>
      </c>
      <c r="D310" s="15">
        <f t="shared" si="57"/>
        <v>0.57007633587786255</v>
      </c>
      <c r="E310" s="15">
        <f t="shared" si="58"/>
        <v>0.69136584336077689</v>
      </c>
      <c r="F310" s="16"/>
      <c r="G310" s="16"/>
      <c r="H310" s="16">
        <v>4737</v>
      </c>
      <c r="I310" s="16">
        <f t="shared" si="65"/>
        <v>1462</v>
      </c>
      <c r="J310" s="16">
        <v>3275</v>
      </c>
      <c r="K310" s="16">
        <v>1867</v>
      </c>
      <c r="L310" s="16">
        <f t="shared" si="66"/>
        <v>1408</v>
      </c>
    </row>
    <row r="311" spans="1:13" s="18" customFormat="1" ht="15" customHeight="1">
      <c r="A311" s="82">
        <v>2018</v>
      </c>
      <c r="B311" s="83" t="s">
        <v>41</v>
      </c>
      <c r="C311" s="15"/>
      <c r="D311" s="15"/>
      <c r="E311" s="15"/>
      <c r="F311" s="16"/>
      <c r="G311" s="16"/>
      <c r="H311" s="16"/>
      <c r="I311" s="16"/>
      <c r="J311" s="16">
        <v>2717</v>
      </c>
      <c r="K311" s="16"/>
      <c r="L311" s="16"/>
      <c r="M311" s="18" t="s">
        <v>74</v>
      </c>
    </row>
    <row r="312" spans="1:13" s="18" customFormat="1" ht="15" customHeight="1">
      <c r="A312" s="82">
        <v>2018</v>
      </c>
      <c r="B312" s="83" t="s">
        <v>42</v>
      </c>
      <c r="C312" s="15">
        <f t="shared" si="56"/>
        <v>0.73337555414819511</v>
      </c>
      <c r="D312" s="15">
        <f t="shared" si="57"/>
        <v>0.91013885250196491</v>
      </c>
      <c r="E312" s="15">
        <f t="shared" si="58"/>
        <v>0.8057842516360566</v>
      </c>
      <c r="F312" s="16"/>
      <c r="G312" s="16"/>
      <c r="H312" s="16">
        <v>4737</v>
      </c>
      <c r="I312" s="16">
        <f t="shared" si="65"/>
        <v>920</v>
      </c>
      <c r="J312" s="16">
        <v>3817</v>
      </c>
      <c r="K312" s="16">
        <v>3474</v>
      </c>
      <c r="L312" s="16">
        <f t="shared" si="66"/>
        <v>343</v>
      </c>
    </row>
    <row r="313" spans="1:13" s="18" customFormat="1" ht="15" customHeight="1">
      <c r="A313" s="82">
        <v>2018</v>
      </c>
      <c r="B313" s="83" t="s">
        <v>43</v>
      </c>
      <c r="C313" s="15">
        <f t="shared" si="56"/>
        <v>0.85889954147561487</v>
      </c>
      <c r="D313" s="15">
        <f t="shared" si="57"/>
        <v>0.89392624728850323</v>
      </c>
      <c r="E313" s="15">
        <f t="shared" si="58"/>
        <v>0.96081700708628592</v>
      </c>
      <c r="F313" s="16"/>
      <c r="G313" s="16"/>
      <c r="H313" s="16">
        <v>4798</v>
      </c>
      <c r="I313" s="16">
        <f t="shared" si="65"/>
        <v>188</v>
      </c>
      <c r="J313" s="16">
        <v>4610</v>
      </c>
      <c r="K313" s="16">
        <v>4121</v>
      </c>
      <c r="L313" s="16">
        <f t="shared" si="66"/>
        <v>489</v>
      </c>
    </row>
    <row r="314" spans="1:13" s="18" customFormat="1" ht="15" customHeight="1">
      <c r="A314" s="82">
        <v>2018</v>
      </c>
      <c r="B314" s="83" t="s">
        <v>44</v>
      </c>
      <c r="C314" s="15">
        <f t="shared" si="56"/>
        <v>0.83498920086393091</v>
      </c>
      <c r="D314" s="15">
        <f t="shared" si="57"/>
        <v>0.90986114379854088</v>
      </c>
      <c r="E314" s="15">
        <f t="shared" si="58"/>
        <v>0.91771058315334775</v>
      </c>
      <c r="F314" s="16"/>
      <c r="G314" s="16"/>
      <c r="H314" s="16">
        <v>4630</v>
      </c>
      <c r="I314" s="16">
        <f t="shared" si="65"/>
        <v>381</v>
      </c>
      <c r="J314" s="16">
        <v>4249</v>
      </c>
      <c r="K314" s="16">
        <v>3866</v>
      </c>
      <c r="L314" s="16">
        <f t="shared" si="66"/>
        <v>383</v>
      </c>
    </row>
    <row r="315" spans="1:13" s="18" customFormat="1" ht="15" customHeight="1">
      <c r="A315" s="82">
        <v>2018</v>
      </c>
      <c r="B315" s="83" t="s">
        <v>45</v>
      </c>
      <c r="C315" s="15">
        <f t="shared" si="56"/>
        <v>0.86932055022926225</v>
      </c>
      <c r="D315" s="15">
        <f t="shared" si="57"/>
        <v>0.90028059572631125</v>
      </c>
      <c r="E315" s="15">
        <f t="shared" si="58"/>
        <v>0.96561067111296373</v>
      </c>
      <c r="F315" s="16"/>
      <c r="G315" s="16"/>
      <c r="H315" s="16">
        <v>4798</v>
      </c>
      <c r="I315" s="16">
        <f>H315-J315</f>
        <v>165</v>
      </c>
      <c r="J315" s="16">
        <v>4633</v>
      </c>
      <c r="K315" s="16">
        <v>4171</v>
      </c>
      <c r="L315" s="16">
        <f t="shared" si="66"/>
        <v>462</v>
      </c>
    </row>
    <row r="316" spans="1:13" s="18" customFormat="1" ht="15" customHeight="1">
      <c r="A316" s="82">
        <v>2018</v>
      </c>
      <c r="B316" s="83" t="s">
        <v>46</v>
      </c>
      <c r="C316" s="15">
        <f t="shared" si="56"/>
        <v>0.82387222102309521</v>
      </c>
      <c r="D316" s="15">
        <f t="shared" si="57"/>
        <v>0.89307440336920918</v>
      </c>
      <c r="E316" s="15">
        <f t="shared" si="58"/>
        <v>0.92251241096481762</v>
      </c>
      <c r="F316" s="16"/>
      <c r="G316" s="16"/>
      <c r="H316" s="16">
        <v>4633</v>
      </c>
      <c r="I316" s="16">
        <f>H316-J316</f>
        <v>359</v>
      </c>
      <c r="J316" s="16">
        <v>4274</v>
      </c>
      <c r="K316" s="16">
        <v>3817</v>
      </c>
      <c r="L316" s="16">
        <f t="shared" si="66"/>
        <v>457</v>
      </c>
    </row>
    <row r="317" spans="1:13" s="18" customFormat="1" ht="15" customHeight="1">
      <c r="A317" s="82">
        <v>2018</v>
      </c>
      <c r="B317" s="83" t="s">
        <v>47</v>
      </c>
      <c r="C317" s="15">
        <f t="shared" si="56"/>
        <v>0.80039525691699609</v>
      </c>
      <c r="D317" s="15">
        <f t="shared" si="57"/>
        <v>0.88363636363636366</v>
      </c>
      <c r="E317" s="15">
        <f t="shared" si="58"/>
        <v>0.90579710144927539</v>
      </c>
      <c r="F317" s="16"/>
      <c r="G317" s="16"/>
      <c r="H317" s="16">
        <v>4554</v>
      </c>
      <c r="I317" s="16">
        <f>H317-J317</f>
        <v>429</v>
      </c>
      <c r="J317" s="16">
        <v>4125</v>
      </c>
      <c r="K317" s="16">
        <v>3645</v>
      </c>
      <c r="L317" s="16">
        <f t="shared" si="66"/>
        <v>480</v>
      </c>
    </row>
    <row r="318" spans="1:13" s="18" customFormat="1" ht="15" customHeight="1">
      <c r="A318" s="82">
        <v>2019</v>
      </c>
      <c r="B318" s="83" t="s">
        <v>36</v>
      </c>
      <c r="C318" s="15">
        <f t="shared" si="56"/>
        <v>0.8595248020008337</v>
      </c>
      <c r="D318" s="15">
        <f t="shared" si="57"/>
        <v>0.89652173913043476</v>
      </c>
      <c r="E318" s="15">
        <f t="shared" si="58"/>
        <v>0.95873280533555649</v>
      </c>
      <c r="F318" s="16"/>
      <c r="G318" s="16"/>
      <c r="H318" s="16">
        <v>4798</v>
      </c>
      <c r="I318" s="16">
        <f t="shared" ref="I318:I333" si="67">+H318-J318</f>
        <v>198</v>
      </c>
      <c r="J318" s="16">
        <v>4600</v>
      </c>
      <c r="K318" s="16">
        <v>4124</v>
      </c>
      <c r="L318" s="16">
        <f t="shared" ref="L318:L333" si="68">J318-K318</f>
        <v>476</v>
      </c>
    </row>
    <row r="319" spans="1:13" s="18" customFormat="1" ht="15" customHeight="1">
      <c r="A319" s="82">
        <v>2019</v>
      </c>
      <c r="B319" s="83" t="s">
        <v>37</v>
      </c>
      <c r="C319" s="15">
        <f t="shared" si="56"/>
        <v>0.83455545371219064</v>
      </c>
      <c r="D319" s="15">
        <f t="shared" si="57"/>
        <v>0.86282871357498225</v>
      </c>
      <c r="E319" s="15">
        <f t="shared" si="58"/>
        <v>0.96723189734188819</v>
      </c>
      <c r="F319" s="16"/>
      <c r="G319" s="16"/>
      <c r="H319" s="16">
        <v>4364</v>
      </c>
      <c r="I319" s="16">
        <f t="shared" si="67"/>
        <v>143</v>
      </c>
      <c r="J319" s="16">
        <v>4221</v>
      </c>
      <c r="K319" s="16">
        <v>3642</v>
      </c>
      <c r="L319" s="16">
        <f t="shared" si="68"/>
        <v>579</v>
      </c>
    </row>
    <row r="320" spans="1:13" s="18" customFormat="1" ht="15" customHeight="1">
      <c r="A320" s="82">
        <v>2019</v>
      </c>
      <c r="B320" s="83" t="s">
        <v>38</v>
      </c>
      <c r="C320" s="15">
        <f t="shared" si="56"/>
        <v>0.7355018189599829</v>
      </c>
      <c r="D320" s="15">
        <f t="shared" si="57"/>
        <v>0.77865881286814675</v>
      </c>
      <c r="E320" s="15">
        <f t="shared" si="58"/>
        <v>0.94457521934517441</v>
      </c>
      <c r="F320" s="16"/>
      <c r="G320" s="16"/>
      <c r="H320" s="16">
        <v>4673</v>
      </c>
      <c r="I320" s="16">
        <f t="shared" si="67"/>
        <v>259</v>
      </c>
      <c r="J320" s="16">
        <v>4414</v>
      </c>
      <c r="K320" s="16">
        <v>3437</v>
      </c>
      <c r="L320" s="16">
        <f t="shared" si="68"/>
        <v>977</v>
      </c>
    </row>
    <row r="321" spans="1:12" s="18" customFormat="1" ht="15" customHeight="1">
      <c r="A321" s="82">
        <v>2019</v>
      </c>
      <c r="B321" s="83" t="s">
        <v>39</v>
      </c>
      <c r="C321" s="15">
        <f t="shared" si="56"/>
        <v>0.72200349956255472</v>
      </c>
      <c r="D321" s="15">
        <f t="shared" si="57"/>
        <v>0.75902506323292707</v>
      </c>
      <c r="E321" s="15">
        <f t="shared" si="58"/>
        <v>0.95122484689413822</v>
      </c>
      <c r="F321" s="16"/>
      <c r="G321" s="16"/>
      <c r="H321" s="16">
        <v>4572</v>
      </c>
      <c r="I321" s="16">
        <f t="shared" si="67"/>
        <v>223</v>
      </c>
      <c r="J321" s="16">
        <v>4349</v>
      </c>
      <c r="K321" s="16">
        <v>3301</v>
      </c>
      <c r="L321" s="16">
        <f t="shared" si="68"/>
        <v>1048</v>
      </c>
    </row>
    <row r="322" spans="1:12" s="18" customFormat="1" ht="15" customHeight="1">
      <c r="A322" s="82">
        <v>2019</v>
      </c>
      <c r="B322" s="83" t="s">
        <v>40</v>
      </c>
      <c r="C322" s="15">
        <f t="shared" si="56"/>
        <v>0.61181434599156115</v>
      </c>
      <c r="D322" s="15">
        <f t="shared" si="57"/>
        <v>0.73735062293414699</v>
      </c>
      <c r="E322" s="15">
        <f t="shared" si="58"/>
        <v>0.82974683544303796</v>
      </c>
      <c r="F322" s="16"/>
      <c r="G322" s="16"/>
      <c r="H322" s="16">
        <v>4740</v>
      </c>
      <c r="I322" s="16">
        <f t="shared" si="67"/>
        <v>807</v>
      </c>
      <c r="J322" s="16">
        <v>3933</v>
      </c>
      <c r="K322" s="16">
        <v>2900</v>
      </c>
      <c r="L322" s="16">
        <f t="shared" si="68"/>
        <v>1033</v>
      </c>
    </row>
    <row r="323" spans="1:12" s="18" customFormat="1" ht="15" customHeight="1">
      <c r="A323" s="82">
        <v>2019</v>
      </c>
      <c r="B323" s="83" t="s">
        <v>41</v>
      </c>
      <c r="C323" s="15">
        <f t="shared" si="56"/>
        <v>0.70585625554569653</v>
      </c>
      <c r="D323" s="15">
        <f t="shared" si="57"/>
        <v>0.74589779653070787</v>
      </c>
      <c r="E323" s="15">
        <f t="shared" si="58"/>
        <v>0.94631765749778174</v>
      </c>
      <c r="F323" s="16"/>
      <c r="G323" s="16"/>
      <c r="H323" s="16">
        <v>4508</v>
      </c>
      <c r="I323" s="16">
        <f t="shared" si="67"/>
        <v>242</v>
      </c>
      <c r="J323" s="16">
        <v>4266</v>
      </c>
      <c r="K323" s="16">
        <v>3182</v>
      </c>
      <c r="L323" s="16">
        <f t="shared" si="68"/>
        <v>1084</v>
      </c>
    </row>
    <row r="324" spans="1:12" s="18" customFormat="1" ht="15" customHeight="1">
      <c r="A324" s="82">
        <v>2019</v>
      </c>
      <c r="B324" s="83" t="s">
        <v>42</v>
      </c>
      <c r="C324" s="15">
        <f t="shared" si="56"/>
        <v>0.79449770737807424</v>
      </c>
      <c r="D324" s="15">
        <f t="shared" si="57"/>
        <v>0.83413566739606126</v>
      </c>
      <c r="E324" s="15">
        <f t="shared" si="58"/>
        <v>0.95248020008336809</v>
      </c>
      <c r="F324" s="16">
        <v>165</v>
      </c>
      <c r="G324" s="16">
        <v>6</v>
      </c>
      <c r="H324" s="16">
        <v>4798</v>
      </c>
      <c r="I324" s="16">
        <f t="shared" si="67"/>
        <v>228</v>
      </c>
      <c r="J324" s="16">
        <v>4570</v>
      </c>
      <c r="K324" s="16">
        <v>3812</v>
      </c>
      <c r="L324" s="16">
        <f t="shared" si="68"/>
        <v>758</v>
      </c>
    </row>
    <row r="325" spans="1:12" s="18" customFormat="1" ht="15" customHeight="1">
      <c r="A325" s="82">
        <v>2019</v>
      </c>
      <c r="B325" s="83" t="s">
        <v>43</v>
      </c>
      <c r="C325" s="15">
        <f t="shared" si="56"/>
        <v>0.72947061275531466</v>
      </c>
      <c r="D325" s="15">
        <f t="shared" si="57"/>
        <v>0.77433628318584069</v>
      </c>
      <c r="E325" s="15">
        <f t="shared" si="58"/>
        <v>0.94205919132972071</v>
      </c>
      <c r="F325" s="16">
        <v>165</v>
      </c>
      <c r="G325" s="16">
        <v>6</v>
      </c>
      <c r="H325" s="16">
        <v>4798</v>
      </c>
      <c r="I325" s="16">
        <f t="shared" si="67"/>
        <v>278</v>
      </c>
      <c r="J325" s="16">
        <v>4520</v>
      </c>
      <c r="K325" s="16">
        <v>3500</v>
      </c>
      <c r="L325" s="16">
        <f t="shared" si="68"/>
        <v>1020</v>
      </c>
    </row>
    <row r="326" spans="1:12" s="18" customFormat="1" ht="15" customHeight="1">
      <c r="A326" s="82">
        <v>2019</v>
      </c>
      <c r="B326" s="83" t="s">
        <v>44</v>
      </c>
      <c r="C326" s="15">
        <f t="shared" si="56"/>
        <v>0.6993308871141809</v>
      </c>
      <c r="D326" s="15">
        <f t="shared" si="57"/>
        <v>0.74551311550851362</v>
      </c>
      <c r="E326" s="15">
        <f t="shared" si="58"/>
        <v>0.93805309734513276</v>
      </c>
      <c r="F326" s="16">
        <v>165</v>
      </c>
      <c r="G326" s="16">
        <v>6</v>
      </c>
      <c r="H326" s="16">
        <v>4633</v>
      </c>
      <c r="I326" s="16">
        <f t="shared" si="67"/>
        <v>287</v>
      </c>
      <c r="J326" s="16">
        <v>4346</v>
      </c>
      <c r="K326" s="16">
        <v>3240</v>
      </c>
      <c r="L326" s="16">
        <f t="shared" si="68"/>
        <v>1106</v>
      </c>
    </row>
    <row r="327" spans="1:12" s="18" customFormat="1" ht="15" customHeight="1">
      <c r="A327" s="82">
        <v>2019</v>
      </c>
      <c r="B327" s="83" t="s">
        <v>45</v>
      </c>
      <c r="C327" s="15">
        <f t="shared" ref="C327:C341" si="69">K327/H327</f>
        <v>0.81316392418246197</v>
      </c>
      <c r="D327" s="15">
        <f t="shared" ref="D327:D341" si="70">K327/J327</f>
        <v>0.85651601579640191</v>
      </c>
      <c r="E327" s="15">
        <f t="shared" ref="E327:E341" si="71">J327/H327</f>
        <v>0.94938554467819203</v>
      </c>
      <c r="F327" s="16">
        <v>165</v>
      </c>
      <c r="G327" s="16">
        <v>6</v>
      </c>
      <c r="H327" s="16">
        <v>4801</v>
      </c>
      <c r="I327" s="16">
        <f t="shared" si="67"/>
        <v>243</v>
      </c>
      <c r="J327" s="16">
        <v>4558</v>
      </c>
      <c r="K327" s="16">
        <v>3904</v>
      </c>
      <c r="L327" s="16">
        <f t="shared" si="68"/>
        <v>654</v>
      </c>
    </row>
    <row r="328" spans="1:12" s="18" customFormat="1" ht="15" customHeight="1">
      <c r="A328" s="82">
        <v>2019</v>
      </c>
      <c r="B328" s="83" t="s">
        <v>46</v>
      </c>
      <c r="C328" s="15">
        <f t="shared" si="69"/>
        <v>0.83520518358531315</v>
      </c>
      <c r="D328" s="15">
        <f t="shared" si="70"/>
        <v>0.87429346597332125</v>
      </c>
      <c r="E328" s="15">
        <f t="shared" si="71"/>
        <v>0.95529157667386611</v>
      </c>
      <c r="F328" s="16">
        <v>165</v>
      </c>
      <c r="G328" s="16">
        <v>6</v>
      </c>
      <c r="H328" s="16">
        <v>4630</v>
      </c>
      <c r="I328" s="16">
        <f t="shared" si="67"/>
        <v>207</v>
      </c>
      <c r="J328" s="16">
        <v>4423</v>
      </c>
      <c r="K328" s="16">
        <v>3867</v>
      </c>
      <c r="L328" s="16">
        <f t="shared" si="68"/>
        <v>556</v>
      </c>
    </row>
    <row r="329" spans="1:12" s="18" customFormat="1" ht="15" customHeight="1">
      <c r="A329" s="82">
        <v>2019</v>
      </c>
      <c r="B329" s="83" t="s">
        <v>47</v>
      </c>
      <c r="C329" s="15">
        <f t="shared" si="69"/>
        <v>0.87185982689465902</v>
      </c>
      <c r="D329" s="15">
        <f t="shared" si="70"/>
        <v>0.90095986038394416</v>
      </c>
      <c r="E329" s="15">
        <f t="shared" si="71"/>
        <v>0.96770107663077898</v>
      </c>
      <c r="F329" s="16">
        <v>165</v>
      </c>
      <c r="G329" s="16">
        <v>6</v>
      </c>
      <c r="H329" s="16">
        <v>4737</v>
      </c>
      <c r="I329" s="16">
        <f t="shared" si="67"/>
        <v>153</v>
      </c>
      <c r="J329" s="16">
        <v>4584</v>
      </c>
      <c r="K329" s="16">
        <v>4130</v>
      </c>
      <c r="L329" s="16">
        <f t="shared" si="68"/>
        <v>454</v>
      </c>
    </row>
    <row r="330" spans="1:12" s="18" customFormat="1" ht="15" customHeight="1">
      <c r="A330" s="82">
        <v>2020</v>
      </c>
      <c r="B330" s="83" t="s">
        <v>36</v>
      </c>
      <c r="C330" s="15">
        <f t="shared" si="69"/>
        <v>0.89016256773655689</v>
      </c>
      <c r="D330" s="15">
        <f t="shared" si="70"/>
        <v>0.91888984509466443</v>
      </c>
      <c r="E330" s="15">
        <f t="shared" si="71"/>
        <v>0.96873697373905798</v>
      </c>
      <c r="F330" s="16">
        <v>165</v>
      </c>
      <c r="G330" s="16">
        <v>6</v>
      </c>
      <c r="H330" s="16">
        <v>4798</v>
      </c>
      <c r="I330" s="16">
        <f t="shared" si="67"/>
        <v>150</v>
      </c>
      <c r="J330" s="16">
        <v>4648</v>
      </c>
      <c r="K330" s="16">
        <v>4271</v>
      </c>
      <c r="L330" s="16">
        <f t="shared" si="68"/>
        <v>377</v>
      </c>
    </row>
    <row r="331" spans="1:12" s="18" customFormat="1" ht="15" customHeight="1">
      <c r="A331" s="82">
        <v>2020</v>
      </c>
      <c r="B331" s="83" t="s">
        <v>37</v>
      </c>
      <c r="C331" s="15">
        <f t="shared" si="69"/>
        <v>0.84741144414168934</v>
      </c>
      <c r="D331" s="15">
        <f t="shared" si="70"/>
        <v>0.90891378470530926</v>
      </c>
      <c r="E331" s="15">
        <f t="shared" si="71"/>
        <v>0.93233424159854672</v>
      </c>
      <c r="F331" s="16">
        <v>165</v>
      </c>
      <c r="G331" s="16">
        <v>6</v>
      </c>
      <c r="H331" s="16">
        <v>4404</v>
      </c>
      <c r="I331" s="16">
        <f t="shared" si="67"/>
        <v>298</v>
      </c>
      <c r="J331" s="16">
        <v>4106</v>
      </c>
      <c r="K331" s="16">
        <v>3732</v>
      </c>
      <c r="L331" s="16">
        <f t="shared" si="68"/>
        <v>374</v>
      </c>
    </row>
    <row r="332" spans="1:12" s="18" customFormat="1" ht="15" customHeight="1">
      <c r="A332" s="82">
        <v>2020</v>
      </c>
      <c r="B332" s="83" t="s">
        <v>38</v>
      </c>
      <c r="C332" s="15">
        <f t="shared" si="69"/>
        <v>0.74952963311382881</v>
      </c>
      <c r="D332" s="15">
        <f t="shared" si="70"/>
        <v>0.84760638297872337</v>
      </c>
      <c r="E332" s="15">
        <f t="shared" si="71"/>
        <v>0.88428974600188148</v>
      </c>
      <c r="F332" s="16">
        <v>165</v>
      </c>
      <c r="G332" s="16">
        <v>6</v>
      </c>
      <c r="H332" s="16">
        <v>4252</v>
      </c>
      <c r="I332" s="16">
        <f t="shared" si="67"/>
        <v>492</v>
      </c>
      <c r="J332" s="16">
        <v>3760</v>
      </c>
      <c r="K332" s="16">
        <v>3187</v>
      </c>
      <c r="L332" s="16">
        <f t="shared" si="68"/>
        <v>573</v>
      </c>
    </row>
    <row r="333" spans="1:12" s="18" customFormat="1" ht="15" customHeight="1">
      <c r="A333" s="82">
        <v>2020</v>
      </c>
      <c r="B333" s="83" t="s">
        <v>39</v>
      </c>
      <c r="C333" s="15">
        <f t="shared" si="69"/>
        <v>0.7100244498777506</v>
      </c>
      <c r="D333" s="15">
        <f t="shared" si="70"/>
        <v>0.8203389830508474</v>
      </c>
      <c r="E333" s="15">
        <f t="shared" si="71"/>
        <v>0.86552567237163813</v>
      </c>
      <c r="F333" s="16">
        <v>165</v>
      </c>
      <c r="G333" s="16">
        <v>6</v>
      </c>
      <c r="H333" s="16">
        <v>4090</v>
      </c>
      <c r="I333" s="16">
        <f t="shared" si="67"/>
        <v>550</v>
      </c>
      <c r="J333" s="16">
        <v>3540</v>
      </c>
      <c r="K333" s="16">
        <v>2904</v>
      </c>
      <c r="L333" s="16">
        <f t="shared" si="68"/>
        <v>636</v>
      </c>
    </row>
    <row r="334" spans="1:12" s="18" customFormat="1" ht="15" customHeight="1">
      <c r="A334" s="82">
        <v>2020</v>
      </c>
      <c r="B334" s="83" t="s">
        <v>40</v>
      </c>
      <c r="C334" s="15">
        <f t="shared" si="69"/>
        <v>0.9023122889062094</v>
      </c>
      <c r="D334" s="15">
        <f t="shared" si="70"/>
        <v>0.91902619740672131</v>
      </c>
      <c r="E334" s="15">
        <f t="shared" si="71"/>
        <v>0.98181345804104958</v>
      </c>
      <c r="F334" s="16">
        <v>165</v>
      </c>
      <c r="G334" s="16">
        <v>6</v>
      </c>
      <c r="H334" s="16">
        <v>3849</v>
      </c>
      <c r="I334" s="16">
        <f t="shared" ref="I334:I339" si="72">+H334-J334</f>
        <v>70</v>
      </c>
      <c r="J334" s="16">
        <v>3779</v>
      </c>
      <c r="K334" s="16">
        <v>3473</v>
      </c>
      <c r="L334" s="16">
        <f t="shared" ref="L334:L339" si="73">J334-K334</f>
        <v>306</v>
      </c>
    </row>
    <row r="335" spans="1:12" s="18" customFormat="1" ht="15" customHeight="1">
      <c r="A335" s="82">
        <v>2020</v>
      </c>
      <c r="B335" s="83" t="s">
        <v>41</v>
      </c>
      <c r="C335" s="15">
        <f t="shared" si="69"/>
        <v>0.90316421167484995</v>
      </c>
      <c r="D335" s="15">
        <f t="shared" si="70"/>
        <v>0.9374292185730464</v>
      </c>
      <c r="E335" s="15">
        <f t="shared" si="71"/>
        <v>0.96344789961811239</v>
      </c>
      <c r="F335" s="16">
        <v>165</v>
      </c>
      <c r="G335" s="16">
        <v>6</v>
      </c>
      <c r="H335" s="16">
        <f>3612+54</f>
        <v>3666</v>
      </c>
      <c r="I335" s="16">
        <f t="shared" si="72"/>
        <v>134</v>
      </c>
      <c r="J335" s="16">
        <v>3532</v>
      </c>
      <c r="K335" s="16">
        <v>3311</v>
      </c>
      <c r="L335" s="16">
        <f t="shared" si="73"/>
        <v>221</v>
      </c>
    </row>
    <row r="336" spans="1:12" s="18" customFormat="1" ht="15" customHeight="1">
      <c r="A336" s="82">
        <v>2020</v>
      </c>
      <c r="B336" s="83" t="s">
        <v>42</v>
      </c>
      <c r="C336" s="15">
        <f t="shared" si="69"/>
        <v>0.920545746388443</v>
      </c>
      <c r="D336" s="15">
        <f t="shared" si="70"/>
        <v>0.96332586786114227</v>
      </c>
      <c r="E336" s="15">
        <f t="shared" si="71"/>
        <v>0.95559122525414664</v>
      </c>
      <c r="F336" s="16">
        <v>165</v>
      </c>
      <c r="G336" s="16">
        <v>6</v>
      </c>
      <c r="H336" s="16">
        <v>3738</v>
      </c>
      <c r="I336" s="16">
        <f t="shared" si="72"/>
        <v>166</v>
      </c>
      <c r="J336" s="16">
        <v>3572</v>
      </c>
      <c r="K336" s="16">
        <v>3441</v>
      </c>
      <c r="L336" s="16">
        <f t="shared" si="73"/>
        <v>131</v>
      </c>
    </row>
    <row r="337" spans="1:12" s="18" customFormat="1" ht="15" customHeight="1">
      <c r="A337" s="82">
        <v>2020</v>
      </c>
      <c r="B337" s="83" t="s">
        <v>43</v>
      </c>
      <c r="C337" s="15">
        <f t="shared" si="69"/>
        <v>0.82334047109207709</v>
      </c>
      <c r="D337" s="15">
        <f t="shared" si="70"/>
        <v>0.90443987062628639</v>
      </c>
      <c r="E337" s="15">
        <f t="shared" si="71"/>
        <v>0.91033190578158463</v>
      </c>
      <c r="F337" s="16">
        <v>165</v>
      </c>
      <c r="G337" s="16">
        <v>6</v>
      </c>
      <c r="H337" s="16">
        <v>3736</v>
      </c>
      <c r="I337" s="16">
        <f t="shared" si="72"/>
        <v>335</v>
      </c>
      <c r="J337" s="16">
        <v>3401</v>
      </c>
      <c r="K337" s="16">
        <v>3076</v>
      </c>
      <c r="L337" s="16">
        <f t="shared" si="73"/>
        <v>325</v>
      </c>
    </row>
    <row r="338" spans="1:12" s="18" customFormat="1" ht="15" customHeight="1">
      <c r="A338" s="82">
        <v>2020</v>
      </c>
      <c r="B338" s="83" t="s">
        <v>44</v>
      </c>
      <c r="C338" s="15">
        <f t="shared" si="69"/>
        <v>0.72909880564603691</v>
      </c>
      <c r="D338" s="15">
        <f t="shared" si="70"/>
        <v>0.78377589728625618</v>
      </c>
      <c r="E338" s="15">
        <f t="shared" si="71"/>
        <v>0.93023887079261669</v>
      </c>
      <c r="F338" s="16">
        <v>165</v>
      </c>
      <c r="G338" s="16">
        <v>6</v>
      </c>
      <c r="H338" s="16">
        <v>3684</v>
      </c>
      <c r="I338" s="16">
        <f t="shared" si="72"/>
        <v>257</v>
      </c>
      <c r="J338" s="16">
        <v>3427</v>
      </c>
      <c r="K338" s="16">
        <v>2686</v>
      </c>
      <c r="L338" s="16">
        <f t="shared" si="73"/>
        <v>741</v>
      </c>
    </row>
    <row r="339" spans="1:12" s="18" customFormat="1" ht="15" customHeight="1">
      <c r="A339" s="82">
        <v>2020</v>
      </c>
      <c r="B339" s="83" t="s">
        <v>45</v>
      </c>
      <c r="C339" s="15">
        <f t="shared" si="69"/>
        <v>0.75828253379273791</v>
      </c>
      <c r="D339" s="15">
        <f t="shared" si="70"/>
        <v>0.84971784971784969</v>
      </c>
      <c r="E339" s="15">
        <f t="shared" si="71"/>
        <v>0.89239332096474955</v>
      </c>
      <c r="F339" s="16">
        <v>165</v>
      </c>
      <c r="G339" s="16">
        <v>6</v>
      </c>
      <c r="H339" s="16">
        <v>3773</v>
      </c>
      <c r="I339" s="16">
        <f t="shared" si="72"/>
        <v>406</v>
      </c>
      <c r="J339" s="16">
        <v>3367</v>
      </c>
      <c r="K339" s="16">
        <v>2861</v>
      </c>
      <c r="L339" s="16">
        <f t="shared" si="73"/>
        <v>506</v>
      </c>
    </row>
    <row r="340" spans="1:12" s="18" customFormat="1" ht="15" customHeight="1">
      <c r="A340" s="82">
        <v>2020</v>
      </c>
      <c r="B340" s="83" t="s">
        <v>46</v>
      </c>
      <c r="C340" s="15">
        <f t="shared" si="69"/>
        <v>0.74792243767313016</v>
      </c>
      <c r="D340" s="15">
        <f t="shared" si="70"/>
        <v>0.84190832553788586</v>
      </c>
      <c r="E340" s="15">
        <f t="shared" si="71"/>
        <v>0.88836565096952913</v>
      </c>
      <c r="F340" s="16">
        <v>165</v>
      </c>
      <c r="G340" s="16">
        <v>6</v>
      </c>
      <c r="H340" s="16">
        <v>3610</v>
      </c>
      <c r="I340" s="16">
        <f t="shared" ref="I340:I352" si="74">+H340-J340</f>
        <v>403</v>
      </c>
      <c r="J340" s="16">
        <v>3207</v>
      </c>
      <c r="K340" s="16">
        <v>2700</v>
      </c>
      <c r="L340" s="16">
        <f t="shared" ref="L340:L351" si="75">J340-K340</f>
        <v>507</v>
      </c>
    </row>
    <row r="341" spans="1:12" s="18" customFormat="1" ht="15" customHeight="1">
      <c r="A341" s="82">
        <v>2020</v>
      </c>
      <c r="B341" s="83" t="s">
        <v>47</v>
      </c>
      <c r="C341" s="15">
        <f t="shared" si="69"/>
        <v>0.71223993515266149</v>
      </c>
      <c r="D341" s="15">
        <f t="shared" si="70"/>
        <v>0.786865671641791</v>
      </c>
      <c r="E341" s="15">
        <f t="shared" si="71"/>
        <v>0.90516076736017292</v>
      </c>
      <c r="F341" s="16">
        <v>165</v>
      </c>
      <c r="G341" s="16">
        <v>6</v>
      </c>
      <c r="H341" s="16">
        <v>3701</v>
      </c>
      <c r="I341" s="16">
        <f t="shared" si="74"/>
        <v>351</v>
      </c>
      <c r="J341" s="16">
        <v>3350</v>
      </c>
      <c r="K341" s="16">
        <v>2636</v>
      </c>
      <c r="L341" s="16">
        <f t="shared" si="75"/>
        <v>714</v>
      </c>
    </row>
    <row r="342" spans="1:12" s="18" customFormat="1" ht="15" customHeight="1">
      <c r="A342" s="18">
        <v>2021</v>
      </c>
      <c r="B342" s="18" t="s">
        <v>36</v>
      </c>
      <c r="C342" s="15">
        <f t="shared" ref="C342:C351" si="76">K342/H342</f>
        <v>0.71814775160599575</v>
      </c>
      <c r="D342" s="15">
        <f t="shared" ref="D342:D351" si="77">K342/J342</f>
        <v>0.78981454224315573</v>
      </c>
      <c r="E342" s="15">
        <f t="shared" ref="E342:E351" si="78">J342/H342</f>
        <v>0.90926124197002145</v>
      </c>
      <c r="F342" s="16">
        <v>128</v>
      </c>
      <c r="G342" s="16">
        <v>6</v>
      </c>
      <c r="H342" s="16">
        <v>3736</v>
      </c>
      <c r="I342" s="16">
        <f t="shared" si="74"/>
        <v>339</v>
      </c>
      <c r="J342" s="16">
        <v>3397</v>
      </c>
      <c r="K342" s="16">
        <v>2683</v>
      </c>
      <c r="L342" s="16">
        <f t="shared" si="75"/>
        <v>714</v>
      </c>
    </row>
    <row r="343" spans="1:12" s="18" customFormat="1" ht="15" customHeight="1">
      <c r="A343" s="18">
        <v>2021</v>
      </c>
      <c r="B343" s="18" t="s">
        <v>37</v>
      </c>
      <c r="C343" s="15">
        <f t="shared" si="76"/>
        <v>0.76565295169946335</v>
      </c>
      <c r="D343" s="15">
        <f t="shared" si="77"/>
        <v>0.79480037140204274</v>
      </c>
      <c r="E343" s="15">
        <f t="shared" si="78"/>
        <v>0.96332737030411453</v>
      </c>
      <c r="F343" s="16">
        <v>128</v>
      </c>
      <c r="G343" s="16">
        <v>6</v>
      </c>
      <c r="H343" s="16">
        <v>3354</v>
      </c>
      <c r="I343" s="16">
        <f t="shared" si="74"/>
        <v>123</v>
      </c>
      <c r="J343" s="16">
        <v>3231</v>
      </c>
      <c r="K343" s="16">
        <v>2568</v>
      </c>
      <c r="L343" s="16">
        <f t="shared" si="75"/>
        <v>663</v>
      </c>
    </row>
    <row r="344" spans="1:12" s="18" customFormat="1" ht="15" customHeight="1">
      <c r="A344" s="18">
        <v>2021</v>
      </c>
      <c r="B344" s="18" t="s">
        <v>38</v>
      </c>
      <c r="C344" s="15">
        <f t="shared" si="76"/>
        <v>0.65112582781456951</v>
      </c>
      <c r="D344" s="15">
        <f t="shared" si="77"/>
        <v>0.66884353741496594</v>
      </c>
      <c r="E344" s="15">
        <f t="shared" si="78"/>
        <v>0.97350993377483441</v>
      </c>
      <c r="F344" s="16">
        <v>128</v>
      </c>
      <c r="G344" s="16">
        <v>6</v>
      </c>
      <c r="H344" s="16">
        <v>3775</v>
      </c>
      <c r="I344" s="16">
        <f t="shared" si="74"/>
        <v>100</v>
      </c>
      <c r="J344" s="16">
        <v>3675</v>
      </c>
      <c r="K344" s="16">
        <v>2458</v>
      </c>
      <c r="L344" s="16">
        <f t="shared" si="75"/>
        <v>1217</v>
      </c>
    </row>
    <row r="345" spans="1:12" s="18" customFormat="1" ht="15" customHeight="1">
      <c r="A345" s="18">
        <v>2021</v>
      </c>
      <c r="B345" s="18" t="s">
        <v>39</v>
      </c>
      <c r="C345" s="15">
        <f t="shared" si="76"/>
        <v>0.74362489717576086</v>
      </c>
      <c r="D345" s="15">
        <f t="shared" si="77"/>
        <v>0.77001703577512781</v>
      </c>
      <c r="E345" s="15">
        <f t="shared" si="78"/>
        <v>0.96572525363312312</v>
      </c>
      <c r="F345" s="16">
        <v>128</v>
      </c>
      <c r="G345" s="16">
        <v>6</v>
      </c>
      <c r="H345" s="16">
        <v>3647</v>
      </c>
      <c r="I345" s="16">
        <f t="shared" si="74"/>
        <v>125</v>
      </c>
      <c r="J345" s="16">
        <v>3522</v>
      </c>
      <c r="K345" s="16">
        <v>2712</v>
      </c>
      <c r="L345" s="16">
        <f t="shared" si="75"/>
        <v>810</v>
      </c>
    </row>
    <row r="346" spans="1:12" s="18" customFormat="1" ht="15" customHeight="1">
      <c r="A346" s="18">
        <v>2021</v>
      </c>
      <c r="B346" s="18" t="s">
        <v>40</v>
      </c>
      <c r="C346" s="15">
        <f t="shared" si="76"/>
        <v>0.86681222707423577</v>
      </c>
      <c r="D346" s="15">
        <f t="shared" si="77"/>
        <v>0.88222222222222224</v>
      </c>
      <c r="E346" s="15">
        <f t="shared" si="78"/>
        <v>0.98253275109170302</v>
      </c>
      <c r="F346" s="16">
        <v>128</v>
      </c>
      <c r="G346" s="16">
        <v>6</v>
      </c>
      <c r="H346" s="16">
        <v>3664</v>
      </c>
      <c r="I346" s="16">
        <f t="shared" si="74"/>
        <v>64</v>
      </c>
      <c r="J346" s="16">
        <v>3600</v>
      </c>
      <c r="K346" s="16">
        <v>3176</v>
      </c>
      <c r="L346" s="16">
        <f t="shared" si="75"/>
        <v>424</v>
      </c>
    </row>
    <row r="347" spans="1:12" s="18" customFormat="1" ht="15" customHeight="1">
      <c r="A347" s="18">
        <v>2021</v>
      </c>
      <c r="B347" s="18" t="s">
        <v>41</v>
      </c>
      <c r="C347" s="15">
        <f t="shared" si="76"/>
        <v>0.8623526185906224</v>
      </c>
      <c r="D347" s="15">
        <f t="shared" si="77"/>
        <v>0.91344757478942784</v>
      </c>
      <c r="E347" s="15">
        <f t="shared" si="78"/>
        <v>0.94406361392925697</v>
      </c>
      <c r="F347" s="16">
        <v>128</v>
      </c>
      <c r="G347" s="16">
        <v>6</v>
      </c>
      <c r="H347" s="16">
        <v>3647</v>
      </c>
      <c r="I347" s="16">
        <f t="shared" si="74"/>
        <v>204</v>
      </c>
      <c r="J347" s="16">
        <v>3443</v>
      </c>
      <c r="K347" s="16">
        <v>3145</v>
      </c>
      <c r="L347" s="16">
        <f t="shared" si="75"/>
        <v>298</v>
      </c>
    </row>
    <row r="348" spans="1:12" s="18" customFormat="1" ht="15" customHeight="1">
      <c r="A348" s="18">
        <v>2021</v>
      </c>
      <c r="B348" s="18" t="s">
        <v>42</v>
      </c>
      <c r="C348" s="15">
        <f t="shared" si="76"/>
        <v>0.89265836204611715</v>
      </c>
      <c r="D348" s="15">
        <f t="shared" si="77"/>
        <v>0.93115841857893278</v>
      </c>
      <c r="E348" s="15">
        <f t="shared" si="78"/>
        <v>0.95865359130665251</v>
      </c>
      <c r="F348" s="16">
        <v>128</v>
      </c>
      <c r="G348" s="16">
        <v>6</v>
      </c>
      <c r="H348" s="16">
        <v>3773</v>
      </c>
      <c r="I348" s="16">
        <f t="shared" si="74"/>
        <v>156</v>
      </c>
      <c r="J348" s="16">
        <v>3617</v>
      </c>
      <c r="K348" s="16">
        <v>3368</v>
      </c>
      <c r="L348" s="16">
        <f t="shared" si="75"/>
        <v>249</v>
      </c>
    </row>
    <row r="349" spans="1:12" s="18" customFormat="1" ht="15" customHeight="1">
      <c r="A349" s="18">
        <v>2021</v>
      </c>
      <c r="B349" s="18" t="s">
        <v>43</v>
      </c>
      <c r="C349" s="15">
        <f t="shared" si="76"/>
        <v>0.88309256286784377</v>
      </c>
      <c r="D349" s="15">
        <f t="shared" si="77"/>
        <v>0.91796440489432707</v>
      </c>
      <c r="E349" s="15">
        <f t="shared" si="78"/>
        <v>0.96201177100053503</v>
      </c>
      <c r="F349" s="16">
        <v>128</v>
      </c>
      <c r="G349" s="16">
        <v>6</v>
      </c>
      <c r="H349" s="16">
        <v>3738</v>
      </c>
      <c r="I349" s="16">
        <f t="shared" si="74"/>
        <v>142</v>
      </c>
      <c r="J349" s="16">
        <v>3596</v>
      </c>
      <c r="K349" s="16">
        <v>3301</v>
      </c>
      <c r="L349" s="16">
        <f t="shared" si="75"/>
        <v>295</v>
      </c>
    </row>
    <row r="350" spans="1:12" s="18" customFormat="1" ht="15" customHeight="1">
      <c r="A350" s="18">
        <v>2021</v>
      </c>
      <c r="B350" s="18" t="s">
        <v>44</v>
      </c>
      <c r="C350" s="15">
        <f t="shared" si="76"/>
        <v>0.77735950524334496</v>
      </c>
      <c r="D350" s="15">
        <f t="shared" si="77"/>
        <v>0.81436619718309855</v>
      </c>
      <c r="E350" s="15">
        <f t="shared" si="78"/>
        <v>0.95455767679483727</v>
      </c>
      <c r="F350" s="16">
        <v>128</v>
      </c>
      <c r="G350" s="16">
        <v>6</v>
      </c>
      <c r="H350" s="16">
        <v>3719</v>
      </c>
      <c r="I350" s="16">
        <f t="shared" si="74"/>
        <v>169</v>
      </c>
      <c r="J350" s="16">
        <v>3550</v>
      </c>
      <c r="K350" s="16">
        <v>2891</v>
      </c>
      <c r="L350" s="16">
        <f t="shared" si="75"/>
        <v>659</v>
      </c>
    </row>
    <row r="351" spans="1:12" s="18" customFormat="1" ht="15" customHeight="1">
      <c r="A351" s="18">
        <v>2021</v>
      </c>
      <c r="B351" s="18" t="s">
        <v>45</v>
      </c>
      <c r="C351" s="15">
        <f t="shared" si="76"/>
        <v>0.83941605839416056</v>
      </c>
      <c r="D351" s="15">
        <f t="shared" si="77"/>
        <v>0.87786259541984735</v>
      </c>
      <c r="E351" s="15">
        <f t="shared" si="78"/>
        <v>0.95620437956204385</v>
      </c>
      <c r="F351" s="16">
        <v>128</v>
      </c>
      <c r="G351" s="16">
        <v>6</v>
      </c>
      <c r="H351" s="16">
        <v>3699</v>
      </c>
      <c r="I351" s="16">
        <f t="shared" si="74"/>
        <v>162</v>
      </c>
      <c r="J351" s="16">
        <v>3537</v>
      </c>
      <c r="K351" s="16">
        <v>3105</v>
      </c>
      <c r="L351" s="16">
        <f t="shared" si="75"/>
        <v>432</v>
      </c>
    </row>
    <row r="352" spans="1:12" s="18" customFormat="1" ht="15" customHeight="1">
      <c r="A352" s="18">
        <v>2021</v>
      </c>
      <c r="B352" s="18" t="s">
        <v>46</v>
      </c>
      <c r="C352" s="15">
        <f t="shared" ref="C352:C357" si="79">K352/H352</f>
        <v>0.85659446120098715</v>
      </c>
      <c r="D352" s="15">
        <f t="shared" ref="D352:D357" si="80">K352/J352</f>
        <v>0.87851518560179975</v>
      </c>
      <c r="E352" s="15">
        <f t="shared" ref="E352:E357" si="81">J352/H352</f>
        <v>0.9750479846449136</v>
      </c>
      <c r="F352" s="16">
        <v>128</v>
      </c>
      <c r="G352" s="16">
        <v>6</v>
      </c>
      <c r="H352" s="16">
        <v>3647</v>
      </c>
      <c r="I352" s="16">
        <f t="shared" si="74"/>
        <v>91</v>
      </c>
      <c r="J352" s="16">
        <v>3556</v>
      </c>
      <c r="K352" s="16">
        <v>3124</v>
      </c>
      <c r="L352" s="16">
        <f t="shared" ref="L352:L357" si="82">J352-K352</f>
        <v>432</v>
      </c>
    </row>
    <row r="353" spans="1:12" s="18" customFormat="1" ht="15" customHeight="1">
      <c r="A353" s="18">
        <v>2021</v>
      </c>
      <c r="B353" s="18" t="s">
        <v>47</v>
      </c>
      <c r="C353" s="15">
        <f t="shared" si="79"/>
        <v>0.86069518716577542</v>
      </c>
      <c r="D353" s="15">
        <f t="shared" si="80"/>
        <v>0.88604459124690338</v>
      </c>
      <c r="E353" s="15">
        <f t="shared" si="81"/>
        <v>0.97139037433155084</v>
      </c>
      <c r="F353" s="16">
        <v>128</v>
      </c>
      <c r="G353" s="16">
        <v>6</v>
      </c>
      <c r="H353" s="16">
        <v>3740</v>
      </c>
      <c r="I353" s="16">
        <f t="shared" ref="I353:I360" si="83">+H353-J353</f>
        <v>107</v>
      </c>
      <c r="J353" s="16">
        <v>3633</v>
      </c>
      <c r="K353" s="16">
        <v>3219</v>
      </c>
      <c r="L353" s="16">
        <f t="shared" si="82"/>
        <v>414</v>
      </c>
    </row>
    <row r="354" spans="1:12" s="18" customFormat="1" ht="15" customHeight="1">
      <c r="A354" s="82">
        <v>2022</v>
      </c>
      <c r="B354" s="83" t="s">
        <v>36</v>
      </c>
      <c r="C354" s="15">
        <f t="shared" si="79"/>
        <v>0.80069555912252544</v>
      </c>
      <c r="D354" s="15">
        <f t="shared" si="80"/>
        <v>0.87822769953051638</v>
      </c>
      <c r="E354" s="15">
        <f t="shared" si="81"/>
        <v>0.9117174959871589</v>
      </c>
      <c r="F354" s="26">
        <v>128</v>
      </c>
      <c r="G354" s="26">
        <v>6</v>
      </c>
      <c r="H354" s="16">
        <v>3738</v>
      </c>
      <c r="I354" s="16">
        <f t="shared" si="83"/>
        <v>330</v>
      </c>
      <c r="J354" s="16">
        <v>3408</v>
      </c>
      <c r="K354" s="16">
        <v>2993</v>
      </c>
      <c r="L354" s="16">
        <f t="shared" si="82"/>
        <v>415</v>
      </c>
    </row>
    <row r="355" spans="1:12" s="18" customFormat="1" ht="15" customHeight="1">
      <c r="A355" s="82">
        <v>2022</v>
      </c>
      <c r="B355" s="83" t="s">
        <v>37</v>
      </c>
      <c r="C355" s="15">
        <f t="shared" si="79"/>
        <v>0.80153347095252137</v>
      </c>
      <c r="D355" s="15">
        <f t="shared" si="80"/>
        <v>0.852304797742239</v>
      </c>
      <c r="E355" s="15">
        <f t="shared" si="81"/>
        <v>0.94043055145974641</v>
      </c>
      <c r="F355" s="26">
        <v>128</v>
      </c>
      <c r="G355" s="26">
        <v>6</v>
      </c>
      <c r="H355" s="16">
        <v>3391</v>
      </c>
      <c r="I355" s="16">
        <f t="shared" si="83"/>
        <v>202</v>
      </c>
      <c r="J355" s="16">
        <v>3189</v>
      </c>
      <c r="K355" s="16">
        <v>2718</v>
      </c>
      <c r="L355" s="16">
        <f t="shared" si="82"/>
        <v>471</v>
      </c>
    </row>
    <row r="356" spans="1:12" s="18" customFormat="1" ht="15" customHeight="1">
      <c r="A356" s="82">
        <v>2022</v>
      </c>
      <c r="B356" s="83" t="s">
        <v>38</v>
      </c>
      <c r="C356" s="15">
        <f t="shared" si="79"/>
        <v>0.86623863028357406</v>
      </c>
      <c r="D356" s="15">
        <f t="shared" si="80"/>
        <v>0.90497484628283953</v>
      </c>
      <c r="E356" s="15">
        <f t="shared" si="81"/>
        <v>0.95719636169074374</v>
      </c>
      <c r="F356" s="26">
        <v>128</v>
      </c>
      <c r="G356" s="26">
        <v>6</v>
      </c>
      <c r="H356" s="16">
        <v>3738</v>
      </c>
      <c r="I356" s="16">
        <f t="shared" si="83"/>
        <v>160</v>
      </c>
      <c r="J356" s="16">
        <v>3578</v>
      </c>
      <c r="K356" s="16">
        <v>3238</v>
      </c>
      <c r="L356" s="16">
        <f t="shared" si="82"/>
        <v>340</v>
      </c>
    </row>
    <row r="357" spans="1:12" s="18" customFormat="1" ht="15" customHeight="1">
      <c r="A357" s="82">
        <v>2022</v>
      </c>
      <c r="B357" s="83" t="s">
        <v>39</v>
      </c>
      <c r="C357" s="15">
        <f t="shared" si="79"/>
        <v>0.7800554016620499</v>
      </c>
      <c r="D357" s="15">
        <f t="shared" si="80"/>
        <v>0.810126582278481</v>
      </c>
      <c r="E357" s="15">
        <f t="shared" si="81"/>
        <v>0.96288088642659275</v>
      </c>
      <c r="F357" s="26">
        <v>128</v>
      </c>
      <c r="G357" s="26">
        <v>6</v>
      </c>
      <c r="H357" s="16">
        <v>3610</v>
      </c>
      <c r="I357" s="16">
        <f t="shared" si="83"/>
        <v>134</v>
      </c>
      <c r="J357" s="16">
        <v>3476</v>
      </c>
      <c r="K357" s="16">
        <v>2816</v>
      </c>
      <c r="L357" s="16">
        <f t="shared" si="82"/>
        <v>660</v>
      </c>
    </row>
    <row r="358" spans="1:12" s="18" customFormat="1" ht="15" customHeight="1">
      <c r="A358" s="82">
        <v>2022</v>
      </c>
      <c r="B358" s="83" t="s">
        <v>40</v>
      </c>
      <c r="C358" s="15">
        <f t="shared" ref="C358:C365" si="84">K358/H358</f>
        <v>0.84652796541475273</v>
      </c>
      <c r="D358" s="15">
        <f t="shared" ref="D358:D365" si="85">K358/J358</f>
        <v>0.8880385487528345</v>
      </c>
      <c r="E358" s="15">
        <f t="shared" ref="E358:E365" si="86">J358/H358</f>
        <v>0.95325587679005674</v>
      </c>
      <c r="F358" s="26">
        <v>128</v>
      </c>
      <c r="G358" s="26">
        <v>6</v>
      </c>
      <c r="H358" s="16">
        <v>3701</v>
      </c>
      <c r="I358" s="16">
        <f t="shared" si="83"/>
        <v>173</v>
      </c>
      <c r="J358" s="16">
        <v>3528</v>
      </c>
      <c r="K358" s="16">
        <v>3133</v>
      </c>
      <c r="L358" s="16">
        <f t="shared" ref="L358:L365" si="87">J358-K358</f>
        <v>395</v>
      </c>
    </row>
    <row r="359" spans="1:12" s="18" customFormat="1" ht="15" customHeight="1">
      <c r="A359" s="82">
        <v>2022</v>
      </c>
      <c r="B359" s="83" t="s">
        <v>41</v>
      </c>
      <c r="C359" s="15">
        <f t="shared" si="84"/>
        <v>0.82299168975069248</v>
      </c>
      <c r="D359" s="15">
        <f t="shared" si="85"/>
        <v>0.85891876264816425</v>
      </c>
      <c r="E359" s="15">
        <f t="shared" si="86"/>
        <v>0.95817174515235459</v>
      </c>
      <c r="F359" s="26">
        <v>128</v>
      </c>
      <c r="G359" s="26">
        <v>6</v>
      </c>
      <c r="H359" s="16">
        <v>3610</v>
      </c>
      <c r="I359" s="16">
        <f t="shared" si="83"/>
        <v>151</v>
      </c>
      <c r="J359" s="16">
        <v>3459</v>
      </c>
      <c r="K359" s="16">
        <v>2971</v>
      </c>
      <c r="L359" s="16">
        <f t="shared" si="87"/>
        <v>488</v>
      </c>
    </row>
    <row r="360" spans="1:12" s="18" customFormat="1" ht="15" customHeight="1">
      <c r="A360" s="18">
        <v>2022</v>
      </c>
      <c r="B360" s="21" t="s">
        <v>42</v>
      </c>
      <c r="C360" s="15">
        <f t="shared" si="84"/>
        <v>0.77100053504547883</v>
      </c>
      <c r="D360" s="15">
        <f t="shared" si="85"/>
        <v>0.79811686513431179</v>
      </c>
      <c r="E360" s="15">
        <f t="shared" si="86"/>
        <v>0.96602461209202783</v>
      </c>
      <c r="F360" s="26">
        <v>128</v>
      </c>
      <c r="G360" s="26">
        <v>6</v>
      </c>
      <c r="H360" s="16">
        <v>3738</v>
      </c>
      <c r="I360" s="16">
        <f t="shared" si="83"/>
        <v>127</v>
      </c>
      <c r="J360" s="16">
        <v>3611</v>
      </c>
      <c r="K360" s="16">
        <v>2882</v>
      </c>
      <c r="L360" s="16">
        <f t="shared" si="87"/>
        <v>729</v>
      </c>
    </row>
    <row r="361" spans="1:12" s="18" customFormat="1" ht="15" customHeight="1">
      <c r="A361" s="18">
        <v>2022</v>
      </c>
      <c r="B361" s="21" t="s">
        <v>43</v>
      </c>
      <c r="C361" s="15">
        <f t="shared" si="84"/>
        <v>0.78696309086984673</v>
      </c>
      <c r="D361" s="15">
        <f t="shared" si="85"/>
        <v>0.84086715867158668</v>
      </c>
      <c r="E361" s="15">
        <f t="shared" si="86"/>
        <v>0.93589466868120008</v>
      </c>
      <c r="F361" s="26">
        <v>128</v>
      </c>
      <c r="G361" s="26">
        <v>6</v>
      </c>
      <c r="H361" s="16">
        <v>4633</v>
      </c>
      <c r="I361" s="16">
        <f t="shared" ref="I361:I367" si="88">+H361-J361</f>
        <v>297</v>
      </c>
      <c r="J361" s="16">
        <v>4336</v>
      </c>
      <c r="K361" s="16">
        <v>3646</v>
      </c>
      <c r="L361" s="16">
        <f t="shared" si="87"/>
        <v>690</v>
      </c>
    </row>
    <row r="362" spans="1:12" s="18" customFormat="1" ht="15" customHeight="1">
      <c r="A362" s="88">
        <v>2022</v>
      </c>
      <c r="B362" s="89" t="s">
        <v>44</v>
      </c>
      <c r="C362" s="15">
        <f t="shared" si="84"/>
        <v>0.81308007770343194</v>
      </c>
      <c r="D362" s="15">
        <f t="shared" si="85"/>
        <v>0.863198900091659</v>
      </c>
      <c r="E362" s="15">
        <f t="shared" si="86"/>
        <v>0.94193826894021149</v>
      </c>
      <c r="F362" s="26">
        <v>128</v>
      </c>
      <c r="G362" s="26">
        <v>6</v>
      </c>
      <c r="H362" s="16">
        <v>4633</v>
      </c>
      <c r="I362" s="16">
        <f t="shared" si="88"/>
        <v>269</v>
      </c>
      <c r="J362" s="16">
        <v>4364</v>
      </c>
      <c r="K362" s="16">
        <v>3767</v>
      </c>
      <c r="L362" s="16">
        <f t="shared" si="87"/>
        <v>597</v>
      </c>
    </row>
    <row r="363" spans="1:12" s="18" customFormat="1" ht="15" customHeight="1">
      <c r="A363" s="82">
        <v>2022</v>
      </c>
      <c r="B363" s="83" t="s">
        <v>45</v>
      </c>
      <c r="C363" s="15">
        <f t="shared" si="84"/>
        <v>0.7466295741493687</v>
      </c>
      <c r="D363" s="15">
        <f t="shared" si="85"/>
        <v>0.81442577030812324</v>
      </c>
      <c r="E363" s="15">
        <f t="shared" si="86"/>
        <v>0.9167558313717098</v>
      </c>
      <c r="F363" s="26">
        <v>128</v>
      </c>
      <c r="G363" s="26">
        <v>6</v>
      </c>
      <c r="H363" s="16">
        <v>4673</v>
      </c>
      <c r="I363" s="16">
        <f t="shared" si="88"/>
        <v>389</v>
      </c>
      <c r="J363" s="16">
        <v>4284</v>
      </c>
      <c r="K363" s="16">
        <v>3489</v>
      </c>
      <c r="L363" s="16">
        <f t="shared" si="87"/>
        <v>795</v>
      </c>
    </row>
    <row r="364" spans="1:12" s="18" customFormat="1" ht="15" customHeight="1">
      <c r="A364" s="82">
        <v>2022</v>
      </c>
      <c r="B364" s="83" t="s">
        <v>46</v>
      </c>
      <c r="C364" s="15">
        <f t="shared" si="84"/>
        <v>0.74875890351823871</v>
      </c>
      <c r="D364" s="15">
        <f t="shared" si="85"/>
        <v>0.81854648419065601</v>
      </c>
      <c r="E364" s="15">
        <f t="shared" si="86"/>
        <v>0.91474206777466005</v>
      </c>
      <c r="F364" s="26">
        <v>128</v>
      </c>
      <c r="G364" s="26">
        <v>6</v>
      </c>
      <c r="H364" s="16">
        <v>4633</v>
      </c>
      <c r="I364" s="16">
        <f t="shared" si="88"/>
        <v>395</v>
      </c>
      <c r="J364" s="16">
        <v>4238</v>
      </c>
      <c r="K364" s="16">
        <v>3469</v>
      </c>
      <c r="L364" s="16">
        <f t="shared" si="87"/>
        <v>769</v>
      </c>
    </row>
    <row r="365" spans="1:12" s="18" customFormat="1" ht="15" customHeight="1">
      <c r="A365" s="82">
        <v>2022</v>
      </c>
      <c r="B365" s="83" t="s">
        <v>47</v>
      </c>
      <c r="C365" s="15">
        <f t="shared" si="84"/>
        <v>0.79670447250160492</v>
      </c>
      <c r="D365" s="15">
        <f t="shared" si="85"/>
        <v>0.83269961977186313</v>
      </c>
      <c r="E365" s="15">
        <f t="shared" si="86"/>
        <v>0.95677295099507809</v>
      </c>
      <c r="F365" s="26">
        <v>128</v>
      </c>
      <c r="G365" s="26">
        <v>6</v>
      </c>
      <c r="H365" s="16">
        <v>4673</v>
      </c>
      <c r="I365" s="16">
        <f t="shared" si="88"/>
        <v>202</v>
      </c>
      <c r="J365" s="16">
        <v>4471</v>
      </c>
      <c r="K365" s="16">
        <v>3723</v>
      </c>
      <c r="L365" s="16">
        <f t="shared" si="87"/>
        <v>748</v>
      </c>
    </row>
    <row r="366" spans="1:12" s="18" customFormat="1" ht="15" customHeight="1">
      <c r="A366" s="18">
        <v>2023</v>
      </c>
      <c r="B366" s="21" t="s">
        <v>36</v>
      </c>
      <c r="C366" s="15">
        <f t="shared" ref="C366:C371" si="89">K366/H366</f>
        <v>0.87140475197999168</v>
      </c>
      <c r="D366" s="15">
        <f t="shared" ref="D366:D371" si="90">K366/J366</f>
        <v>0.9065481352992194</v>
      </c>
      <c r="E366" s="15">
        <f t="shared" ref="E366:E371" si="91">J366/H366</f>
        <v>0.96123384743643181</v>
      </c>
      <c r="F366" s="26">
        <v>128</v>
      </c>
      <c r="G366" s="26">
        <v>6</v>
      </c>
      <c r="H366" s="16">
        <v>4798</v>
      </c>
      <c r="I366" s="16">
        <f t="shared" si="88"/>
        <v>186</v>
      </c>
      <c r="J366" s="16">
        <v>4612</v>
      </c>
      <c r="K366" s="16">
        <v>4181</v>
      </c>
      <c r="L366" s="16">
        <f t="shared" ref="L366:L371" si="92">J366-K366</f>
        <v>431</v>
      </c>
    </row>
    <row r="367" spans="1:12" s="18" customFormat="1" ht="15" customHeight="1">
      <c r="A367" s="18">
        <v>2023</v>
      </c>
      <c r="B367" s="21" t="s">
        <v>37</v>
      </c>
      <c r="C367" s="15">
        <f t="shared" si="89"/>
        <v>0.913955681282414</v>
      </c>
      <c r="D367" s="15">
        <f t="shared" si="90"/>
        <v>0.93919573643410847</v>
      </c>
      <c r="E367" s="15">
        <f t="shared" si="91"/>
        <v>0.97312588401697309</v>
      </c>
      <c r="F367" s="26">
        <v>128</v>
      </c>
      <c r="G367" s="26">
        <v>6</v>
      </c>
      <c r="H367" s="16">
        <v>4242</v>
      </c>
      <c r="I367" s="16">
        <f t="shared" si="88"/>
        <v>114</v>
      </c>
      <c r="J367" s="16">
        <v>4128</v>
      </c>
      <c r="K367" s="16">
        <v>3877</v>
      </c>
      <c r="L367" s="16">
        <f t="shared" si="92"/>
        <v>251</v>
      </c>
    </row>
    <row r="368" spans="1:12" s="18" customFormat="1" ht="15" customHeight="1">
      <c r="A368" s="105">
        <v>2023</v>
      </c>
      <c r="B368" s="83" t="s">
        <v>38</v>
      </c>
      <c r="C368" s="15">
        <f t="shared" si="89"/>
        <v>0.87724051688203419</v>
      </c>
      <c r="D368" s="15">
        <f t="shared" si="90"/>
        <v>0.92363396971691902</v>
      </c>
      <c r="E368" s="15">
        <f t="shared" si="91"/>
        <v>0.94977073780741972</v>
      </c>
      <c r="F368" s="26">
        <v>128</v>
      </c>
      <c r="G368" s="26">
        <v>6</v>
      </c>
      <c r="H368" s="16">
        <v>4798</v>
      </c>
      <c r="I368" s="16">
        <f t="shared" ref="I368:I386" si="93">+H368-J368</f>
        <v>241</v>
      </c>
      <c r="J368" s="16">
        <v>4557</v>
      </c>
      <c r="K368" s="16">
        <v>4209</v>
      </c>
      <c r="L368" s="16">
        <f t="shared" si="92"/>
        <v>348</v>
      </c>
    </row>
    <row r="369" spans="1:15" s="18" customFormat="1" ht="15" customHeight="1">
      <c r="A369" s="107">
        <v>2023</v>
      </c>
      <c r="B369" s="108" t="s">
        <v>39</v>
      </c>
      <c r="C369" s="15">
        <f t="shared" si="89"/>
        <v>0.90019697964543666</v>
      </c>
      <c r="D369" s="15">
        <f t="shared" si="90"/>
        <v>0.93434802362562475</v>
      </c>
      <c r="E369" s="15">
        <f t="shared" si="91"/>
        <v>0.96344933245786823</v>
      </c>
      <c r="F369" s="26">
        <v>128</v>
      </c>
      <c r="G369" s="26">
        <v>6</v>
      </c>
      <c r="H369" s="16">
        <v>4569</v>
      </c>
      <c r="I369" s="16">
        <f t="shared" si="93"/>
        <v>167</v>
      </c>
      <c r="J369" s="16">
        <v>4402</v>
      </c>
      <c r="K369" s="16">
        <v>4113</v>
      </c>
      <c r="L369" s="16">
        <f t="shared" si="92"/>
        <v>289</v>
      </c>
    </row>
    <row r="370" spans="1:15" s="18" customFormat="1" ht="15" customHeight="1">
      <c r="A370" s="127">
        <v>2023</v>
      </c>
      <c r="B370" s="128" t="s">
        <v>40</v>
      </c>
      <c r="C370" s="15">
        <f t="shared" si="89"/>
        <v>0.92087254063301971</v>
      </c>
      <c r="D370" s="15">
        <f t="shared" si="90"/>
        <v>0.94037999563223407</v>
      </c>
      <c r="E370" s="15">
        <f t="shared" si="91"/>
        <v>0.97925577416595377</v>
      </c>
      <c r="F370" s="26">
        <v>128</v>
      </c>
      <c r="G370" s="26">
        <v>6</v>
      </c>
      <c r="H370" s="16">
        <v>4676</v>
      </c>
      <c r="I370" s="16">
        <f t="shared" si="93"/>
        <v>97</v>
      </c>
      <c r="J370" s="16">
        <v>4579</v>
      </c>
      <c r="K370" s="16">
        <v>4306</v>
      </c>
      <c r="L370" s="16">
        <f t="shared" si="92"/>
        <v>273</v>
      </c>
    </row>
    <row r="371" spans="1:15" s="18" customFormat="1" ht="15" customHeight="1">
      <c r="A371" s="132">
        <v>2023</v>
      </c>
      <c r="B371" s="133" t="s">
        <v>41</v>
      </c>
      <c r="C371" s="15">
        <f t="shared" si="89"/>
        <v>0.85999113867966326</v>
      </c>
      <c r="D371" s="15">
        <f t="shared" si="90"/>
        <v>0.91946944576030321</v>
      </c>
      <c r="E371" s="15">
        <f t="shared" si="91"/>
        <v>0.9353123615418697</v>
      </c>
      <c r="F371" s="26">
        <v>128</v>
      </c>
      <c r="G371" s="26">
        <v>6</v>
      </c>
      <c r="H371" s="16">
        <v>4514</v>
      </c>
      <c r="I371" s="16">
        <f t="shared" si="93"/>
        <v>292</v>
      </c>
      <c r="J371" s="16">
        <v>4222</v>
      </c>
      <c r="K371" s="16">
        <v>3882</v>
      </c>
      <c r="L371" s="16">
        <f t="shared" si="92"/>
        <v>340</v>
      </c>
    </row>
    <row r="372" spans="1:15" s="18" customFormat="1" ht="15" customHeight="1">
      <c r="A372" s="138">
        <v>2023</v>
      </c>
      <c r="B372" s="139" t="s">
        <v>42</v>
      </c>
      <c r="C372" s="15">
        <f t="shared" ref="C372:C377" si="94">K372/H372</f>
        <v>0.79670626349892004</v>
      </c>
      <c r="D372" s="15">
        <f t="shared" ref="D372:D377" si="95">K372/J372</f>
        <v>0.85116815690798964</v>
      </c>
      <c r="E372" s="15">
        <f t="shared" ref="E372:E377" si="96">J372/H372</f>
        <v>0.93601511879049681</v>
      </c>
      <c r="F372" s="26">
        <v>128</v>
      </c>
      <c r="G372" s="26">
        <v>6</v>
      </c>
      <c r="H372" s="16">
        <v>3704</v>
      </c>
      <c r="I372" s="16">
        <f t="shared" si="93"/>
        <v>237</v>
      </c>
      <c r="J372" s="16">
        <v>3467</v>
      </c>
      <c r="K372" s="16">
        <v>2951</v>
      </c>
      <c r="L372" s="16">
        <f t="shared" ref="L372:L379" si="97">J372-K372</f>
        <v>516</v>
      </c>
    </row>
    <row r="373" spans="1:15" s="18" customFormat="1" ht="15" customHeight="1">
      <c r="A373" s="162">
        <v>2023</v>
      </c>
      <c r="B373" s="163" t="s">
        <v>43</v>
      </c>
      <c r="C373" s="15">
        <f t="shared" si="94"/>
        <v>0.60337640683618177</v>
      </c>
      <c r="D373" s="15">
        <f t="shared" si="95"/>
        <v>0.90809284818067759</v>
      </c>
      <c r="E373" s="15">
        <f t="shared" si="96"/>
        <v>0.6644435181325552</v>
      </c>
      <c r="F373" s="26">
        <v>128</v>
      </c>
      <c r="G373" s="26">
        <v>6</v>
      </c>
      <c r="H373" s="16">
        <v>4798</v>
      </c>
      <c r="I373" s="16">
        <f t="shared" si="93"/>
        <v>1610</v>
      </c>
      <c r="J373" s="16">
        <v>3188</v>
      </c>
      <c r="K373" s="16">
        <v>2895</v>
      </c>
      <c r="L373" s="16">
        <f t="shared" si="97"/>
        <v>293</v>
      </c>
    </row>
    <row r="374" spans="1:15" s="18" customFormat="1" ht="15" customHeight="1">
      <c r="A374" s="175">
        <v>2023</v>
      </c>
      <c r="B374" s="176" t="s">
        <v>44</v>
      </c>
      <c r="C374" s="169">
        <f t="shared" si="94"/>
        <v>0.60626732040076747</v>
      </c>
      <c r="D374" s="169">
        <f t="shared" si="95"/>
        <v>0.92578125</v>
      </c>
      <c r="E374" s="169">
        <f t="shared" si="96"/>
        <v>0.65487102963120869</v>
      </c>
      <c r="F374" s="171">
        <v>128</v>
      </c>
      <c r="G374" s="171">
        <v>6</v>
      </c>
      <c r="H374" s="168">
        <v>4691</v>
      </c>
      <c r="I374" s="16">
        <f t="shared" si="93"/>
        <v>1619</v>
      </c>
      <c r="J374" s="168">
        <v>3072</v>
      </c>
      <c r="K374" s="168">
        <v>2844</v>
      </c>
      <c r="L374" s="168">
        <f t="shared" si="97"/>
        <v>228</v>
      </c>
      <c r="M374" s="167"/>
    </row>
    <row r="375" spans="1:15" s="18" customFormat="1" ht="15" customHeight="1">
      <c r="A375" s="190">
        <v>2023</v>
      </c>
      <c r="B375" s="191" t="s">
        <v>45</v>
      </c>
      <c r="C375" s="169">
        <f t="shared" si="94"/>
        <v>0.57420872540633017</v>
      </c>
      <c r="D375" s="169">
        <f t="shared" si="95"/>
        <v>0.87687785760940562</v>
      </c>
      <c r="E375" s="169">
        <f t="shared" si="96"/>
        <v>0.6548331907613345</v>
      </c>
      <c r="F375" s="171">
        <v>128</v>
      </c>
      <c r="G375" s="171">
        <v>6</v>
      </c>
      <c r="H375" s="168">
        <v>4676</v>
      </c>
      <c r="I375" s="16">
        <f t="shared" si="93"/>
        <v>1614</v>
      </c>
      <c r="J375" s="168">
        <v>3062</v>
      </c>
      <c r="K375" s="168">
        <v>2685</v>
      </c>
      <c r="L375" s="168">
        <f t="shared" si="97"/>
        <v>377</v>
      </c>
    </row>
    <row r="376" spans="1:15" s="18" customFormat="1" ht="15" customHeight="1">
      <c r="A376" s="18">
        <v>2023</v>
      </c>
      <c r="B376" s="18" t="s">
        <v>46</v>
      </c>
      <c r="C376" s="15">
        <f t="shared" si="94"/>
        <v>0.59594215411180662</v>
      </c>
      <c r="D376" s="15">
        <f t="shared" si="95"/>
        <v>0.89759427828348504</v>
      </c>
      <c r="E376" s="15">
        <f t="shared" si="96"/>
        <v>0.66393265702568527</v>
      </c>
      <c r="F376" s="26">
        <v>128</v>
      </c>
      <c r="G376" s="26">
        <v>6</v>
      </c>
      <c r="H376" s="16">
        <v>4633</v>
      </c>
      <c r="I376" s="16">
        <f t="shared" si="93"/>
        <v>1557</v>
      </c>
      <c r="J376" s="16">
        <v>3076</v>
      </c>
      <c r="K376" s="16">
        <v>2761</v>
      </c>
      <c r="L376" s="16">
        <f t="shared" si="97"/>
        <v>315</v>
      </c>
    </row>
    <row r="377" spans="1:15" s="18" customFormat="1" ht="15" customHeight="1">
      <c r="A377" s="203">
        <v>2023</v>
      </c>
      <c r="B377" s="207" t="s">
        <v>47</v>
      </c>
      <c r="C377" s="15">
        <f t="shared" si="94"/>
        <v>0.57671731221913114</v>
      </c>
      <c r="D377" s="15">
        <f t="shared" si="95"/>
        <v>0.91760299625468167</v>
      </c>
      <c r="E377" s="15">
        <f t="shared" si="96"/>
        <v>0.62850417290819605</v>
      </c>
      <c r="F377" s="26">
        <v>128</v>
      </c>
      <c r="G377" s="26">
        <v>6</v>
      </c>
      <c r="H377" s="16">
        <v>4673</v>
      </c>
      <c r="I377" s="16">
        <f t="shared" si="93"/>
        <v>1736</v>
      </c>
      <c r="J377" s="16">
        <v>2937</v>
      </c>
      <c r="K377" s="16">
        <v>2695</v>
      </c>
      <c r="L377" s="16">
        <f t="shared" si="97"/>
        <v>242</v>
      </c>
    </row>
    <row r="378" spans="1:15" s="18" customFormat="1" ht="15" customHeight="1">
      <c r="A378" s="210">
        <v>2024</v>
      </c>
      <c r="B378" s="207" t="s">
        <v>36</v>
      </c>
      <c r="C378" s="15">
        <f t="shared" ref="C378" si="98">K378/H378</f>
        <v>0.92042606516290726</v>
      </c>
      <c r="D378" s="15">
        <f t="shared" ref="D378" si="99">K378/J378</f>
        <v>0.93716108452950553</v>
      </c>
      <c r="E378" s="15">
        <f t="shared" ref="E378" si="100">J378/H378</f>
        <v>0.9821428571428571</v>
      </c>
      <c r="F378" s="209">
        <v>128</v>
      </c>
      <c r="G378" s="209">
        <v>6</v>
      </c>
      <c r="H378" s="16">
        <v>3192</v>
      </c>
      <c r="I378" s="16">
        <f t="shared" si="93"/>
        <v>57</v>
      </c>
      <c r="J378" s="16">
        <v>3135</v>
      </c>
      <c r="K378" s="16">
        <v>2938</v>
      </c>
      <c r="L378" s="16">
        <f t="shared" si="97"/>
        <v>197</v>
      </c>
      <c r="M378" s="205"/>
      <c r="O378" s="18" t="s">
        <v>183</v>
      </c>
    </row>
    <row r="379" spans="1:15" s="18" customFormat="1" ht="15" customHeight="1">
      <c r="A379" s="18">
        <v>2024</v>
      </c>
      <c r="B379" s="18" t="s">
        <v>37</v>
      </c>
      <c r="C379" s="15">
        <f t="shared" ref="C379" si="101">K379/H379</f>
        <v>0.83751288217107522</v>
      </c>
      <c r="D379" s="15">
        <f t="shared" ref="D379" si="102">K379/J379</f>
        <v>0.89929915160457397</v>
      </c>
      <c r="E379" s="15">
        <f t="shared" ref="E379" si="103">J379/H379</f>
        <v>0.93129508759876334</v>
      </c>
      <c r="F379" s="209">
        <v>128</v>
      </c>
      <c r="G379" s="209">
        <v>6</v>
      </c>
      <c r="H379" s="217">
        <v>2911</v>
      </c>
      <c r="I379" s="16">
        <f t="shared" si="93"/>
        <v>200</v>
      </c>
      <c r="J379" s="217">
        <v>2711</v>
      </c>
      <c r="K379" s="217">
        <v>2438</v>
      </c>
      <c r="L379" s="16">
        <f t="shared" si="97"/>
        <v>273</v>
      </c>
      <c r="M379" s="216"/>
      <c r="O379" s="18" t="s">
        <v>168</v>
      </c>
    </row>
    <row r="380" spans="1:15" s="18" customFormat="1" ht="15" customHeight="1">
      <c r="A380" s="222">
        <v>2024</v>
      </c>
      <c r="B380" s="223" t="s">
        <v>38</v>
      </c>
      <c r="C380" s="208">
        <f t="shared" ref="C380:C385" si="104">K380/H380</f>
        <v>0.79987212276214836</v>
      </c>
      <c r="D380" s="208">
        <f t="shared" ref="D380:D385" si="105">K380/J380</f>
        <v>0.82140512147078137</v>
      </c>
      <c r="E380" s="208">
        <f t="shared" ref="E380:E385" si="106">J380/H380</f>
        <v>0.97378516624040923</v>
      </c>
      <c r="F380" s="209">
        <v>165</v>
      </c>
      <c r="G380" s="209">
        <v>6</v>
      </c>
      <c r="H380" s="217">
        <v>3128</v>
      </c>
      <c r="I380" s="16">
        <f t="shared" si="93"/>
        <v>82</v>
      </c>
      <c r="J380" s="217">
        <v>3046</v>
      </c>
      <c r="K380" s="217">
        <v>2502</v>
      </c>
      <c r="L380" s="217">
        <f t="shared" ref="L380:L385" si="107">J380-K380</f>
        <v>544</v>
      </c>
      <c r="M380" s="216"/>
      <c r="O380" s="18" t="s">
        <v>168</v>
      </c>
    </row>
    <row r="381" spans="1:15" s="18" customFormat="1" ht="15" customHeight="1">
      <c r="A381" s="228">
        <v>2024</v>
      </c>
      <c r="B381" s="229" t="s">
        <v>39</v>
      </c>
      <c r="C381" s="208">
        <f t="shared" si="104"/>
        <v>0.83763227513227512</v>
      </c>
      <c r="D381" s="208">
        <f t="shared" si="105"/>
        <v>0.86362086600750088</v>
      </c>
      <c r="E381" s="208">
        <f t="shared" si="106"/>
        <v>0.96990740740740744</v>
      </c>
      <c r="F381" s="209">
        <v>165</v>
      </c>
      <c r="G381" s="209">
        <v>6</v>
      </c>
      <c r="H381" s="217">
        <v>3024</v>
      </c>
      <c r="I381" s="16">
        <f t="shared" si="93"/>
        <v>91</v>
      </c>
      <c r="J381" s="217">
        <v>2933</v>
      </c>
      <c r="K381" s="217">
        <v>2533</v>
      </c>
      <c r="L381" s="217">
        <f t="shared" si="107"/>
        <v>400</v>
      </c>
      <c r="M381" s="216"/>
      <c r="O381" s="18" t="s">
        <v>168</v>
      </c>
    </row>
    <row r="382" spans="1:15" s="18" customFormat="1" ht="15" customHeight="1">
      <c r="A382" s="230">
        <v>2024</v>
      </c>
      <c r="B382" s="231" t="s">
        <v>40</v>
      </c>
      <c r="C382" s="208">
        <f t="shared" si="104"/>
        <v>0.79052765416401782</v>
      </c>
      <c r="D382" s="208">
        <f t="shared" si="105"/>
        <v>0.87140854940434476</v>
      </c>
      <c r="E382" s="208">
        <f t="shared" si="106"/>
        <v>0.90718372536554359</v>
      </c>
      <c r="F382" s="209">
        <v>165</v>
      </c>
      <c r="G382" s="209">
        <v>6</v>
      </c>
      <c r="H382" s="217">
        <v>3146</v>
      </c>
      <c r="I382" s="16">
        <f t="shared" si="93"/>
        <v>292</v>
      </c>
      <c r="J382" s="217">
        <v>2854</v>
      </c>
      <c r="K382" s="217">
        <v>2487</v>
      </c>
      <c r="L382" s="217">
        <f t="shared" si="107"/>
        <v>367</v>
      </c>
      <c r="M382" s="216"/>
      <c r="O382" s="18" t="s">
        <v>172</v>
      </c>
    </row>
    <row r="383" spans="1:15" s="18" customFormat="1" ht="15" customHeight="1">
      <c r="A383" s="237">
        <v>2024</v>
      </c>
      <c r="B383" s="238" t="s">
        <v>41</v>
      </c>
      <c r="C383" s="208">
        <f t="shared" si="104"/>
        <v>0.8705679862306368</v>
      </c>
      <c r="D383" s="208">
        <f t="shared" si="105"/>
        <v>0.89363957597173149</v>
      </c>
      <c r="E383" s="208">
        <f t="shared" si="106"/>
        <v>0.97418244406196208</v>
      </c>
      <c r="F383" s="209">
        <v>165</v>
      </c>
      <c r="G383" s="209">
        <v>6</v>
      </c>
      <c r="H383" s="217">
        <v>2905</v>
      </c>
      <c r="I383" s="16">
        <f t="shared" si="93"/>
        <v>75</v>
      </c>
      <c r="J383" s="217">
        <v>2830</v>
      </c>
      <c r="K383" s="217">
        <v>2529</v>
      </c>
      <c r="L383" s="217">
        <f t="shared" si="107"/>
        <v>301</v>
      </c>
      <c r="M383" s="216"/>
      <c r="O383" s="18" t="s">
        <v>172</v>
      </c>
    </row>
    <row r="384" spans="1:15" s="18" customFormat="1" ht="15" customHeight="1">
      <c r="A384" s="18">
        <v>2024</v>
      </c>
      <c r="B384" s="18" t="s">
        <v>42</v>
      </c>
      <c r="C384" s="208">
        <f t="shared" si="104"/>
        <v>0.8771929824561403</v>
      </c>
      <c r="D384" s="208">
        <f t="shared" si="105"/>
        <v>0.89257252151737332</v>
      </c>
      <c r="E384" s="208">
        <f t="shared" si="106"/>
        <v>0.98276942355889729</v>
      </c>
      <c r="F384" s="209">
        <v>113</v>
      </c>
      <c r="G384" s="209">
        <v>6</v>
      </c>
      <c r="H384" s="217">
        <v>3192</v>
      </c>
      <c r="I384" s="16">
        <f t="shared" si="93"/>
        <v>55</v>
      </c>
      <c r="J384" s="217">
        <v>3137</v>
      </c>
      <c r="K384" s="217">
        <v>2800</v>
      </c>
      <c r="L384" s="217">
        <f t="shared" si="107"/>
        <v>337</v>
      </c>
      <c r="M384" s="216" t="s">
        <v>186</v>
      </c>
    </row>
    <row r="385" spans="1:26" s="18" customFormat="1" ht="15" customHeight="1">
      <c r="A385" s="272">
        <v>2024</v>
      </c>
      <c r="B385" s="273" t="s">
        <v>43</v>
      </c>
      <c r="C385" s="208">
        <f t="shared" si="104"/>
        <v>0.91769107429182251</v>
      </c>
      <c r="D385" s="208">
        <f t="shared" si="105"/>
        <v>0.93138052617304046</v>
      </c>
      <c r="E385" s="208">
        <f t="shared" si="106"/>
        <v>0.98530197755211113</v>
      </c>
      <c r="F385" s="209">
        <v>113</v>
      </c>
      <c r="G385" s="209">
        <v>6</v>
      </c>
      <c r="H385" s="217">
        <v>3742</v>
      </c>
      <c r="I385" s="16">
        <f t="shared" si="93"/>
        <v>55</v>
      </c>
      <c r="J385" s="217">
        <v>3687</v>
      </c>
      <c r="K385" s="217">
        <v>3434</v>
      </c>
      <c r="L385" s="217">
        <f t="shared" si="107"/>
        <v>253</v>
      </c>
      <c r="M385" s="216"/>
    </row>
    <row r="386" spans="1:26" s="18" customFormat="1" ht="15" customHeight="1">
      <c r="A386" s="286">
        <v>2024</v>
      </c>
      <c r="B386" s="287" t="s">
        <v>44</v>
      </c>
      <c r="C386" s="208">
        <f>K386/H386</f>
        <v>0.92886014551333873</v>
      </c>
      <c r="D386" s="208">
        <f>K386/J386</f>
        <v>0.95194697597348799</v>
      </c>
      <c r="E386" s="208">
        <f>J386/H386</f>
        <v>0.97574777687954728</v>
      </c>
      <c r="F386" s="209">
        <v>113</v>
      </c>
      <c r="G386" s="209">
        <v>6</v>
      </c>
      <c r="H386" s="217">
        <v>3711</v>
      </c>
      <c r="I386" s="16">
        <f t="shared" si="93"/>
        <v>90</v>
      </c>
      <c r="J386" s="217">
        <v>3621</v>
      </c>
      <c r="K386" s="217">
        <v>3447</v>
      </c>
      <c r="L386" s="217">
        <f>J386-K386</f>
        <v>174</v>
      </c>
      <c r="M386" s="216"/>
    </row>
    <row r="387" spans="1:26" s="18" customFormat="1" ht="15" customHeight="1">
      <c r="A387" s="143" t="s">
        <v>152</v>
      </c>
      <c r="B387" s="144"/>
      <c r="C387" s="140">
        <f>+BN[[#Totals],[Trenes Puntuales]]/BN[[#Totals],[Trenes Programados]]</f>
        <v>0.84393825067244277</v>
      </c>
      <c r="D387" s="140">
        <f>+BN[[#Totals],[Trenes Puntuales]]/BN[[#Totals],[Trenes Corridos]]</f>
        <v>0.89512687793530377</v>
      </c>
      <c r="E387" s="140">
        <f>+BN[[#Totals],[Trenes Corridos]]/BN[[#Totals],[Trenes Programados]]</f>
        <v>0.94281410990480752</v>
      </c>
      <c r="F387" s="141"/>
      <c r="G387" s="141"/>
      <c r="H387" s="141">
        <f>SUBTOTAL(109,BN[Trenes Programados])</f>
        <v>1689735</v>
      </c>
      <c r="I387" s="141">
        <f>SUBTOTAL(109,BN[Trenes Cancelados])</f>
        <v>99346</v>
      </c>
      <c r="J387" s="141">
        <f>SUBTOTAL(109,BN[Trenes Corridos])</f>
        <v>1593106</v>
      </c>
      <c r="K387" s="141">
        <f>SUBTOTAL(109,BN[Trenes Puntuales])</f>
        <v>1426032</v>
      </c>
      <c r="L387" s="141">
        <f>SUBTOTAL(109,BN[Trenes Atrasados])</f>
        <v>164895</v>
      </c>
      <c r="M387" s="2">
        <f>SUBTOTAL(103,BN[Observaciones])</f>
        <v>5</v>
      </c>
      <c r="O387" s="18">
        <v>2024</v>
      </c>
      <c r="P387" s="18" t="s">
        <v>36</v>
      </c>
      <c r="Q387" s="18">
        <v>0.92042606516290726</v>
      </c>
      <c r="R387" s="18">
        <v>0.93716108452950553</v>
      </c>
      <c r="S387" s="18">
        <v>0.9821428571428571</v>
      </c>
      <c r="T387" s="18">
        <v>128</v>
      </c>
      <c r="U387" s="18">
        <v>6</v>
      </c>
      <c r="V387" s="18">
        <v>3192</v>
      </c>
      <c r="W387" s="18">
        <v>57</v>
      </c>
      <c r="X387" s="18">
        <v>3135</v>
      </c>
      <c r="Y387" s="18">
        <v>2938</v>
      </c>
      <c r="Z387" s="18">
        <v>197</v>
      </c>
    </row>
    <row r="388" spans="1:26" s="18" customFormat="1" ht="15" customHeight="1">
      <c r="A388" s="143"/>
      <c r="B388" s="144"/>
      <c r="C388" s="140"/>
      <c r="D388" s="140"/>
      <c r="E388" s="140"/>
      <c r="F388" s="141"/>
      <c r="G388" s="141"/>
      <c r="H388" s="141"/>
      <c r="I388" s="141"/>
      <c r="J388" s="141"/>
      <c r="K388" s="141"/>
      <c r="L388" s="141"/>
      <c r="M388" s="2"/>
      <c r="O388" s="18">
        <v>2024</v>
      </c>
      <c r="P388" s="18" t="s">
        <v>37</v>
      </c>
      <c r="Q388" s="18">
        <v>0.83751288217107522</v>
      </c>
      <c r="R388" s="18">
        <v>0.89929915160457397</v>
      </c>
      <c r="S388" s="18">
        <v>0.93129508759876334</v>
      </c>
      <c r="T388" s="18">
        <v>128</v>
      </c>
      <c r="U388" s="18">
        <v>6</v>
      </c>
      <c r="V388" s="18">
        <v>2911</v>
      </c>
      <c r="W388" s="18">
        <v>200</v>
      </c>
      <c r="X388" s="18">
        <v>2711</v>
      </c>
      <c r="Y388" s="18">
        <v>2438</v>
      </c>
      <c r="Z388" s="18">
        <v>273</v>
      </c>
    </row>
    <row r="389" spans="1:26" s="18" customFormat="1" ht="15" customHeight="1">
      <c r="A389" s="143"/>
      <c r="B389" s="144"/>
      <c r="C389" s="140"/>
      <c r="D389" s="140"/>
      <c r="E389" s="140"/>
      <c r="F389" s="141"/>
      <c r="G389" s="141"/>
      <c r="H389" s="141"/>
      <c r="I389" s="141"/>
      <c r="J389" s="141"/>
      <c r="K389" s="141"/>
      <c r="L389" s="141"/>
      <c r="M389" s="2"/>
      <c r="O389" s="18">
        <v>2024</v>
      </c>
      <c r="P389" s="18" t="s">
        <v>38</v>
      </c>
      <c r="Q389" s="18">
        <v>0.79987212276214836</v>
      </c>
      <c r="R389" s="18">
        <v>0.82140512147078137</v>
      </c>
      <c r="S389" s="18">
        <v>0.97378516624040923</v>
      </c>
      <c r="T389" s="18">
        <v>165</v>
      </c>
      <c r="U389" s="18">
        <v>6</v>
      </c>
      <c r="V389" s="18">
        <v>3128</v>
      </c>
      <c r="W389" s="18">
        <v>82</v>
      </c>
      <c r="X389" s="18">
        <v>3046</v>
      </c>
      <c r="Y389" s="18">
        <v>2502</v>
      </c>
      <c r="Z389" s="18">
        <v>544</v>
      </c>
    </row>
    <row r="390" spans="1:26" s="18" customFormat="1" ht="15" customHeight="1">
      <c r="A390" s="143"/>
      <c r="B390" s="144"/>
      <c r="C390" s="140"/>
      <c r="D390" s="140"/>
      <c r="E390" s="140"/>
      <c r="F390" s="141"/>
      <c r="G390" s="141"/>
      <c r="H390" s="141"/>
      <c r="I390" s="141"/>
      <c r="J390" s="141"/>
      <c r="K390" s="141"/>
      <c r="L390" s="141"/>
      <c r="M390" s="2"/>
      <c r="O390" s="18">
        <v>2024</v>
      </c>
      <c r="P390" s="18" t="s">
        <v>39</v>
      </c>
      <c r="Q390" s="18">
        <v>0.83763227513227512</v>
      </c>
      <c r="R390" s="18">
        <v>0.86362086600750088</v>
      </c>
      <c r="S390" s="18">
        <v>0.96990740740740744</v>
      </c>
      <c r="T390" s="18">
        <v>165</v>
      </c>
      <c r="U390" s="18">
        <v>6</v>
      </c>
      <c r="V390" s="18">
        <v>3024</v>
      </c>
      <c r="W390" s="18">
        <v>91</v>
      </c>
      <c r="X390" s="18">
        <v>2933</v>
      </c>
      <c r="Y390" s="18">
        <v>2533</v>
      </c>
      <c r="Z390" s="18">
        <v>400</v>
      </c>
    </row>
    <row r="391" spans="1:26" s="18" customFormat="1" ht="15" customHeight="1">
      <c r="A391" s="143"/>
      <c r="B391" s="144"/>
      <c r="C391" s="140"/>
      <c r="D391" s="140"/>
      <c r="E391" s="140"/>
      <c r="F391" s="141"/>
      <c r="G391" s="141"/>
      <c r="H391" s="141"/>
      <c r="I391" s="141"/>
      <c r="J391" s="141"/>
      <c r="K391" s="141"/>
      <c r="L391" s="141"/>
      <c r="M391" s="2"/>
      <c r="O391" s="18">
        <v>2024</v>
      </c>
      <c r="P391" s="18" t="s">
        <v>40</v>
      </c>
      <c r="Q391" s="18">
        <v>0.79052765416401782</v>
      </c>
      <c r="R391" s="18">
        <v>0.87140854940434476</v>
      </c>
      <c r="S391" s="18">
        <v>0.90718372536554359</v>
      </c>
      <c r="T391" s="18">
        <v>165</v>
      </c>
      <c r="U391" s="18">
        <v>6</v>
      </c>
      <c r="V391" s="18">
        <v>3146</v>
      </c>
      <c r="W391" s="18">
        <v>292</v>
      </c>
      <c r="X391" s="18">
        <v>2854</v>
      </c>
      <c r="Y391" s="18">
        <v>2487</v>
      </c>
      <c r="Z391" s="18">
        <v>367</v>
      </c>
    </row>
    <row r="392" spans="1:26" s="18" customFormat="1" ht="15" customHeight="1">
      <c r="A392" s="143"/>
      <c r="B392" s="144"/>
      <c r="C392" s="140"/>
      <c r="D392" s="140"/>
      <c r="E392" s="140"/>
      <c r="F392" s="141"/>
      <c r="G392" s="141"/>
      <c r="H392" s="141"/>
      <c r="I392" s="141"/>
      <c r="J392" s="141"/>
      <c r="K392" s="141"/>
      <c r="L392" s="141"/>
      <c r="M392" s="2"/>
      <c r="O392" s="18">
        <v>2024</v>
      </c>
      <c r="P392" s="18" t="s">
        <v>41</v>
      </c>
      <c r="Q392" s="18">
        <v>0.8705679862306368</v>
      </c>
      <c r="R392" s="18">
        <v>0.89363957597173149</v>
      </c>
      <c r="S392" s="18">
        <v>0.97418244406196208</v>
      </c>
      <c r="T392" s="18">
        <v>165</v>
      </c>
      <c r="U392" s="18">
        <v>6</v>
      </c>
      <c r="V392" s="18">
        <v>2905</v>
      </c>
      <c r="W392" s="18">
        <v>75</v>
      </c>
      <c r="X392" s="18">
        <v>2830</v>
      </c>
      <c r="Y392" s="18">
        <v>2529</v>
      </c>
      <c r="Z392" s="18">
        <v>301</v>
      </c>
    </row>
    <row r="393" spans="1:26" s="18" customFormat="1" ht="15" customHeight="1">
      <c r="A393" s="143"/>
      <c r="B393" s="144"/>
      <c r="C393" s="140"/>
      <c r="D393" s="140"/>
      <c r="E393" s="140"/>
      <c r="F393" s="141"/>
      <c r="G393" s="141"/>
      <c r="H393" s="141"/>
      <c r="I393" s="141"/>
      <c r="J393" s="141"/>
      <c r="K393" s="141"/>
      <c r="L393" s="141"/>
      <c r="M393" s="2"/>
      <c r="Q393" s="251">
        <f>Y393/V393</f>
        <v>0.84272915983830443</v>
      </c>
      <c r="R393" s="251">
        <f>Y393/X393</f>
        <v>0.88108972528413954</v>
      </c>
      <c r="S393" s="251">
        <f>X393/V393</f>
        <v>0.95646236206708179</v>
      </c>
      <c r="V393" s="18">
        <f>SUM(V387:V392)</f>
        <v>18306</v>
      </c>
      <c r="W393" s="18">
        <f>SUM(W387:W392)</f>
        <v>797</v>
      </c>
      <c r="X393" s="18">
        <f>SUM(X387:X392)</f>
        <v>17509</v>
      </c>
      <c r="Y393" s="18">
        <f>SUM(Y387:Y392)</f>
        <v>15427</v>
      </c>
      <c r="Z393" s="18">
        <f>SUM(Z387:Z392)</f>
        <v>2082</v>
      </c>
    </row>
    <row r="394" spans="1:26" s="74" customFormat="1" ht="45" customHeight="1">
      <c r="A394" s="18"/>
      <c r="B394" s="18"/>
      <c r="C394" s="18"/>
      <c r="D394" s="18"/>
      <c r="E394" s="18"/>
      <c r="F394" s="18"/>
      <c r="G394" s="18"/>
      <c r="H394" s="18"/>
      <c r="I394" s="18"/>
      <c r="J394" s="18"/>
      <c r="K394" s="18"/>
      <c r="L394" s="18"/>
      <c r="M394" s="18"/>
      <c r="O394" s="18"/>
      <c r="P394" s="18"/>
      <c r="Q394" s="18"/>
      <c r="R394" s="18"/>
      <c r="S394" s="18"/>
    </row>
    <row r="395" spans="1:26" s="18" customFormat="1" ht="38.25">
      <c r="A395" s="187" t="s">
        <v>107</v>
      </c>
      <c r="B395" s="71" t="s">
        <v>116</v>
      </c>
      <c r="C395" s="71" t="s">
        <v>117</v>
      </c>
      <c r="D395" s="71" t="s">
        <v>118</v>
      </c>
      <c r="E395" s="71" t="s">
        <v>120</v>
      </c>
      <c r="F395" s="71" t="s">
        <v>119</v>
      </c>
      <c r="G395" s="74"/>
      <c r="H395" s="74"/>
      <c r="I395" s="74"/>
      <c r="J395" s="74"/>
      <c r="K395" s="74"/>
      <c r="L395" s="74"/>
      <c r="M395" s="74"/>
    </row>
    <row r="396" spans="1:26" s="18" customFormat="1" ht="15" customHeight="1">
      <c r="A396" s="188">
        <v>1993</v>
      </c>
      <c r="B396" s="186">
        <v>39214</v>
      </c>
      <c r="C396" s="186">
        <v>4170</v>
      </c>
      <c r="D396" s="186">
        <v>35044</v>
      </c>
      <c r="E396" s="186">
        <v>33274</v>
      </c>
      <c r="F396" s="186">
        <v>1770</v>
      </c>
    </row>
    <row r="397" spans="1:26" s="18" customFormat="1" ht="15" customHeight="1">
      <c r="A397" s="188">
        <v>1994</v>
      </c>
      <c r="B397" s="186">
        <v>33174</v>
      </c>
      <c r="C397" s="186">
        <v>2027</v>
      </c>
      <c r="D397" s="186">
        <v>31147</v>
      </c>
      <c r="E397" s="186">
        <v>29990</v>
      </c>
      <c r="F397" s="186">
        <v>1157</v>
      </c>
    </row>
    <row r="398" spans="1:26" s="18" customFormat="1" ht="15" customHeight="1">
      <c r="A398" s="188">
        <v>1995</v>
      </c>
      <c r="B398" s="186">
        <v>39318</v>
      </c>
      <c r="C398" s="186">
        <v>970</v>
      </c>
      <c r="D398" s="186">
        <v>38348</v>
      </c>
      <c r="E398" s="186">
        <v>36910</v>
      </c>
      <c r="F398" s="186">
        <v>1438</v>
      </c>
    </row>
    <row r="399" spans="1:26" s="18" customFormat="1" ht="15" customHeight="1">
      <c r="A399" s="188">
        <v>1996</v>
      </c>
      <c r="B399" s="186">
        <v>47417</v>
      </c>
      <c r="C399" s="186">
        <v>4171</v>
      </c>
      <c r="D399" s="186">
        <v>43246</v>
      </c>
      <c r="E399" s="186">
        <v>40176</v>
      </c>
      <c r="F399" s="186">
        <v>3070</v>
      </c>
    </row>
    <row r="400" spans="1:26" s="18" customFormat="1" ht="15" customHeight="1">
      <c r="A400" s="188">
        <v>1997</v>
      </c>
      <c r="B400" s="186">
        <v>53004</v>
      </c>
      <c r="C400" s="186">
        <v>1542</v>
      </c>
      <c r="D400" s="186">
        <v>51462</v>
      </c>
      <c r="E400" s="186">
        <v>50795</v>
      </c>
      <c r="F400" s="186">
        <v>667</v>
      </c>
    </row>
    <row r="401" spans="1:6" s="18" customFormat="1" ht="15" customHeight="1">
      <c r="A401" s="188">
        <v>1998</v>
      </c>
      <c r="B401" s="186">
        <v>56047</v>
      </c>
      <c r="C401" s="186">
        <v>1722</v>
      </c>
      <c r="D401" s="186">
        <v>54325</v>
      </c>
      <c r="E401" s="186">
        <v>53411</v>
      </c>
      <c r="F401" s="186">
        <v>914</v>
      </c>
    </row>
    <row r="402" spans="1:6" s="18" customFormat="1" ht="15" customHeight="1">
      <c r="A402" s="188">
        <v>1999</v>
      </c>
      <c r="B402" s="186">
        <v>55560</v>
      </c>
      <c r="C402" s="186">
        <v>770</v>
      </c>
      <c r="D402" s="186">
        <v>54790</v>
      </c>
      <c r="E402" s="186">
        <v>54007</v>
      </c>
      <c r="F402" s="186">
        <v>783</v>
      </c>
    </row>
    <row r="403" spans="1:6" s="18" customFormat="1" ht="15" customHeight="1">
      <c r="A403" s="188">
        <v>2000</v>
      </c>
      <c r="B403" s="186">
        <v>56138</v>
      </c>
      <c r="C403" s="186">
        <v>669</v>
      </c>
      <c r="D403" s="186">
        <v>55469</v>
      </c>
      <c r="E403" s="186">
        <v>54660</v>
      </c>
      <c r="F403" s="186">
        <v>809</v>
      </c>
    </row>
    <row r="404" spans="1:6" s="18" customFormat="1" ht="15" customHeight="1">
      <c r="A404" s="188">
        <v>2001</v>
      </c>
      <c r="B404" s="186">
        <v>56389</v>
      </c>
      <c r="C404" s="186">
        <v>848</v>
      </c>
      <c r="D404" s="186">
        <v>55541</v>
      </c>
      <c r="E404" s="186">
        <v>55048</v>
      </c>
      <c r="F404" s="186">
        <v>493</v>
      </c>
    </row>
    <row r="405" spans="1:6" s="18" customFormat="1" ht="15" customHeight="1">
      <c r="A405" s="188">
        <v>2002</v>
      </c>
      <c r="B405" s="186">
        <v>56408</v>
      </c>
      <c r="C405" s="186">
        <v>10825</v>
      </c>
      <c r="D405" s="186">
        <v>45583</v>
      </c>
      <c r="E405" s="186">
        <v>44783</v>
      </c>
      <c r="F405" s="186">
        <v>800</v>
      </c>
    </row>
    <row r="406" spans="1:6" s="18" customFormat="1" ht="15" customHeight="1">
      <c r="A406" s="188">
        <v>2003</v>
      </c>
      <c r="B406" s="186">
        <v>49812</v>
      </c>
      <c r="C406" s="186">
        <v>525</v>
      </c>
      <c r="D406" s="186">
        <v>49287</v>
      </c>
      <c r="E406" s="186">
        <v>47702</v>
      </c>
      <c r="F406" s="186">
        <v>1585</v>
      </c>
    </row>
    <row r="407" spans="1:6" s="18" customFormat="1" ht="15" customHeight="1">
      <c r="A407" s="188">
        <v>2004</v>
      </c>
      <c r="B407" s="186">
        <v>52721</v>
      </c>
      <c r="C407" s="186">
        <v>525</v>
      </c>
      <c r="D407" s="186">
        <v>52196</v>
      </c>
      <c r="E407" s="186">
        <v>49673</v>
      </c>
      <c r="F407" s="186">
        <v>2523</v>
      </c>
    </row>
    <row r="408" spans="1:6" s="18" customFormat="1" ht="15" customHeight="1">
      <c r="A408" s="188">
        <v>2005</v>
      </c>
      <c r="B408" s="186">
        <v>55239</v>
      </c>
      <c r="C408" s="186">
        <v>1007</v>
      </c>
      <c r="D408" s="186">
        <v>54232</v>
      </c>
      <c r="E408" s="186">
        <v>51230</v>
      </c>
      <c r="F408" s="186">
        <v>3540</v>
      </c>
    </row>
    <row r="409" spans="1:6" s="18" customFormat="1" ht="15" customHeight="1">
      <c r="A409" s="188">
        <v>2006</v>
      </c>
      <c r="B409" s="186">
        <v>58402</v>
      </c>
      <c r="C409" s="186">
        <v>981</v>
      </c>
      <c r="D409" s="186">
        <v>57421</v>
      </c>
      <c r="E409" s="186">
        <v>53847</v>
      </c>
      <c r="F409" s="186">
        <v>3574</v>
      </c>
    </row>
    <row r="410" spans="1:6" s="18" customFormat="1" ht="15" customHeight="1">
      <c r="A410" s="188">
        <v>2007</v>
      </c>
      <c r="B410" s="186">
        <v>58310</v>
      </c>
      <c r="C410" s="186">
        <v>1426</v>
      </c>
      <c r="D410" s="186">
        <v>56884</v>
      </c>
      <c r="E410" s="186">
        <v>52819</v>
      </c>
      <c r="F410" s="186">
        <v>4065</v>
      </c>
    </row>
    <row r="411" spans="1:6" s="18" customFormat="1" ht="15" customHeight="1">
      <c r="A411" s="188">
        <v>2008</v>
      </c>
      <c r="B411" s="186">
        <v>59188</v>
      </c>
      <c r="C411" s="186">
        <v>1492</v>
      </c>
      <c r="D411" s="186">
        <v>57696</v>
      </c>
      <c r="E411" s="186">
        <v>53321</v>
      </c>
      <c r="F411" s="186">
        <v>4375</v>
      </c>
    </row>
    <row r="412" spans="1:6" s="18" customFormat="1" ht="15" customHeight="1">
      <c r="A412" s="188">
        <v>2009</v>
      </c>
      <c r="B412" s="186">
        <v>60202</v>
      </c>
      <c r="C412" s="186">
        <v>1722</v>
      </c>
      <c r="D412" s="186">
        <v>58480</v>
      </c>
      <c r="E412" s="186">
        <v>54343</v>
      </c>
      <c r="F412" s="186">
        <v>4137</v>
      </c>
    </row>
    <row r="413" spans="1:6" s="18" customFormat="1" ht="15" customHeight="1">
      <c r="A413" s="188">
        <v>2010</v>
      </c>
      <c r="B413" s="186">
        <v>60126</v>
      </c>
      <c r="C413" s="186">
        <v>2586</v>
      </c>
      <c r="D413" s="186">
        <v>57540</v>
      </c>
      <c r="E413" s="186">
        <v>50636</v>
      </c>
      <c r="F413" s="186">
        <v>6904</v>
      </c>
    </row>
    <row r="414" spans="1:6" s="18" customFormat="1" ht="15" customHeight="1">
      <c r="A414" s="188">
        <v>2011</v>
      </c>
      <c r="B414" s="186">
        <v>59956</v>
      </c>
      <c r="C414" s="186">
        <v>3188</v>
      </c>
      <c r="D414" s="186">
        <v>56768</v>
      </c>
      <c r="E414" s="186">
        <v>51572</v>
      </c>
      <c r="F414" s="186">
        <v>5196</v>
      </c>
    </row>
    <row r="415" spans="1:6" s="18" customFormat="1" ht="15" customHeight="1">
      <c r="A415" s="188">
        <v>2012</v>
      </c>
      <c r="B415" s="186">
        <v>59829</v>
      </c>
      <c r="C415" s="186">
        <v>2743</v>
      </c>
      <c r="D415" s="186">
        <v>57086</v>
      </c>
      <c r="E415" s="186">
        <v>51975</v>
      </c>
      <c r="F415" s="186">
        <v>5111</v>
      </c>
    </row>
    <row r="416" spans="1:6" s="18" customFormat="1" ht="15" customHeight="1">
      <c r="A416" s="188">
        <v>2013</v>
      </c>
      <c r="B416" s="186">
        <v>59783</v>
      </c>
      <c r="C416" s="186">
        <v>3381</v>
      </c>
      <c r="D416" s="186">
        <v>56402</v>
      </c>
      <c r="E416" s="186">
        <v>48060</v>
      </c>
      <c r="F416" s="186">
        <v>8342</v>
      </c>
    </row>
    <row r="417" spans="1:6" s="18" customFormat="1" ht="15" customHeight="1">
      <c r="A417" s="188">
        <v>2014</v>
      </c>
      <c r="B417" s="186">
        <v>59822</v>
      </c>
      <c r="C417" s="186">
        <v>6098</v>
      </c>
      <c r="D417" s="186">
        <v>53724</v>
      </c>
      <c r="E417" s="186">
        <v>43496</v>
      </c>
      <c r="F417" s="186">
        <v>10228</v>
      </c>
    </row>
    <row r="418" spans="1:6" s="18" customFormat="1" ht="15" customHeight="1">
      <c r="A418" s="188">
        <v>2015</v>
      </c>
      <c r="B418" s="186">
        <v>59783</v>
      </c>
      <c r="C418" s="186">
        <v>5972</v>
      </c>
      <c r="D418" s="186">
        <v>53811</v>
      </c>
      <c r="E418" s="186">
        <v>44252</v>
      </c>
      <c r="F418" s="186">
        <v>9559</v>
      </c>
    </row>
    <row r="419" spans="1:6" s="18" customFormat="1" ht="15" customHeight="1">
      <c r="A419" s="188">
        <v>2016</v>
      </c>
      <c r="B419" s="186">
        <v>57477</v>
      </c>
      <c r="C419" s="186">
        <v>7138</v>
      </c>
      <c r="D419" s="186">
        <v>50339</v>
      </c>
      <c r="E419" s="186">
        <v>34203</v>
      </c>
      <c r="F419" s="186">
        <v>16136</v>
      </c>
    </row>
    <row r="420" spans="1:6" s="18" customFormat="1" ht="15" customHeight="1">
      <c r="A420" s="188">
        <v>2017</v>
      </c>
      <c r="B420" s="186">
        <v>55194</v>
      </c>
      <c r="C420" s="186">
        <v>6001</v>
      </c>
      <c r="D420" s="186">
        <v>49193</v>
      </c>
      <c r="E420" s="186">
        <v>27024</v>
      </c>
      <c r="F420" s="186">
        <v>22169</v>
      </c>
    </row>
    <row r="421" spans="1:6" s="18" customFormat="1" ht="15" customHeight="1">
      <c r="A421" s="188">
        <v>2018</v>
      </c>
      <c r="B421" s="186">
        <v>51236</v>
      </c>
      <c r="C421" s="186">
        <v>4889</v>
      </c>
      <c r="D421" s="186">
        <v>49064</v>
      </c>
      <c r="E421" s="186">
        <v>36406</v>
      </c>
      <c r="F421" s="186">
        <v>9941</v>
      </c>
    </row>
    <row r="422" spans="1:6" s="18" customFormat="1" ht="15" customHeight="1">
      <c r="A422" s="188">
        <v>2019</v>
      </c>
      <c r="B422" s="186">
        <v>56052</v>
      </c>
      <c r="C422" s="186">
        <v>3268</v>
      </c>
      <c r="D422" s="186">
        <v>52784</v>
      </c>
      <c r="E422" s="186">
        <v>43039</v>
      </c>
      <c r="F422" s="186">
        <v>9745</v>
      </c>
    </row>
    <row r="423" spans="1:6" s="18" customFormat="1" ht="15" customHeight="1">
      <c r="A423" s="188">
        <v>2020</v>
      </c>
      <c r="B423" s="186">
        <v>47301</v>
      </c>
      <c r="C423" s="186">
        <v>3612</v>
      </c>
      <c r="D423" s="186">
        <v>43689</v>
      </c>
      <c r="E423" s="186">
        <v>38278</v>
      </c>
      <c r="F423" s="186">
        <v>5411</v>
      </c>
    </row>
    <row r="424" spans="1:6" s="18" customFormat="1" ht="15" customHeight="1">
      <c r="A424" s="188">
        <v>2021</v>
      </c>
      <c r="B424" s="186">
        <v>44139</v>
      </c>
      <c r="C424" s="186">
        <v>1782</v>
      </c>
      <c r="D424" s="186">
        <v>42357</v>
      </c>
      <c r="E424" s="186">
        <v>35750</v>
      </c>
      <c r="F424" s="186">
        <v>6607</v>
      </c>
    </row>
    <row r="425" spans="1:6" s="18" customFormat="1" ht="15" customHeight="1">
      <c r="A425" s="188">
        <v>2022</v>
      </c>
      <c r="B425" s="186">
        <v>48771</v>
      </c>
      <c r="C425" s="186">
        <v>2829</v>
      </c>
      <c r="D425" s="186">
        <v>45942</v>
      </c>
      <c r="E425" s="186">
        <v>38845</v>
      </c>
      <c r="F425" s="186">
        <v>7097</v>
      </c>
    </row>
    <row r="426" spans="1:6" s="18" customFormat="1" ht="15" customHeight="1">
      <c r="A426" s="188">
        <v>2023</v>
      </c>
      <c r="B426" s="186">
        <v>54772</v>
      </c>
      <c r="C426" s="186">
        <v>9470</v>
      </c>
      <c r="D426" s="186">
        <v>45302</v>
      </c>
      <c r="E426" s="186">
        <v>41399</v>
      </c>
      <c r="F426" s="186">
        <v>3903</v>
      </c>
    </row>
    <row r="427" spans="1:6" s="18" customFormat="1" ht="15" customHeight="1">
      <c r="A427" s="188">
        <v>2024</v>
      </c>
      <c r="B427" s="186">
        <v>28951</v>
      </c>
      <c r="C427" s="186">
        <v>997</v>
      </c>
      <c r="D427" s="186">
        <v>27954</v>
      </c>
      <c r="E427" s="186">
        <v>25108</v>
      </c>
      <c r="F427" s="186">
        <v>2846</v>
      </c>
    </row>
    <row r="428" spans="1:6" s="18" customFormat="1" ht="15" customHeight="1"/>
    <row r="429" spans="1:6" s="18" customFormat="1" ht="15" customHeight="1"/>
    <row r="430" spans="1:6" s="18" customFormat="1" ht="15" customHeight="1"/>
    <row r="431" spans="1:6" s="18" customFormat="1" ht="15" customHeight="1"/>
    <row r="432" spans="1:6" s="18" customFormat="1" ht="15" customHeight="1"/>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5" customHeight="1"/>
    <row r="658" s="18" customFormat="1" ht="15" customHeight="1"/>
    <row r="659" s="18" customFormat="1" ht="15" customHeight="1"/>
    <row r="660" s="18" customFormat="1" ht="15" customHeight="1"/>
    <row r="661" s="18" customFormat="1" ht="15" customHeight="1"/>
    <row r="662" s="18" customFormat="1" ht="15" customHeight="1"/>
    <row r="663" s="18" customFormat="1" ht="15" customHeight="1"/>
    <row r="664" s="18" customFormat="1" ht="15" customHeight="1"/>
    <row r="665" s="18" customFormat="1" ht="15" customHeight="1"/>
    <row r="666" s="18" customFormat="1" ht="15" customHeight="1"/>
    <row r="667" s="18" customFormat="1" ht="12.75"/>
    <row r="668" s="18" customFormat="1" ht="12.75"/>
    <row r="669" s="18" customFormat="1" ht="12.75"/>
    <row r="670" s="18" customFormat="1" ht="12.75"/>
    <row r="671" s="18" customFormat="1" ht="12.75"/>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pans="1:13" s="18" customFormat="1" ht="12.75"/>
    <row r="706" spans="1:13" s="18" customFormat="1" ht="12.75"/>
    <row r="707" spans="1:13" s="18" customFormat="1" ht="12.75"/>
    <row r="708" spans="1:13" s="18" customFormat="1" ht="12.75"/>
    <row r="709" spans="1:13" s="18" customFormat="1" ht="12.75"/>
    <row r="710" spans="1:13" s="18" customFormat="1" ht="12.75"/>
    <row r="711" spans="1:13" s="18" customFormat="1" ht="12.75"/>
    <row r="712" spans="1:13" s="18" customFormat="1" ht="12.75"/>
    <row r="713" spans="1:13" s="18" customFormat="1" ht="12.75"/>
    <row r="714" spans="1:13" s="18" customFormat="1" ht="12.75"/>
    <row r="715" spans="1:13" s="18" customFormat="1" ht="12.75"/>
    <row r="716" spans="1:13" s="18" customFormat="1" ht="12.75"/>
    <row r="717" spans="1:13" s="18" customFormat="1" ht="12.75"/>
    <row r="718" spans="1:13" s="18" customFormat="1" ht="12.75"/>
    <row r="719" spans="1:13" s="18" customFormat="1" ht="12.75"/>
    <row r="720" spans="1:13">
      <c r="A720" s="18"/>
      <c r="B720" s="18"/>
      <c r="C720" s="18"/>
      <c r="D720" s="18"/>
      <c r="E720" s="18"/>
      <c r="F720" s="18"/>
      <c r="G720" s="18"/>
      <c r="H720" s="18"/>
      <c r="I720" s="18"/>
      <c r="J720" s="18"/>
      <c r="K720" s="18"/>
      <c r="L720" s="18"/>
      <c r="M720" s="18"/>
    </row>
  </sheetData>
  <phoneticPr fontId="0" type="noConversion"/>
  <printOptions horizontalCentered="1"/>
  <pageMargins left="0.39370078740157483" right="0.39370078740157483" top="1.3779527559055118" bottom="0.39370078740157483" header="0.59055118110236227" footer="0"/>
  <pageSetup paperSize="9" scale="11" orientation="portrait" horizontalDpi="300" verticalDpi="300" r:id="rId2"/>
  <headerFooter alignWithMargins="0">
    <oddHeader>&amp;C&amp;14Cumplimiento del Servicio de Trenes
Línea Belgrano Norte</oddHeader>
  </headerFooter>
  <ignoredErrors>
    <ignoredError sqref="H7:I34 I35:I79 I80:I135 I136:L188 I189:I253 I254:I305 I315:I317 H6:I6 C6:E6" calculatedColumn="1"/>
  </ignoredErrors>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vt:i4>
      </vt:variant>
    </vt:vector>
  </HeadingPairs>
  <TitlesOfParts>
    <vt:vector size="14" baseType="lpstr">
      <vt:lpstr>OBSERVACIONES</vt:lpstr>
      <vt:lpstr>Resumen</vt:lpstr>
      <vt:lpstr>TOTAL TAB</vt:lpstr>
      <vt:lpstr>MIT TAB</vt:lpstr>
      <vt:lpstr>SAR TAB</vt:lpstr>
      <vt:lpstr>URQ TAB</vt:lpstr>
      <vt:lpstr>ROC TAB</vt:lpstr>
      <vt:lpstr>SM TAB</vt:lpstr>
      <vt:lpstr>BN TAB</vt:lpstr>
      <vt:lpstr>BS TAB</vt:lpstr>
      <vt:lpstr>TDC TAB</vt:lpstr>
      <vt:lpstr>'SM TAB'!Área_de_impresión</vt:lpstr>
      <vt:lpstr>'TDC TAB'!Área_de_impresión</vt:lpstr>
      <vt:lpstr>'URQ TAB'!Área_de_impresión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dc:creator>
  <cp:lastModifiedBy>Martin Ralph</cp:lastModifiedBy>
  <cp:lastPrinted>2024-04-17T15:22:32Z</cp:lastPrinted>
  <dcterms:created xsi:type="dcterms:W3CDTF">2000-02-17T14:37:07Z</dcterms:created>
  <dcterms:modified xsi:type="dcterms:W3CDTF">2024-10-21T14:49:43Z</dcterms:modified>
</cp:coreProperties>
</file>